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chartsheets/sheet3.xml" ContentType="application/vnd.openxmlformats-officedocument.spreadsheetml.chartsheet+xml"/>
  <Override PartName="/xl/chartsheets/sheet4.xml" ContentType="application/vnd.openxmlformats-officedocument.spreadsheetml.chartsheet+xml"/>
  <Override PartName="/xl/chartsheets/sheet5.xml" ContentType="application/vnd.openxmlformats-officedocument.spreadsheetml.chartsheet+xml"/>
  <Override PartName="/xl/chartsheets/sheet6.xml" ContentType="application/vnd.openxmlformats-officedocument.spreadsheetml.chartsheet+xml"/>
  <Override PartName="/xl/chartsheets/sheet7.xml" ContentType="application/vnd.openxmlformats-officedocument.spreadsheetml.chart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comments2.xml" ContentType="application/vnd.openxmlformats-officedocument.spreadsheetml.comments+xml"/>
  <Override PartName="/xl/comments3.xml" ContentType="application/vnd.openxmlformats-officedocument.spreadsheetml.comments+xml"/>
  <Override PartName="/xl/threadedComments/threadedComment2.xml" ContentType="application/vnd.ms-excel.threadedcomments+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ml.chartshapes+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8.xml" ContentType="application/vnd.openxmlformats-officedocument.drawingml.chartshapes+xml"/>
  <Override PartName="/xl/drawings/drawing9.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10.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1.xml" ContentType="application/vnd.openxmlformats-officedocument.drawingml.chartshapes+xml"/>
  <Override PartName="/xl/drawings/drawing12.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3.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tables/table44.xml" ContentType="application/vnd.openxmlformats-officedocument.spreadsheetml.table+xml"/>
  <Override PartName="/xl/queryTables/queryTable1.xml" ContentType="application/vnd.openxmlformats-officedocument.spreadsheetml.query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queryTables/queryTable2.xml" ContentType="application/vnd.openxmlformats-officedocument.spreadsheetml.query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09"/>
  <workbookPr/>
  <mc:AlternateContent xmlns:mc="http://schemas.openxmlformats.org/markup-compatibility/2006">
    <mc:Choice Requires="x15">
      <x15ac:absPath xmlns:x15ac="http://schemas.microsoft.com/office/spreadsheetml/2010/11/ac" url="https://wdcnz.sharepoint.com/sites/StrategyandAdviceToituteWaiora/Corporate Team/Early Childhood Education Project 2025/"/>
    </mc:Choice>
  </mc:AlternateContent>
  <xr:revisionPtr revIDLastSave="0" documentId="8_{6EDC5B99-A652-47FA-AC35-3847A9739D36}" xr6:coauthVersionLast="47" xr6:coauthVersionMax="47" xr10:uidLastSave="{00000000-0000-0000-0000-000000000000}"/>
  <bookViews>
    <workbookView xWindow="-103" yWindow="-103" windowWidth="16663" windowHeight="8743" tabRatio="762" xr2:uid="{88B74366-34CD-45BC-8A5B-F8A73219B3FE}"/>
  </bookViews>
  <sheets>
    <sheet name="Sources and Contents" sheetId="7" r:id="rId1"/>
    <sheet name="Assumptions" sheetId="8" r:id="rId2"/>
    <sheet name="Limitations" sheetId="30" r:id="rId3"/>
    <sheet name="Definitions" sheetId="29" r:id="rId4"/>
    <sheet name="Methodology" sheetId="32" r:id="rId5"/>
    <sheet name="T1" sheetId="31" r:id="rId6"/>
    <sheet name="T2" sheetId="5" r:id="rId7"/>
    <sheet name="T3" sheetId="62" r:id="rId8"/>
    <sheet name="T5" sheetId="9" r:id="rId9"/>
    <sheet name="T6" sheetId="10" r:id="rId10"/>
    <sheet name="T7" sheetId="11" r:id="rId11"/>
    <sheet name="T8" sheetId="12" r:id="rId12"/>
    <sheet name="T15" sheetId="19" r:id="rId13"/>
    <sheet name="T16" sheetId="21" r:id="rId14"/>
    <sheet name="T17" sheetId="41" r:id="rId15"/>
    <sheet name="T18" sheetId="43" r:id="rId16"/>
    <sheet name="T19" sheetId="24" r:id="rId17"/>
    <sheet name="T19.1" sheetId="54" r:id="rId18"/>
    <sheet name="T20" sheetId="33" r:id="rId19"/>
    <sheet name="T21" sheetId="34" r:id="rId20"/>
    <sheet name="Source-AKL-service-directory" sheetId="65" state="hidden" r:id="rId21"/>
    <sheet name="T22" sheetId="42" r:id="rId22"/>
    <sheet name="T23" sheetId="45" r:id="rId23"/>
    <sheet name="C1" sheetId="6" r:id="rId24"/>
    <sheet name="C3" sheetId="20" r:id="rId25"/>
    <sheet name="C4" sheetId="26" r:id="rId26"/>
    <sheet name="C4.1" sheetId="55" r:id="rId27"/>
    <sheet name="C5" sheetId="35" r:id="rId28"/>
    <sheet name="C6" sheetId="46" r:id="rId29"/>
    <sheet name="C7" sheetId="47" r:id="rId30"/>
    <sheet name="Opportunities" sheetId="44" r:id="rId31"/>
    <sheet name="Transformed-pop_x_region" sheetId="57" state="hidden" r:id="rId32"/>
    <sheet name="Source-pop_x_region" sheetId="56" state="hidden" r:id="rId33"/>
    <sheet name="Xformed-participation_x_region" sheetId="60" state="hidden" r:id="rId34"/>
    <sheet name="Source-participation_x_region" sheetId="59" state="hidden" r:id="rId35"/>
    <sheet name="ECE Services Directory" sheetId="52" state="hidden" r:id="rId36"/>
    <sheet name="Source-participation_x_type" sheetId="51" state="hidden" r:id="rId37"/>
    <sheet name="Source-AKL_participation_x_age" sheetId="63" state="hidden" r:id="rId38"/>
    <sheet name="Source-AKL_ptcptn_x_stype" sheetId="64" state="hidden" r:id="rId39"/>
    <sheet name="Source-fte_qualstus_x_servtype" sheetId="49" state="hidden" r:id="rId40"/>
    <sheet name="Source-age_x_service" sheetId="48" state="hidden" r:id="rId41"/>
  </sheets>
  <definedNames>
    <definedName name="_xlnm._FilterDatabase" localSheetId="20" hidden="1">'Source-AKL-service-directory'!$A$3:$P$1415</definedName>
    <definedName name="ExternalData_1" localSheetId="31" hidden="1">'Transformed-pop_x_region'!$A$1:$E$181</definedName>
    <definedName name="ExternalData_1" localSheetId="33" hidden="1">'Xformed-participation_x_region'!$A$1:$T$26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6" i="9" l="1"/>
  <c r="D46" i="9"/>
  <c r="E46" i="9"/>
  <c r="F46" i="9"/>
  <c r="G46" i="9"/>
  <c r="B46" i="9"/>
  <c r="G40" i="9"/>
  <c r="G41" i="9"/>
  <c r="G42" i="9"/>
  <c r="G43" i="9"/>
  <c r="G44" i="9" s="1"/>
  <c r="G38" i="9"/>
  <c r="G37" i="9"/>
  <c r="G36" i="9"/>
  <c r="G35" i="9"/>
  <c r="G34" i="9"/>
  <c r="G33" i="9"/>
  <c r="G32" i="9"/>
  <c r="G31" i="9"/>
  <c r="G30" i="9"/>
  <c r="G29" i="9"/>
  <c r="H135" i="41"/>
  <c r="G134" i="41"/>
  <c r="L132" i="41"/>
  <c r="L131" i="41"/>
  <c r="C98" i="43"/>
  <c r="L128" i="41"/>
  <c r="L129" i="41"/>
  <c r="M129" i="41" s="1"/>
  <c r="L130" i="41"/>
  <c r="L133" i="41"/>
  <c r="L134" i="41"/>
  <c r="L135" i="41"/>
  <c r="L136" i="41"/>
  <c r="L137" i="41"/>
  <c r="L138" i="41"/>
  <c r="K128" i="41"/>
  <c r="K129" i="41"/>
  <c r="K130" i="41"/>
  <c r="K133" i="41"/>
  <c r="K134" i="41"/>
  <c r="K135" i="41"/>
  <c r="K136" i="41"/>
  <c r="K137" i="41"/>
  <c r="K138" i="41"/>
  <c r="Q138" i="41" s="1"/>
  <c r="J128" i="41"/>
  <c r="J129" i="41"/>
  <c r="J130" i="41"/>
  <c r="J131" i="41"/>
  <c r="J133" i="41"/>
  <c r="J134" i="41"/>
  <c r="J135" i="41"/>
  <c r="J136" i="41"/>
  <c r="Q136" i="41" s="1"/>
  <c r="J137" i="41"/>
  <c r="J138" i="41"/>
  <c r="I128" i="41"/>
  <c r="I129" i="41"/>
  <c r="I130" i="41"/>
  <c r="I131" i="41"/>
  <c r="I132" i="41"/>
  <c r="I133" i="41"/>
  <c r="I136" i="41"/>
  <c r="I137" i="41"/>
  <c r="I138" i="41"/>
  <c r="H128" i="41"/>
  <c r="H129" i="41"/>
  <c r="H130" i="41"/>
  <c r="H131" i="41"/>
  <c r="H132" i="41"/>
  <c r="H133" i="41"/>
  <c r="H136" i="41"/>
  <c r="H137" i="41"/>
  <c r="H138" i="41"/>
  <c r="G128" i="41"/>
  <c r="G129" i="41"/>
  <c r="G130" i="41"/>
  <c r="P130" i="41" s="1"/>
  <c r="G131" i="41"/>
  <c r="G132" i="41"/>
  <c r="G133" i="41"/>
  <c r="G135" i="41"/>
  <c r="G136" i="41"/>
  <c r="G137" i="41"/>
  <c r="G138" i="41"/>
  <c r="P138" i="41" s="1"/>
  <c r="Q130" i="41"/>
  <c r="Q133" i="41"/>
  <c r="F4" i="9"/>
  <c r="F5" i="9"/>
  <c r="F6" i="9"/>
  <c r="F7" i="9"/>
  <c r="F8" i="9"/>
  <c r="F9" i="9"/>
  <c r="F10" i="9"/>
  <c r="F36" i="9" s="1"/>
  <c r="F11" i="9"/>
  <c r="F37" i="9" s="1"/>
  <c r="F12" i="9"/>
  <c r="F3" i="9"/>
  <c r="E4" i="9"/>
  <c r="E5" i="9"/>
  <c r="E6" i="9"/>
  <c r="E7" i="9"/>
  <c r="E8" i="9"/>
  <c r="E9" i="9"/>
  <c r="E10" i="9"/>
  <c r="E36" i="9" s="1"/>
  <c r="E11" i="9"/>
  <c r="E12" i="9"/>
  <c r="E3" i="9"/>
  <c r="E29" i="9" s="1"/>
  <c r="D4" i="9"/>
  <c r="D5" i="9"/>
  <c r="D6" i="9"/>
  <c r="D7" i="9"/>
  <c r="D8" i="9"/>
  <c r="D9" i="9"/>
  <c r="D10" i="9"/>
  <c r="D11" i="9"/>
  <c r="D37" i="9" s="1"/>
  <c r="D12" i="9"/>
  <c r="D3" i="9"/>
  <c r="D29" i="9" s="1"/>
  <c r="C4" i="9"/>
  <c r="C5" i="9"/>
  <c r="C6" i="9"/>
  <c r="C7" i="9"/>
  <c r="C8" i="9"/>
  <c r="C9" i="9"/>
  <c r="C10" i="9"/>
  <c r="C11" i="9"/>
  <c r="C37" i="9" s="1"/>
  <c r="C12" i="9"/>
  <c r="C3" i="9"/>
  <c r="C29" i="9" s="1"/>
  <c r="B4" i="9"/>
  <c r="B30" i="9" s="1"/>
  <c r="B5" i="9"/>
  <c r="B6" i="9"/>
  <c r="B7" i="9"/>
  <c r="B8" i="9"/>
  <c r="B34" i="9" s="1"/>
  <c r="B9" i="9"/>
  <c r="B10" i="9"/>
  <c r="B11" i="9"/>
  <c r="B37" i="9" s="1"/>
  <c r="B12" i="9"/>
  <c r="B38" i="9" s="1"/>
  <c r="B3" i="9"/>
  <c r="C30" i="9"/>
  <c r="D30" i="9"/>
  <c r="E30" i="9"/>
  <c r="F30" i="9"/>
  <c r="B31" i="9"/>
  <c r="C31" i="9"/>
  <c r="D31" i="9"/>
  <c r="E31" i="9"/>
  <c r="F31" i="9"/>
  <c r="B32" i="9"/>
  <c r="C32" i="9"/>
  <c r="D32" i="9"/>
  <c r="E32" i="9"/>
  <c r="F32" i="9"/>
  <c r="B33" i="9"/>
  <c r="C33" i="9"/>
  <c r="D33" i="9"/>
  <c r="E33" i="9"/>
  <c r="F33" i="9"/>
  <c r="C34" i="9"/>
  <c r="D34" i="9"/>
  <c r="E34" i="9"/>
  <c r="F34" i="9"/>
  <c r="B35" i="9"/>
  <c r="C35" i="9"/>
  <c r="D35" i="9"/>
  <c r="E35" i="9"/>
  <c r="F35" i="9"/>
  <c r="B36" i="9"/>
  <c r="C36" i="9"/>
  <c r="D36" i="9"/>
  <c r="E37" i="9"/>
  <c r="C38" i="9"/>
  <c r="D38" i="9"/>
  <c r="E38" i="9"/>
  <c r="F38" i="9"/>
  <c r="F29" i="9"/>
  <c r="B29" i="9"/>
  <c r="Q126" i="43"/>
  <c r="Q127" i="43"/>
  <c r="Q128" i="43"/>
  <c r="Q129" i="43"/>
  <c r="Q130" i="43"/>
  <c r="Q131" i="43"/>
  <c r="Q132" i="43"/>
  <c r="Q133" i="43"/>
  <c r="Q134" i="43"/>
  <c r="Q135" i="43"/>
  <c r="Q136" i="43"/>
  <c r="P126" i="43"/>
  <c r="P127" i="43"/>
  <c r="P128" i="43"/>
  <c r="P129" i="43"/>
  <c r="P130" i="43"/>
  <c r="P131" i="43"/>
  <c r="P132" i="43"/>
  <c r="P133" i="43"/>
  <c r="P134" i="43"/>
  <c r="P135" i="43"/>
  <c r="P136" i="43"/>
  <c r="O126" i="43"/>
  <c r="O127" i="43"/>
  <c r="O128" i="43"/>
  <c r="O129" i="43"/>
  <c r="O130" i="43"/>
  <c r="O131" i="43"/>
  <c r="O132" i="43"/>
  <c r="O133" i="43"/>
  <c r="O134" i="43"/>
  <c r="O135" i="43"/>
  <c r="O136" i="43"/>
  <c r="N126" i="43"/>
  <c r="N127" i="43"/>
  <c r="N128" i="43"/>
  <c r="N129" i="43"/>
  <c r="N130" i="43"/>
  <c r="N131" i="43"/>
  <c r="N132" i="43"/>
  <c r="N133" i="43"/>
  <c r="N134" i="43"/>
  <c r="N135" i="43"/>
  <c r="N136" i="43"/>
  <c r="M126" i="43"/>
  <c r="M127" i="43"/>
  <c r="M128" i="43"/>
  <c r="M129" i="43"/>
  <c r="M130" i="43"/>
  <c r="M131" i="43"/>
  <c r="M132" i="43"/>
  <c r="M133" i="43"/>
  <c r="M134" i="43"/>
  <c r="M135" i="43"/>
  <c r="M136" i="43"/>
  <c r="U126" i="43"/>
  <c r="U127" i="43"/>
  <c r="U128" i="43"/>
  <c r="U129" i="43"/>
  <c r="U130" i="43"/>
  <c r="U131" i="43"/>
  <c r="U132" i="43"/>
  <c r="U133" i="43"/>
  <c r="U134" i="43"/>
  <c r="U135" i="43"/>
  <c r="U136" i="43"/>
  <c r="T126" i="43"/>
  <c r="T127" i="43"/>
  <c r="T128" i="43"/>
  <c r="T129" i="43"/>
  <c r="T130" i="43"/>
  <c r="T131" i="43"/>
  <c r="T132" i="43"/>
  <c r="T133" i="43"/>
  <c r="T134" i="43"/>
  <c r="T135" i="43"/>
  <c r="T136" i="43"/>
  <c r="S126" i="43"/>
  <c r="S127" i="43"/>
  <c r="S128" i="43"/>
  <c r="S129" i="43"/>
  <c r="S130" i="43"/>
  <c r="S131" i="43"/>
  <c r="S132" i="43"/>
  <c r="S133" i="43"/>
  <c r="S134" i="43"/>
  <c r="S135" i="43"/>
  <c r="S136" i="43"/>
  <c r="R126" i="43"/>
  <c r="R127" i="43"/>
  <c r="R128" i="43"/>
  <c r="R129" i="43"/>
  <c r="R130" i="43"/>
  <c r="R131" i="43"/>
  <c r="R132" i="43"/>
  <c r="R133" i="43"/>
  <c r="R134" i="43"/>
  <c r="R135" i="43"/>
  <c r="R136" i="43"/>
  <c r="L126" i="43"/>
  <c r="L127" i="43"/>
  <c r="L128" i="43"/>
  <c r="L129" i="43"/>
  <c r="L130" i="43"/>
  <c r="L131" i="43"/>
  <c r="L132" i="43"/>
  <c r="L133" i="43"/>
  <c r="L134" i="43"/>
  <c r="L135" i="43"/>
  <c r="L136" i="43"/>
  <c r="P131" i="41" l="1"/>
  <c r="Q137" i="41"/>
  <c r="P137" i="41"/>
  <c r="Q134" i="41"/>
  <c r="P128" i="41"/>
  <c r="P136" i="41"/>
  <c r="P132" i="41"/>
  <c r="Q128" i="41"/>
  <c r="H134" i="41"/>
  <c r="J132" i="41"/>
  <c r="I135" i="41"/>
  <c r="P135" i="41" s="1"/>
  <c r="R135" i="41" s="1"/>
  <c r="I134" i="41"/>
  <c r="P134" i="41" s="1"/>
  <c r="K132" i="41"/>
  <c r="Q132" i="41" s="1"/>
  <c r="K131" i="41"/>
  <c r="Q131" i="41" s="1"/>
  <c r="R131" i="41" s="1"/>
  <c r="Q129" i="41"/>
  <c r="V135" i="43"/>
  <c r="Q135" i="41"/>
  <c r="R134" i="41"/>
  <c r="R130" i="41"/>
  <c r="R137" i="41"/>
  <c r="R136" i="41"/>
  <c r="R138" i="41"/>
  <c r="P133" i="41"/>
  <c r="R133" i="41" s="1"/>
  <c r="R128" i="41"/>
  <c r="P129" i="41"/>
  <c r="M133" i="41"/>
  <c r="M138" i="41"/>
  <c r="M130" i="41"/>
  <c r="M135" i="41"/>
  <c r="M137" i="41"/>
  <c r="M136" i="41"/>
  <c r="M128" i="41"/>
  <c r="M134" i="41"/>
  <c r="V129" i="43"/>
  <c r="V127" i="43"/>
  <c r="V130" i="43"/>
  <c r="V128" i="43"/>
  <c r="V136" i="43"/>
  <c r="V131" i="43"/>
  <c r="V134" i="43"/>
  <c r="V133" i="43"/>
  <c r="V126" i="43"/>
  <c r="V132" i="43"/>
  <c r="R132" i="41" l="1"/>
  <c r="R129" i="41"/>
  <c r="M132" i="41"/>
  <c r="M131" i="41"/>
  <c r="K14" i="42" l="1"/>
  <c r="I14" i="42"/>
  <c r="E14" i="42"/>
  <c r="D29" i="41"/>
  <c r="C29" i="41"/>
  <c r="B29" i="41"/>
  <c r="H14" i="33"/>
  <c r="G14" i="33"/>
  <c r="F14" i="33"/>
  <c r="E14" i="33"/>
  <c r="D14" i="33"/>
  <c r="C14" i="33"/>
  <c r="D5" i="34"/>
  <c r="D6" i="34"/>
  <c r="D7" i="34"/>
  <c r="D8" i="34"/>
  <c r="D9" i="34"/>
  <c r="D10" i="34"/>
  <c r="D4" i="34"/>
  <c r="C5" i="34"/>
  <c r="C6" i="34"/>
  <c r="C7" i="34"/>
  <c r="C8" i="34"/>
  <c r="C9" i="34"/>
  <c r="C10" i="34"/>
  <c r="C4" i="34"/>
  <c r="B5" i="34"/>
  <c r="B6" i="34"/>
  <c r="B7" i="34"/>
  <c r="B8" i="34"/>
  <c r="B9" i="34"/>
  <c r="B10" i="34"/>
  <c r="B4" i="34"/>
  <c r="G5" i="51"/>
  <c r="G6" i="51"/>
  <c r="G7" i="51"/>
  <c r="G8" i="51"/>
  <c r="G9" i="51"/>
  <c r="G10" i="51"/>
  <c r="G11" i="51"/>
  <c r="G12" i="51"/>
  <c r="G13" i="51"/>
  <c r="G14" i="51"/>
  <c r="G15" i="51"/>
  <c r="G16" i="51"/>
  <c r="G17" i="51"/>
  <c r="G18" i="51"/>
  <c r="G19" i="51"/>
  <c r="G20" i="51"/>
  <c r="G21" i="51"/>
  <c r="G22" i="51"/>
  <c r="G4" i="51"/>
  <c r="P28" i="19"/>
  <c r="O28" i="19"/>
  <c r="N28" i="19"/>
  <c r="M28" i="19"/>
  <c r="L28" i="19"/>
  <c r="K28" i="19"/>
  <c r="J28" i="19"/>
  <c r="I28" i="19"/>
  <c r="H28" i="19"/>
  <c r="G28" i="19"/>
  <c r="F28" i="19"/>
  <c r="E28" i="19"/>
  <c r="D28" i="19"/>
  <c r="C28" i="19"/>
  <c r="B28" i="19"/>
  <c r="P27" i="19"/>
  <c r="O27" i="19"/>
  <c r="N27" i="19"/>
  <c r="M27" i="19"/>
  <c r="L27" i="19"/>
  <c r="K27" i="19"/>
  <c r="J27" i="19"/>
  <c r="I27" i="19"/>
  <c r="H27" i="19"/>
  <c r="G27" i="19"/>
  <c r="F27" i="19"/>
  <c r="E27" i="19"/>
  <c r="D27" i="19"/>
  <c r="C27" i="19"/>
  <c r="B27" i="19"/>
  <c r="P26" i="19"/>
  <c r="O26" i="19"/>
  <c r="N26" i="19"/>
  <c r="M26" i="19"/>
  <c r="L26" i="19"/>
  <c r="K26" i="19"/>
  <c r="J26" i="19"/>
  <c r="I26" i="19"/>
  <c r="H26" i="19"/>
  <c r="G26" i="19"/>
  <c r="F26" i="19"/>
  <c r="E26" i="19"/>
  <c r="D26" i="19"/>
  <c r="C26" i="19"/>
  <c r="B26" i="19"/>
  <c r="P25" i="19"/>
  <c r="O25" i="19"/>
  <c r="N25" i="19"/>
  <c r="M25" i="19"/>
  <c r="L25" i="19"/>
  <c r="K25" i="19"/>
  <c r="J25" i="19"/>
  <c r="I25" i="19"/>
  <c r="H25" i="19"/>
  <c r="G25" i="19"/>
  <c r="F25" i="19"/>
  <c r="E25" i="19"/>
  <c r="D25" i="19"/>
  <c r="C25" i="19"/>
  <c r="B25" i="19"/>
  <c r="P24" i="19"/>
  <c r="O24" i="19"/>
  <c r="N24" i="19"/>
  <c r="M24" i="19"/>
  <c r="L24" i="19"/>
  <c r="K24" i="19"/>
  <c r="J24" i="19"/>
  <c r="I24" i="19"/>
  <c r="H24" i="19"/>
  <c r="G24" i="19"/>
  <c r="F24" i="19"/>
  <c r="E24" i="19"/>
  <c r="D24" i="19"/>
  <c r="C24" i="19"/>
  <c r="B24" i="19"/>
  <c r="P23" i="19"/>
  <c r="O23" i="19"/>
  <c r="N23" i="19"/>
  <c r="M23" i="19"/>
  <c r="L23" i="19"/>
  <c r="K23" i="19"/>
  <c r="J23" i="19"/>
  <c r="I23" i="19"/>
  <c r="H23" i="19"/>
  <c r="G23" i="19"/>
  <c r="F23" i="19"/>
  <c r="E23" i="19"/>
  <c r="D23" i="19"/>
  <c r="C23" i="19"/>
  <c r="B23" i="19"/>
  <c r="P22" i="19"/>
  <c r="O22" i="19"/>
  <c r="N22" i="19"/>
  <c r="M22" i="19"/>
  <c r="L22" i="19"/>
  <c r="K22" i="19"/>
  <c r="J22" i="19"/>
  <c r="I22" i="19"/>
  <c r="H22" i="19"/>
  <c r="G22" i="19"/>
  <c r="F22" i="19"/>
  <c r="E22" i="19"/>
  <c r="D22" i="19"/>
  <c r="C22" i="19"/>
  <c r="B22" i="19"/>
  <c r="P21" i="19"/>
  <c r="O21" i="19"/>
  <c r="N21" i="19"/>
  <c r="M21" i="19"/>
  <c r="L21" i="19"/>
  <c r="K21" i="19"/>
  <c r="J21" i="19"/>
  <c r="I21" i="19"/>
  <c r="H21" i="19"/>
  <c r="G21" i="19"/>
  <c r="F21" i="19"/>
  <c r="E21" i="19"/>
  <c r="D21" i="19"/>
  <c r="C21" i="19"/>
  <c r="B21" i="19"/>
  <c r="P20" i="19"/>
  <c r="O20" i="19"/>
  <c r="N20" i="19"/>
  <c r="M20" i="19"/>
  <c r="L20" i="19"/>
  <c r="K20" i="19"/>
  <c r="J20" i="19"/>
  <c r="I20" i="19"/>
  <c r="H20" i="19"/>
  <c r="G20" i="19"/>
  <c r="F20" i="19"/>
  <c r="E20" i="19"/>
  <c r="D20" i="19"/>
  <c r="C20" i="19"/>
  <c r="B20" i="19"/>
  <c r="P19" i="19"/>
  <c r="O19" i="19"/>
  <c r="N19" i="19"/>
  <c r="M19" i="19"/>
  <c r="L19" i="19"/>
  <c r="K19" i="19"/>
  <c r="J19" i="19"/>
  <c r="I19" i="19"/>
  <c r="H19" i="19"/>
  <c r="G19" i="19"/>
  <c r="F19" i="19"/>
  <c r="E19" i="19"/>
  <c r="D19" i="19"/>
  <c r="C19" i="19"/>
  <c r="B19" i="19"/>
  <c r="P18" i="19"/>
  <c r="O18" i="19"/>
  <c r="N18" i="19"/>
  <c r="M18" i="19"/>
  <c r="L18" i="19"/>
  <c r="K18" i="19"/>
  <c r="J18" i="19"/>
  <c r="I18" i="19"/>
  <c r="H18" i="19"/>
  <c r="G18" i="19"/>
  <c r="F18" i="19"/>
  <c r="E18" i="19"/>
  <c r="D18" i="19"/>
  <c r="C18" i="19"/>
  <c r="B18" i="19"/>
  <c r="P17" i="19"/>
  <c r="O17" i="19"/>
  <c r="N17" i="19"/>
  <c r="M17" i="19"/>
  <c r="L17" i="19"/>
  <c r="K17" i="19"/>
  <c r="J17" i="19"/>
  <c r="I17" i="19"/>
  <c r="H17" i="19"/>
  <c r="G17" i="19"/>
  <c r="F17" i="19"/>
  <c r="E17" i="19"/>
  <c r="D17" i="19"/>
  <c r="C17" i="19"/>
  <c r="B17" i="19"/>
  <c r="P16" i="19"/>
  <c r="O16" i="19"/>
  <c r="N16" i="19"/>
  <c r="M16" i="19"/>
  <c r="L16" i="19"/>
  <c r="K16" i="19"/>
  <c r="J16" i="19"/>
  <c r="I16" i="19"/>
  <c r="H16" i="19"/>
  <c r="G16" i="19"/>
  <c r="F16" i="19"/>
  <c r="E16" i="19"/>
  <c r="D16" i="19"/>
  <c r="C16" i="19"/>
  <c r="B16" i="19"/>
  <c r="P15" i="19"/>
  <c r="O15" i="19"/>
  <c r="N15" i="19"/>
  <c r="M15" i="19"/>
  <c r="L15" i="19"/>
  <c r="K15" i="19"/>
  <c r="J15" i="19"/>
  <c r="I15" i="19"/>
  <c r="H15" i="19"/>
  <c r="G15" i="19"/>
  <c r="F15" i="19"/>
  <c r="E15" i="19"/>
  <c r="D15" i="19"/>
  <c r="C15" i="19"/>
  <c r="B15" i="19"/>
  <c r="J14" i="19"/>
  <c r="H14" i="19"/>
  <c r="G14" i="19"/>
  <c r="E14" i="19"/>
  <c r="D14" i="19"/>
  <c r="B14" i="19"/>
  <c r="J13" i="19"/>
  <c r="H13" i="19"/>
  <c r="G13" i="19"/>
  <c r="E13" i="19"/>
  <c r="D13" i="19"/>
  <c r="B13" i="19"/>
  <c r="J12" i="19"/>
  <c r="H12" i="19"/>
  <c r="G12" i="19"/>
  <c r="E12" i="19"/>
  <c r="D12" i="19"/>
  <c r="B12" i="19"/>
  <c r="J11" i="19"/>
  <c r="H11" i="19"/>
  <c r="G11" i="19"/>
  <c r="E11" i="19"/>
  <c r="D11" i="19"/>
  <c r="B11" i="19"/>
  <c r="J10" i="19"/>
  <c r="H10" i="19"/>
  <c r="G10" i="19"/>
  <c r="E10" i="19"/>
  <c r="D10" i="19"/>
  <c r="B10" i="19"/>
  <c r="J9" i="19"/>
  <c r="H9" i="19"/>
  <c r="G9" i="19"/>
  <c r="E9" i="19"/>
  <c r="D9" i="19"/>
  <c r="B9" i="19"/>
  <c r="J8" i="19"/>
  <c r="H8" i="19"/>
  <c r="G8" i="19"/>
  <c r="E8" i="19"/>
  <c r="D8" i="19"/>
  <c r="B8" i="19"/>
  <c r="J7" i="19"/>
  <c r="H7" i="19"/>
  <c r="G7" i="19"/>
  <c r="E7" i="19"/>
  <c r="D7" i="19"/>
  <c r="B7" i="19"/>
  <c r="J6" i="19"/>
  <c r="H6" i="19"/>
  <c r="G6" i="19"/>
  <c r="E6" i="19"/>
  <c r="D6" i="19"/>
  <c r="B6" i="19"/>
  <c r="J5" i="19"/>
  <c r="H5" i="19"/>
  <c r="G5" i="19"/>
  <c r="E5" i="19"/>
  <c r="D5" i="19"/>
  <c r="B5" i="19"/>
  <c r="P28" i="12"/>
  <c r="O28" i="12"/>
  <c r="N28" i="12"/>
  <c r="M28" i="12"/>
  <c r="L28" i="12"/>
  <c r="K28" i="12"/>
  <c r="J28" i="12"/>
  <c r="I28" i="12"/>
  <c r="H28" i="12"/>
  <c r="G28" i="12"/>
  <c r="F28" i="12"/>
  <c r="E28" i="12"/>
  <c r="D28" i="12"/>
  <c r="C28" i="12"/>
  <c r="B28" i="12"/>
  <c r="P27" i="12"/>
  <c r="O27" i="12"/>
  <c r="N27" i="12"/>
  <c r="M27" i="12"/>
  <c r="L27" i="12"/>
  <c r="K27" i="12"/>
  <c r="J27" i="12"/>
  <c r="I27" i="12"/>
  <c r="H27" i="12"/>
  <c r="G27" i="12"/>
  <c r="F27" i="12"/>
  <c r="E27" i="12"/>
  <c r="D27" i="12"/>
  <c r="C27" i="12"/>
  <c r="B27" i="12"/>
  <c r="P26" i="12"/>
  <c r="O26" i="12"/>
  <c r="N26" i="12"/>
  <c r="M26" i="12"/>
  <c r="L26" i="12"/>
  <c r="K26" i="12"/>
  <c r="J26" i="12"/>
  <c r="I26" i="12"/>
  <c r="H26" i="12"/>
  <c r="G26" i="12"/>
  <c r="F26" i="12"/>
  <c r="E26" i="12"/>
  <c r="D26" i="12"/>
  <c r="C26" i="12"/>
  <c r="B26" i="12"/>
  <c r="P25" i="12"/>
  <c r="O25" i="12"/>
  <c r="N25" i="12"/>
  <c r="M25" i="12"/>
  <c r="L25" i="12"/>
  <c r="K25" i="12"/>
  <c r="J25" i="12"/>
  <c r="I25" i="12"/>
  <c r="H25" i="12"/>
  <c r="G25" i="12"/>
  <c r="F25" i="12"/>
  <c r="E25" i="12"/>
  <c r="D25" i="12"/>
  <c r="C25" i="12"/>
  <c r="B25" i="12"/>
  <c r="P24" i="12"/>
  <c r="O24" i="12"/>
  <c r="N24" i="12"/>
  <c r="M24" i="12"/>
  <c r="L24" i="12"/>
  <c r="K24" i="12"/>
  <c r="J24" i="12"/>
  <c r="I24" i="12"/>
  <c r="H24" i="12"/>
  <c r="G24" i="12"/>
  <c r="F24" i="12"/>
  <c r="E24" i="12"/>
  <c r="D24" i="12"/>
  <c r="C24" i="12"/>
  <c r="B24" i="12"/>
  <c r="P23" i="12"/>
  <c r="O23" i="12"/>
  <c r="N23" i="12"/>
  <c r="M23" i="12"/>
  <c r="L23" i="12"/>
  <c r="K23" i="12"/>
  <c r="J23" i="12"/>
  <c r="I23" i="12"/>
  <c r="H23" i="12"/>
  <c r="G23" i="12"/>
  <c r="F23" i="12"/>
  <c r="E23" i="12"/>
  <c r="D23" i="12"/>
  <c r="C23" i="12"/>
  <c r="B23" i="12"/>
  <c r="P22" i="12"/>
  <c r="O22" i="12"/>
  <c r="N22" i="12"/>
  <c r="M22" i="12"/>
  <c r="L22" i="12"/>
  <c r="K22" i="12"/>
  <c r="J22" i="12"/>
  <c r="I22" i="12"/>
  <c r="H22" i="12"/>
  <c r="G22" i="12"/>
  <c r="F22" i="12"/>
  <c r="E22" i="12"/>
  <c r="D22" i="12"/>
  <c r="C22" i="12"/>
  <c r="B22" i="12"/>
  <c r="P21" i="12"/>
  <c r="O21" i="12"/>
  <c r="N21" i="12"/>
  <c r="M21" i="12"/>
  <c r="L21" i="12"/>
  <c r="K21" i="12"/>
  <c r="J21" i="12"/>
  <c r="I21" i="12"/>
  <c r="H21" i="12"/>
  <c r="G21" i="12"/>
  <c r="F21" i="12"/>
  <c r="E21" i="12"/>
  <c r="D21" i="12"/>
  <c r="C21" i="12"/>
  <c r="B21" i="12"/>
  <c r="P20" i="12"/>
  <c r="O20" i="12"/>
  <c r="N20" i="12"/>
  <c r="M20" i="12"/>
  <c r="L20" i="12"/>
  <c r="K20" i="12"/>
  <c r="J20" i="12"/>
  <c r="I20" i="12"/>
  <c r="H20" i="12"/>
  <c r="G20" i="12"/>
  <c r="F20" i="12"/>
  <c r="E20" i="12"/>
  <c r="D20" i="12"/>
  <c r="C20" i="12"/>
  <c r="B20" i="12"/>
  <c r="P19" i="12"/>
  <c r="O19" i="12"/>
  <c r="N19" i="12"/>
  <c r="M19" i="12"/>
  <c r="L19" i="12"/>
  <c r="K19" i="12"/>
  <c r="J19" i="12"/>
  <c r="I19" i="12"/>
  <c r="H19" i="12"/>
  <c r="G19" i="12"/>
  <c r="F19" i="12"/>
  <c r="E19" i="12"/>
  <c r="D19" i="12"/>
  <c r="C19" i="12"/>
  <c r="B19" i="12"/>
  <c r="P18" i="12"/>
  <c r="O18" i="12"/>
  <c r="N18" i="12"/>
  <c r="M18" i="12"/>
  <c r="L18" i="12"/>
  <c r="K18" i="12"/>
  <c r="J18" i="12"/>
  <c r="I18" i="12"/>
  <c r="H18" i="12"/>
  <c r="G18" i="12"/>
  <c r="F18" i="12"/>
  <c r="E18" i="12"/>
  <c r="D18" i="12"/>
  <c r="C18" i="12"/>
  <c r="B18" i="12"/>
  <c r="P17" i="12"/>
  <c r="O17" i="12"/>
  <c r="N17" i="12"/>
  <c r="M17" i="12"/>
  <c r="L17" i="12"/>
  <c r="K17" i="12"/>
  <c r="J17" i="12"/>
  <c r="I17" i="12"/>
  <c r="H17" i="12"/>
  <c r="G17" i="12"/>
  <c r="F17" i="12"/>
  <c r="E17" i="12"/>
  <c r="D17" i="12"/>
  <c r="C17" i="12"/>
  <c r="B17" i="12"/>
  <c r="P16" i="12"/>
  <c r="O16" i="12"/>
  <c r="N16" i="12"/>
  <c r="M16" i="12"/>
  <c r="L16" i="12"/>
  <c r="K16" i="12"/>
  <c r="J16" i="12"/>
  <c r="I16" i="12"/>
  <c r="H16" i="12"/>
  <c r="G16" i="12"/>
  <c r="F16" i="12"/>
  <c r="E16" i="12"/>
  <c r="D16" i="12"/>
  <c r="C16" i="12"/>
  <c r="B16" i="12"/>
  <c r="P15" i="12"/>
  <c r="O15" i="12"/>
  <c r="N15" i="12"/>
  <c r="M15" i="12"/>
  <c r="L15" i="12"/>
  <c r="K15" i="12"/>
  <c r="J15" i="12"/>
  <c r="I15" i="12"/>
  <c r="H15" i="12"/>
  <c r="G15" i="12"/>
  <c r="F15" i="12"/>
  <c r="E15" i="12"/>
  <c r="D15" i="12"/>
  <c r="C15" i="12"/>
  <c r="B15" i="12"/>
  <c r="P28" i="11"/>
  <c r="O28" i="11"/>
  <c r="N28" i="11"/>
  <c r="M28" i="11"/>
  <c r="L28" i="11"/>
  <c r="K28" i="11"/>
  <c r="J28" i="11"/>
  <c r="I28" i="11"/>
  <c r="H28" i="11"/>
  <c r="G28" i="11"/>
  <c r="F28" i="11"/>
  <c r="E28" i="11"/>
  <c r="D28" i="11"/>
  <c r="C28" i="11"/>
  <c r="B28" i="11"/>
  <c r="P27" i="11"/>
  <c r="O27" i="11"/>
  <c r="N27" i="11"/>
  <c r="M27" i="11"/>
  <c r="L27" i="11"/>
  <c r="K27" i="11"/>
  <c r="J27" i="11"/>
  <c r="I27" i="11"/>
  <c r="H27" i="11"/>
  <c r="G27" i="11"/>
  <c r="F27" i="11"/>
  <c r="E27" i="11"/>
  <c r="D27" i="11"/>
  <c r="C27" i="11"/>
  <c r="B27" i="11"/>
  <c r="P26" i="11"/>
  <c r="O26" i="11"/>
  <c r="N26" i="11"/>
  <c r="M26" i="11"/>
  <c r="L26" i="11"/>
  <c r="K26" i="11"/>
  <c r="J26" i="11"/>
  <c r="I26" i="11"/>
  <c r="H26" i="11"/>
  <c r="G26" i="11"/>
  <c r="F26" i="11"/>
  <c r="E26" i="11"/>
  <c r="D26" i="11"/>
  <c r="C26" i="11"/>
  <c r="B26" i="11"/>
  <c r="P25" i="11"/>
  <c r="O25" i="11"/>
  <c r="N25" i="11"/>
  <c r="M25" i="11"/>
  <c r="L25" i="11"/>
  <c r="K25" i="11"/>
  <c r="J25" i="11"/>
  <c r="I25" i="11"/>
  <c r="H25" i="11"/>
  <c r="G25" i="11"/>
  <c r="F25" i="11"/>
  <c r="E25" i="11"/>
  <c r="D25" i="11"/>
  <c r="C25" i="11"/>
  <c r="B25" i="11"/>
  <c r="P24" i="11"/>
  <c r="O24" i="11"/>
  <c r="N24" i="11"/>
  <c r="M24" i="11"/>
  <c r="L24" i="11"/>
  <c r="K24" i="11"/>
  <c r="J24" i="11"/>
  <c r="I24" i="11"/>
  <c r="H24" i="11"/>
  <c r="G24" i="11"/>
  <c r="F24" i="11"/>
  <c r="E24" i="11"/>
  <c r="D24" i="11"/>
  <c r="C24" i="11"/>
  <c r="B24" i="11"/>
  <c r="P23" i="11"/>
  <c r="O23" i="11"/>
  <c r="N23" i="11"/>
  <c r="M23" i="11"/>
  <c r="L23" i="11"/>
  <c r="K23" i="11"/>
  <c r="J23" i="11"/>
  <c r="I23" i="11"/>
  <c r="H23" i="11"/>
  <c r="G23" i="11"/>
  <c r="F23" i="11"/>
  <c r="E23" i="11"/>
  <c r="D23" i="11"/>
  <c r="C23" i="11"/>
  <c r="B23" i="11"/>
  <c r="P22" i="11"/>
  <c r="O22" i="11"/>
  <c r="N22" i="11"/>
  <c r="M22" i="11"/>
  <c r="L22" i="11"/>
  <c r="K22" i="11"/>
  <c r="J22" i="11"/>
  <c r="I22" i="11"/>
  <c r="H22" i="11"/>
  <c r="G22" i="11"/>
  <c r="F22" i="11"/>
  <c r="E22" i="11"/>
  <c r="D22" i="11"/>
  <c r="C22" i="11"/>
  <c r="B22" i="11"/>
  <c r="P21" i="11"/>
  <c r="O21" i="11"/>
  <c r="N21" i="11"/>
  <c r="M21" i="11"/>
  <c r="L21" i="11"/>
  <c r="K21" i="11"/>
  <c r="J21" i="11"/>
  <c r="I21" i="11"/>
  <c r="H21" i="11"/>
  <c r="G21" i="11"/>
  <c r="F21" i="11"/>
  <c r="E21" i="11"/>
  <c r="D21" i="11"/>
  <c r="C21" i="11"/>
  <c r="B21" i="11"/>
  <c r="P20" i="11"/>
  <c r="O20" i="11"/>
  <c r="N20" i="11"/>
  <c r="M20" i="11"/>
  <c r="L20" i="11"/>
  <c r="K20" i="11"/>
  <c r="J20" i="11"/>
  <c r="I20" i="11"/>
  <c r="H20" i="11"/>
  <c r="G20" i="11"/>
  <c r="F20" i="11"/>
  <c r="E20" i="11"/>
  <c r="D20" i="11"/>
  <c r="C20" i="11"/>
  <c r="B20" i="11"/>
  <c r="P19" i="11"/>
  <c r="O19" i="11"/>
  <c r="N19" i="11"/>
  <c r="M19" i="11"/>
  <c r="L19" i="11"/>
  <c r="K19" i="11"/>
  <c r="J19" i="11"/>
  <c r="I19" i="11"/>
  <c r="H19" i="11"/>
  <c r="G19" i="11"/>
  <c r="F19" i="11"/>
  <c r="E19" i="11"/>
  <c r="D19" i="11"/>
  <c r="C19" i="11"/>
  <c r="B19" i="11"/>
  <c r="P18" i="11"/>
  <c r="O18" i="11"/>
  <c r="N18" i="11"/>
  <c r="M18" i="11"/>
  <c r="L18" i="11"/>
  <c r="K18" i="11"/>
  <c r="J18" i="11"/>
  <c r="I18" i="11"/>
  <c r="H18" i="11"/>
  <c r="G18" i="11"/>
  <c r="F18" i="11"/>
  <c r="E18" i="11"/>
  <c r="D18" i="11"/>
  <c r="C18" i="11"/>
  <c r="B18" i="11"/>
  <c r="P17" i="11"/>
  <c r="O17" i="11"/>
  <c r="N17" i="11"/>
  <c r="M17" i="11"/>
  <c r="L17" i="11"/>
  <c r="K17" i="11"/>
  <c r="J17" i="11"/>
  <c r="I17" i="11"/>
  <c r="H17" i="11"/>
  <c r="G17" i="11"/>
  <c r="F17" i="11"/>
  <c r="E17" i="11"/>
  <c r="D17" i="11"/>
  <c r="C17" i="11"/>
  <c r="B17" i="11"/>
  <c r="P16" i="11"/>
  <c r="O16" i="11"/>
  <c r="N16" i="11"/>
  <c r="M16" i="11"/>
  <c r="L16" i="11"/>
  <c r="K16" i="11"/>
  <c r="J16" i="11"/>
  <c r="I16" i="11"/>
  <c r="H16" i="11"/>
  <c r="G16" i="11"/>
  <c r="F16" i="11"/>
  <c r="E16" i="11"/>
  <c r="D16" i="11"/>
  <c r="C16" i="11"/>
  <c r="B16" i="11"/>
  <c r="P15" i="11"/>
  <c r="O15" i="11"/>
  <c r="N15" i="11"/>
  <c r="M15" i="11"/>
  <c r="L15" i="11"/>
  <c r="K15" i="11"/>
  <c r="J15" i="11"/>
  <c r="I15" i="11"/>
  <c r="H15" i="11"/>
  <c r="G15" i="11"/>
  <c r="F15" i="11"/>
  <c r="E15" i="11"/>
  <c r="D15" i="11"/>
  <c r="C15" i="11"/>
  <c r="B15" i="11"/>
  <c r="J14" i="12"/>
  <c r="H14" i="12"/>
  <c r="G14" i="12"/>
  <c r="E14" i="12"/>
  <c r="D14" i="12"/>
  <c r="B14" i="12"/>
  <c r="J13" i="12"/>
  <c r="H13" i="12"/>
  <c r="G13" i="12"/>
  <c r="E13" i="12"/>
  <c r="D13" i="12"/>
  <c r="B13" i="12"/>
  <c r="J12" i="12"/>
  <c r="H12" i="12"/>
  <c r="G12" i="12"/>
  <c r="E12" i="12"/>
  <c r="D12" i="12"/>
  <c r="B12" i="12"/>
  <c r="J11" i="12"/>
  <c r="H11" i="12"/>
  <c r="G11" i="12"/>
  <c r="E11" i="12"/>
  <c r="D11" i="12"/>
  <c r="B11" i="12"/>
  <c r="J10" i="12"/>
  <c r="H10" i="12"/>
  <c r="G10" i="12"/>
  <c r="E10" i="12"/>
  <c r="D10" i="12"/>
  <c r="B10" i="12"/>
  <c r="J9" i="12"/>
  <c r="H9" i="12"/>
  <c r="G9" i="12"/>
  <c r="E9" i="12"/>
  <c r="D9" i="12"/>
  <c r="B9" i="12"/>
  <c r="J8" i="12"/>
  <c r="H8" i="12"/>
  <c r="G8" i="12"/>
  <c r="E8" i="12"/>
  <c r="D8" i="12"/>
  <c r="B8" i="12"/>
  <c r="J7" i="12"/>
  <c r="H7" i="12"/>
  <c r="G7" i="12"/>
  <c r="E7" i="12"/>
  <c r="D7" i="12"/>
  <c r="B7" i="12"/>
  <c r="J6" i="12"/>
  <c r="H6" i="12"/>
  <c r="G6" i="12"/>
  <c r="E6" i="12"/>
  <c r="D6" i="12"/>
  <c r="B6" i="12"/>
  <c r="J5" i="12"/>
  <c r="H5" i="12"/>
  <c r="G5" i="12"/>
  <c r="E5" i="12"/>
  <c r="D5" i="12"/>
  <c r="B5" i="12"/>
  <c r="J14" i="11"/>
  <c r="H14" i="11"/>
  <c r="G14" i="11"/>
  <c r="E14" i="11"/>
  <c r="D14" i="11"/>
  <c r="B14" i="11"/>
  <c r="J13" i="11"/>
  <c r="H13" i="11"/>
  <c r="G13" i="11"/>
  <c r="E13" i="11"/>
  <c r="D13" i="11"/>
  <c r="B13" i="11"/>
  <c r="J12" i="11"/>
  <c r="H12" i="11"/>
  <c r="G12" i="11"/>
  <c r="E12" i="11"/>
  <c r="D12" i="11"/>
  <c r="B12" i="11"/>
  <c r="J11" i="11"/>
  <c r="H11" i="11"/>
  <c r="G11" i="11"/>
  <c r="E11" i="11"/>
  <c r="D11" i="11"/>
  <c r="B11" i="11"/>
  <c r="J10" i="11"/>
  <c r="H10" i="11"/>
  <c r="G10" i="11"/>
  <c r="E10" i="11"/>
  <c r="D10" i="11"/>
  <c r="B10" i="11"/>
  <c r="J9" i="11"/>
  <c r="H9" i="11"/>
  <c r="G9" i="11"/>
  <c r="E9" i="11"/>
  <c r="D9" i="11"/>
  <c r="B9" i="11"/>
  <c r="J8" i="11"/>
  <c r="H8" i="11"/>
  <c r="G8" i="11"/>
  <c r="E8" i="11"/>
  <c r="D8" i="11"/>
  <c r="B8" i="11"/>
  <c r="J7" i="11"/>
  <c r="H7" i="11"/>
  <c r="G7" i="11"/>
  <c r="E7" i="11"/>
  <c r="D7" i="11"/>
  <c r="B7" i="11"/>
  <c r="J6" i="11"/>
  <c r="H6" i="11"/>
  <c r="G6" i="11"/>
  <c r="E6" i="11"/>
  <c r="D6" i="11"/>
  <c r="B6" i="11"/>
  <c r="J5" i="11"/>
  <c r="H5" i="11"/>
  <c r="G5" i="11"/>
  <c r="E5" i="11"/>
  <c r="D5" i="11"/>
  <c r="B5" i="11"/>
  <c r="P28" i="10"/>
  <c r="O28" i="10"/>
  <c r="N28" i="10"/>
  <c r="M28" i="10"/>
  <c r="L28" i="10"/>
  <c r="K28" i="10"/>
  <c r="J28" i="10"/>
  <c r="I28" i="10"/>
  <c r="H28" i="10"/>
  <c r="G28" i="10"/>
  <c r="F28" i="10"/>
  <c r="E28" i="10"/>
  <c r="D28" i="10"/>
  <c r="P27" i="10"/>
  <c r="O27" i="10"/>
  <c r="N27" i="10"/>
  <c r="M27" i="10"/>
  <c r="L27" i="10"/>
  <c r="K27" i="10"/>
  <c r="J27" i="10"/>
  <c r="I27" i="10"/>
  <c r="H27" i="10"/>
  <c r="G27" i="10"/>
  <c r="F27" i="10"/>
  <c r="E27" i="10"/>
  <c r="D27" i="10"/>
  <c r="P26" i="10"/>
  <c r="O26" i="10"/>
  <c r="N26" i="10"/>
  <c r="M26" i="10"/>
  <c r="L26" i="10"/>
  <c r="K26" i="10"/>
  <c r="J26" i="10"/>
  <c r="I26" i="10"/>
  <c r="H26" i="10"/>
  <c r="G26" i="10"/>
  <c r="F26" i="10"/>
  <c r="E26" i="10"/>
  <c r="D26" i="10"/>
  <c r="P25" i="10"/>
  <c r="O25" i="10"/>
  <c r="N25" i="10"/>
  <c r="M25" i="10"/>
  <c r="L25" i="10"/>
  <c r="K25" i="10"/>
  <c r="J25" i="10"/>
  <c r="I25" i="10"/>
  <c r="H25" i="10"/>
  <c r="G25" i="10"/>
  <c r="F25" i="10"/>
  <c r="E25" i="10"/>
  <c r="D25" i="10"/>
  <c r="P24" i="10"/>
  <c r="O24" i="10"/>
  <c r="N24" i="10"/>
  <c r="M24" i="10"/>
  <c r="L24" i="10"/>
  <c r="K24" i="10"/>
  <c r="J24" i="10"/>
  <c r="I24" i="10"/>
  <c r="H24" i="10"/>
  <c r="G24" i="10"/>
  <c r="F24" i="10"/>
  <c r="E24" i="10"/>
  <c r="D24" i="10"/>
  <c r="P23" i="10"/>
  <c r="O23" i="10"/>
  <c r="N23" i="10"/>
  <c r="M23" i="10"/>
  <c r="L23" i="10"/>
  <c r="K23" i="10"/>
  <c r="J23" i="10"/>
  <c r="I23" i="10"/>
  <c r="H23" i="10"/>
  <c r="G23" i="10"/>
  <c r="F23" i="10"/>
  <c r="E23" i="10"/>
  <c r="D23" i="10"/>
  <c r="P22" i="10"/>
  <c r="O22" i="10"/>
  <c r="N22" i="10"/>
  <c r="M22" i="10"/>
  <c r="L22" i="10"/>
  <c r="K22" i="10"/>
  <c r="J22" i="10"/>
  <c r="I22" i="10"/>
  <c r="H22" i="10"/>
  <c r="G22" i="10"/>
  <c r="F22" i="10"/>
  <c r="E22" i="10"/>
  <c r="D22" i="10"/>
  <c r="P21" i="10"/>
  <c r="O21" i="10"/>
  <c r="N21" i="10"/>
  <c r="M21" i="10"/>
  <c r="L21" i="10"/>
  <c r="K21" i="10"/>
  <c r="J21" i="10"/>
  <c r="I21" i="10"/>
  <c r="H21" i="10"/>
  <c r="G21" i="10"/>
  <c r="F21" i="10"/>
  <c r="E21" i="10"/>
  <c r="D21" i="10"/>
  <c r="P20" i="10"/>
  <c r="O20" i="10"/>
  <c r="N20" i="10"/>
  <c r="M20" i="10"/>
  <c r="L20" i="10"/>
  <c r="K20" i="10"/>
  <c r="J20" i="10"/>
  <c r="I20" i="10"/>
  <c r="H20" i="10"/>
  <c r="G20" i="10"/>
  <c r="F20" i="10"/>
  <c r="E20" i="10"/>
  <c r="D20" i="10"/>
  <c r="P19" i="10"/>
  <c r="O19" i="10"/>
  <c r="N19" i="10"/>
  <c r="M19" i="10"/>
  <c r="L19" i="10"/>
  <c r="K19" i="10"/>
  <c r="J19" i="10"/>
  <c r="I19" i="10"/>
  <c r="H19" i="10"/>
  <c r="G19" i="10"/>
  <c r="F19" i="10"/>
  <c r="E19" i="10"/>
  <c r="D19" i="10"/>
  <c r="P18" i="10"/>
  <c r="O18" i="10"/>
  <c r="N18" i="10"/>
  <c r="M18" i="10"/>
  <c r="L18" i="10"/>
  <c r="K18" i="10"/>
  <c r="J18" i="10"/>
  <c r="I18" i="10"/>
  <c r="H18" i="10"/>
  <c r="G18" i="10"/>
  <c r="F18" i="10"/>
  <c r="E18" i="10"/>
  <c r="D18" i="10"/>
  <c r="P17" i="10"/>
  <c r="O17" i="10"/>
  <c r="N17" i="10"/>
  <c r="M17" i="10"/>
  <c r="L17" i="10"/>
  <c r="K17" i="10"/>
  <c r="J17" i="10"/>
  <c r="I17" i="10"/>
  <c r="H17" i="10"/>
  <c r="G17" i="10"/>
  <c r="F17" i="10"/>
  <c r="E17" i="10"/>
  <c r="D17" i="10"/>
  <c r="P16" i="10"/>
  <c r="O16" i="10"/>
  <c r="N16" i="10"/>
  <c r="M16" i="10"/>
  <c r="L16" i="10"/>
  <c r="K16" i="10"/>
  <c r="J16" i="10"/>
  <c r="I16" i="10"/>
  <c r="H16" i="10"/>
  <c r="G16" i="10"/>
  <c r="F16" i="10"/>
  <c r="E16" i="10"/>
  <c r="D16" i="10"/>
  <c r="P15" i="10"/>
  <c r="O15" i="10"/>
  <c r="N15" i="10"/>
  <c r="M15" i="10"/>
  <c r="L15" i="10"/>
  <c r="K15" i="10"/>
  <c r="J15" i="10"/>
  <c r="I15" i="10"/>
  <c r="H15" i="10"/>
  <c r="G15" i="10"/>
  <c r="F15" i="10"/>
  <c r="E15" i="10"/>
  <c r="D15" i="10"/>
  <c r="C16" i="10"/>
  <c r="C17" i="10"/>
  <c r="C18" i="10"/>
  <c r="C19" i="10"/>
  <c r="C20" i="10"/>
  <c r="C21" i="10"/>
  <c r="C22" i="10"/>
  <c r="C23" i="10"/>
  <c r="C24" i="10"/>
  <c r="C25" i="10"/>
  <c r="C26" i="10"/>
  <c r="C27" i="10"/>
  <c r="C28" i="10"/>
  <c r="C15" i="10"/>
  <c r="B16" i="10"/>
  <c r="B17" i="10"/>
  <c r="B18" i="10"/>
  <c r="B19" i="10"/>
  <c r="B20" i="10"/>
  <c r="B21" i="10"/>
  <c r="B22" i="10"/>
  <c r="B23" i="10"/>
  <c r="B24" i="10"/>
  <c r="B25" i="10"/>
  <c r="B26" i="10"/>
  <c r="B27" i="10"/>
  <c r="B28" i="10"/>
  <c r="B15" i="10"/>
  <c r="O14" i="62"/>
  <c r="O13" i="62"/>
  <c r="O12" i="62"/>
  <c r="O11" i="62"/>
  <c r="O10" i="62"/>
  <c r="O9" i="62"/>
  <c r="O8" i="62"/>
  <c r="O7" i="62"/>
  <c r="O6" i="62"/>
  <c r="O5" i="62"/>
  <c r="L14" i="62"/>
  <c r="L13" i="62"/>
  <c r="L12" i="62"/>
  <c r="L11" i="62"/>
  <c r="L10" i="62"/>
  <c r="L9" i="62"/>
  <c r="L8" i="62"/>
  <c r="L7" i="62"/>
  <c r="L6" i="62"/>
  <c r="L5" i="62"/>
  <c r="I14" i="62"/>
  <c r="R14" i="62" s="1"/>
  <c r="I13" i="62"/>
  <c r="I12" i="62"/>
  <c r="I11" i="62"/>
  <c r="I10" i="62"/>
  <c r="I9" i="62"/>
  <c r="I8" i="62"/>
  <c r="I7" i="62"/>
  <c r="I6" i="62"/>
  <c r="Z6" i="62" s="1"/>
  <c r="I5" i="62"/>
  <c r="F14" i="62"/>
  <c r="F13" i="62"/>
  <c r="F12" i="62"/>
  <c r="F11" i="62"/>
  <c r="F10" i="62"/>
  <c r="R10" i="62" s="1"/>
  <c r="F9" i="62"/>
  <c r="F8" i="62"/>
  <c r="V8" i="62" s="1"/>
  <c r="F7" i="62"/>
  <c r="V7" i="62" s="1"/>
  <c r="F6" i="62"/>
  <c r="F5" i="62"/>
  <c r="C6" i="62"/>
  <c r="C7" i="62"/>
  <c r="C8" i="62"/>
  <c r="C9" i="62"/>
  <c r="C10" i="62"/>
  <c r="C11" i="62"/>
  <c r="C12" i="62"/>
  <c r="V12" i="62" s="1"/>
  <c r="C13" i="62"/>
  <c r="V13" i="62" s="1"/>
  <c r="C14" i="62"/>
  <c r="C5" i="62"/>
  <c r="V5" i="62"/>
  <c r="P28" i="62"/>
  <c r="O28" i="62"/>
  <c r="N28" i="62"/>
  <c r="P27" i="62"/>
  <c r="O27" i="62"/>
  <c r="N27" i="62"/>
  <c r="Y27" i="62" s="1"/>
  <c r="P26" i="62"/>
  <c r="T26" i="62" s="1"/>
  <c r="O26" i="62"/>
  <c r="N26" i="62"/>
  <c r="P25" i="62"/>
  <c r="O25" i="62"/>
  <c r="N25" i="62"/>
  <c r="P24" i="62"/>
  <c r="O24" i="62"/>
  <c r="AA24" i="62" s="1"/>
  <c r="N24" i="62"/>
  <c r="P23" i="62"/>
  <c r="O23" i="62"/>
  <c r="N23" i="62"/>
  <c r="P22" i="62"/>
  <c r="O22" i="62"/>
  <c r="N22" i="62"/>
  <c r="P21" i="62"/>
  <c r="T21" i="62" s="1"/>
  <c r="O21" i="62"/>
  <c r="N21" i="62"/>
  <c r="P20" i="62"/>
  <c r="O20" i="62"/>
  <c r="N20" i="62"/>
  <c r="P19" i="62"/>
  <c r="O19" i="62"/>
  <c r="N19" i="62"/>
  <c r="Q19" i="62" s="1"/>
  <c r="P18" i="62"/>
  <c r="O18" i="62"/>
  <c r="N18" i="62"/>
  <c r="P17" i="62"/>
  <c r="O17" i="62"/>
  <c r="N17" i="62"/>
  <c r="P16" i="62"/>
  <c r="O16" i="62"/>
  <c r="Y16" i="62" s="1"/>
  <c r="N16" i="62"/>
  <c r="P15" i="62"/>
  <c r="O15" i="62"/>
  <c r="N15" i="62"/>
  <c r="M28" i="62"/>
  <c r="L28" i="62"/>
  <c r="K28" i="62"/>
  <c r="M27" i="62"/>
  <c r="L27" i="62"/>
  <c r="K27" i="62"/>
  <c r="M26" i="62"/>
  <c r="L26" i="62"/>
  <c r="S26" i="62" s="1"/>
  <c r="K26" i="62"/>
  <c r="M25" i="62"/>
  <c r="AB25" i="62" s="1"/>
  <c r="L25" i="62"/>
  <c r="K25" i="62"/>
  <c r="M24" i="62"/>
  <c r="L24" i="62"/>
  <c r="K24" i="62"/>
  <c r="M23" i="62"/>
  <c r="L23" i="62"/>
  <c r="K23" i="62"/>
  <c r="Y23" i="62" s="1"/>
  <c r="M22" i="62"/>
  <c r="L22" i="62"/>
  <c r="K22" i="62"/>
  <c r="M21" i="62"/>
  <c r="L21" i="62"/>
  <c r="K21" i="62"/>
  <c r="Q21" i="62" s="1"/>
  <c r="M20" i="62"/>
  <c r="L20" i="62"/>
  <c r="AA20" i="62" s="1"/>
  <c r="K20" i="62"/>
  <c r="M19" i="62"/>
  <c r="L19" i="62"/>
  <c r="K19" i="62"/>
  <c r="M18" i="62"/>
  <c r="L18" i="62"/>
  <c r="S18" i="62" s="1"/>
  <c r="K18" i="62"/>
  <c r="Y18" i="62" s="1"/>
  <c r="M17" i="62"/>
  <c r="L17" i="62"/>
  <c r="K17" i="62"/>
  <c r="M16" i="62"/>
  <c r="L16" i="62"/>
  <c r="K16" i="62"/>
  <c r="M15" i="62"/>
  <c r="L15" i="62"/>
  <c r="AA15" i="62" s="1"/>
  <c r="K15" i="62"/>
  <c r="J28" i="62"/>
  <c r="I28" i="62"/>
  <c r="H28" i="62"/>
  <c r="J27" i="62"/>
  <c r="I27" i="62"/>
  <c r="H27" i="62"/>
  <c r="J26" i="62"/>
  <c r="I26" i="62"/>
  <c r="H26" i="62"/>
  <c r="J25" i="62"/>
  <c r="I25" i="62"/>
  <c r="AA25" i="62" s="1"/>
  <c r="H25" i="62"/>
  <c r="J24" i="62"/>
  <c r="I24" i="62"/>
  <c r="H24" i="62"/>
  <c r="J23" i="62"/>
  <c r="I23" i="62"/>
  <c r="H23" i="62"/>
  <c r="J22" i="62"/>
  <c r="AB22" i="62" s="1"/>
  <c r="I22" i="62"/>
  <c r="H22" i="62"/>
  <c r="J21" i="62"/>
  <c r="I21" i="62"/>
  <c r="H21" i="62"/>
  <c r="J20" i="62"/>
  <c r="I20" i="62"/>
  <c r="H20" i="62"/>
  <c r="Y20" i="62" s="1"/>
  <c r="J19" i="62"/>
  <c r="I19" i="62"/>
  <c r="H19" i="62"/>
  <c r="J18" i="62"/>
  <c r="I18" i="62"/>
  <c r="H18" i="62"/>
  <c r="J17" i="62"/>
  <c r="I17" i="62"/>
  <c r="S17" i="62" s="1"/>
  <c r="H17" i="62"/>
  <c r="J16" i="62"/>
  <c r="I16" i="62"/>
  <c r="H16" i="62"/>
  <c r="J15" i="62"/>
  <c r="I15" i="62"/>
  <c r="H15" i="62"/>
  <c r="G28" i="62"/>
  <c r="F28" i="62"/>
  <c r="E28" i="62"/>
  <c r="G27" i="62"/>
  <c r="F27" i="62"/>
  <c r="E27" i="62"/>
  <c r="G26" i="62"/>
  <c r="X26" i="62" s="1"/>
  <c r="F26" i="62"/>
  <c r="E26" i="62"/>
  <c r="U26" i="62" s="1"/>
  <c r="G25" i="62"/>
  <c r="F25" i="62"/>
  <c r="W25" i="62" s="1"/>
  <c r="E25" i="62"/>
  <c r="G24" i="62"/>
  <c r="F24" i="62"/>
  <c r="E24" i="62"/>
  <c r="U24" i="62" s="1"/>
  <c r="G23" i="62"/>
  <c r="F23" i="62"/>
  <c r="E23" i="62"/>
  <c r="G22" i="62"/>
  <c r="F22" i="62"/>
  <c r="E22" i="62"/>
  <c r="G21" i="62"/>
  <c r="F21" i="62"/>
  <c r="E21" i="62"/>
  <c r="G20" i="62"/>
  <c r="X20" i="62" s="1"/>
  <c r="F20" i="62"/>
  <c r="E20" i="62"/>
  <c r="U20" i="62" s="1"/>
  <c r="G19" i="62"/>
  <c r="F19" i="62"/>
  <c r="E19" i="62"/>
  <c r="G18" i="62"/>
  <c r="X18" i="62" s="1"/>
  <c r="F18" i="62"/>
  <c r="E18" i="62"/>
  <c r="U18" i="62" s="1"/>
  <c r="G17" i="62"/>
  <c r="F17" i="62"/>
  <c r="W17" i="62" s="1"/>
  <c r="E17" i="62"/>
  <c r="G16" i="62"/>
  <c r="F16" i="62"/>
  <c r="E16" i="62"/>
  <c r="U16" i="62" s="1"/>
  <c r="G15" i="62"/>
  <c r="F15" i="62"/>
  <c r="W15" i="62" s="1"/>
  <c r="E15" i="62"/>
  <c r="D16" i="62"/>
  <c r="D17" i="62"/>
  <c r="D18" i="62"/>
  <c r="D19" i="62"/>
  <c r="D20" i="62"/>
  <c r="D21" i="62"/>
  <c r="D22" i="62"/>
  <c r="T22" i="62" s="1"/>
  <c r="D23" i="62"/>
  <c r="X23" i="62" s="1"/>
  <c r="D24" i="62"/>
  <c r="D25" i="62"/>
  <c r="D26" i="62"/>
  <c r="D27" i="62"/>
  <c r="D28" i="62"/>
  <c r="D15" i="62"/>
  <c r="C15" i="62"/>
  <c r="C17" i="62"/>
  <c r="C16" i="62"/>
  <c r="C18" i="62"/>
  <c r="C19" i="62"/>
  <c r="C20" i="62"/>
  <c r="C21" i="62"/>
  <c r="C22" i="62"/>
  <c r="W22" i="62" s="1"/>
  <c r="C23" i="62"/>
  <c r="C24" i="62"/>
  <c r="C25" i="62"/>
  <c r="C26" i="62"/>
  <c r="C27" i="62"/>
  <c r="C28" i="62"/>
  <c r="W28" i="62" s="1"/>
  <c r="B15" i="62"/>
  <c r="B16" i="62"/>
  <c r="B17" i="62"/>
  <c r="B18" i="62"/>
  <c r="B19" i="62"/>
  <c r="B20" i="62"/>
  <c r="B21" i="62"/>
  <c r="B22" i="62"/>
  <c r="U22" i="62" s="1"/>
  <c r="B23" i="62"/>
  <c r="U23" i="62" s="1"/>
  <c r="B24" i="62"/>
  <c r="B25" i="62"/>
  <c r="B26" i="62"/>
  <c r="B27" i="62"/>
  <c r="B28" i="62"/>
  <c r="AB28" i="62"/>
  <c r="AA28" i="62"/>
  <c r="Y28" i="62"/>
  <c r="X28" i="62"/>
  <c r="Q28" i="62"/>
  <c r="AB27" i="62"/>
  <c r="AA27" i="62"/>
  <c r="X27" i="62"/>
  <c r="W27" i="62"/>
  <c r="U27" i="62"/>
  <c r="T27" i="62"/>
  <c r="S27" i="62"/>
  <c r="Y26" i="62"/>
  <c r="W26" i="62"/>
  <c r="Y25" i="62"/>
  <c r="X25" i="62"/>
  <c r="U25" i="62"/>
  <c r="T25" i="62"/>
  <c r="Q25" i="62"/>
  <c r="AB24" i="62"/>
  <c r="X24" i="62"/>
  <c r="W24" i="62"/>
  <c r="T24" i="62"/>
  <c r="S24" i="62"/>
  <c r="Q24" i="62"/>
  <c r="AB23" i="62"/>
  <c r="AA23" i="62"/>
  <c r="W23" i="62"/>
  <c r="AA22" i="62"/>
  <c r="Y22" i="62"/>
  <c r="Y21" i="62"/>
  <c r="X21" i="62"/>
  <c r="U21" i="62"/>
  <c r="W20" i="62"/>
  <c r="AB19" i="62"/>
  <c r="AA19" i="62"/>
  <c r="X19" i="62"/>
  <c r="W19" i="62"/>
  <c r="U19" i="62"/>
  <c r="T19" i="62"/>
  <c r="S19" i="62"/>
  <c r="AB18" i="62"/>
  <c r="AA18" i="62"/>
  <c r="W18" i="62"/>
  <c r="T18" i="62"/>
  <c r="AB17" i="62"/>
  <c r="AA17" i="62"/>
  <c r="Y17" i="62"/>
  <c r="X17" i="62"/>
  <c r="U17" i="62"/>
  <c r="T17" i="62"/>
  <c r="Q17" i="62"/>
  <c r="AB16" i="62"/>
  <c r="X16" i="62"/>
  <c r="W16" i="62"/>
  <c r="Z14" i="62"/>
  <c r="AA14" i="62" s="1"/>
  <c r="V14" i="62"/>
  <c r="X14" i="62" s="1"/>
  <c r="Z13" i="62"/>
  <c r="R13" i="62"/>
  <c r="Z12" i="62"/>
  <c r="Z11" i="62"/>
  <c r="V11" i="62"/>
  <c r="R11" i="62"/>
  <c r="Z10" i="62"/>
  <c r="V10" i="62"/>
  <c r="Z9" i="62"/>
  <c r="V9" i="62"/>
  <c r="R9" i="62"/>
  <c r="V6" i="62"/>
  <c r="Z5" i="62"/>
  <c r="I12" i="57"/>
  <c r="I13" i="57"/>
  <c r="I14" i="57"/>
  <c r="I15" i="57"/>
  <c r="I16" i="57"/>
  <c r="I17" i="57"/>
  <c r="I18" i="57"/>
  <c r="I19" i="57"/>
  <c r="I20" i="57"/>
  <c r="I21" i="57"/>
  <c r="I22" i="57"/>
  <c r="I23" i="57"/>
  <c r="I24" i="57"/>
  <c r="I25" i="57"/>
  <c r="I26" i="57"/>
  <c r="I27" i="57"/>
  <c r="I28" i="57"/>
  <c r="I29" i="57"/>
  <c r="I30" i="57"/>
  <c r="I31" i="57"/>
  <c r="I32" i="57"/>
  <c r="I33" i="57"/>
  <c r="I34" i="57"/>
  <c r="I35" i="57"/>
  <c r="I36" i="57"/>
  <c r="I37" i="57"/>
  <c r="I38" i="57"/>
  <c r="I39" i="57"/>
  <c r="I40" i="57"/>
  <c r="I41" i="57"/>
  <c r="I42" i="57"/>
  <c r="I43" i="57"/>
  <c r="I44" i="57"/>
  <c r="I45" i="57"/>
  <c r="I46" i="57"/>
  <c r="I47" i="57"/>
  <c r="I48" i="57"/>
  <c r="I49" i="57"/>
  <c r="I50" i="57"/>
  <c r="I51" i="57"/>
  <c r="I52" i="57"/>
  <c r="I53" i="57"/>
  <c r="I54" i="57"/>
  <c r="I55" i="57"/>
  <c r="I56" i="57"/>
  <c r="I57" i="57"/>
  <c r="I58" i="57"/>
  <c r="I59" i="57"/>
  <c r="I60" i="57"/>
  <c r="I61" i="57"/>
  <c r="I62" i="57"/>
  <c r="I63" i="57"/>
  <c r="I64" i="57"/>
  <c r="I65" i="57"/>
  <c r="I66" i="57"/>
  <c r="I67" i="57"/>
  <c r="I68" i="57"/>
  <c r="I69" i="57"/>
  <c r="I70" i="57"/>
  <c r="I71" i="57"/>
  <c r="I72" i="57"/>
  <c r="I73" i="57"/>
  <c r="I74" i="57"/>
  <c r="I75" i="57"/>
  <c r="I76" i="57"/>
  <c r="I77" i="57"/>
  <c r="I78" i="57"/>
  <c r="I79" i="57"/>
  <c r="I80" i="57"/>
  <c r="I81" i="57"/>
  <c r="I82" i="57"/>
  <c r="I83" i="57"/>
  <c r="I84" i="57"/>
  <c r="I85" i="57"/>
  <c r="I86" i="57"/>
  <c r="I87" i="57"/>
  <c r="I88" i="57"/>
  <c r="I89" i="57"/>
  <c r="I90" i="57"/>
  <c r="I91" i="57"/>
  <c r="I92" i="57"/>
  <c r="I93" i="57"/>
  <c r="I94" i="57"/>
  <c r="I95" i="57"/>
  <c r="I96" i="57"/>
  <c r="I97" i="57"/>
  <c r="I98" i="57"/>
  <c r="I99" i="57"/>
  <c r="I100" i="57"/>
  <c r="I101" i="57"/>
  <c r="I102" i="57"/>
  <c r="I103" i="57"/>
  <c r="I104" i="57"/>
  <c r="I105" i="57"/>
  <c r="I106" i="57"/>
  <c r="I107" i="57"/>
  <c r="I108" i="57"/>
  <c r="I109" i="57"/>
  <c r="I110" i="57"/>
  <c r="I111" i="57"/>
  <c r="I112" i="57"/>
  <c r="I113" i="57"/>
  <c r="I114" i="57"/>
  <c r="I115" i="57"/>
  <c r="I116" i="57"/>
  <c r="I117" i="57"/>
  <c r="I118" i="57"/>
  <c r="I119" i="57"/>
  <c r="I120" i="57"/>
  <c r="I121" i="57"/>
  <c r="I122" i="57"/>
  <c r="I123" i="57"/>
  <c r="I124" i="57"/>
  <c r="I125" i="57"/>
  <c r="I126" i="57"/>
  <c r="I127" i="57"/>
  <c r="I128" i="57"/>
  <c r="I129" i="57"/>
  <c r="I130" i="57"/>
  <c r="I131" i="57"/>
  <c r="I132" i="57"/>
  <c r="I133" i="57"/>
  <c r="I134" i="57"/>
  <c r="I135" i="57"/>
  <c r="I136" i="57"/>
  <c r="I137" i="57"/>
  <c r="I138" i="57"/>
  <c r="I139" i="57"/>
  <c r="I140" i="57"/>
  <c r="I141" i="57"/>
  <c r="I142" i="57"/>
  <c r="I143" i="57"/>
  <c r="I144" i="57"/>
  <c r="I145" i="57"/>
  <c r="I146" i="57"/>
  <c r="I147" i="57"/>
  <c r="I148" i="57"/>
  <c r="I149" i="57"/>
  <c r="I150" i="57"/>
  <c r="I151" i="57"/>
  <c r="I152" i="57"/>
  <c r="I153" i="57"/>
  <c r="I154" i="57"/>
  <c r="I155" i="57"/>
  <c r="I156" i="57"/>
  <c r="I157" i="57"/>
  <c r="I158" i="57"/>
  <c r="I159" i="57"/>
  <c r="I160" i="57"/>
  <c r="I161" i="57"/>
  <c r="I162" i="57"/>
  <c r="I163" i="57"/>
  <c r="I164" i="57"/>
  <c r="I165" i="57"/>
  <c r="I166" i="57"/>
  <c r="I167" i="57"/>
  <c r="I168" i="57"/>
  <c r="I169" i="57"/>
  <c r="I170" i="57"/>
  <c r="I171" i="57"/>
  <c r="I172" i="57"/>
  <c r="I173" i="57"/>
  <c r="I174" i="57"/>
  <c r="I175" i="57"/>
  <c r="I176" i="57"/>
  <c r="I177" i="57"/>
  <c r="I178" i="57"/>
  <c r="I179" i="57"/>
  <c r="I180" i="57"/>
  <c r="I181" i="57"/>
  <c r="I11" i="57"/>
  <c r="H2" i="57"/>
  <c r="H3" i="57"/>
  <c r="H4" i="57"/>
  <c r="H5" i="57"/>
  <c r="H6" i="57"/>
  <c r="H7" i="57"/>
  <c r="H8" i="57"/>
  <c r="H9" i="57"/>
  <c r="H10" i="57"/>
  <c r="H11" i="57"/>
  <c r="H12" i="57"/>
  <c r="H13" i="57"/>
  <c r="H14" i="57"/>
  <c r="H15" i="57"/>
  <c r="H16" i="57"/>
  <c r="H17" i="57"/>
  <c r="H18" i="57"/>
  <c r="H19" i="57"/>
  <c r="H20" i="57"/>
  <c r="H21" i="57"/>
  <c r="H22" i="57"/>
  <c r="H23" i="57"/>
  <c r="H24" i="57"/>
  <c r="H25" i="57"/>
  <c r="H26" i="57"/>
  <c r="H27" i="57"/>
  <c r="H28" i="57"/>
  <c r="H29" i="57"/>
  <c r="H30" i="57"/>
  <c r="H31" i="57"/>
  <c r="H32" i="57"/>
  <c r="H33" i="57"/>
  <c r="H34" i="57"/>
  <c r="H35" i="57"/>
  <c r="H36" i="57"/>
  <c r="H37" i="57"/>
  <c r="H38" i="57"/>
  <c r="H39" i="57"/>
  <c r="H40" i="57"/>
  <c r="H41" i="57"/>
  <c r="H42" i="57"/>
  <c r="H43" i="57"/>
  <c r="H44" i="57"/>
  <c r="H45" i="57"/>
  <c r="H46" i="57"/>
  <c r="H47" i="57"/>
  <c r="H48" i="57"/>
  <c r="H49" i="57"/>
  <c r="H50" i="57"/>
  <c r="H51" i="57"/>
  <c r="H52" i="57"/>
  <c r="H53" i="57"/>
  <c r="H54" i="57"/>
  <c r="H55" i="57"/>
  <c r="H56" i="57"/>
  <c r="H57" i="57"/>
  <c r="H58" i="57"/>
  <c r="H59" i="57"/>
  <c r="H60" i="57"/>
  <c r="H61" i="57"/>
  <c r="H62" i="57"/>
  <c r="H63" i="57"/>
  <c r="H64" i="57"/>
  <c r="H65" i="57"/>
  <c r="H66" i="57"/>
  <c r="H67" i="57"/>
  <c r="H68" i="57"/>
  <c r="H69" i="57"/>
  <c r="H70" i="57"/>
  <c r="H71" i="57"/>
  <c r="H72" i="57"/>
  <c r="H73" i="57"/>
  <c r="H74" i="57"/>
  <c r="H75" i="57"/>
  <c r="H76" i="57"/>
  <c r="H77" i="57"/>
  <c r="H78" i="57"/>
  <c r="H79" i="57"/>
  <c r="H80" i="57"/>
  <c r="H81" i="57"/>
  <c r="H82" i="57"/>
  <c r="H83" i="57"/>
  <c r="H84" i="57"/>
  <c r="H85" i="57"/>
  <c r="H86" i="57"/>
  <c r="H87" i="57"/>
  <c r="H88" i="57"/>
  <c r="H89" i="57"/>
  <c r="H90" i="57"/>
  <c r="H91" i="57"/>
  <c r="H92" i="57"/>
  <c r="H93" i="57"/>
  <c r="H94" i="57"/>
  <c r="H95" i="57"/>
  <c r="H96" i="57"/>
  <c r="H97" i="57"/>
  <c r="H98" i="57"/>
  <c r="H99" i="57"/>
  <c r="H100" i="57"/>
  <c r="H101" i="57"/>
  <c r="H102" i="57"/>
  <c r="H103" i="57"/>
  <c r="H104" i="57"/>
  <c r="H105" i="57"/>
  <c r="H106" i="57"/>
  <c r="H107" i="57"/>
  <c r="H108" i="57"/>
  <c r="H109" i="57"/>
  <c r="H110" i="57"/>
  <c r="H111" i="57"/>
  <c r="H112" i="57"/>
  <c r="H113" i="57"/>
  <c r="H114" i="57"/>
  <c r="H115" i="57"/>
  <c r="H116" i="57"/>
  <c r="H117" i="57"/>
  <c r="H118" i="57"/>
  <c r="H119" i="57"/>
  <c r="H120" i="57"/>
  <c r="H121" i="57"/>
  <c r="H122" i="57"/>
  <c r="H123" i="57"/>
  <c r="H124" i="57"/>
  <c r="H125" i="57"/>
  <c r="H126" i="57"/>
  <c r="H127" i="57"/>
  <c r="H128" i="57"/>
  <c r="H129" i="57"/>
  <c r="H130" i="57"/>
  <c r="H131" i="57"/>
  <c r="H132" i="57"/>
  <c r="H133" i="57"/>
  <c r="H134" i="57"/>
  <c r="H135" i="57"/>
  <c r="H136" i="57"/>
  <c r="H137" i="57"/>
  <c r="H138" i="57"/>
  <c r="H139" i="57"/>
  <c r="H140" i="57"/>
  <c r="H141" i="57"/>
  <c r="H142" i="57"/>
  <c r="H143" i="57"/>
  <c r="H144" i="57"/>
  <c r="H145" i="57"/>
  <c r="H146" i="57"/>
  <c r="H147" i="57"/>
  <c r="H148" i="57"/>
  <c r="H149" i="57"/>
  <c r="H150" i="57"/>
  <c r="H151" i="57"/>
  <c r="H152" i="57"/>
  <c r="H153" i="57"/>
  <c r="H154" i="57"/>
  <c r="H155" i="57"/>
  <c r="H156" i="57"/>
  <c r="H157" i="57"/>
  <c r="H158" i="57"/>
  <c r="H159" i="57"/>
  <c r="H160" i="57"/>
  <c r="H161" i="57"/>
  <c r="H162" i="57"/>
  <c r="H163" i="57"/>
  <c r="H164" i="57"/>
  <c r="H165" i="57"/>
  <c r="H166" i="57"/>
  <c r="H167" i="57"/>
  <c r="H168" i="57"/>
  <c r="H169" i="57"/>
  <c r="H170" i="57"/>
  <c r="H171" i="57"/>
  <c r="H172" i="57"/>
  <c r="H173" i="57"/>
  <c r="H174" i="57"/>
  <c r="H175" i="57"/>
  <c r="H176" i="57"/>
  <c r="H177" i="57"/>
  <c r="H178" i="57"/>
  <c r="H179" i="57"/>
  <c r="H180" i="57"/>
  <c r="H181" i="57"/>
  <c r="G91" i="57"/>
  <c r="G101" i="57"/>
  <c r="G181" i="57"/>
  <c r="G171" i="57"/>
  <c r="G161" i="57"/>
  <c r="G151" i="57"/>
  <c r="G141" i="57"/>
  <c r="G131" i="57"/>
  <c r="G121" i="57"/>
  <c r="G111" i="57"/>
  <c r="G81" i="57"/>
  <c r="G71" i="57"/>
  <c r="G61" i="57"/>
  <c r="G51" i="57"/>
  <c r="G41" i="57"/>
  <c r="G31" i="57"/>
  <c r="G21" i="57"/>
  <c r="G11" i="57"/>
  <c r="F2" i="57"/>
  <c r="F3" i="57"/>
  <c r="F4" i="57"/>
  <c r="F5" i="57"/>
  <c r="F6" i="57"/>
  <c r="F7" i="57"/>
  <c r="F8" i="57"/>
  <c r="F9" i="57"/>
  <c r="F10" i="57"/>
  <c r="F11" i="57"/>
  <c r="F12" i="57"/>
  <c r="F13" i="57"/>
  <c r="F14" i="57"/>
  <c r="F15" i="57"/>
  <c r="F16" i="57"/>
  <c r="F17" i="57"/>
  <c r="F18" i="57"/>
  <c r="F19" i="57"/>
  <c r="F20" i="57"/>
  <c r="F21" i="57"/>
  <c r="F22" i="57"/>
  <c r="F23" i="57"/>
  <c r="F24" i="57"/>
  <c r="F25" i="57"/>
  <c r="F26" i="57"/>
  <c r="F27" i="57"/>
  <c r="F28" i="57"/>
  <c r="F29" i="57"/>
  <c r="F30" i="57"/>
  <c r="F31" i="57"/>
  <c r="F32" i="57"/>
  <c r="F33" i="57"/>
  <c r="F34" i="57"/>
  <c r="F35" i="57"/>
  <c r="F36" i="57"/>
  <c r="F37" i="57"/>
  <c r="F38" i="57"/>
  <c r="F39" i="57"/>
  <c r="F40" i="57"/>
  <c r="F41" i="57"/>
  <c r="F42" i="57"/>
  <c r="F43" i="57"/>
  <c r="F44" i="57"/>
  <c r="F45" i="57"/>
  <c r="F46" i="57"/>
  <c r="F47" i="57"/>
  <c r="F48" i="57"/>
  <c r="F49" i="57"/>
  <c r="F50" i="57"/>
  <c r="F51" i="57"/>
  <c r="F52" i="57"/>
  <c r="F53" i="57"/>
  <c r="F54" i="57"/>
  <c r="F55" i="57"/>
  <c r="F56" i="57"/>
  <c r="F57" i="57"/>
  <c r="F58" i="57"/>
  <c r="F59" i="57"/>
  <c r="F60" i="57"/>
  <c r="F61" i="57"/>
  <c r="F62" i="57"/>
  <c r="F63" i="57"/>
  <c r="F64" i="57"/>
  <c r="F65" i="57"/>
  <c r="F66" i="57"/>
  <c r="F67" i="57"/>
  <c r="F68" i="57"/>
  <c r="F69" i="57"/>
  <c r="F70" i="57"/>
  <c r="F71" i="57"/>
  <c r="F72" i="57"/>
  <c r="F73" i="57"/>
  <c r="F74" i="57"/>
  <c r="F75" i="57"/>
  <c r="F76" i="57"/>
  <c r="F77" i="57"/>
  <c r="F78" i="57"/>
  <c r="F79" i="57"/>
  <c r="F80" i="57"/>
  <c r="F81" i="57"/>
  <c r="F82" i="57"/>
  <c r="F83" i="57"/>
  <c r="F84" i="57"/>
  <c r="F85" i="57"/>
  <c r="F86" i="57"/>
  <c r="F87" i="57"/>
  <c r="F88" i="57"/>
  <c r="F89" i="57"/>
  <c r="F90" i="57"/>
  <c r="F91" i="57"/>
  <c r="F92" i="57"/>
  <c r="F93" i="57"/>
  <c r="F94" i="57"/>
  <c r="F95" i="57"/>
  <c r="F96" i="57"/>
  <c r="F97" i="57"/>
  <c r="F98" i="57"/>
  <c r="F99" i="57"/>
  <c r="F100" i="57"/>
  <c r="F101" i="57"/>
  <c r="F102" i="57"/>
  <c r="F103" i="57"/>
  <c r="F104" i="57"/>
  <c r="F105" i="57"/>
  <c r="F106" i="57"/>
  <c r="F107" i="57"/>
  <c r="F108" i="57"/>
  <c r="F109" i="57"/>
  <c r="F110" i="57"/>
  <c r="F111" i="57"/>
  <c r="F112" i="57"/>
  <c r="F113" i="57"/>
  <c r="F114" i="57"/>
  <c r="F115" i="57"/>
  <c r="F116" i="57"/>
  <c r="F117" i="57"/>
  <c r="F118" i="57"/>
  <c r="F119" i="57"/>
  <c r="F120" i="57"/>
  <c r="F121" i="57"/>
  <c r="F122" i="57"/>
  <c r="F123" i="57"/>
  <c r="F124" i="57"/>
  <c r="F125" i="57"/>
  <c r="F126" i="57"/>
  <c r="F127" i="57"/>
  <c r="F128" i="57"/>
  <c r="F129" i="57"/>
  <c r="F130" i="57"/>
  <c r="F131" i="57"/>
  <c r="F132" i="57"/>
  <c r="F133" i="57"/>
  <c r="F134" i="57"/>
  <c r="F135" i="57"/>
  <c r="F136" i="57"/>
  <c r="F137" i="57"/>
  <c r="F138" i="57"/>
  <c r="F139" i="57"/>
  <c r="F140" i="57"/>
  <c r="F141" i="57"/>
  <c r="F142" i="57"/>
  <c r="F143" i="57"/>
  <c r="F144" i="57"/>
  <c r="F145" i="57"/>
  <c r="F146" i="57"/>
  <c r="F147" i="57"/>
  <c r="F148" i="57"/>
  <c r="F149" i="57"/>
  <c r="F150" i="57"/>
  <c r="F151" i="57"/>
  <c r="F152" i="57"/>
  <c r="F153" i="57"/>
  <c r="F154" i="57"/>
  <c r="F155" i="57"/>
  <c r="F156" i="57"/>
  <c r="F157" i="57"/>
  <c r="F158" i="57"/>
  <c r="F159" i="57"/>
  <c r="F160" i="57"/>
  <c r="F161" i="57"/>
  <c r="F162" i="57"/>
  <c r="F163" i="57"/>
  <c r="F164" i="57"/>
  <c r="F165" i="57"/>
  <c r="F166" i="57"/>
  <c r="F167" i="57"/>
  <c r="F168" i="57"/>
  <c r="F169" i="57"/>
  <c r="F170" i="57"/>
  <c r="F171" i="57"/>
  <c r="F172" i="57"/>
  <c r="F173" i="57"/>
  <c r="F174" i="57"/>
  <c r="F175" i="57"/>
  <c r="F176" i="57"/>
  <c r="F177" i="57"/>
  <c r="F178" i="57"/>
  <c r="F179" i="57"/>
  <c r="F180" i="57"/>
  <c r="F181" i="57"/>
  <c r="O3" i="57"/>
  <c r="O4" i="57"/>
  <c r="O5" i="57"/>
  <c r="O6" i="57"/>
  <c r="O7" i="57"/>
  <c r="O8" i="57"/>
  <c r="O9" i="57"/>
  <c r="O10" i="57"/>
  <c r="O11" i="57"/>
  <c r="O12" i="57"/>
  <c r="O13" i="57"/>
  <c r="O14" i="57"/>
  <c r="O15" i="57"/>
  <c r="O16" i="57"/>
  <c r="O17" i="57"/>
  <c r="O18" i="57"/>
  <c r="O19" i="57"/>
  <c r="O20" i="57"/>
  <c r="N3" i="57" a="1"/>
  <c r="N3" i="57" s="1"/>
  <c r="N4" i="57" a="1"/>
  <c r="N4" i="57" s="1"/>
  <c r="N5" i="57" a="1"/>
  <c r="N5" i="57" s="1"/>
  <c r="N6" i="57" a="1"/>
  <c r="N6" i="57" s="1"/>
  <c r="N7" i="57" a="1"/>
  <c r="N7" i="57" s="1"/>
  <c r="N8" i="57" a="1"/>
  <c r="N8" i="57" s="1"/>
  <c r="N9" i="57" a="1"/>
  <c r="N9" i="57" s="1"/>
  <c r="N10" i="57" a="1"/>
  <c r="N10" i="57" s="1"/>
  <c r="N11" i="57" a="1"/>
  <c r="N11" i="57" s="1"/>
  <c r="N12" i="57" a="1"/>
  <c r="N12" i="57" s="1"/>
  <c r="N13" i="57" a="1"/>
  <c r="N13" i="57" s="1"/>
  <c r="N14" i="57" a="1"/>
  <c r="N14" i="57" s="1"/>
  <c r="N15" i="57" a="1"/>
  <c r="N15" i="57" s="1"/>
  <c r="N16" i="57" a="1"/>
  <c r="N16" i="57" s="1"/>
  <c r="N17" i="57" a="1"/>
  <c r="N17" i="57" s="1"/>
  <c r="N18" i="57" a="1"/>
  <c r="N18" i="57" s="1"/>
  <c r="N19" i="57" a="1"/>
  <c r="N19" i="57" s="1"/>
  <c r="N20" i="57" a="1"/>
  <c r="N20" i="57" s="1"/>
  <c r="M3" i="57"/>
  <c r="M4" i="57"/>
  <c r="M5" i="57"/>
  <c r="M6" i="57"/>
  <c r="M7" i="57"/>
  <c r="M8" i="57"/>
  <c r="M9" i="57"/>
  <c r="M10" i="57"/>
  <c r="M11" i="57"/>
  <c r="M12" i="57"/>
  <c r="M13" i="57"/>
  <c r="M14" i="57"/>
  <c r="M15" i="57"/>
  <c r="M16" i="57"/>
  <c r="M17" i="57"/>
  <c r="M18" i="57"/>
  <c r="M19" i="57"/>
  <c r="M20" i="57"/>
  <c r="L3" i="57"/>
  <c r="L4" i="57"/>
  <c r="L5" i="57"/>
  <c r="L6" i="57"/>
  <c r="L7" i="57"/>
  <c r="L8" i="57"/>
  <c r="L9" i="57"/>
  <c r="L10" i="57"/>
  <c r="L11" i="57"/>
  <c r="L12" i="57"/>
  <c r="L13" i="57"/>
  <c r="L14" i="57"/>
  <c r="L15" i="57"/>
  <c r="L16" i="57"/>
  <c r="L17" i="57"/>
  <c r="L18" i="57"/>
  <c r="L19" i="57"/>
  <c r="L20" i="57"/>
  <c r="AB14" i="62" l="1"/>
  <c r="Z7" i="62"/>
  <c r="Z8" i="62"/>
  <c r="R6" i="62"/>
  <c r="Y14" i="62"/>
  <c r="R8" i="62"/>
  <c r="R7" i="62"/>
  <c r="R5" i="62"/>
  <c r="U14" i="62"/>
  <c r="R12" i="62"/>
  <c r="W14" i="62"/>
  <c r="AA16" i="62"/>
  <c r="Q27" i="62"/>
  <c r="S16" i="62"/>
  <c r="Y19" i="62"/>
  <c r="AB21" i="62"/>
  <c r="S21" i="62"/>
  <c r="T16" i="62"/>
  <c r="Q16" i="62"/>
  <c r="AA21" i="62"/>
  <c r="Y24" i="62"/>
  <c r="AB26" i="62"/>
  <c r="S20" i="62"/>
  <c r="AA26" i="62"/>
  <c r="S23" i="62"/>
  <c r="T28" i="62"/>
  <c r="AB15" i="62"/>
  <c r="Q18" i="62"/>
  <c r="AB20" i="62"/>
  <c r="Y15" i="62"/>
  <c r="Q20" i="62"/>
  <c r="X15" i="62"/>
  <c r="T20" i="62"/>
  <c r="S25" i="62"/>
  <c r="Q26" i="62"/>
  <c r="U28" i="62"/>
  <c r="X22" i="62"/>
  <c r="T23" i="62"/>
  <c r="T15" i="62"/>
  <c r="S22" i="62"/>
  <c r="W21" i="62"/>
  <c r="S28" i="62"/>
  <c r="S15" i="62"/>
  <c r="Q22" i="62"/>
  <c r="Q23" i="62"/>
  <c r="U15" i="62"/>
  <c r="Q15" i="62"/>
  <c r="T15" i="5"/>
  <c r="S15" i="5"/>
  <c r="Q16" i="5"/>
  <c r="Q17" i="5"/>
  <c r="Q15" i="5"/>
  <c r="J12" i="54" l="1"/>
  <c r="J7" i="54"/>
  <c r="J6" i="54"/>
  <c r="J5" i="54"/>
  <c r="D12" i="54"/>
  <c r="D7" i="54"/>
  <c r="D6" i="54"/>
  <c r="D5" i="54"/>
  <c r="K6" i="42" l="1"/>
  <c r="K7" i="42"/>
  <c r="K8" i="42"/>
  <c r="K9" i="42"/>
  <c r="K10" i="42"/>
  <c r="K11" i="42"/>
  <c r="K12" i="42"/>
  <c r="K13" i="42"/>
  <c r="K5" i="42"/>
  <c r="J5" i="42"/>
  <c r="J6" i="42"/>
  <c r="J7" i="42"/>
  <c r="J8" i="42"/>
  <c r="J9" i="42"/>
  <c r="J10" i="42"/>
  <c r="J11" i="42"/>
  <c r="J12" i="42"/>
  <c r="J13" i="42"/>
  <c r="I6" i="42"/>
  <c r="I7" i="42"/>
  <c r="I8" i="42"/>
  <c r="I9" i="42"/>
  <c r="I10" i="42"/>
  <c r="I11" i="42"/>
  <c r="I12" i="42"/>
  <c r="I13" i="42"/>
  <c r="I5" i="42"/>
  <c r="F6" i="42"/>
  <c r="G6" i="42"/>
  <c r="H6" i="42"/>
  <c r="F7" i="42"/>
  <c r="G7" i="42"/>
  <c r="H7" i="42"/>
  <c r="F8" i="42"/>
  <c r="G8" i="42"/>
  <c r="H8" i="42"/>
  <c r="F9" i="42"/>
  <c r="G9" i="42"/>
  <c r="H9" i="42"/>
  <c r="F10" i="42"/>
  <c r="G10" i="42"/>
  <c r="H10" i="42"/>
  <c r="F11" i="42"/>
  <c r="G11" i="42"/>
  <c r="H11" i="42"/>
  <c r="F12" i="42"/>
  <c r="G12" i="42"/>
  <c r="H12" i="42"/>
  <c r="F13" i="42"/>
  <c r="G13" i="42"/>
  <c r="H13" i="42"/>
  <c r="H5" i="42"/>
  <c r="G5" i="42"/>
  <c r="F5" i="42"/>
  <c r="E6" i="42"/>
  <c r="E7" i="42"/>
  <c r="E8" i="42"/>
  <c r="E9" i="42"/>
  <c r="E10" i="42"/>
  <c r="E11" i="42"/>
  <c r="E12" i="42"/>
  <c r="E13" i="42"/>
  <c r="E5" i="42"/>
  <c r="C6" i="42"/>
  <c r="D6" i="42"/>
  <c r="C7" i="42"/>
  <c r="D7" i="42"/>
  <c r="C8" i="42"/>
  <c r="D8" i="42"/>
  <c r="C9" i="42"/>
  <c r="D9" i="42"/>
  <c r="C10" i="42"/>
  <c r="D10" i="42"/>
  <c r="C11" i="42"/>
  <c r="D11" i="42"/>
  <c r="C12" i="42"/>
  <c r="D12" i="42"/>
  <c r="C13" i="42"/>
  <c r="D13" i="42"/>
  <c r="D5" i="42"/>
  <c r="C5" i="42"/>
  <c r="B5" i="42"/>
  <c r="B6" i="42"/>
  <c r="B7" i="42"/>
  <c r="B8" i="42"/>
  <c r="B9" i="42"/>
  <c r="B10" i="42"/>
  <c r="B11" i="42"/>
  <c r="B12" i="42"/>
  <c r="B13" i="42"/>
  <c r="I12" i="24"/>
  <c r="D12" i="24"/>
  <c r="I7" i="24"/>
  <c r="D7" i="24"/>
  <c r="I6" i="24"/>
  <c r="D6" i="24"/>
  <c r="I5" i="24"/>
  <c r="D5" i="24"/>
  <c r="J31" i="49"/>
  <c r="J30" i="49"/>
  <c r="D13" i="24" s="1"/>
  <c r="J26" i="49"/>
  <c r="J27" i="49" s="1"/>
  <c r="L24" i="49" s="1"/>
  <c r="D8" i="24" s="1"/>
  <c r="C26" i="49"/>
  <c r="C25" i="49"/>
  <c r="U62" i="43" s="1"/>
  <c r="C24" i="49"/>
  <c r="AA14" i="49"/>
  <c r="Y14" i="49"/>
  <c r="W14" i="49"/>
  <c r="U14" i="49"/>
  <c r="S62" i="43" s="1"/>
  <c r="S14" i="49"/>
  <c r="Q14" i="49"/>
  <c r="O14" i="49"/>
  <c r="M14" i="49"/>
  <c r="K14" i="49"/>
  <c r="I14" i="49"/>
  <c r="G14" i="49"/>
  <c r="E14" i="49"/>
  <c r="C14" i="49"/>
  <c r="AA13" i="49"/>
  <c r="Y13" i="49"/>
  <c r="W13" i="49"/>
  <c r="U13" i="49"/>
  <c r="S13" i="49"/>
  <c r="Q13" i="49"/>
  <c r="O13" i="49"/>
  <c r="M13" i="49"/>
  <c r="K13" i="49"/>
  <c r="I13" i="49"/>
  <c r="G13" i="49"/>
  <c r="E13" i="49"/>
  <c r="C13" i="49"/>
  <c r="AA12" i="49"/>
  <c r="Y12" i="49"/>
  <c r="W12" i="49"/>
  <c r="U12" i="49"/>
  <c r="S12" i="49"/>
  <c r="Q12" i="49"/>
  <c r="O12" i="49"/>
  <c r="M12" i="49"/>
  <c r="K12" i="49"/>
  <c r="I12" i="49"/>
  <c r="G12" i="49"/>
  <c r="E12" i="49"/>
  <c r="C12" i="49"/>
  <c r="C18" i="49" s="1"/>
  <c r="L62" i="41" l="1"/>
  <c r="J21" i="49"/>
  <c r="F13" i="24"/>
  <c r="B13" i="24"/>
  <c r="J8" i="54"/>
  <c r="D8" i="54"/>
  <c r="L25" i="49"/>
  <c r="C17" i="49"/>
  <c r="J32" i="49"/>
  <c r="I8" i="24"/>
  <c r="J18" i="49"/>
  <c r="J13" i="54"/>
  <c r="D13" i="54"/>
  <c r="I13" i="24"/>
  <c r="E13" i="24"/>
  <c r="O77" i="43"/>
  <c r="O76" i="43"/>
  <c r="O75" i="43"/>
  <c r="O74" i="43"/>
  <c r="N76" i="43"/>
  <c r="N75" i="43"/>
  <c r="N74" i="43"/>
  <c r="M77" i="43"/>
  <c r="M76" i="43"/>
  <c r="M75" i="43"/>
  <c r="M74" i="43"/>
  <c r="L77" i="43"/>
  <c r="L76" i="43"/>
  <c r="L75" i="43"/>
  <c r="L74" i="43"/>
  <c r="L78" i="43"/>
  <c r="P77" i="43"/>
  <c r="P76" i="43"/>
  <c r="P75" i="43"/>
  <c r="P74" i="43"/>
  <c r="D9" i="21"/>
  <c r="K36" i="42"/>
  <c r="K28" i="42"/>
  <c r="K29" i="42"/>
  <c r="K30" i="42"/>
  <c r="K31" i="42"/>
  <c r="K32" i="42"/>
  <c r="K33" i="42"/>
  <c r="K34" i="42"/>
  <c r="K35" i="42"/>
  <c r="K27" i="42"/>
  <c r="J36" i="42"/>
  <c r="J28" i="42"/>
  <c r="J30" i="42"/>
  <c r="J31" i="42"/>
  <c r="J32" i="42"/>
  <c r="J34" i="42"/>
  <c r="J35" i="42"/>
  <c r="I28" i="42"/>
  <c r="I30" i="42"/>
  <c r="I31" i="42"/>
  <c r="I32" i="42"/>
  <c r="I33" i="42"/>
  <c r="I34" i="42"/>
  <c r="I35" i="42"/>
  <c r="I27" i="42"/>
  <c r="H36" i="42"/>
  <c r="H30" i="42"/>
  <c r="H31" i="42"/>
  <c r="H32" i="42"/>
  <c r="H34" i="42"/>
  <c r="H35" i="42"/>
  <c r="H27" i="42"/>
  <c r="G28" i="42"/>
  <c r="G29" i="42"/>
  <c r="G30" i="42"/>
  <c r="G31" i="42"/>
  <c r="G32" i="42"/>
  <c r="G33" i="42"/>
  <c r="G34" i="42"/>
  <c r="G35" i="42"/>
  <c r="G27" i="42"/>
  <c r="F28" i="42"/>
  <c r="F29" i="42"/>
  <c r="F30" i="42"/>
  <c r="F31" i="42"/>
  <c r="F32" i="42"/>
  <c r="F33" i="42"/>
  <c r="F34" i="42"/>
  <c r="F35" i="42"/>
  <c r="F27" i="42"/>
  <c r="E36" i="42"/>
  <c r="E28" i="42"/>
  <c r="E29" i="42"/>
  <c r="E30" i="42"/>
  <c r="E31" i="42"/>
  <c r="E32" i="42"/>
  <c r="E33" i="42"/>
  <c r="E34" i="42"/>
  <c r="E35" i="42"/>
  <c r="E27" i="42"/>
  <c r="D36" i="42"/>
  <c r="D28" i="42"/>
  <c r="D29" i="42"/>
  <c r="D30" i="42"/>
  <c r="D31" i="42"/>
  <c r="D32" i="42"/>
  <c r="D33" i="42"/>
  <c r="D34" i="42"/>
  <c r="D35" i="42"/>
  <c r="D27" i="42"/>
  <c r="C28" i="42"/>
  <c r="C29" i="42"/>
  <c r="C30" i="42"/>
  <c r="C31" i="42"/>
  <c r="C32" i="42"/>
  <c r="C34" i="42"/>
  <c r="C35" i="42"/>
  <c r="C27" i="42"/>
  <c r="B28" i="42"/>
  <c r="B29" i="42"/>
  <c r="B30" i="42"/>
  <c r="B31" i="42"/>
  <c r="B32" i="42"/>
  <c r="C10" i="24" s="1"/>
  <c r="B33" i="42"/>
  <c r="B34" i="42"/>
  <c r="B35" i="42"/>
  <c r="B36" i="42"/>
  <c r="B27" i="42"/>
  <c r="J27" i="42"/>
  <c r="H29" i="42"/>
  <c r="I29" i="42"/>
  <c r="J29" i="42"/>
  <c r="H33" i="42"/>
  <c r="J33" i="42"/>
  <c r="C36" i="42"/>
  <c r="F36" i="42"/>
  <c r="G36" i="42"/>
  <c r="I36" i="42"/>
  <c r="P62" i="43"/>
  <c r="G33" i="43"/>
  <c r="G34" i="43"/>
  <c r="G35" i="43"/>
  <c r="G36" i="43"/>
  <c r="G37" i="43"/>
  <c r="G38" i="43"/>
  <c r="G39" i="43"/>
  <c r="G40" i="43"/>
  <c r="G41" i="43"/>
  <c r="G42" i="43"/>
  <c r="G43" i="43"/>
  <c r="G44" i="43"/>
  <c r="G45" i="43"/>
  <c r="G46" i="43"/>
  <c r="G47" i="43"/>
  <c r="G48" i="43"/>
  <c r="G49" i="43"/>
  <c r="G50" i="43"/>
  <c r="G51" i="43"/>
  <c r="G52" i="43"/>
  <c r="G53" i="43"/>
  <c r="G54" i="43"/>
  <c r="G55" i="43"/>
  <c r="G56" i="43"/>
  <c r="G57" i="43"/>
  <c r="O67" i="43"/>
  <c r="O66" i="43"/>
  <c r="O62" i="43"/>
  <c r="F33" i="43"/>
  <c r="F34" i="43"/>
  <c r="F35" i="43"/>
  <c r="F36" i="43"/>
  <c r="F37" i="43"/>
  <c r="F38" i="43"/>
  <c r="F39" i="43"/>
  <c r="F40" i="43"/>
  <c r="F41" i="43"/>
  <c r="F42" i="43"/>
  <c r="F43" i="43"/>
  <c r="F44" i="43"/>
  <c r="F45" i="43"/>
  <c r="F46" i="43"/>
  <c r="F47" i="43"/>
  <c r="F48" i="43"/>
  <c r="F49" i="43"/>
  <c r="F50" i="43"/>
  <c r="F51" i="43"/>
  <c r="F52" i="43"/>
  <c r="F53" i="43"/>
  <c r="F54" i="43"/>
  <c r="F55" i="43"/>
  <c r="F56" i="43"/>
  <c r="F70" i="43"/>
  <c r="E77" i="43"/>
  <c r="D77" i="43"/>
  <c r="C77" i="43"/>
  <c r="E76" i="43"/>
  <c r="D76" i="43"/>
  <c r="C76" i="43"/>
  <c r="E75" i="43"/>
  <c r="D75" i="43"/>
  <c r="C75" i="43"/>
  <c r="E74" i="43"/>
  <c r="D74" i="43"/>
  <c r="C74" i="43"/>
  <c r="E71" i="43"/>
  <c r="D71" i="43"/>
  <c r="C71" i="43"/>
  <c r="M70" i="43"/>
  <c r="L70" i="43"/>
  <c r="E70" i="43"/>
  <c r="D70" i="43"/>
  <c r="C70" i="43"/>
  <c r="M69" i="43"/>
  <c r="L69" i="43"/>
  <c r="E69" i="43"/>
  <c r="D69" i="43"/>
  <c r="C69" i="43"/>
  <c r="M68" i="43"/>
  <c r="L68" i="43"/>
  <c r="E68" i="43"/>
  <c r="D68" i="43"/>
  <c r="C68" i="43"/>
  <c r="N67" i="43"/>
  <c r="M67" i="43"/>
  <c r="L67" i="43"/>
  <c r="N66" i="43"/>
  <c r="M66" i="43"/>
  <c r="L66" i="43"/>
  <c r="E65" i="43"/>
  <c r="D65" i="43"/>
  <c r="C65" i="43"/>
  <c r="E64" i="43"/>
  <c r="D64" i="43"/>
  <c r="C64" i="43"/>
  <c r="E63" i="43"/>
  <c r="D63" i="43"/>
  <c r="C63" i="43"/>
  <c r="N62" i="43"/>
  <c r="M62" i="43"/>
  <c r="L62" i="43"/>
  <c r="E62" i="43"/>
  <c r="D62" i="43"/>
  <c r="C62" i="43"/>
  <c r="E57" i="43"/>
  <c r="D57" i="43"/>
  <c r="C57" i="43"/>
  <c r="E56" i="43"/>
  <c r="D56" i="43"/>
  <c r="C56" i="43"/>
  <c r="E55" i="43"/>
  <c r="D55" i="43"/>
  <c r="C55" i="43"/>
  <c r="E54" i="43"/>
  <c r="D54" i="43"/>
  <c r="C54" i="43"/>
  <c r="E53" i="43"/>
  <c r="D53" i="43"/>
  <c r="C53" i="43"/>
  <c r="E52" i="43"/>
  <c r="D52" i="43"/>
  <c r="C52" i="43"/>
  <c r="E51" i="43"/>
  <c r="D51" i="43"/>
  <c r="C51" i="43"/>
  <c r="E50" i="43"/>
  <c r="D50" i="43"/>
  <c r="C50" i="43"/>
  <c r="E49" i="43"/>
  <c r="D49" i="43"/>
  <c r="C49" i="43"/>
  <c r="E48" i="43"/>
  <c r="D48" i="43"/>
  <c r="C48" i="43"/>
  <c r="E47" i="43"/>
  <c r="D47" i="43"/>
  <c r="C47" i="43"/>
  <c r="E46" i="43"/>
  <c r="D46" i="43"/>
  <c r="C46" i="43"/>
  <c r="E45" i="43"/>
  <c r="D45" i="43"/>
  <c r="C45" i="43"/>
  <c r="E44" i="43"/>
  <c r="D44" i="43"/>
  <c r="C44" i="43"/>
  <c r="E43" i="43"/>
  <c r="D43" i="43"/>
  <c r="C43" i="43"/>
  <c r="E42" i="43"/>
  <c r="D42" i="43"/>
  <c r="C42" i="43"/>
  <c r="E41" i="43"/>
  <c r="D41" i="43"/>
  <c r="C41" i="43"/>
  <c r="E40" i="43"/>
  <c r="D40" i="43"/>
  <c r="C40" i="43"/>
  <c r="E39" i="43"/>
  <c r="D39" i="43"/>
  <c r="C39" i="43"/>
  <c r="E38" i="43"/>
  <c r="D38" i="43"/>
  <c r="C38" i="43"/>
  <c r="E37" i="43"/>
  <c r="D37" i="43"/>
  <c r="C37" i="43"/>
  <c r="E36" i="43"/>
  <c r="D36" i="43"/>
  <c r="C36" i="43"/>
  <c r="E35" i="43"/>
  <c r="D35" i="43"/>
  <c r="C35" i="43"/>
  <c r="E34" i="43"/>
  <c r="D34" i="43"/>
  <c r="C34" i="43"/>
  <c r="E33" i="43"/>
  <c r="D33" i="43"/>
  <c r="C33" i="43"/>
  <c r="H23" i="42"/>
  <c r="G23" i="42"/>
  <c r="F23" i="42"/>
  <c r="D23" i="42"/>
  <c r="C23" i="42"/>
  <c r="B23" i="42"/>
  <c r="K22" i="42"/>
  <c r="J22" i="42"/>
  <c r="I22" i="42"/>
  <c r="H22" i="42"/>
  <c r="G22" i="42"/>
  <c r="F22" i="42"/>
  <c r="E22" i="42"/>
  <c r="D22" i="42"/>
  <c r="C22" i="42"/>
  <c r="B22" i="42"/>
  <c r="C33" i="42"/>
  <c r="H28" i="42"/>
  <c r="D77" i="41"/>
  <c r="C77" i="41"/>
  <c r="B77" i="41"/>
  <c r="D76" i="41"/>
  <c r="C76" i="41"/>
  <c r="B76" i="41"/>
  <c r="D75" i="41"/>
  <c r="C75" i="41"/>
  <c r="B75" i="41"/>
  <c r="D74" i="41"/>
  <c r="C74" i="41"/>
  <c r="B74" i="41"/>
  <c r="D71" i="41"/>
  <c r="C71" i="41"/>
  <c r="B71" i="41"/>
  <c r="H70" i="41"/>
  <c r="G70" i="41"/>
  <c r="D70" i="41"/>
  <c r="C70" i="41"/>
  <c r="B70" i="41"/>
  <c r="H69" i="41"/>
  <c r="G69" i="41"/>
  <c r="D69" i="41"/>
  <c r="C69" i="41"/>
  <c r="B69" i="41"/>
  <c r="H68" i="41"/>
  <c r="G68" i="41"/>
  <c r="D68" i="41"/>
  <c r="C68" i="41"/>
  <c r="B68" i="41"/>
  <c r="I67" i="41"/>
  <c r="H67" i="41"/>
  <c r="G67" i="41"/>
  <c r="I66" i="41"/>
  <c r="H66" i="41"/>
  <c r="G66" i="41"/>
  <c r="D65" i="41"/>
  <c r="C65" i="41"/>
  <c r="B65" i="41"/>
  <c r="D64" i="41"/>
  <c r="C64" i="41"/>
  <c r="B64" i="41"/>
  <c r="D63" i="41"/>
  <c r="C63" i="41"/>
  <c r="B63" i="41"/>
  <c r="I62" i="41"/>
  <c r="H62" i="41"/>
  <c r="G62" i="41"/>
  <c r="D62" i="41"/>
  <c r="C62" i="41"/>
  <c r="B62" i="41"/>
  <c r="D57" i="41"/>
  <c r="C57" i="41"/>
  <c r="B57" i="41"/>
  <c r="D56" i="41"/>
  <c r="C56" i="41"/>
  <c r="B56" i="41"/>
  <c r="D55" i="41"/>
  <c r="C55" i="41"/>
  <c r="B55" i="41"/>
  <c r="D54" i="41"/>
  <c r="C54" i="41"/>
  <c r="B54" i="41"/>
  <c r="D53" i="41"/>
  <c r="C53" i="41"/>
  <c r="B53" i="41"/>
  <c r="D52" i="41"/>
  <c r="C52" i="41"/>
  <c r="B52" i="41"/>
  <c r="D51" i="41"/>
  <c r="C51" i="41"/>
  <c r="B51" i="41"/>
  <c r="D50" i="41"/>
  <c r="C50" i="41"/>
  <c r="B50" i="41"/>
  <c r="D49" i="41"/>
  <c r="C49" i="41"/>
  <c r="B49" i="41"/>
  <c r="D48" i="41"/>
  <c r="C48" i="41"/>
  <c r="B48" i="41"/>
  <c r="D47" i="41"/>
  <c r="C47" i="41"/>
  <c r="B47" i="41"/>
  <c r="D46" i="41"/>
  <c r="C46" i="41"/>
  <c r="B46" i="41"/>
  <c r="D45" i="41"/>
  <c r="C45" i="41"/>
  <c r="B45" i="41"/>
  <c r="D44" i="41"/>
  <c r="C44" i="41"/>
  <c r="B44" i="41"/>
  <c r="D43" i="41"/>
  <c r="C43" i="41"/>
  <c r="B43" i="41"/>
  <c r="D42" i="41"/>
  <c r="C42" i="41"/>
  <c r="B42" i="41"/>
  <c r="D41" i="41"/>
  <c r="C41" i="41"/>
  <c r="B41" i="41"/>
  <c r="D40" i="41"/>
  <c r="C40" i="41"/>
  <c r="B40" i="41"/>
  <c r="D39" i="41"/>
  <c r="C39" i="41"/>
  <c r="B39" i="41"/>
  <c r="D38" i="41"/>
  <c r="C38" i="41"/>
  <c r="B38" i="41"/>
  <c r="C6" i="24" l="1"/>
  <c r="J6" i="24" s="1"/>
  <c r="C5" i="24"/>
  <c r="C7" i="24"/>
  <c r="C8" i="24"/>
  <c r="J8" i="24" s="1"/>
  <c r="C13" i="24"/>
  <c r="K13" i="24" s="1"/>
  <c r="C11" i="24"/>
  <c r="K11" i="24" s="1"/>
  <c r="C9" i="24"/>
  <c r="J9" i="24" s="1"/>
  <c r="C12" i="24"/>
  <c r="H12" i="24" s="1"/>
  <c r="K10" i="24"/>
  <c r="H10" i="24"/>
  <c r="J10" i="24"/>
  <c r="K5" i="24"/>
  <c r="J5" i="24"/>
  <c r="H5" i="24"/>
  <c r="H7" i="24"/>
  <c r="J7" i="24"/>
  <c r="K7" i="24"/>
  <c r="H6" i="24"/>
  <c r="H13" i="24"/>
  <c r="J13" i="24"/>
  <c r="J33" i="49"/>
  <c r="F13" i="54"/>
  <c r="B13" i="54"/>
  <c r="E13" i="54"/>
  <c r="J9" i="54"/>
  <c r="D9" i="54"/>
  <c r="L26" i="49"/>
  <c r="I9" i="24"/>
  <c r="D9" i="24"/>
  <c r="L13" i="54"/>
  <c r="I13" i="54"/>
  <c r="K13" i="54"/>
  <c r="I11" i="45"/>
  <c r="D11" i="45"/>
  <c r="I9" i="45"/>
  <c r="D9" i="45"/>
  <c r="D10" i="45"/>
  <c r="I10" i="45"/>
  <c r="I7" i="45"/>
  <c r="D7" i="45"/>
  <c r="I8" i="45"/>
  <c r="D8" i="45"/>
  <c r="I6" i="45"/>
  <c r="D6" i="45"/>
  <c r="I14" i="45"/>
  <c r="D14" i="45"/>
  <c r="I13" i="45"/>
  <c r="D13" i="45"/>
  <c r="N78" i="43"/>
  <c r="P78" i="43"/>
  <c r="M78" i="43"/>
  <c r="O78" i="43"/>
  <c r="L29" i="42"/>
  <c r="L33" i="42"/>
  <c r="L27" i="42"/>
  <c r="L36" i="42"/>
  <c r="L35" i="42"/>
  <c r="L31" i="42"/>
  <c r="L34" i="42"/>
  <c r="L30" i="42"/>
  <c r="L32" i="42"/>
  <c r="L28" i="42"/>
  <c r="G77" i="43"/>
  <c r="G76" i="43"/>
  <c r="G75" i="43"/>
  <c r="G62" i="43"/>
  <c r="G74" i="43"/>
  <c r="G71" i="43"/>
  <c r="G70" i="43"/>
  <c r="G68" i="43"/>
  <c r="G65" i="43"/>
  <c r="G64" i="43"/>
  <c r="G69" i="43"/>
  <c r="G63" i="43"/>
  <c r="F69" i="43"/>
  <c r="F65" i="43"/>
  <c r="F68" i="43"/>
  <c r="F63" i="43"/>
  <c r="F57" i="43"/>
  <c r="F64" i="43"/>
  <c r="F62" i="43"/>
  <c r="F77" i="43"/>
  <c r="F76" i="43"/>
  <c r="F75" i="43"/>
  <c r="F71" i="43"/>
  <c r="F74" i="43"/>
  <c r="D66" i="43"/>
  <c r="C72" i="43"/>
  <c r="C66" i="43"/>
  <c r="E66" i="43"/>
  <c r="D72" i="43"/>
  <c r="E72" i="43"/>
  <c r="C78" i="43"/>
  <c r="D78" i="43"/>
  <c r="E78" i="43"/>
  <c r="B78" i="41"/>
  <c r="C78" i="41"/>
  <c r="B66" i="41"/>
  <c r="D78" i="41"/>
  <c r="C66" i="41"/>
  <c r="D66" i="41"/>
  <c r="B72" i="41"/>
  <c r="C72" i="41"/>
  <c r="D72" i="41"/>
  <c r="K6" i="24" l="1"/>
  <c r="K9" i="24"/>
  <c r="H8" i="24"/>
  <c r="K12" i="24"/>
  <c r="K8" i="24"/>
  <c r="H9" i="24"/>
  <c r="J12" i="24"/>
  <c r="H11" i="24"/>
  <c r="J11" i="24"/>
  <c r="C10" i="45"/>
  <c r="G9" i="54"/>
  <c r="C14" i="45"/>
  <c r="G13" i="54"/>
  <c r="C6" i="45"/>
  <c r="G5" i="54"/>
  <c r="C7" i="45"/>
  <c r="G6" i="54"/>
  <c r="C12" i="45"/>
  <c r="G11" i="54"/>
  <c r="C8" i="45"/>
  <c r="G7" i="54"/>
  <c r="C11" i="45"/>
  <c r="G10" i="54"/>
  <c r="C9" i="45"/>
  <c r="G8" i="54"/>
  <c r="C13" i="45"/>
  <c r="G12" i="54"/>
  <c r="J10" i="54"/>
  <c r="D10" i="54"/>
  <c r="D10" i="24"/>
  <c r="L27" i="49"/>
  <c r="I10" i="24"/>
  <c r="J34" i="49"/>
  <c r="G72" i="43"/>
  <c r="G66" i="43"/>
  <c r="G78" i="43"/>
  <c r="F72" i="43"/>
  <c r="F66" i="43"/>
  <c r="F78" i="43"/>
  <c r="B16" i="33"/>
  <c r="B17" i="33"/>
  <c r="B18" i="33"/>
  <c r="B19" i="33"/>
  <c r="D16" i="33"/>
  <c r="E16" i="33"/>
  <c r="F16" i="33"/>
  <c r="G16" i="33"/>
  <c r="H16" i="33"/>
  <c r="D17" i="33"/>
  <c r="E17" i="33"/>
  <c r="F17" i="33"/>
  <c r="G17" i="33"/>
  <c r="H17" i="33"/>
  <c r="D18" i="33"/>
  <c r="E18" i="33"/>
  <c r="F18" i="33"/>
  <c r="G18" i="33"/>
  <c r="H18" i="33"/>
  <c r="D19" i="33"/>
  <c r="E19" i="33"/>
  <c r="F19" i="33"/>
  <c r="G19" i="33"/>
  <c r="H19" i="33"/>
  <c r="J11" i="54" l="1"/>
  <c r="D11" i="54"/>
  <c r="D11" i="24"/>
  <c r="I11" i="24"/>
  <c r="I12" i="45"/>
  <c r="D12" i="45"/>
  <c r="J35" i="49"/>
  <c r="C19" i="33"/>
  <c r="C16" i="33"/>
  <c r="C18" i="33"/>
  <c r="C17" i="33"/>
  <c r="E6" i="21"/>
  <c r="E5" i="21"/>
  <c r="E3" i="21"/>
  <c r="E4" i="21"/>
  <c r="D4" i="21"/>
  <c r="D13" i="21"/>
  <c r="AB14" i="5"/>
  <c r="Y14" i="5"/>
  <c r="W14" i="5"/>
  <c r="Z14" i="5"/>
  <c r="AA14" i="5" s="1"/>
  <c r="V14" i="5"/>
  <c r="X14" i="5" s="1"/>
  <c r="Z13" i="5"/>
  <c r="V13" i="5"/>
  <c r="Z12" i="5"/>
  <c r="V12" i="5"/>
  <c r="Z11" i="5"/>
  <c r="V11" i="5"/>
  <c r="Z10" i="5"/>
  <c r="V10" i="5"/>
  <c r="Z9" i="5"/>
  <c r="V9" i="5"/>
  <c r="Z8" i="5"/>
  <c r="V8" i="5"/>
  <c r="Z7" i="5"/>
  <c r="V7" i="5"/>
  <c r="Z6" i="5"/>
  <c r="V6" i="5"/>
  <c r="Z5" i="5"/>
  <c r="V5" i="5"/>
  <c r="Q5" i="31"/>
  <c r="Q6" i="31"/>
  <c r="Q7" i="31"/>
  <c r="Q8" i="31"/>
  <c r="Q9" i="31"/>
  <c r="Q10" i="31"/>
  <c r="Q11" i="31"/>
  <c r="Q12" i="31"/>
  <c r="Q4" i="31"/>
  <c r="P5" i="31"/>
  <c r="P6" i="31"/>
  <c r="P7" i="31"/>
  <c r="P8" i="31"/>
  <c r="P9" i="31"/>
  <c r="P10" i="31"/>
  <c r="P11" i="31"/>
  <c r="P12" i="31"/>
  <c r="P4" i="31"/>
  <c r="F4" i="34"/>
  <c r="AG14" i="33" s="1"/>
  <c r="E5" i="34"/>
  <c r="AA5" i="33" s="1"/>
  <c r="AA131" i="33" s="1"/>
  <c r="F5" i="34"/>
  <c r="AH5" i="33" s="1"/>
  <c r="AH131" i="33" s="1"/>
  <c r="E6" i="34"/>
  <c r="AB14" i="33" s="1"/>
  <c r="F6" i="34"/>
  <c r="AI14" i="33" s="1"/>
  <c r="E7" i="34"/>
  <c r="AC14" i="33" s="1"/>
  <c r="F7" i="34"/>
  <c r="AJ14" i="33" s="1"/>
  <c r="E8" i="34"/>
  <c r="AD14" i="33" s="1"/>
  <c r="F8" i="34"/>
  <c r="AK14" i="33" s="1"/>
  <c r="E9" i="34"/>
  <c r="AE14" i="33" s="1"/>
  <c r="F9" i="34"/>
  <c r="AL14" i="33" s="1"/>
  <c r="E10" i="34"/>
  <c r="AF14" i="33" s="1"/>
  <c r="F10" i="34"/>
  <c r="AM14" i="33" s="1"/>
  <c r="E4" i="34"/>
  <c r="Z14" i="33" s="1"/>
  <c r="H17" i="9"/>
  <c r="I17" i="9"/>
  <c r="J17" i="9"/>
  <c r="K17" i="9"/>
  <c r="L17" i="9"/>
  <c r="H18" i="9"/>
  <c r="I18" i="9"/>
  <c r="J18" i="9"/>
  <c r="K18" i="9"/>
  <c r="L18" i="9"/>
  <c r="H19" i="9"/>
  <c r="I19" i="9"/>
  <c r="J19" i="9"/>
  <c r="K19" i="9"/>
  <c r="L19" i="9"/>
  <c r="H20" i="9"/>
  <c r="I20" i="9"/>
  <c r="J20" i="9"/>
  <c r="K20" i="9"/>
  <c r="L20" i="9"/>
  <c r="H21" i="9"/>
  <c r="I21" i="9"/>
  <c r="J21" i="9"/>
  <c r="K21" i="9"/>
  <c r="L21" i="9"/>
  <c r="H22" i="9"/>
  <c r="I22" i="9"/>
  <c r="J22" i="9"/>
  <c r="K22" i="9"/>
  <c r="L22" i="9"/>
  <c r="H23" i="9"/>
  <c r="I23" i="9"/>
  <c r="J23" i="9"/>
  <c r="K23" i="9"/>
  <c r="L23" i="9"/>
  <c r="H24" i="9"/>
  <c r="I24" i="9"/>
  <c r="J24" i="9"/>
  <c r="K24" i="9"/>
  <c r="L24" i="9"/>
  <c r="H25" i="9"/>
  <c r="I25" i="9"/>
  <c r="J25" i="9"/>
  <c r="K25" i="9"/>
  <c r="L25" i="9"/>
  <c r="I16" i="9"/>
  <c r="J16" i="9"/>
  <c r="K16" i="9"/>
  <c r="L16" i="9"/>
  <c r="H16" i="9"/>
  <c r="B24" i="33"/>
  <c r="C24" i="33"/>
  <c r="B25" i="33"/>
  <c r="C25" i="33"/>
  <c r="B26" i="33"/>
  <c r="C26" i="33"/>
  <c r="B27" i="33"/>
  <c r="C27" i="33"/>
  <c r="B28" i="33"/>
  <c r="C28" i="33"/>
  <c r="B29" i="33"/>
  <c r="C29" i="33"/>
  <c r="B30" i="33"/>
  <c r="C30" i="33"/>
  <c r="B31" i="33"/>
  <c r="C31" i="33"/>
  <c r="B32" i="33"/>
  <c r="C32" i="33"/>
  <c r="E24" i="33"/>
  <c r="F24" i="33"/>
  <c r="G24" i="33"/>
  <c r="H24" i="33"/>
  <c r="E25" i="33"/>
  <c r="F25" i="33"/>
  <c r="G25" i="33"/>
  <c r="H25" i="33"/>
  <c r="E26" i="33"/>
  <c r="F26" i="33"/>
  <c r="G26" i="33"/>
  <c r="H26" i="33"/>
  <c r="E27" i="33"/>
  <c r="F27" i="33"/>
  <c r="G27" i="33"/>
  <c r="H27" i="33"/>
  <c r="E28" i="33"/>
  <c r="F28" i="33"/>
  <c r="G28" i="33"/>
  <c r="H28" i="33"/>
  <c r="E29" i="33"/>
  <c r="F29" i="33"/>
  <c r="G29" i="33"/>
  <c r="H29" i="33"/>
  <c r="E30" i="33"/>
  <c r="F30" i="33"/>
  <c r="G30" i="33"/>
  <c r="H30" i="33"/>
  <c r="E31" i="33"/>
  <c r="F31" i="33"/>
  <c r="G31" i="33"/>
  <c r="H31" i="33"/>
  <c r="E32" i="33"/>
  <c r="F32" i="33"/>
  <c r="G32" i="33"/>
  <c r="H32" i="33"/>
  <c r="D25" i="33"/>
  <c r="D26" i="33"/>
  <c r="D27" i="33"/>
  <c r="D28" i="33"/>
  <c r="D29" i="33"/>
  <c r="D30" i="33"/>
  <c r="D31" i="33"/>
  <c r="D32" i="33"/>
  <c r="D24" i="33"/>
  <c r="E16" i="31"/>
  <c r="E29" i="31" s="1"/>
  <c r="C18" i="31"/>
  <c r="C31" i="31" s="1"/>
  <c r="D16" i="31"/>
  <c r="D29" i="31" s="1"/>
  <c r="C16" i="31"/>
  <c r="C29" i="31"/>
  <c r="J5" i="31"/>
  <c r="J4" i="31"/>
  <c r="R5" i="5"/>
  <c r="R6" i="5"/>
  <c r="R7" i="5"/>
  <c r="R8" i="5"/>
  <c r="R9" i="5"/>
  <c r="R11" i="5"/>
  <c r="R13" i="5"/>
  <c r="R14" i="5"/>
  <c r="E32" i="31"/>
  <c r="D32" i="31"/>
  <c r="G31" i="31"/>
  <c r="F31" i="31"/>
  <c r="E31" i="31"/>
  <c r="G30" i="31"/>
  <c r="F30" i="31"/>
  <c r="E30" i="31"/>
  <c r="C30" i="31"/>
  <c r="G29" i="31"/>
  <c r="F29" i="31"/>
  <c r="G24" i="31"/>
  <c r="F24" i="31"/>
  <c r="F37" i="31" s="1"/>
  <c r="D24" i="31"/>
  <c r="D37" i="31" s="1"/>
  <c r="C24" i="31"/>
  <c r="C19" i="31"/>
  <c r="C32" i="31" s="1"/>
  <c r="E17" i="31"/>
  <c r="D17" i="31"/>
  <c r="D30" i="31" s="1"/>
  <c r="G16" i="31"/>
  <c r="F16" i="31"/>
  <c r="C35" i="31"/>
  <c r="G34" i="31"/>
  <c r="F34" i="31"/>
  <c r="E34" i="31"/>
  <c r="D34" i="31"/>
  <c r="C34" i="31"/>
  <c r="G37" i="31"/>
  <c r="E24" i="31"/>
  <c r="E37" i="31" s="1"/>
  <c r="C37" i="31"/>
  <c r="G23" i="31"/>
  <c r="G36" i="31" s="1"/>
  <c r="F23" i="31"/>
  <c r="F36" i="31" s="1"/>
  <c r="E23" i="31"/>
  <c r="E36" i="31" s="1"/>
  <c r="D23" i="31"/>
  <c r="D36" i="31" s="1"/>
  <c r="C23" i="31"/>
  <c r="C36" i="31" s="1"/>
  <c r="G22" i="31"/>
  <c r="G35" i="31" s="1"/>
  <c r="F22" i="31"/>
  <c r="F35" i="31" s="1"/>
  <c r="E22" i="31"/>
  <c r="E35" i="31" s="1"/>
  <c r="D22" i="31"/>
  <c r="D35" i="31" s="1"/>
  <c r="C22" i="31"/>
  <c r="G21" i="31"/>
  <c r="F21" i="31"/>
  <c r="E21" i="31"/>
  <c r="D21" i="31"/>
  <c r="C21" i="31"/>
  <c r="G20" i="31"/>
  <c r="G33" i="31" s="1"/>
  <c r="F20" i="31"/>
  <c r="F33" i="31" s="1"/>
  <c r="E20" i="31"/>
  <c r="E33" i="31" s="1"/>
  <c r="D20" i="31"/>
  <c r="D33" i="31" s="1"/>
  <c r="C20" i="31"/>
  <c r="C33" i="31" s="1"/>
  <c r="G19" i="31"/>
  <c r="G32" i="31" s="1"/>
  <c r="F19" i="31"/>
  <c r="F32" i="31" s="1"/>
  <c r="E19" i="31"/>
  <c r="D19" i="31"/>
  <c r="G18" i="31"/>
  <c r="F18" i="31"/>
  <c r="E18" i="31"/>
  <c r="D18" i="31"/>
  <c r="D31" i="31" s="1"/>
  <c r="G17" i="31"/>
  <c r="F17" i="31"/>
  <c r="C17" i="31"/>
  <c r="N12" i="31"/>
  <c r="M12" i="31"/>
  <c r="L12" i="31"/>
  <c r="K12" i="31"/>
  <c r="J12" i="31"/>
  <c r="I12" i="31"/>
  <c r="H12" i="31"/>
  <c r="N11" i="31"/>
  <c r="M11" i="31"/>
  <c r="L11" i="31"/>
  <c r="K11" i="31"/>
  <c r="J11" i="31"/>
  <c r="I11" i="31"/>
  <c r="H11" i="31"/>
  <c r="N10" i="31"/>
  <c r="M10" i="31"/>
  <c r="L10" i="31"/>
  <c r="K10" i="31"/>
  <c r="J10" i="31"/>
  <c r="I10" i="31"/>
  <c r="H10" i="31"/>
  <c r="N9" i="31"/>
  <c r="M9" i="31"/>
  <c r="L9" i="31"/>
  <c r="K9" i="31"/>
  <c r="J9" i="31"/>
  <c r="I9" i="31"/>
  <c r="H9" i="31"/>
  <c r="N8" i="31"/>
  <c r="M8" i="31"/>
  <c r="L8" i="31"/>
  <c r="K8" i="31"/>
  <c r="J8" i="31"/>
  <c r="I8" i="31"/>
  <c r="H8" i="31"/>
  <c r="N7" i="31"/>
  <c r="M7" i="31"/>
  <c r="L7" i="31"/>
  <c r="K7" i="31"/>
  <c r="J7" i="31"/>
  <c r="I7" i="31"/>
  <c r="H7" i="31"/>
  <c r="N6" i="31"/>
  <c r="M6" i="31"/>
  <c r="L6" i="31"/>
  <c r="K6" i="31"/>
  <c r="J6" i="31"/>
  <c r="I6" i="31"/>
  <c r="H6" i="31"/>
  <c r="N5" i="31"/>
  <c r="M5" i="31"/>
  <c r="L5" i="31"/>
  <c r="K5" i="31"/>
  <c r="I5" i="31"/>
  <c r="H5" i="31"/>
  <c r="N4" i="31"/>
  <c r="M4" i="31"/>
  <c r="L4" i="31"/>
  <c r="K4" i="31"/>
  <c r="I4" i="31"/>
  <c r="H4" i="31"/>
  <c r="H3" i="31"/>
  <c r="K43" i="9" l="1"/>
  <c r="H42" i="9"/>
  <c r="L42" i="9"/>
  <c r="H43" i="9"/>
  <c r="K42" i="9"/>
  <c r="H41" i="9"/>
  <c r="J43" i="9"/>
  <c r="L43" i="9"/>
  <c r="L44" i="9" s="1"/>
  <c r="I43" i="9"/>
  <c r="K40" i="9"/>
  <c r="L40" i="9"/>
  <c r="L41" i="9"/>
  <c r="J40" i="9"/>
  <c r="W4" i="33" s="1"/>
  <c r="W130" i="33" s="1"/>
  <c r="AF12" i="33"/>
  <c r="AF138" i="33" s="1"/>
  <c r="AK7" i="33"/>
  <c r="AK133" i="33" s="1"/>
  <c r="AK6" i="33"/>
  <c r="AK132" i="33" s="1"/>
  <c r="AB10" i="33"/>
  <c r="AB136" i="33" s="1"/>
  <c r="AI11" i="33"/>
  <c r="AI137" i="33" s="1"/>
  <c r="Z5" i="33"/>
  <c r="Z131" i="33" s="1"/>
  <c r="AG9" i="33"/>
  <c r="AG135" i="33" s="1"/>
  <c r="AH4" i="33"/>
  <c r="AH130" i="33" s="1"/>
  <c r="AK8" i="33"/>
  <c r="AK134" i="33" s="1"/>
  <c r="AL10" i="33"/>
  <c r="AL116" i="33"/>
  <c r="AL103" i="33"/>
  <c r="AL90" i="33"/>
  <c r="AL8" i="33"/>
  <c r="AH8" i="33"/>
  <c r="AH134" i="33" s="1"/>
  <c r="AK90" i="33"/>
  <c r="AK103" i="33"/>
  <c r="AK116" i="33"/>
  <c r="AI7" i="33"/>
  <c r="AI133" i="33" s="1"/>
  <c r="AK5" i="33"/>
  <c r="AK131" i="33" s="1"/>
  <c r="AL5" i="33"/>
  <c r="AJ4" i="33"/>
  <c r="AJ130" i="33" s="1"/>
  <c r="AL4" i="33"/>
  <c r="AM11" i="33"/>
  <c r="AJ103" i="33"/>
  <c r="AJ90" i="33"/>
  <c r="AJ116" i="33"/>
  <c r="AK12" i="33"/>
  <c r="AK138" i="33" s="1"/>
  <c r="AL13" i="33"/>
  <c r="AL9" i="33"/>
  <c r="AK11" i="33"/>
  <c r="AK137" i="33" s="1"/>
  <c r="AL12" i="33"/>
  <c r="AM103" i="33"/>
  <c r="AM90" i="33"/>
  <c r="AI90" i="33"/>
  <c r="AI116" i="33"/>
  <c r="AI103" i="33"/>
  <c r="AK10" i="33"/>
  <c r="AK136" i="33" s="1"/>
  <c r="AL11" i="33"/>
  <c r="AG10" i="33"/>
  <c r="AG136" i="33" s="1"/>
  <c r="AG8" i="33"/>
  <c r="AG134" i="33" s="1"/>
  <c r="AG116" i="33"/>
  <c r="AG103" i="33"/>
  <c r="AG90" i="33"/>
  <c r="AG7" i="33"/>
  <c r="AG133" i="33" s="1"/>
  <c r="AG4" i="33"/>
  <c r="AG130" i="33" s="1"/>
  <c r="AG6" i="33"/>
  <c r="AG132" i="33" s="1"/>
  <c r="AG13" i="33"/>
  <c r="AG139" i="33" s="1"/>
  <c r="AG5" i="33"/>
  <c r="AG131" i="33" s="1"/>
  <c r="AG12" i="33"/>
  <c r="AG138" i="33" s="1"/>
  <c r="AG11" i="33"/>
  <c r="AG137" i="33" s="1"/>
  <c r="AD8" i="33"/>
  <c r="AD134" i="33" s="1"/>
  <c r="AB11" i="33"/>
  <c r="AB137" i="33" s="1"/>
  <c r="AD10" i="33"/>
  <c r="AD136" i="33" s="1"/>
  <c r="AE8" i="33"/>
  <c r="AD103" i="33"/>
  <c r="AD116" i="33"/>
  <c r="AD90" i="33"/>
  <c r="AB8" i="33"/>
  <c r="AB134" i="33" s="1"/>
  <c r="AD7" i="33"/>
  <c r="AD133" i="33" s="1"/>
  <c r="AF11" i="33"/>
  <c r="AF137" i="33" s="1"/>
  <c r="AB7" i="33"/>
  <c r="AB133" i="33" s="1"/>
  <c r="AD6" i="33"/>
  <c r="AD132" i="33" s="1"/>
  <c r="AF10" i="33"/>
  <c r="AF136" i="33" s="1"/>
  <c r="AC90" i="33"/>
  <c r="AC103" i="33"/>
  <c r="AC116" i="33"/>
  <c r="AB6" i="33"/>
  <c r="AB132" i="33" s="1"/>
  <c r="AD5" i="33"/>
  <c r="AD131" i="33" s="1"/>
  <c r="AF8" i="33"/>
  <c r="AF134" i="33" s="1"/>
  <c r="AB4" i="33"/>
  <c r="AB130" i="33" s="1"/>
  <c r="AB5" i="33"/>
  <c r="AB131" i="33" s="1"/>
  <c r="AE4" i="33"/>
  <c r="AF7" i="33"/>
  <c r="AF133" i="33" s="1"/>
  <c r="AB103" i="33"/>
  <c r="AB90" i="33"/>
  <c r="AB116" i="33"/>
  <c r="AB13" i="33"/>
  <c r="AD12" i="33"/>
  <c r="AD138" i="33" s="1"/>
  <c r="AE12" i="33"/>
  <c r="AF6" i="33"/>
  <c r="AF132" i="33" s="1"/>
  <c r="AE90" i="33"/>
  <c r="AE103" i="33"/>
  <c r="AE116" i="33"/>
  <c r="AF90" i="33"/>
  <c r="AF103" i="33"/>
  <c r="AF116" i="33"/>
  <c r="AB12" i="33"/>
  <c r="AB138" i="33" s="1"/>
  <c r="AD11" i="33"/>
  <c r="AD137" i="33" s="1"/>
  <c r="AE9" i="33"/>
  <c r="AF5" i="33"/>
  <c r="AF131" i="33" s="1"/>
  <c r="Z9" i="33"/>
  <c r="Z135" i="33" s="1"/>
  <c r="Z90" i="33"/>
  <c r="Z116" i="33"/>
  <c r="Z103" i="33"/>
  <c r="Z11" i="33"/>
  <c r="Z137" i="33" s="1"/>
  <c r="J36" i="49"/>
  <c r="N11" i="33"/>
  <c r="N137" i="33" s="1"/>
  <c r="K44" i="9"/>
  <c r="AK140" i="33"/>
  <c r="AD4" i="33"/>
  <c r="AD130" i="33" s="1"/>
  <c r="AF4" i="33"/>
  <c r="AF130" i="33" s="1"/>
  <c r="AI4" i="33"/>
  <c r="AK4" i="33"/>
  <c r="AK130" i="33" s="1"/>
  <c r="AM4" i="33"/>
  <c r="AM116" i="33" s="1"/>
  <c r="AD140" i="33"/>
  <c r="AD13" i="33"/>
  <c r="AF13" i="33"/>
  <c r="AF139" i="33" s="1"/>
  <c r="AI13" i="33"/>
  <c r="AI139" i="33" s="1"/>
  <c r="AK13" i="33"/>
  <c r="AM13" i="33"/>
  <c r="J42" i="9"/>
  <c r="T9" i="33"/>
  <c r="T135" i="33" s="1"/>
  <c r="AJ140" i="33"/>
  <c r="AI12" i="33"/>
  <c r="AI138" i="33" s="1"/>
  <c r="AM12" i="33"/>
  <c r="I42" i="9"/>
  <c r="J13" i="33" s="1"/>
  <c r="J139" i="33" s="1"/>
  <c r="AC140" i="33"/>
  <c r="S9" i="33"/>
  <c r="S135" i="33" s="1"/>
  <c r="T12" i="33"/>
  <c r="T138" i="33" s="1"/>
  <c r="R9" i="33"/>
  <c r="R135" i="33" s="1"/>
  <c r="AI10" i="33"/>
  <c r="AM10" i="33"/>
  <c r="AI140" i="33"/>
  <c r="K41" i="9"/>
  <c r="S12" i="33"/>
  <c r="S138" i="33" s="1"/>
  <c r="W8" i="33"/>
  <c r="W134" i="33" s="1"/>
  <c r="AB140" i="33"/>
  <c r="AB9" i="33"/>
  <c r="AB135" i="33" s="1"/>
  <c r="AD9" i="33"/>
  <c r="AD135" i="33" s="1"/>
  <c r="AF9" i="33"/>
  <c r="AF135" i="33" s="1"/>
  <c r="AI9" i="33"/>
  <c r="AK9" i="33"/>
  <c r="AK135" i="33" s="1"/>
  <c r="AM9" i="33"/>
  <c r="J41" i="9"/>
  <c r="T5" i="33"/>
  <c r="T131" i="33" s="1"/>
  <c r="AI8" i="33"/>
  <c r="AI134" i="33" s="1"/>
  <c r="AM8" i="33"/>
  <c r="I41" i="9"/>
  <c r="AM7" i="33"/>
  <c r="U14" i="5"/>
  <c r="Q11" i="33"/>
  <c r="Q137" i="33" s="1"/>
  <c r="V11" i="33"/>
  <c r="V137" i="33" s="1"/>
  <c r="Z13" i="33"/>
  <c r="Z139" i="33" s="1"/>
  <c r="AI6" i="33"/>
  <c r="AI132" i="33" s="1"/>
  <c r="AM6" i="33"/>
  <c r="H40" i="9"/>
  <c r="Q10" i="33"/>
  <c r="Q136" i="33" s="1"/>
  <c r="U11" i="33"/>
  <c r="U137" i="33" s="1"/>
  <c r="Z12" i="33"/>
  <c r="Z138" i="33" s="1"/>
  <c r="AI5" i="33"/>
  <c r="AI131" i="33" s="1"/>
  <c r="AM5" i="33"/>
  <c r="AA14" i="33"/>
  <c r="S14" i="33"/>
  <c r="U14" i="33"/>
  <c r="T11" i="33"/>
  <c r="T137" i="33" s="1"/>
  <c r="V4" i="33"/>
  <c r="AA4" i="33"/>
  <c r="AA130" i="33" s="1"/>
  <c r="AC4" i="33"/>
  <c r="AC130" i="33" s="1"/>
  <c r="I40" i="9"/>
  <c r="W7" i="33"/>
  <c r="W133" i="33" s="1"/>
  <c r="Z10" i="33"/>
  <c r="AA13" i="33"/>
  <c r="AA139" i="33" s="1"/>
  <c r="AC13" i="33"/>
  <c r="AC139" i="33" s="1"/>
  <c r="AE13" i="33"/>
  <c r="AH13" i="33"/>
  <c r="AH139" i="33" s="1"/>
  <c r="AJ13" i="33"/>
  <c r="AJ139" i="33" s="1"/>
  <c r="Q7" i="33"/>
  <c r="Q133" i="33" s="1"/>
  <c r="V7" i="33"/>
  <c r="AA12" i="33"/>
  <c r="AA138" i="33" s="1"/>
  <c r="AC12" i="33"/>
  <c r="AC138" i="33" s="1"/>
  <c r="AH12" i="33"/>
  <c r="AH138" i="33" s="1"/>
  <c r="AJ12" i="33"/>
  <c r="AJ138" i="33" s="1"/>
  <c r="T4" i="33"/>
  <c r="T130" i="33" s="1"/>
  <c r="W10" i="33"/>
  <c r="W136" i="33" s="1"/>
  <c r="U7" i="33"/>
  <c r="U133" i="33" s="1"/>
  <c r="Z8" i="33"/>
  <c r="Z134" i="33" s="1"/>
  <c r="AA11" i="33"/>
  <c r="AA137" i="33" s="1"/>
  <c r="AC11" i="33"/>
  <c r="AC137" i="33" s="1"/>
  <c r="AE11" i="33"/>
  <c r="AH11" i="33"/>
  <c r="AH137" i="33" s="1"/>
  <c r="AJ11" i="33"/>
  <c r="Q5" i="33"/>
  <c r="Q131" i="33" s="1"/>
  <c r="Z7" i="33"/>
  <c r="Z133" i="33" s="1"/>
  <c r="AA10" i="33"/>
  <c r="AA136" i="33" s="1"/>
  <c r="AC10" i="33"/>
  <c r="AC136" i="33" s="1"/>
  <c r="AE10" i="33"/>
  <c r="AH10" i="33"/>
  <c r="AH136" i="33" s="1"/>
  <c r="AJ10" i="33"/>
  <c r="AJ136" i="33" s="1"/>
  <c r="Z140" i="33"/>
  <c r="Z6" i="33"/>
  <c r="Z132" i="33" s="1"/>
  <c r="AA9" i="33"/>
  <c r="AA135" i="33" s="1"/>
  <c r="AC9" i="33"/>
  <c r="AC135" i="33" s="1"/>
  <c r="AH9" i="33"/>
  <c r="AH135" i="33" s="1"/>
  <c r="AJ9" i="33"/>
  <c r="AJ135" i="33" s="1"/>
  <c r="AH14" i="33"/>
  <c r="AA8" i="33"/>
  <c r="AA134" i="33" s="1"/>
  <c r="AC8" i="33"/>
  <c r="AC134" i="33" s="1"/>
  <c r="AJ8" i="33"/>
  <c r="AJ134" i="33" s="1"/>
  <c r="R7" i="33"/>
  <c r="R133" i="33" s="1"/>
  <c r="U13" i="33"/>
  <c r="U139" i="33" s="1"/>
  <c r="AF140" i="33"/>
  <c r="AG140" i="33"/>
  <c r="AA7" i="33"/>
  <c r="AA133" i="33" s="1"/>
  <c r="AC7" i="33"/>
  <c r="AC133" i="33" s="1"/>
  <c r="AE7" i="33"/>
  <c r="AH7" i="33"/>
  <c r="AH133" i="33" s="1"/>
  <c r="AJ7" i="33"/>
  <c r="AJ133" i="33" s="1"/>
  <c r="AL7" i="33"/>
  <c r="T13" i="33"/>
  <c r="T139" i="33" s="1"/>
  <c r="V6" i="33"/>
  <c r="V132" i="33" s="1"/>
  <c r="Z4" i="33"/>
  <c r="Z130" i="33" s="1"/>
  <c r="AA6" i="33"/>
  <c r="AA132" i="33" s="1"/>
  <c r="AC6" i="33"/>
  <c r="AC132" i="33" s="1"/>
  <c r="AE6" i="33"/>
  <c r="AH6" i="33"/>
  <c r="AH132" i="33" s="1"/>
  <c r="AJ6" i="33"/>
  <c r="AJ132" i="33" s="1"/>
  <c r="AL6" i="33"/>
  <c r="S13" i="33"/>
  <c r="S139" i="33" s="1"/>
  <c r="W9" i="33"/>
  <c r="W135" i="33" s="1"/>
  <c r="AC5" i="33"/>
  <c r="AC131" i="33" s="1"/>
  <c r="AE5" i="33"/>
  <c r="AE25" i="33" s="1"/>
  <c r="AJ5" i="33"/>
  <c r="AJ131" i="33" s="1"/>
  <c r="G47" i="33"/>
  <c r="F47" i="33"/>
  <c r="H47" i="33"/>
  <c r="C48" i="33"/>
  <c r="B49" i="33"/>
  <c r="D49" i="33"/>
  <c r="E48" i="33"/>
  <c r="H44" i="33"/>
  <c r="H77" i="33" s="1"/>
  <c r="H78" i="33" s="1"/>
  <c r="H79" i="33" s="1"/>
  <c r="H80" i="33" s="1"/>
  <c r="H81" i="33" s="1"/>
  <c r="H82" i="33" s="1"/>
  <c r="H83" i="33" s="1"/>
  <c r="H84" i="33" s="1"/>
  <c r="H85" i="33" s="1"/>
  <c r="H86" i="33" s="1"/>
  <c r="D48" i="33"/>
  <c r="H48" i="33"/>
  <c r="G48" i="33"/>
  <c r="B48" i="33"/>
  <c r="B42" i="33"/>
  <c r="B65" i="33" s="1"/>
  <c r="B66" i="33" s="1"/>
  <c r="B67" i="33" s="1"/>
  <c r="B68" i="33" s="1"/>
  <c r="B69" i="33" s="1"/>
  <c r="B70" i="33" s="1"/>
  <c r="B71" i="33" s="1"/>
  <c r="B72" i="33" s="1"/>
  <c r="B73" i="33" s="1"/>
  <c r="B74" i="33" s="1"/>
  <c r="C37" i="33"/>
  <c r="D47" i="33"/>
  <c r="F42" i="33"/>
  <c r="F65" i="33" s="1"/>
  <c r="F66" i="33" s="1"/>
  <c r="F67" i="33" s="1"/>
  <c r="F68" i="33" s="1"/>
  <c r="F69" i="33" s="1"/>
  <c r="F70" i="33" s="1"/>
  <c r="F71" i="33" s="1"/>
  <c r="F72" i="33" s="1"/>
  <c r="F73" i="33" s="1"/>
  <c r="F74" i="33" s="1"/>
  <c r="B47" i="33"/>
  <c r="C47" i="33"/>
  <c r="E47" i="33"/>
  <c r="E42" i="33"/>
  <c r="E65" i="33" s="1"/>
  <c r="E66" i="33" s="1"/>
  <c r="E67" i="33" s="1"/>
  <c r="E68" i="33" s="1"/>
  <c r="E69" i="33" s="1"/>
  <c r="E70" i="33" s="1"/>
  <c r="E71" i="33" s="1"/>
  <c r="E72" i="33" s="1"/>
  <c r="E73" i="33" s="1"/>
  <c r="E74" i="33" s="1"/>
  <c r="H49" i="33"/>
  <c r="G49" i="33"/>
  <c r="F49" i="33"/>
  <c r="E49" i="33"/>
  <c r="C49" i="33"/>
  <c r="G44" i="33"/>
  <c r="G77" i="33" s="1"/>
  <c r="G78" i="33" s="1"/>
  <c r="G79" i="33" s="1"/>
  <c r="G80" i="33" s="1"/>
  <c r="G81" i="33" s="1"/>
  <c r="G82" i="33" s="1"/>
  <c r="G83" i="33" s="1"/>
  <c r="G84" i="33" s="1"/>
  <c r="G85" i="33" s="1"/>
  <c r="G86" i="33" s="1"/>
  <c r="G38" i="33"/>
  <c r="B44" i="33"/>
  <c r="F44" i="33"/>
  <c r="F77" i="33" s="1"/>
  <c r="F78" i="33" s="1"/>
  <c r="F79" i="33" s="1"/>
  <c r="F80" i="33" s="1"/>
  <c r="F81" i="33" s="1"/>
  <c r="F82" i="33" s="1"/>
  <c r="F83" i="33" s="1"/>
  <c r="F84" i="33" s="1"/>
  <c r="F85" i="33" s="1"/>
  <c r="F86" i="33" s="1"/>
  <c r="E44" i="33"/>
  <c r="E77" i="33" s="1"/>
  <c r="E78" i="33" s="1"/>
  <c r="E79" i="33" s="1"/>
  <c r="E80" i="33" s="1"/>
  <c r="E81" i="33" s="1"/>
  <c r="E82" i="33" s="1"/>
  <c r="E83" i="33" s="1"/>
  <c r="E84" i="33" s="1"/>
  <c r="E85" i="33" s="1"/>
  <c r="E86" i="33" s="1"/>
  <c r="D44" i="33"/>
  <c r="D77" i="33" s="1"/>
  <c r="D78" i="33" s="1"/>
  <c r="D79" i="33" s="1"/>
  <c r="D80" i="33" s="1"/>
  <c r="D81" i="33" s="1"/>
  <c r="D82" i="33" s="1"/>
  <c r="D83" i="33" s="1"/>
  <c r="D84" i="33" s="1"/>
  <c r="D85" i="33" s="1"/>
  <c r="D86" i="33" s="1"/>
  <c r="H42" i="33"/>
  <c r="H65" i="33" s="1"/>
  <c r="H66" i="33" s="1"/>
  <c r="H67" i="33" s="1"/>
  <c r="H68" i="33" s="1"/>
  <c r="H69" i="33" s="1"/>
  <c r="H70" i="33" s="1"/>
  <c r="H71" i="33" s="1"/>
  <c r="H72" i="33" s="1"/>
  <c r="H73" i="33" s="1"/>
  <c r="H74" i="33" s="1"/>
  <c r="D42" i="33"/>
  <c r="D65" i="33" s="1"/>
  <c r="D66" i="33" s="1"/>
  <c r="D67" i="33" s="1"/>
  <c r="D68" i="33" s="1"/>
  <c r="D69" i="33" s="1"/>
  <c r="D70" i="33" s="1"/>
  <c r="D71" i="33" s="1"/>
  <c r="D72" i="33" s="1"/>
  <c r="D73" i="33" s="1"/>
  <c r="D74" i="33" s="1"/>
  <c r="H35" i="33"/>
  <c r="F48" i="33"/>
  <c r="G42" i="33"/>
  <c r="G65" i="33" s="1"/>
  <c r="G66" i="33" s="1"/>
  <c r="G67" i="33" s="1"/>
  <c r="G68" i="33" s="1"/>
  <c r="G69" i="33" s="1"/>
  <c r="G70" i="33" s="1"/>
  <c r="G71" i="33" s="1"/>
  <c r="G72" i="33" s="1"/>
  <c r="G73" i="33" s="1"/>
  <c r="G74" i="33" s="1"/>
  <c r="B41" i="33"/>
  <c r="B53" i="33" s="1"/>
  <c r="B54" i="33" s="1"/>
  <c r="B55" i="33" s="1"/>
  <c r="B56" i="33" s="1"/>
  <c r="B57" i="33" s="1"/>
  <c r="B58" i="33" s="1"/>
  <c r="B59" i="33" s="1"/>
  <c r="B60" i="33" s="1"/>
  <c r="B61" i="33" s="1"/>
  <c r="B62" i="33" s="1"/>
  <c r="E41" i="33"/>
  <c r="E53" i="33" s="1"/>
  <c r="E54" i="33" s="1"/>
  <c r="E55" i="33" s="1"/>
  <c r="E56" i="33" s="1"/>
  <c r="E57" i="33" s="1"/>
  <c r="E58" i="33" s="1"/>
  <c r="E59" i="33" s="1"/>
  <c r="E60" i="33" s="1"/>
  <c r="E61" i="33" s="1"/>
  <c r="E62" i="33" s="1"/>
  <c r="E43" i="33"/>
  <c r="H41" i="33"/>
  <c r="H53" i="33" s="1"/>
  <c r="H54" i="33" s="1"/>
  <c r="H55" i="33" s="1"/>
  <c r="H56" i="33" s="1"/>
  <c r="H57" i="33" s="1"/>
  <c r="H58" i="33" s="1"/>
  <c r="H59" i="33" s="1"/>
  <c r="H60" i="33" s="1"/>
  <c r="H61" i="33" s="1"/>
  <c r="H62" i="33" s="1"/>
  <c r="D37" i="33"/>
  <c r="F41" i="33"/>
  <c r="F53" i="33" s="1"/>
  <c r="F54" i="33" s="1"/>
  <c r="F55" i="33" s="1"/>
  <c r="F56" i="33" s="1"/>
  <c r="F57" i="33" s="1"/>
  <c r="F58" i="33" s="1"/>
  <c r="F59" i="33" s="1"/>
  <c r="F60" i="33" s="1"/>
  <c r="F61" i="33" s="1"/>
  <c r="F62" i="33" s="1"/>
  <c r="D35" i="33"/>
  <c r="H43" i="33"/>
  <c r="F43" i="33"/>
  <c r="D43" i="33"/>
  <c r="D41" i="33"/>
  <c r="D53" i="33" s="1"/>
  <c r="D54" i="33" s="1"/>
  <c r="D55" i="33" s="1"/>
  <c r="D56" i="33" s="1"/>
  <c r="D57" i="33" s="1"/>
  <c r="D58" i="33" s="1"/>
  <c r="D59" i="33" s="1"/>
  <c r="D60" i="33" s="1"/>
  <c r="D61" i="33" s="1"/>
  <c r="D62" i="33" s="1"/>
  <c r="C35" i="33"/>
  <c r="G36" i="33"/>
  <c r="C43" i="33"/>
  <c r="C42" i="33"/>
  <c r="C65" i="33" s="1"/>
  <c r="C66" i="33" s="1"/>
  <c r="C67" i="33" s="1"/>
  <c r="C68" i="33" s="1"/>
  <c r="C69" i="33" s="1"/>
  <c r="C70" i="33" s="1"/>
  <c r="C71" i="33" s="1"/>
  <c r="C72" i="33" s="1"/>
  <c r="C73" i="33" s="1"/>
  <c r="C74" i="33" s="1"/>
  <c r="F36" i="33"/>
  <c r="E36" i="33"/>
  <c r="D36" i="33"/>
  <c r="F37" i="33"/>
  <c r="G41" i="33"/>
  <c r="G53" i="33" s="1"/>
  <c r="G54" i="33" s="1"/>
  <c r="G55" i="33" s="1"/>
  <c r="G56" i="33" s="1"/>
  <c r="G57" i="33" s="1"/>
  <c r="G58" i="33" s="1"/>
  <c r="G59" i="33" s="1"/>
  <c r="G60" i="33" s="1"/>
  <c r="G61" i="33" s="1"/>
  <c r="G62" i="33" s="1"/>
  <c r="G43" i="33"/>
  <c r="B43" i="33"/>
  <c r="C44" i="33"/>
  <c r="C77" i="33" s="1"/>
  <c r="C78" i="33" s="1"/>
  <c r="C79" i="33" s="1"/>
  <c r="C80" i="33" s="1"/>
  <c r="C81" i="33" s="1"/>
  <c r="C82" i="33" s="1"/>
  <c r="C83" i="33" s="1"/>
  <c r="C84" i="33" s="1"/>
  <c r="C85" i="33" s="1"/>
  <c r="C86" i="33" s="1"/>
  <c r="C36" i="33"/>
  <c r="C41" i="33"/>
  <c r="C53" i="33" s="1"/>
  <c r="C54" i="33" s="1"/>
  <c r="C55" i="33" s="1"/>
  <c r="C56" i="33" s="1"/>
  <c r="C57" i="33" s="1"/>
  <c r="C58" i="33" s="1"/>
  <c r="C59" i="33" s="1"/>
  <c r="C60" i="33" s="1"/>
  <c r="C61" i="33" s="1"/>
  <c r="C62" i="33" s="1"/>
  <c r="AF32" i="33"/>
  <c r="E37" i="33"/>
  <c r="H36" i="33"/>
  <c r="C38" i="33"/>
  <c r="H37" i="33"/>
  <c r="B36" i="33"/>
  <c r="E38" i="33"/>
  <c r="D38" i="33"/>
  <c r="F38" i="33"/>
  <c r="G37" i="33"/>
  <c r="E35" i="33"/>
  <c r="F35" i="33"/>
  <c r="G35" i="33"/>
  <c r="H38" i="33"/>
  <c r="AE24" i="33"/>
  <c r="AG27" i="33"/>
  <c r="B35" i="33"/>
  <c r="B37" i="33"/>
  <c r="B38" i="33"/>
  <c r="C44" i="31"/>
  <c r="C43" i="31"/>
  <c r="C42" i="31"/>
  <c r="C41" i="31"/>
  <c r="D44" i="31"/>
  <c r="D43" i="31"/>
  <c r="D41" i="31"/>
  <c r="D42" i="31"/>
  <c r="E43" i="31"/>
  <c r="E42" i="31"/>
  <c r="E44" i="31"/>
  <c r="E41" i="31"/>
  <c r="F44" i="31"/>
  <c r="F43" i="31"/>
  <c r="F42" i="31"/>
  <c r="F41" i="31"/>
  <c r="G44" i="31"/>
  <c r="G41" i="31"/>
  <c r="G42" i="31"/>
  <c r="G43" i="31"/>
  <c r="H25" i="31"/>
  <c r="J44" i="9" l="1"/>
  <c r="R10" i="33"/>
  <c r="R136" i="33" s="1"/>
  <c r="Q6" i="33"/>
  <c r="Q132" i="33" s="1"/>
  <c r="R11" i="33"/>
  <c r="R137" i="33" s="1"/>
  <c r="U4" i="33"/>
  <c r="U130" i="33" s="1"/>
  <c r="R8" i="33"/>
  <c r="R134" i="33" s="1"/>
  <c r="Q14" i="33"/>
  <c r="Q103" i="33" s="1"/>
  <c r="Q4" i="33"/>
  <c r="Q130" i="33" s="1"/>
  <c r="W5" i="33"/>
  <c r="W131" i="33" s="1"/>
  <c r="R6" i="33"/>
  <c r="R132" i="33" s="1"/>
  <c r="T10" i="33"/>
  <c r="T136" i="33" s="1"/>
  <c r="S7" i="33"/>
  <c r="S133" i="33" s="1"/>
  <c r="R14" i="33"/>
  <c r="R103" i="33" s="1"/>
  <c r="S11" i="33"/>
  <c r="S137" i="33" s="1"/>
  <c r="Q9" i="33"/>
  <c r="S5" i="33"/>
  <c r="S131" i="33" s="1"/>
  <c r="V8" i="33"/>
  <c r="V134" i="33" s="1"/>
  <c r="U12" i="33"/>
  <c r="U138" i="33" s="1"/>
  <c r="V12" i="33"/>
  <c r="V138" i="33" s="1"/>
  <c r="S6" i="33"/>
  <c r="S132" i="33" s="1"/>
  <c r="V13" i="33"/>
  <c r="V139" i="33" s="1"/>
  <c r="U10" i="33"/>
  <c r="U136" i="33" s="1"/>
  <c r="R4" i="33"/>
  <c r="R130" i="33" s="1"/>
  <c r="Q8" i="33"/>
  <c r="Q134" i="33" s="1"/>
  <c r="V14" i="33"/>
  <c r="U8" i="33"/>
  <c r="U134" i="33" s="1"/>
  <c r="R12" i="33"/>
  <c r="R138" i="33" s="1"/>
  <c r="U9" i="33"/>
  <c r="U135" i="33" s="1"/>
  <c r="T6" i="33"/>
  <c r="T132" i="33" s="1"/>
  <c r="S32" i="33"/>
  <c r="T7" i="33"/>
  <c r="T133" i="33" s="1"/>
  <c r="W14" i="33"/>
  <c r="W140" i="33" s="1"/>
  <c r="R5" i="33"/>
  <c r="R131" i="33" s="1"/>
  <c r="W11" i="33"/>
  <c r="Q13" i="33"/>
  <c r="Q139" i="33" s="1"/>
  <c r="W12" i="33"/>
  <c r="W138" i="33" s="1"/>
  <c r="V9" i="33"/>
  <c r="V135" i="33" s="1"/>
  <c r="W6" i="33"/>
  <c r="W132" i="33" s="1"/>
  <c r="W13" i="33"/>
  <c r="W139" i="33" s="1"/>
  <c r="U6" i="33"/>
  <c r="U132" i="33" s="1"/>
  <c r="S10" i="33"/>
  <c r="S136" i="33" s="1"/>
  <c r="V10" i="33"/>
  <c r="S4" i="33"/>
  <c r="S130" i="33" s="1"/>
  <c r="T14" i="33"/>
  <c r="S8" i="33"/>
  <c r="S134" i="33" s="1"/>
  <c r="T8" i="33"/>
  <c r="T134" i="33" s="1"/>
  <c r="Q12" i="33"/>
  <c r="Q138" i="33" s="1"/>
  <c r="U5" i="33"/>
  <c r="U131" i="33" s="1"/>
  <c r="V5" i="33"/>
  <c r="V131" i="33" s="1"/>
  <c r="R13" i="33"/>
  <c r="R139" i="33" s="1"/>
  <c r="W24" i="33"/>
  <c r="K11" i="33"/>
  <c r="K137" i="33" s="1"/>
  <c r="R29" i="33"/>
  <c r="W29" i="33"/>
  <c r="O7" i="33"/>
  <c r="O133" i="33" s="1"/>
  <c r="L8" i="33"/>
  <c r="L134" i="33" s="1"/>
  <c r="N42" i="9"/>
  <c r="K7" i="33"/>
  <c r="K133" i="33" s="1"/>
  <c r="N13" i="33"/>
  <c r="N139" i="33" s="1"/>
  <c r="O12" i="33"/>
  <c r="O138" i="33" s="1"/>
  <c r="M9" i="33"/>
  <c r="M135" i="33" s="1"/>
  <c r="M11" i="33"/>
  <c r="M137" i="33" s="1"/>
  <c r="K12" i="33"/>
  <c r="K138" i="33" s="1"/>
  <c r="K8" i="33"/>
  <c r="K134" i="33" s="1"/>
  <c r="O8" i="33"/>
  <c r="O134" i="33" s="1"/>
  <c r="N43" i="9"/>
  <c r="O4" i="33"/>
  <c r="O130" i="33" s="1"/>
  <c r="K4" i="33"/>
  <c r="K130" i="33" s="1"/>
  <c r="L10" i="33"/>
  <c r="L136" i="33" s="1"/>
  <c r="K6" i="33"/>
  <c r="K132" i="33" s="1"/>
  <c r="M5" i="33"/>
  <c r="M131" i="33" s="1"/>
  <c r="P4" i="33"/>
  <c r="P130" i="33" s="1"/>
  <c r="T24" i="33"/>
  <c r="I44" i="9"/>
  <c r="J8" i="33"/>
  <c r="J134" i="33" s="1"/>
  <c r="P13" i="33"/>
  <c r="P139" i="33" s="1"/>
  <c r="P6" i="33"/>
  <c r="P132" i="33" s="1"/>
  <c r="N12" i="33"/>
  <c r="N138" i="33" s="1"/>
  <c r="J11" i="33"/>
  <c r="J137" i="33" s="1"/>
  <c r="L11" i="33"/>
  <c r="L137" i="33" s="1"/>
  <c r="N10" i="33"/>
  <c r="N136" i="33" s="1"/>
  <c r="M13" i="33"/>
  <c r="M139" i="33" s="1"/>
  <c r="L9" i="33"/>
  <c r="L135" i="33" s="1"/>
  <c r="O11" i="33"/>
  <c r="O137" i="33" s="1"/>
  <c r="N41" i="9"/>
  <c r="P7" i="33"/>
  <c r="L7" i="33"/>
  <c r="L133" i="33" s="1"/>
  <c r="K10" i="33"/>
  <c r="P5" i="33"/>
  <c r="M8" i="33"/>
  <c r="M134" i="33" s="1"/>
  <c r="W28" i="33"/>
  <c r="S29" i="33"/>
  <c r="N4" i="33"/>
  <c r="N130" i="33" s="1"/>
  <c r="O13" i="33"/>
  <c r="O32" i="33" s="1"/>
  <c r="N9" i="33"/>
  <c r="N135" i="33" s="1"/>
  <c r="M12" i="33"/>
  <c r="M138" i="33" s="1"/>
  <c r="K5" i="33"/>
  <c r="K131" i="33" s="1"/>
  <c r="W27" i="33"/>
  <c r="T32" i="33"/>
  <c r="U27" i="33"/>
  <c r="Q116" i="33"/>
  <c r="J9" i="33"/>
  <c r="J135" i="33" s="1"/>
  <c r="J7" i="33"/>
  <c r="J133" i="33" s="1"/>
  <c r="M10" i="33"/>
  <c r="M136" i="33" s="1"/>
  <c r="L6" i="33"/>
  <c r="L132" i="33" s="1"/>
  <c r="K9" i="33"/>
  <c r="K135" i="33" s="1"/>
  <c r="J10" i="33"/>
  <c r="J136" i="33" s="1"/>
  <c r="AM27" i="33"/>
  <c r="W90" i="33"/>
  <c r="W116" i="33"/>
  <c r="V90" i="33"/>
  <c r="V116" i="33"/>
  <c r="V140" i="33"/>
  <c r="V103" i="33"/>
  <c r="U116" i="33"/>
  <c r="U103" i="33"/>
  <c r="U90" i="33"/>
  <c r="U140" i="33"/>
  <c r="T103" i="33"/>
  <c r="T90" i="33"/>
  <c r="T116" i="33"/>
  <c r="T140" i="33"/>
  <c r="S90" i="33"/>
  <c r="S116" i="33"/>
  <c r="S140" i="33"/>
  <c r="S103" i="33"/>
  <c r="B77" i="33"/>
  <c r="B78" i="33"/>
  <c r="B79" i="33" s="1"/>
  <c r="B80" i="33" s="1"/>
  <c r="B81" i="33" s="1"/>
  <c r="B82" i="33" s="1"/>
  <c r="B83" i="33" s="1"/>
  <c r="B84" i="33" s="1"/>
  <c r="B85" i="33" s="1"/>
  <c r="B86" i="33" s="1"/>
  <c r="U32" i="33"/>
  <c r="AH25" i="33"/>
  <c r="U31" i="33"/>
  <c r="V27" i="33"/>
  <c r="V133" i="33"/>
  <c r="V130" i="33"/>
  <c r="AL32" i="33"/>
  <c r="AL24" i="33"/>
  <c r="AB32" i="33"/>
  <c r="AM31" i="33"/>
  <c r="AF31" i="33"/>
  <c r="AL28" i="33"/>
  <c r="AF28" i="33"/>
  <c r="AE26" i="33"/>
  <c r="AI24" i="33"/>
  <c r="AJ26" i="33"/>
  <c r="AB139" i="33"/>
  <c r="AB26" i="33"/>
  <c r="AG25" i="33"/>
  <c r="AG16" i="33"/>
  <c r="AB24" i="33"/>
  <c r="Z30" i="33"/>
  <c r="AL31" i="33"/>
  <c r="AK31" i="33"/>
  <c r="AD29" i="33"/>
  <c r="AL26" i="33"/>
  <c r="AH24" i="33"/>
  <c r="AK26" i="33"/>
  <c r="AK25" i="33"/>
  <c r="AE31" i="33"/>
  <c r="AK27" i="33"/>
  <c r="AF26" i="33"/>
  <c r="AF30" i="33"/>
  <c r="AF47" i="33" s="1"/>
  <c r="AB25" i="33"/>
  <c r="AB31" i="33"/>
  <c r="AB30" i="33"/>
  <c r="AC27" i="33"/>
  <c r="AD25" i="33"/>
  <c r="AK17" i="33"/>
  <c r="AK28" i="33"/>
  <c r="AD26" i="33"/>
  <c r="AG28" i="33"/>
  <c r="AJ31" i="33"/>
  <c r="AA25" i="33"/>
  <c r="AJ27" i="33"/>
  <c r="AG29" i="33"/>
  <c r="AE28" i="33"/>
  <c r="AL30" i="33"/>
  <c r="AG26" i="33"/>
  <c r="AD31" i="33"/>
  <c r="AG32" i="33"/>
  <c r="AC17" i="33"/>
  <c r="AC16" i="33"/>
  <c r="AI27" i="33"/>
  <c r="AI26" i="33"/>
  <c r="AB27" i="33"/>
  <c r="AH30" i="33"/>
  <c r="AE27" i="33"/>
  <c r="AE16" i="33"/>
  <c r="AE17" i="33"/>
  <c r="AM25" i="33"/>
  <c r="AL29" i="33"/>
  <c r="AL16" i="33"/>
  <c r="AE18" i="33"/>
  <c r="AL17" i="33"/>
  <c r="AF17" i="33"/>
  <c r="AF27" i="33"/>
  <c r="Z31" i="33"/>
  <c r="AG30" i="33"/>
  <c r="Z28" i="33"/>
  <c r="AG31" i="33"/>
  <c r="AH90" i="33"/>
  <c r="AH116" i="33"/>
  <c r="AH103" i="33"/>
  <c r="AL18" i="33"/>
  <c r="AK29" i="33"/>
  <c r="AL19" i="33"/>
  <c r="AL27" i="33"/>
  <c r="AM28" i="33"/>
  <c r="AK30" i="33"/>
  <c r="AM24" i="33"/>
  <c r="AG18" i="33"/>
  <c r="AG24" i="33"/>
  <c r="AG19" i="33"/>
  <c r="AG17" i="33"/>
  <c r="AD27" i="33"/>
  <c r="AD19" i="33"/>
  <c r="AD28" i="33"/>
  <c r="AD30" i="33"/>
  <c r="AF25" i="33"/>
  <c r="AA27" i="33"/>
  <c r="AA29" i="33"/>
  <c r="AA90" i="33"/>
  <c r="AA103" i="33"/>
  <c r="AA116" i="33"/>
  <c r="AA26" i="33"/>
  <c r="AE19" i="33"/>
  <c r="AF18" i="33"/>
  <c r="Z25" i="33"/>
  <c r="Z19" i="33"/>
  <c r="J37" i="49"/>
  <c r="Q29" i="33"/>
  <c r="AI31" i="33"/>
  <c r="Z24" i="33"/>
  <c r="S25" i="33"/>
  <c r="Z27" i="33"/>
  <c r="Q25" i="33"/>
  <c r="AF19" i="33"/>
  <c r="L29" i="33"/>
  <c r="R30" i="33"/>
  <c r="AJ30" i="33"/>
  <c r="AJ137" i="33"/>
  <c r="Q26" i="33"/>
  <c r="AF29" i="33"/>
  <c r="AI28" i="33"/>
  <c r="AI135" i="33"/>
  <c r="Z26" i="33"/>
  <c r="AF24" i="33"/>
  <c r="Q27" i="33"/>
  <c r="AA28" i="33"/>
  <c r="T30" i="33"/>
  <c r="AF16" i="33"/>
  <c r="AI130" i="33"/>
  <c r="AI17" i="33"/>
  <c r="AI19" i="33"/>
  <c r="U28" i="33"/>
  <c r="AK32" i="33"/>
  <c r="AK139" i="33"/>
  <c r="AM29" i="33"/>
  <c r="AI29" i="33"/>
  <c r="AI136" i="33"/>
  <c r="AA17" i="33"/>
  <c r="V26" i="33"/>
  <c r="AD16" i="33"/>
  <c r="AA16" i="33"/>
  <c r="AM26" i="33"/>
  <c r="AC25" i="33"/>
  <c r="O5" i="33"/>
  <c r="O131" i="33" s="1"/>
  <c r="J4" i="33"/>
  <c r="J130" i="33" s="1"/>
  <c r="R31" i="33"/>
  <c r="H44" i="9"/>
  <c r="N40" i="9"/>
  <c r="AC32" i="33"/>
  <c r="V24" i="33"/>
  <c r="AA19" i="33"/>
  <c r="AH27" i="33"/>
  <c r="M4" i="33"/>
  <c r="M130" i="33" s="1"/>
  <c r="O6" i="33"/>
  <c r="L12" i="33"/>
  <c r="L138" i="33" s="1"/>
  <c r="J14" i="33"/>
  <c r="AI18" i="33"/>
  <c r="AM32" i="33"/>
  <c r="AK24" i="33"/>
  <c r="AC31" i="33"/>
  <c r="AD18" i="33"/>
  <c r="AH28" i="33"/>
  <c r="AD24" i="33"/>
  <c r="AJ24" i="33"/>
  <c r="AJ25" i="33"/>
  <c r="AA31" i="33"/>
  <c r="AJ28" i="33"/>
  <c r="T29" i="33"/>
  <c r="AM19" i="33"/>
  <c r="AB16" i="33"/>
  <c r="AI30" i="33"/>
  <c r="Z32" i="33"/>
  <c r="Z29" i="33"/>
  <c r="Z136" i="33"/>
  <c r="AD32" i="33"/>
  <c r="AD139" i="33"/>
  <c r="J6" i="33"/>
  <c r="J132" i="33" s="1"/>
  <c r="L13" i="33"/>
  <c r="L139" i="33" s="1"/>
  <c r="P8" i="33"/>
  <c r="L14" i="33"/>
  <c r="AI25" i="33"/>
  <c r="AH31" i="33"/>
  <c r="AD17" i="33"/>
  <c r="V31" i="33"/>
  <c r="AM16" i="33"/>
  <c r="AB17" i="33"/>
  <c r="AJ18" i="33"/>
  <c r="AC29" i="33"/>
  <c r="AA140" i="33"/>
  <c r="P10" i="33"/>
  <c r="P136" i="33" s="1"/>
  <c r="P9" i="33"/>
  <c r="P135" i="33" s="1"/>
  <c r="N5" i="33"/>
  <c r="P14" i="33"/>
  <c r="AA32" i="33"/>
  <c r="AI16" i="33"/>
  <c r="AH29" i="33"/>
  <c r="AA24" i="33"/>
  <c r="AJ32" i="33"/>
  <c r="AM30" i="33"/>
  <c r="AM17" i="33"/>
  <c r="AB18" i="33"/>
  <c r="V30" i="33"/>
  <c r="AJ17" i="33"/>
  <c r="AB29" i="33"/>
  <c r="AH26" i="33"/>
  <c r="T31" i="33"/>
  <c r="N7" i="33"/>
  <c r="N133" i="33" s="1"/>
  <c r="N6" i="33"/>
  <c r="N132" i="33" s="1"/>
  <c r="J12" i="33"/>
  <c r="J138" i="33" s="1"/>
  <c r="K14" i="33"/>
  <c r="Z16" i="33"/>
  <c r="Z18" i="33"/>
  <c r="S16" i="33"/>
  <c r="S26" i="33"/>
  <c r="AB28" i="33"/>
  <c r="L4" i="33"/>
  <c r="L130" i="33" s="1"/>
  <c r="K13" i="33"/>
  <c r="P11" i="33"/>
  <c r="P137" i="33" s="1"/>
  <c r="O14" i="33"/>
  <c r="W31" i="33"/>
  <c r="AJ16" i="33"/>
  <c r="AA30" i="33"/>
  <c r="N29" i="33"/>
  <c r="AE30" i="33"/>
  <c r="AK18" i="33"/>
  <c r="AH18" i="33"/>
  <c r="AJ19" i="33"/>
  <c r="Q30" i="33"/>
  <c r="AC26" i="33"/>
  <c r="J5" i="33"/>
  <c r="J131" i="33" s="1"/>
  <c r="O9" i="33"/>
  <c r="N8" i="33"/>
  <c r="N134" i="33" s="1"/>
  <c r="N14" i="33"/>
  <c r="R32" i="33"/>
  <c r="AH32" i="33"/>
  <c r="AM18" i="33"/>
  <c r="AI32" i="33"/>
  <c r="AC30" i="33"/>
  <c r="AJ29" i="33"/>
  <c r="AH19" i="33"/>
  <c r="AE32" i="33"/>
  <c r="O10" i="33"/>
  <c r="O136" i="33" s="1"/>
  <c r="M6" i="33"/>
  <c r="M132" i="33" s="1"/>
  <c r="L5" i="33"/>
  <c r="L131" i="33" s="1"/>
  <c r="M14" i="33"/>
  <c r="V25" i="33"/>
  <c r="R25" i="33"/>
  <c r="AA18" i="33"/>
  <c r="AB19" i="33"/>
  <c r="AH16" i="33"/>
  <c r="AK16" i="33"/>
  <c r="AC19" i="33"/>
  <c r="AL25" i="33"/>
  <c r="AC28" i="33"/>
  <c r="AK19" i="33"/>
  <c r="Z17" i="33"/>
  <c r="AE29" i="33"/>
  <c r="AC18" i="33"/>
  <c r="AH17" i="33"/>
  <c r="U29" i="33"/>
  <c r="AC24" i="33"/>
  <c r="AH140" i="33"/>
  <c r="M7" i="33"/>
  <c r="P12" i="33"/>
  <c r="P138" i="33" s="1"/>
  <c r="W65" i="33"/>
  <c r="W104" i="33" s="1"/>
  <c r="AM65" i="33"/>
  <c r="AM104" i="33" s="1"/>
  <c r="P65" i="33"/>
  <c r="P104" i="33" s="1"/>
  <c r="AF65" i="33"/>
  <c r="AF104" i="33" s="1"/>
  <c r="V65" i="33"/>
  <c r="V104" i="33" s="1"/>
  <c r="O65" i="33"/>
  <c r="O104" i="33" s="1"/>
  <c r="AL65" i="33"/>
  <c r="AL104" i="33" s="1"/>
  <c r="AE65" i="33"/>
  <c r="AE104" i="33" s="1"/>
  <c r="AB53" i="33"/>
  <c r="AB91" i="33" s="1"/>
  <c r="AI53" i="33"/>
  <c r="AI91" i="33" s="1"/>
  <c r="L53" i="33"/>
  <c r="S53" i="33"/>
  <c r="W53" i="33"/>
  <c r="W91" i="33" s="1"/>
  <c r="AM53" i="33"/>
  <c r="AM91" i="33" s="1"/>
  <c r="P53" i="33"/>
  <c r="P91" i="33" s="1"/>
  <c r="AF53" i="33"/>
  <c r="AF91" i="33" s="1"/>
  <c r="AK65" i="33"/>
  <c r="AK104" i="33" s="1"/>
  <c r="N65" i="33"/>
  <c r="N104" i="33" s="1"/>
  <c r="U65" i="33"/>
  <c r="U104" i="33" s="1"/>
  <c r="AD65" i="33"/>
  <c r="AD104" i="33" s="1"/>
  <c r="V53" i="33"/>
  <c r="V91" i="33" s="1"/>
  <c r="O53" i="33"/>
  <c r="O91" i="33" s="1"/>
  <c r="AL53" i="33"/>
  <c r="AL91" i="33" s="1"/>
  <c r="AE53" i="33"/>
  <c r="AE91" i="33" s="1"/>
  <c r="AK53" i="33"/>
  <c r="AK91" i="33" s="1"/>
  <c r="AD53" i="33"/>
  <c r="AD91" i="33" s="1"/>
  <c r="N53" i="33"/>
  <c r="N91" i="33" s="1"/>
  <c r="U53" i="33"/>
  <c r="U91" i="33" s="1"/>
  <c r="AJ53" i="33"/>
  <c r="AJ91" i="33" s="1"/>
  <c r="M53" i="33"/>
  <c r="M91" i="33" s="1"/>
  <c r="AC53" i="33"/>
  <c r="AC91" i="33" s="1"/>
  <c r="T53" i="33"/>
  <c r="T91" i="33" s="1"/>
  <c r="AF48" i="33"/>
  <c r="Q16" i="33" l="1"/>
  <c r="W103" i="33"/>
  <c r="S24" i="33"/>
  <c r="L28" i="33"/>
  <c r="U26" i="33"/>
  <c r="M24" i="33"/>
  <c r="Q24" i="33"/>
  <c r="N31" i="33"/>
  <c r="W32" i="33"/>
  <c r="Q140" i="33"/>
  <c r="Q19" i="33"/>
  <c r="Q31" i="33"/>
  <c r="Q18" i="33"/>
  <c r="Q17" i="33"/>
  <c r="K25" i="33"/>
  <c r="R24" i="33"/>
  <c r="R35" i="33" s="1"/>
  <c r="Q90" i="33"/>
  <c r="P25" i="33"/>
  <c r="Q32" i="33"/>
  <c r="U25" i="33"/>
  <c r="S31" i="33"/>
  <c r="T17" i="33"/>
  <c r="T26" i="33"/>
  <c r="K27" i="33"/>
  <c r="V17" i="33"/>
  <c r="K31" i="33"/>
  <c r="S18" i="33"/>
  <c r="R90" i="33"/>
  <c r="V28" i="33"/>
  <c r="S30" i="33"/>
  <c r="S49" i="33" s="1"/>
  <c r="U24" i="33"/>
  <c r="T19" i="33"/>
  <c r="T27" i="33"/>
  <c r="R16" i="33"/>
  <c r="U18" i="33"/>
  <c r="U17" i="33"/>
  <c r="V32" i="33"/>
  <c r="V47" i="33" s="1"/>
  <c r="R116" i="33"/>
  <c r="W19" i="33"/>
  <c r="S28" i="33"/>
  <c r="S36" i="33" s="1"/>
  <c r="T25" i="33"/>
  <c r="V136" i="33"/>
  <c r="V29" i="33"/>
  <c r="W137" i="33"/>
  <c r="X137" i="33" s="1"/>
  <c r="W30" i="33"/>
  <c r="W49" i="33" s="1"/>
  <c r="T16" i="33"/>
  <c r="R18" i="33"/>
  <c r="S17" i="33"/>
  <c r="U19" i="33"/>
  <c r="S27" i="33"/>
  <c r="W17" i="33"/>
  <c r="R140" i="33"/>
  <c r="R26" i="33"/>
  <c r="R19" i="33"/>
  <c r="R28" i="33"/>
  <c r="R44" i="33" s="1"/>
  <c r="T18" i="33"/>
  <c r="V16" i="33"/>
  <c r="R27" i="33"/>
  <c r="W18" i="33"/>
  <c r="R17" i="33"/>
  <c r="U30" i="33"/>
  <c r="U44" i="33" s="1"/>
  <c r="U16" i="33"/>
  <c r="T28" i="33"/>
  <c r="W25" i="33"/>
  <c r="W26" i="33"/>
  <c r="V18" i="33"/>
  <c r="S19" i="33"/>
  <c r="V19" i="33"/>
  <c r="W16" i="33"/>
  <c r="K30" i="33"/>
  <c r="Q135" i="33"/>
  <c r="Q28" i="33"/>
  <c r="Q43" i="33" s="1"/>
  <c r="M31" i="33"/>
  <c r="M28" i="33"/>
  <c r="M29" i="33"/>
  <c r="K24" i="33"/>
  <c r="O27" i="33"/>
  <c r="J28" i="33"/>
  <c r="R47" i="33"/>
  <c r="M32" i="33"/>
  <c r="Q47" i="33"/>
  <c r="R48" i="33"/>
  <c r="U38" i="33"/>
  <c r="Q48" i="33"/>
  <c r="K28" i="33"/>
  <c r="U43" i="33"/>
  <c r="U48" i="33"/>
  <c r="U47" i="33"/>
  <c r="J103" i="33"/>
  <c r="J90" i="33"/>
  <c r="J140" i="33"/>
  <c r="P133" i="33"/>
  <c r="P26" i="33"/>
  <c r="U49" i="33"/>
  <c r="M30" i="33"/>
  <c r="R37" i="33"/>
  <c r="O139" i="33"/>
  <c r="U37" i="33"/>
  <c r="J29" i="33"/>
  <c r="O31" i="33"/>
  <c r="K26" i="33"/>
  <c r="L27" i="33"/>
  <c r="O30" i="33"/>
  <c r="J30" i="33"/>
  <c r="N32" i="33"/>
  <c r="U42" i="33"/>
  <c r="R41" i="33"/>
  <c r="T48" i="33"/>
  <c r="L30" i="33"/>
  <c r="J27" i="33"/>
  <c r="N30" i="33"/>
  <c r="P131" i="33"/>
  <c r="P24" i="33"/>
  <c r="O19" i="33"/>
  <c r="L26" i="33"/>
  <c r="K136" i="33"/>
  <c r="X136" i="33" s="1"/>
  <c r="K29" i="33"/>
  <c r="AF49" i="33"/>
  <c r="AF43" i="33"/>
  <c r="P116" i="33"/>
  <c r="P90" i="33"/>
  <c r="P103" i="33"/>
  <c r="P140" i="33"/>
  <c r="O116" i="33"/>
  <c r="O90" i="33"/>
  <c r="O140" i="33"/>
  <c r="O103" i="33"/>
  <c r="N19" i="33"/>
  <c r="N103" i="33"/>
  <c r="N116" i="33"/>
  <c r="N90" i="33"/>
  <c r="N140" i="33"/>
  <c r="M103" i="33"/>
  <c r="M116" i="33"/>
  <c r="M140" i="33"/>
  <c r="M90" i="33"/>
  <c r="L103" i="33"/>
  <c r="L90" i="33"/>
  <c r="L116" i="33"/>
  <c r="L140" i="33"/>
  <c r="K90" i="33"/>
  <c r="K140" i="33"/>
  <c r="K116" i="33"/>
  <c r="K103" i="33"/>
  <c r="W48" i="33"/>
  <c r="X9" i="33"/>
  <c r="O135" i="33"/>
  <c r="X135" i="33" s="1"/>
  <c r="W44" i="33"/>
  <c r="AL43" i="33"/>
  <c r="AG35" i="33"/>
  <c r="AG42" i="33"/>
  <c r="AB48" i="33"/>
  <c r="M27" i="33"/>
  <c r="M133" i="33"/>
  <c r="X130" i="33"/>
  <c r="X10" i="33"/>
  <c r="K16" i="33"/>
  <c r="K139" i="33"/>
  <c r="X138" i="33"/>
  <c r="O18" i="33"/>
  <c r="O132" i="33"/>
  <c r="X132" i="33" s="1"/>
  <c r="N17" i="33"/>
  <c r="N131" i="33"/>
  <c r="R49" i="33"/>
  <c r="P16" i="33"/>
  <c r="P134" i="33"/>
  <c r="X134" i="33" s="1"/>
  <c r="AB38" i="33"/>
  <c r="P32" i="33"/>
  <c r="V37" i="33"/>
  <c r="AF41" i="33"/>
  <c r="AF42" i="33"/>
  <c r="AF44" i="33"/>
  <c r="AK41" i="33"/>
  <c r="AL48" i="33"/>
  <c r="AL44" i="33"/>
  <c r="AE48" i="33"/>
  <c r="AJ42" i="33"/>
  <c r="AM41" i="33"/>
  <c r="AK35" i="33"/>
  <c r="AK48" i="33"/>
  <c r="AL47" i="33"/>
  <c r="AG41" i="33"/>
  <c r="AG47" i="33"/>
  <c r="AL38" i="33"/>
  <c r="AF35" i="33"/>
  <c r="AH41" i="33"/>
  <c r="AN90" i="33"/>
  <c r="Z36" i="33"/>
  <c r="Z38" i="33"/>
  <c r="AG44" i="33"/>
  <c r="Z44" i="33"/>
  <c r="AG43" i="33"/>
  <c r="Z49" i="33"/>
  <c r="AG48" i="33"/>
  <c r="AG49" i="33"/>
  <c r="AB36" i="33"/>
  <c r="AH35" i="33"/>
  <c r="AA35" i="33"/>
  <c r="AL49" i="33"/>
  <c r="AB47" i="33"/>
  <c r="AB49" i="33"/>
  <c r="AL42" i="33"/>
  <c r="AL41" i="33"/>
  <c r="AI47" i="33"/>
  <c r="AJ38" i="33"/>
  <c r="AF38" i="33"/>
  <c r="AE49" i="33"/>
  <c r="AJ49" i="33"/>
  <c r="AJ48" i="33"/>
  <c r="AJ47" i="33"/>
  <c r="AJ43" i="33"/>
  <c r="AA43" i="33"/>
  <c r="AD44" i="33"/>
  <c r="AE47" i="33"/>
  <c r="AG36" i="33"/>
  <c r="AG37" i="33"/>
  <c r="AE41" i="33"/>
  <c r="AG38" i="33"/>
  <c r="AH37" i="33"/>
  <c r="AI43" i="33"/>
  <c r="AJ36" i="33"/>
  <c r="AJ35" i="33"/>
  <c r="AJ37" i="33"/>
  <c r="AC48" i="33"/>
  <c r="AI36" i="33"/>
  <c r="AI37" i="33"/>
  <c r="AB35" i="33"/>
  <c r="AB41" i="33"/>
  <c r="AI48" i="33"/>
  <c r="AI38" i="33"/>
  <c r="AI49" i="33"/>
  <c r="AB43" i="33"/>
  <c r="AB37" i="33"/>
  <c r="AI41" i="33"/>
  <c r="AH42" i="33"/>
  <c r="AH48" i="33"/>
  <c r="AA37" i="33"/>
  <c r="AK42" i="33"/>
  <c r="AD48" i="33"/>
  <c r="AK44" i="33"/>
  <c r="AK49" i="33"/>
  <c r="AK43" i="33"/>
  <c r="AK47" i="33"/>
  <c r="AM48" i="33"/>
  <c r="AL35" i="33"/>
  <c r="AD42" i="33"/>
  <c r="AC37" i="33"/>
  <c r="AM43" i="33"/>
  <c r="AM37" i="33"/>
  <c r="AL36" i="33"/>
  <c r="AM42" i="33"/>
  <c r="AM35" i="33"/>
  <c r="AM44" i="33"/>
  <c r="AM38" i="33"/>
  <c r="AM36" i="33"/>
  <c r="AM49" i="33"/>
  <c r="AM47" i="33"/>
  <c r="AL37" i="33"/>
  <c r="AD43" i="33"/>
  <c r="AD35" i="33"/>
  <c r="AD41" i="33"/>
  <c r="AD49" i="33"/>
  <c r="AD47" i="33"/>
  <c r="AB44" i="33"/>
  <c r="AC47" i="33"/>
  <c r="AB42" i="33"/>
  <c r="Z35" i="33"/>
  <c r="J38" i="49"/>
  <c r="N27" i="33"/>
  <c r="AD36" i="33"/>
  <c r="AE36" i="33"/>
  <c r="Z48" i="33"/>
  <c r="Z47" i="33"/>
  <c r="M17" i="33"/>
  <c r="M19" i="33"/>
  <c r="M18" i="33"/>
  <c r="M16" i="33"/>
  <c r="AK37" i="33"/>
  <c r="AJ41" i="33"/>
  <c r="O29" i="33"/>
  <c r="P29" i="33"/>
  <c r="O24" i="33"/>
  <c r="X8" i="33"/>
  <c r="AA49" i="33"/>
  <c r="T38" i="33"/>
  <c r="M25" i="33"/>
  <c r="P28" i="33"/>
  <c r="X4" i="33"/>
  <c r="J17" i="33"/>
  <c r="J18" i="33"/>
  <c r="J16" i="33"/>
  <c r="J19" i="33"/>
  <c r="R38" i="33"/>
  <c r="AH43" i="33"/>
  <c r="AK38" i="33"/>
  <c r="Z43" i="33"/>
  <c r="AJ44" i="33"/>
  <c r="AE37" i="33"/>
  <c r="AE38" i="33"/>
  <c r="V35" i="33"/>
  <c r="V48" i="33"/>
  <c r="P31" i="33"/>
  <c r="V38" i="33"/>
  <c r="AE35" i="33"/>
  <c r="M26" i="33"/>
  <c r="AI42" i="33"/>
  <c r="L32" i="33"/>
  <c r="AA48" i="33"/>
  <c r="Z42" i="33"/>
  <c r="AD38" i="33"/>
  <c r="X6" i="33"/>
  <c r="J25" i="33"/>
  <c r="AC36" i="33"/>
  <c r="X14" i="33"/>
  <c r="L24" i="33"/>
  <c r="L25" i="33"/>
  <c r="AH38" i="33"/>
  <c r="V43" i="33"/>
  <c r="AC49" i="33"/>
  <c r="AA38" i="33"/>
  <c r="W42" i="33"/>
  <c r="W43" i="33"/>
  <c r="R42" i="33"/>
  <c r="AH36" i="33"/>
  <c r="Z41" i="33"/>
  <c r="T42" i="33"/>
  <c r="W41" i="33"/>
  <c r="T49" i="33"/>
  <c r="AI44" i="33"/>
  <c r="N16" i="33"/>
  <c r="N28" i="33"/>
  <c r="AA47" i="33"/>
  <c r="O28" i="33"/>
  <c r="AH44" i="33"/>
  <c r="K32" i="33"/>
  <c r="AI35" i="33"/>
  <c r="R43" i="33"/>
  <c r="T41" i="33"/>
  <c r="T47" i="33"/>
  <c r="V49" i="33"/>
  <c r="K18" i="33"/>
  <c r="X5" i="33"/>
  <c r="J24" i="33"/>
  <c r="P30" i="33"/>
  <c r="T44" i="33"/>
  <c r="AK36" i="33"/>
  <c r="T36" i="33"/>
  <c r="V36" i="33"/>
  <c r="X11" i="33"/>
  <c r="K17" i="33"/>
  <c r="V41" i="33"/>
  <c r="AC35" i="33"/>
  <c r="AD37" i="33"/>
  <c r="AF36" i="33"/>
  <c r="AA44" i="33"/>
  <c r="AE44" i="33"/>
  <c r="AC42" i="33"/>
  <c r="W47" i="33"/>
  <c r="O17" i="33"/>
  <c r="O16" i="33"/>
  <c r="X12" i="33"/>
  <c r="J31" i="33"/>
  <c r="N18" i="33"/>
  <c r="N24" i="33"/>
  <c r="T43" i="33"/>
  <c r="L17" i="33"/>
  <c r="L19" i="33"/>
  <c r="L16" i="33"/>
  <c r="L18" i="33"/>
  <c r="AC38" i="33"/>
  <c r="AF37" i="33"/>
  <c r="AA41" i="33"/>
  <c r="AE42" i="33"/>
  <c r="AC44" i="33"/>
  <c r="AH49" i="33"/>
  <c r="Q49" i="33"/>
  <c r="X7" i="33"/>
  <c r="N25" i="33"/>
  <c r="V44" i="33"/>
  <c r="AA36" i="33"/>
  <c r="R36" i="33"/>
  <c r="AA42" i="33"/>
  <c r="AE43" i="33"/>
  <c r="AC41" i="33"/>
  <c r="AH47" i="33"/>
  <c r="J26" i="33"/>
  <c r="K19" i="33"/>
  <c r="J32" i="33"/>
  <c r="L31" i="33"/>
  <c r="N26" i="33"/>
  <c r="P27" i="33"/>
  <c r="P18" i="33"/>
  <c r="P19" i="33"/>
  <c r="P17" i="33"/>
  <c r="V42" i="33"/>
  <c r="Z37" i="33"/>
  <c r="AC43" i="33"/>
  <c r="X13" i="33"/>
  <c r="O26" i="33"/>
  <c r="O25" i="33"/>
  <c r="AF80" i="33"/>
  <c r="AF120" i="33" s="1"/>
  <c r="W80" i="33"/>
  <c r="W120" i="33" s="1"/>
  <c r="P80" i="33"/>
  <c r="P120" i="33" s="1"/>
  <c r="AM80" i="33"/>
  <c r="AM120" i="33" s="1"/>
  <c r="AA79" i="33"/>
  <c r="AA119" i="33" s="1"/>
  <c r="R79" i="33"/>
  <c r="R119" i="33" s="1"/>
  <c r="AH79" i="33"/>
  <c r="AH119" i="33" s="1"/>
  <c r="K79" i="33"/>
  <c r="K119" i="33" s="1"/>
  <c r="S79" i="33"/>
  <c r="S119" i="33" s="1"/>
  <c r="AB79" i="33"/>
  <c r="AB119" i="33" s="1"/>
  <c r="AI79" i="33"/>
  <c r="AI119" i="33" s="1"/>
  <c r="L79" i="33"/>
  <c r="L119" i="33" s="1"/>
  <c r="R66" i="33"/>
  <c r="R105" i="33" s="1"/>
  <c r="AH66" i="33"/>
  <c r="AH105" i="33" s="1"/>
  <c r="AA66" i="33"/>
  <c r="AA105" i="33" s="1"/>
  <c r="K66" i="33"/>
  <c r="K105" i="33" s="1"/>
  <c r="Q66" i="33"/>
  <c r="Q105" i="33" s="1"/>
  <c r="Z66" i="33"/>
  <c r="Z105" i="33" s="1"/>
  <c r="J66" i="33"/>
  <c r="J105" i="33" s="1"/>
  <c r="AG66" i="33"/>
  <c r="AG105" i="33" s="1"/>
  <c r="M79" i="33"/>
  <c r="M119" i="33" s="1"/>
  <c r="T79" i="33"/>
  <c r="T119" i="33" s="1"/>
  <c r="AC79" i="33"/>
  <c r="AC119" i="33" s="1"/>
  <c r="AJ79" i="33"/>
  <c r="AJ119" i="33" s="1"/>
  <c r="AK80" i="33"/>
  <c r="AK120" i="33" s="1"/>
  <c r="N80" i="33"/>
  <c r="N120" i="33" s="1"/>
  <c r="U80" i="33"/>
  <c r="U120" i="33" s="1"/>
  <c r="AD80" i="33"/>
  <c r="AD120" i="33" s="1"/>
  <c r="N78" i="33"/>
  <c r="N118" i="33" s="1"/>
  <c r="AK78" i="33"/>
  <c r="AK118" i="33" s="1"/>
  <c r="AD78" i="33"/>
  <c r="AD118" i="33" s="1"/>
  <c r="U78" i="33"/>
  <c r="U118" i="33" s="1"/>
  <c r="P78" i="33"/>
  <c r="P118" i="33" s="1"/>
  <c r="AM78" i="33"/>
  <c r="AM118" i="33" s="1"/>
  <c r="AF78" i="33"/>
  <c r="AF118" i="33" s="1"/>
  <c r="W78" i="33"/>
  <c r="W118" i="33" s="1"/>
  <c r="N77" i="33"/>
  <c r="N117" i="33" s="1"/>
  <c r="U77" i="33"/>
  <c r="U117" i="33" s="1"/>
  <c r="AK77" i="33"/>
  <c r="AK117" i="33" s="1"/>
  <c r="AD77" i="33"/>
  <c r="AD117" i="33" s="1"/>
  <c r="W77" i="33"/>
  <c r="W117" i="33" s="1"/>
  <c r="AM77" i="33"/>
  <c r="AM117" i="33" s="1"/>
  <c r="P77" i="33"/>
  <c r="P117" i="33" s="1"/>
  <c r="AF77" i="33"/>
  <c r="AF117" i="33" s="1"/>
  <c r="AL66" i="33"/>
  <c r="AL105" i="33" s="1"/>
  <c r="O66" i="33"/>
  <c r="O105" i="33" s="1"/>
  <c r="AE66" i="33"/>
  <c r="AE105" i="33" s="1"/>
  <c r="V66" i="33"/>
  <c r="V105" i="33" s="1"/>
  <c r="P54" i="33"/>
  <c r="P92" i="33" s="1"/>
  <c r="AM54" i="33"/>
  <c r="AM92" i="33" s="1"/>
  <c r="W54" i="33"/>
  <c r="W92" i="33" s="1"/>
  <c r="AF54" i="33"/>
  <c r="AF92" i="33" s="1"/>
  <c r="Z65" i="33"/>
  <c r="Z104" i="33" s="1"/>
  <c r="Q65" i="33"/>
  <c r="Q104" i="33" s="1"/>
  <c r="J65" i="33"/>
  <c r="J104" i="33" s="1"/>
  <c r="AG65" i="33"/>
  <c r="AG104" i="33" s="1"/>
  <c r="AA53" i="33"/>
  <c r="AA91" i="33" s="1"/>
  <c r="AH53" i="33"/>
  <c r="AH91" i="33" s="1"/>
  <c r="R53" i="33"/>
  <c r="R91" i="33" s="1"/>
  <c r="K53" i="33"/>
  <c r="K91" i="33" s="1"/>
  <c r="AM79" i="33"/>
  <c r="AM119" i="33" s="1"/>
  <c r="W79" i="33"/>
  <c r="W119" i="33" s="1"/>
  <c r="P79" i="33"/>
  <c r="P119" i="33" s="1"/>
  <c r="AF79" i="33"/>
  <c r="AF119" i="33" s="1"/>
  <c r="AJ54" i="33"/>
  <c r="AJ92" i="33" s="1"/>
  <c r="AC54" i="33"/>
  <c r="AC92" i="33" s="1"/>
  <c r="T54" i="33"/>
  <c r="T92" i="33" s="1"/>
  <c r="M54" i="33"/>
  <c r="M92" i="33" s="1"/>
  <c r="AI54" i="33"/>
  <c r="AI92" i="33" s="1"/>
  <c r="AB54" i="33"/>
  <c r="AB92" i="33" s="1"/>
  <c r="S54" i="33"/>
  <c r="L54" i="33"/>
  <c r="M78" i="33"/>
  <c r="M118" i="33" s="1"/>
  <c r="AC78" i="33"/>
  <c r="AC118" i="33" s="1"/>
  <c r="T78" i="33"/>
  <c r="T118" i="33" s="1"/>
  <c r="AJ78" i="33"/>
  <c r="AJ118" i="33" s="1"/>
  <c r="S65" i="33"/>
  <c r="L65" i="33"/>
  <c r="AI65" i="33"/>
  <c r="AI104" i="33" s="1"/>
  <c r="AB65" i="33"/>
  <c r="AB104" i="33" s="1"/>
  <c r="AG54" i="33"/>
  <c r="AG92" i="33" s="1"/>
  <c r="Z54" i="33"/>
  <c r="Z92" i="33" s="1"/>
  <c r="J54" i="33"/>
  <c r="Q54" i="33"/>
  <c r="Q92" i="33" s="1"/>
  <c r="AK79" i="33"/>
  <c r="AK119" i="33" s="1"/>
  <c r="U79" i="33"/>
  <c r="U119" i="33" s="1"/>
  <c r="AD79" i="33"/>
  <c r="AD119" i="33" s="1"/>
  <c r="N79" i="33"/>
  <c r="N119" i="33" s="1"/>
  <c r="M77" i="33"/>
  <c r="M117" i="33" s="1"/>
  <c r="T77" i="33"/>
  <c r="T117" i="33" s="1"/>
  <c r="AJ77" i="33"/>
  <c r="AJ117" i="33" s="1"/>
  <c r="AC77" i="33"/>
  <c r="AC117" i="33" s="1"/>
  <c r="AL54" i="33"/>
  <c r="AL92" i="33" s="1"/>
  <c r="O54" i="33"/>
  <c r="O92" i="33" s="1"/>
  <c r="AE54" i="33"/>
  <c r="AE92" i="33" s="1"/>
  <c r="V54" i="33"/>
  <c r="V92" i="33" s="1"/>
  <c r="AK66" i="33"/>
  <c r="AK105" i="33" s="1"/>
  <c r="N66" i="33"/>
  <c r="N105" i="33" s="1"/>
  <c r="U66" i="33"/>
  <c r="U105" i="33" s="1"/>
  <c r="AD66" i="33"/>
  <c r="AD105" i="33" s="1"/>
  <c r="P66" i="33"/>
  <c r="P105" i="33" s="1"/>
  <c r="W66" i="33"/>
  <c r="W105" i="33" s="1"/>
  <c r="AM66" i="33"/>
  <c r="AM105" i="33" s="1"/>
  <c r="AF66" i="33"/>
  <c r="AF105" i="33" s="1"/>
  <c r="AB78" i="33"/>
  <c r="AB118" i="33" s="1"/>
  <c r="L78" i="33"/>
  <c r="L118" i="33" s="1"/>
  <c r="AI78" i="33"/>
  <c r="AI118" i="33" s="1"/>
  <c r="S78" i="33"/>
  <c r="S118" i="33" s="1"/>
  <c r="Z77" i="33"/>
  <c r="Z117" i="33" s="1"/>
  <c r="Q77" i="33"/>
  <c r="Q117" i="33" s="1"/>
  <c r="J77" i="33"/>
  <c r="AG77" i="33"/>
  <c r="AG117" i="33" s="1"/>
  <c r="V77" i="33"/>
  <c r="V117" i="33" s="1"/>
  <c r="O77" i="33"/>
  <c r="O117" i="33" s="1"/>
  <c r="AL77" i="33"/>
  <c r="AL117" i="33" s="1"/>
  <c r="AE77" i="33"/>
  <c r="AE117" i="33" s="1"/>
  <c r="M65" i="33"/>
  <c r="M104" i="33" s="1"/>
  <c r="AJ65" i="33"/>
  <c r="AJ104" i="33" s="1"/>
  <c r="AC65" i="33"/>
  <c r="AC104" i="33" s="1"/>
  <c r="T65" i="33"/>
  <c r="T104" i="33" s="1"/>
  <c r="AK54" i="33"/>
  <c r="AK92" i="33" s="1"/>
  <c r="N54" i="33"/>
  <c r="N92" i="33" s="1"/>
  <c r="U54" i="33"/>
  <c r="U92" i="33" s="1"/>
  <c r="AD54" i="33"/>
  <c r="AD92" i="33" s="1"/>
  <c r="S77" i="33"/>
  <c r="S117" i="33" s="1"/>
  <c r="AB77" i="33"/>
  <c r="AB117" i="33" s="1"/>
  <c r="L77" i="33"/>
  <c r="L117" i="33" s="1"/>
  <c r="AI77" i="33"/>
  <c r="AI117" i="33" s="1"/>
  <c r="O78" i="33"/>
  <c r="O118" i="33" s="1"/>
  <c r="AL78" i="33"/>
  <c r="AL118" i="33" s="1"/>
  <c r="AE78" i="33"/>
  <c r="AE118" i="33" s="1"/>
  <c r="V78" i="33"/>
  <c r="V118" i="33" s="1"/>
  <c r="R65" i="33"/>
  <c r="R104" i="33" s="1"/>
  <c r="K65" i="33"/>
  <c r="K104" i="33" s="1"/>
  <c r="AH65" i="33"/>
  <c r="AH104" i="33" s="1"/>
  <c r="AA65" i="33"/>
  <c r="AA104" i="33" s="1"/>
  <c r="Z53" i="33"/>
  <c r="Z91" i="33" s="1"/>
  <c r="Q53" i="33"/>
  <c r="Q91" i="33" s="1"/>
  <c r="AG53" i="33"/>
  <c r="AG91" i="33" s="1"/>
  <c r="J53" i="33"/>
  <c r="AH77" i="33"/>
  <c r="AH117" i="33" s="1"/>
  <c r="R77" i="33"/>
  <c r="R117" i="33" s="1"/>
  <c r="AA77" i="33"/>
  <c r="AA117" i="33" s="1"/>
  <c r="K77" i="33"/>
  <c r="K117" i="33" s="1"/>
  <c r="Q78" i="33"/>
  <c r="Q118" i="33" s="1"/>
  <c r="J78" i="33"/>
  <c r="Z78" i="33"/>
  <c r="Z118" i="33" s="1"/>
  <c r="AG78" i="33"/>
  <c r="AG118" i="33" s="1"/>
  <c r="AA78" i="33"/>
  <c r="AA118" i="33" s="1"/>
  <c r="K78" i="33"/>
  <c r="K118" i="33" s="1"/>
  <c r="AH78" i="33"/>
  <c r="AH118" i="33" s="1"/>
  <c r="R78" i="33"/>
  <c r="R118" i="33" s="1"/>
  <c r="D12" i="21"/>
  <c r="D10" i="21"/>
  <c r="D8" i="21"/>
  <c r="Z6" i="19"/>
  <c r="Z7" i="19"/>
  <c r="Z8" i="19"/>
  <c r="Z9" i="19"/>
  <c r="Z10" i="19"/>
  <c r="Z11" i="19"/>
  <c r="Z12" i="19"/>
  <c r="Z13" i="19"/>
  <c r="Z14" i="19"/>
  <c r="Z5" i="19"/>
  <c r="V6" i="19"/>
  <c r="V7" i="19"/>
  <c r="V8" i="19"/>
  <c r="V9" i="19"/>
  <c r="V10" i="19"/>
  <c r="V11" i="19"/>
  <c r="V12" i="19"/>
  <c r="V13" i="19"/>
  <c r="V14" i="19"/>
  <c r="V5" i="19"/>
  <c r="M47" i="33" l="1"/>
  <c r="Q35" i="33"/>
  <c r="S48" i="33"/>
  <c r="U36" i="33"/>
  <c r="S35" i="33"/>
  <c r="S41" i="33"/>
  <c r="S43" i="33"/>
  <c r="S47" i="33"/>
  <c r="U41" i="33"/>
  <c r="M43" i="33"/>
  <c r="T35" i="33"/>
  <c r="W36" i="33"/>
  <c r="S38" i="33"/>
  <c r="H11" i="54"/>
  <c r="G11" i="24"/>
  <c r="L11" i="24" s="1"/>
  <c r="U35" i="33"/>
  <c r="Q41" i="33"/>
  <c r="T37" i="33"/>
  <c r="Q38" i="33"/>
  <c r="K36" i="33"/>
  <c r="Q44" i="33"/>
  <c r="S44" i="33"/>
  <c r="Q37" i="33"/>
  <c r="Q36" i="33"/>
  <c r="W38" i="33"/>
  <c r="W37" i="33"/>
  <c r="W35" i="33"/>
  <c r="Q42" i="33"/>
  <c r="S37" i="33"/>
  <c r="S42" i="33"/>
  <c r="M49" i="33"/>
  <c r="M42" i="33"/>
  <c r="M41" i="33"/>
  <c r="M44" i="33"/>
  <c r="M48" i="33"/>
  <c r="O47" i="33"/>
  <c r="J91" i="33"/>
  <c r="N48" i="33"/>
  <c r="J41" i="33"/>
  <c r="X131" i="33"/>
  <c r="H5" i="54" s="1"/>
  <c r="O48" i="33"/>
  <c r="H10" i="54"/>
  <c r="G10" i="24"/>
  <c r="L10" i="24" s="1"/>
  <c r="N49" i="33"/>
  <c r="X140" i="33"/>
  <c r="G14" i="24" s="1"/>
  <c r="L14" i="24" s="1"/>
  <c r="N47" i="33"/>
  <c r="O49" i="33"/>
  <c r="X139" i="33"/>
  <c r="H13" i="54" s="1"/>
  <c r="X133" i="33"/>
  <c r="H7" i="54" s="1"/>
  <c r="J48" i="33"/>
  <c r="P35" i="33"/>
  <c r="X103" i="33"/>
  <c r="X90" i="33"/>
  <c r="H6" i="54"/>
  <c r="G6" i="24"/>
  <c r="L6" i="24" s="1"/>
  <c r="H8" i="54"/>
  <c r="G8" i="24"/>
  <c r="L8" i="24" s="1"/>
  <c r="S91" i="33"/>
  <c r="S104" i="33"/>
  <c r="J49" i="33"/>
  <c r="H9" i="54"/>
  <c r="G9" i="24"/>
  <c r="L9" i="24" s="1"/>
  <c r="H12" i="54"/>
  <c r="G12" i="24"/>
  <c r="L12" i="24" s="1"/>
  <c r="L104" i="33"/>
  <c r="L91" i="33"/>
  <c r="AN91" i="33"/>
  <c r="J39" i="49"/>
  <c r="N44" i="33"/>
  <c r="N42" i="33"/>
  <c r="N41" i="33"/>
  <c r="N43" i="33"/>
  <c r="L36" i="33"/>
  <c r="L38" i="33"/>
  <c r="L37" i="33"/>
  <c r="L35" i="33"/>
  <c r="P42" i="33"/>
  <c r="P41" i="33"/>
  <c r="P43" i="33"/>
  <c r="P44" i="33"/>
  <c r="N36" i="33"/>
  <c r="N37" i="33"/>
  <c r="N38" i="33"/>
  <c r="N35" i="33"/>
  <c r="M35" i="33"/>
  <c r="M38" i="33"/>
  <c r="P37" i="33"/>
  <c r="J44" i="33"/>
  <c r="P36" i="33"/>
  <c r="L49" i="33"/>
  <c r="L48" i="33"/>
  <c r="L41" i="33"/>
  <c r="L47" i="33"/>
  <c r="K47" i="33"/>
  <c r="K48" i="33"/>
  <c r="K41" i="33"/>
  <c r="K49" i="33"/>
  <c r="K43" i="33"/>
  <c r="K42" i="33"/>
  <c r="L43" i="33"/>
  <c r="K38" i="33"/>
  <c r="M36" i="33"/>
  <c r="P38" i="33"/>
  <c r="J47" i="33"/>
  <c r="O36" i="33"/>
  <c r="O35" i="33"/>
  <c r="O38" i="33"/>
  <c r="O37" i="33"/>
  <c r="J42" i="33"/>
  <c r="P47" i="33"/>
  <c r="P49" i="33"/>
  <c r="P48" i="33"/>
  <c r="O41" i="33"/>
  <c r="O42" i="33"/>
  <c r="O44" i="33"/>
  <c r="O43" i="33"/>
  <c r="K35" i="33"/>
  <c r="L42" i="33"/>
  <c r="J36" i="33"/>
  <c r="J37" i="33"/>
  <c r="J38" i="33"/>
  <c r="J116" i="33" s="1"/>
  <c r="X116" i="33" s="1"/>
  <c r="J35" i="33"/>
  <c r="K44" i="33"/>
  <c r="J43" i="33"/>
  <c r="AM140" i="33"/>
  <c r="AM137" i="33"/>
  <c r="AM133" i="33"/>
  <c r="AM138" i="33"/>
  <c r="AM132" i="33"/>
  <c r="AM135" i="33"/>
  <c r="AM134" i="33"/>
  <c r="AM136" i="33"/>
  <c r="AM139" i="33"/>
  <c r="AM130" i="33"/>
  <c r="AM131" i="33"/>
  <c r="K37" i="33"/>
  <c r="M37" i="33"/>
  <c r="AL130" i="33"/>
  <c r="AL138" i="33"/>
  <c r="AL137" i="33"/>
  <c r="AN116" i="33"/>
  <c r="AL140" i="33"/>
  <c r="AE138" i="33"/>
  <c r="AE130" i="33"/>
  <c r="AL136" i="33"/>
  <c r="AL134" i="33"/>
  <c r="AE134" i="33"/>
  <c r="AE135" i="33"/>
  <c r="AL131" i="33"/>
  <c r="AL139" i="33"/>
  <c r="AE140" i="33"/>
  <c r="AL135" i="33"/>
  <c r="AE136" i="33"/>
  <c r="AE131" i="33"/>
  <c r="AE133" i="33"/>
  <c r="AE137" i="33"/>
  <c r="AE132" i="33"/>
  <c r="AL132" i="33"/>
  <c r="AL133" i="33"/>
  <c r="AE139" i="33"/>
  <c r="L44" i="33"/>
  <c r="AH54" i="33"/>
  <c r="AH92" i="33" s="1"/>
  <c r="AA54" i="33"/>
  <c r="AA92" i="33" s="1"/>
  <c r="R54" i="33"/>
  <c r="R92" i="33" s="1"/>
  <c r="K54" i="33"/>
  <c r="K92" i="33" s="1"/>
  <c r="AH67" i="33"/>
  <c r="AH106" i="33" s="1"/>
  <c r="AA67" i="33"/>
  <c r="AA106" i="33" s="1"/>
  <c r="R67" i="33"/>
  <c r="R106" i="33" s="1"/>
  <c r="K67" i="33"/>
  <c r="K106" i="33" s="1"/>
  <c r="Q55" i="33"/>
  <c r="Q93" i="33" s="1"/>
  <c r="AG55" i="33"/>
  <c r="AG93" i="33" s="1"/>
  <c r="Z55" i="33"/>
  <c r="Z93" i="33" s="1"/>
  <c r="J55" i="33"/>
  <c r="AI80" i="33"/>
  <c r="AI120" i="33" s="1"/>
  <c r="S80" i="33"/>
  <c r="S120" i="33" s="1"/>
  <c r="AB80" i="33"/>
  <c r="AB120" i="33" s="1"/>
  <c r="L80" i="33"/>
  <c r="L120" i="33" s="1"/>
  <c r="AD55" i="33"/>
  <c r="AD93" i="33" s="1"/>
  <c r="U55" i="33"/>
  <c r="U93" i="33" s="1"/>
  <c r="AK55" i="33"/>
  <c r="AK93" i="33" s="1"/>
  <c r="N55" i="33"/>
  <c r="N93" i="33" s="1"/>
  <c r="AL67" i="33"/>
  <c r="AL106" i="33" s="1"/>
  <c r="V67" i="33"/>
  <c r="V106" i="33" s="1"/>
  <c r="O67" i="33"/>
  <c r="O106" i="33" s="1"/>
  <c r="AE67" i="33"/>
  <c r="AE106" i="33" s="1"/>
  <c r="AM55" i="33"/>
  <c r="AM93" i="33" s="1"/>
  <c r="AF55" i="33"/>
  <c r="AF93" i="33" s="1"/>
  <c r="W55" i="33"/>
  <c r="W93" i="33" s="1"/>
  <c r="P55" i="33"/>
  <c r="P93" i="33" s="1"/>
  <c r="AM67" i="33"/>
  <c r="AM106" i="33" s="1"/>
  <c r="W67" i="33"/>
  <c r="W106" i="33" s="1"/>
  <c r="AF67" i="33"/>
  <c r="AF106" i="33" s="1"/>
  <c r="P67" i="33"/>
  <c r="P106" i="33" s="1"/>
  <c r="AD67" i="33"/>
  <c r="AD106" i="33" s="1"/>
  <c r="U67" i="33"/>
  <c r="U106" i="33" s="1"/>
  <c r="N67" i="33"/>
  <c r="N106" i="33" s="1"/>
  <c r="AK67" i="33"/>
  <c r="AK106" i="33" s="1"/>
  <c r="U81" i="33"/>
  <c r="U121" i="33" s="1"/>
  <c r="AD81" i="33"/>
  <c r="AD121" i="33" s="1"/>
  <c r="AK81" i="33"/>
  <c r="AK121" i="33" s="1"/>
  <c r="N81" i="33"/>
  <c r="N121" i="33" s="1"/>
  <c r="AB55" i="33"/>
  <c r="AB93" i="33" s="1"/>
  <c r="AI55" i="33"/>
  <c r="AI93" i="33" s="1"/>
  <c r="S55" i="33"/>
  <c r="L55" i="33"/>
  <c r="AC55" i="33"/>
  <c r="AC93" i="33" s="1"/>
  <c r="AJ55" i="33"/>
  <c r="AJ93" i="33" s="1"/>
  <c r="T55" i="33"/>
  <c r="T93" i="33" s="1"/>
  <c r="M55" i="33"/>
  <c r="M93" i="33" s="1"/>
  <c r="T80" i="33"/>
  <c r="T120" i="33" s="1"/>
  <c r="AJ80" i="33"/>
  <c r="AJ120" i="33" s="1"/>
  <c r="M80" i="33"/>
  <c r="M120" i="33" s="1"/>
  <c r="AC80" i="33"/>
  <c r="AC120" i="33" s="1"/>
  <c r="R80" i="33"/>
  <c r="R120" i="33" s="1"/>
  <c r="K80" i="33"/>
  <c r="K120" i="33" s="1"/>
  <c r="AH80" i="33"/>
  <c r="AH120" i="33" s="1"/>
  <c r="AA80" i="33"/>
  <c r="AA120" i="33" s="1"/>
  <c r="AJ66" i="33"/>
  <c r="AJ105" i="33" s="1"/>
  <c r="M66" i="33"/>
  <c r="M105" i="33" s="1"/>
  <c r="T66" i="33"/>
  <c r="T105" i="33" s="1"/>
  <c r="AC66" i="33"/>
  <c r="AC105" i="33" s="1"/>
  <c r="AL79" i="33"/>
  <c r="AL119" i="33" s="1"/>
  <c r="V79" i="33"/>
  <c r="V119" i="33" s="1"/>
  <c r="AE79" i="33"/>
  <c r="AE119" i="33" s="1"/>
  <c r="O79" i="33"/>
  <c r="O119" i="33" s="1"/>
  <c r="AL55" i="33"/>
  <c r="AL93" i="33" s="1"/>
  <c r="AE55" i="33"/>
  <c r="AE93" i="33" s="1"/>
  <c r="V55" i="33"/>
  <c r="V93" i="33" s="1"/>
  <c r="O55" i="33"/>
  <c r="O93" i="33" s="1"/>
  <c r="S66" i="33"/>
  <c r="L66" i="33"/>
  <c r="AI66" i="33"/>
  <c r="AI105" i="33" s="1"/>
  <c r="AB66" i="33"/>
  <c r="AB105" i="33" s="1"/>
  <c r="AG67" i="33"/>
  <c r="AG106" i="33" s="1"/>
  <c r="Z67" i="33"/>
  <c r="Z106" i="33" s="1"/>
  <c r="Q67" i="33"/>
  <c r="Q106" i="33" s="1"/>
  <c r="J67" i="33"/>
  <c r="J106" i="33" s="1"/>
  <c r="W81" i="33"/>
  <c r="W121" i="33" s="1"/>
  <c r="AM81" i="33"/>
  <c r="AM121" i="33" s="1"/>
  <c r="AF81" i="33"/>
  <c r="AF121" i="33" s="1"/>
  <c r="P81" i="33"/>
  <c r="P121" i="33" s="1"/>
  <c r="Q79" i="33"/>
  <c r="Q119" i="33" s="1"/>
  <c r="Z79" i="33"/>
  <c r="Z119" i="33" s="1"/>
  <c r="J79" i="33"/>
  <c r="AG79" i="33"/>
  <c r="AG119" i="33" s="1"/>
  <c r="H14" i="54" l="1"/>
  <c r="G7" i="24"/>
  <c r="L7" i="24" s="1"/>
  <c r="G5" i="24"/>
  <c r="L5" i="24" s="1"/>
  <c r="X91" i="33"/>
  <c r="G13" i="24"/>
  <c r="L13" i="24" s="1"/>
  <c r="J119" i="33"/>
  <c r="X119" i="33" s="1"/>
  <c r="X104" i="33"/>
  <c r="H15" i="54" s="1"/>
  <c r="AN92" i="33"/>
  <c r="S92" i="33"/>
  <c r="S105" i="33"/>
  <c r="J118" i="33"/>
  <c r="X118" i="33" s="1"/>
  <c r="J117" i="33"/>
  <c r="X117" i="33" s="1"/>
  <c r="J92" i="33"/>
  <c r="L105" i="33"/>
  <c r="L92" i="33"/>
  <c r="J40" i="49"/>
  <c r="AN117" i="33"/>
  <c r="AN104" i="33"/>
  <c r="AN136" i="33"/>
  <c r="L7" i="45"/>
  <c r="G7" i="45"/>
  <c r="G14" i="45"/>
  <c r="L14" i="45"/>
  <c r="AN139" i="33"/>
  <c r="AN130" i="33"/>
  <c r="AN131" i="33"/>
  <c r="AN140" i="33"/>
  <c r="AN132" i="33"/>
  <c r="AN137" i="33"/>
  <c r="AN135" i="33"/>
  <c r="AN105" i="33"/>
  <c r="AN134" i="33"/>
  <c r="AN133" i="33"/>
  <c r="AN138" i="33"/>
  <c r="AN103" i="33"/>
  <c r="AN118" i="33"/>
  <c r="S81" i="33"/>
  <c r="S121" i="33" s="1"/>
  <c r="L81" i="33"/>
  <c r="L121" i="33" s="1"/>
  <c r="AB81" i="33"/>
  <c r="AB121" i="33" s="1"/>
  <c r="AI81" i="33"/>
  <c r="AI121" i="33" s="1"/>
  <c r="AG56" i="33"/>
  <c r="AG94" i="33" s="1"/>
  <c r="J56" i="33"/>
  <c r="Z56" i="33"/>
  <c r="Z94" i="33" s="1"/>
  <c r="Q56" i="33"/>
  <c r="Q94" i="33" s="1"/>
  <c r="J68" i="33"/>
  <c r="J107" i="33" s="1"/>
  <c r="Z68" i="33"/>
  <c r="Z107" i="33" s="1"/>
  <c r="AG68" i="33"/>
  <c r="AG107" i="33" s="1"/>
  <c r="Q68" i="33"/>
  <c r="Q107" i="33" s="1"/>
  <c r="AC67" i="33"/>
  <c r="AC106" i="33" s="1"/>
  <c r="M67" i="33"/>
  <c r="M106" i="33" s="1"/>
  <c r="T67" i="33"/>
  <c r="T106" i="33" s="1"/>
  <c r="AJ67" i="33"/>
  <c r="AJ106" i="33" s="1"/>
  <c r="S56" i="33"/>
  <c r="AI56" i="33"/>
  <c r="AI94" i="33" s="1"/>
  <c r="AB56" i="33"/>
  <c r="AB94" i="33" s="1"/>
  <c r="L56" i="33"/>
  <c r="AM56" i="33"/>
  <c r="AM94" i="33" s="1"/>
  <c r="AF56" i="33"/>
  <c r="AF94" i="33" s="1"/>
  <c r="P56" i="33"/>
  <c r="P94" i="33" s="1"/>
  <c r="W56" i="33"/>
  <c r="W94" i="33" s="1"/>
  <c r="N82" i="33"/>
  <c r="N122" i="33" s="1"/>
  <c r="AK82" i="33"/>
  <c r="AK122" i="33" s="1"/>
  <c r="AD82" i="33"/>
  <c r="AD122" i="33" s="1"/>
  <c r="U82" i="33"/>
  <c r="U122" i="33" s="1"/>
  <c r="R81" i="33"/>
  <c r="R121" i="33" s="1"/>
  <c r="AA81" i="33"/>
  <c r="AA121" i="33" s="1"/>
  <c r="AH81" i="33"/>
  <c r="AH121" i="33" s="1"/>
  <c r="K81" i="33"/>
  <c r="K121" i="33" s="1"/>
  <c r="AB67" i="33"/>
  <c r="AB106" i="33" s="1"/>
  <c r="L67" i="33"/>
  <c r="S67" i="33"/>
  <c r="AI67" i="33"/>
  <c r="AI106" i="33" s="1"/>
  <c r="T56" i="33"/>
  <c r="T94" i="33" s="1"/>
  <c r="M56" i="33"/>
  <c r="M94" i="33" s="1"/>
  <c r="AJ56" i="33"/>
  <c r="AJ94" i="33" s="1"/>
  <c r="AC56" i="33"/>
  <c r="AC94" i="33" s="1"/>
  <c r="AL68" i="33"/>
  <c r="AL107" i="33" s="1"/>
  <c r="O68" i="33"/>
  <c r="O107" i="33" s="1"/>
  <c r="AE68" i="33"/>
  <c r="AE107" i="33" s="1"/>
  <c r="V68" i="33"/>
  <c r="V107" i="33" s="1"/>
  <c r="T81" i="33"/>
  <c r="T121" i="33" s="1"/>
  <c r="AC81" i="33"/>
  <c r="AC121" i="33" s="1"/>
  <c r="AJ81" i="33"/>
  <c r="AJ121" i="33" s="1"/>
  <c r="M81" i="33"/>
  <c r="M121" i="33" s="1"/>
  <c r="R68" i="33"/>
  <c r="R107" i="33" s="1"/>
  <c r="AH68" i="33"/>
  <c r="AH107" i="33" s="1"/>
  <c r="AA68" i="33"/>
  <c r="AA107" i="33" s="1"/>
  <c r="K68" i="33"/>
  <c r="K107" i="33" s="1"/>
  <c r="W68" i="33"/>
  <c r="W107" i="33" s="1"/>
  <c r="P68" i="33"/>
  <c r="P107" i="33" s="1"/>
  <c r="AM68" i="33"/>
  <c r="AM107" i="33" s="1"/>
  <c r="AF68" i="33"/>
  <c r="AF107" i="33" s="1"/>
  <c r="Q80" i="33"/>
  <c r="Q120" i="33" s="1"/>
  <c r="AG80" i="33"/>
  <c r="AG120" i="33" s="1"/>
  <c r="Z80" i="33"/>
  <c r="Z120" i="33" s="1"/>
  <c r="J80" i="33"/>
  <c r="J120" i="33" s="1"/>
  <c r="O56" i="33"/>
  <c r="O94" i="33" s="1"/>
  <c r="AL56" i="33"/>
  <c r="AL94" i="33" s="1"/>
  <c r="AE56" i="33"/>
  <c r="AE94" i="33" s="1"/>
  <c r="V56" i="33"/>
  <c r="V94" i="33" s="1"/>
  <c r="P82" i="33"/>
  <c r="P122" i="33" s="1"/>
  <c r="AF82" i="33"/>
  <c r="AF122" i="33" s="1"/>
  <c r="AM82" i="33"/>
  <c r="AM122" i="33" s="1"/>
  <c r="W82" i="33"/>
  <c r="W122" i="33" s="1"/>
  <c r="AL80" i="33"/>
  <c r="AL120" i="33" s="1"/>
  <c r="O80" i="33"/>
  <c r="O120" i="33" s="1"/>
  <c r="V80" i="33"/>
  <c r="V120" i="33" s="1"/>
  <c r="AE80" i="33"/>
  <c r="AE120" i="33" s="1"/>
  <c r="AK68" i="33"/>
  <c r="AK107" i="33" s="1"/>
  <c r="U68" i="33"/>
  <c r="U107" i="33" s="1"/>
  <c r="N68" i="33"/>
  <c r="N107" i="33" s="1"/>
  <c r="AD68" i="33"/>
  <c r="AD107" i="33" s="1"/>
  <c r="N56" i="33"/>
  <c r="N94" i="33" s="1"/>
  <c r="AK56" i="33"/>
  <c r="AK94" i="33" s="1"/>
  <c r="U56" i="33"/>
  <c r="U94" i="33" s="1"/>
  <c r="AD56" i="33"/>
  <c r="AD94" i="33" s="1"/>
  <c r="R55" i="33"/>
  <c r="R93" i="33" s="1"/>
  <c r="AH55" i="33"/>
  <c r="AH93" i="33" s="1"/>
  <c r="AA55" i="33"/>
  <c r="AA93" i="33" s="1"/>
  <c r="K55" i="33"/>
  <c r="K93" i="33" s="1"/>
  <c r="R14" i="19"/>
  <c r="T14" i="19" s="1"/>
  <c r="Q14" i="19"/>
  <c r="R13" i="19"/>
  <c r="R12" i="19"/>
  <c r="R11" i="19"/>
  <c r="R10" i="19"/>
  <c r="R9" i="19"/>
  <c r="R8" i="19"/>
  <c r="R7" i="19"/>
  <c r="R6" i="19"/>
  <c r="R5" i="19"/>
  <c r="R14" i="12"/>
  <c r="T14" i="12" s="1"/>
  <c r="Q14" i="12"/>
  <c r="R13" i="12"/>
  <c r="R12" i="12"/>
  <c r="R11" i="12"/>
  <c r="R10" i="12"/>
  <c r="R9" i="12"/>
  <c r="R8" i="12"/>
  <c r="R7" i="12"/>
  <c r="R6" i="12"/>
  <c r="R5" i="12"/>
  <c r="R14" i="11"/>
  <c r="R13" i="11"/>
  <c r="R12" i="11"/>
  <c r="R11" i="11"/>
  <c r="R10" i="11"/>
  <c r="R9" i="11"/>
  <c r="R8" i="11"/>
  <c r="R7" i="11"/>
  <c r="R6" i="11"/>
  <c r="R5" i="11"/>
  <c r="J14" i="10"/>
  <c r="H14" i="10"/>
  <c r="J13" i="10"/>
  <c r="H13" i="10"/>
  <c r="J12" i="10"/>
  <c r="H12" i="10"/>
  <c r="J11" i="10"/>
  <c r="H11" i="10"/>
  <c r="J10" i="10"/>
  <c r="H10" i="10"/>
  <c r="J9" i="10"/>
  <c r="H9" i="10"/>
  <c r="J8" i="10"/>
  <c r="H8" i="10"/>
  <c r="J7" i="10"/>
  <c r="H7" i="10"/>
  <c r="J6" i="10"/>
  <c r="H6" i="10"/>
  <c r="J5" i="10"/>
  <c r="H5" i="10"/>
  <c r="E6" i="10"/>
  <c r="E7" i="10"/>
  <c r="E8" i="10"/>
  <c r="E9" i="10"/>
  <c r="E10" i="10"/>
  <c r="E11" i="10"/>
  <c r="E12" i="10"/>
  <c r="E13" i="10"/>
  <c r="E14" i="10"/>
  <c r="E5" i="10"/>
  <c r="G14" i="10"/>
  <c r="G13" i="10"/>
  <c r="G12" i="10"/>
  <c r="G11" i="10"/>
  <c r="G10" i="10"/>
  <c r="G9" i="10"/>
  <c r="G8" i="10"/>
  <c r="G7" i="10"/>
  <c r="G6" i="10"/>
  <c r="G5" i="10"/>
  <c r="D6" i="10"/>
  <c r="D7" i="10"/>
  <c r="D8" i="10"/>
  <c r="D9" i="10"/>
  <c r="D10" i="10"/>
  <c r="D11" i="10"/>
  <c r="D12" i="10"/>
  <c r="D13" i="10"/>
  <c r="D14" i="10"/>
  <c r="D5" i="10"/>
  <c r="R6" i="10"/>
  <c r="B6" i="10"/>
  <c r="B7" i="10"/>
  <c r="B8" i="10"/>
  <c r="B9" i="10"/>
  <c r="B10" i="10"/>
  <c r="B11" i="10"/>
  <c r="B12" i="10"/>
  <c r="B13" i="10"/>
  <c r="B14" i="10"/>
  <c r="B5" i="10"/>
  <c r="C40" i="9"/>
  <c r="D40" i="9"/>
  <c r="E40" i="9"/>
  <c r="F40" i="9"/>
  <c r="C41" i="9"/>
  <c r="D41" i="9"/>
  <c r="E41" i="9"/>
  <c r="F41" i="9"/>
  <c r="C42" i="9"/>
  <c r="D42" i="9"/>
  <c r="E42" i="9"/>
  <c r="F42" i="9"/>
  <c r="C43" i="9"/>
  <c r="D43" i="9"/>
  <c r="E43" i="9"/>
  <c r="F43" i="9"/>
  <c r="B43" i="9"/>
  <c r="B42" i="9"/>
  <c r="B41" i="9"/>
  <c r="B40" i="9"/>
  <c r="R12" i="5"/>
  <c r="R10" i="5"/>
  <c r="L16" i="45" l="1"/>
  <c r="G15" i="24"/>
  <c r="L15" i="24" s="1"/>
  <c r="C44" i="9"/>
  <c r="G16" i="45"/>
  <c r="X105" i="33"/>
  <c r="G16" i="24" s="1"/>
  <c r="L16" i="24" s="1"/>
  <c r="J93" i="33"/>
  <c r="X120" i="33"/>
  <c r="S106" i="33"/>
  <c r="S93" i="33"/>
  <c r="L106" i="33"/>
  <c r="L93" i="33"/>
  <c r="X92" i="33"/>
  <c r="AN93" i="33"/>
  <c r="J41" i="49"/>
  <c r="G12" i="45"/>
  <c r="L12" i="45"/>
  <c r="L8" i="45"/>
  <c r="G8" i="45"/>
  <c r="G15" i="45"/>
  <c r="L15" i="45"/>
  <c r="L10" i="45"/>
  <c r="G10" i="45"/>
  <c r="G13" i="45"/>
  <c r="L13" i="45"/>
  <c r="L11" i="45"/>
  <c r="G11" i="45"/>
  <c r="L9" i="45"/>
  <c r="G9" i="45"/>
  <c r="L6" i="45"/>
  <c r="G6" i="45"/>
  <c r="X24" i="5"/>
  <c r="T14" i="11"/>
  <c r="Q14" i="11"/>
  <c r="B44" i="9"/>
  <c r="S16" i="5"/>
  <c r="U15" i="5"/>
  <c r="X15" i="5"/>
  <c r="W19" i="5"/>
  <c r="AB15" i="5"/>
  <c r="AA15" i="5"/>
  <c r="Y15" i="5"/>
  <c r="T15" i="12"/>
  <c r="AN106" i="33"/>
  <c r="AN119" i="33"/>
  <c r="N57" i="33"/>
  <c r="N95" i="33" s="1"/>
  <c r="AK57" i="33"/>
  <c r="AK95" i="33" s="1"/>
  <c r="AD57" i="33"/>
  <c r="AD95" i="33" s="1"/>
  <c r="U57" i="33"/>
  <c r="U95" i="33" s="1"/>
  <c r="AL57" i="33"/>
  <c r="AL95" i="33" s="1"/>
  <c r="O57" i="33"/>
  <c r="O95" i="33" s="1"/>
  <c r="V57" i="33"/>
  <c r="V95" i="33" s="1"/>
  <c r="AE57" i="33"/>
  <c r="AE95" i="33" s="1"/>
  <c r="AF83" i="33"/>
  <c r="AF123" i="33" s="1"/>
  <c r="W83" i="33"/>
  <c r="W123" i="33" s="1"/>
  <c r="AM83" i="33"/>
  <c r="AM123" i="33" s="1"/>
  <c r="P83" i="33"/>
  <c r="P123" i="33" s="1"/>
  <c r="K82" i="33"/>
  <c r="K122" i="33" s="1"/>
  <c r="R82" i="33"/>
  <c r="R122" i="33" s="1"/>
  <c r="AH82" i="33"/>
  <c r="AH122" i="33" s="1"/>
  <c r="AA82" i="33"/>
  <c r="AA122" i="33" s="1"/>
  <c r="T68" i="33"/>
  <c r="T107" i="33" s="1"/>
  <c r="M68" i="33"/>
  <c r="M107" i="33" s="1"/>
  <c r="AJ68" i="33"/>
  <c r="AJ107" i="33" s="1"/>
  <c r="AC68" i="33"/>
  <c r="AC107" i="33" s="1"/>
  <c r="N83" i="33"/>
  <c r="N123" i="33" s="1"/>
  <c r="AD83" i="33"/>
  <c r="AD123" i="33" s="1"/>
  <c r="U83" i="33"/>
  <c r="U123" i="33" s="1"/>
  <c r="AK83" i="33"/>
  <c r="AK123" i="33" s="1"/>
  <c r="AD69" i="33"/>
  <c r="AD108" i="33" s="1"/>
  <c r="N69" i="33"/>
  <c r="N108" i="33" s="1"/>
  <c r="U69" i="33"/>
  <c r="U108" i="33" s="1"/>
  <c r="AK69" i="33"/>
  <c r="AK108" i="33" s="1"/>
  <c r="AG69" i="33"/>
  <c r="AG108" i="33" s="1"/>
  <c r="J69" i="33"/>
  <c r="Z69" i="33"/>
  <c r="Z108" i="33" s="1"/>
  <c r="Q69" i="33"/>
  <c r="Q108" i="33" s="1"/>
  <c r="Q81" i="33"/>
  <c r="Q121" i="33" s="1"/>
  <c r="J81" i="33"/>
  <c r="J121" i="33" s="1"/>
  <c r="AG81" i="33"/>
  <c r="AG121" i="33" s="1"/>
  <c r="Z81" i="33"/>
  <c r="Z121" i="33" s="1"/>
  <c r="AE69" i="33"/>
  <c r="AE108" i="33" s="1"/>
  <c r="O69" i="33"/>
  <c r="O108" i="33" s="1"/>
  <c r="V69" i="33"/>
  <c r="V108" i="33" s="1"/>
  <c r="AL69" i="33"/>
  <c r="AL108" i="33" s="1"/>
  <c r="AE81" i="33"/>
  <c r="AE121" i="33" s="1"/>
  <c r="V81" i="33"/>
  <c r="V121" i="33" s="1"/>
  <c r="AL81" i="33"/>
  <c r="AL121" i="33" s="1"/>
  <c r="O81" i="33"/>
  <c r="O121" i="33" s="1"/>
  <c r="AF69" i="33"/>
  <c r="AF108" i="33" s="1"/>
  <c r="W69" i="33"/>
  <c r="W108" i="33" s="1"/>
  <c r="P69" i="33"/>
  <c r="P108" i="33" s="1"/>
  <c r="AM69" i="33"/>
  <c r="AM108" i="33" s="1"/>
  <c r="M57" i="33"/>
  <c r="M95" i="33" s="1"/>
  <c r="AJ57" i="33"/>
  <c r="AJ95" i="33" s="1"/>
  <c r="T57" i="33"/>
  <c r="T95" i="33" s="1"/>
  <c r="AC57" i="33"/>
  <c r="AC95" i="33" s="1"/>
  <c r="AG57" i="33"/>
  <c r="AG95" i="33" s="1"/>
  <c r="J57" i="33"/>
  <c r="Q57" i="33"/>
  <c r="Q95" i="33" s="1"/>
  <c r="Z57" i="33"/>
  <c r="Z95" i="33" s="1"/>
  <c r="L82" i="33"/>
  <c r="L122" i="33" s="1"/>
  <c r="AI82" i="33"/>
  <c r="AI122" i="33" s="1"/>
  <c r="S82" i="33"/>
  <c r="S122" i="33" s="1"/>
  <c r="AB82" i="33"/>
  <c r="AB122" i="33" s="1"/>
  <c r="AF57" i="33"/>
  <c r="AF95" i="33" s="1"/>
  <c r="AM57" i="33"/>
  <c r="AM95" i="33" s="1"/>
  <c r="P57" i="33"/>
  <c r="P95" i="33" s="1"/>
  <c r="W57" i="33"/>
  <c r="W95" i="33" s="1"/>
  <c r="R56" i="33"/>
  <c r="R94" i="33" s="1"/>
  <c r="AH56" i="33"/>
  <c r="AH94" i="33" s="1"/>
  <c r="K56" i="33"/>
  <c r="K94" i="33" s="1"/>
  <c r="AA56" i="33"/>
  <c r="AA94" i="33" s="1"/>
  <c r="AN94" i="33" s="1"/>
  <c r="AH69" i="33"/>
  <c r="AH108" i="33" s="1"/>
  <c r="K69" i="33"/>
  <c r="K108" i="33" s="1"/>
  <c r="AA69" i="33"/>
  <c r="AA108" i="33" s="1"/>
  <c r="R69" i="33"/>
  <c r="R108" i="33" s="1"/>
  <c r="S68" i="33"/>
  <c r="AI68" i="33"/>
  <c r="AI107" i="33" s="1"/>
  <c r="AB68" i="33"/>
  <c r="AB107" i="33" s="1"/>
  <c r="L68" i="33"/>
  <c r="AC82" i="33"/>
  <c r="AC122" i="33" s="1"/>
  <c r="AJ82" i="33"/>
  <c r="AJ122" i="33" s="1"/>
  <c r="M82" i="33"/>
  <c r="M122" i="33" s="1"/>
  <c r="T82" i="33"/>
  <c r="T122" i="33" s="1"/>
  <c r="L57" i="33"/>
  <c r="AI57" i="33"/>
  <c r="AI95" i="33" s="1"/>
  <c r="AB57" i="33"/>
  <c r="AB95" i="33" s="1"/>
  <c r="S57" i="33"/>
  <c r="S14" i="19"/>
  <c r="S14" i="12"/>
  <c r="S14" i="11"/>
  <c r="R5" i="10"/>
  <c r="R12" i="10"/>
  <c r="R11" i="10"/>
  <c r="R10" i="10"/>
  <c r="R7" i="10"/>
  <c r="R8" i="10"/>
  <c r="R9" i="10"/>
  <c r="F44" i="9"/>
  <c r="E44" i="9"/>
  <c r="D44" i="9"/>
  <c r="H16" i="54" l="1"/>
  <c r="X121" i="33"/>
  <c r="L107" i="33"/>
  <c r="L94" i="33"/>
  <c r="S107" i="33"/>
  <c r="S94" i="33"/>
  <c r="J108" i="33"/>
  <c r="J94" i="33"/>
  <c r="X94" i="33" s="1"/>
  <c r="X106" i="33"/>
  <c r="X93" i="33"/>
  <c r="Q15" i="11"/>
  <c r="Q15" i="12"/>
  <c r="T15" i="11"/>
  <c r="T15" i="10"/>
  <c r="G17" i="45"/>
  <c r="L17" i="45"/>
  <c r="W15" i="5"/>
  <c r="S15" i="12"/>
  <c r="S15" i="11"/>
  <c r="AN107" i="33"/>
  <c r="X19" i="5"/>
  <c r="X24" i="19"/>
  <c r="U19" i="5"/>
  <c r="X25" i="19"/>
  <c r="X25" i="5"/>
  <c r="X19" i="19"/>
  <c r="U24" i="5"/>
  <c r="W24" i="5"/>
  <c r="W24" i="19"/>
  <c r="W20" i="19"/>
  <c r="S16" i="19"/>
  <c r="W19" i="19"/>
  <c r="AB16" i="5"/>
  <c r="AA16" i="5"/>
  <c r="Y16" i="5"/>
  <c r="AB17" i="5"/>
  <c r="Y15" i="19"/>
  <c r="AA15" i="19"/>
  <c r="W20" i="5"/>
  <c r="U16" i="5"/>
  <c r="AB15" i="19"/>
  <c r="AN120" i="33"/>
  <c r="W70" i="33"/>
  <c r="W109" i="33" s="1"/>
  <c r="AM70" i="33"/>
  <c r="AM109" i="33" s="1"/>
  <c r="AF70" i="33"/>
  <c r="AF109" i="33" s="1"/>
  <c r="P70" i="33"/>
  <c r="P109" i="33" s="1"/>
  <c r="AC83" i="33"/>
  <c r="AC123" i="33" s="1"/>
  <c r="AJ83" i="33"/>
  <c r="AJ123" i="33" s="1"/>
  <c r="M83" i="33"/>
  <c r="M123" i="33" s="1"/>
  <c r="T83" i="33"/>
  <c r="T123" i="33" s="1"/>
  <c r="AA83" i="33"/>
  <c r="AA123" i="33" s="1"/>
  <c r="AH83" i="33"/>
  <c r="AH123" i="33" s="1"/>
  <c r="K83" i="33"/>
  <c r="K123" i="33" s="1"/>
  <c r="R83" i="33"/>
  <c r="R123" i="33" s="1"/>
  <c r="W58" i="33"/>
  <c r="W96" i="33" s="1"/>
  <c r="AM58" i="33"/>
  <c r="AM96" i="33" s="1"/>
  <c r="P58" i="33"/>
  <c r="P96" i="33" s="1"/>
  <c r="AF58" i="33"/>
  <c r="AF96" i="33" s="1"/>
  <c r="AL82" i="33"/>
  <c r="AL122" i="33" s="1"/>
  <c r="AE82" i="33"/>
  <c r="AE122" i="33" s="1"/>
  <c r="O82" i="33"/>
  <c r="O122" i="33" s="1"/>
  <c r="V82" i="33"/>
  <c r="V122" i="33" s="1"/>
  <c r="AI83" i="33"/>
  <c r="AI123" i="33" s="1"/>
  <c r="AB83" i="33"/>
  <c r="AB123" i="33" s="1"/>
  <c r="S83" i="33"/>
  <c r="S123" i="33" s="1"/>
  <c r="L83" i="33"/>
  <c r="L123" i="33" s="1"/>
  <c r="AH70" i="33"/>
  <c r="AH109" i="33" s="1"/>
  <c r="AA70" i="33"/>
  <c r="AA109" i="33" s="1"/>
  <c r="R70" i="33"/>
  <c r="R109" i="33" s="1"/>
  <c r="K70" i="33"/>
  <c r="K109" i="33" s="1"/>
  <c r="Z58" i="33"/>
  <c r="Z96" i="33" s="1"/>
  <c r="Q58" i="33"/>
  <c r="Q96" i="33" s="1"/>
  <c r="J58" i="33"/>
  <c r="AG58" i="33"/>
  <c r="AG96" i="33" s="1"/>
  <c r="V70" i="33"/>
  <c r="V109" i="33" s="1"/>
  <c r="AE70" i="33"/>
  <c r="AE109" i="33" s="1"/>
  <c r="AL70" i="33"/>
  <c r="AL109" i="33" s="1"/>
  <c r="O70" i="33"/>
  <c r="O109" i="33" s="1"/>
  <c r="N84" i="33"/>
  <c r="N124" i="33" s="1"/>
  <c r="U84" i="33"/>
  <c r="U124" i="33" s="1"/>
  <c r="AD84" i="33"/>
  <c r="AD124" i="33" s="1"/>
  <c r="AK84" i="33"/>
  <c r="AK124" i="33" s="1"/>
  <c r="AD70" i="33"/>
  <c r="AD109" i="33" s="1"/>
  <c r="U70" i="33"/>
  <c r="U109" i="33" s="1"/>
  <c r="AK70" i="33"/>
  <c r="AK109" i="33" s="1"/>
  <c r="N70" i="33"/>
  <c r="N109" i="33" s="1"/>
  <c r="L69" i="33"/>
  <c r="AI69" i="33"/>
  <c r="AI108" i="33" s="1"/>
  <c r="AB69" i="33"/>
  <c r="AB108" i="33" s="1"/>
  <c r="S69" i="33"/>
  <c r="P84" i="33"/>
  <c r="P124" i="33" s="1"/>
  <c r="W84" i="33"/>
  <c r="W124" i="33" s="1"/>
  <c r="AM84" i="33"/>
  <c r="AM124" i="33" s="1"/>
  <c r="AF84" i="33"/>
  <c r="AF124" i="33" s="1"/>
  <c r="V58" i="33"/>
  <c r="V96" i="33" s="1"/>
  <c r="AL58" i="33"/>
  <c r="AL96" i="33" s="1"/>
  <c r="AE58" i="33"/>
  <c r="AE96" i="33" s="1"/>
  <c r="O58" i="33"/>
  <c r="O96" i="33" s="1"/>
  <c r="AI58" i="33"/>
  <c r="AI96" i="33" s="1"/>
  <c r="AB58" i="33"/>
  <c r="AB96" i="33" s="1"/>
  <c r="S58" i="33"/>
  <c r="L58" i="33"/>
  <c r="AH57" i="33"/>
  <c r="AH95" i="33" s="1"/>
  <c r="K57" i="33"/>
  <c r="K95" i="33" s="1"/>
  <c r="AA57" i="33"/>
  <c r="AA95" i="33" s="1"/>
  <c r="R57" i="33"/>
  <c r="R95" i="33" s="1"/>
  <c r="AJ58" i="33"/>
  <c r="AJ96" i="33" s="1"/>
  <c r="AC58" i="33"/>
  <c r="AC96" i="33" s="1"/>
  <c r="T58" i="33"/>
  <c r="T96" i="33" s="1"/>
  <c r="M58" i="33"/>
  <c r="M96" i="33" s="1"/>
  <c r="Z70" i="33"/>
  <c r="Z109" i="33" s="1"/>
  <c r="Q70" i="33"/>
  <c r="Q109" i="33" s="1"/>
  <c r="AG70" i="33"/>
  <c r="AG109" i="33" s="1"/>
  <c r="J70" i="33"/>
  <c r="J82" i="33"/>
  <c r="J122" i="33" s="1"/>
  <c r="AG82" i="33"/>
  <c r="AG122" i="33" s="1"/>
  <c r="Z82" i="33"/>
  <c r="Z122" i="33" s="1"/>
  <c r="Q82" i="33"/>
  <c r="Q122" i="33" s="1"/>
  <c r="AJ69" i="33"/>
  <c r="AJ108" i="33" s="1"/>
  <c r="AC69" i="33"/>
  <c r="AC108" i="33" s="1"/>
  <c r="T69" i="33"/>
  <c r="T108" i="33" s="1"/>
  <c r="M69" i="33"/>
  <c r="M108" i="33" s="1"/>
  <c r="AK58" i="33"/>
  <c r="AK96" i="33" s="1"/>
  <c r="AD58" i="33"/>
  <c r="AD96" i="33" s="1"/>
  <c r="U58" i="33"/>
  <c r="U96" i="33" s="1"/>
  <c r="N58" i="33"/>
  <c r="N96" i="33" s="1"/>
  <c r="AB16" i="19"/>
  <c r="T15" i="19"/>
  <c r="X15" i="19"/>
  <c r="U15" i="19"/>
  <c r="Q15" i="19"/>
  <c r="Y16" i="19"/>
  <c r="S15" i="19"/>
  <c r="W15" i="19"/>
  <c r="AA17" i="19"/>
  <c r="R13" i="10"/>
  <c r="R14" i="10"/>
  <c r="J109" i="33" l="1"/>
  <c r="S108" i="33"/>
  <c r="S95" i="33"/>
  <c r="J95" i="33"/>
  <c r="X107" i="33"/>
  <c r="G19" i="45" s="1"/>
  <c r="L95" i="33"/>
  <c r="L108" i="33"/>
  <c r="X108" i="33" s="1"/>
  <c r="X122" i="33"/>
  <c r="H17" i="54"/>
  <c r="G17" i="24"/>
  <c r="L17" i="24" s="1"/>
  <c r="AN95" i="33"/>
  <c r="S17" i="5"/>
  <c r="U16" i="19"/>
  <c r="E112" i="43"/>
  <c r="C112" i="43"/>
  <c r="D112" i="43"/>
  <c r="C112" i="41"/>
  <c r="B112" i="41"/>
  <c r="G112" i="43"/>
  <c r="U112" i="43" s="1"/>
  <c r="F112" i="43"/>
  <c r="C98" i="41"/>
  <c r="B98" i="41"/>
  <c r="D98" i="43"/>
  <c r="E98" i="43"/>
  <c r="F98" i="43"/>
  <c r="T98" i="43" s="1"/>
  <c r="AC98" i="43" s="1"/>
  <c r="AL98" i="43" s="1"/>
  <c r="G98" i="43"/>
  <c r="U98" i="43" s="1"/>
  <c r="AD98" i="43" s="1"/>
  <c r="AM98" i="43" s="1"/>
  <c r="W16" i="19"/>
  <c r="D99" i="43"/>
  <c r="C99" i="41"/>
  <c r="C99" i="43"/>
  <c r="E99" i="43"/>
  <c r="B99" i="41"/>
  <c r="F99" i="43"/>
  <c r="T99" i="43" s="1"/>
  <c r="AC99" i="43" s="1"/>
  <c r="AL99" i="43" s="1"/>
  <c r="G99" i="43"/>
  <c r="U99" i="43" s="1"/>
  <c r="AD99" i="43" s="1"/>
  <c r="AM99" i="43" s="1"/>
  <c r="Q16" i="19"/>
  <c r="C85" i="41" s="1"/>
  <c r="C84" i="43"/>
  <c r="C84" i="41"/>
  <c r="B84" i="41"/>
  <c r="D84" i="43"/>
  <c r="E84" i="43"/>
  <c r="F84" i="43"/>
  <c r="T84" i="43" s="1"/>
  <c r="G84" i="43"/>
  <c r="U84" i="43" s="1"/>
  <c r="L18" i="45"/>
  <c r="G18" i="45"/>
  <c r="Q16" i="12"/>
  <c r="X20" i="5"/>
  <c r="Y17" i="5"/>
  <c r="Q18" i="5"/>
  <c r="W25" i="5"/>
  <c r="U24" i="19"/>
  <c r="AA16" i="19"/>
  <c r="AN108" i="33"/>
  <c r="X21" i="19"/>
  <c r="U20" i="5"/>
  <c r="U19" i="19"/>
  <c r="S22" i="5"/>
  <c r="X26" i="5"/>
  <c r="X26" i="19"/>
  <c r="U17" i="5"/>
  <c r="X20" i="19"/>
  <c r="W22" i="5"/>
  <c r="Q16" i="11"/>
  <c r="W17" i="19"/>
  <c r="U25" i="5"/>
  <c r="W21" i="5"/>
  <c r="AN121" i="33"/>
  <c r="AI59" i="33"/>
  <c r="AI97" i="33" s="1"/>
  <c r="AB59" i="33"/>
  <c r="AB97" i="33" s="1"/>
  <c r="S59" i="33"/>
  <c r="L59" i="33"/>
  <c r="AG59" i="33"/>
  <c r="AG97" i="33" s="1"/>
  <c r="J59" i="33"/>
  <c r="Z59" i="33"/>
  <c r="Z97" i="33" s="1"/>
  <c r="Q59" i="33"/>
  <c r="Q97" i="33" s="1"/>
  <c r="AI70" i="33"/>
  <c r="AI109" i="33" s="1"/>
  <c r="S70" i="33"/>
  <c r="AB70" i="33"/>
  <c r="AB109" i="33" s="1"/>
  <c r="L70" i="33"/>
  <c r="AK71" i="33"/>
  <c r="AK110" i="33" s="1"/>
  <c r="N71" i="33"/>
  <c r="N110" i="33" s="1"/>
  <c r="AD71" i="33"/>
  <c r="AD110" i="33" s="1"/>
  <c r="U71" i="33"/>
  <c r="U110" i="33" s="1"/>
  <c r="T70" i="33"/>
  <c r="T109" i="33" s="1"/>
  <c r="AJ70" i="33"/>
  <c r="AJ109" i="33" s="1"/>
  <c r="AC70" i="33"/>
  <c r="AC109" i="33" s="1"/>
  <c r="M70" i="33"/>
  <c r="M109" i="33" s="1"/>
  <c r="AG83" i="33"/>
  <c r="AG123" i="33" s="1"/>
  <c r="Z83" i="33"/>
  <c r="Z123" i="33" s="1"/>
  <c r="Q83" i="33"/>
  <c r="Q123" i="33" s="1"/>
  <c r="J83" i="33"/>
  <c r="J123" i="33" s="1"/>
  <c r="AD85" i="33"/>
  <c r="AD125" i="33" s="1"/>
  <c r="N85" i="33"/>
  <c r="N125" i="33" s="1"/>
  <c r="AK85" i="33"/>
  <c r="AK125" i="33" s="1"/>
  <c r="U85" i="33"/>
  <c r="U125" i="33" s="1"/>
  <c r="Z71" i="33"/>
  <c r="Z110" i="33" s="1"/>
  <c r="J71" i="33"/>
  <c r="AG71" i="33"/>
  <c r="AG110" i="33" s="1"/>
  <c r="Q71" i="33"/>
  <c r="Q110" i="33" s="1"/>
  <c r="AI84" i="33"/>
  <c r="AI124" i="33" s="1"/>
  <c r="L84" i="33"/>
  <c r="L124" i="33" s="1"/>
  <c r="S84" i="33"/>
  <c r="S124" i="33" s="1"/>
  <c r="AB84" i="33"/>
  <c r="AB124" i="33" s="1"/>
  <c r="AH58" i="33"/>
  <c r="AH96" i="33" s="1"/>
  <c r="K58" i="33"/>
  <c r="K96" i="33" s="1"/>
  <c r="AA58" i="33"/>
  <c r="AA96" i="33" s="1"/>
  <c r="R58" i="33"/>
  <c r="R96" i="33" s="1"/>
  <c r="P59" i="33"/>
  <c r="P97" i="33" s="1"/>
  <c r="AF59" i="33"/>
  <c r="AF97" i="33" s="1"/>
  <c r="AM59" i="33"/>
  <c r="AM97" i="33" s="1"/>
  <c r="W59" i="33"/>
  <c r="W97" i="33" s="1"/>
  <c r="R84" i="33"/>
  <c r="R124" i="33" s="1"/>
  <c r="K84" i="33"/>
  <c r="K124" i="33" s="1"/>
  <c r="AA84" i="33"/>
  <c r="AA124" i="33" s="1"/>
  <c r="AH84" i="33"/>
  <c r="AH124" i="33" s="1"/>
  <c r="AA71" i="33"/>
  <c r="AA110" i="33" s="1"/>
  <c r="AH71" i="33"/>
  <c r="AH110" i="33" s="1"/>
  <c r="K71" i="33"/>
  <c r="K110" i="33" s="1"/>
  <c r="R71" i="33"/>
  <c r="R110" i="33" s="1"/>
  <c r="AC84" i="33"/>
  <c r="AC124" i="33" s="1"/>
  <c r="AJ84" i="33"/>
  <c r="AJ124" i="33" s="1"/>
  <c r="M84" i="33"/>
  <c r="M124" i="33" s="1"/>
  <c r="T84" i="33"/>
  <c r="T124" i="33" s="1"/>
  <c r="AL59" i="33"/>
  <c r="AL97" i="33" s="1"/>
  <c r="O59" i="33"/>
  <c r="O97" i="33" s="1"/>
  <c r="AE59" i="33"/>
  <c r="AE97" i="33" s="1"/>
  <c r="V59" i="33"/>
  <c r="V97" i="33" s="1"/>
  <c r="AL83" i="33"/>
  <c r="AL123" i="33" s="1"/>
  <c r="AE83" i="33"/>
  <c r="AE123" i="33" s="1"/>
  <c r="O83" i="33"/>
  <c r="O123" i="33" s="1"/>
  <c r="V83" i="33"/>
  <c r="V123" i="33" s="1"/>
  <c r="AK59" i="33"/>
  <c r="AK97" i="33" s="1"/>
  <c r="N59" i="33"/>
  <c r="N97" i="33" s="1"/>
  <c r="AD59" i="33"/>
  <c r="AD97" i="33" s="1"/>
  <c r="U59" i="33"/>
  <c r="U97" i="33" s="1"/>
  <c r="AJ59" i="33"/>
  <c r="AJ97" i="33" s="1"/>
  <c r="AC59" i="33"/>
  <c r="AC97" i="33" s="1"/>
  <c r="T59" i="33"/>
  <c r="T97" i="33" s="1"/>
  <c r="M59" i="33"/>
  <c r="M97" i="33" s="1"/>
  <c r="AM85" i="33"/>
  <c r="AM125" i="33" s="1"/>
  <c r="W85" i="33"/>
  <c r="W125" i="33" s="1"/>
  <c r="AF85" i="33"/>
  <c r="AF125" i="33" s="1"/>
  <c r="P85" i="33"/>
  <c r="P125" i="33" s="1"/>
  <c r="AL71" i="33"/>
  <c r="AL110" i="33" s="1"/>
  <c r="O71" i="33"/>
  <c r="O110" i="33" s="1"/>
  <c r="AE71" i="33"/>
  <c r="AE110" i="33" s="1"/>
  <c r="V71" i="33"/>
  <c r="V110" i="33" s="1"/>
  <c r="P71" i="33"/>
  <c r="P110" i="33" s="1"/>
  <c r="AM71" i="33"/>
  <c r="AM110" i="33" s="1"/>
  <c r="AF71" i="33"/>
  <c r="AF110" i="33" s="1"/>
  <c r="W71" i="33"/>
  <c r="W110" i="33" s="1"/>
  <c r="AB17" i="19"/>
  <c r="S14" i="10"/>
  <c r="Q14" i="10"/>
  <c r="T14" i="10"/>
  <c r="Q112" i="43" l="1"/>
  <c r="P112" i="43"/>
  <c r="O112" i="43"/>
  <c r="N112" i="43"/>
  <c r="M112" i="43"/>
  <c r="L112" i="43"/>
  <c r="S112" i="43"/>
  <c r="R112" i="43"/>
  <c r="T112" i="43"/>
  <c r="AC112" i="43" s="1"/>
  <c r="AL112" i="43" s="1"/>
  <c r="AD84" i="43"/>
  <c r="AM84" i="43" s="1"/>
  <c r="AC84" i="43"/>
  <c r="AL84" i="43" s="1"/>
  <c r="AN96" i="33"/>
  <c r="H18" i="54"/>
  <c r="G18" i="24"/>
  <c r="L18" i="24" s="1"/>
  <c r="L109" i="33"/>
  <c r="L96" i="33"/>
  <c r="S96" i="33"/>
  <c r="S109" i="33"/>
  <c r="H19" i="54"/>
  <c r="G19" i="24"/>
  <c r="L19" i="24" s="1"/>
  <c r="X95" i="33"/>
  <c r="X123" i="33"/>
  <c r="L19" i="45"/>
  <c r="J110" i="33"/>
  <c r="J96" i="33"/>
  <c r="U17" i="19"/>
  <c r="B85" i="41"/>
  <c r="G85" i="41" s="1"/>
  <c r="Q22" i="5"/>
  <c r="H112" i="43"/>
  <c r="L112" i="41"/>
  <c r="K112" i="41"/>
  <c r="J112" i="41"/>
  <c r="AD112" i="43"/>
  <c r="AM112" i="43" s="1"/>
  <c r="G112" i="41"/>
  <c r="I112" i="41"/>
  <c r="H112" i="41"/>
  <c r="G99" i="41"/>
  <c r="H99" i="41"/>
  <c r="I99" i="41"/>
  <c r="W25" i="19"/>
  <c r="R99" i="43"/>
  <c r="S99" i="43"/>
  <c r="N99" i="43"/>
  <c r="M99" i="43"/>
  <c r="L99" i="43"/>
  <c r="H99" i="43"/>
  <c r="K99" i="41"/>
  <c r="L99" i="41"/>
  <c r="J99" i="41"/>
  <c r="R98" i="43"/>
  <c r="S98" i="43"/>
  <c r="Q98" i="43"/>
  <c r="P98" i="43"/>
  <c r="O98" i="43"/>
  <c r="O99" i="43"/>
  <c r="P99" i="43"/>
  <c r="Q99" i="43"/>
  <c r="H98" i="41"/>
  <c r="G98" i="41"/>
  <c r="I98" i="41"/>
  <c r="N98" i="43"/>
  <c r="M98" i="43"/>
  <c r="L98" i="43"/>
  <c r="H98" i="43"/>
  <c r="L98" i="41"/>
  <c r="J98" i="41"/>
  <c r="K98" i="41"/>
  <c r="Q17" i="19"/>
  <c r="E86" i="43" s="1"/>
  <c r="F85" i="43"/>
  <c r="T85" i="43" s="1"/>
  <c r="G85" i="43"/>
  <c r="U85" i="43" s="1"/>
  <c r="E85" i="43"/>
  <c r="C85" i="43"/>
  <c r="L85" i="43" s="1"/>
  <c r="D85" i="43"/>
  <c r="Q85" i="43" s="1"/>
  <c r="H84" i="41"/>
  <c r="G84" i="41"/>
  <c r="I84" i="41"/>
  <c r="K85" i="41"/>
  <c r="L85" i="41"/>
  <c r="J85" i="41"/>
  <c r="Q84" i="43"/>
  <c r="O84" i="43"/>
  <c r="P84" i="43"/>
  <c r="L84" i="41"/>
  <c r="J84" i="41"/>
  <c r="K84" i="41"/>
  <c r="S84" i="43"/>
  <c r="R84" i="43"/>
  <c r="M84" i="43"/>
  <c r="L84" i="43"/>
  <c r="N84" i="43"/>
  <c r="H84" i="43"/>
  <c r="Y17" i="19"/>
  <c r="L20" i="45"/>
  <c r="G20" i="45"/>
  <c r="D112" i="41"/>
  <c r="Y18" i="5"/>
  <c r="D99" i="41"/>
  <c r="W21" i="19"/>
  <c r="AA18" i="19"/>
  <c r="Q27" i="5"/>
  <c r="Q17" i="12"/>
  <c r="Q17" i="11"/>
  <c r="U18" i="19"/>
  <c r="U18" i="5"/>
  <c r="X27" i="5"/>
  <c r="AB22" i="19"/>
  <c r="Q17" i="10"/>
  <c r="U21" i="5"/>
  <c r="D84" i="41"/>
  <c r="X16" i="19"/>
  <c r="T16" i="19"/>
  <c r="AA22" i="5"/>
  <c r="S23" i="5"/>
  <c r="AA17" i="5"/>
  <c r="S18" i="5"/>
  <c r="U20" i="19"/>
  <c r="W26" i="5"/>
  <c r="T27" i="5"/>
  <c r="AB27" i="19"/>
  <c r="W23" i="5"/>
  <c r="X27" i="19"/>
  <c r="T27" i="19"/>
  <c r="T22" i="19"/>
  <c r="X22" i="19"/>
  <c r="D98" i="41"/>
  <c r="S27" i="5"/>
  <c r="U26" i="5"/>
  <c r="W18" i="19"/>
  <c r="X21" i="5"/>
  <c r="U25" i="19"/>
  <c r="AB27" i="5"/>
  <c r="S17" i="19"/>
  <c r="AN122" i="33"/>
  <c r="AN109" i="33"/>
  <c r="V72" i="33"/>
  <c r="V111" i="33" s="1"/>
  <c r="O72" i="33"/>
  <c r="O111" i="33" s="1"/>
  <c r="AL72" i="33"/>
  <c r="AL111" i="33" s="1"/>
  <c r="AE72" i="33"/>
  <c r="AE111" i="33" s="1"/>
  <c r="U86" i="33"/>
  <c r="U126" i="33" s="1"/>
  <c r="AD86" i="33"/>
  <c r="AD126" i="33" s="1"/>
  <c r="AK86" i="33"/>
  <c r="AK126" i="33" s="1"/>
  <c r="N86" i="33"/>
  <c r="N126" i="33" s="1"/>
  <c r="W86" i="33"/>
  <c r="W126" i="33" s="1"/>
  <c r="AM86" i="33"/>
  <c r="AM126" i="33" s="1"/>
  <c r="P86" i="33"/>
  <c r="P126" i="33" s="1"/>
  <c r="AF86" i="33"/>
  <c r="AF126" i="33" s="1"/>
  <c r="J72" i="33"/>
  <c r="J97" i="33" s="1"/>
  <c r="AG72" i="33"/>
  <c r="AG111" i="33" s="1"/>
  <c r="Q72" i="33"/>
  <c r="Q111" i="33" s="1"/>
  <c r="Z72" i="33"/>
  <c r="Z111" i="33" s="1"/>
  <c r="AD72" i="33"/>
  <c r="AD111" i="33" s="1"/>
  <c r="U72" i="33"/>
  <c r="U111" i="33" s="1"/>
  <c r="AK72" i="33"/>
  <c r="AK111" i="33" s="1"/>
  <c r="N72" i="33"/>
  <c r="N111" i="33" s="1"/>
  <c r="AI85" i="33"/>
  <c r="AI125" i="33" s="1"/>
  <c r="AB85" i="33"/>
  <c r="AB125" i="33" s="1"/>
  <c r="L85" i="33"/>
  <c r="L125" i="33" s="1"/>
  <c r="S85" i="33"/>
  <c r="S125" i="33" s="1"/>
  <c r="J60" i="33"/>
  <c r="AG60" i="33"/>
  <c r="AG98" i="33" s="1"/>
  <c r="Q60" i="33"/>
  <c r="Q98" i="33" s="1"/>
  <c r="Z60" i="33"/>
  <c r="Z98" i="33" s="1"/>
  <c r="AF60" i="33"/>
  <c r="AF98" i="33" s="1"/>
  <c r="AM60" i="33"/>
  <c r="AM98" i="33" s="1"/>
  <c r="W60" i="33"/>
  <c r="W98" i="33" s="1"/>
  <c r="P60" i="33"/>
  <c r="P98" i="33" s="1"/>
  <c r="K59" i="33"/>
  <c r="K97" i="33" s="1"/>
  <c r="AH59" i="33"/>
  <c r="AH97" i="33" s="1"/>
  <c r="AA59" i="33"/>
  <c r="AA97" i="33" s="1"/>
  <c r="R59" i="33"/>
  <c r="R97" i="33" s="1"/>
  <c r="AB71" i="33"/>
  <c r="AB110" i="33" s="1"/>
  <c r="S71" i="33"/>
  <c r="AI71" i="33"/>
  <c r="AI110" i="33" s="1"/>
  <c r="L71" i="33"/>
  <c r="T85" i="33"/>
  <c r="T125" i="33" s="1"/>
  <c r="M85" i="33"/>
  <c r="M125" i="33" s="1"/>
  <c r="AJ85" i="33"/>
  <c r="AJ125" i="33" s="1"/>
  <c r="AC85" i="33"/>
  <c r="AC125" i="33" s="1"/>
  <c r="AE60" i="33"/>
  <c r="AE98" i="33" s="1"/>
  <c r="AL60" i="33"/>
  <c r="AL98" i="33" s="1"/>
  <c r="O60" i="33"/>
  <c r="O98" i="33" s="1"/>
  <c r="V60" i="33"/>
  <c r="V98" i="33" s="1"/>
  <c r="AC60" i="33"/>
  <c r="AC98" i="33" s="1"/>
  <c r="M60" i="33"/>
  <c r="M98" i="33" s="1"/>
  <c r="T60" i="33"/>
  <c r="T98" i="33" s="1"/>
  <c r="AJ60" i="33"/>
  <c r="AJ98" i="33" s="1"/>
  <c r="Z84" i="33"/>
  <c r="Z124" i="33" s="1"/>
  <c r="AG84" i="33"/>
  <c r="AG124" i="33" s="1"/>
  <c r="Q84" i="33"/>
  <c r="Q124" i="33" s="1"/>
  <c r="J84" i="33"/>
  <c r="J124" i="33" s="1"/>
  <c r="W72" i="33"/>
  <c r="W111" i="33" s="1"/>
  <c r="AM72" i="33"/>
  <c r="AM111" i="33" s="1"/>
  <c r="P72" i="33"/>
  <c r="P111" i="33" s="1"/>
  <c r="AF72" i="33"/>
  <c r="AF111" i="33" s="1"/>
  <c r="AD60" i="33"/>
  <c r="AD98" i="33" s="1"/>
  <c r="U60" i="33"/>
  <c r="U98" i="33" s="1"/>
  <c r="N60" i="33"/>
  <c r="N98" i="33" s="1"/>
  <c r="AK60" i="33"/>
  <c r="AK98" i="33" s="1"/>
  <c r="R72" i="33"/>
  <c r="R111" i="33" s="1"/>
  <c r="K72" i="33"/>
  <c r="K111" i="33" s="1"/>
  <c r="AH72" i="33"/>
  <c r="AH111" i="33" s="1"/>
  <c r="AA72" i="33"/>
  <c r="AA111" i="33" s="1"/>
  <c r="AJ71" i="33"/>
  <c r="AJ110" i="33" s="1"/>
  <c r="AC71" i="33"/>
  <c r="AC110" i="33" s="1"/>
  <c r="T71" i="33"/>
  <c r="T110" i="33" s="1"/>
  <c r="M71" i="33"/>
  <c r="M110" i="33" s="1"/>
  <c r="O84" i="33"/>
  <c r="O124" i="33" s="1"/>
  <c r="AL84" i="33"/>
  <c r="AL124" i="33" s="1"/>
  <c r="V84" i="33"/>
  <c r="V124" i="33" s="1"/>
  <c r="AE84" i="33"/>
  <c r="AE124" i="33" s="1"/>
  <c r="K85" i="33"/>
  <c r="K125" i="33" s="1"/>
  <c r="AH85" i="33"/>
  <c r="AH125" i="33" s="1"/>
  <c r="R85" i="33"/>
  <c r="R125" i="33" s="1"/>
  <c r="AA85" i="33"/>
  <c r="AA125" i="33" s="1"/>
  <c r="AB60" i="33"/>
  <c r="AB98" i="33" s="1"/>
  <c r="L60" i="33"/>
  <c r="AI60" i="33"/>
  <c r="AI98" i="33" s="1"/>
  <c r="S60" i="33"/>
  <c r="X96" i="33" l="1"/>
  <c r="AC85" i="43"/>
  <c r="AL85" i="43" s="1"/>
  <c r="AD85" i="43"/>
  <c r="AM85" i="43" s="1"/>
  <c r="X124" i="33"/>
  <c r="L97" i="33"/>
  <c r="L110" i="33"/>
  <c r="X109" i="33"/>
  <c r="S110" i="33"/>
  <c r="S97" i="33"/>
  <c r="J111" i="33"/>
  <c r="AN97" i="33"/>
  <c r="AB112" i="43"/>
  <c r="AK112" i="43" s="1"/>
  <c r="AB99" i="43"/>
  <c r="AK99" i="43" s="1"/>
  <c r="D85" i="41"/>
  <c r="O85" i="43"/>
  <c r="AB98" i="43"/>
  <c r="AK98" i="43" s="1"/>
  <c r="I85" i="41"/>
  <c r="P85" i="43"/>
  <c r="H85" i="41"/>
  <c r="Q19" i="5"/>
  <c r="S22" i="11"/>
  <c r="M85" i="43"/>
  <c r="Y18" i="19"/>
  <c r="C86" i="41"/>
  <c r="K86" i="41" s="1"/>
  <c r="D86" i="43"/>
  <c r="O86" i="43" s="1"/>
  <c r="S22" i="12"/>
  <c r="S22" i="10"/>
  <c r="B86" i="41"/>
  <c r="I86" i="41" s="1"/>
  <c r="N85" i="43"/>
  <c r="G86" i="43"/>
  <c r="U86" i="43" s="1"/>
  <c r="F86" i="43"/>
  <c r="T86" i="43" s="1"/>
  <c r="C86" i="43"/>
  <c r="L86" i="43" s="1"/>
  <c r="AA112" i="43"/>
  <c r="AJ112" i="43" s="1"/>
  <c r="F14" i="54"/>
  <c r="P112" i="41"/>
  <c r="L14" i="54" s="1"/>
  <c r="B119" i="41"/>
  <c r="D119" i="43"/>
  <c r="E119" i="43"/>
  <c r="C119" i="41"/>
  <c r="C119" i="43"/>
  <c r="G119" i="43"/>
  <c r="F119" i="43"/>
  <c r="B113" i="41"/>
  <c r="C113" i="43"/>
  <c r="D113" i="43"/>
  <c r="E113" i="43"/>
  <c r="C113" i="41"/>
  <c r="G113" i="43"/>
  <c r="F113" i="43"/>
  <c r="Z112" i="43"/>
  <c r="AI112" i="43" s="1"/>
  <c r="V112" i="43"/>
  <c r="F15" i="45" s="1"/>
  <c r="V98" i="43"/>
  <c r="E15" i="45" s="1"/>
  <c r="Z98" i="43"/>
  <c r="V99" i="43"/>
  <c r="E16" i="45" s="1"/>
  <c r="Z99" i="43"/>
  <c r="E14" i="54"/>
  <c r="G14" i="54" s="1"/>
  <c r="P98" i="41"/>
  <c r="K14" i="54" s="1"/>
  <c r="C100" i="41"/>
  <c r="E100" i="43"/>
  <c r="B100" i="41"/>
  <c r="D100" i="43"/>
  <c r="C100" i="43"/>
  <c r="G100" i="43"/>
  <c r="U100" i="43" s="1"/>
  <c r="AD100" i="43" s="1"/>
  <c r="AM100" i="43" s="1"/>
  <c r="F100" i="43"/>
  <c r="T100" i="43" s="1"/>
  <c r="AC100" i="43" s="1"/>
  <c r="AL100" i="43" s="1"/>
  <c r="W26" i="19"/>
  <c r="AA99" i="43"/>
  <c r="AJ99" i="43" s="1"/>
  <c r="AA98" i="43"/>
  <c r="AJ98" i="43" s="1"/>
  <c r="E15" i="54"/>
  <c r="H85" i="43"/>
  <c r="R85" i="43"/>
  <c r="S85" i="43"/>
  <c r="AA84" i="43"/>
  <c r="AJ84" i="43" s="1"/>
  <c r="B14" i="54"/>
  <c r="P84" i="41"/>
  <c r="I14" i="54" s="1"/>
  <c r="Q18" i="19"/>
  <c r="V84" i="43"/>
  <c r="B15" i="45" s="1"/>
  <c r="Z84" i="43"/>
  <c r="AB84" i="43"/>
  <c r="AK84" i="43" s="1"/>
  <c r="R86" i="43"/>
  <c r="S86" i="43"/>
  <c r="Q84" i="41"/>
  <c r="Q98" i="41"/>
  <c r="U26" i="19"/>
  <c r="W27" i="5"/>
  <c r="AB22" i="5"/>
  <c r="Q112" i="41"/>
  <c r="T28" i="5"/>
  <c r="P99" i="41"/>
  <c r="M99" i="41"/>
  <c r="E15" i="24" s="1"/>
  <c r="X22" i="5"/>
  <c r="T27" i="12"/>
  <c r="T27" i="11"/>
  <c r="AB28" i="5"/>
  <c r="M84" i="41"/>
  <c r="B14" i="24" s="1"/>
  <c r="X28" i="5"/>
  <c r="S28" i="5"/>
  <c r="AB28" i="19"/>
  <c r="Y27" i="5"/>
  <c r="Q99" i="41"/>
  <c r="S24" i="5"/>
  <c r="X17" i="19"/>
  <c r="T17" i="19"/>
  <c r="S18" i="19"/>
  <c r="Y22" i="5"/>
  <c r="X28" i="19"/>
  <c r="T28" i="19"/>
  <c r="AA22" i="19"/>
  <c r="T23" i="19"/>
  <c r="X23" i="19"/>
  <c r="M98" i="41"/>
  <c r="E14" i="24" s="1"/>
  <c r="AA27" i="5"/>
  <c r="U21" i="19"/>
  <c r="Q85" i="41"/>
  <c r="Y19" i="5"/>
  <c r="S25" i="5"/>
  <c r="U22" i="5"/>
  <c r="Q18" i="11"/>
  <c r="AB23" i="19"/>
  <c r="U27" i="5"/>
  <c r="W22" i="19"/>
  <c r="AA23" i="5"/>
  <c r="Q18" i="10"/>
  <c r="AB18" i="19"/>
  <c r="Q18" i="12"/>
  <c r="M112" i="41"/>
  <c r="F14" i="24" s="1"/>
  <c r="AN110" i="33"/>
  <c r="AN123" i="33"/>
  <c r="T86" i="33"/>
  <c r="T126" i="33" s="1"/>
  <c r="AC86" i="33"/>
  <c r="AC126" i="33" s="1"/>
  <c r="AJ86" i="33"/>
  <c r="AJ126" i="33" s="1"/>
  <c r="M86" i="33"/>
  <c r="M126" i="33" s="1"/>
  <c r="U73" i="33"/>
  <c r="U112" i="33" s="1"/>
  <c r="AD73" i="33"/>
  <c r="AD112" i="33" s="1"/>
  <c r="N73" i="33"/>
  <c r="N112" i="33" s="1"/>
  <c r="AK73" i="33"/>
  <c r="AK112" i="33" s="1"/>
  <c r="AL61" i="33"/>
  <c r="AL99" i="33" s="1"/>
  <c r="V61" i="33"/>
  <c r="V99" i="33" s="1"/>
  <c r="O61" i="33"/>
  <c r="O99" i="33" s="1"/>
  <c r="AE61" i="33"/>
  <c r="AE99" i="33" s="1"/>
  <c r="AB86" i="33"/>
  <c r="AB126" i="33" s="1"/>
  <c r="S86" i="33"/>
  <c r="S126" i="33" s="1"/>
  <c r="L86" i="33"/>
  <c r="L126" i="33" s="1"/>
  <c r="AI86" i="33"/>
  <c r="AI126" i="33" s="1"/>
  <c r="T61" i="33"/>
  <c r="T99" i="33" s="1"/>
  <c r="M61" i="33"/>
  <c r="M99" i="33" s="1"/>
  <c r="AJ61" i="33"/>
  <c r="AJ99" i="33" s="1"/>
  <c r="AC61" i="33"/>
  <c r="AC99" i="33" s="1"/>
  <c r="AM61" i="33"/>
  <c r="AM99" i="33" s="1"/>
  <c r="W61" i="33"/>
  <c r="W99" i="33" s="1"/>
  <c r="P61" i="33"/>
  <c r="P99" i="33" s="1"/>
  <c r="AF61" i="33"/>
  <c r="AF99" i="33" s="1"/>
  <c r="AM73" i="33"/>
  <c r="AM112" i="33" s="1"/>
  <c r="AF73" i="33"/>
  <c r="AF112" i="33" s="1"/>
  <c r="W73" i="33"/>
  <c r="W112" i="33" s="1"/>
  <c r="P73" i="33"/>
  <c r="P112" i="33" s="1"/>
  <c r="AA60" i="33"/>
  <c r="AA98" i="33" s="1"/>
  <c r="K60" i="33"/>
  <c r="K98" i="33" s="1"/>
  <c r="AH60" i="33"/>
  <c r="AH98" i="33" s="1"/>
  <c r="R60" i="33"/>
  <c r="R98" i="33" s="1"/>
  <c r="Z61" i="33"/>
  <c r="Z99" i="33" s="1"/>
  <c r="J61" i="33"/>
  <c r="AG61" i="33"/>
  <c r="AG99" i="33" s="1"/>
  <c r="Q61" i="33"/>
  <c r="Q99" i="33" s="1"/>
  <c r="R86" i="33"/>
  <c r="R126" i="33" s="1"/>
  <c r="AH86" i="33"/>
  <c r="AH126" i="33" s="1"/>
  <c r="AA86" i="33"/>
  <c r="AA126" i="33" s="1"/>
  <c r="K86" i="33"/>
  <c r="K126" i="33" s="1"/>
  <c r="N61" i="33"/>
  <c r="N99" i="33" s="1"/>
  <c r="U61" i="33"/>
  <c r="U99" i="33" s="1"/>
  <c r="AK61" i="33"/>
  <c r="AK99" i="33" s="1"/>
  <c r="AD61" i="33"/>
  <c r="AD99" i="33" s="1"/>
  <c r="Q73" i="33"/>
  <c r="Q112" i="33" s="1"/>
  <c r="J73" i="33"/>
  <c r="AG73" i="33"/>
  <c r="AG112" i="33" s="1"/>
  <c r="Z73" i="33"/>
  <c r="Z112" i="33" s="1"/>
  <c r="AB72" i="33"/>
  <c r="AB111" i="33" s="1"/>
  <c r="S72" i="33"/>
  <c r="L72" i="33"/>
  <c r="AI72" i="33"/>
  <c r="AI111" i="33" s="1"/>
  <c r="AE85" i="33"/>
  <c r="AE125" i="33" s="1"/>
  <c r="O85" i="33"/>
  <c r="O125" i="33" s="1"/>
  <c r="V85" i="33"/>
  <c r="V125" i="33" s="1"/>
  <c r="AL85" i="33"/>
  <c r="AL125" i="33" s="1"/>
  <c r="S61" i="33"/>
  <c r="AI61" i="33"/>
  <c r="AI99" i="33" s="1"/>
  <c r="AB61" i="33"/>
  <c r="AB99" i="33" s="1"/>
  <c r="L61" i="33"/>
  <c r="AG85" i="33"/>
  <c r="AG125" i="33" s="1"/>
  <c r="Z85" i="33"/>
  <c r="Z125" i="33" s="1"/>
  <c r="Q85" i="33"/>
  <c r="Q125" i="33" s="1"/>
  <c r="J85" i="33"/>
  <c r="J125" i="33" s="1"/>
  <c r="R73" i="33"/>
  <c r="R112" i="33" s="1"/>
  <c r="K73" i="33"/>
  <c r="K112" i="33" s="1"/>
  <c r="AH73" i="33"/>
  <c r="AH112" i="33" s="1"/>
  <c r="AA73" i="33"/>
  <c r="AA112" i="33" s="1"/>
  <c r="AC72" i="33"/>
  <c r="AC111" i="33" s="1"/>
  <c r="T72" i="33"/>
  <c r="T111" i="33" s="1"/>
  <c r="M72" i="33"/>
  <c r="M111" i="33" s="1"/>
  <c r="AJ72" i="33"/>
  <c r="AJ111" i="33" s="1"/>
  <c r="V73" i="33"/>
  <c r="V112" i="33" s="1"/>
  <c r="AL73" i="33"/>
  <c r="AL112" i="33" s="1"/>
  <c r="AE73" i="33"/>
  <c r="AE112" i="33" s="1"/>
  <c r="O73" i="33"/>
  <c r="O112" i="33" s="1"/>
  <c r="T22" i="5"/>
  <c r="N119" i="43" l="1"/>
  <c r="M119" i="43"/>
  <c r="L119" i="43"/>
  <c r="U113" i="43"/>
  <c r="AD113" i="43" s="1"/>
  <c r="AM113" i="43" s="1"/>
  <c r="S113" i="43"/>
  <c r="R113" i="43"/>
  <c r="S119" i="43"/>
  <c r="R119" i="43"/>
  <c r="N113" i="43"/>
  <c r="M113" i="43"/>
  <c r="L113" i="43"/>
  <c r="O113" i="43"/>
  <c r="P113" i="43"/>
  <c r="Q113" i="43"/>
  <c r="T119" i="43"/>
  <c r="AC119" i="43" s="1"/>
  <c r="AL119" i="43" s="1"/>
  <c r="Q119" i="43"/>
  <c r="P119" i="43"/>
  <c r="O119" i="43"/>
  <c r="T113" i="43"/>
  <c r="AC113" i="43" s="1"/>
  <c r="AL113" i="43" s="1"/>
  <c r="U119" i="43"/>
  <c r="AD119" i="43" s="1"/>
  <c r="AM119" i="43" s="1"/>
  <c r="AC86" i="43"/>
  <c r="AL86" i="43" s="1"/>
  <c r="AD86" i="43"/>
  <c r="AM86" i="43" s="1"/>
  <c r="X125" i="33"/>
  <c r="X110" i="33"/>
  <c r="H21" i="54" s="1"/>
  <c r="X97" i="33"/>
  <c r="G20" i="24"/>
  <c r="L20" i="24" s="1"/>
  <c r="H20" i="54"/>
  <c r="J112" i="33"/>
  <c r="J98" i="33"/>
  <c r="L98" i="33"/>
  <c r="L111" i="33"/>
  <c r="S111" i="33"/>
  <c r="S98" i="33"/>
  <c r="AN98" i="33"/>
  <c r="M85" i="41"/>
  <c r="B15" i="24" s="1"/>
  <c r="Z85" i="43"/>
  <c r="AI85" i="43" s="1"/>
  <c r="AA85" i="43"/>
  <c r="AJ85" i="43" s="1"/>
  <c r="P85" i="41"/>
  <c r="V85" i="41" s="1"/>
  <c r="B15" i="54"/>
  <c r="AN112" i="43"/>
  <c r="V84" i="41"/>
  <c r="V112" i="41"/>
  <c r="V98" i="41"/>
  <c r="S23" i="10"/>
  <c r="Q28" i="5"/>
  <c r="Q23" i="5"/>
  <c r="Q20" i="5"/>
  <c r="P86" i="43"/>
  <c r="L86" i="41"/>
  <c r="J86" i="41"/>
  <c r="H86" i="43"/>
  <c r="Q22" i="11"/>
  <c r="Y27" i="19"/>
  <c r="D86" i="41"/>
  <c r="M86" i="43"/>
  <c r="N86" i="43"/>
  <c r="H86" i="41"/>
  <c r="G86" i="41"/>
  <c r="Q86" i="43"/>
  <c r="H113" i="43"/>
  <c r="I113" i="41"/>
  <c r="H113" i="41"/>
  <c r="G113" i="41"/>
  <c r="B114" i="41"/>
  <c r="D114" i="43"/>
  <c r="C114" i="41"/>
  <c r="C114" i="43"/>
  <c r="E114" i="43"/>
  <c r="G114" i="43"/>
  <c r="F114" i="43"/>
  <c r="AE112" i="43"/>
  <c r="K15" i="45" s="1"/>
  <c r="K119" i="41"/>
  <c r="J119" i="41"/>
  <c r="L119" i="41"/>
  <c r="K113" i="41"/>
  <c r="L113" i="41"/>
  <c r="J113" i="41"/>
  <c r="H119" i="43"/>
  <c r="C120" i="43"/>
  <c r="E120" i="43"/>
  <c r="B120" i="41"/>
  <c r="C120" i="41"/>
  <c r="D120" i="43"/>
  <c r="G120" i="43"/>
  <c r="F120" i="43"/>
  <c r="G119" i="41"/>
  <c r="I119" i="41"/>
  <c r="H119" i="41"/>
  <c r="C101" i="41"/>
  <c r="B101" i="41"/>
  <c r="D101" i="43"/>
  <c r="C101" i="43"/>
  <c r="E101" i="43"/>
  <c r="F101" i="43"/>
  <c r="T101" i="43" s="1"/>
  <c r="AC101" i="43" s="1"/>
  <c r="AL101" i="43" s="1"/>
  <c r="G101" i="43"/>
  <c r="U101" i="43" s="1"/>
  <c r="AD101" i="43" s="1"/>
  <c r="AM101" i="43" s="1"/>
  <c r="N100" i="43"/>
  <c r="L100" i="43"/>
  <c r="M100" i="43"/>
  <c r="H100" i="43"/>
  <c r="O100" i="43"/>
  <c r="P100" i="43"/>
  <c r="Q100" i="43"/>
  <c r="S100" i="43"/>
  <c r="R100" i="43"/>
  <c r="H100" i="41"/>
  <c r="G100" i="41"/>
  <c r="I100" i="41"/>
  <c r="K100" i="41"/>
  <c r="J100" i="41"/>
  <c r="L100" i="41"/>
  <c r="AI99" i="43"/>
  <c r="AN99" i="43" s="1"/>
  <c r="AE99" i="43"/>
  <c r="J16" i="45" s="1"/>
  <c r="AI98" i="43"/>
  <c r="AN98" i="43" s="1"/>
  <c r="AE98" i="43"/>
  <c r="J15" i="45" s="1"/>
  <c r="S27" i="12"/>
  <c r="T23" i="5"/>
  <c r="S23" i="12"/>
  <c r="T22" i="11"/>
  <c r="T22" i="12"/>
  <c r="S23" i="11"/>
  <c r="Q22" i="12"/>
  <c r="AB85" i="43"/>
  <c r="AK85" i="43" s="1"/>
  <c r="V85" i="43"/>
  <c r="B16" i="45" s="1"/>
  <c r="AE84" i="43"/>
  <c r="H15" i="45" s="1"/>
  <c r="D87" i="43"/>
  <c r="E87" i="43"/>
  <c r="C87" i="43"/>
  <c r="C87" i="41"/>
  <c r="B87" i="41"/>
  <c r="F87" i="43"/>
  <c r="T87" i="43" s="1"/>
  <c r="G87" i="43"/>
  <c r="U87" i="43" s="1"/>
  <c r="AB86" i="43"/>
  <c r="AK86" i="43" s="1"/>
  <c r="AI84" i="43"/>
  <c r="AN84" i="43" s="1"/>
  <c r="V99" i="41"/>
  <c r="K15" i="54"/>
  <c r="R98" i="41"/>
  <c r="J14" i="24" s="1"/>
  <c r="R84" i="41"/>
  <c r="H14" i="24" s="1"/>
  <c r="R112" i="41"/>
  <c r="K14" i="24" s="1"/>
  <c r="L21" i="45"/>
  <c r="G21" i="45"/>
  <c r="Q24" i="5"/>
  <c r="AB23" i="5"/>
  <c r="Q19" i="12"/>
  <c r="S19" i="19"/>
  <c r="AA19" i="19"/>
  <c r="Y22" i="19"/>
  <c r="AA27" i="19"/>
  <c r="D113" i="41"/>
  <c r="AA23" i="19"/>
  <c r="Q21" i="5"/>
  <c r="Y20" i="5"/>
  <c r="S24" i="11"/>
  <c r="S24" i="12"/>
  <c r="T28" i="11"/>
  <c r="S27" i="19"/>
  <c r="U28" i="5"/>
  <c r="Y19" i="19"/>
  <c r="Q19" i="19"/>
  <c r="D100" i="41"/>
  <c r="D119" i="41"/>
  <c r="T28" i="12"/>
  <c r="W23" i="19"/>
  <c r="S23" i="19"/>
  <c r="Q27" i="19"/>
  <c r="U27" i="19"/>
  <c r="U23" i="5"/>
  <c r="AA28" i="5"/>
  <c r="Q27" i="12"/>
  <c r="AB24" i="19"/>
  <c r="T24" i="19"/>
  <c r="Q22" i="19"/>
  <c r="U22" i="19"/>
  <c r="X23" i="5"/>
  <c r="Q27" i="11"/>
  <c r="W28" i="5"/>
  <c r="X18" i="19"/>
  <c r="T18" i="19"/>
  <c r="S26" i="5"/>
  <c r="AA25" i="5"/>
  <c r="S27" i="11"/>
  <c r="AA24" i="5"/>
  <c r="R99" i="41"/>
  <c r="J15" i="24" s="1"/>
  <c r="W27" i="19"/>
  <c r="S22" i="19"/>
  <c r="Y23" i="5"/>
  <c r="S24" i="19"/>
  <c r="Y28" i="5"/>
  <c r="Q19" i="11"/>
  <c r="AN111" i="33"/>
  <c r="AN124" i="33"/>
  <c r="AH74" i="33"/>
  <c r="AH113" i="33" s="1"/>
  <c r="K74" i="33"/>
  <c r="K113" i="33" s="1"/>
  <c r="AA74" i="33"/>
  <c r="AA113" i="33" s="1"/>
  <c r="R74" i="33"/>
  <c r="R113" i="33" s="1"/>
  <c r="AG62" i="33"/>
  <c r="AG100" i="33" s="1"/>
  <c r="J62" i="33"/>
  <c r="J100" i="33" s="1"/>
  <c r="Q62" i="33"/>
  <c r="Q100" i="33" s="1"/>
  <c r="Z62" i="33"/>
  <c r="Z100" i="33" s="1"/>
  <c r="S73" i="33"/>
  <c r="AI73" i="33"/>
  <c r="AI112" i="33" s="1"/>
  <c r="AB73" i="33"/>
  <c r="AB112" i="33" s="1"/>
  <c r="L73" i="33"/>
  <c r="R61" i="33"/>
  <c r="R99" i="33" s="1"/>
  <c r="AA61" i="33"/>
  <c r="AA99" i="33" s="1"/>
  <c r="K61" i="33"/>
  <c r="K99" i="33" s="1"/>
  <c r="AH61" i="33"/>
  <c r="AH99" i="33" s="1"/>
  <c r="Q86" i="33"/>
  <c r="Q126" i="33" s="1"/>
  <c r="J86" i="33"/>
  <c r="J126" i="33" s="1"/>
  <c r="Z86" i="33"/>
  <c r="Z126" i="33" s="1"/>
  <c r="AG86" i="33"/>
  <c r="AG126" i="33" s="1"/>
  <c r="AE74" i="33"/>
  <c r="AE113" i="33" s="1"/>
  <c r="AL74" i="33"/>
  <c r="AL113" i="33" s="1"/>
  <c r="O74" i="33"/>
  <c r="O113" i="33" s="1"/>
  <c r="V74" i="33"/>
  <c r="V113" i="33" s="1"/>
  <c r="L62" i="33"/>
  <c r="AI62" i="33"/>
  <c r="AI100" i="33" s="1"/>
  <c r="AB62" i="33"/>
  <c r="AB100" i="33" s="1"/>
  <c r="S62" i="33"/>
  <c r="N74" i="33"/>
  <c r="N113" i="33" s="1"/>
  <c r="AK74" i="33"/>
  <c r="AK113" i="33" s="1"/>
  <c r="U74" i="33"/>
  <c r="U113" i="33" s="1"/>
  <c r="AD74" i="33"/>
  <c r="AD113" i="33" s="1"/>
  <c r="U62" i="33"/>
  <c r="U100" i="33" s="1"/>
  <c r="N62" i="33"/>
  <c r="N100" i="33" s="1"/>
  <c r="AK62" i="33"/>
  <c r="AK100" i="33" s="1"/>
  <c r="AD62" i="33"/>
  <c r="AD100" i="33" s="1"/>
  <c r="T62" i="33"/>
  <c r="T100" i="33" s="1"/>
  <c r="M62" i="33"/>
  <c r="M100" i="33" s="1"/>
  <c r="AJ62" i="33"/>
  <c r="AJ100" i="33" s="1"/>
  <c r="AC62" i="33"/>
  <c r="AC100" i="33" s="1"/>
  <c r="AG74" i="33"/>
  <c r="AG113" i="33" s="1"/>
  <c r="J74" i="33"/>
  <c r="J113" i="33" s="1"/>
  <c r="Q74" i="33"/>
  <c r="Q113" i="33" s="1"/>
  <c r="Z74" i="33"/>
  <c r="Z113" i="33" s="1"/>
  <c r="V62" i="33"/>
  <c r="V100" i="33" s="1"/>
  <c r="O62" i="33"/>
  <c r="O100" i="33" s="1"/>
  <c r="AL62" i="33"/>
  <c r="AL100" i="33" s="1"/>
  <c r="AE62" i="33"/>
  <c r="AE100" i="33" s="1"/>
  <c r="AF74" i="33"/>
  <c r="AF113" i="33" s="1"/>
  <c r="P74" i="33"/>
  <c r="P113" i="33" s="1"/>
  <c r="AM74" i="33"/>
  <c r="AM113" i="33" s="1"/>
  <c r="W74" i="33"/>
  <c r="W113" i="33" s="1"/>
  <c r="AL86" i="33"/>
  <c r="AL126" i="33" s="1"/>
  <c r="V86" i="33"/>
  <c r="V126" i="33" s="1"/>
  <c r="AE86" i="33"/>
  <c r="AE126" i="33" s="1"/>
  <c r="O86" i="33"/>
  <c r="O126" i="33" s="1"/>
  <c r="AF62" i="33"/>
  <c r="AF100" i="33" s="1"/>
  <c r="W62" i="33"/>
  <c r="W100" i="33" s="1"/>
  <c r="AM62" i="33"/>
  <c r="AM100" i="33" s="1"/>
  <c r="P62" i="33"/>
  <c r="P100" i="33" s="1"/>
  <c r="T73" i="33"/>
  <c r="T112" i="33" s="1"/>
  <c r="M73" i="33"/>
  <c r="M112" i="33" s="1"/>
  <c r="AC73" i="33"/>
  <c r="AC112" i="33" s="1"/>
  <c r="AJ73" i="33"/>
  <c r="AJ112" i="33" s="1"/>
  <c r="U120" i="43" l="1"/>
  <c r="AD120" i="43" s="1"/>
  <c r="AM120" i="43" s="1"/>
  <c r="S114" i="43"/>
  <c r="R114" i="43"/>
  <c r="Q120" i="43"/>
  <c r="P120" i="43"/>
  <c r="O120" i="43"/>
  <c r="M114" i="43"/>
  <c r="L114" i="43"/>
  <c r="N114" i="43"/>
  <c r="R120" i="43"/>
  <c r="S120" i="43"/>
  <c r="N120" i="43"/>
  <c r="M120" i="43"/>
  <c r="L120" i="43"/>
  <c r="T114" i="43"/>
  <c r="AC114" i="43" s="1"/>
  <c r="AL114" i="43" s="1"/>
  <c r="Q114" i="43"/>
  <c r="O114" i="43"/>
  <c r="P114" i="43"/>
  <c r="T120" i="43"/>
  <c r="AC120" i="43" s="1"/>
  <c r="AL120" i="43" s="1"/>
  <c r="U114" i="43"/>
  <c r="AD114" i="43" s="1"/>
  <c r="AM114" i="43" s="1"/>
  <c r="X111" i="33"/>
  <c r="H22" i="54" s="1"/>
  <c r="AD87" i="43"/>
  <c r="AM87" i="43" s="1"/>
  <c r="AC87" i="43"/>
  <c r="AL87" i="43" s="1"/>
  <c r="G21" i="24"/>
  <c r="L21" i="24" s="1"/>
  <c r="L112" i="33"/>
  <c r="L99" i="33"/>
  <c r="X98" i="33"/>
  <c r="X126" i="33"/>
  <c r="J99" i="33"/>
  <c r="S112" i="33"/>
  <c r="S99" i="33"/>
  <c r="AN99" i="33"/>
  <c r="AB100" i="43"/>
  <c r="AK100" i="43" s="1"/>
  <c r="I15" i="54"/>
  <c r="Q86" i="41"/>
  <c r="R85" i="41"/>
  <c r="H15" i="24" s="1"/>
  <c r="B16" i="54"/>
  <c r="Z86" i="43"/>
  <c r="AI86" i="43" s="1"/>
  <c r="AB113" i="43"/>
  <c r="AK113" i="43" s="1"/>
  <c r="AA86" i="43"/>
  <c r="AJ86" i="43" s="1"/>
  <c r="AA119" i="43"/>
  <c r="AJ119" i="43" s="1"/>
  <c r="M86" i="41"/>
  <c r="B16" i="24" s="1"/>
  <c r="P86" i="41"/>
  <c r="I16" i="54" s="1"/>
  <c r="V86" i="43"/>
  <c r="B17" i="45" s="1"/>
  <c r="AN85" i="43"/>
  <c r="AE85" i="43"/>
  <c r="H16" i="45" s="1"/>
  <c r="D87" i="41"/>
  <c r="C121" i="43"/>
  <c r="D121" i="43"/>
  <c r="B121" i="41"/>
  <c r="E121" i="43"/>
  <c r="C121" i="41"/>
  <c r="G121" i="43"/>
  <c r="F121" i="43"/>
  <c r="AA113" i="43"/>
  <c r="AJ113" i="43" s="1"/>
  <c r="Z119" i="43"/>
  <c r="V119" i="43"/>
  <c r="F22" i="45" s="1"/>
  <c r="H114" i="43"/>
  <c r="J120" i="41"/>
  <c r="L120" i="41"/>
  <c r="K120" i="41"/>
  <c r="H120" i="43"/>
  <c r="F15" i="54"/>
  <c r="P113" i="41"/>
  <c r="L15" i="54" s="1"/>
  <c r="F21" i="54"/>
  <c r="P119" i="41"/>
  <c r="L21" i="54" s="1"/>
  <c r="G120" i="41"/>
  <c r="H120" i="41"/>
  <c r="I120" i="41"/>
  <c r="AB119" i="43"/>
  <c r="AK119" i="43" s="1"/>
  <c r="L114" i="41"/>
  <c r="J114" i="41"/>
  <c r="K114" i="41"/>
  <c r="H114" i="41"/>
  <c r="I114" i="41"/>
  <c r="G114" i="41"/>
  <c r="Z113" i="43"/>
  <c r="V113" i="43"/>
  <c r="F16" i="45" s="1"/>
  <c r="B115" i="41"/>
  <c r="C115" i="43"/>
  <c r="E115" i="43"/>
  <c r="D115" i="43"/>
  <c r="C115" i="41"/>
  <c r="G115" i="43"/>
  <c r="F115" i="43"/>
  <c r="H101" i="41"/>
  <c r="I101" i="41"/>
  <c r="G101" i="41"/>
  <c r="E16" i="54"/>
  <c r="D102" i="43"/>
  <c r="B102" i="41"/>
  <c r="E102" i="43"/>
  <c r="C102" i="43"/>
  <c r="C102" i="41"/>
  <c r="G102" i="43"/>
  <c r="U102" i="43" s="1"/>
  <c r="F102" i="43"/>
  <c r="T102" i="43" s="1"/>
  <c r="AC102" i="43" s="1"/>
  <c r="AL102" i="43" s="1"/>
  <c r="C106" i="41"/>
  <c r="D106" i="43"/>
  <c r="E106" i="43"/>
  <c r="B106" i="41"/>
  <c r="C106" i="43"/>
  <c r="F106" i="43"/>
  <c r="T106" i="43" s="1"/>
  <c r="AC106" i="43" s="1"/>
  <c r="AL106" i="43" s="1"/>
  <c r="G106" i="43"/>
  <c r="U106" i="43" s="1"/>
  <c r="AD106" i="43" s="1"/>
  <c r="AM106" i="43" s="1"/>
  <c r="AA100" i="43"/>
  <c r="AJ100" i="43" s="1"/>
  <c r="E107" i="43"/>
  <c r="B107" i="41"/>
  <c r="D107" i="43"/>
  <c r="C107" i="41"/>
  <c r="C107" i="43"/>
  <c r="F107" i="43"/>
  <c r="T107" i="43" s="1"/>
  <c r="AC107" i="43" s="1"/>
  <c r="AL107" i="43" s="1"/>
  <c r="G107" i="43"/>
  <c r="U107" i="43" s="1"/>
  <c r="AD107" i="43" s="1"/>
  <c r="AM107" i="43" s="1"/>
  <c r="V100" i="43"/>
  <c r="E17" i="45" s="1"/>
  <c r="Z100" i="43"/>
  <c r="B105" i="41"/>
  <c r="D105" i="43"/>
  <c r="C105" i="41"/>
  <c r="C105" i="43"/>
  <c r="E105" i="43"/>
  <c r="F105" i="43"/>
  <c r="T105" i="43" s="1"/>
  <c r="AC105" i="43" s="1"/>
  <c r="AL105" i="43" s="1"/>
  <c r="G105" i="43"/>
  <c r="U105" i="43" s="1"/>
  <c r="S101" i="43"/>
  <c r="R101" i="43"/>
  <c r="L101" i="43"/>
  <c r="M101" i="43"/>
  <c r="N101" i="43"/>
  <c r="H101" i="43"/>
  <c r="Q101" i="43"/>
  <c r="O101" i="43"/>
  <c r="P101" i="43"/>
  <c r="L101" i="41"/>
  <c r="J101" i="41"/>
  <c r="K101" i="41"/>
  <c r="S28" i="12"/>
  <c r="Y28" i="19"/>
  <c r="S25" i="12"/>
  <c r="T23" i="12"/>
  <c r="Q20" i="11"/>
  <c r="D91" i="43"/>
  <c r="C91" i="43"/>
  <c r="C91" i="41"/>
  <c r="E91" i="43"/>
  <c r="B91" i="41"/>
  <c r="F91" i="43"/>
  <c r="T91" i="43" s="1"/>
  <c r="G91" i="43"/>
  <c r="U91" i="43" s="1"/>
  <c r="Y23" i="19"/>
  <c r="D88" i="43"/>
  <c r="E88" i="43"/>
  <c r="C88" i="41"/>
  <c r="B88" i="41"/>
  <c r="C88" i="43"/>
  <c r="G88" i="43"/>
  <c r="U88" i="43" s="1"/>
  <c r="F88" i="43"/>
  <c r="T88" i="43" s="1"/>
  <c r="J87" i="41"/>
  <c r="K87" i="41"/>
  <c r="L87" i="41"/>
  <c r="N87" i="43"/>
  <c r="L87" i="43"/>
  <c r="M87" i="43"/>
  <c r="H87" i="43"/>
  <c r="S87" i="43"/>
  <c r="R87" i="43"/>
  <c r="I87" i="41"/>
  <c r="G87" i="41"/>
  <c r="H87" i="41"/>
  <c r="O87" i="43"/>
  <c r="Q87" i="43"/>
  <c r="P87" i="43"/>
  <c r="Q113" i="41"/>
  <c r="L22" i="45"/>
  <c r="G22" i="45"/>
  <c r="T23" i="11"/>
  <c r="AA20" i="19"/>
  <c r="S20" i="19"/>
  <c r="S28" i="11"/>
  <c r="M119" i="41"/>
  <c r="F21" i="24" s="1"/>
  <c r="AN125" i="33"/>
  <c r="AN112" i="33"/>
  <c r="D101" i="41"/>
  <c r="W28" i="19"/>
  <c r="S28" i="19"/>
  <c r="AA25" i="19"/>
  <c r="D120" i="41"/>
  <c r="M113" i="41"/>
  <c r="F15" i="24" s="1"/>
  <c r="Q20" i="12"/>
  <c r="AB24" i="5"/>
  <c r="Q28" i="19"/>
  <c r="U28" i="19"/>
  <c r="AA24" i="19"/>
  <c r="Q21" i="12"/>
  <c r="Q21" i="11"/>
  <c r="Y21" i="5"/>
  <c r="AB25" i="19"/>
  <c r="T25" i="19"/>
  <c r="P100" i="41"/>
  <c r="M100" i="41"/>
  <c r="E16" i="24" s="1"/>
  <c r="Q100" i="41"/>
  <c r="AA28" i="19"/>
  <c r="T24" i="5"/>
  <c r="Q28" i="11"/>
  <c r="Y24" i="5"/>
  <c r="Y20" i="19"/>
  <c r="Q20" i="19"/>
  <c r="Q28" i="12"/>
  <c r="AB19" i="19"/>
  <c r="T19" i="19"/>
  <c r="Q23" i="19"/>
  <c r="U23" i="19"/>
  <c r="Q119" i="41"/>
  <c r="S26" i="12"/>
  <c r="S26" i="11"/>
  <c r="AA26" i="5"/>
  <c r="S25" i="11"/>
  <c r="Q23" i="11"/>
  <c r="D114" i="41"/>
  <c r="Q23" i="12"/>
  <c r="AH62" i="33"/>
  <c r="AH100" i="33" s="1"/>
  <c r="K62" i="33"/>
  <c r="K100" i="33" s="1"/>
  <c r="AA62" i="33"/>
  <c r="AA100" i="33" s="1"/>
  <c r="R62" i="33"/>
  <c r="R100" i="33" s="1"/>
  <c r="L74" i="33"/>
  <c r="AI74" i="33"/>
  <c r="AI113" i="33" s="1"/>
  <c r="AB74" i="33"/>
  <c r="AB113" i="33" s="1"/>
  <c r="S74" i="33"/>
  <c r="M74" i="33"/>
  <c r="M113" i="33" s="1"/>
  <c r="AJ74" i="33"/>
  <c r="AJ113" i="33" s="1"/>
  <c r="AC74" i="33"/>
  <c r="AC113" i="33" s="1"/>
  <c r="T74" i="33"/>
  <c r="T113" i="33" s="1"/>
  <c r="X112" i="33" l="1"/>
  <c r="G22" i="24"/>
  <c r="L22" i="24" s="1"/>
  <c r="S115" i="43"/>
  <c r="R115" i="43"/>
  <c r="O121" i="43"/>
  <c r="P121" i="43"/>
  <c r="Q121" i="43"/>
  <c r="L115" i="43"/>
  <c r="N115" i="43"/>
  <c r="M115" i="43"/>
  <c r="N121" i="43"/>
  <c r="M121" i="43"/>
  <c r="L121" i="43"/>
  <c r="T121" i="43"/>
  <c r="AC121" i="43" s="1"/>
  <c r="AL121" i="43" s="1"/>
  <c r="T115" i="43"/>
  <c r="AC115" i="43" s="1"/>
  <c r="AL115" i="43" s="1"/>
  <c r="U121" i="43"/>
  <c r="AD121" i="43" s="1"/>
  <c r="AM121" i="43" s="1"/>
  <c r="Q115" i="43"/>
  <c r="P115" i="43"/>
  <c r="O115" i="43"/>
  <c r="U115" i="43"/>
  <c r="AD115" i="43" s="1"/>
  <c r="AM115" i="43" s="1"/>
  <c r="S121" i="43"/>
  <c r="R121" i="43"/>
  <c r="AC88" i="43"/>
  <c r="AL88" i="43" s="1"/>
  <c r="AD91" i="43"/>
  <c r="AM91" i="43" s="1"/>
  <c r="AD88" i="43"/>
  <c r="AM88" i="43" s="1"/>
  <c r="AC91" i="43"/>
  <c r="AL91" i="43" s="1"/>
  <c r="G23" i="24"/>
  <c r="L23" i="24" s="1"/>
  <c r="H23" i="54"/>
  <c r="S113" i="33"/>
  <c r="S100" i="33"/>
  <c r="L113" i="33"/>
  <c r="L100" i="33"/>
  <c r="X99" i="33"/>
  <c r="AN100" i="33"/>
  <c r="AB120" i="43"/>
  <c r="AK120" i="43" s="1"/>
  <c r="V113" i="41"/>
  <c r="AN86" i="43"/>
  <c r="AE86" i="43"/>
  <c r="H17" i="45" s="1"/>
  <c r="AB101" i="43"/>
  <c r="AK101" i="43" s="1"/>
  <c r="AA114" i="43"/>
  <c r="AJ114" i="43" s="1"/>
  <c r="AB114" i="43"/>
  <c r="AK114" i="43" s="1"/>
  <c r="E17" i="54"/>
  <c r="Q25" i="5"/>
  <c r="R86" i="41"/>
  <c r="H16" i="24" s="1"/>
  <c r="V86" i="41"/>
  <c r="Z114" i="43"/>
  <c r="V114" i="43"/>
  <c r="F17" i="45" s="1"/>
  <c r="AI119" i="43"/>
  <c r="AN119" i="43" s="1"/>
  <c r="AE119" i="43"/>
  <c r="K22" i="45" s="1"/>
  <c r="C116" i="43"/>
  <c r="B116" i="41"/>
  <c r="E116" i="43"/>
  <c r="C116" i="41"/>
  <c r="D116" i="43"/>
  <c r="F116" i="43"/>
  <c r="G116" i="43"/>
  <c r="AA120" i="43"/>
  <c r="AJ120" i="43" s="1"/>
  <c r="V119" i="41"/>
  <c r="G115" i="41"/>
  <c r="H115" i="41"/>
  <c r="I115" i="41"/>
  <c r="P120" i="41"/>
  <c r="L22" i="54" s="1"/>
  <c r="F22" i="54"/>
  <c r="AI113" i="43"/>
  <c r="AN113" i="43" s="1"/>
  <c r="AE113" i="43"/>
  <c r="K16" i="45" s="1"/>
  <c r="L115" i="41"/>
  <c r="J115" i="41"/>
  <c r="K115" i="41"/>
  <c r="H115" i="43"/>
  <c r="J121" i="41"/>
  <c r="K121" i="41"/>
  <c r="L121" i="41"/>
  <c r="P114" i="41"/>
  <c r="L16" i="54" s="1"/>
  <c r="F16" i="54"/>
  <c r="C122" i="41"/>
  <c r="C122" i="43"/>
  <c r="B122" i="41"/>
  <c r="D122" i="43"/>
  <c r="E122" i="43"/>
  <c r="G122" i="43"/>
  <c r="U122" i="43" s="1"/>
  <c r="F122" i="43"/>
  <c r="H121" i="41"/>
  <c r="G121" i="41"/>
  <c r="I121" i="41"/>
  <c r="Z120" i="43"/>
  <c r="V120" i="43"/>
  <c r="F23" i="45" s="1"/>
  <c r="H121" i="43"/>
  <c r="R105" i="43"/>
  <c r="S105" i="43"/>
  <c r="O106" i="43"/>
  <c r="P106" i="43"/>
  <c r="Q106" i="43"/>
  <c r="K105" i="41"/>
  <c r="L105" i="41"/>
  <c r="J105" i="41"/>
  <c r="G105" i="41"/>
  <c r="I105" i="41"/>
  <c r="H105" i="41"/>
  <c r="V101" i="43"/>
  <c r="E18" i="45" s="1"/>
  <c r="Z101" i="43"/>
  <c r="N106" i="43"/>
  <c r="L106" i="43"/>
  <c r="M106" i="43"/>
  <c r="H106" i="43"/>
  <c r="AI100" i="43"/>
  <c r="AN100" i="43" s="1"/>
  <c r="AE100" i="43"/>
  <c r="J17" i="45" s="1"/>
  <c r="AD102" i="43"/>
  <c r="AM102" i="43" s="1"/>
  <c r="K102" i="41"/>
  <c r="J102" i="41"/>
  <c r="L102" i="41"/>
  <c r="S106" i="43"/>
  <c r="R106" i="43"/>
  <c r="Q105" i="43"/>
  <c r="O105" i="43"/>
  <c r="P105" i="43"/>
  <c r="AA101" i="43"/>
  <c r="AJ101" i="43" s="1"/>
  <c r="L102" i="43"/>
  <c r="M102" i="43"/>
  <c r="N102" i="43"/>
  <c r="H102" i="43"/>
  <c r="R107" i="43"/>
  <c r="S107" i="43"/>
  <c r="I106" i="41"/>
  <c r="G106" i="41"/>
  <c r="H106" i="41"/>
  <c r="J106" i="41"/>
  <c r="K106" i="41"/>
  <c r="L106" i="41"/>
  <c r="R102" i="43"/>
  <c r="S102" i="43"/>
  <c r="N107" i="43"/>
  <c r="L107" i="43"/>
  <c r="M107" i="43"/>
  <c r="H107" i="43"/>
  <c r="G102" i="41"/>
  <c r="H102" i="41"/>
  <c r="I102" i="41"/>
  <c r="AD105" i="43"/>
  <c r="AM105" i="43" s="1"/>
  <c r="N105" i="43"/>
  <c r="L105" i="43"/>
  <c r="M105" i="43"/>
  <c r="H105" i="43"/>
  <c r="L107" i="41"/>
  <c r="K107" i="41"/>
  <c r="J107" i="41"/>
  <c r="Q102" i="43"/>
  <c r="P102" i="43"/>
  <c r="O102" i="43"/>
  <c r="E103" i="43"/>
  <c r="C103" i="41"/>
  <c r="B103" i="41"/>
  <c r="D103" i="43"/>
  <c r="C103" i="43"/>
  <c r="F103" i="43"/>
  <c r="T103" i="43" s="1"/>
  <c r="AC103" i="43" s="1"/>
  <c r="AL103" i="43" s="1"/>
  <c r="G103" i="43"/>
  <c r="U103" i="43" s="1"/>
  <c r="AD103" i="43" s="1"/>
  <c r="AM103" i="43" s="1"/>
  <c r="P107" i="43"/>
  <c r="O107" i="43"/>
  <c r="Q107" i="43"/>
  <c r="G107" i="41"/>
  <c r="H107" i="41"/>
  <c r="I107" i="41"/>
  <c r="T24" i="11"/>
  <c r="T24" i="12"/>
  <c r="AA87" i="43"/>
  <c r="AJ87" i="43" s="1"/>
  <c r="M87" i="41"/>
  <c r="B17" i="24" s="1"/>
  <c r="AB87" i="43"/>
  <c r="AK87" i="43" s="1"/>
  <c r="C89" i="41"/>
  <c r="E89" i="43"/>
  <c r="D89" i="43"/>
  <c r="B89" i="41"/>
  <c r="C89" i="43"/>
  <c r="G89" i="43"/>
  <c r="U89" i="43" s="1"/>
  <c r="F89" i="43"/>
  <c r="T89" i="43" s="1"/>
  <c r="R88" i="43"/>
  <c r="S88" i="43"/>
  <c r="Q88" i="43"/>
  <c r="O88" i="43"/>
  <c r="P88" i="43"/>
  <c r="Q91" i="43"/>
  <c r="O91" i="43"/>
  <c r="P91" i="43"/>
  <c r="H88" i="41"/>
  <c r="G88" i="41"/>
  <c r="I88" i="41"/>
  <c r="Q87" i="41"/>
  <c r="G91" i="41"/>
  <c r="I91" i="41"/>
  <c r="H91" i="41"/>
  <c r="V87" i="43"/>
  <c r="B18" i="45" s="1"/>
  <c r="Z87" i="43"/>
  <c r="L88" i="43"/>
  <c r="M88" i="43"/>
  <c r="N88" i="43"/>
  <c r="H88" i="43"/>
  <c r="J88" i="41"/>
  <c r="K88" i="41"/>
  <c r="L88" i="41"/>
  <c r="B17" i="54"/>
  <c r="P87" i="41"/>
  <c r="D92" i="43"/>
  <c r="E92" i="43"/>
  <c r="C92" i="41"/>
  <c r="C92" i="43"/>
  <c r="B92" i="41"/>
  <c r="F92" i="43"/>
  <c r="T92" i="43" s="1"/>
  <c r="G92" i="43"/>
  <c r="U92" i="43" s="1"/>
  <c r="R91" i="43"/>
  <c r="S91" i="43"/>
  <c r="J91" i="41"/>
  <c r="K91" i="41"/>
  <c r="L91" i="41"/>
  <c r="N91" i="43"/>
  <c r="L91" i="43"/>
  <c r="M91" i="43"/>
  <c r="H91" i="43"/>
  <c r="V100" i="41"/>
  <c r="K16" i="54"/>
  <c r="R113" i="41"/>
  <c r="K15" i="24" s="1"/>
  <c r="Q120" i="41"/>
  <c r="L23" i="45"/>
  <c r="G23" i="45"/>
  <c r="D106" i="41"/>
  <c r="D115" i="41"/>
  <c r="D102" i="41"/>
  <c r="Q21" i="19"/>
  <c r="Y21" i="19"/>
  <c r="Q101" i="41"/>
  <c r="D91" i="41"/>
  <c r="AA21" i="19"/>
  <c r="S21" i="19"/>
  <c r="Q26" i="5"/>
  <c r="Y25" i="5"/>
  <c r="R100" i="41"/>
  <c r="J16" i="24" s="1"/>
  <c r="M120" i="41"/>
  <c r="F22" i="24" s="1"/>
  <c r="T25" i="5"/>
  <c r="Y24" i="19"/>
  <c r="Q24" i="19"/>
  <c r="D88" i="41"/>
  <c r="Q114" i="41"/>
  <c r="AB25" i="5"/>
  <c r="R119" i="41"/>
  <c r="K21" i="24" s="1"/>
  <c r="AN113" i="33"/>
  <c r="Q24" i="11"/>
  <c r="S25" i="19"/>
  <c r="M114" i="41"/>
  <c r="F16" i="24" s="1"/>
  <c r="Q24" i="12"/>
  <c r="M101" i="41"/>
  <c r="E17" i="24" s="1"/>
  <c r="P101" i="41"/>
  <c r="D121" i="41"/>
  <c r="T26" i="19"/>
  <c r="AB26" i="19"/>
  <c r="AB20" i="19"/>
  <c r="T20" i="19"/>
  <c r="D105" i="41"/>
  <c r="D107" i="41"/>
  <c r="AN126" i="33"/>
  <c r="Q122" i="43" l="1"/>
  <c r="P122" i="43"/>
  <c r="O122" i="43"/>
  <c r="Q116" i="43"/>
  <c r="P116" i="43"/>
  <c r="O116" i="43"/>
  <c r="M122" i="43"/>
  <c r="L122" i="43"/>
  <c r="N122" i="43"/>
  <c r="R116" i="43"/>
  <c r="S116" i="43"/>
  <c r="N116" i="43"/>
  <c r="M116" i="43"/>
  <c r="L116" i="43"/>
  <c r="T122" i="43"/>
  <c r="AC122" i="43" s="1"/>
  <c r="AL122" i="43" s="1"/>
  <c r="U116" i="43"/>
  <c r="AD116" i="43" s="1"/>
  <c r="AM116" i="43" s="1"/>
  <c r="S122" i="43"/>
  <c r="R122" i="43"/>
  <c r="T116" i="43"/>
  <c r="AC116" i="43" s="1"/>
  <c r="AL116" i="43" s="1"/>
  <c r="X100" i="33"/>
  <c r="X113" i="33"/>
  <c r="H24" i="54" s="1"/>
  <c r="AC92" i="43"/>
  <c r="AL92" i="43" s="1"/>
  <c r="AC89" i="43"/>
  <c r="AL89" i="43" s="1"/>
  <c r="AD89" i="43"/>
  <c r="AM89" i="43" s="1"/>
  <c r="AB106" i="43"/>
  <c r="AK106" i="43" s="1"/>
  <c r="AA115" i="43"/>
  <c r="AJ115" i="43" s="1"/>
  <c r="AB121" i="43"/>
  <c r="AK121" i="43" s="1"/>
  <c r="R114" i="41"/>
  <c r="K16" i="24" s="1"/>
  <c r="AA106" i="43"/>
  <c r="AJ106" i="43" s="1"/>
  <c r="AB102" i="43"/>
  <c r="AK102" i="43" s="1"/>
  <c r="Q106" i="41"/>
  <c r="G122" i="41"/>
  <c r="H122" i="41"/>
  <c r="I122" i="41"/>
  <c r="Z121" i="43"/>
  <c r="V121" i="43"/>
  <c r="F24" i="45" s="1"/>
  <c r="V120" i="41"/>
  <c r="V114" i="41"/>
  <c r="AI120" i="43"/>
  <c r="AN120" i="43" s="1"/>
  <c r="AE120" i="43"/>
  <c r="K23" i="45" s="1"/>
  <c r="F17" i="54"/>
  <c r="P115" i="41"/>
  <c r="L17" i="54" s="1"/>
  <c r="L116" i="41"/>
  <c r="J116" i="41"/>
  <c r="K116" i="41"/>
  <c r="K122" i="41"/>
  <c r="L122" i="41"/>
  <c r="J122" i="41"/>
  <c r="C117" i="43"/>
  <c r="D117" i="43"/>
  <c r="B117" i="41"/>
  <c r="C117" i="41"/>
  <c r="E117" i="43"/>
  <c r="F117" i="43"/>
  <c r="G117" i="43"/>
  <c r="AA121" i="43"/>
  <c r="AJ121" i="43" s="1"/>
  <c r="Z115" i="43"/>
  <c r="V115" i="43"/>
  <c r="F18" i="45" s="1"/>
  <c r="G116" i="41"/>
  <c r="H116" i="41"/>
  <c r="I116" i="41"/>
  <c r="P121" i="41"/>
  <c r="L23" i="54" s="1"/>
  <c r="F23" i="54"/>
  <c r="H116" i="43"/>
  <c r="AB115" i="43"/>
  <c r="AK115" i="43" s="1"/>
  <c r="AD122" i="43"/>
  <c r="AM122" i="43" s="1"/>
  <c r="H122" i="43"/>
  <c r="AI114" i="43"/>
  <c r="AN114" i="43" s="1"/>
  <c r="AE114" i="43"/>
  <c r="K17" i="45" s="1"/>
  <c r="B108" i="41"/>
  <c r="C108" i="43"/>
  <c r="D108" i="43"/>
  <c r="C108" i="41"/>
  <c r="E108" i="43"/>
  <c r="G108" i="43"/>
  <c r="U108" i="43" s="1"/>
  <c r="AD108" i="43" s="1"/>
  <c r="AM108" i="43" s="1"/>
  <c r="F108" i="43"/>
  <c r="T108" i="43" s="1"/>
  <c r="AC108" i="43" s="1"/>
  <c r="AL108" i="43" s="1"/>
  <c r="E22" i="54"/>
  <c r="E23" i="54"/>
  <c r="AB107" i="43"/>
  <c r="AK107" i="43" s="1"/>
  <c r="AI101" i="43"/>
  <c r="AN101" i="43" s="1"/>
  <c r="AE101" i="43"/>
  <c r="J18" i="45" s="1"/>
  <c r="L103" i="43"/>
  <c r="M103" i="43"/>
  <c r="N103" i="43"/>
  <c r="H103" i="43"/>
  <c r="E18" i="54"/>
  <c r="AB105" i="43"/>
  <c r="AK105" i="43" s="1"/>
  <c r="O103" i="43"/>
  <c r="P103" i="43"/>
  <c r="Q103" i="43"/>
  <c r="E21" i="54"/>
  <c r="G103" i="41"/>
  <c r="H103" i="41"/>
  <c r="I103" i="41"/>
  <c r="AA105" i="43"/>
  <c r="AJ105" i="43" s="1"/>
  <c r="AA107" i="43"/>
  <c r="AJ107" i="43" s="1"/>
  <c r="Z102" i="43"/>
  <c r="V102" i="43"/>
  <c r="E19" i="45" s="1"/>
  <c r="B104" i="41"/>
  <c r="C104" i="43"/>
  <c r="E104" i="43"/>
  <c r="C104" i="41"/>
  <c r="D104" i="43"/>
  <c r="G104" i="43"/>
  <c r="U104" i="43" s="1"/>
  <c r="AD104" i="43" s="1"/>
  <c r="AM104" i="43" s="1"/>
  <c r="F104" i="43"/>
  <c r="T104" i="43" s="1"/>
  <c r="J103" i="41"/>
  <c r="K103" i="41"/>
  <c r="L103" i="41"/>
  <c r="Z107" i="43"/>
  <c r="V107" i="43"/>
  <c r="E24" i="45" s="1"/>
  <c r="V105" i="43"/>
  <c r="E22" i="45" s="1"/>
  <c r="Z105" i="43"/>
  <c r="V106" i="43"/>
  <c r="E23" i="45" s="1"/>
  <c r="Z106" i="43"/>
  <c r="R103" i="43"/>
  <c r="S103" i="43"/>
  <c r="AA102" i="43"/>
  <c r="AJ102" i="43" s="1"/>
  <c r="T25" i="11"/>
  <c r="Q25" i="12"/>
  <c r="R87" i="41"/>
  <c r="H17" i="24" s="1"/>
  <c r="AA91" i="43"/>
  <c r="AJ91" i="43" s="1"/>
  <c r="N92" i="43"/>
  <c r="L92" i="43"/>
  <c r="M92" i="43"/>
  <c r="H92" i="43"/>
  <c r="AD92" i="43"/>
  <c r="AM92" i="43" s="1"/>
  <c r="B18" i="54"/>
  <c r="P88" i="41"/>
  <c r="I18" i="54" s="1"/>
  <c r="AB88" i="43"/>
  <c r="AK88" i="43" s="1"/>
  <c r="I17" i="54"/>
  <c r="V87" i="41"/>
  <c r="AA88" i="43"/>
  <c r="AJ88" i="43" s="1"/>
  <c r="V91" i="43"/>
  <c r="B22" i="45" s="1"/>
  <c r="Z91" i="43"/>
  <c r="G92" i="41"/>
  <c r="H92" i="41"/>
  <c r="I92" i="41"/>
  <c r="K92" i="41"/>
  <c r="L92" i="41"/>
  <c r="J92" i="41"/>
  <c r="R92" i="43"/>
  <c r="S92" i="43"/>
  <c r="O92" i="43"/>
  <c r="Q92" i="43"/>
  <c r="P92" i="43"/>
  <c r="V88" i="43"/>
  <c r="B19" i="45" s="1"/>
  <c r="Z88" i="43"/>
  <c r="N89" i="43"/>
  <c r="L89" i="43"/>
  <c r="M89" i="43"/>
  <c r="H89" i="43"/>
  <c r="B21" i="54"/>
  <c r="P91" i="41"/>
  <c r="I21" i="54" s="1"/>
  <c r="B93" i="41"/>
  <c r="C93" i="43"/>
  <c r="D93" i="43"/>
  <c r="E93" i="43"/>
  <c r="C93" i="41"/>
  <c r="G93" i="43"/>
  <c r="U93" i="43" s="1"/>
  <c r="F93" i="43"/>
  <c r="T93" i="43" s="1"/>
  <c r="AI87" i="43"/>
  <c r="AN87" i="43" s="1"/>
  <c r="AE87" i="43"/>
  <c r="H18" i="45" s="1"/>
  <c r="I89" i="41"/>
  <c r="G89" i="41"/>
  <c r="H89" i="41"/>
  <c r="R89" i="43"/>
  <c r="S89" i="43"/>
  <c r="P89" i="43"/>
  <c r="O89" i="43"/>
  <c r="Q89" i="43"/>
  <c r="D90" i="43"/>
  <c r="B90" i="41"/>
  <c r="C90" i="43"/>
  <c r="E90" i="43"/>
  <c r="C90" i="41"/>
  <c r="F90" i="43"/>
  <c r="T90" i="43" s="1"/>
  <c r="G90" i="43"/>
  <c r="U90" i="43" s="1"/>
  <c r="AB91" i="43"/>
  <c r="AK91" i="43" s="1"/>
  <c r="J89" i="41"/>
  <c r="K89" i="41"/>
  <c r="L89" i="41"/>
  <c r="V101" i="41"/>
  <c r="K17" i="54"/>
  <c r="Q121" i="41"/>
  <c r="R101" i="41"/>
  <c r="J17" i="24" s="1"/>
  <c r="Q115" i="41"/>
  <c r="Q102" i="41"/>
  <c r="R120" i="41"/>
  <c r="K22" i="24" s="1"/>
  <c r="Q91" i="41"/>
  <c r="Q88" i="41"/>
  <c r="L24" i="45"/>
  <c r="G24" i="45"/>
  <c r="T26" i="11"/>
  <c r="T26" i="12"/>
  <c r="AB26" i="5"/>
  <c r="T26" i="5"/>
  <c r="M88" i="41"/>
  <c r="B18" i="24" s="1"/>
  <c r="D103" i="41"/>
  <c r="Q107" i="41"/>
  <c r="Q25" i="19"/>
  <c r="Y25" i="19"/>
  <c r="M102" i="41"/>
  <c r="E18" i="24" s="1"/>
  <c r="P102" i="41"/>
  <c r="D89" i="41"/>
  <c r="T25" i="12"/>
  <c r="T21" i="19"/>
  <c r="AB21" i="19"/>
  <c r="AA26" i="19"/>
  <c r="S26" i="19"/>
  <c r="P107" i="41"/>
  <c r="M107" i="41"/>
  <c r="E23" i="24" s="1"/>
  <c r="M115" i="41"/>
  <c r="F17" i="24" s="1"/>
  <c r="M105" i="41"/>
  <c r="E21" i="24" s="1"/>
  <c r="P105" i="41"/>
  <c r="M121" i="41"/>
  <c r="F23" i="24" s="1"/>
  <c r="P106" i="41"/>
  <c r="M106" i="41"/>
  <c r="E22" i="24" s="1"/>
  <c r="D122" i="41"/>
  <c r="D92" i="41"/>
  <c r="D116" i="41"/>
  <c r="M91" i="41"/>
  <c r="B21" i="24" s="1"/>
  <c r="Q25" i="11"/>
  <c r="Q105" i="41"/>
  <c r="Q26" i="12"/>
  <c r="Q26" i="11"/>
  <c r="Y26" i="5"/>
  <c r="G24" i="24" l="1"/>
  <c r="L24" i="24" s="1"/>
  <c r="O117" i="43"/>
  <c r="P117" i="43"/>
  <c r="Q117" i="43"/>
  <c r="N117" i="43"/>
  <c r="M117" i="43"/>
  <c r="L117" i="43"/>
  <c r="U117" i="43"/>
  <c r="AD117" i="43" s="1"/>
  <c r="AM117" i="43" s="1"/>
  <c r="T117" i="43"/>
  <c r="AC117" i="43" s="1"/>
  <c r="AL117" i="43" s="1"/>
  <c r="S117" i="43"/>
  <c r="R117" i="43"/>
  <c r="AD90" i="43"/>
  <c r="AM90" i="43" s="1"/>
  <c r="AC90" i="43"/>
  <c r="AL90" i="43" s="1"/>
  <c r="AC93" i="43"/>
  <c r="AL93" i="43" s="1"/>
  <c r="AD93" i="43"/>
  <c r="AM93" i="43" s="1"/>
  <c r="AA116" i="43"/>
  <c r="AJ116" i="43" s="1"/>
  <c r="AA122" i="43"/>
  <c r="AJ122" i="43" s="1"/>
  <c r="E19" i="54"/>
  <c r="V121" i="41"/>
  <c r="H117" i="43"/>
  <c r="V116" i="43"/>
  <c r="F19" i="45" s="1"/>
  <c r="Z116" i="43"/>
  <c r="AI115" i="43"/>
  <c r="AN115" i="43" s="1"/>
  <c r="AE115" i="43"/>
  <c r="K18" i="45" s="1"/>
  <c r="C118" i="41"/>
  <c r="D118" i="43"/>
  <c r="C118" i="43"/>
  <c r="E118" i="43"/>
  <c r="B118" i="41"/>
  <c r="G118" i="43"/>
  <c r="F118" i="43"/>
  <c r="F18" i="54"/>
  <c r="P116" i="41"/>
  <c r="L18" i="54" s="1"/>
  <c r="AB116" i="43"/>
  <c r="AK116" i="43" s="1"/>
  <c r="V115" i="41"/>
  <c r="Z122" i="43"/>
  <c r="V122" i="43"/>
  <c r="F25" i="45" s="1"/>
  <c r="AB122" i="43"/>
  <c r="AK122" i="43" s="1"/>
  <c r="J117" i="41"/>
  <c r="K117" i="41"/>
  <c r="L117" i="41"/>
  <c r="AI121" i="43"/>
  <c r="AN121" i="43" s="1"/>
  <c r="AE121" i="43"/>
  <c r="K24" i="45" s="1"/>
  <c r="F24" i="54"/>
  <c r="P122" i="41"/>
  <c r="L24" i="54" s="1"/>
  <c r="I117" i="41"/>
  <c r="G117" i="41"/>
  <c r="H117" i="41"/>
  <c r="AC104" i="43"/>
  <c r="AL104" i="43" s="1"/>
  <c r="O104" i="43"/>
  <c r="P104" i="43"/>
  <c r="Q104" i="43"/>
  <c r="L104" i="43"/>
  <c r="M104" i="43"/>
  <c r="N104" i="43"/>
  <c r="H104" i="43"/>
  <c r="AI105" i="43"/>
  <c r="AN105" i="43" s="1"/>
  <c r="AE105" i="43"/>
  <c r="J22" i="45" s="1"/>
  <c r="M108" i="43"/>
  <c r="N108" i="43"/>
  <c r="L108" i="43"/>
  <c r="H108" i="43"/>
  <c r="R104" i="43"/>
  <c r="S104" i="43"/>
  <c r="O108" i="43"/>
  <c r="P108" i="43"/>
  <c r="Q108" i="43"/>
  <c r="AA103" i="43"/>
  <c r="AJ103" i="43" s="1"/>
  <c r="J104" i="41"/>
  <c r="K104" i="41"/>
  <c r="L104" i="41"/>
  <c r="AI102" i="43"/>
  <c r="AN102" i="43" s="1"/>
  <c r="AE102" i="43"/>
  <c r="J19" i="45" s="1"/>
  <c r="AB103" i="43"/>
  <c r="AK103" i="43" s="1"/>
  <c r="AI107" i="43"/>
  <c r="AN107" i="43" s="1"/>
  <c r="AE107" i="43"/>
  <c r="J24" i="45" s="1"/>
  <c r="V103" i="43"/>
  <c r="E20" i="45" s="1"/>
  <c r="Z103" i="43"/>
  <c r="H104" i="41"/>
  <c r="I104" i="41"/>
  <c r="G104" i="41"/>
  <c r="AI106" i="43"/>
  <c r="AN106" i="43" s="1"/>
  <c r="AE106" i="43"/>
  <c r="J23" i="45" s="1"/>
  <c r="S108" i="43"/>
  <c r="R108" i="43"/>
  <c r="J108" i="41"/>
  <c r="K108" i="41"/>
  <c r="L108" i="41"/>
  <c r="G108" i="41"/>
  <c r="H108" i="41"/>
  <c r="I108" i="41"/>
  <c r="AA89" i="43"/>
  <c r="AJ89" i="43" s="1"/>
  <c r="L93" i="43"/>
  <c r="M93" i="43"/>
  <c r="N93" i="43"/>
  <c r="H93" i="43"/>
  <c r="L90" i="43"/>
  <c r="M90" i="43"/>
  <c r="N90" i="43"/>
  <c r="H90" i="43"/>
  <c r="H90" i="41"/>
  <c r="G90" i="41"/>
  <c r="I90" i="41"/>
  <c r="O90" i="43"/>
  <c r="Q90" i="43"/>
  <c r="P90" i="43"/>
  <c r="J93" i="41"/>
  <c r="K93" i="41"/>
  <c r="L93" i="41"/>
  <c r="P92" i="41"/>
  <c r="I22" i="54" s="1"/>
  <c r="B22" i="54"/>
  <c r="Z89" i="43"/>
  <c r="V89" i="43"/>
  <c r="B20" i="45" s="1"/>
  <c r="AB89" i="43"/>
  <c r="AK89" i="43" s="1"/>
  <c r="AI88" i="43"/>
  <c r="AN88" i="43" s="1"/>
  <c r="AE88" i="43"/>
  <c r="H19" i="45" s="1"/>
  <c r="E94" i="43"/>
  <c r="C94" i="43"/>
  <c r="C94" i="41"/>
  <c r="B94" i="41"/>
  <c r="D94" i="43"/>
  <c r="G94" i="43"/>
  <c r="U94" i="43" s="1"/>
  <c r="F94" i="43"/>
  <c r="T94" i="43" s="1"/>
  <c r="V91" i="41"/>
  <c r="S90" i="43"/>
  <c r="R90" i="43"/>
  <c r="AA92" i="43"/>
  <c r="AJ92" i="43" s="1"/>
  <c r="R93" i="43"/>
  <c r="S93" i="43"/>
  <c r="AI91" i="43"/>
  <c r="AN91" i="43" s="1"/>
  <c r="AE91" i="43"/>
  <c r="H22" i="45" s="1"/>
  <c r="V88" i="41"/>
  <c r="Z92" i="43"/>
  <c r="V92" i="43"/>
  <c r="B23" i="45" s="1"/>
  <c r="Q93" i="43"/>
  <c r="P93" i="43"/>
  <c r="O93" i="43"/>
  <c r="K90" i="41"/>
  <c r="J90" i="41"/>
  <c r="L90" i="41"/>
  <c r="H93" i="41"/>
  <c r="I93" i="41"/>
  <c r="G93" i="41"/>
  <c r="B19" i="54"/>
  <c r="P89" i="41"/>
  <c r="I19" i="54" s="1"/>
  <c r="AB92" i="43"/>
  <c r="AK92" i="43" s="1"/>
  <c r="R106" i="41"/>
  <c r="J22" i="24" s="1"/>
  <c r="K22" i="54"/>
  <c r="V107" i="41"/>
  <c r="K23" i="54"/>
  <c r="V105" i="41"/>
  <c r="K21" i="54"/>
  <c r="V102" i="41"/>
  <c r="K18" i="54"/>
  <c r="Q92" i="41"/>
  <c r="V106" i="41"/>
  <c r="R91" i="41"/>
  <c r="H21" i="24" s="1"/>
  <c r="R121" i="41"/>
  <c r="K23" i="24" s="1"/>
  <c r="R115" i="41"/>
  <c r="K17" i="24" s="1"/>
  <c r="R107" i="41"/>
  <c r="J23" i="24" s="1"/>
  <c r="R88" i="41"/>
  <c r="H18" i="24" s="1"/>
  <c r="R102" i="41"/>
  <c r="J18" i="24" s="1"/>
  <c r="G25" i="45"/>
  <c r="L25" i="45"/>
  <c r="M122" i="41"/>
  <c r="F24" i="24" s="1"/>
  <c r="M92" i="41"/>
  <c r="B22" i="24" s="1"/>
  <c r="D108" i="41"/>
  <c r="Q103" i="41"/>
  <c r="R105" i="41"/>
  <c r="J21" i="24" s="1"/>
  <c r="D117" i="41"/>
  <c r="D93" i="41"/>
  <c r="Q116" i="41"/>
  <c r="P103" i="41"/>
  <c r="M103" i="41"/>
  <c r="E19" i="24" s="1"/>
  <c r="D104" i="41"/>
  <c r="Q122" i="41"/>
  <c r="M116" i="41"/>
  <c r="F18" i="24" s="1"/>
  <c r="Q26" i="19"/>
  <c r="Y26" i="19"/>
  <c r="D90" i="41"/>
  <c r="M89" i="41"/>
  <c r="B19" i="24" s="1"/>
  <c r="Q89" i="41"/>
  <c r="U118" i="43" l="1"/>
  <c r="AD118" i="43" s="1"/>
  <c r="AM118" i="43" s="1"/>
  <c r="T118" i="43"/>
  <c r="AC118" i="43" s="1"/>
  <c r="AL118" i="43" s="1"/>
  <c r="M118" i="43"/>
  <c r="L118" i="43"/>
  <c r="N118" i="43"/>
  <c r="O118" i="43"/>
  <c r="Q118" i="43"/>
  <c r="P118" i="43"/>
  <c r="S118" i="43"/>
  <c r="R118" i="43"/>
  <c r="AD94" i="43"/>
  <c r="AM94" i="43" s="1"/>
  <c r="AB108" i="43"/>
  <c r="AK108" i="43" s="1"/>
  <c r="AB117" i="43"/>
  <c r="AK117" i="43" s="1"/>
  <c r="E20" i="54"/>
  <c r="V116" i="41"/>
  <c r="H118" i="43"/>
  <c r="P117" i="41"/>
  <c r="L19" i="54" s="1"/>
  <c r="F19" i="54"/>
  <c r="AI116" i="43"/>
  <c r="AN116" i="43" s="1"/>
  <c r="AE116" i="43"/>
  <c r="K19" i="45" s="1"/>
  <c r="V122" i="41"/>
  <c r="I118" i="41"/>
  <c r="G118" i="41"/>
  <c r="H118" i="41"/>
  <c r="J118" i="41"/>
  <c r="L118" i="41"/>
  <c r="K118" i="41"/>
  <c r="Z117" i="43"/>
  <c r="V117" i="43"/>
  <c r="F20" i="45" s="1"/>
  <c r="AI122" i="43"/>
  <c r="AN122" i="43" s="1"/>
  <c r="AE122" i="43"/>
  <c r="K25" i="45" s="1"/>
  <c r="AA117" i="43"/>
  <c r="AJ117" i="43" s="1"/>
  <c r="AA104" i="43"/>
  <c r="AJ104" i="43" s="1"/>
  <c r="AI103" i="43"/>
  <c r="AN103" i="43" s="1"/>
  <c r="AE103" i="43"/>
  <c r="J20" i="45" s="1"/>
  <c r="V104" i="43"/>
  <c r="E21" i="45" s="1"/>
  <c r="Z104" i="43"/>
  <c r="E24" i="54"/>
  <c r="AA108" i="43"/>
  <c r="AJ108" i="43" s="1"/>
  <c r="AB104" i="43"/>
  <c r="AK104" i="43" s="1"/>
  <c r="Z108" i="43"/>
  <c r="V108" i="43"/>
  <c r="E25" i="45" s="1"/>
  <c r="AB90" i="43"/>
  <c r="AK90" i="43" s="1"/>
  <c r="Z93" i="43"/>
  <c r="V93" i="43"/>
  <c r="B24" i="45" s="1"/>
  <c r="AI89" i="43"/>
  <c r="AN89" i="43" s="1"/>
  <c r="AE89" i="43"/>
  <c r="H20" i="45" s="1"/>
  <c r="G94" i="41"/>
  <c r="H94" i="41"/>
  <c r="I94" i="41"/>
  <c r="L94" i="43"/>
  <c r="M94" i="43"/>
  <c r="N94" i="43"/>
  <c r="H94" i="43"/>
  <c r="AC94" i="43"/>
  <c r="AL94" i="43" s="1"/>
  <c r="B20" i="54"/>
  <c r="P90" i="41"/>
  <c r="I20" i="54" s="1"/>
  <c r="V92" i="41"/>
  <c r="V89" i="41"/>
  <c r="AA93" i="43"/>
  <c r="AJ93" i="43" s="1"/>
  <c r="S94" i="43"/>
  <c r="R94" i="43"/>
  <c r="AB93" i="43"/>
  <c r="AK93" i="43" s="1"/>
  <c r="B23" i="54"/>
  <c r="P93" i="41"/>
  <c r="I23" i="54" s="1"/>
  <c r="Z90" i="43"/>
  <c r="V90" i="43"/>
  <c r="B21" i="45" s="1"/>
  <c r="AI92" i="43"/>
  <c r="AN92" i="43" s="1"/>
  <c r="AE92" i="43"/>
  <c r="H23" i="45" s="1"/>
  <c r="AA90" i="43"/>
  <c r="AJ90" i="43" s="1"/>
  <c r="O94" i="43"/>
  <c r="P94" i="43"/>
  <c r="Q94" i="43"/>
  <c r="J94" i="41"/>
  <c r="L94" i="41"/>
  <c r="K94" i="41"/>
  <c r="V103" i="41"/>
  <c r="K19" i="54"/>
  <c r="R92" i="41"/>
  <c r="H22" i="24" s="1"/>
  <c r="R89" i="41"/>
  <c r="H19" i="24" s="1"/>
  <c r="Q93" i="41"/>
  <c r="R122" i="41"/>
  <c r="K24" i="24" s="1"/>
  <c r="R116" i="41"/>
  <c r="K18" i="24" s="1"/>
  <c r="Q117" i="41"/>
  <c r="R103" i="41"/>
  <c r="J19" i="24" s="1"/>
  <c r="P104" i="41"/>
  <c r="M104" i="41"/>
  <c r="E20" i="24" s="1"/>
  <c r="Q104" i="41"/>
  <c r="D118" i="41"/>
  <c r="M90" i="41"/>
  <c r="B20" i="24" s="1"/>
  <c r="M117" i="41"/>
  <c r="F19" i="24" s="1"/>
  <c r="D94" i="41"/>
  <c r="M108" i="41"/>
  <c r="E24" i="24" s="1"/>
  <c r="P108" i="41"/>
  <c r="Q108" i="41"/>
  <c r="M93" i="41"/>
  <c r="B23" i="24" s="1"/>
  <c r="Q90" i="41"/>
  <c r="V117" i="41" l="1"/>
  <c r="V93" i="41"/>
  <c r="F20" i="54"/>
  <c r="P118" i="41"/>
  <c r="L20" i="54" s="1"/>
  <c r="V118" i="43"/>
  <c r="F21" i="45" s="1"/>
  <c r="Z118" i="43"/>
  <c r="AA118" i="43"/>
  <c r="AJ118" i="43" s="1"/>
  <c r="AI117" i="43"/>
  <c r="AN117" i="43" s="1"/>
  <c r="AE117" i="43"/>
  <c r="K20" i="45" s="1"/>
  <c r="AB118" i="43"/>
  <c r="AK118" i="43" s="1"/>
  <c r="AI108" i="43"/>
  <c r="AN108" i="43" s="1"/>
  <c r="AE108" i="43"/>
  <c r="J25" i="45" s="1"/>
  <c r="AI104" i="43"/>
  <c r="AN104" i="43" s="1"/>
  <c r="AE104" i="43"/>
  <c r="J21" i="45" s="1"/>
  <c r="AB94" i="43"/>
  <c r="AK94" i="43" s="1"/>
  <c r="V90" i="41"/>
  <c r="AA94" i="43"/>
  <c r="AJ94" i="43" s="1"/>
  <c r="B24" i="54"/>
  <c r="P94" i="41"/>
  <c r="I24" i="54" s="1"/>
  <c r="AI93" i="43"/>
  <c r="AN93" i="43" s="1"/>
  <c r="AE93" i="43"/>
  <c r="H24" i="45" s="1"/>
  <c r="Z94" i="43"/>
  <c r="V94" i="43"/>
  <c r="B25" i="45" s="1"/>
  <c r="AI90" i="43"/>
  <c r="AN90" i="43" s="1"/>
  <c r="AE90" i="43"/>
  <c r="H21" i="45" s="1"/>
  <c r="V104" i="41"/>
  <c r="K20" i="54"/>
  <c r="V108" i="41"/>
  <c r="K24" i="54"/>
  <c r="Q118" i="41"/>
  <c r="R93" i="41"/>
  <c r="H23" i="24" s="1"/>
  <c r="R117" i="41"/>
  <c r="K19" i="24" s="1"/>
  <c r="R90" i="41"/>
  <c r="H20" i="24" s="1"/>
  <c r="R104" i="41"/>
  <c r="J20" i="24" s="1"/>
  <c r="Q94" i="41"/>
  <c r="M118" i="41"/>
  <c r="F20" i="24" s="1"/>
  <c r="R108" i="41"/>
  <c r="J24" i="24" s="1"/>
  <c r="M94" i="41"/>
  <c r="B24" i="24" s="1"/>
  <c r="V118" i="41" l="1"/>
  <c r="AI118" i="43"/>
  <c r="AN118" i="43" s="1"/>
  <c r="AE118" i="43"/>
  <c r="K21" i="45" s="1"/>
  <c r="V94" i="41"/>
  <c r="AI94" i="43"/>
  <c r="AN94" i="43" s="1"/>
  <c r="AE94" i="43"/>
  <c r="H25" i="45" s="1"/>
  <c r="R118" i="41"/>
  <c r="K20" i="24" s="1"/>
  <c r="R94" i="41"/>
  <c r="H24" i="24" s="1"/>
  <c r="W16" i="5" l="1"/>
  <c r="S16" i="11"/>
  <c r="S16" i="12"/>
  <c r="T16" i="5"/>
  <c r="X16" i="5"/>
  <c r="T16" i="11"/>
  <c r="T16" i="10"/>
  <c r="T16" i="12"/>
  <c r="W17" i="5" l="1"/>
  <c r="X17" i="5"/>
  <c r="T17" i="10"/>
  <c r="T17" i="12"/>
  <c r="S17" i="12"/>
  <c r="T17" i="5"/>
  <c r="T17" i="11" l="1"/>
  <c r="X18" i="5"/>
  <c r="W18" i="5"/>
  <c r="AB18" i="5"/>
  <c r="T18" i="11"/>
  <c r="T18" i="10"/>
  <c r="AA18" i="5"/>
  <c r="S19" i="5"/>
  <c r="S17" i="11"/>
  <c r="T18" i="5"/>
  <c r="T18" i="12" l="1"/>
  <c r="AA19" i="5"/>
  <c r="S18" i="11"/>
  <c r="AB19" i="5"/>
  <c r="S20" i="5"/>
  <c r="S18" i="12"/>
  <c r="T19" i="5"/>
  <c r="T19" i="12" l="1"/>
  <c r="T19" i="11"/>
  <c r="S21" i="5"/>
  <c r="AA20" i="5"/>
  <c r="AB20" i="5"/>
  <c r="T20" i="11"/>
  <c r="S19" i="11"/>
  <c r="S19" i="12"/>
  <c r="T20" i="5"/>
  <c r="T21" i="11" l="1"/>
  <c r="T21" i="12"/>
  <c r="AB21" i="5"/>
  <c r="T21" i="5"/>
  <c r="S20" i="12"/>
  <c r="S21" i="11"/>
  <c r="S21" i="12"/>
  <c r="AA21" i="5"/>
  <c r="T20" i="12"/>
  <c r="S20" i="11"/>
  <c r="Q15" i="10" l="1"/>
  <c r="Q16" i="10"/>
  <c r="Q19" i="10" l="1"/>
  <c r="S15" i="10" l="1"/>
  <c r="S17" i="10"/>
  <c r="S16" i="10"/>
  <c r="S18" i="10" l="1"/>
  <c r="S19" i="10"/>
  <c r="S20" i="10"/>
  <c r="S21" i="10"/>
  <c r="S24" i="10"/>
  <c r="S25" i="10" l="1"/>
  <c r="S26" i="10" l="1"/>
  <c r="S27" i="10"/>
  <c r="S28" i="10"/>
  <c r="T28" i="10" l="1"/>
  <c r="T27" i="10"/>
  <c r="T19" i="10" l="1"/>
  <c r="T20" i="10"/>
  <c r="T26" i="10" l="1"/>
  <c r="T21" i="10"/>
  <c r="T22" i="10" l="1"/>
  <c r="T23" i="10" l="1"/>
  <c r="T25" i="10" l="1"/>
  <c r="T24" i="10"/>
  <c r="Q28" i="10"/>
  <c r="Q22" i="10"/>
  <c r="Q21" i="10"/>
  <c r="Q25" i="10"/>
  <c r="Q24" i="10"/>
  <c r="Q20" i="10"/>
  <c r="Q23" i="10"/>
  <c r="Q26" i="10"/>
  <c r="Q27"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tc={7D466B88-4877-4A8F-839F-37835EE75388}</author>
  </authors>
  <commentList>
    <comment ref="B14" authorId="0" shapeId="0" xr:uid="{7D466B88-4877-4A8F-839F-37835EE75388}">
      <text>
        <t>[Threaded comment]
Your version of Excel allows you to read this threaded comment; however, any edits to it will get removed if the file is opened in a newer version of Excel. Learn more: https://go.microsoft.com/fwlink/?linkid=870924
Comment:
    The range of this chart looks alarming. It could be significantly narrowed down if it assumed that the proportion of the workforce who are qualified teachers will remain at the mean level observed over the 2016-2025 period.</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Cerelia Diprose</author>
  </authors>
  <commentList>
    <comment ref="A14" authorId="0" shapeId="0" xr:uid="{9851E58C-8D6B-49F7-98D2-F8D82C0A8F3A}">
      <text>
        <r>
          <rPr>
            <b/>
            <sz val="9"/>
            <color indexed="81"/>
            <rFont val="Tahoma"/>
            <family val="2"/>
          </rPr>
          <t>Cerelia Diprose:</t>
        </r>
        <r>
          <rPr>
            <sz val="9"/>
            <color indexed="81"/>
            <rFont val="Tahoma"/>
            <family val="2"/>
          </rPr>
          <t xml:space="preserve">
This row's numbers are from a directory extract - see hidden page Source-participation_2025</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tc={9720BDC3-8B3A-4C2D-8785-BF27ACE5BA16}</author>
  </authors>
  <commentList>
    <comment ref="H15" authorId="0" shapeId="0" xr:uid="{9720BDC3-8B3A-4C2D-8785-BF27ACE5BA16}">
      <text>
        <t>[Threaded comment]
Your version of Excel allows you to read this threaded comment; however, any edits to it will get removed if the file is opened in a newer version of Excel. Learn more: https://go.microsoft.com/fwlink/?linkid=870924
Comment:
    Range between low and high scenarios would be reduced if same proportion assumption was applied (71% qualified) instead of minimum regulated (50%) for low and max funding band (100%) for high</t>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4E15D04-5542-43AF-AA0E-9A3283ABE49C}" keepAlive="1" name="Query - Table6" description="Connection to the 'Table6' query in the workbook." type="5" refreshedVersion="8" background="1" saveData="1">
    <dbPr connection="Provider=Microsoft.Mashup.OleDb.1;Data Source=$Workbook$;Location=Table6;Extended Properties=&quot;&quot;" command="SELECT * FROM [Table6]"/>
  </connection>
  <connection id="2" xr16:uid="{D01984E2-5AA8-4A00-84ED-A163A4E7E894}" keepAlive="1" name="Query - Transformed-participation_x_region" description="Connection to the 'Transformed-participation_x_region' query in the workbook." type="5" refreshedVersion="8" background="1" saveData="1">
    <dbPr connection="Provider=Microsoft.Mashup.OleDb.1;Data Source=$Workbook$;Location=Transformed-participation_x_region;Extended Properties=&quot;&quot;" command="SELECT * FROM [Transformed-participation_x_region]"/>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<sst xmlns="http://schemas.openxmlformats.org/spreadsheetml/2006/main" count="107078" uniqueCount="23970">
  <si>
    <t>Item</t>
  </si>
  <si>
    <t>Source</t>
  </si>
  <si>
    <t>File link (internal) or URL (external)</t>
  </si>
  <si>
    <t>Notes</t>
  </si>
  <si>
    <t>5-and-under population by age</t>
  </si>
  <si>
    <t>Stats NZ Infoshare</t>
  </si>
  <si>
    <t>Population 5 and under 2015-2024.csv</t>
  </si>
  <si>
    <t>Stats NZ projected births</t>
  </si>
  <si>
    <t>Stats NZ</t>
  </si>
  <si>
    <t>Stats_NZ_Population_Projections.xlsx</t>
  </si>
  <si>
    <t>ECE participation by age</t>
  </si>
  <si>
    <t>Ministry of Education</t>
  </si>
  <si>
    <t>Participation in ECE 2000-2024.xlsx</t>
  </si>
  <si>
    <t>ECE teaching staff by full or part time status</t>
  </si>
  <si>
    <t>ECE teaching staff by full or part time status 2011-2024.xlsx</t>
  </si>
  <si>
    <t>Hours worked</t>
  </si>
  <si>
    <t>Stats NZ IDI</t>
  </si>
  <si>
    <t>CONFIDENTIALISED ANZSIC activity dimensions.xlsx</t>
  </si>
  <si>
    <t>Sheet idi.anzsic_x_hoursworked. Used to adjust for FTE.</t>
  </si>
  <si>
    <t>Playcentre ratios and qualified staffing</t>
  </si>
  <si>
    <t>Playcentre NZ</t>
  </si>
  <si>
    <t>Supervision Requirements | Playcentre.org.nz</t>
  </si>
  <si>
    <t>Home-based and Centre-based Teacher-led ratios</t>
  </si>
  <si>
    <t>Legislation.govt.nz</t>
  </si>
  <si>
    <t>Education (Early Childhood Services) Amendment Regulations 2011 (SR 2011/198) Schedule New Schedule 2 substituted – New Zealand Legislation</t>
  </si>
  <si>
    <t>ECE services directory</t>
  </si>
  <si>
    <t>Early Childhood Services | Education Counts</t>
  </si>
  <si>
    <t>As at 12 June 2025. Used as basis for 2025 demand.</t>
  </si>
  <si>
    <t>Licensed places information</t>
  </si>
  <si>
    <t>ECE Directory - Download the whole directory</t>
  </si>
  <si>
    <t>Used to forecast licensed places for Max Occupancy scenario.</t>
  </si>
  <si>
    <t>Market age breakdown</t>
  </si>
  <si>
    <t>ECE participation 2021-2024 pivot - by age and service type.xlsx</t>
  </si>
  <si>
    <t>Used to calculate proportion of attendees in each age/age group.</t>
  </si>
  <si>
    <t>ECE teachers by qualification status</t>
  </si>
  <si>
    <t>Number of teaching staff by qualification status (2011-2024)</t>
  </si>
  <si>
    <t>Used as base to calculate historic FTE workforce and qualified workforce.</t>
  </si>
  <si>
    <t>Observed adult:child ratios</t>
  </si>
  <si>
    <t>ECE adult to child ratios 2023-2024.xlsx</t>
  </si>
  <si>
    <t>Used to calculate observed ratios for kindergarten + education &amp; care services.</t>
  </si>
  <si>
    <t>2025 roll numbers</t>
  </si>
  <si>
    <t>ECE services directory.csv</t>
  </si>
  <si>
    <t>Live version should be the same. Proportions calculated in Power BI, exported then pasted in here.</t>
  </si>
  <si>
    <t>Stats NZ population forecast</t>
  </si>
  <si>
    <t>Statistics NZ Aotearoa Data Explorer</t>
  </si>
  <si>
    <t>Aotearoa Data Explorer • National population projections, by age and sex, 2024(base)-2078</t>
  </si>
  <si>
    <t>Regional population data</t>
  </si>
  <si>
    <t>Infoshare Estimated Resident Population for Regional Council Areas, as at 30 June (1996+) (Annual-Jun)</t>
  </si>
  <si>
    <t>Estimated historic under-5 population in Auckland</t>
  </si>
  <si>
    <r>
      <t xml:space="preserve">Stats NZ </t>
    </r>
    <r>
      <rPr>
        <i/>
        <sz val="11"/>
        <color theme="1"/>
        <rFont val="Aptos Narrow"/>
        <family val="2"/>
        <scheme val="minor"/>
      </rPr>
      <t>via</t>
    </r>
    <r>
      <rPr>
        <sz val="11"/>
        <color theme="1"/>
        <rFont val="Aptos Narrow"/>
        <family val="2"/>
        <scheme val="minor"/>
      </rPr>
      <t xml:space="preserve"> Figure.nz</t>
    </r>
  </si>
  <si>
    <t>Table: Population - Estimated population in Auckland by sex, age group, and local board area at June 1996–2024 - Figure.NZ</t>
  </si>
  <si>
    <t>Sheet label</t>
  </si>
  <si>
    <t>Type</t>
  </si>
  <si>
    <t>Description</t>
  </si>
  <si>
    <t>T1</t>
  </si>
  <si>
    <t>Table</t>
  </si>
  <si>
    <t>Population under 5 2015-2024 with growth from migration values</t>
  </si>
  <si>
    <t>T2</t>
  </si>
  <si>
    <t>Population forecast - Stats NZ</t>
  </si>
  <si>
    <t>T3</t>
  </si>
  <si>
    <t>Population forecast for Auckland using Stats NZ forecast as base, and low, medium, and high observed proportion of population to extrapolate Auckland population forecast</t>
  </si>
  <si>
    <t>T5</t>
  </si>
  <si>
    <t>ECE participation rate calculation by age</t>
  </si>
  <si>
    <t>T6</t>
  </si>
  <si>
    <t>Demand forecast - low participation in ECE</t>
  </si>
  <si>
    <t>T7</t>
  </si>
  <si>
    <t>Demand forecast - medium participation in ECE</t>
  </si>
  <si>
    <t>T8</t>
  </si>
  <si>
    <t>Demand forecast - high participation in ECE</t>
  </si>
  <si>
    <t>T15</t>
  </si>
  <si>
    <t>Demand forecast - low as low participation, medium as medium participation, high as high participation</t>
  </si>
  <si>
    <t>T16</t>
  </si>
  <si>
    <t>Ratios - by child age and service type, with multipliers for use in calculating required workforce size</t>
  </si>
  <si>
    <t>T17</t>
  </si>
  <si>
    <t>Participation share and workforce demand for kindergartens and education &amp; care services</t>
  </si>
  <si>
    <t>T18</t>
  </si>
  <si>
    <t>Participation share (as headcount) and workforce demand by service type</t>
  </si>
  <si>
    <t>T19</t>
  </si>
  <si>
    <t>Workforce demand forecasts - results for total and qualified workforce for kindergarten + education &amp; care services</t>
  </si>
  <si>
    <t>T19.1</t>
  </si>
  <si>
    <t>Workforce demand forecasts - results for total and qualified workforce for education &amp; care services</t>
  </si>
  <si>
    <t>T20</t>
  </si>
  <si>
    <t>Licensed places 2015-2024 with growth values</t>
  </si>
  <si>
    <t>T21</t>
  </si>
  <si>
    <t>Licensed places in 2025 by service type</t>
  </si>
  <si>
    <t>T22</t>
  </si>
  <si>
    <t>Workforce demand hindcast - estimated minimum workforce required for 2016-2025 at present ratios</t>
  </si>
  <si>
    <t>T23</t>
  </si>
  <si>
    <t>Workforce demand forecasts - results for total and qualified workforce for all enrollable service types</t>
  </si>
  <si>
    <t>C1</t>
  </si>
  <si>
    <t>Chart</t>
  </si>
  <si>
    <t>Population forecast - mean migration and min/median/high births</t>
  </si>
  <si>
    <t>C2</t>
  </si>
  <si>
    <t>Population forecast - high migration and min/median/high births</t>
  </si>
  <si>
    <t>C3</t>
  </si>
  <si>
    <t>Demand forecast - using T14 data to show lowest, most central, and highest demand scenarios</t>
  </si>
  <si>
    <t>C4</t>
  </si>
  <si>
    <t>Workforce demand and supply for kindergarten and education &amp; care services using T17 data - against full-range demand, with straight-line supply</t>
  </si>
  <si>
    <t>C4.1</t>
  </si>
  <si>
    <t>Workforce demand and supply for education &amp; care services using T17 data - against full-range demand, with straight-line supply and population line for reference</t>
  </si>
  <si>
    <t>C5</t>
  </si>
  <si>
    <t>Qualified FTE workforce demand and supply for kindergarten and education &amp; care services - against full-range demand, with straight-line supply</t>
  </si>
  <si>
    <t>C6</t>
  </si>
  <si>
    <t>FTE Workforce demand and supply for all enrollable service types - against full range demand, with straight-line supply</t>
  </si>
  <si>
    <t>C7</t>
  </si>
  <si>
    <t>Qualified FTE workforce demand and supply for all enrollable service types - against full range demand, with straight-line supply</t>
  </si>
  <si>
    <t>Opportunities</t>
  </si>
  <si>
    <t>List</t>
  </si>
  <si>
    <t>List of opportunities to extend or improve this product.</t>
  </si>
  <si>
    <t>Assumption</t>
  </si>
  <si>
    <t>Assumption details</t>
  </si>
  <si>
    <t>Migration</t>
  </si>
  <si>
    <t>Our migration calculations assume that border controls like those seen in 2021 and 2022 will not occur again in the forecast period.</t>
  </si>
  <si>
    <t>Market share</t>
  </si>
  <si>
    <t>Teacher demand projections assume that each service type will hold the mean market share that it has held between 2021-2025. This may result in an overestimation of the number of qualified teachers needed, because kindergarten market share has significantly reduced over that period while education &amp; care market share has significantly increased.</t>
  </si>
  <si>
    <t>Regulatory settings - ratios</t>
  </si>
  <si>
    <t>We assume that regulatory requirements for adult-to-child ratios will remain the same.</t>
  </si>
  <si>
    <t>FTE</t>
  </si>
  <si>
    <t>We assume that 
- the average weekly work hours for ECE workers reported in the census are a suitable approximation of hours actually worked
- that prior to 2018, average weekly hours worked were the same as they were at the time of the 2018 census
- that work demands will continue to change at the same rate that they did between 2018 and 2023</t>
  </si>
  <si>
    <t>Workforce demand</t>
  </si>
  <si>
    <t>We assume that workforce demand is influenced by regulated ratios, that the demand for qualified teachers within the overall workforce is influenced by funding levels, and that ratios are relevant to the number of children actually in attendance at any given time.</t>
  </si>
  <si>
    <t>All services are all-day</t>
  </si>
  <si>
    <t>To simplify estimations, our model applies all-day ratios for all services and participants. See the Limitations table for information about how this impacts the accuracy of our estimates.</t>
  </si>
  <si>
    <t>Service types</t>
  </si>
  <si>
    <t>For the purposes of forecasting in the scenario of all licensed places being used, we assume that Puna Reo, Reo Rua Education and Care, Leo o Fanau Moana Bilingual, and Leo o Fanau Moana Immersion services have previously fallen under the Education and Care service type.</t>
  </si>
  <si>
    <t>Licensed places</t>
  </si>
  <si>
    <t>The proportion of places licensed for under-2s will follow historic trends, regardless of low rates of participation  by under-2s.</t>
  </si>
  <si>
    <t>Attendance</t>
  </si>
  <si>
    <t>We assume that attendance will continue at the same rate it was measured in 2024 for service types covered in the ECE census hours of participation data, and that attendance at other service types will average 24 hours per week.</t>
  </si>
  <si>
    <t>For the purpose of forecasting market share for services that require enrolment, we assume that attendance at Casual Education and Care + Hospital-based services is not relevant.</t>
  </si>
  <si>
    <t>Max occupancy</t>
  </si>
  <si>
    <t>The max occupancy scenario assumes that licensed places will continue to grow at the mean rate observed from 2015-2024, and that all licensed places will be in use all of the time. It does not account for the relationship between licensed places and service numbers or population.</t>
  </si>
  <si>
    <t>Proportion of population</t>
  </si>
  <si>
    <t>To predict population, we assume that the growth or decline of regional populations will follow similar patterns to those observed in the prior XX years.</t>
  </si>
  <si>
    <t>Proportion of population by age</t>
  </si>
  <si>
    <t>To calculate under 5 population for Auckland, we assume that the proportion of the population at each age will be the same in Auckland as it is nationally.</t>
  </si>
  <si>
    <t>Ratios</t>
  </si>
  <si>
    <t>We assume that staffing ratios for services in the Auckland region are generally the same as they are in the rest of the country.</t>
  </si>
  <si>
    <t>Limitation</t>
  </si>
  <si>
    <t>Sessional services are not accounted for</t>
  </si>
  <si>
    <t>We do not have data about how many services are all-day and how many are sessional. To simplify estimations, our model applies all-day ratios for all services and participants. In reality, many services are sessional. Ratios for sessional services are different to all-day centre-based services. This means that our model will overestimate the number of full-time equivalent staff needed to meet market demand.</t>
  </si>
  <si>
    <t>New service types' old categorisations are unknown</t>
  </si>
  <si>
    <t>Four new service types have been introduced in 2025. We do not know which categories the services were in before the new types were introduced, so our forecast has placed all of them into the prior-existing service type that required the lowest concentration of qualified staff.</t>
  </si>
  <si>
    <t>New categories are not accounted for</t>
  </si>
  <si>
    <t>We do not have historic data about services in the new service types, so we have not distinguished them in our forecasting model.</t>
  </si>
  <si>
    <t>5-year-olds are not accounted for</t>
  </si>
  <si>
    <t>Our model does not account for 5-year-olds attending ECE services.</t>
  </si>
  <si>
    <t>No staffing information for Kōhanga Reo</t>
  </si>
  <si>
    <t>The Ministry of Education does not publish statistical or demographic data about teachers in Kōhanga Reo services. As such, we cannot build Kōhanga Reo into our model in the same way that other centre-based, teacher-led services can be built in.</t>
  </si>
  <si>
    <t>Licensed places forecasting</t>
  </si>
  <si>
    <t>Forecasting of licensed places considers only historic patterns in licensed places. It does not consider the relationship between the number of enrolled children or the number of active services with the number of licensed places.</t>
  </si>
  <si>
    <t>Market breakdown by age</t>
  </si>
  <si>
    <t>The total numbers returned by the Education Counts participation pivot table for age x service type are significantly higher than the total numbers returned in single-dimension tables from the ECE census. To mitigate this limitation, the proportions for each age are calculated using the pivot table, then applied over the total numbers from the participation by service type file.</t>
  </si>
  <si>
    <t>Accuracy differs between levels of detail</t>
  </si>
  <si>
    <t>This model has tested well when used as a high-level overview tool, but results are less accurate when looking at detailed parts. Model results for specific service types are likely to be further from reality due to our model's use of mean averages to predict potential future demand. For example, results for the number of children expected to attend home-based services will likely be well above actual attendance, and results for the number of children expected to attend education and care services will likely be below actual numbers. Both of these service types have strong and enduring trends that are not reflected when we use observed means to predict demand.</t>
  </si>
  <si>
    <t>Term</t>
  </si>
  <si>
    <t>Low participation</t>
  </si>
  <si>
    <t>The lowest observed rate of participation in ECE for the period 2015-2024. Calculated using age-specific participation numbers.</t>
  </si>
  <si>
    <t>Medium participation</t>
  </si>
  <si>
    <t>The mean observed rate of participation in ECE for the period 2015-2024. Calculated using age-specific participation numbers.</t>
  </si>
  <si>
    <t>High participation</t>
  </si>
  <si>
    <t>The maximum observed rate of participation in ECE for the period 2015-2024. Calculated using age-specific participation numbers.</t>
  </si>
  <si>
    <t>Population</t>
  </si>
  <si>
    <t>The number of people of each age for each year. Source data was Aotearoa Data Explorer National Population Projection by year and age values.</t>
  </si>
  <si>
    <t>Full-time (40 hours) equivalents. 'FTE' describes the number of people needed to do the work if each person worked 40 hours. In practice, FTE can be shared across multiple staff members, so headcounts are usually much higher than FTE.</t>
  </si>
  <si>
    <t>Low workforce demand</t>
  </si>
  <si>
    <t>Minimum required staffing assuming that the lowest-demand scenario occurs.</t>
  </si>
  <si>
    <t>Medium workforce demand</t>
  </si>
  <si>
    <t>Minimum required staffing assuming that the medium-demand scenario occurs.</t>
  </si>
  <si>
    <t>High workforce demand</t>
  </si>
  <si>
    <t>Minimum required staffing assuming that the high-demand scenario occurs.</t>
  </si>
  <si>
    <t>Realised demand</t>
  </si>
  <si>
    <t>The number of FTE that the model expects would have been needed to achieve minimum regulated ratios.</t>
  </si>
  <si>
    <t>The percentage of participants in a specific service type. Calculated as (number of participants in service type)/(total number of participants)</t>
  </si>
  <si>
    <t>Low qualified workforce demand</t>
  </si>
  <si>
    <t>Minimum required staffing assuming that the lowest demand scenario occurs and providers choose to hire the minimum regulated or targeted amount of qualified teachers for their service type.</t>
  </si>
  <si>
    <t>Medium qualified workforce demand</t>
  </si>
  <si>
    <t>Minimum required qualified workforce assuming that the medium demand scenario occurs and providers choose to hire the same proportion of qualified teachers that has been observed in service types who report qualification status to Ministry of Education over the 2016-2024 - 70%.</t>
  </si>
  <si>
    <t>High qualified workforce demand</t>
  </si>
  <si>
    <t>Minimum required qualified FTE workforce assuming that the highest demand scenario occurs and providers choose to hire or train all of their staff to be qualified teachers.</t>
  </si>
  <si>
    <t>METHODOLOGY</t>
  </si>
  <si>
    <t>Overview - flow chart</t>
  </si>
  <si>
    <t>Demand for ECE places</t>
  </si>
  <si>
    <t>Approach</t>
  </si>
  <si>
    <t>Stats NZ population estimates are used as the starting value. 
To estimate demand for ECE places for each age group (Under-2, 2, and 3+), observed rates of participation in ECE are applied to per-age population predictions.
To estimate demand for places in each service type, the estimated demand is modified by the observed share of participation for each service type. Mean share of participation is used for this step, as mean shares sum to 1.
To estimate the number of adult staff needed in the ECE industry, the estimated demand for service type is multiplied by the proportionalised adult-to-child ratio.
To estimate the number of qualified teachers needed in the ECE industry, the estimated number of adult staff needed is multiplied by the service type's targeted (Kindergarten) or regulated (other service types) percentage of  qualified teachers. 50% (or targeted (Kindergarten) or regulated (Home-based) minimum), 80%, and 100% scenarios are calculated to produce Low, Medium, and High demand scenarios. These percentages are based on the thresholds for funding bands.
A fourth scenario, in which all service types operate at 100% occupancy, is also allowed for. This scenario is labelled 'Maximum occupancy'. The maximum occupancy scenario assumes that all licensed places in all services will be in use all of the time. It uses observed mean rates of change in the number of licensed places for each service type, and applies minimum ratios to predict the size of the workforce necessary to support the industry if every licensed place was occupied in every hour it was available.
All numbers are rounded to the nearest multiple of 5, unless this would result in a zero. Where results would be zero, they are rounded to the nearest whole number.</t>
  </si>
  <si>
    <t>Starting variables</t>
  </si>
  <si>
    <t>Symbol</t>
  </si>
  <si>
    <t>Equation</t>
  </si>
  <si>
    <r>
      <t>a</t>
    </r>
    <r>
      <rPr>
        <i/>
        <vertAlign val="superscript"/>
        <sz val="11"/>
        <color theme="1"/>
        <rFont val="Aptos Narrow"/>
        <family val="2"/>
        <scheme val="minor"/>
      </rPr>
      <t>1</t>
    </r>
  </si>
  <si>
    <t>Stats NZ actual population estimate by age for years 2015-2024</t>
  </si>
  <si>
    <r>
      <t>a</t>
    </r>
    <r>
      <rPr>
        <i/>
        <vertAlign val="superscript"/>
        <sz val="11"/>
        <color theme="1"/>
        <rFont val="Aptos Narrow"/>
        <family val="2"/>
        <scheme val="minor"/>
      </rPr>
      <t>2</t>
    </r>
  </si>
  <si>
    <t>Stats NZ population estimate by age for years 2025-2035</t>
  </si>
  <si>
    <t>d</t>
  </si>
  <si>
    <t>Observed ECE participation rate for age (0-4)</t>
  </si>
  <si>
    <r>
      <t xml:space="preserve">number of people participating in ECE </t>
    </r>
    <r>
      <rPr>
        <sz val="11"/>
        <color theme="1"/>
        <rFont val="Aptos Narrow"/>
        <family val="2"/>
      </rPr>
      <t>÷ number of people in population of interest</t>
    </r>
  </si>
  <si>
    <t>e</t>
  </si>
  <si>
    <t>Market share for service type</t>
  </si>
  <si>
    <t>number of people participating in service type ÷ number of people participating in ECE</t>
  </si>
  <si>
    <t>f</t>
  </si>
  <si>
    <t>Total staff ratio multiplier</t>
  </si>
  <si>
    <t>stated number of adults ÷ stated number of children</t>
  </si>
  <si>
    <t>g</t>
  </si>
  <si>
    <t>Qualified staff percentage</t>
  </si>
  <si>
    <t>h</t>
  </si>
  <si>
    <t>Number of licensed places</t>
  </si>
  <si>
    <t>prior year's # licensed places * (1 + applicable change multiplier)</t>
  </si>
  <si>
    <t>i</t>
  </si>
  <si>
    <t>Average hours worked as reported in census for ANZSIC (either average or derived from average using straight-line method)</t>
  </si>
  <si>
    <t>FOR EACH age in {0, 1, 2, 3, 4}</t>
  </si>
  <si>
    <t>j</t>
  </si>
  <si>
    <t xml:space="preserve">Expected population = </t>
  </si>
  <si>
    <r>
      <rPr>
        <i/>
        <sz val="11"/>
        <color theme="1"/>
        <rFont val="Aptos Narrow"/>
        <family val="2"/>
        <scheme val="minor"/>
      </rPr>
      <t>a</t>
    </r>
    <r>
      <rPr>
        <i/>
        <vertAlign val="superscript"/>
        <sz val="11"/>
        <color theme="1"/>
        <rFont val="Aptos Narrow"/>
        <family val="2"/>
        <scheme val="minor"/>
      </rPr>
      <t>1</t>
    </r>
    <r>
      <rPr>
        <sz val="11"/>
        <color theme="1"/>
        <rFont val="Aptos Narrow"/>
        <family val="2"/>
        <scheme val="minor"/>
      </rPr>
      <t xml:space="preserve"> for  cohorts born prior to 2025 or</t>
    </r>
    <r>
      <rPr>
        <i/>
        <sz val="11"/>
        <color theme="1"/>
        <rFont val="Aptos Narrow"/>
        <family val="2"/>
        <scheme val="minor"/>
      </rPr>
      <t xml:space="preserve"> a</t>
    </r>
    <r>
      <rPr>
        <i/>
        <vertAlign val="superscript"/>
        <sz val="11"/>
        <color theme="1"/>
        <rFont val="Aptos Narrow"/>
        <family val="2"/>
        <scheme val="minor"/>
      </rPr>
      <t>2</t>
    </r>
    <r>
      <rPr>
        <i/>
        <sz val="11"/>
        <color theme="1"/>
        <rFont val="Aptos Narrow"/>
        <family val="2"/>
        <scheme val="minor"/>
      </rPr>
      <t xml:space="preserve"> </t>
    </r>
    <r>
      <rPr>
        <sz val="11"/>
        <color theme="1"/>
        <rFont val="Aptos Narrow"/>
        <family val="2"/>
        <scheme val="minor"/>
      </rPr>
      <t>for future cohorts</t>
    </r>
  </si>
  <si>
    <t>k</t>
  </si>
  <si>
    <t>Expected total demand for ECE places =</t>
  </si>
  <si>
    <r>
      <rPr>
        <i/>
        <sz val="11"/>
        <color theme="1"/>
        <rFont val="Aptos Narrow"/>
        <family val="2"/>
        <scheme val="minor"/>
      </rPr>
      <t>j</t>
    </r>
    <r>
      <rPr>
        <sz val="11"/>
        <color theme="1"/>
        <rFont val="Aptos Narrow"/>
        <family val="2"/>
        <scheme val="minor"/>
      </rPr>
      <t xml:space="preserve"> * </t>
    </r>
    <r>
      <rPr>
        <i/>
        <sz val="11"/>
        <color theme="1"/>
        <rFont val="Aptos Narrow"/>
        <family val="2"/>
        <scheme val="minor"/>
      </rPr>
      <t>d</t>
    </r>
  </si>
  <si>
    <t>FOR EACH service type</t>
  </si>
  <si>
    <t>l</t>
  </si>
  <si>
    <t>Expected demand for ECE places =</t>
  </si>
  <si>
    <r>
      <rPr>
        <i/>
        <sz val="11"/>
        <color theme="1"/>
        <rFont val="Aptos Narrow"/>
        <family val="2"/>
        <scheme val="minor"/>
      </rPr>
      <t>( j</t>
    </r>
    <r>
      <rPr>
        <sz val="11"/>
        <color theme="1"/>
        <rFont val="Aptos Narrow"/>
        <family val="2"/>
        <scheme val="minor"/>
      </rPr>
      <t xml:space="preserve"> * </t>
    </r>
    <r>
      <rPr>
        <i/>
        <sz val="11"/>
        <color theme="1"/>
        <rFont val="Aptos Narrow"/>
        <family val="2"/>
        <scheme val="minor"/>
      </rPr>
      <t>d</t>
    </r>
    <r>
      <rPr>
        <sz val="11"/>
        <color theme="1"/>
        <rFont val="Aptos Narrow"/>
        <family val="2"/>
        <scheme val="minor"/>
      </rPr>
      <t xml:space="preserve"> ) * e</t>
    </r>
  </si>
  <si>
    <t>m</t>
  </si>
  <si>
    <t>Expected FTE workforce needed =</t>
  </si>
  <si>
    <r>
      <t>i * (</t>
    </r>
    <r>
      <rPr>
        <sz val="11"/>
        <color theme="1"/>
        <rFont val="Aptos Narrow"/>
        <family val="2"/>
        <scheme val="minor"/>
      </rPr>
      <t xml:space="preserve">sum all </t>
    </r>
    <r>
      <rPr>
        <i/>
        <sz val="11"/>
        <color theme="1"/>
        <rFont val="Aptos Narrow"/>
        <family val="2"/>
        <scheme val="minor"/>
      </rPr>
      <t xml:space="preserve">( l * f ) </t>
    </r>
    <r>
      <rPr>
        <sz val="11"/>
        <color theme="1"/>
        <rFont val="Aptos Narrow"/>
        <family val="2"/>
        <scheme val="minor"/>
      </rPr>
      <t>results)</t>
    </r>
  </si>
  <si>
    <t>n</t>
  </si>
  <si>
    <t>Expected qualified FTE teachers needed =</t>
  </si>
  <si>
    <r>
      <t>i * (</t>
    </r>
    <r>
      <rPr>
        <sz val="11"/>
        <color theme="1"/>
        <rFont val="Aptos Narrow"/>
        <family val="2"/>
        <scheme val="minor"/>
      </rPr>
      <t xml:space="preserve"> sum all </t>
    </r>
    <r>
      <rPr>
        <i/>
        <sz val="11"/>
        <color theme="1"/>
        <rFont val="Aptos Narrow"/>
        <family val="2"/>
        <scheme val="minor"/>
      </rPr>
      <t>( m * g ) results )</t>
    </r>
  </si>
  <si>
    <t>Workforce supply</t>
  </si>
  <si>
    <t>ECE census data indicates steady growth in the workforce from 2016-2024 with all data points fitting well to a straight trend line.
Because of this, our workforce supply estimates take a simple straight-line approach.
Improving supply modelling is an opportunity identified in the Opportunities page.</t>
  </si>
  <si>
    <t>Starting population</t>
  </si>
  <si>
    <t>year-on-year % change in cohort size</t>
  </si>
  <si>
    <t>Year</t>
  </si>
  <si>
    <t>0 Years</t>
  </si>
  <si>
    <t>1 Years</t>
  </si>
  <si>
    <t>2 Years</t>
  </si>
  <si>
    <t>3 Years</t>
  </si>
  <si>
    <t>4 Years</t>
  </si>
  <si>
    <t>5 Years</t>
  </si>
  <si>
    <t>Total</t>
  </si>
  <si>
    <t>Net migration increase</t>
  </si>
  <si>
    <t>Estimated total increase in under-6 population arising from migration</t>
  </si>
  <si>
    <t>Net % increase from migration</t>
  </si>
  <si>
    <t>Min</t>
  </si>
  <si>
    <t>Mean</t>
  </si>
  <si>
    <t>Median</t>
  </si>
  <si>
    <t>Max</t>
  </si>
  <si>
    <t>POPULATION FORECAST: STATS NZ GRANULAR POPULATION FORECASTS</t>
  </si>
  <si>
    <t>Applied rate of increase</t>
  </si>
  <si>
    <t>0 years*</t>
  </si>
  <si>
    <t>1 years</t>
  </si>
  <si>
    <t>2 years</t>
  </si>
  <si>
    <t>3 years</t>
  </si>
  <si>
    <t>4 years</t>
  </si>
  <si>
    <t>Total under 2s</t>
  </si>
  <si>
    <t>Total 2+s</t>
  </si>
  <si>
    <t>Low</t>
  </si>
  <si>
    <t>High</t>
  </si>
  <si>
    <t>Actual</t>
  </si>
  <si>
    <t>Medium</t>
  </si>
  <si>
    <t>Values are from Stats NZ population projections</t>
  </si>
  <si>
    <t>Population aged 4 and under</t>
  </si>
  <si>
    <t>Estimated resident population of Auckland age 0-4 as at June</t>
  </si>
  <si>
    <t xml:space="preserve"> </t>
  </si>
  <si>
    <t>0</t>
  </si>
  <si>
    <t>1</t>
  </si>
  <si>
    <t>2</t>
  </si>
  <si>
    <t>3</t>
  </si>
  <si>
    <t>4</t>
  </si>
  <si>
    <t>Number of children participating in ECE</t>
  </si>
  <si>
    <t>% of demand from age</t>
  </si>
  <si>
    <t>Less than 1 years old</t>
  </si>
  <si>
    <t>1 years old</t>
  </si>
  <si>
    <t>2 years old</t>
  </si>
  <si>
    <t>3 years old</t>
  </si>
  <si>
    <t>4 years old</t>
  </si>
  <si>
    <t>Rate of participation in ECE</t>
  </si>
  <si>
    <t>Overall</t>
  </si>
  <si>
    <t>Range</t>
  </si>
  <si>
    <t>Mean (exc. Covid years)</t>
  </si>
  <si>
    <t>LOW PARTICIPATION IN ECE</t>
  </si>
  <si>
    <t>Applied rate of participation</t>
  </si>
  <si>
    <t>MEDIUM PARTICIPATION IN ECE</t>
  </si>
  <si>
    <t>HIGH PARTICIPATION IN ECE</t>
  </si>
  <si>
    <t>HYBRID: LOW AS LOW/LOW, MEDIUM AS MEDIUM/MEDIUM, HIGH AS HIGH/HIGH</t>
  </si>
  <si>
    <t>Ratio requirements</t>
  </si>
  <si>
    <t>Service Type</t>
  </si>
  <si>
    <t>Age Group</t>
  </si>
  <si>
    <t>Required Adult:Child Ratio</t>
  </si>
  <si>
    <t>min</t>
  </si>
  <si>
    <t>mean</t>
  </si>
  <si>
    <t>% qualified teachers (min)</t>
  </si>
  <si>
    <t>Min. qualified teachers</t>
  </si>
  <si>
    <t>Kindergarten (all day or sessional)</t>
  </si>
  <si>
    <t>Under 2 years</t>
  </si>
  <si>
    <t>1:5</t>
  </si>
  <si>
    <t>Kindergarten (all day)</t>
  </si>
  <si>
    <t>2 years and over</t>
  </si>
  <si>
    <t>1:10</t>
  </si>
  <si>
    <t>Education &amp; Care</t>
  </si>
  <si>
    <t>Home-based Services</t>
  </si>
  <si>
    <t>All ages</t>
  </si>
  <si>
    <t>1:4</t>
  </si>
  <si>
    <t>Hospital-based Services</t>
  </si>
  <si>
    <t>Playcentre</t>
  </si>
  <si>
    <t>Kōhanga Reo</t>
  </si>
  <si>
    <t>1:6</t>
  </si>
  <si>
    <t>Kindergarten (sessional)</t>
  </si>
  <si>
    <t>1:15</t>
  </si>
  <si>
    <t>Participation share and teacher demand for centre-based, teacher-led services</t>
  </si>
  <si>
    <t>Participation share by service type and size</t>
  </si>
  <si>
    <t>Kindergarten</t>
  </si>
  <si>
    <t>Te Kōhanga Reo*</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</si>
  <si>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</si>
  <si>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</si>
  <si>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</si>
  <si>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</si>
  <si>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</si>
  <si>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</si>
  <si>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</si>
  <si>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</si>
  <si>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</si>
  <si>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</si>
  <si>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</si>
  <si>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</si>
  <si>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</si>
  <si>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</si>
  <si>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</si>
  <si>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</si>
  <si>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</si>
  <si>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</si>
  <si>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</si>
  <si>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</si>
  <si>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</si>
  <si>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</si>
  <si>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</si>
  <si>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</si>
  <si>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2024</t>
  </si>
  <si>
    <t>2025*</t>
  </si>
  <si>
    <t>Year-on-year market share change by service type</t>
  </si>
  <si>
    <t>2025</t>
  </si>
  <si>
    <t>Market share forecasting ranges</t>
  </si>
  <si>
    <t>Attendance levels</t>
  </si>
  <si>
    <t>Qualified staff count multipliers</t>
  </si>
  <si>
    <t>Measure</t>
  </si>
  <si>
    <t>Target</t>
  </si>
  <si>
    <t>2000-2025</t>
  </si>
  <si>
    <t>Hours</t>
  </si>
  <si>
    <t>Adult:Child ratio multipliers</t>
  </si>
  <si>
    <t>Group</t>
  </si>
  <si>
    <t>Te Kōhanga Reo</t>
  </si>
  <si>
    <t>Under 2s (regulated)</t>
  </si>
  <si>
    <t>2016-2025</t>
  </si>
  <si>
    <t>2+ (regulated)</t>
  </si>
  <si>
    <t>Under 2s (observed)</t>
  </si>
  <si>
    <t>2 (observed)</t>
  </si>
  <si>
    <t>3+ (observed)</t>
  </si>
  <si>
    <t>Market breakdown multipliers</t>
  </si>
  <si>
    <t>2021-2025</t>
  </si>
  <si>
    <t>Under 2s (4yr mean)</t>
  </si>
  <si>
    <t>2 (4yr mean)</t>
  </si>
  <si>
    <t>3-4 (4yr mean)</t>
  </si>
  <si>
    <t>5+ (4yr mean)</t>
  </si>
  <si>
    <t>Low scenario estimate - headcount enrolments</t>
  </si>
  <si>
    <t>Low scenario estimate - workforce FTE required to maintain observed ratios</t>
  </si>
  <si>
    <t>Low scenario estimate - qualified FTE required to maintain compliance with regulation</t>
  </si>
  <si>
    <t>Low scenario estimate - unqualified FTE required</t>
  </si>
  <si>
    <t>Education &amp; Care (under 2s)</t>
  </si>
  <si>
    <t>Education &amp; Care (2s)</t>
  </si>
  <si>
    <t>Education &amp; Care (3+)</t>
  </si>
  <si>
    <t>Kindergarten (Under 2s)</t>
  </si>
  <si>
    <t>Kindergarten (2s)</t>
  </si>
  <si>
    <t>Kindergarten (3+)</t>
  </si>
  <si>
    <t>Total FTE</t>
  </si>
  <si>
    <t>Medium scenario estimate - headcount enrolments</t>
  </si>
  <si>
    <t>Medium scenario estimate - workforce FTE required to maintain observed ratios</t>
  </si>
  <si>
    <t>Medium scenario estimate - qualified FTE required to maintain observed ratios (where available) or regulated ratios (where there are no observations available)</t>
  </si>
  <si>
    <t>Medium scenario estimate - unqualified FTE required</t>
  </si>
  <si>
    <t>High scenario estimate - headcount enrolments</t>
  </si>
  <si>
    <t>High scenario estimate - workforce FTE required to maintain observed ratios</t>
  </si>
  <si>
    <t>High scenario estimate - qualified FTE required to maintain observed ratios (where available) or regulated ratios (where there are no observations available)</t>
  </si>
  <si>
    <t>High scenario estimate - unqualified FTE required</t>
  </si>
  <si>
    <t>* 2025 participation share is calculated using a snapshot from the ECE services directory, as at June 30 2025. ECE Census results for participation by service type are not yet available. We note the sharp change in Kindergarten and Te Kōhanga Reo participation share with caution, and expect that the reality may be different once ECE Census results are released.</t>
  </si>
  <si>
    <t>Compliance scenario estimate - medium headcount enrolments</t>
  </si>
  <si>
    <t>Compliance scenario estimate - workforce FTE required to maintain minimum regulated ratios</t>
  </si>
  <si>
    <t>Home-based</t>
  </si>
  <si>
    <t>Other</t>
  </si>
  <si>
    <t>Low scenario estimate - qualified FTE required to maintain observed ratios (where available) or regulated ratios (where there are no observations available)</t>
  </si>
  <si>
    <t>Low scenario estimate - unqualified FTE required to maintain observed ratios (where available) or regulated ratios (where there are no observations available)</t>
  </si>
  <si>
    <t>Kōhanga Reo (Under 2s)</t>
  </si>
  <si>
    <t>Kōhanga Reo (2+)</t>
  </si>
  <si>
    <t>Medium scenario estimate - unqualified FTE required to maintain observed ratios (where available) or regulated ratios (where there are no observations available)</t>
  </si>
  <si>
    <t>High scenario estimate - unqualified FTE required to maintain observed ratios (where available) or regulated ratios (where there are no observations available)</t>
  </si>
  <si>
    <t>Compliance scenario estimate (medium  scenario headcount enrolments)</t>
  </si>
  <si>
    <t>Compliance scenario estimate - workforce FTE to maintain regulated ratios</t>
  </si>
  <si>
    <t>KINDERGARTEN/EDUCATION &amp; CARE WORKFORCE DEMAND - FULL-RANGE FORECAST ASSUMING FULL-TIME ATTENDANCE AND CONTINUANCE OF WORK PATTERNS</t>
  </si>
  <si>
    <t>*2015 has been omitted from this dataset due to un-resolvable data quality issues</t>
  </si>
  <si>
    <t>FTE - Total workforce</t>
  </si>
  <si>
    <t>FTE - Qualified teachers</t>
  </si>
  <si>
    <t>Teachers needed  (Low)</t>
  </si>
  <si>
    <t>Teachers needed  (Regulated ratio)</t>
  </si>
  <si>
    <t>Teachers working (Actual)</t>
  </si>
  <si>
    <t>Teachers needed (Medium)</t>
  </si>
  <si>
    <t>Teachers needed (High)</t>
  </si>
  <si>
    <t>Teachers needed (Max Occupancy)</t>
  </si>
  <si>
    <t>Teachers needed (50% qualified)</t>
  </si>
  <si>
    <t>Supply (Actual)</t>
  </si>
  <si>
    <t>Teachers needed (80% qualified)</t>
  </si>
  <si>
    <t>Teachers needed (100% qualified)</t>
  </si>
  <si>
    <t>Teachers needed (Max Occupancy, 100% qualified)</t>
  </si>
  <si>
    <t>Total Demand (Low)</t>
  </si>
  <si>
    <t>Demand (Realised Minimum)</t>
  </si>
  <si>
    <t>Total Demand (Medium)</t>
  </si>
  <si>
    <t>Total Demand (High)</t>
  </si>
  <si>
    <t>Realised Demand</t>
  </si>
  <si>
    <t>Total Demand (Max Occupancy)</t>
  </si>
  <si>
    <t>Demand (Low)</t>
  </si>
  <si>
    <t>Demand (Medium)</t>
  </si>
  <si>
    <t>Demand (High)</t>
  </si>
  <si>
    <t>Demand (Max Occupancy)</t>
  </si>
  <si>
    <t>Licensed ECE places 2015-2024</t>
  </si>
  <si>
    <t>Actual total licensed places</t>
  </si>
  <si>
    <r>
      <t xml:space="preserve">Under 2s 
</t>
    </r>
    <r>
      <rPr>
        <b/>
        <i/>
        <sz val="11"/>
        <color theme="1"/>
        <rFont val="Aptos Narrow"/>
        <family val="2"/>
        <scheme val="minor"/>
      </rPr>
      <t>if licensed numbers are informed by mean market demand</t>
    </r>
  </si>
  <si>
    <r>
      <t xml:space="preserve">2+ 
</t>
    </r>
    <r>
      <rPr>
        <b/>
        <i/>
        <sz val="11"/>
        <color theme="1"/>
        <rFont val="Aptos Narrow"/>
        <family val="2"/>
        <scheme val="minor"/>
      </rPr>
      <t>if licensed numbers are informed by mean market demand</t>
    </r>
  </si>
  <si>
    <r>
      <t xml:space="preserve">Under 2s 
</t>
    </r>
    <r>
      <rPr>
        <b/>
        <i/>
        <sz val="11"/>
        <color theme="1"/>
        <rFont val="Aptos Narrow"/>
        <family val="2"/>
        <scheme val="minor"/>
      </rPr>
      <t>if licensed numbers are assumed to hold same proportions as in 2025</t>
    </r>
  </si>
  <si>
    <r>
      <t xml:space="preserve">2+ 
</t>
    </r>
    <r>
      <rPr>
        <b/>
        <i/>
        <sz val="11"/>
        <color theme="1"/>
        <rFont val="Aptos Narrow"/>
        <family val="2"/>
        <scheme val="minor"/>
      </rPr>
      <t>if licensed numbers are assumed to hold same proportions as in 2025</t>
    </r>
  </si>
  <si>
    <t>Casual Education &amp; Care</t>
  </si>
  <si>
    <t>Hospital-based</t>
  </si>
  <si>
    <t>TOTAL LICENSED PLACES</t>
  </si>
  <si>
    <t>Year-on-year change</t>
  </si>
  <si>
    <t>10-year</t>
  </si>
  <si>
    <t>5-year</t>
  </si>
  <si>
    <t>3-year</t>
  </si>
  <si>
    <t>Projected licensed places - 5-yr minimum scenario repeats</t>
  </si>
  <si>
    <t>Projected licensed places - 10-yr mean scenario repeats</t>
  </si>
  <si>
    <t>Projected licensed places - 10-yr max scenario repeats</t>
  </si>
  <si>
    <t>Teacher demand forecasting</t>
  </si>
  <si>
    <t>Minimum teachers needed - total workforce - LOW licensed places scenario informed by 10-yr mean market demand</t>
  </si>
  <si>
    <t>TOTAL TEACHERS NEEDED</t>
  </si>
  <si>
    <t>Minimum teachers needed - total workforce - low licensed places scenario informed by 2025 licensed places proportions</t>
  </si>
  <si>
    <t>Minimum teachers needed - total workforce - MEDIUM licensed places scenario informed by 10-yr mean market demand</t>
  </si>
  <si>
    <t>Minimum teachers needed - total workforce - medium licensed places scenario informed by 2025 licensed places proportions</t>
  </si>
  <si>
    <t>Minimum teachers needed - total workforce - HIGH licensed places scenario informed by 10-yr mean market demand</t>
  </si>
  <si>
    <t>Required workforce if all places had been used in prior years</t>
  </si>
  <si>
    <t>Minimum teachers needed - total workforce - prior licensed places scenario informed by 10-yr mean market demand</t>
  </si>
  <si>
    <t>licensed places IN 2025</t>
  </si>
  <si>
    <t>Max. Under 2's</t>
  </si>
  <si>
    <t>Other licensed places</t>
  </si>
  <si>
    <t>Max licensed places</t>
  </si>
  <si>
    <t>% under 2s</t>
  </si>
  <si>
    <t>% other licensed places</t>
  </si>
  <si>
    <t>Casual-Education and Care</t>
  </si>
  <si>
    <t>Education &amp; Care Service</t>
  </si>
  <si>
    <t>Homebased Network</t>
  </si>
  <si>
    <t>Hospital Based</t>
  </si>
  <si>
    <t>Free Kindergarten</t>
  </si>
  <si>
    <t>Excerpt from ECE services directory, filtered for services in the Auckland Regional Council area</t>
  </si>
  <si>
    <t>Regional Council</t>
  </si>
  <si>
    <t>Max. Licenced Positions</t>
  </si>
  <si>
    <t>Max. Under 2’s</t>
  </si>
  <si>
    <t>Age 0</t>
  </si>
  <si>
    <t>Age 1</t>
  </si>
  <si>
    <t>Age 2</t>
  </si>
  <si>
    <t>Age 3</t>
  </si>
  <si>
    <t>Age 4</t>
  </si>
  <si>
    <t>Age 5</t>
  </si>
  <si>
    <t>European / Pākehā</t>
  </si>
  <si>
    <t>Māori</t>
  </si>
  <si>
    <t>Pacific</t>
  </si>
  <si>
    <t>Asian</t>
  </si>
  <si>
    <t>Auckland Region</t>
  </si>
  <si>
    <t>Leo o Fanau Moana Immersion</t>
  </si>
  <si>
    <t>Leo o Fanau Moana Bilingual</t>
  </si>
  <si>
    <t>Puna Reo</t>
  </si>
  <si>
    <t>Reo Rua Education and Care</t>
  </si>
  <si>
    <t>This is a filtered excerpt from the ECE services directory published on Education Counts. The source directory file was extracted on 22 November 2025 and is a snapshot as at 1 June 2025.</t>
  </si>
  <si>
    <t>Columns that were not necessary for our model were removed to simplify the experience of using this file, but you can download the full file using the link in the Sources and Contents page of this file.</t>
  </si>
  <si>
    <t>WORKFORCE HINDCASTS FOR ALL SERVICE TYPES WITH ENROLMENTS</t>
  </si>
  <si>
    <t>Children participating</t>
  </si>
  <si>
    <t>Actual data</t>
  </si>
  <si>
    <t>Imputed data</t>
  </si>
  <si>
    <t>Kindergarten (under 2s)</t>
  </si>
  <si>
    <t>Te Kōhanga Reo (under 2s)</t>
  </si>
  <si>
    <t>Te Kōhanga Reo (2+)</t>
  </si>
  <si>
    <t>Imputation ranges</t>
  </si>
  <si>
    <t>Calculated based on participation 2021-2024 pivot table. Major discrepancies were observed between the nominal outputs of the pivot table and the numbers in the Participation in ECE 2000-2024 file. As such, proportions from the pivot table are applied over nominal participation values by service type to impute the age breakdown of participants in each service type.</t>
  </si>
  <si>
    <t>Ratio multipliers</t>
  </si>
  <si>
    <t>Multiplier</t>
  </si>
  <si>
    <t>Regulated</t>
  </si>
  <si>
    <t>Mean (observed)</t>
  </si>
  <si>
    <t>Total workforce required - min regulated levels</t>
  </si>
  <si>
    <t>ENROLMENT SERVICES WORKFORCE DEMAND - FULL-RANGE FORECAST ASSUMING  CONTINUANCE OF WORK PATTERNS</t>
  </si>
  <si>
    <t>** Assumes that Kōhanga Reo and Playcentres were staffed/supervised at minimum regulated ratios</t>
  </si>
  <si>
    <t>Supply</t>
  </si>
  <si>
    <t>OPPORTUNITIES FOR FURTHER ANALYSIS</t>
  </si>
  <si>
    <t>Forecasting for individual service types on the basis of market patterns at the service type level could enable analysis of potential future market share and improve accuracy of results for specific service types and therefore, for workforce projections.</t>
  </si>
  <si>
    <t>Exploration of the relationship between licensed places, population, demand, supply, and service numbers could inform improved forecasting of licensed places.</t>
  </si>
  <si>
    <t>Re-running the analysis with regional under-5 population and predicted birth numbers could inform the sector's strategic decisions.</t>
  </si>
  <si>
    <t>Relating these data to other data about the ethnic and cultural makeup of the population could help to identify specific skills that may provide an advantage to suppliers and job candidates.</t>
  </si>
  <si>
    <t>Extending teacher supply forecasting using a similar methodology to the demand modelling could improve the value of this model in workforce planning.</t>
  </si>
  <si>
    <t>Extending the modelled demand scenarios to account for changes in parental employment may improve the accuracy of demand forecasting.</t>
  </si>
  <si>
    <t>Allowing for different work pattern scenarios may increase accuracy of workforce need projections.</t>
  </si>
  <si>
    <t>Sourcing better information about teachers in Kōhanga Reo may increase accuracy of workforce need projections.</t>
  </si>
  <si>
    <t>Region</t>
  </si>
  <si>
    <t>Estimated Population</t>
  </si>
  <si>
    <t>New Zealand Estimated Population</t>
  </si>
  <si>
    <t>% of national population</t>
  </si>
  <si>
    <t>Movement year on year</t>
  </si>
  <si>
    <t>Movement Periodic</t>
  </si>
  <si>
    <t>Growth YOY</t>
  </si>
  <si>
    <t>Growth Periodic</t>
  </si>
  <si>
    <t>Observed values</t>
  </si>
  <si>
    <t>Northland Region</t>
  </si>
  <si>
    <t>Waikato Region</t>
  </si>
  <si>
    <t>Bay of Plenty Region</t>
  </si>
  <si>
    <t>Gisborne Region</t>
  </si>
  <si>
    <t>Hawke's Bay Region</t>
  </si>
  <si>
    <t>Taranaki Region</t>
  </si>
  <si>
    <t>Manawatu-Wanganui Region</t>
  </si>
  <si>
    <t>Wellington Region</t>
  </si>
  <si>
    <t>Tasman Region</t>
  </si>
  <si>
    <t>Nelson Region</t>
  </si>
  <si>
    <t>Marlborough Region</t>
  </si>
  <si>
    <t>West Coast Region</t>
  </si>
  <si>
    <t>Canterbury Region</t>
  </si>
  <si>
    <t>Otago Region</t>
  </si>
  <si>
    <t>Southland Region</t>
  </si>
  <si>
    <t>North Island</t>
  </si>
  <si>
    <t>South Island</t>
  </si>
  <si>
    <t>Estimated Resident Population for Regional Council Areas, at 30 June (1996+) (Annual-Jun)</t>
  </si>
  <si>
    <t>New Zealand</t>
  </si>
  <si>
    <t>Table information:</t>
  </si>
  <si>
    <t>Units:</t>
  </si>
  <si>
    <t>Number, Magnitude = Units</t>
  </si>
  <si>
    <t>Footnotes:</t>
  </si>
  <si>
    <t>New Zealand comprises the North Island and South Island regions plus areas not included in a region (eg Chatham Islands Territory).</t>
  </si>
  <si>
    <t>Due to rounding, individual figures may not sum to stated totals.</t>
  </si>
  <si>
    <t>All population estimates at 30 June 2023 and beyond are based on the 2023 Estimated Resident Population (ERP).</t>
  </si>
  <si>
    <t>Estimates flagged as provisional are subject to revision, mainly to incorporate revisions to external (international) migration and birth estimates.</t>
  </si>
  <si>
    <t>Boundaries at 1 January 2025.</t>
  </si>
  <si>
    <t>Symbols:</t>
  </si>
  <si>
    <t>.. figure not available</t>
  </si>
  <si>
    <t>C: Confidential</t>
  </si>
  <si>
    <t>E: Early Estimate</t>
  </si>
  <si>
    <t>P: Provisional</t>
  </si>
  <si>
    <t>R: Revised</t>
  </si>
  <si>
    <t>S: Suppressed</t>
  </si>
  <si>
    <t>Status flags are not displayed</t>
  </si>
  <si>
    <t xml:space="preserve">Table reference: </t>
  </si>
  <si>
    <t>DPE051AA</t>
  </si>
  <si>
    <t>Last updated:</t>
  </si>
  <si>
    <t>29 October 2025 10:45am</t>
  </si>
  <si>
    <t>Source: Statistics New Zealand</t>
  </si>
  <si>
    <t>Contact: Information Centre</t>
  </si>
  <si>
    <t>Telephone: 0508 525 525</t>
  </si>
  <si>
    <t>Email:info@stats.govt.nz</t>
  </si>
  <si>
    <t>Manawatū-Whanganui Region</t>
  </si>
  <si>
    <t>Not applicable / Unknown</t>
  </si>
  <si>
    <t>Auckland % of total</t>
  </si>
  <si>
    <t>Participation in licensed ECE services by Regional Council, 2003-2024</t>
  </si>
  <si>
    <t>Column1</t>
  </si>
  <si>
    <t>1) In 2014, there was a change in collection method. See technical notes for more information on this.</t>
  </si>
  <si>
    <t>Early Childhood Services Directory</t>
  </si>
  <si>
    <t>A list of Early Childhood Services including contact details, institution information, regional information and decile information</t>
  </si>
  <si>
    <t>^Email addresses are only listed for Early Childhood Services that agreed to have their email publicly released. Persons or organisations wishing to send email material to individuals or organisations whose email addresses appear in this directory must comply with the requirements of the Unsolicited Electronic Messages Act 2007.</t>
  </si>
  <si>
    <t>The most up to date information that we have available has been provided.  Recent changes may not be reflected.</t>
  </si>
  <si>
    <t>Roll data as at 1 July 2024</t>
  </si>
  <si>
    <t>Regional Council: ---</t>
  </si>
  <si>
    <t>Territorial Authority: ---</t>
  </si>
  <si>
    <t>Neighbourhood (SA2): ---</t>
  </si>
  <si>
    <t>ECE Type: ---</t>
  </si>
  <si>
    <t>20 Hours ECE: ---</t>
  </si>
  <si>
    <t>Service: ---</t>
  </si>
  <si>
    <t>Service Number</t>
  </si>
  <si>
    <t>Service Name</t>
  </si>
  <si>
    <t>Telephone</t>
  </si>
  <si>
    <t>Email^</t>
  </si>
  <si>
    <t>Street</t>
  </si>
  <si>
    <t>Suburb</t>
  </si>
  <si>
    <t>Town / City</t>
  </si>
  <si>
    <t>Definition</t>
  </si>
  <si>
    <t>Authority</t>
  </si>
  <si>
    <t>20 Hours ECE</t>
  </si>
  <si>
    <t>KME Peak Body</t>
  </si>
  <si>
    <t>Takiwā</t>
  </si>
  <si>
    <t>Equity Index (EQI)</t>
  </si>
  <si>
    <t>Territorial Authority</t>
  </si>
  <si>
    <t>Urban/Rural</t>
  </si>
  <si>
    <t>Education Region</t>
  </si>
  <si>
    <t>General Electorate</t>
  </si>
  <si>
    <t>Māori Electorate</t>
  </si>
  <si>
    <t>Neighbourhood (SA2 code)</t>
  </si>
  <si>
    <t>Neighbourhood (SA2)</t>
  </si>
  <si>
    <t>Ward</t>
  </si>
  <si>
    <t>Management Contact Name</t>
  </si>
  <si>
    <t>Management Postal Address</t>
  </si>
  <si>
    <t>Management Postal Suburb</t>
  </si>
  <si>
    <t>Management Postal City</t>
  </si>
  <si>
    <t>Management Contact Phone</t>
  </si>
  <si>
    <t>Community of Learning ID</t>
  </si>
  <si>
    <t>Community of Learning Name</t>
  </si>
  <si>
    <t>Latitude</t>
  </si>
  <si>
    <t>Longitude</t>
  </si>
  <si>
    <t>Anne West Kindergarten</t>
  </si>
  <si>
    <t>09-408 1110</t>
  </si>
  <si>
    <t>richard@nka.org.nz</t>
  </si>
  <si>
    <t>92 Pukepoto Road</t>
  </si>
  <si>
    <t>Kaitaia</t>
  </si>
  <si>
    <t>Community based</t>
  </si>
  <si>
    <t>Yes</t>
  </si>
  <si>
    <t>Te Tai Raro</t>
  </si>
  <si>
    <t>EQI 2</t>
  </si>
  <si>
    <t>Far North District</t>
  </si>
  <si>
    <t>Small urban area</t>
  </si>
  <si>
    <t>Tai Tokerau</t>
  </si>
  <si>
    <t>Northland</t>
  </si>
  <si>
    <t>Te Tai Tokerau</t>
  </si>
  <si>
    <t>Kaitāia West</t>
  </si>
  <si>
    <t>Te Hiku General Ward</t>
  </si>
  <si>
    <t>Richard Storey</t>
  </si>
  <si>
    <t>P O Box 4005</t>
  </si>
  <si>
    <t>Kamo</t>
  </si>
  <si>
    <t>Whangarei 0141</t>
  </si>
  <si>
    <t>09-435 9099</t>
  </si>
  <si>
    <t>Doubtless Bay Kindergarten</t>
  </si>
  <si>
    <t>09-406 0138</t>
  </si>
  <si>
    <t>5 E Mamaru Road</t>
  </si>
  <si>
    <t>Taipa</t>
  </si>
  <si>
    <t>EQI 3</t>
  </si>
  <si>
    <t>Rural settlement</t>
  </si>
  <si>
    <t>Doubtless Bay</t>
  </si>
  <si>
    <t>Te Kāhui Tai Kura o Te Hiku</t>
  </si>
  <si>
    <t>Mission Place Kindergarten</t>
  </si>
  <si>
    <t>09-4082444</t>
  </si>
  <si>
    <t>Mission Place</t>
  </si>
  <si>
    <t>Kaitāia East</t>
  </si>
  <si>
    <t>Hillcrest Kindergarten</t>
  </si>
  <si>
    <t>09-4010548</t>
  </si>
  <si>
    <t>Cnr Park &amp; Hillcrest Roads</t>
  </si>
  <si>
    <t>Kaikohe</t>
  </si>
  <si>
    <t>Kaikohe-Hokianga General Ward</t>
  </si>
  <si>
    <t>Te Arahura Community of Learning</t>
  </si>
  <si>
    <t>Waitangi Kindergarten</t>
  </si>
  <si>
    <t>09-4027365</t>
  </si>
  <si>
    <t>Te Kemara Avenue</t>
  </si>
  <si>
    <t>Paihia</t>
  </si>
  <si>
    <t>EQI 4</t>
  </si>
  <si>
    <t>Bay of Islands-Whangaroa General Ward</t>
  </si>
  <si>
    <t>Peowhairangi Community of Learning</t>
  </si>
  <si>
    <t>Dargaville Free Kindergarten</t>
  </si>
  <si>
    <t>09-4398875</t>
  </si>
  <si>
    <t>Portland Street</t>
  </si>
  <si>
    <t>Dargaville</t>
  </si>
  <si>
    <t>Kaipara District</t>
  </si>
  <si>
    <t>Wairoa General Ward</t>
  </si>
  <si>
    <t>Northern Wairoa Kāhui Ako</t>
  </si>
  <si>
    <t>Ruawai Kindergarten</t>
  </si>
  <si>
    <t>09-4392415</t>
  </si>
  <si>
    <t>4376A State Highway 12</t>
  </si>
  <si>
    <t>Ruawai</t>
  </si>
  <si>
    <t>EQI &gt; 5</t>
  </si>
  <si>
    <t>Rural other</t>
  </si>
  <si>
    <t>Rūāwai-Matakohe</t>
  </si>
  <si>
    <t>Otamatea General Ward</t>
  </si>
  <si>
    <t>Selwyn Park Kindergarten</t>
  </si>
  <si>
    <t>09-4397519</t>
  </si>
  <si>
    <t>31 McKay Cresent</t>
  </si>
  <si>
    <t>Forest View Kindergarten</t>
  </si>
  <si>
    <t>09-4372965</t>
  </si>
  <si>
    <t>215 Kiripaka Road</t>
  </si>
  <si>
    <t>Tikipunga</t>
  </si>
  <si>
    <t>Whangarei</t>
  </si>
  <si>
    <t>Whangarei District</t>
  </si>
  <si>
    <t>Large urban area</t>
  </si>
  <si>
    <t>Whangārei</t>
  </si>
  <si>
    <t>Tikipunga North</t>
  </si>
  <si>
    <t>Whangārei Urban General Ward</t>
  </si>
  <si>
    <t>Te Tai Raki Whangarei Kāhui Ako</t>
  </si>
  <si>
    <t>First Ave Hora Hora Kindergarten</t>
  </si>
  <si>
    <t>09-4387053</t>
  </si>
  <si>
    <t>43 A First Avenue</t>
  </si>
  <si>
    <t>Whangarei CBD</t>
  </si>
  <si>
    <t>Woodhill-Vinetown</t>
  </si>
  <si>
    <t>Ngā Kura mo te ako o Whangarei Kāhui Ako Group 2</t>
  </si>
  <si>
    <t>Te Kamo Kindergarten</t>
  </si>
  <si>
    <t>09-4350378</t>
  </si>
  <si>
    <t>5 Farmer Street</t>
  </si>
  <si>
    <t>Kamo Central</t>
  </si>
  <si>
    <t>Mairtown Free Kindergarten</t>
  </si>
  <si>
    <t>09-4372742</t>
  </si>
  <si>
    <t>21 Princes Street</t>
  </si>
  <si>
    <t>Mairtown</t>
  </si>
  <si>
    <t>Onerahi Free Kindergarten</t>
  </si>
  <si>
    <t>09-4361688</t>
  </si>
  <si>
    <t>6 Bayswater Place</t>
  </si>
  <si>
    <t>Onerahi</t>
  </si>
  <si>
    <t>Onerahi Park</t>
  </si>
  <si>
    <t>Hikurangi Kindergarten</t>
  </si>
  <si>
    <t>09-4338535</t>
  </si>
  <si>
    <t>Park Street</t>
  </si>
  <si>
    <t>Hikurangi</t>
  </si>
  <si>
    <t>Hikurangi-Coastal General Ward</t>
  </si>
  <si>
    <t>Portland Kindergarten</t>
  </si>
  <si>
    <t>09-4322533</t>
  </si>
  <si>
    <t>12 Portland School Road</t>
  </si>
  <si>
    <t>Portland</t>
  </si>
  <si>
    <t>Otaika-Portland</t>
  </si>
  <si>
    <t>Bream Bay General Ward</t>
  </si>
  <si>
    <t>Ngā Kura mo te ako o Whangarei Kāhui Ako Group 4</t>
  </si>
  <si>
    <t>Raumanga Kindergarten</t>
  </si>
  <si>
    <t>09-4381694</t>
  </si>
  <si>
    <t>13 A Murdoch Crescent</t>
  </si>
  <si>
    <t>Raumanga</t>
  </si>
  <si>
    <t>Parihaka Kindergarten</t>
  </si>
  <si>
    <t>09-4389804</t>
  </si>
  <si>
    <t>38 Kohe Street</t>
  </si>
  <si>
    <t>Parahaki</t>
  </si>
  <si>
    <t>Riverside</t>
  </si>
  <si>
    <t>Tikipunga Free Kindergarten</t>
  </si>
  <si>
    <t>09-4370053</t>
  </si>
  <si>
    <t>8 Tania Place</t>
  </si>
  <si>
    <t>Wellsford Kindergarten</t>
  </si>
  <si>
    <t>09-423 8281</t>
  </si>
  <si>
    <t>wellsford@aka.org.nz</t>
  </si>
  <si>
    <t>Hazelmere Street</t>
  </si>
  <si>
    <t>Wellsford</t>
  </si>
  <si>
    <t>Auckland - Rodney</t>
  </si>
  <si>
    <t>Tāmaki Herenga Tāngata</t>
  </si>
  <si>
    <t>Kaipara ki Mahurangi</t>
  </si>
  <si>
    <t>Rodney Ward</t>
  </si>
  <si>
    <t>Pauline Winter</t>
  </si>
  <si>
    <t>P O Box 6933</t>
  </si>
  <si>
    <t>Wellesley Street</t>
  </si>
  <si>
    <t>Auckland 1141</t>
  </si>
  <si>
    <t>09-3735636</t>
  </si>
  <si>
    <t>Glamorgan Kindergarten</t>
  </si>
  <si>
    <t>09-4735099</t>
  </si>
  <si>
    <t>glamorgan@kaitiakikindergartens.org.nz</t>
  </si>
  <si>
    <t>37 Danbury Drive</t>
  </si>
  <si>
    <t>Torbay</t>
  </si>
  <si>
    <t>Auckland</t>
  </si>
  <si>
    <t>Auckland - Hibiscus and Bays</t>
  </si>
  <si>
    <t>Major urban area</t>
  </si>
  <si>
    <t>East Coast Bays</t>
  </si>
  <si>
    <t>Glamorgan</t>
  </si>
  <si>
    <t>Albany Ward</t>
  </si>
  <si>
    <t>Tara Solomon</t>
  </si>
  <si>
    <t>P O Box 35223</t>
  </si>
  <si>
    <t>Browns Bay</t>
  </si>
  <si>
    <t>North Shore City 0753</t>
  </si>
  <si>
    <t>Oneroa Community of Learning</t>
  </si>
  <si>
    <t>Orewa Beach Kindergarten</t>
  </si>
  <si>
    <t>09-4264543</t>
  </si>
  <si>
    <t>orewabeach@kaitiakikindergartens.org.nz</t>
  </si>
  <si>
    <t>Riverside Road</t>
  </si>
  <si>
    <t>Orewa</t>
  </si>
  <si>
    <t>Whangaparāoa</t>
  </si>
  <si>
    <t>Orewa South</t>
  </si>
  <si>
    <t>Orewa Community of Learning</t>
  </si>
  <si>
    <t>Mahurangi Kindergarten</t>
  </si>
  <si>
    <t>09-4257096</t>
  </si>
  <si>
    <t>mahurangi@kaitiakikindergartens.org.nz</t>
  </si>
  <si>
    <t>13 Albert Road</t>
  </si>
  <si>
    <t>Warkworth</t>
  </si>
  <si>
    <t>Warkworth West</t>
  </si>
  <si>
    <t>Rangitoto Kindergarten</t>
  </si>
  <si>
    <t>09-4783355</t>
  </si>
  <si>
    <t>rangitoto@kaitiakikindergartens.org.nz</t>
  </si>
  <si>
    <t>2 A Hythe Terrace</t>
  </si>
  <si>
    <t>Mairangi Bay</t>
  </si>
  <si>
    <t>North Shore</t>
  </si>
  <si>
    <t>Mairangi Bay North</t>
  </si>
  <si>
    <t>Mid Bays Community of Schools</t>
  </si>
  <si>
    <t>Taiaotea Kindergarten</t>
  </si>
  <si>
    <t>09-478 7795</t>
  </si>
  <si>
    <t>brownsbay@kaitiakikindergartens.org.nz</t>
  </si>
  <si>
    <t>4 Woodlands Crescent</t>
  </si>
  <si>
    <t>Browns Bay Central</t>
  </si>
  <si>
    <t>Torbay Kindergarten</t>
  </si>
  <si>
    <t>09-473 9340</t>
  </si>
  <si>
    <t>torbay@kaitiakikindergartens.org.nz</t>
  </si>
  <si>
    <t>141 Deep Creek Road</t>
  </si>
  <si>
    <t>Torbay East</t>
  </si>
  <si>
    <t>Stanmore Bay Kindergarten</t>
  </si>
  <si>
    <t>09-4248847</t>
  </si>
  <si>
    <t>stanmorebay@kaitiakikindergartens.org.nz</t>
  </si>
  <si>
    <t>Waiora Road</t>
  </si>
  <si>
    <t>Stanmore Bay</t>
  </si>
  <si>
    <t>Stanmore Bay West</t>
  </si>
  <si>
    <t>Whangaparaoa Peninsula Kāhui Ako</t>
  </si>
  <si>
    <t>Anchorage Park Kindergarten</t>
  </si>
  <si>
    <t>09-5763138</t>
  </si>
  <si>
    <t>anchoragepark@aka.org.nz</t>
  </si>
  <si>
    <t>9 Tiaka Place</t>
  </si>
  <si>
    <t>Pakuranga</t>
  </si>
  <si>
    <t>Auckland - Howick</t>
  </si>
  <si>
    <t>Tāmaki Herenga Manawa</t>
  </si>
  <si>
    <t>Tāmaki Makaurau</t>
  </si>
  <si>
    <t>Pakuranga West</t>
  </si>
  <si>
    <t>Howick Ward</t>
  </si>
  <si>
    <t>Pakuranga West Kāhui Ako</t>
  </si>
  <si>
    <t>Avondale Kindergarten</t>
  </si>
  <si>
    <t>09-8289532</t>
  </si>
  <si>
    <t>avondale@aka.org.nz</t>
  </si>
  <si>
    <t>195 Rosebank Road</t>
  </si>
  <si>
    <t>Avondale</t>
  </si>
  <si>
    <t>Auckland - Whau</t>
  </si>
  <si>
    <t>Kelston</t>
  </si>
  <si>
    <t>Avondale North West (Auckland)</t>
  </si>
  <si>
    <t>Whau Ward</t>
  </si>
  <si>
    <t>Bairds Kindergarten</t>
  </si>
  <si>
    <t>09-2747111</t>
  </si>
  <si>
    <t>bairds@aka.org.nz</t>
  </si>
  <si>
    <t>4 Edward Avenue</t>
  </si>
  <si>
    <t>Otara</t>
  </si>
  <si>
    <t>EQI 1</t>
  </si>
  <si>
    <t>Auckland - Ōtara-Papatoetoe</t>
  </si>
  <si>
    <t>Tāmaki Herenga Waka</t>
  </si>
  <si>
    <t>Panmure-Ōtāhuhu</t>
  </si>
  <si>
    <t>Ōtara West</t>
  </si>
  <si>
    <t>Manukau Ward</t>
  </si>
  <si>
    <t>Bayview Kindergarten</t>
  </si>
  <si>
    <t>09-444 5540</t>
  </si>
  <si>
    <t>bayview@aka.org.nz</t>
  </si>
  <si>
    <t>70 Bayview Road</t>
  </si>
  <si>
    <t>Glenfield</t>
  </si>
  <si>
    <t>Auckland - Kaipātiki</t>
  </si>
  <si>
    <t>Upper Harbour</t>
  </si>
  <si>
    <t>Bayview West (Auckland)</t>
  </si>
  <si>
    <t>North Shore Ward</t>
  </si>
  <si>
    <t>Kaipātiki Kāhui Ako</t>
  </si>
  <si>
    <t>Belmont Bayswater Kindergarten</t>
  </si>
  <si>
    <t>09-4456744</t>
  </si>
  <si>
    <t>belmontbayswater@aka.org.nz</t>
  </si>
  <si>
    <t>1C Rosyth Avenue</t>
  </si>
  <si>
    <t>Bayswater-Auckland</t>
  </si>
  <si>
    <t>Auckland - Devonport-Takapuna</t>
  </si>
  <si>
    <t>Bayswater</t>
  </si>
  <si>
    <t>Devonport-Takapuna Kāhui Ako</t>
  </si>
  <si>
    <t>Beach Haven Kindergarten</t>
  </si>
  <si>
    <t>09-483 8706</t>
  </si>
  <si>
    <t>beachhaven@aka.org.nz</t>
  </si>
  <si>
    <t>179 Beach Haven Road</t>
  </si>
  <si>
    <t>Beach Haven</t>
  </si>
  <si>
    <t>Northcote</t>
  </si>
  <si>
    <t>Beach Haven East</t>
  </si>
  <si>
    <t>Te Ara Whetū Kāhui Ako</t>
  </si>
  <si>
    <t>Birkenhead Kindergarten</t>
  </si>
  <si>
    <t>09-480 9330</t>
  </si>
  <si>
    <t>birkenhead@aka.org.nz</t>
  </si>
  <si>
    <t>97 A Mokoia Road</t>
  </si>
  <si>
    <t>Birkenhead</t>
  </si>
  <si>
    <t>Birkenhead South</t>
  </si>
  <si>
    <t>Blockhouse Bay Kindergarten</t>
  </si>
  <si>
    <t>09-627 8042</t>
  </si>
  <si>
    <t>blockhousebay@aka.org.nz</t>
  </si>
  <si>
    <t>5 Exminster Street</t>
  </si>
  <si>
    <t>Blockhouse Bay</t>
  </si>
  <si>
    <t>New Lynn</t>
  </si>
  <si>
    <t>Blockhouse Bay Central</t>
  </si>
  <si>
    <t>Lynfield Kāhui Ako</t>
  </si>
  <si>
    <t>Botany Downs Kindergarten</t>
  </si>
  <si>
    <t>09-534 9025</t>
  </si>
  <si>
    <t>botanydowns@aka.org.nz</t>
  </si>
  <si>
    <t>22 Maroubra Place</t>
  </si>
  <si>
    <t>Howick</t>
  </si>
  <si>
    <t>Botany</t>
  </si>
  <si>
    <t>Botany Downs East</t>
  </si>
  <si>
    <t>Howick Coast Kāhui Ako</t>
  </si>
  <si>
    <t>Sunnynook Kindergarten</t>
  </si>
  <si>
    <t>09-410 5210</t>
  </si>
  <si>
    <t>sunnynook@aka.org.nz</t>
  </si>
  <si>
    <t>50 Sunnynook Road</t>
  </si>
  <si>
    <t>Sunnynook North</t>
  </si>
  <si>
    <t>Pupuke (Westlake) Community of Learning</t>
  </si>
  <si>
    <t>Bucklands Beach Kindergarten</t>
  </si>
  <si>
    <t>09-5346212</t>
  </si>
  <si>
    <t>bucklandsbeach@aka.org.nz</t>
  </si>
  <si>
    <t>8 Oliver Road</t>
  </si>
  <si>
    <t>Bucklands Beach</t>
  </si>
  <si>
    <t>Eastern Beach</t>
  </si>
  <si>
    <t>Cascades Kindergarten</t>
  </si>
  <si>
    <t>09-5767466</t>
  </si>
  <si>
    <t>cascades@aka.org.nz</t>
  </si>
  <si>
    <t>Lady Marie Drive</t>
  </si>
  <si>
    <t>Pakuranga Heights East</t>
  </si>
  <si>
    <t xml:space="preserve">Te ara Mana-ā-Kura Kāhui Ako| Farm Cove Community of Learning </t>
  </si>
  <si>
    <t>Ellerslie Kindergarten</t>
  </si>
  <si>
    <t>09-579 0076</t>
  </si>
  <si>
    <t>ellerslie@aka.org.nz</t>
  </si>
  <si>
    <t>122 Celtic Crescent</t>
  </si>
  <si>
    <t>Ellerslie</t>
  </si>
  <si>
    <t>Auckland - Ōrākei</t>
  </si>
  <si>
    <t>Maungakiekie</t>
  </si>
  <si>
    <t>Ellerslie East</t>
  </si>
  <si>
    <t>Maungakiekie-Tāmaki Ward</t>
  </si>
  <si>
    <t>Colwill Kindergarten</t>
  </si>
  <si>
    <t>09-833 9794</t>
  </si>
  <si>
    <t>colwill@aka.org.nz</t>
  </si>
  <si>
    <t>19 Kintara Drive</t>
  </si>
  <si>
    <t>Massey</t>
  </si>
  <si>
    <t>Auckland - Henderson-Massey</t>
  </si>
  <si>
    <t>Royal Heights South</t>
  </si>
  <si>
    <t>Waitākere Ward</t>
  </si>
  <si>
    <t>Te Kāhui Ako o Tiriwā</t>
  </si>
  <si>
    <t>Remuera Kindergarten</t>
  </si>
  <si>
    <t>09-520 1575</t>
  </si>
  <si>
    <t>remuera@aka.org.nz</t>
  </si>
  <si>
    <t>Wairua Road</t>
  </si>
  <si>
    <t>Remuera</t>
  </si>
  <si>
    <t>Epsom</t>
  </si>
  <si>
    <t>Remuera South</t>
  </si>
  <si>
    <t>Ōrākei Ward</t>
  </si>
  <si>
    <t>Onehunga Kindergarten</t>
  </si>
  <si>
    <t>09-636 8057</t>
  </si>
  <si>
    <t>17 A Cameron Street</t>
  </si>
  <si>
    <t>Onehunga</t>
  </si>
  <si>
    <t>Auckland - Maungakiekie-Tāmaki</t>
  </si>
  <si>
    <t>Onehunga Central</t>
  </si>
  <si>
    <t>Te Iti Kahurangi Community of Learning</t>
  </si>
  <si>
    <t>Devonport Kindergarten</t>
  </si>
  <si>
    <t>09-445 3504</t>
  </si>
  <si>
    <t>devonport@aka.org.nz</t>
  </si>
  <si>
    <t>43 Vauxhall Road</t>
  </si>
  <si>
    <t>Devonport</t>
  </si>
  <si>
    <t>Cheltenham</t>
  </si>
  <si>
    <t>Don Buck Kindergarten</t>
  </si>
  <si>
    <t>09-8324899</t>
  </si>
  <si>
    <t>donbuck@aka.org.nz</t>
  </si>
  <si>
    <t>124 A Don Buck Road</t>
  </si>
  <si>
    <t>Massey West</t>
  </si>
  <si>
    <t>Favona Kindergarten</t>
  </si>
  <si>
    <t>09-2758212</t>
  </si>
  <si>
    <t>favona@aka.org.nz</t>
  </si>
  <si>
    <t>Wakefield Road</t>
  </si>
  <si>
    <t>Mangere</t>
  </si>
  <si>
    <t>Auckland - Māngere-Ōtāhuhu</t>
  </si>
  <si>
    <t>Māngere</t>
  </si>
  <si>
    <t>Favona North</t>
  </si>
  <si>
    <t>Ferndale Kindergarten</t>
  </si>
  <si>
    <t>09-846 6909</t>
  </si>
  <si>
    <t>ferndale@aka.org.nz</t>
  </si>
  <si>
    <t>830 New North Road</t>
  </si>
  <si>
    <t>Mount Albert</t>
  </si>
  <si>
    <t>Enviroschools</t>
  </si>
  <si>
    <t>Auckland - Albert-Eden</t>
  </si>
  <si>
    <t>Mt Albert</t>
  </si>
  <si>
    <t>Mount Albert Central</t>
  </si>
  <si>
    <t>Albert-Eden-Puketāpapa Ward</t>
  </si>
  <si>
    <t>Mt Albert Kāhui Ako</t>
  </si>
  <si>
    <t>Flatbush Kindergarten</t>
  </si>
  <si>
    <t>09-2748644</t>
  </si>
  <si>
    <t>flatbush@aka.org.nz</t>
  </si>
  <si>
    <t>329 Bairds Road</t>
  </si>
  <si>
    <t>Ōtara South</t>
  </si>
  <si>
    <t>Te Puke ō Taramainuku Kāhui Ako</t>
  </si>
  <si>
    <t>Glen Eden Kindergarten</t>
  </si>
  <si>
    <t>09-8186389</t>
  </si>
  <si>
    <t>gleneden@aka.org.nz</t>
  </si>
  <si>
    <t>3 Clayburn Road</t>
  </si>
  <si>
    <t>Glen Eden</t>
  </si>
  <si>
    <t>Auckland - Waitākere Ranges</t>
  </si>
  <si>
    <t>Glen Eden North</t>
  </si>
  <si>
    <t>Glen Innes Kindergarten</t>
  </si>
  <si>
    <t>09-5284113</t>
  </si>
  <si>
    <t>gleninnes@aka.org.nz</t>
  </si>
  <si>
    <t>71 Taniwha Street</t>
  </si>
  <si>
    <t>Glen Innes</t>
  </si>
  <si>
    <t>Tāmaki</t>
  </si>
  <si>
    <t>Glen Innes East-Wai O Taiki Bay</t>
  </si>
  <si>
    <t>Glenfield Kindergarten</t>
  </si>
  <si>
    <t>09-4448473</t>
  </si>
  <si>
    <t>glenfield@aka.org.nz</t>
  </si>
  <si>
    <t>Mayfield Road</t>
  </si>
  <si>
    <t>Glenfield West</t>
  </si>
  <si>
    <t>Green Bay Kindergarten</t>
  </si>
  <si>
    <t>09-8274044</t>
  </si>
  <si>
    <t>greenbay@aka.org.nz</t>
  </si>
  <si>
    <t>10 La Rosa Street</t>
  </si>
  <si>
    <t>Green Bay</t>
  </si>
  <si>
    <t>Green Bay North</t>
  </si>
  <si>
    <t>Kōtuitui Community of Learning</t>
  </si>
  <si>
    <t>Henderson Kindergarten</t>
  </si>
  <si>
    <t>09-8388710</t>
  </si>
  <si>
    <t>henderson@aka.org.nz</t>
  </si>
  <si>
    <t>1 A Henderson Valley Road</t>
  </si>
  <si>
    <t>Henderson</t>
  </si>
  <si>
    <t>Te Atatū</t>
  </si>
  <si>
    <t>Henderson West</t>
  </si>
  <si>
    <t>Henderson Community of Learning</t>
  </si>
  <si>
    <t>Highland Park Kindergarten</t>
  </si>
  <si>
    <t>09-5347074</t>
  </si>
  <si>
    <t>highlandpark@aka.org.nz</t>
  </si>
  <si>
    <t>563 Pakuranga Road</t>
  </si>
  <si>
    <t>Botany Downs West</t>
  </si>
  <si>
    <t>Hillsborough Kindergarten</t>
  </si>
  <si>
    <t>09-620 5344</t>
  </si>
  <si>
    <t>hillsborough@aka.org.nz</t>
  </si>
  <si>
    <t>668 Richardson Road</t>
  </si>
  <si>
    <t>Hillsborough</t>
  </si>
  <si>
    <t>Auckland - Puketāpapa</t>
  </si>
  <si>
    <t>Mt Roskill</t>
  </si>
  <si>
    <t>Mount Roskill Central East</t>
  </si>
  <si>
    <t>Hobsonville Kindergarten</t>
  </si>
  <si>
    <t>09-416 8723</t>
  </si>
  <si>
    <t>hobsonville@aka.org.nz</t>
  </si>
  <si>
    <t>34a Trig Road</t>
  </si>
  <si>
    <t>Hobsonville</t>
  </si>
  <si>
    <t>West Harbour West</t>
  </si>
  <si>
    <t>Whiria Te Tangata Community of Learning</t>
  </si>
  <si>
    <t>Howick Kindergarten</t>
  </si>
  <si>
    <t>09-534 9124</t>
  </si>
  <si>
    <t>howick@aka.org.nz</t>
  </si>
  <si>
    <t>51 Wellington Street</t>
  </si>
  <si>
    <t>Howick Central</t>
  </si>
  <si>
    <t>Mangere West Kindergarten</t>
  </si>
  <si>
    <t>09-275 4090</t>
  </si>
  <si>
    <t>67 Idlewild Avenue</t>
  </si>
  <si>
    <t>Māngere West</t>
  </si>
  <si>
    <t>Kauri Park Kindergarten</t>
  </si>
  <si>
    <t>09-483 7073</t>
  </si>
  <si>
    <t>kauripark@aka.org.nz</t>
  </si>
  <si>
    <t>11 McGlashen Place</t>
  </si>
  <si>
    <t>Beach Haven South</t>
  </si>
  <si>
    <t>Kingsdene Kindergarten</t>
  </si>
  <si>
    <t>09-2754658</t>
  </si>
  <si>
    <t>kingsdene@aka.org.nz</t>
  </si>
  <si>
    <t>62 Mascot Avenue</t>
  </si>
  <si>
    <t>Māngere Central</t>
  </si>
  <si>
    <t>Papatoetoe North Kindergarten</t>
  </si>
  <si>
    <t>09-2764057</t>
  </si>
  <si>
    <t>PapatoetoeNorth@aka.org.nz</t>
  </si>
  <si>
    <t>1 Beryl Place</t>
  </si>
  <si>
    <t>Mangere East</t>
  </si>
  <si>
    <t>Māngere East</t>
  </si>
  <si>
    <t>Epsom South Kindergarten</t>
  </si>
  <si>
    <t>09-638 9272</t>
  </si>
  <si>
    <t>epsomsouth@aka.org.nz</t>
  </si>
  <si>
    <t>14 Aberfoyle Street</t>
  </si>
  <si>
    <t>Epsom Central-North</t>
  </si>
  <si>
    <t>Freemans Bay Kindergarten</t>
  </si>
  <si>
    <t>09-3762465</t>
  </si>
  <si>
    <t>freemansbay@aka.org.nz</t>
  </si>
  <si>
    <t>16 Tahuna Street</t>
  </si>
  <si>
    <t>Freemans Bay</t>
  </si>
  <si>
    <t>Auckland - Waitematā</t>
  </si>
  <si>
    <t>Auckland Central</t>
  </si>
  <si>
    <t>Waitematā and Gulf Ward</t>
  </si>
  <si>
    <t>Lynfield Kindergarten</t>
  </si>
  <si>
    <t>09-6263218</t>
  </si>
  <si>
    <t>lynfield@aka.org.nz</t>
  </si>
  <si>
    <t>108 Halsey Drive</t>
  </si>
  <si>
    <t>Lynfield</t>
  </si>
  <si>
    <t>Lynfield Central</t>
  </si>
  <si>
    <t>McNaughton Kindergarten</t>
  </si>
  <si>
    <t>09-2759593</t>
  </si>
  <si>
    <t>debbie.lunjevich@aka.org.nz</t>
  </si>
  <si>
    <t>14 McNaughton Avenue</t>
  </si>
  <si>
    <t>Harania North</t>
  </si>
  <si>
    <t>Mangere Bridge Kindergarten</t>
  </si>
  <si>
    <t>09-636 9552</t>
  </si>
  <si>
    <t>mangerebridge@aka.org.nz</t>
  </si>
  <si>
    <t>36 Lindis Place</t>
  </si>
  <si>
    <t>Mangere Bridge</t>
  </si>
  <si>
    <t>Māngere Bridge Ambury</t>
  </si>
  <si>
    <t>Marlborough Kindergarten</t>
  </si>
  <si>
    <t>09-4809061</t>
  </si>
  <si>
    <t>marlborough@aka.org.nz</t>
  </si>
  <si>
    <t>7 A Agincourt Street</t>
  </si>
  <si>
    <t>Glenfield Central</t>
  </si>
  <si>
    <t>Massey Kindergarten</t>
  </si>
  <si>
    <t>09-8337000</t>
  </si>
  <si>
    <t>massey@aka.org.nz</t>
  </si>
  <si>
    <t>326 A Don Buck Road</t>
  </si>
  <si>
    <t>Mayfield Kindergarten</t>
  </si>
  <si>
    <t>09-2745100</t>
  </si>
  <si>
    <t>mayfield@aka.org.nz</t>
  </si>
  <si>
    <t>20 R Pearl Baker Drive</t>
  </si>
  <si>
    <t>Ōtara East</t>
  </si>
  <si>
    <t>Meadowbank Kindergarten</t>
  </si>
  <si>
    <t>09-5215 799</t>
  </si>
  <si>
    <t>meadowbank@aka.org.nz</t>
  </si>
  <si>
    <t>122 Meadowbank Road</t>
  </si>
  <si>
    <t>Meadowbank</t>
  </si>
  <si>
    <t>Meadowbank West</t>
  </si>
  <si>
    <t>Milford Kindergarten</t>
  </si>
  <si>
    <t>09-4861188</t>
  </si>
  <si>
    <t>milford@aka.org.nz</t>
  </si>
  <si>
    <t>14 Pierce Road</t>
  </si>
  <si>
    <t>Milford</t>
  </si>
  <si>
    <t>Milford Central</t>
  </si>
  <si>
    <t>Mission Bay Kindergarten</t>
  </si>
  <si>
    <t>09-528 7029</t>
  </si>
  <si>
    <t>missionbay@aka.org.nz</t>
  </si>
  <si>
    <t>82 Atkin Avenue</t>
  </si>
  <si>
    <t>Mission Bay</t>
  </si>
  <si>
    <t>Morningside Kindergarten</t>
  </si>
  <si>
    <t>09-846 3101</t>
  </si>
  <si>
    <t>morningside@aka.org.nz</t>
  </si>
  <si>
    <t>31 Taylors Road</t>
  </si>
  <si>
    <t>Morningside (Auckland)</t>
  </si>
  <si>
    <t>Mt Eden Kindergarten</t>
  </si>
  <si>
    <t>09-6303720</t>
  </si>
  <si>
    <t>mteden@aka.org.nz</t>
  </si>
  <si>
    <t>11A Milton Road</t>
  </si>
  <si>
    <t>Mount Eden</t>
  </si>
  <si>
    <t>Mount Eden West</t>
  </si>
  <si>
    <t>Mt Roskill Kindergarten</t>
  </si>
  <si>
    <t>09-620 8323</t>
  </si>
  <si>
    <t>mtroskill@aka.org.nz</t>
  </si>
  <si>
    <t>19 Akarana Avenue</t>
  </si>
  <si>
    <t>Mount Roskill</t>
  </si>
  <si>
    <t>Mount Roskill North</t>
  </si>
  <si>
    <t>Sylvia Park Kindergarten</t>
  </si>
  <si>
    <t>09-570 2200</t>
  </si>
  <si>
    <t>sylviapark@aka.org.nz</t>
  </si>
  <si>
    <t>10 Hamlin Road</t>
  </si>
  <si>
    <t>Mount Wellington</t>
  </si>
  <si>
    <t>Mount Wellington Hamlin</t>
  </si>
  <si>
    <t>Murdoch Park Kindergarten</t>
  </si>
  <si>
    <t>09-2789443</t>
  </si>
  <si>
    <t>murdochpark@aka.org.nz</t>
  </si>
  <si>
    <t>43 Chestnut Road</t>
  </si>
  <si>
    <t>Papatoetoe</t>
  </si>
  <si>
    <t>Manurewa</t>
  </si>
  <si>
    <t>Papatoetoe South West</t>
  </si>
  <si>
    <t>West Papatoetoe Community of Learning</t>
  </si>
  <si>
    <t>Northcote Central Kindergarten</t>
  </si>
  <si>
    <t>09-418 1593</t>
  </si>
  <si>
    <t>northcotecentral@aka.org.nz</t>
  </si>
  <si>
    <t>36 College Road</t>
  </si>
  <si>
    <t>Northcote Central</t>
  </si>
  <si>
    <t>Northcote Central (Auckland)</t>
  </si>
  <si>
    <t>Northcote Kindergarten</t>
  </si>
  <si>
    <t>09-480 7039</t>
  </si>
  <si>
    <t>northcote@aka.org.nz</t>
  </si>
  <si>
    <t>7 Nutsey Avenue</t>
  </si>
  <si>
    <t>Northcote South (Auckland)</t>
  </si>
  <si>
    <t>Omana Kindergarten</t>
  </si>
  <si>
    <t>09-2787933</t>
  </si>
  <si>
    <t>omana@aka.org.nz</t>
  </si>
  <si>
    <t>42 Omana Road</t>
  </si>
  <si>
    <t>Papatoetoe North</t>
  </si>
  <si>
    <t>Orakei Kindergarten</t>
  </si>
  <si>
    <t>09-521 0732</t>
  </si>
  <si>
    <t>orakei@aka.org.nz</t>
  </si>
  <si>
    <t>Cnr Coates Avenue &amp; Grace Street</t>
  </si>
  <si>
    <t>Orakei</t>
  </si>
  <si>
    <t>Orakei West</t>
  </si>
  <si>
    <t>Te Roopu Pourewa Community of Learning</t>
  </si>
  <si>
    <t>Oratia Kindergarten</t>
  </si>
  <si>
    <t>09-8184409</t>
  </si>
  <si>
    <t>oratia@aka.org.nz</t>
  </si>
  <si>
    <t>552 West Coast Road</t>
  </si>
  <si>
    <t>Oratia</t>
  </si>
  <si>
    <t>Waitakere</t>
  </si>
  <si>
    <t>Otahuhu Kindergarten</t>
  </si>
  <si>
    <t>09-2767835</t>
  </si>
  <si>
    <t>otahuhu@aka.org.nz</t>
  </si>
  <si>
    <t>51 A Hutton Street</t>
  </si>
  <si>
    <t>Otahuhu</t>
  </si>
  <si>
    <t>Ōtāhuhu South</t>
  </si>
  <si>
    <t>Ōtāhuhu Community of Learning</t>
  </si>
  <si>
    <t>Owairaka Kindergarten</t>
  </si>
  <si>
    <t>09-8465476</t>
  </si>
  <si>
    <t>owairaka@aka.org.nz</t>
  </si>
  <si>
    <t>6 A Dunkirk Terrace</t>
  </si>
  <si>
    <t>Owairaka</t>
  </si>
  <si>
    <t>Ōwairaka West</t>
  </si>
  <si>
    <t>Pakuranga Kindergarten</t>
  </si>
  <si>
    <t>09-576 9605</t>
  </si>
  <si>
    <t>pakuranga@aka.org.nz</t>
  </si>
  <si>
    <t>107 A Reeves Road</t>
  </si>
  <si>
    <t>Pakuranga Heights</t>
  </si>
  <si>
    <t>Pakuranga Heights South West</t>
  </si>
  <si>
    <t>Papatoetoe Kindergarten</t>
  </si>
  <si>
    <t>09-278 5867</t>
  </si>
  <si>
    <t>papatoetoe@aka.org.nz</t>
  </si>
  <si>
    <t>53 Wilmay Avenue</t>
  </si>
  <si>
    <t>Papatoetoe Central West</t>
  </si>
  <si>
    <t>Parnell Kindergarten</t>
  </si>
  <si>
    <t>09-3773 071</t>
  </si>
  <si>
    <t>parnell@aka.org.nz</t>
  </si>
  <si>
    <t>12 Alberon Place</t>
  </si>
  <si>
    <t>Parnell</t>
  </si>
  <si>
    <t>Parnell East</t>
  </si>
  <si>
    <t>Ponsonby Kindergarten</t>
  </si>
  <si>
    <t>09-3764931</t>
  </si>
  <si>
    <t>ponsonby@aka.org.nz</t>
  </si>
  <si>
    <t>22 Ponsonby Terrace</t>
  </si>
  <si>
    <t>Ponsonby</t>
  </si>
  <si>
    <t>Ponsonby East</t>
  </si>
  <si>
    <t>Pt England Kindergarten</t>
  </si>
  <si>
    <t>09-5709557</t>
  </si>
  <si>
    <t>ptengland@aka.org.nz</t>
  </si>
  <si>
    <t>130B Point England Road</t>
  </si>
  <si>
    <t>Point England</t>
  </si>
  <si>
    <t>Point England North</t>
  </si>
  <si>
    <t>Ranui Kindergarten</t>
  </si>
  <si>
    <t>09-833 9887</t>
  </si>
  <si>
    <t>ranui@aka.org.nz</t>
  </si>
  <si>
    <t>Ranui Station Road</t>
  </si>
  <si>
    <t>Ranui</t>
  </si>
  <si>
    <t>Rānui Domain</t>
  </si>
  <si>
    <t>Lincoln North Kindergarten</t>
  </si>
  <si>
    <t>09-8362740</t>
  </si>
  <si>
    <t>lincolnnorth@aka.org.nz</t>
  </si>
  <si>
    <t>47 A Longburn Road</t>
  </si>
  <si>
    <t>Henderson Lincoln West</t>
  </si>
  <si>
    <t>Glen Eden West Kindergarten</t>
  </si>
  <si>
    <t>09-818 3698</t>
  </si>
  <si>
    <t>glenedenwest@aka.org.nz</t>
  </si>
  <si>
    <t>78 A Rosier Road</t>
  </si>
  <si>
    <t>Glen Eden Woodglen</t>
  </si>
  <si>
    <t>Roskill South Kindergarten</t>
  </si>
  <si>
    <t>09-620 5706</t>
  </si>
  <si>
    <t>roskillsouth@aka.org.nz</t>
  </si>
  <si>
    <t>1327 Dominion Road Ext</t>
  </si>
  <si>
    <t>Mount Roskill South</t>
  </si>
  <si>
    <t>Mt Albert Kindergarten</t>
  </si>
  <si>
    <t>09-8464379</t>
  </si>
  <si>
    <t>mtalbert@aka.org.nz</t>
  </si>
  <si>
    <t>24 Mark Road</t>
  </si>
  <si>
    <t>Mount Albert West</t>
  </si>
  <si>
    <t>St Heliers Kindergarten</t>
  </si>
  <si>
    <t>09-575 8113</t>
  </si>
  <si>
    <t>stheliers@aka.org.nz</t>
  </si>
  <si>
    <t>43 Maskell Street</t>
  </si>
  <si>
    <t>St Heliers</t>
  </si>
  <si>
    <t>Glendowie South West</t>
  </si>
  <si>
    <t>Grey Lynn Kindergarten</t>
  </si>
  <si>
    <t>09-378 6941</t>
  </si>
  <si>
    <t>greylynn@aka.org.nz</t>
  </si>
  <si>
    <t>25 Home Street</t>
  </si>
  <si>
    <t>Grey Lynn</t>
  </si>
  <si>
    <t>Grey Lynn East</t>
  </si>
  <si>
    <t>St Johns Kindergarten</t>
  </si>
  <si>
    <t>09-521 1477</t>
  </si>
  <si>
    <t>stjohns@aka.org.nz</t>
  </si>
  <si>
    <t>49 Howard Hunter Avenue</t>
  </si>
  <si>
    <t>Saint Johns East</t>
  </si>
  <si>
    <t>Sandringham Kindergarten</t>
  </si>
  <si>
    <t>09-849 4523</t>
  </si>
  <si>
    <t>sandringham@aka.org.nz</t>
  </si>
  <si>
    <t>2 Kenneth Avenue</t>
  </si>
  <si>
    <t>Sandringham</t>
  </si>
  <si>
    <t>Sandringham North</t>
  </si>
  <si>
    <t>Sturges Road Kindergarten</t>
  </si>
  <si>
    <t>09-836 4943</t>
  </si>
  <si>
    <t>sturgesroad@aka.org.nz</t>
  </si>
  <si>
    <t>124 Sturges Road</t>
  </si>
  <si>
    <t>Whenuapai Kindergarten</t>
  </si>
  <si>
    <t>09-416 4125</t>
  </si>
  <si>
    <t>whenuapai@aka.org.nz</t>
  </si>
  <si>
    <t>16 Airport Road</t>
  </si>
  <si>
    <t>Whenuapai</t>
  </si>
  <si>
    <t>Auckland - Upper Harbour</t>
  </si>
  <si>
    <t>Sunnyvale Kindergarten</t>
  </si>
  <si>
    <t>09-8362283</t>
  </si>
  <si>
    <t>31 A Kaikoura Street</t>
  </si>
  <si>
    <t>Henderson East</t>
  </si>
  <si>
    <t>Takapuna Kindergarten</t>
  </si>
  <si>
    <t>09-489 6189</t>
  </si>
  <si>
    <t>takapuna@aka.org.nz</t>
  </si>
  <si>
    <t>11 A Tennyson Avenue</t>
  </si>
  <si>
    <t>Takapuna</t>
  </si>
  <si>
    <t>Takapuna Central</t>
  </si>
  <si>
    <t>Te Atatu Peninsula Kindergarten</t>
  </si>
  <si>
    <t>09-834 5024</t>
  </si>
  <si>
    <t>teatatupeninsula@aka.org.nz</t>
  </si>
  <si>
    <t>16 A Harbour View Road</t>
  </si>
  <si>
    <t>Te Atatu Peninsula</t>
  </si>
  <si>
    <t>Te Atatū Peninsula Central</t>
  </si>
  <si>
    <t>Te Atatu South Kindergarten</t>
  </si>
  <si>
    <t>09-8363856</t>
  </si>
  <si>
    <t>teatatusouth@aka.org.nz</t>
  </si>
  <si>
    <t>66 A Divich Avenue</t>
  </si>
  <si>
    <t>Te Atatu South</t>
  </si>
  <si>
    <t>Te Atatū South-McLeod South</t>
  </si>
  <si>
    <t>Te Atatu Community of Learning</t>
  </si>
  <si>
    <t>Westlake Forrest Hill Kindergarten</t>
  </si>
  <si>
    <t>09-410 7742</t>
  </si>
  <si>
    <t>westlakeforresthill@aka.org.nz</t>
  </si>
  <si>
    <t>Tiber Road</t>
  </si>
  <si>
    <t>Forrest Hill East</t>
  </si>
  <si>
    <t>Westmere Kindergarten</t>
  </si>
  <si>
    <t>09-376 3833</t>
  </si>
  <si>
    <t>westmere@aka.org.nz</t>
  </si>
  <si>
    <t>90 Garnet Road</t>
  </si>
  <si>
    <t>Westmere</t>
  </si>
  <si>
    <t>Westmere South-Western Springs</t>
  </si>
  <si>
    <t>Farm Cove Kindergarten</t>
  </si>
  <si>
    <t>09-576 9934</t>
  </si>
  <si>
    <t>farmcove@aka.org.nz</t>
  </si>
  <si>
    <t>20 Galloway Crescent</t>
  </si>
  <si>
    <t>Farm Cove</t>
  </si>
  <si>
    <t>Yendarra Kindergarten</t>
  </si>
  <si>
    <t>09-2746877</t>
  </si>
  <si>
    <t>yendarra@aka.org.nz</t>
  </si>
  <si>
    <t>31 Crown Crescent</t>
  </si>
  <si>
    <t>Ferguson</t>
  </si>
  <si>
    <t>Alfriston Road Kindergarten</t>
  </si>
  <si>
    <t>09-2676024</t>
  </si>
  <si>
    <t>21 Alfriston Road</t>
  </si>
  <si>
    <t>Auckland - Manurewa</t>
  </si>
  <si>
    <t>Takanini</t>
  </si>
  <si>
    <t>Manurewa East</t>
  </si>
  <si>
    <t>Manurewa-Papakura Ward</t>
  </si>
  <si>
    <t>Adam Berry</t>
  </si>
  <si>
    <t>P O Box 93</t>
  </si>
  <si>
    <t>Auckland 2245</t>
  </si>
  <si>
    <t>09-972 9917</t>
  </si>
  <si>
    <t>Alfriston Kāhui Ako</t>
  </si>
  <si>
    <t>Clayton Park Kindergarten</t>
  </si>
  <si>
    <t>09-2670027</t>
  </si>
  <si>
    <t>Coxhead Road</t>
  </si>
  <si>
    <t>Wattle Downs East</t>
  </si>
  <si>
    <t>Kawakawa Bay Kindergarten</t>
  </si>
  <si>
    <t>09-292 2468</t>
  </si>
  <si>
    <t>Kawakawa Bay Hall Kawakawa-Orere Road, RD5</t>
  </si>
  <si>
    <t>Kawakawa Bay</t>
  </si>
  <si>
    <t>Auckland - Franklin</t>
  </si>
  <si>
    <t>Papakura</t>
  </si>
  <si>
    <t>Hauraki-Waikato</t>
  </si>
  <si>
    <t>Kawakawa Bay-Orere</t>
  </si>
  <si>
    <t>Franklin Ward</t>
  </si>
  <si>
    <t>Finlayson Park Kindergarten</t>
  </si>
  <si>
    <t>09-267 0936</t>
  </si>
  <si>
    <t>John Walker Drive</t>
  </si>
  <si>
    <t>Rowandale West</t>
  </si>
  <si>
    <t>George Street Kindergarten</t>
  </si>
  <si>
    <t>09-235 8122</t>
  </si>
  <si>
    <t>9 George Street</t>
  </si>
  <si>
    <t>Waiuku</t>
  </si>
  <si>
    <t>Port Waikato</t>
  </si>
  <si>
    <t>Waiuku East</t>
  </si>
  <si>
    <t>Waiuku Community of Learning</t>
  </si>
  <si>
    <t>Hill Park Kindergarten</t>
  </si>
  <si>
    <t>09-2676133</t>
  </si>
  <si>
    <t>55 Grand Vue Road</t>
  </si>
  <si>
    <t>Hillpark South</t>
  </si>
  <si>
    <t>Homai Kindergarten</t>
  </si>
  <si>
    <t>09-2665203</t>
  </si>
  <si>
    <t>183 Browns Road</t>
  </si>
  <si>
    <t>Wiri West</t>
  </si>
  <si>
    <t>Te Kaahui Ako O Manurewa</t>
  </si>
  <si>
    <t>Mason Avenue Kindergarten</t>
  </si>
  <si>
    <t>09-238 7856</t>
  </si>
  <si>
    <t>8 Mason Avenue</t>
  </si>
  <si>
    <t>Pukekohe</t>
  </si>
  <si>
    <t>Medium urban area</t>
  </si>
  <si>
    <t>Rosa Birch Park</t>
  </si>
  <si>
    <t>Pukekohe Community of Learning</t>
  </si>
  <si>
    <t>Nina Busing Kindergarten</t>
  </si>
  <si>
    <t>09-2989081</t>
  </si>
  <si>
    <t>13 A Clevedon Road</t>
  </si>
  <si>
    <t>Auckland - Papakura</t>
  </si>
  <si>
    <t>Papakura Kelvin</t>
  </si>
  <si>
    <t>Kāhui Ako ki Papakura</t>
  </si>
  <si>
    <t>Papakura West Kindergarten</t>
  </si>
  <si>
    <t>adam.berry@cmka.org.nz</t>
  </si>
  <si>
    <t>29 Ray Small Drive</t>
  </si>
  <si>
    <t>Pahurehure</t>
  </si>
  <si>
    <t>Papakura North Kindergarten</t>
  </si>
  <si>
    <t>1 Artillery Drive</t>
  </si>
  <si>
    <t>Papakura North</t>
  </si>
  <si>
    <t>Pukekohe Central Kindergarten</t>
  </si>
  <si>
    <t>2 Harrington Avenue</t>
  </si>
  <si>
    <t>Pukekohe Central</t>
  </si>
  <si>
    <t>Redoubt North Kindergarten</t>
  </si>
  <si>
    <t>4 Charntay Avenue</t>
  </si>
  <si>
    <t>Clover Park</t>
  </si>
  <si>
    <t>Clover Park South</t>
  </si>
  <si>
    <t>Roscommon Kindergarten</t>
  </si>
  <si>
    <t>23 Burundi Avenue</t>
  </si>
  <si>
    <t>Clendon Park North</t>
  </si>
  <si>
    <t>Waiuku Kindergarten</t>
  </si>
  <si>
    <t>14 Kitchener Road</t>
  </si>
  <si>
    <t>Waiuku Central</t>
  </si>
  <si>
    <t>Aberdeen Kindergarten</t>
  </si>
  <si>
    <t>07-8477753</t>
  </si>
  <si>
    <t>ceo@kindergarten.org.nz</t>
  </si>
  <si>
    <t>50 Aberdeen Drive</t>
  </si>
  <si>
    <t>Hamilton Central</t>
  </si>
  <si>
    <t>Hamilton</t>
  </si>
  <si>
    <t>Te Tai Whenua</t>
  </si>
  <si>
    <t>Hamilton City</t>
  </si>
  <si>
    <t>Waikato</t>
  </si>
  <si>
    <t>Hamilton West</t>
  </si>
  <si>
    <t>Dinsdale North</t>
  </si>
  <si>
    <t>West General Ward</t>
  </si>
  <si>
    <t>Edna Frame</t>
  </si>
  <si>
    <t>P O Box 4311</t>
  </si>
  <si>
    <t>Hamilton 3247</t>
  </si>
  <si>
    <t>07-856 4649</t>
  </si>
  <si>
    <t>He Waka Eke Noa (NW Hamilton) Community of Learning</t>
  </si>
  <si>
    <t>Bellmont Avenue Kindergarten</t>
  </si>
  <si>
    <t>07-8552669</t>
  </si>
  <si>
    <t>37 Bellmont Avenue</t>
  </si>
  <si>
    <t>Hamilton East</t>
  </si>
  <si>
    <t>Chartwell</t>
  </si>
  <si>
    <t>East General Ward</t>
  </si>
  <si>
    <t>Cambridge Kindergarten</t>
  </si>
  <si>
    <t>07-8276250</t>
  </si>
  <si>
    <t>104 Victoria Street</t>
  </si>
  <si>
    <t>Cambridge</t>
  </si>
  <si>
    <t>Waipa District</t>
  </si>
  <si>
    <t>Taupō</t>
  </si>
  <si>
    <t>Cambridge East</t>
  </si>
  <si>
    <t>Cambridge General Ward</t>
  </si>
  <si>
    <t>Chartwell Kindergarten</t>
  </si>
  <si>
    <t>07-8553721</t>
  </si>
  <si>
    <t>Herbert Road</t>
  </si>
  <si>
    <t>Queenwood (Hamilton City)</t>
  </si>
  <si>
    <t>Deanwell Kindergarten</t>
  </si>
  <si>
    <t>07-8437570</t>
  </si>
  <si>
    <t>26 Anderson Road</t>
  </si>
  <si>
    <t>Deanwell</t>
  </si>
  <si>
    <t>Te Kaahui Ako o Mangakootukutuku</t>
  </si>
  <si>
    <t>Dinsdale Kindergarten</t>
  </si>
  <si>
    <t>07-8478520</t>
  </si>
  <si>
    <t>84 Bremworth Avenue</t>
  </si>
  <si>
    <t>Dinsdale</t>
  </si>
  <si>
    <t>Dinsdale South</t>
  </si>
  <si>
    <t>Fairfield Kindergarten</t>
  </si>
  <si>
    <t>07-8556300</t>
  </si>
  <si>
    <t>29 Kenney Crescent</t>
  </si>
  <si>
    <t>Fairfield</t>
  </si>
  <si>
    <t>Fairfield North (Hamilton City)</t>
  </si>
  <si>
    <t>Frankton Kindergarten</t>
  </si>
  <si>
    <t>07-8475719</t>
  </si>
  <si>
    <t>181 Massey Street</t>
  </si>
  <si>
    <t>Frankton</t>
  </si>
  <si>
    <t>Swarbrick</t>
  </si>
  <si>
    <t>Galbraith Kindergarten</t>
  </si>
  <si>
    <t>07-8248976</t>
  </si>
  <si>
    <t>Herschel Street</t>
  </si>
  <si>
    <t>Ngaruawahia</t>
  </si>
  <si>
    <t>Waikato District</t>
  </si>
  <si>
    <t>Ngāruawāhia Central</t>
  </si>
  <si>
    <t>Newcastle-Ngāruawāhia General Ward</t>
  </si>
  <si>
    <t>Ngāruawāhia Community of Learning</t>
  </si>
  <si>
    <t>Grandview Kindergarten</t>
  </si>
  <si>
    <t>07-8475360</t>
  </si>
  <si>
    <t>106 Grandview Road</t>
  </si>
  <si>
    <t>Nawton</t>
  </si>
  <si>
    <t>Nawton East</t>
  </si>
  <si>
    <t>Hamilton West Kindergarten</t>
  </si>
  <si>
    <t>07-8394103</t>
  </si>
  <si>
    <t>35 Horne Street</t>
  </si>
  <si>
    <t>Hamilton Lake South</t>
  </si>
  <si>
    <t>07-8563529</t>
  </si>
  <si>
    <t>Masters Avenue</t>
  </si>
  <si>
    <t>Hillcrest</t>
  </si>
  <si>
    <t>Hillcrest East (Hamilton City)</t>
  </si>
  <si>
    <t>Hukanui Kindergarten</t>
  </si>
  <si>
    <t>07-8552410</t>
  </si>
  <si>
    <t>52 Rutherford Street</t>
  </si>
  <si>
    <t>Chedworth</t>
  </si>
  <si>
    <t>Insoll Kindergarten</t>
  </si>
  <si>
    <t>07-8555740</t>
  </si>
  <si>
    <t>65 Halberg Crescent</t>
  </si>
  <si>
    <t>Enderley North</t>
  </si>
  <si>
    <t>James Gray Kindergarten</t>
  </si>
  <si>
    <t>07-8274714</t>
  </si>
  <si>
    <t>18 Kingsley Street</t>
  </si>
  <si>
    <t>Leamington</t>
  </si>
  <si>
    <t>Leamington East</t>
  </si>
  <si>
    <t>Jamieson Kindergarten</t>
  </si>
  <si>
    <t>07-8492684</t>
  </si>
  <si>
    <t>70 Storey Ave</t>
  </si>
  <si>
    <t>Forest Lake</t>
  </si>
  <si>
    <t>Forest Lake (Hamilton City)</t>
  </si>
  <si>
    <t>Leamington Kindergarten</t>
  </si>
  <si>
    <t>07-8276680</t>
  </si>
  <si>
    <t>49 Thompson Street</t>
  </si>
  <si>
    <t>Leamington West</t>
  </si>
  <si>
    <t>Melville Kindergarten</t>
  </si>
  <si>
    <t>07-8435005</t>
  </si>
  <si>
    <t>5 Trigg Place</t>
  </si>
  <si>
    <t>Melville</t>
  </si>
  <si>
    <t>Bader</t>
  </si>
  <si>
    <t>Miropiko Kindergarten</t>
  </si>
  <si>
    <t>07-8556773</t>
  </si>
  <si>
    <t>309 River Road</t>
  </si>
  <si>
    <t>Claudelands</t>
  </si>
  <si>
    <t>Newcastle Kindergarten</t>
  </si>
  <si>
    <t>07-8248280</t>
  </si>
  <si>
    <t>1 King Street</t>
  </si>
  <si>
    <t>Ngāruawāhia North</t>
  </si>
  <si>
    <t>Peachgrove Kindergarten</t>
  </si>
  <si>
    <t>07-8566659</t>
  </si>
  <si>
    <t>181 Galloway Street</t>
  </si>
  <si>
    <t>Hamilton East Cook</t>
  </si>
  <si>
    <t>Pukete Kindergarten</t>
  </si>
  <si>
    <t>07-8493718</t>
  </si>
  <si>
    <t>pukete@kindergarten.org.nz</t>
  </si>
  <si>
    <t>13 Cullimore Street</t>
  </si>
  <si>
    <t>Pukete</t>
  </si>
  <si>
    <t>Pukete East</t>
  </si>
  <si>
    <t>Raglan Kindergarten</t>
  </si>
  <si>
    <t>07-8258674</t>
  </si>
  <si>
    <t>9 Stewart Street</t>
  </si>
  <si>
    <t>Raglan</t>
  </si>
  <si>
    <t>Taranaki-King Country</t>
  </si>
  <si>
    <t>Whāingaroa General Ward</t>
  </si>
  <si>
    <t>St Andrews Kindergarten</t>
  </si>
  <si>
    <t>07-8492597</t>
  </si>
  <si>
    <t>5 Seamer Place</t>
  </si>
  <si>
    <t>Te Rapa</t>
  </si>
  <si>
    <t>Saint Andrews East</t>
  </si>
  <si>
    <t>Glenview Kindergarten</t>
  </si>
  <si>
    <t>07-8437945</t>
  </si>
  <si>
    <t>15 Te Anau Place</t>
  </si>
  <si>
    <t>Glenview</t>
  </si>
  <si>
    <t>Whitiora Kindergarten</t>
  </si>
  <si>
    <t>07-8381614</t>
  </si>
  <si>
    <t>45 Abbotsford Street</t>
  </si>
  <si>
    <t>Whitiora</t>
  </si>
  <si>
    <t>Central Kids Kindergartens - Paeroa</t>
  </si>
  <si>
    <t>07-8851016</t>
  </si>
  <si>
    <t>paeroa@centralkids.org.nz</t>
  </si>
  <si>
    <t>13 Arney Street</t>
  </si>
  <si>
    <t>Paeroa</t>
  </si>
  <si>
    <t>Hauraki District</t>
  </si>
  <si>
    <t>Coromandel</t>
  </si>
  <si>
    <t>Paeroa Ward</t>
  </si>
  <si>
    <t>Moetuturi Ormsby</t>
  </si>
  <si>
    <t>34 Chambers Street</t>
  </si>
  <si>
    <t>Tokoroa 3420</t>
  </si>
  <si>
    <t>021-538696</t>
  </si>
  <si>
    <t>Ohinemuri Community of Learning</t>
  </si>
  <si>
    <t>Te Aroha Kindergarten</t>
  </si>
  <si>
    <t>07-8848709</t>
  </si>
  <si>
    <t>karen@taka.org.nz</t>
  </si>
  <si>
    <t>7 Lawrence Avenue</t>
  </si>
  <si>
    <t>Te Aroha</t>
  </si>
  <si>
    <t>Matamata-Piako District</t>
  </si>
  <si>
    <t>Te Aroha East</t>
  </si>
  <si>
    <t>Te Aroha General Ward</t>
  </si>
  <si>
    <t>Karen Robinson</t>
  </si>
  <si>
    <t>Waikato 3932</t>
  </si>
  <si>
    <t>07-8848974</t>
  </si>
  <si>
    <t>Te Aroha Kāhui Ako</t>
  </si>
  <si>
    <t>Central Kids Kindergartens - Thames</t>
  </si>
  <si>
    <t>thames.k@centralkids.org.nz</t>
  </si>
  <si>
    <t>Grey Street</t>
  </si>
  <si>
    <t>Thames</t>
  </si>
  <si>
    <t>Thames-Coromandel District</t>
  </si>
  <si>
    <t>Thames Central</t>
  </si>
  <si>
    <t>Thames Ward</t>
  </si>
  <si>
    <t>Te Kāhui Ako o Te Kauaeranga (Thames Community of Learning)</t>
  </si>
  <si>
    <t>Central Kids Kindergartens - Apanui</t>
  </si>
  <si>
    <t>07-3085046</t>
  </si>
  <si>
    <t>apanui@centralkids.org.nz</t>
  </si>
  <si>
    <t>41A Apanui Avenue</t>
  </si>
  <si>
    <t>Whakatane</t>
  </si>
  <si>
    <t>Whakatane District</t>
  </si>
  <si>
    <t>Bay of Plenty, Waiariki</t>
  </si>
  <si>
    <t>East Coast</t>
  </si>
  <si>
    <t>Waiariki</t>
  </si>
  <si>
    <t>Whakatāne Central</t>
  </si>
  <si>
    <t>Whakatāne-Ōhope General Ward</t>
  </si>
  <si>
    <t>Donna Dillon</t>
  </si>
  <si>
    <t>021-578171</t>
  </si>
  <si>
    <t>Whakatane Community of Learning</t>
  </si>
  <si>
    <t>Central Kids Kindergartens - Arohanui</t>
  </si>
  <si>
    <t>arohanui@centralkids.org.nz</t>
  </si>
  <si>
    <t>107 Grampian Street</t>
  </si>
  <si>
    <t>Tokoroa</t>
  </si>
  <si>
    <t>South Waikato District</t>
  </si>
  <si>
    <t>Te Tai Hauāuru</t>
  </si>
  <si>
    <t>Moananui</t>
  </si>
  <si>
    <t>Tokoroa Ward</t>
  </si>
  <si>
    <t>Racheal Bell</t>
  </si>
  <si>
    <t>027-5408859</t>
  </si>
  <si>
    <t>Tokoroa Kāhui Ako</t>
  </si>
  <si>
    <t>Central Kids Kindergartens - Balmoral</t>
  </si>
  <si>
    <t>balmoral@centralkids.org.nz</t>
  </si>
  <si>
    <t>Tainui Street</t>
  </si>
  <si>
    <t>Central Kids Kindergartens - Charles</t>
  </si>
  <si>
    <t>charles@centralkids.org.nz</t>
  </si>
  <si>
    <t>4 Charles Crescent</t>
  </si>
  <si>
    <t>Putaruru</t>
  </si>
  <si>
    <t>Putāruru</t>
  </si>
  <si>
    <t>Putāruru Ward</t>
  </si>
  <si>
    <t>Putaruru Community of Learning</t>
  </si>
  <si>
    <t>Central Kids Kindergartens - Clyde Street</t>
  </si>
  <si>
    <t>clydest@centralkids.org.nz</t>
  </si>
  <si>
    <t>42 Clyde Street</t>
  </si>
  <si>
    <t>Stanley Park</t>
  </si>
  <si>
    <t>Central Kids Kindergartens - David Henry</t>
  </si>
  <si>
    <t>davidhenry@centralkids.org.nz</t>
  </si>
  <si>
    <t>60 Fergusson Street</t>
  </si>
  <si>
    <t>Matarawa</t>
  </si>
  <si>
    <t>Central Kids Kindergartens - Edgecumbe</t>
  </si>
  <si>
    <t>07-3049732</t>
  </si>
  <si>
    <t>edgecumbe@centralkids.org.nz</t>
  </si>
  <si>
    <t>14 Kauri Street</t>
  </si>
  <si>
    <t>Edgecumbe</t>
  </si>
  <si>
    <t>Rangitāiki General Ward</t>
  </si>
  <si>
    <t>Pūtauaki ki Rangitaiki Whānui Kāhui Ako</t>
  </si>
  <si>
    <t>Central Kids Kindergartens - Fordlands</t>
  </si>
  <si>
    <t>07-3486259</t>
  </si>
  <si>
    <t>fordlands@centralkids.org.nz</t>
  </si>
  <si>
    <t>21 Bellingham Crescent</t>
  </si>
  <si>
    <t>Fordlands</t>
  </si>
  <si>
    <t>Rotorua</t>
  </si>
  <si>
    <t>Rotorua District</t>
  </si>
  <si>
    <t>Te Ipu Wai Auraki General Ward</t>
  </si>
  <si>
    <t>Dale Campbell</t>
  </si>
  <si>
    <t>021-728958</t>
  </si>
  <si>
    <t>Te Maru o Ngongotaha (Rotorua) Community of Learning</t>
  </si>
  <si>
    <t>Central Kids Kindergartens - Garaway</t>
  </si>
  <si>
    <t>07-3086813</t>
  </si>
  <si>
    <t>garaway@centralkids.org.nz</t>
  </si>
  <si>
    <t>43A Garaway Street</t>
  </si>
  <si>
    <t>Trident</t>
  </si>
  <si>
    <t>Central Kids Kindergartens - Glenshea</t>
  </si>
  <si>
    <t>glenshea@centralkids.org.nz</t>
  </si>
  <si>
    <t>Glenshea Street</t>
  </si>
  <si>
    <t>Central Kids Kindergartens - Hazelmere</t>
  </si>
  <si>
    <t>hazelmere@centralkids.org.nz</t>
  </si>
  <si>
    <t>1246 Hazelmere Crescent</t>
  </si>
  <si>
    <t>Te Awamutu</t>
  </si>
  <si>
    <t>Sherwin Park</t>
  </si>
  <si>
    <t>Te Awamutu-Kihikihi General Ward</t>
  </si>
  <si>
    <t>Central Kids Kindergartens - Hinemoa</t>
  </si>
  <si>
    <t>07-3787430</t>
  </si>
  <si>
    <t>hinemoa@centralkids.org.nz</t>
  </si>
  <si>
    <t>61 Hinemoa Avenue</t>
  </si>
  <si>
    <t>Taupo</t>
  </si>
  <si>
    <t>Taupo District</t>
  </si>
  <si>
    <t>Mountview</t>
  </si>
  <si>
    <t>Taupō General Ward</t>
  </si>
  <si>
    <t>Gail Pierce</t>
  </si>
  <si>
    <t>Taupō Community of Schools</t>
  </si>
  <si>
    <t>Central Kids Kindergartens - Huntly</t>
  </si>
  <si>
    <t>07-8287819</t>
  </si>
  <si>
    <t>huntly@centralkids.org.nz</t>
  </si>
  <si>
    <t>9 Onslow Street</t>
  </si>
  <si>
    <t>Huntly</t>
  </si>
  <si>
    <t>Huntly South</t>
  </si>
  <si>
    <t>Huntly General Ward</t>
  </si>
  <si>
    <t>Te Kaahui Ako o Raahui Pookeka</t>
  </si>
  <si>
    <t>Central Kids Kindergartens - Jackson Park</t>
  </si>
  <si>
    <t>07-3481979</t>
  </si>
  <si>
    <t>jacksonpark@centralkids.org.nz</t>
  </si>
  <si>
    <t>66 Springfield Road</t>
  </si>
  <si>
    <t>Springfield</t>
  </si>
  <si>
    <t>Springfield South</t>
  </si>
  <si>
    <t>Rotorua Central Community of Learning</t>
  </si>
  <si>
    <t>Central Kids Kindergartens - Kihikihi</t>
  </si>
  <si>
    <t>kihikihi@centralkids.org.nz</t>
  </si>
  <si>
    <t>Linden Street</t>
  </si>
  <si>
    <t>Kihikihi</t>
  </si>
  <si>
    <t>Kihikihi Central</t>
  </si>
  <si>
    <t>Central Kids Kindergartens - Laughton</t>
  </si>
  <si>
    <t>07-3786401</t>
  </si>
  <si>
    <t>laughton@centralkids.org.nz</t>
  </si>
  <si>
    <t>29 Laughton Street</t>
  </si>
  <si>
    <t>Taupō Central East</t>
  </si>
  <si>
    <t>Central Kids Kindergartens - Mill Crescent</t>
  </si>
  <si>
    <t>millcres@centralkids.org.nz</t>
  </si>
  <si>
    <t>4 Mill Crescent</t>
  </si>
  <si>
    <t>Matamata</t>
  </si>
  <si>
    <t>Matamata West</t>
  </si>
  <si>
    <t>Matamata General Ward</t>
  </si>
  <si>
    <t>Matamata Community of Learning</t>
  </si>
  <si>
    <t>Central Kids Kindergartens - Morrinsville</t>
  </si>
  <si>
    <t>morrinsville@centralkids.org.nz</t>
  </si>
  <si>
    <t>63 Moorhouse Street</t>
  </si>
  <si>
    <t>Morrinsville</t>
  </si>
  <si>
    <t>Morrinsville East</t>
  </si>
  <si>
    <t>Morrinsville General Ward</t>
  </si>
  <si>
    <t>Morrinsville Kāhui Ako</t>
  </si>
  <si>
    <t>Karamuramu Kindergarten</t>
  </si>
  <si>
    <t>07-3665677</t>
  </si>
  <si>
    <t>karamuramu@ikindergartens.nz</t>
  </si>
  <si>
    <t xml:space="preserve"> 22 Rewa Crescent</t>
  </si>
  <si>
    <t>Murupara</t>
  </si>
  <si>
    <t>Te Urewera General Ward</t>
  </si>
  <si>
    <t>Peter Monteith</t>
  </si>
  <si>
    <t>P O Box 951</t>
  </si>
  <si>
    <t>Tauranga</t>
  </si>
  <si>
    <t>Tauranga 3140</t>
  </si>
  <si>
    <t>07-578 0552</t>
  </si>
  <si>
    <t>Central Kids Kindergartens - Ngongotahā</t>
  </si>
  <si>
    <t>07-3574532</t>
  </si>
  <si>
    <t>ngongotaha@centralkids.org.nz</t>
  </si>
  <si>
    <t>19 School Road</t>
  </si>
  <si>
    <t>Ngongotaha</t>
  </si>
  <si>
    <t>Ngongotahā West</t>
  </si>
  <si>
    <t>Central Kids Kindergartens - Ōpōtiki</t>
  </si>
  <si>
    <t>07-3156827</t>
  </si>
  <si>
    <t>opotiki@centralkids.org.nz</t>
  </si>
  <si>
    <t>108 Ford Street</t>
  </si>
  <si>
    <t>Opotiki</t>
  </si>
  <si>
    <t>Ōpōtiki District</t>
  </si>
  <si>
    <t>Ōpōtiki</t>
  </si>
  <si>
    <t>Ōpōtiki Ward</t>
  </si>
  <si>
    <t>Ōpōtiki Community of Learning</t>
  </si>
  <si>
    <t>Central Kids Kindergartens - Otorohanga</t>
  </si>
  <si>
    <t>otorohanga@centralkids.org.nz</t>
  </si>
  <si>
    <t>9 Hinewai Street</t>
  </si>
  <si>
    <t>Otorohanga</t>
  </si>
  <si>
    <t>Ōtorohanga District</t>
  </si>
  <si>
    <t>Ōtorohanga</t>
  </si>
  <si>
    <t>Ōtorohanga General Ward</t>
  </si>
  <si>
    <t>Nga Awa ki te Moana Kāhui Ako</t>
  </si>
  <si>
    <t>Central Kids Kindergartens - Ōwhata</t>
  </si>
  <si>
    <t>07-3456237</t>
  </si>
  <si>
    <t>owhata@centralkids.org.nz</t>
  </si>
  <si>
    <t>36 Wharenui Road</t>
  </si>
  <si>
    <t>Owhata</t>
  </si>
  <si>
    <t>Ōwhata East</t>
  </si>
  <si>
    <t>Eastern Rotorua Kāhui Ako</t>
  </si>
  <si>
    <t>Central Kids Kindergartens - Paraone</t>
  </si>
  <si>
    <t>paraone@centralkids.org.nz</t>
  </si>
  <si>
    <t>4 Paraone Street</t>
  </si>
  <si>
    <t>Taumarunui</t>
  </si>
  <si>
    <t>Ruapehu District</t>
  </si>
  <si>
    <t>Rangitīkei</t>
  </si>
  <si>
    <t>Taumarunui Central</t>
  </si>
  <si>
    <t>Ruapehu General Ward</t>
  </si>
  <si>
    <t>Taumarunui Kāhui Ako</t>
  </si>
  <si>
    <t>Central Kids Kindergartens - Paraōnui</t>
  </si>
  <si>
    <t>paraonui@centralkids.org.nz</t>
  </si>
  <si>
    <t>13 Totara Street</t>
  </si>
  <si>
    <t>Paraonui</t>
  </si>
  <si>
    <t>Central Kids Kindergartens - Pūtauaki</t>
  </si>
  <si>
    <t>07-3236015</t>
  </si>
  <si>
    <t>putauaki@centralkids.org.nz</t>
  </si>
  <si>
    <t>10 Marshall Street</t>
  </si>
  <si>
    <t>Kawerau</t>
  </si>
  <si>
    <t>Kawerau District</t>
  </si>
  <si>
    <t>Monika Reserve</t>
  </si>
  <si>
    <t>Area Outside Ward</t>
  </si>
  <si>
    <t>Central Kids Kindergartens - Rāwhiti</t>
  </si>
  <si>
    <t>rawhiti@centralkids.org.nz</t>
  </si>
  <si>
    <t>3 Konini Place</t>
  </si>
  <si>
    <t>Matamata North</t>
  </si>
  <si>
    <t>Central Kids Kindergartens - Rewi Street</t>
  </si>
  <si>
    <t>rewist@centralkids.org.nz</t>
  </si>
  <si>
    <t>60 Rewi Street</t>
  </si>
  <si>
    <t>Goodfellow Park</t>
  </si>
  <si>
    <t>Central Kids Kindergartens - Rotorua East</t>
  </si>
  <si>
    <t>07-3459689</t>
  </si>
  <si>
    <t>rotoruaeast@centralkids.org.nz</t>
  </si>
  <si>
    <t>7 Alastair Avenue</t>
  </si>
  <si>
    <t>Te Ngae</t>
  </si>
  <si>
    <t>Central Kids Kindergartens - Selwyn</t>
  </si>
  <si>
    <t>07-3485129</t>
  </si>
  <si>
    <t>selwyn@centralkids.org.nz</t>
  </si>
  <si>
    <t>5 Rowi Street</t>
  </si>
  <si>
    <t>Selwyn Heights</t>
  </si>
  <si>
    <t>Central Kids Kindergartens -  Te Ara Mātauranga</t>
  </si>
  <si>
    <t>tearamatauranga@centralkids.org.nz</t>
  </si>
  <si>
    <t>11 Manson Street</t>
  </si>
  <si>
    <t>Taumarunui North</t>
  </si>
  <si>
    <t>Central Kids Kindergartens - Tūrangi</t>
  </si>
  <si>
    <t>07-3868748</t>
  </si>
  <si>
    <t>turangi@centralkids.org.nz</t>
  </si>
  <si>
    <t>33 Hinerangi Street</t>
  </si>
  <si>
    <t>Turangi</t>
  </si>
  <si>
    <t>Tūrangi</t>
  </si>
  <si>
    <t>Turangi-Tongariro General Ward</t>
  </si>
  <si>
    <t>Central Kids Kindergartens - Waipāhīhī</t>
  </si>
  <si>
    <t>07-3787993</t>
  </si>
  <si>
    <t>waipahihi@centralkids.org.nz</t>
  </si>
  <si>
    <t>21 Frederick Street</t>
  </si>
  <si>
    <t>Richmond Heights</t>
  </si>
  <si>
    <t>Central Kids Kindergartens - Fairview Park</t>
  </si>
  <si>
    <t>07-348 5875</t>
  </si>
  <si>
    <t>fairviewpark@centralkids.org.nz</t>
  </si>
  <si>
    <t>46 Fairview Road</t>
  </si>
  <si>
    <t>Western Heights</t>
  </si>
  <si>
    <t>Western Heights (Rotorua District)</t>
  </si>
  <si>
    <t>Arataki Free Kindergarten</t>
  </si>
  <si>
    <t>07-5755340</t>
  </si>
  <si>
    <t>arataki@ikindergartens.nz</t>
  </si>
  <si>
    <t>31 Hawea Street</t>
  </si>
  <si>
    <t>Mount Maunganui</t>
  </si>
  <si>
    <t>Tauranga City</t>
  </si>
  <si>
    <t>Bay of Plenty</t>
  </si>
  <si>
    <t>Te Maunga North</t>
  </si>
  <si>
    <t>Arataki General Ward</t>
  </si>
  <si>
    <t>Kāhui Ako ki Mauao</t>
  </si>
  <si>
    <t>Brookfield Free Kindergarten</t>
  </si>
  <si>
    <t>07-5766311</t>
  </si>
  <si>
    <t>brookfield@ikindergartens.nz</t>
  </si>
  <si>
    <t>77 Otumoetai Road</t>
  </si>
  <si>
    <t>Otumoetai</t>
  </si>
  <si>
    <t>Brookfield East</t>
  </si>
  <si>
    <t>Bethlehem General Ward</t>
  </si>
  <si>
    <t>Ōtūmoetai Community of Learning</t>
  </si>
  <si>
    <t>Greerton Village Kindergarten</t>
  </si>
  <si>
    <t>07-5411632</t>
  </si>
  <si>
    <t>greerton@ikindergartens.nz</t>
  </si>
  <si>
    <t>171 Greerton Road</t>
  </si>
  <si>
    <t>Greerton</t>
  </si>
  <si>
    <t>Greerton South</t>
  </si>
  <si>
    <t>Tauriko General Ward</t>
  </si>
  <si>
    <t>Tauranga Peninsula Kāhui Ako</t>
  </si>
  <si>
    <t>Gwen Rogers Free Kindergarten</t>
  </si>
  <si>
    <t>07-5754915</t>
  </si>
  <si>
    <t>gwenrogers@ikindergartens.nz</t>
  </si>
  <si>
    <t>1 Macville Lane</t>
  </si>
  <si>
    <t>Omanu Beach</t>
  </si>
  <si>
    <t>Mauao/Mount Maunganui General Ward</t>
  </si>
  <si>
    <t>Maungatapu Free Kindergarten</t>
  </si>
  <si>
    <t>07-5440288</t>
  </si>
  <si>
    <t>maungatapu@ikindergartens.nz</t>
  </si>
  <si>
    <t>187 Te Hono Street</t>
  </si>
  <si>
    <t>Maungatapu-Tauranga</t>
  </si>
  <si>
    <t>Maungatapu</t>
  </si>
  <si>
    <t>Welcome Bay General Ward</t>
  </si>
  <si>
    <t>Otumoetai Free Kindergarten</t>
  </si>
  <si>
    <t>07-5766256</t>
  </si>
  <si>
    <t>otumoetai@ikindergartens.nz</t>
  </si>
  <si>
    <t>24 Karaka Road</t>
  </si>
  <si>
    <t>Otūmoetai East</t>
  </si>
  <si>
    <t>Matua-Otūmoetai General Ward</t>
  </si>
  <si>
    <t>Te Puke Free Kindergarten</t>
  </si>
  <si>
    <t>07-5737266</t>
  </si>
  <si>
    <t>tepuke@ikindergartens.nz</t>
  </si>
  <si>
    <t>5 Glen Terrace</t>
  </si>
  <si>
    <t>Te Puke</t>
  </si>
  <si>
    <t>Western Bay of Plenty District</t>
  </si>
  <si>
    <t>Te Puke East</t>
  </si>
  <si>
    <t>Maketu-Te Puke Ward</t>
  </si>
  <si>
    <t>Te Puke Community of Learning</t>
  </si>
  <si>
    <t>Paengaroa Free Kindergarten</t>
  </si>
  <si>
    <t>07-5331538</t>
  </si>
  <si>
    <t>paengaroa@ikindergartens.nz</t>
  </si>
  <si>
    <t>33 Old Coach Road, RD 9</t>
  </si>
  <si>
    <t>Pongakawa</t>
  </si>
  <si>
    <t>Bell Block Pohutakawa Kindergarten</t>
  </si>
  <si>
    <t>06-7550130</t>
  </si>
  <si>
    <t>bellblock@kindergartentaranaki.co.nz</t>
  </si>
  <si>
    <t>39 Murray Street</t>
  </si>
  <si>
    <t>Bell Block</t>
  </si>
  <si>
    <t>New Plymouth</t>
  </si>
  <si>
    <t>New Plymouth District</t>
  </si>
  <si>
    <t>Taranaki, Whanganui, Manawatū</t>
  </si>
  <si>
    <t>Bell Block West</t>
  </si>
  <si>
    <t>Kaitake-Ngāmotu General Ward</t>
  </si>
  <si>
    <t>Dawn Osman</t>
  </si>
  <si>
    <t>P O Box 655</t>
  </si>
  <si>
    <t>New Plymouth 4340</t>
  </si>
  <si>
    <t>027-6399828</t>
  </si>
  <si>
    <t>Brooklands Kindergarten</t>
  </si>
  <si>
    <t>06-7586427</t>
  </si>
  <si>
    <t>brooklands@kindergartentaranaki.co.nz</t>
  </si>
  <si>
    <t>22 Upjohn Street</t>
  </si>
  <si>
    <t>Upper Vogeltown</t>
  </si>
  <si>
    <t>Devon Kindergarten</t>
  </si>
  <si>
    <t>06-7575694</t>
  </si>
  <si>
    <t>devon@kindergartentaranaki.co.nz</t>
  </si>
  <si>
    <t>411 St Aubyn Street</t>
  </si>
  <si>
    <t>Moturoa</t>
  </si>
  <si>
    <t>Fitzroy Kindergarten</t>
  </si>
  <si>
    <t>06-7589264</t>
  </si>
  <si>
    <t>fitzroy@kindergartentaranaki.co.nz</t>
  </si>
  <si>
    <t>24A Sackville Street</t>
  </si>
  <si>
    <t>Fitzroy</t>
  </si>
  <si>
    <t>Fitzroy (New Plymouth District)</t>
  </si>
  <si>
    <t>Kahikatea Kindergarten Hurdon</t>
  </si>
  <si>
    <t>06-7534989</t>
  </si>
  <si>
    <t>kahikatea@kindergartentaranaki.co.nz</t>
  </si>
  <si>
    <t>357 Tukapa Street, RD 1</t>
  </si>
  <si>
    <t>Ferndale</t>
  </si>
  <si>
    <t>Inglewood Kindergarten</t>
  </si>
  <si>
    <t>06-7567649</t>
  </si>
  <si>
    <t>inglewood@kindergartentaranaki.co.nz</t>
  </si>
  <si>
    <t>Ngaio Street</t>
  </si>
  <si>
    <t>Inglewood</t>
  </si>
  <si>
    <t>Kōhanga Moa General Ward</t>
  </si>
  <si>
    <t>Kāhui Ako o te Kōhanga Moa - Inglewood Community of Learning</t>
  </si>
  <si>
    <t>Marfell Kindergarten</t>
  </si>
  <si>
    <t>06-7510926</t>
  </si>
  <si>
    <t>marfell@kindergartentaranaki.co.nz</t>
  </si>
  <si>
    <t>2A Cook Street</t>
  </si>
  <si>
    <t>Marfell</t>
  </si>
  <si>
    <t>Merrilands Kindergarten</t>
  </si>
  <si>
    <t>06-7582531</t>
  </si>
  <si>
    <t>merrilands@kindergartentaranaki.co.nz</t>
  </si>
  <si>
    <t>49A Lismore Street</t>
  </si>
  <si>
    <t>Merrilands</t>
  </si>
  <si>
    <t>Pukekura Kindergarten</t>
  </si>
  <si>
    <t>06-7583648</t>
  </si>
  <si>
    <t>pukekura@kindergartentaranaki.co.nz</t>
  </si>
  <si>
    <t>34 Fillis Street</t>
  </si>
  <si>
    <t>Welbourn</t>
  </si>
  <si>
    <t>Puketapu Kindergarten</t>
  </si>
  <si>
    <t>06-7551366</t>
  </si>
  <si>
    <t>puketapu@kindergartentaranaki.co.nz</t>
  </si>
  <si>
    <t>Dillon Drive</t>
  </si>
  <si>
    <t>Bell Block Central</t>
  </si>
  <si>
    <t>Ngamotu Kindergarten</t>
  </si>
  <si>
    <t>06-7510298</t>
  </si>
  <si>
    <t>ngamotu@kindergartentaranaki.co.nz</t>
  </si>
  <si>
    <t>39A Marama Crescent</t>
  </si>
  <si>
    <t>Spotswood</t>
  </si>
  <si>
    <t>Waitara Central Kindergarten</t>
  </si>
  <si>
    <t>06-754 7190</t>
  </si>
  <si>
    <t>waitaracentral@kindergartentaranaki.co.nz</t>
  </si>
  <si>
    <t>18 Browne Street</t>
  </si>
  <si>
    <t>Waitara</t>
  </si>
  <si>
    <t>Waitara West</t>
  </si>
  <si>
    <t>North General Ward</t>
  </si>
  <si>
    <t>Orapa Kindergarten</t>
  </si>
  <si>
    <t>06-7547829</t>
  </si>
  <si>
    <t>orapa@kindergartentaranaki.co.nz</t>
  </si>
  <si>
    <t>10 Wood Street</t>
  </si>
  <si>
    <t>Westown Kindergarten</t>
  </si>
  <si>
    <t>06-7533151</t>
  </si>
  <si>
    <t>westown@kindergartentaranaki.co.nz</t>
  </si>
  <si>
    <t>116 Clawton Street</t>
  </si>
  <si>
    <t>Westown</t>
  </si>
  <si>
    <t>Avon Kindergarten</t>
  </si>
  <si>
    <t>06-765 7360</t>
  </si>
  <si>
    <t>avon@kindergartentaranaki.co.nz</t>
  </si>
  <si>
    <t>Avon Street</t>
  </si>
  <si>
    <t>Stratford</t>
  </si>
  <si>
    <t>Stratford District</t>
  </si>
  <si>
    <t>Whanganui</t>
  </si>
  <si>
    <t>Stratford South</t>
  </si>
  <si>
    <t>Stratford Urban General Ward</t>
  </si>
  <si>
    <t>Te Kāhui Ako o Taranaki Mohoao</t>
  </si>
  <si>
    <t>Eltham Kindergarten</t>
  </si>
  <si>
    <t>06-7648463</t>
  </si>
  <si>
    <t>eltham@kindergartentaranaki.co.nz</t>
  </si>
  <si>
    <t>14 York Street</t>
  </si>
  <si>
    <t>Eltham</t>
  </si>
  <si>
    <t>South Taranaki District</t>
  </si>
  <si>
    <t>Eltham-Kaponga General Ward</t>
  </si>
  <si>
    <t>Hawera Kindergarten</t>
  </si>
  <si>
    <t>06-2787310</t>
  </si>
  <si>
    <t>hawera@kindergartentaranaki.co.nz</t>
  </si>
  <si>
    <t>Kauri Crescent</t>
  </si>
  <si>
    <t>Hāwera</t>
  </si>
  <si>
    <t>Ramanui</t>
  </si>
  <si>
    <t>Te Hāwera General Ward</t>
  </si>
  <si>
    <t>South Taranaki - Hāwera Community of Learning</t>
  </si>
  <si>
    <t>Koromiko Kindergarten</t>
  </si>
  <si>
    <t>06-2783028</t>
  </si>
  <si>
    <t>koromiko@kindergartentaranaki.co.nz</t>
  </si>
  <si>
    <t>Koromiko Avenue</t>
  </si>
  <si>
    <t>Turuturu</t>
  </si>
  <si>
    <t>Patea Kindergarten</t>
  </si>
  <si>
    <t>06-2738373</t>
  </si>
  <si>
    <t>patea@kindergartentaranaki.co.nz</t>
  </si>
  <si>
    <t>4 Derby Street</t>
  </si>
  <si>
    <t>Patea</t>
  </si>
  <si>
    <t>Pātea</t>
  </si>
  <si>
    <t>Pātea General Ward</t>
  </si>
  <si>
    <t>Stratford Central Kindergarten</t>
  </si>
  <si>
    <t>06-7657847</t>
  </si>
  <si>
    <t>central@kindergartentaranaki.co.nz</t>
  </si>
  <si>
    <t>50 Cordelia Street</t>
  </si>
  <si>
    <t>Stratford Central</t>
  </si>
  <si>
    <t>Tawhiti Kindergarten</t>
  </si>
  <si>
    <t>06-2786085</t>
  </si>
  <si>
    <t>tawhiti@kindergartentaranaki.co.nz</t>
  </si>
  <si>
    <t>Douglas Street Hawera</t>
  </si>
  <si>
    <t>Aramoho Kindergarten</t>
  </si>
  <si>
    <t>06-343 9798</t>
  </si>
  <si>
    <t>aramoho@wmkindergartens.org.nz</t>
  </si>
  <si>
    <t>15 Field Street</t>
  </si>
  <si>
    <t>Aramoho</t>
  </si>
  <si>
    <t>Whanganui District</t>
  </si>
  <si>
    <t>Lower Aramoho</t>
  </si>
  <si>
    <t>Amanda Coulston</t>
  </si>
  <si>
    <t>P O Box 50743</t>
  </si>
  <si>
    <t>Porirua 5240</t>
  </si>
  <si>
    <t>029-2626322</t>
  </si>
  <si>
    <t>Takitini Tahi Kāhui Ako</t>
  </si>
  <si>
    <t>Barsanti Kindergarten</t>
  </si>
  <si>
    <t>06-344 5113</t>
  </si>
  <si>
    <t>barsanti@wmkindergartens.org.nz</t>
  </si>
  <si>
    <t>19 Rogers Street</t>
  </si>
  <si>
    <t>Castlecliff</t>
  </si>
  <si>
    <t>Titoki</t>
  </si>
  <si>
    <t>Takitini Rua Kāhui Ako</t>
  </si>
  <si>
    <t>Central Kindergarten</t>
  </si>
  <si>
    <t>06-347 6448</t>
  </si>
  <si>
    <t>central@wmkindergartens.org.nz</t>
  </si>
  <si>
    <t>32 Keith Street</t>
  </si>
  <si>
    <t>Laird Park</t>
  </si>
  <si>
    <t>Takitini Toru Kāhui Ako</t>
  </si>
  <si>
    <t>Gonville Kindergarten</t>
  </si>
  <si>
    <t>06-344 4884</t>
  </si>
  <si>
    <t>gonville@wmkindergartens.org.nz</t>
  </si>
  <si>
    <t>86 Alma Road</t>
  </si>
  <si>
    <t>Gonville</t>
  </si>
  <si>
    <t>Gonville North</t>
  </si>
  <si>
    <t>Harriette Vine Kindergarten</t>
  </si>
  <si>
    <t>06-345 0483</t>
  </si>
  <si>
    <t>harrietvine@wmkindergartens.org.nz</t>
  </si>
  <si>
    <t>5 Watkin Street</t>
  </si>
  <si>
    <t>Marie McFarland Kindergarten</t>
  </si>
  <si>
    <t>06-344 4087</t>
  </si>
  <si>
    <t>mariemcfarland@wmkindergartens.org.nz</t>
  </si>
  <si>
    <t>40B Cornfoot Street</t>
  </si>
  <si>
    <t>Castlecliff East</t>
  </si>
  <si>
    <t>Ohakune Kindergarten</t>
  </si>
  <si>
    <t>06-385 8383</t>
  </si>
  <si>
    <t>ohakune@wmkindergartens.org.nz</t>
  </si>
  <si>
    <t>58 Arawa Street</t>
  </si>
  <si>
    <t>Ohakune</t>
  </si>
  <si>
    <t>Ōhakune</t>
  </si>
  <si>
    <t>Durie Hill Kindergarten</t>
  </si>
  <si>
    <t>06-345 7183</t>
  </si>
  <si>
    <t>durie@wmkindergartens.org.nz</t>
  </si>
  <si>
    <t>25 Maxwell Avenue</t>
  </si>
  <si>
    <t>Durie Hill</t>
  </si>
  <si>
    <t>Bastia-Durie Hill</t>
  </si>
  <si>
    <t>Putiki Kindergarten</t>
  </si>
  <si>
    <t>06-345 3074</t>
  </si>
  <si>
    <t>putiki@wmkindergartens.org.nz</t>
  </si>
  <si>
    <t>21 Te Anaua Street</t>
  </si>
  <si>
    <t>Putiki</t>
  </si>
  <si>
    <t>St John's Hill Kindergarten</t>
  </si>
  <si>
    <t>06-345 3876</t>
  </si>
  <si>
    <t>stjohnshill@wmkindergartens.org.nz</t>
  </si>
  <si>
    <t>19 Parsons Street</t>
  </si>
  <si>
    <t>Saint Johns Hill</t>
  </si>
  <si>
    <t>College Estate</t>
  </si>
  <si>
    <t>Wanganui East Kindergarten</t>
  </si>
  <si>
    <t>06-343 9332</t>
  </si>
  <si>
    <t>wanganuieast@wmkindergartens.org.nz</t>
  </si>
  <si>
    <t>58 Nile Street</t>
  </si>
  <si>
    <t>Whanganui East</t>
  </si>
  <si>
    <t>Whanganui East-Riverlands</t>
  </si>
  <si>
    <t>Ashhurst Kindergarten</t>
  </si>
  <si>
    <t>06-3268329</t>
  </si>
  <si>
    <t>ashhurst@ruahinekindergartens.org.nz</t>
  </si>
  <si>
    <t>48 Worcester Street</t>
  </si>
  <si>
    <t>Ashhurst</t>
  </si>
  <si>
    <t>Palmerston North City</t>
  </si>
  <si>
    <t>Te Hirawanui General Ward</t>
  </si>
  <si>
    <t>Alison Rudzki</t>
  </si>
  <si>
    <t>26 Taonui Street</t>
  </si>
  <si>
    <t>Palmerston North 4410</t>
  </si>
  <si>
    <t>06-357 8264</t>
  </si>
  <si>
    <t>Palmerston North East Community of Learning</t>
  </si>
  <si>
    <t>Bulls Kindergarten</t>
  </si>
  <si>
    <t>06-3221466</t>
  </si>
  <si>
    <t>Wilson Street</t>
  </si>
  <si>
    <t>Bulls</t>
  </si>
  <si>
    <t>Rangitikei District</t>
  </si>
  <si>
    <t>Southern General Ward</t>
  </si>
  <si>
    <t>South Rangitikei Kāhui Ako</t>
  </si>
  <si>
    <t>Campbell Street Early Learning</t>
  </si>
  <si>
    <t>06-3564078</t>
  </si>
  <si>
    <t>campbellstreet@rka.org.nz</t>
  </si>
  <si>
    <t>63 Campbell Street</t>
  </si>
  <si>
    <t>Palmerston North</t>
  </si>
  <si>
    <t>Palmerston North Central</t>
  </si>
  <si>
    <t>Te Oro Karaka Tahi Kāhui Ako</t>
  </si>
  <si>
    <t>Cloverlea Kindergarten</t>
  </si>
  <si>
    <t>06-3548671</t>
  </si>
  <si>
    <t>cloverlea@ruahinekindergartens.org.nz</t>
  </si>
  <si>
    <t>59 Herbert Avenue</t>
  </si>
  <si>
    <t>Cloverlea</t>
  </si>
  <si>
    <t>Cloverlea (Palmerston North City)</t>
  </si>
  <si>
    <t>Feilding Kindergarten</t>
  </si>
  <si>
    <t>06-3237483</t>
  </si>
  <si>
    <t>feilding@ruahinekindergartens.org.nz</t>
  </si>
  <si>
    <t>10 Montgomery Street</t>
  </si>
  <si>
    <t>Feilding</t>
  </si>
  <si>
    <t>Manawatu District</t>
  </si>
  <si>
    <t>Kimbolton South</t>
  </si>
  <si>
    <t>Feilding General Ward</t>
  </si>
  <si>
    <t>Te Kāhui Ako o Kawakawa</t>
  </si>
  <si>
    <t>Somerset Kindergarten</t>
  </si>
  <si>
    <t>06-3543585</t>
  </si>
  <si>
    <t>somerset@ruahinekindergartens.org.nz</t>
  </si>
  <si>
    <t>46 Somerset Crescent</t>
  </si>
  <si>
    <t>Highbury</t>
  </si>
  <si>
    <t>Westbrook</t>
  </si>
  <si>
    <t>Te Oro Karaka Rua Kāhui Ako</t>
  </si>
  <si>
    <t>Hokowhitu Kindergarten</t>
  </si>
  <si>
    <t>06-3578816</t>
  </si>
  <si>
    <t>hokowhitu@ruahinekindergartens.org.nz</t>
  </si>
  <si>
    <t>25 Franklin Avenue</t>
  </si>
  <si>
    <t>Hokowhitu</t>
  </si>
  <si>
    <t>Hokowhitu East</t>
  </si>
  <si>
    <t>Waiouru Kindergarten and Care</t>
  </si>
  <si>
    <t>06-387 6577</t>
  </si>
  <si>
    <t>waiouru@wmkindergartens.org.nz</t>
  </si>
  <si>
    <t>25 Kenningston Street</t>
  </si>
  <si>
    <t>Waiouru</t>
  </si>
  <si>
    <t>Waiōuru</t>
  </si>
  <si>
    <t>Ruapehu Community of Learning</t>
  </si>
  <si>
    <t>Linton Kindergarten</t>
  </si>
  <si>
    <t>06-3258761</t>
  </si>
  <si>
    <t>linton@ruahinekindergartens.org.nz</t>
  </si>
  <si>
    <t>Puttick Road</t>
  </si>
  <si>
    <t>Linton Camp</t>
  </si>
  <si>
    <t>Milson Kindergarten</t>
  </si>
  <si>
    <t>06-3547992</t>
  </si>
  <si>
    <t>milson@ruahinekindergartens.org.nz</t>
  </si>
  <si>
    <t>69 Abraham Crescent</t>
  </si>
  <si>
    <t>Milson</t>
  </si>
  <si>
    <t>Milson North</t>
  </si>
  <si>
    <t>Manchester Kindergarten</t>
  </si>
  <si>
    <t>06-3234106</t>
  </si>
  <si>
    <t>manchester@ruahinekindergartens.org.nz</t>
  </si>
  <si>
    <t>111 Warwick Street</t>
  </si>
  <si>
    <t>Warwick</t>
  </si>
  <si>
    <t>Mill Street Early Learning</t>
  </si>
  <si>
    <t>06-3278418</t>
  </si>
  <si>
    <t>48 Mill Street</t>
  </si>
  <si>
    <t>Marton</t>
  </si>
  <si>
    <t>Marton South</t>
  </si>
  <si>
    <t>Central General Ward</t>
  </si>
  <si>
    <t>Parkland Kindergarten</t>
  </si>
  <si>
    <t>06-3568960</t>
  </si>
  <si>
    <t>parkland@ruahinekindergartens.org.nz</t>
  </si>
  <si>
    <t>41 Parkland Crescent</t>
  </si>
  <si>
    <t>Terrace End</t>
  </si>
  <si>
    <t>Ruamahanga</t>
  </si>
  <si>
    <t>Riverdale Kindergarten (PN)</t>
  </si>
  <si>
    <t>06-3530975</t>
  </si>
  <si>
    <t>riverdale@ruahinekindergartens.org.nz</t>
  </si>
  <si>
    <t>11 Dittmer Drive</t>
  </si>
  <si>
    <t>Awapuni South</t>
  </si>
  <si>
    <t>Roslyn Kindergarten</t>
  </si>
  <si>
    <t>06-3579910</t>
  </si>
  <si>
    <t>roslyn@ruahinekindergartens.org.nz</t>
  </si>
  <si>
    <t>9 Andrew Avenue</t>
  </si>
  <si>
    <t>Roslyn</t>
  </si>
  <si>
    <t>Takaro Kindergarten</t>
  </si>
  <si>
    <t>06-3584434</t>
  </si>
  <si>
    <t>7 Radnor Place</t>
  </si>
  <si>
    <t>Takaro</t>
  </si>
  <si>
    <t>Highbury East</t>
  </si>
  <si>
    <t>West End Kindergarten</t>
  </si>
  <si>
    <t>06-3582405</t>
  </si>
  <si>
    <t>westend@ruahinekindergartens.org.nz</t>
  </si>
  <si>
    <t>5 Salford Place</t>
  </si>
  <si>
    <t>Awapuni</t>
  </si>
  <si>
    <t>Awapuni North</t>
  </si>
  <si>
    <t>Foxton District Kindergarten</t>
  </si>
  <si>
    <t>06-3637070</t>
  </si>
  <si>
    <t>foxton@ruahinekindergartens.org.nz</t>
  </si>
  <si>
    <t>54 Coley Street</t>
  </si>
  <si>
    <t>Foxton</t>
  </si>
  <si>
    <t>Horowhenua District</t>
  </si>
  <si>
    <t>Ōtaki</t>
  </si>
  <si>
    <t>Foxton South</t>
  </si>
  <si>
    <t>Kere Kere General Ward</t>
  </si>
  <si>
    <t>Taihape Kindergarten</t>
  </si>
  <si>
    <t>06-388 0368</t>
  </si>
  <si>
    <t>taihape@wmkindergartens.org.nz</t>
  </si>
  <si>
    <t>Toroa Street</t>
  </si>
  <si>
    <t>Taihape</t>
  </si>
  <si>
    <t>Northern General Ward</t>
  </si>
  <si>
    <t>Knox Street Kindergarten</t>
  </si>
  <si>
    <t>06-8676999</t>
  </si>
  <si>
    <t>knoxstreetkindergarten@xtra.co.nz</t>
  </si>
  <si>
    <t>Knox Street</t>
  </si>
  <si>
    <t>Elgin-Gisborne</t>
  </si>
  <si>
    <t>Gisborne</t>
  </si>
  <si>
    <t>Gisborne District</t>
  </si>
  <si>
    <t>Hawke's Bay, Tairāwhiti</t>
  </si>
  <si>
    <t>Ikaroa-Rāwhiti</t>
  </si>
  <si>
    <t>Elgin</t>
  </si>
  <si>
    <t>Tairāwhiti General Ward</t>
  </si>
  <si>
    <t>David Spraggs</t>
  </si>
  <si>
    <t>P O Box 1038</t>
  </si>
  <si>
    <t>Gisborne 4040</t>
  </si>
  <si>
    <t>06-8683426</t>
  </si>
  <si>
    <t>Taha Tinana (Gisborne) Kāhui Ako</t>
  </si>
  <si>
    <t>Mangapapa Kindergarten</t>
  </si>
  <si>
    <t>06-8670798</t>
  </si>
  <si>
    <t>mangakindy@xtra.co.nz</t>
  </si>
  <si>
    <t>2 Rua Street</t>
  </si>
  <si>
    <t>Mangapapa</t>
  </si>
  <si>
    <t>Mangapapa East</t>
  </si>
  <si>
    <t>Taha Whānau (Gisborne) Kāhui Ako</t>
  </si>
  <si>
    <t>Rakakao Kindergarten</t>
  </si>
  <si>
    <t>06-8677684</t>
  </si>
  <si>
    <t>pickeringkdg@xtra.co.nz</t>
  </si>
  <si>
    <t>Pickering Street</t>
  </si>
  <si>
    <t>Kaiti</t>
  </si>
  <si>
    <t>Outer Kaiti</t>
  </si>
  <si>
    <t>Porou Ariki Kāhui Ako</t>
  </si>
  <si>
    <t>Rutene Road Kindergarten</t>
  </si>
  <si>
    <t>06-8676538</t>
  </si>
  <si>
    <t>ruteneroad.kgtn@xtra.co.nz</t>
  </si>
  <si>
    <t>Rutene Road</t>
  </si>
  <si>
    <t>Kaiti North</t>
  </si>
  <si>
    <t>Wairoa Kindergarten</t>
  </si>
  <si>
    <t>06-8387026</t>
  </si>
  <si>
    <t>wairoakgtn@napierkindergartens.co.nz</t>
  </si>
  <si>
    <t>18 Brian Avenue</t>
  </si>
  <si>
    <t>Wairoa</t>
  </si>
  <si>
    <t>Wairoa District</t>
  </si>
  <si>
    <t>Napier</t>
  </si>
  <si>
    <t>Jade  Holland</t>
  </si>
  <si>
    <t>PO Box 4298</t>
  </si>
  <si>
    <t>Marewa</t>
  </si>
  <si>
    <t>Napier 4143</t>
  </si>
  <si>
    <t>06-8357890</t>
  </si>
  <si>
    <t>Mata Nui o Kahungunu</t>
  </si>
  <si>
    <t>Bette Christie Kindergarten</t>
  </si>
  <si>
    <t>06-8435736</t>
  </si>
  <si>
    <t>bettechristiekgtn@napierkindergartens.co.nz</t>
  </si>
  <si>
    <t>10 Hurst Avenue</t>
  </si>
  <si>
    <t>Maraenui</t>
  </si>
  <si>
    <t>Napier City</t>
  </si>
  <si>
    <t>Nelson Park Ward</t>
  </si>
  <si>
    <t>Matariki Community of Learning</t>
  </si>
  <si>
    <t>Greenmeadows Kindergarten</t>
  </si>
  <si>
    <t>06-8449182</t>
  </si>
  <si>
    <t>greenmeadowskgtn@napierkindergartens.co.nz</t>
  </si>
  <si>
    <t>Osier Road</t>
  </si>
  <si>
    <t>Greenmeadows</t>
  </si>
  <si>
    <t>Greenmeadows Central</t>
  </si>
  <si>
    <t>Taradale Ward</t>
  </si>
  <si>
    <t>Ōtātara Taradale Community of Learning</t>
  </si>
  <si>
    <t>Marewa Kindergarten</t>
  </si>
  <si>
    <t>06-8439434</t>
  </si>
  <si>
    <t>marewakgtn@napierkindergartens.co.nz</t>
  </si>
  <si>
    <t>Bedford Road</t>
  </si>
  <si>
    <t>Marewa East</t>
  </si>
  <si>
    <t>Mataruahou Napier City Kāhui Ako</t>
  </si>
  <si>
    <t>Mary Richmond Kindergarten</t>
  </si>
  <si>
    <t>06-8438514</t>
  </si>
  <si>
    <t>maryrichmondkgtn@napierkindergartens.co.nz</t>
  </si>
  <si>
    <t>Lister Crescent</t>
  </si>
  <si>
    <t>Wycliffe Nga Tamariki Kindergarten</t>
  </si>
  <si>
    <t>06-8432932</t>
  </si>
  <si>
    <t>wntkgtn@napierkindergartens.co.nz</t>
  </si>
  <si>
    <t>Cranby Crescent</t>
  </si>
  <si>
    <t>Onekawa</t>
  </si>
  <si>
    <t>Onekawa East</t>
  </si>
  <si>
    <t>Onekawa Kindergarten</t>
  </si>
  <si>
    <t>06-8435577</t>
  </si>
  <si>
    <t>onekawakgtn@napierkindergartens.co.nz</t>
  </si>
  <si>
    <t>Maadi Road</t>
  </si>
  <si>
    <t>Onekawa Central</t>
  </si>
  <si>
    <t>Onekawa-Tamatea Ward</t>
  </si>
  <si>
    <t>Ahuriri Community of Learning</t>
  </si>
  <si>
    <t>Pirimai Kindergarten</t>
  </si>
  <si>
    <t>06-8435051</t>
  </si>
  <si>
    <t>pirimaikgtn@napierkindergartens.co.nz</t>
  </si>
  <si>
    <t>Allen Berry Avenue</t>
  </si>
  <si>
    <t>Pirimai</t>
  </si>
  <si>
    <t>Pirimai East</t>
  </si>
  <si>
    <t>Taradale East Kindergarten</t>
  </si>
  <si>
    <t>06-8448525</t>
  </si>
  <si>
    <t>tekgtn@napierkindergartens.co.nz</t>
  </si>
  <si>
    <t>11 Cooke Place</t>
  </si>
  <si>
    <t>Taradale</t>
  </si>
  <si>
    <t>Tareha Reserve</t>
  </si>
  <si>
    <t>Tamatea Kindergarten</t>
  </si>
  <si>
    <t>06-8434655</t>
  </si>
  <si>
    <t>tamateakgtn@napierkindergartens.co.nz</t>
  </si>
  <si>
    <t>Norfolk Street</t>
  </si>
  <si>
    <t>Tamatea</t>
  </si>
  <si>
    <t>Tamatea West</t>
  </si>
  <si>
    <t>Taradale Kindergarten</t>
  </si>
  <si>
    <t>06-8447701</t>
  </si>
  <si>
    <t>taradalekgtn@napierkindergartens.co.nz</t>
  </si>
  <si>
    <t>Puketapu Road</t>
  </si>
  <si>
    <t>Taradale Central</t>
  </si>
  <si>
    <t>Wharerangi Kindergarten</t>
  </si>
  <si>
    <t>06-8444113</t>
  </si>
  <si>
    <t>wharerangikgtn@napierkindergartens.co.nz</t>
  </si>
  <si>
    <t>13 Essex Street</t>
  </si>
  <si>
    <t>Camberley Kindergarten</t>
  </si>
  <si>
    <t>06-8769897</t>
  </si>
  <si>
    <t>camberley@hfka.co.nz</t>
  </si>
  <si>
    <t>408 Lowe Street</t>
  </si>
  <si>
    <t>Camberley</t>
  </si>
  <si>
    <t>Hastings</t>
  </si>
  <si>
    <t>Hastings District</t>
  </si>
  <si>
    <t>Tukituki</t>
  </si>
  <si>
    <t>Hastings-Havelock North General Ward</t>
  </si>
  <si>
    <t>Scott Jenyns</t>
  </si>
  <si>
    <t>P O Box 14064</t>
  </si>
  <si>
    <t>Mayfair</t>
  </si>
  <si>
    <t>Hastings 4120</t>
  </si>
  <si>
    <t>027-5243038</t>
  </si>
  <si>
    <t>Ngā Hau e Whā Kāhui Ako</t>
  </si>
  <si>
    <t>Harold Mayo Kindergarten</t>
  </si>
  <si>
    <t>06-8787274</t>
  </si>
  <si>
    <t>404 Hastings Street South</t>
  </si>
  <si>
    <t>Akina Park</t>
  </si>
  <si>
    <t>Hastings East Kāhui Ako</t>
  </si>
  <si>
    <t>Havelock North Central Kindergarten</t>
  </si>
  <si>
    <t>06-8777891</t>
  </si>
  <si>
    <t>havelockcentral@hfka.co.nz</t>
  </si>
  <si>
    <t>Napier Road</t>
  </si>
  <si>
    <t>Havelock North</t>
  </si>
  <si>
    <t>Karanema-St Hill</t>
  </si>
  <si>
    <t>Tukituki Kāhui Ako</t>
  </si>
  <si>
    <t>Ellen Stevenson Kindergarten</t>
  </si>
  <si>
    <t>06-8799356</t>
  </si>
  <si>
    <t>ellenstevenson@hfka.co.nz</t>
  </si>
  <si>
    <t>90 Chatham Road</t>
  </si>
  <si>
    <t>Flaxmere</t>
  </si>
  <si>
    <t>Lochain Park</t>
  </si>
  <si>
    <t>Flaxmere General Ward</t>
  </si>
  <si>
    <t>Te Rito o te Harakeke Kāhui Ako</t>
  </si>
  <si>
    <t>Peterhead Kindergarten</t>
  </si>
  <si>
    <t>06-8798521</t>
  </si>
  <si>
    <t>principal@tewhaihiringa.school.nz</t>
  </si>
  <si>
    <t>14 Bristol Crescent</t>
  </si>
  <si>
    <t>Flaxmere South</t>
  </si>
  <si>
    <t>Irongate Kindergarten</t>
  </si>
  <si>
    <t>06-8797903</t>
  </si>
  <si>
    <t>4 Walton Way</t>
  </si>
  <si>
    <t>Flaxmere Park</t>
  </si>
  <si>
    <t>Lucknow Kindergarten</t>
  </si>
  <si>
    <t>06-8778108</t>
  </si>
  <si>
    <t>102 Lipscombe Crescent</t>
  </si>
  <si>
    <t>Lucknow</t>
  </si>
  <si>
    <t>Mahora Kindergarten</t>
  </si>
  <si>
    <t>06-8782388</t>
  </si>
  <si>
    <t>mahora@hfka.co.nz</t>
  </si>
  <si>
    <t>818 Rangiora Street</t>
  </si>
  <si>
    <t>Mahora</t>
  </si>
  <si>
    <t>Mayfair Kindergarten</t>
  </si>
  <si>
    <t>06-8785445</t>
  </si>
  <si>
    <t>1210 Cunningham Crescent</t>
  </si>
  <si>
    <t>Parkvale Kindergarten</t>
  </si>
  <si>
    <t>06-8787995</t>
  </si>
  <si>
    <t>parkvale@hfka.co.nz</t>
  </si>
  <si>
    <t>108 A Park Road South</t>
  </si>
  <si>
    <t>Parkvale-Napier/Hastings</t>
  </si>
  <si>
    <t>Parkhaven</t>
  </si>
  <si>
    <t>Raureka Kindergarten</t>
  </si>
  <si>
    <t>06-8788216</t>
  </si>
  <si>
    <t>raureka@hfka.co.nz</t>
  </si>
  <si>
    <t>1006 Campbell Street</t>
  </si>
  <si>
    <t>Raureka</t>
  </si>
  <si>
    <t>Te Mata Kindergarten</t>
  </si>
  <si>
    <t>06-8778746</t>
  </si>
  <si>
    <t>temata@hfka.co.nz</t>
  </si>
  <si>
    <t>179 Te Mata Road</t>
  </si>
  <si>
    <t>Hunter Park Kindergarten</t>
  </si>
  <si>
    <t>06-8588205</t>
  </si>
  <si>
    <t>hunterpark@hfka.co.nz</t>
  </si>
  <si>
    <t>Nelson Street</t>
  </si>
  <si>
    <t>Waipukurau</t>
  </si>
  <si>
    <t>Central Hawke's Bay District</t>
  </si>
  <si>
    <t>Wairarapa</t>
  </si>
  <si>
    <t>Waipukurau West</t>
  </si>
  <si>
    <t>Ruataniwha Ward</t>
  </si>
  <si>
    <t>Ruahine Kāhui Ako</t>
  </si>
  <si>
    <t>Lakeview Kindergarten</t>
  </si>
  <si>
    <t>06-8589436</t>
  </si>
  <si>
    <t>Lakeview Road</t>
  </si>
  <si>
    <t>Waipawa Kindergarten</t>
  </si>
  <si>
    <t>06-8578320</t>
  </si>
  <si>
    <t>39 Kenilworth Street</t>
  </si>
  <si>
    <t>Waipawa</t>
  </si>
  <si>
    <t>Waipāwa</t>
  </si>
  <si>
    <t>Te Angi Angi Community of Learning</t>
  </si>
  <si>
    <t>Appleton Kindergarten</t>
  </si>
  <si>
    <t>06-3746056</t>
  </si>
  <si>
    <t>appleton.kindergarten@xtra.co.nz</t>
  </si>
  <si>
    <t>32 Gregg Street</t>
  </si>
  <si>
    <t>Dannevirke</t>
  </si>
  <si>
    <t>Te Tai Runga</t>
  </si>
  <si>
    <t>Tararua District</t>
  </si>
  <si>
    <t>Wellington</t>
  </si>
  <si>
    <t>Dannevirke West</t>
  </si>
  <si>
    <t>North Tararua General Ward</t>
  </si>
  <si>
    <t>Antoinette Perry</t>
  </si>
  <si>
    <t>P O Box 250</t>
  </si>
  <si>
    <t>Manawatu 4942</t>
  </si>
  <si>
    <t>06-3745880</t>
  </si>
  <si>
    <t>Dannevirke Community of Learning</t>
  </si>
  <si>
    <t>Dannevirke Central Kindergarten</t>
  </si>
  <si>
    <t>06-3746130</t>
  </si>
  <si>
    <t>manager@dvka.co.nz</t>
  </si>
  <si>
    <t>242A High Street</t>
  </si>
  <si>
    <t>Dannevirke East</t>
  </si>
  <si>
    <t>Holyoake Kindergarten</t>
  </si>
  <si>
    <t>06-3768978</t>
  </si>
  <si>
    <t>holyoake@ruahinekindergartens.org.nz</t>
  </si>
  <si>
    <t>Tui Street</t>
  </si>
  <si>
    <t>Pahiatua</t>
  </si>
  <si>
    <t>South Tararua General Ward</t>
  </si>
  <si>
    <t>Tararua Kāhui Ako</t>
  </si>
  <si>
    <t>Pahiatua Early Learning</t>
  </si>
  <si>
    <t>06-3768600</t>
  </si>
  <si>
    <t>pahiatua@ruahineearlylearning.org.nz</t>
  </si>
  <si>
    <t>28 Tyndall Street</t>
  </si>
  <si>
    <t>Lansdowne Kindergarten</t>
  </si>
  <si>
    <t>06-377 4201</t>
  </si>
  <si>
    <t>lansdowne@wmkindergartens.org.nz</t>
  </si>
  <si>
    <t>30C Totara Street</t>
  </si>
  <si>
    <t>Masterton</t>
  </si>
  <si>
    <t>Masterton District</t>
  </si>
  <si>
    <t>Lansdowne East</t>
  </si>
  <si>
    <t>Masterton/Whakaoriori General Ward</t>
  </si>
  <si>
    <t>Whakaoriori Kāhui Ako</t>
  </si>
  <si>
    <t>Masterton West Kindergarten</t>
  </si>
  <si>
    <t>06-378 7308</t>
  </si>
  <si>
    <t>west@wmkindergartens.org.nz</t>
  </si>
  <si>
    <t>159 Cole Street</t>
  </si>
  <si>
    <t>Douglas Park</t>
  </si>
  <si>
    <t>Meta Riddiford Kindergarten</t>
  </si>
  <si>
    <t>06-308 9162</t>
  </si>
  <si>
    <t>metariddiford@wmkindergartens.org.nz</t>
  </si>
  <si>
    <t>Daniell Street</t>
  </si>
  <si>
    <t>Featherston</t>
  </si>
  <si>
    <t>South Wairarapa District</t>
  </si>
  <si>
    <t>Featherston Ward</t>
  </si>
  <si>
    <t>South Wairarapa Community of Learning</t>
  </si>
  <si>
    <t>Manaia Kindergarten</t>
  </si>
  <si>
    <t>06-377 4429</t>
  </si>
  <si>
    <t>manaia@wmkindergartens.org.nz</t>
  </si>
  <si>
    <t>53 South Road</t>
  </si>
  <si>
    <t>Kuripuni</t>
  </si>
  <si>
    <t>Solway South</t>
  </si>
  <si>
    <t>Una Williams Kindergarten</t>
  </si>
  <si>
    <t>06-378 7531</t>
  </si>
  <si>
    <t>unawilliams@wmkindergartens.org.nz</t>
  </si>
  <si>
    <t>12 Macara Street</t>
  </si>
  <si>
    <t>Cameron and Soldiers Park</t>
  </si>
  <si>
    <t>York Street Kindergarten</t>
  </si>
  <si>
    <t>03-377 1483</t>
  </si>
  <si>
    <t>yorkstreet@wmkindergartens.org.nz</t>
  </si>
  <si>
    <t>2 York Street</t>
  </si>
  <si>
    <t>Solway</t>
  </si>
  <si>
    <t>Solway North</t>
  </si>
  <si>
    <t>Carterton Kindergarten</t>
  </si>
  <si>
    <t>06-379 8102</t>
  </si>
  <si>
    <t>carterton@wmkindergartens.org.nz</t>
  </si>
  <si>
    <t>3 Victoria Street</t>
  </si>
  <si>
    <t>Carterton</t>
  </si>
  <si>
    <t>Carterton District</t>
  </si>
  <si>
    <t>Carterton South</t>
  </si>
  <si>
    <t>Greytown Kindergarten</t>
  </si>
  <si>
    <t>06-304 9381</t>
  </si>
  <si>
    <t>greytown@wmkindergartens.org.nz</t>
  </si>
  <si>
    <t>16 Mc Master Street</t>
  </si>
  <si>
    <t>Greytown</t>
  </si>
  <si>
    <t>Greytown Ward</t>
  </si>
  <si>
    <t>Birchville Kindergarten</t>
  </si>
  <si>
    <t>04-526 7365</t>
  </si>
  <si>
    <t>birchville@wmkindergartens.org.nz</t>
  </si>
  <si>
    <t>Amber Grove</t>
  </si>
  <si>
    <t>Upper Hutt CBD</t>
  </si>
  <si>
    <t>Upper Hutt</t>
  </si>
  <si>
    <t>Upper Hutt City</t>
  </si>
  <si>
    <t>Remutaka</t>
  </si>
  <si>
    <t>Birchville-Brown Owl</t>
  </si>
  <si>
    <t>Brown Owl Kindergarten</t>
  </si>
  <si>
    <t>04-526 8806</t>
  </si>
  <si>
    <t>brownowl@wmkindergartens.org.nz</t>
  </si>
  <si>
    <t>5 Aniseed Grove</t>
  </si>
  <si>
    <t>Timberlea</t>
  </si>
  <si>
    <t>Maoribank</t>
  </si>
  <si>
    <t>Cottle Kindergarten</t>
  </si>
  <si>
    <t>04-528 3824</t>
  </si>
  <si>
    <t>cottle@wmkindergartens.org.nz</t>
  </si>
  <si>
    <t>117 Thackerary Street</t>
  </si>
  <si>
    <t>Poets Block</t>
  </si>
  <si>
    <t>Doris Nicholson Kindergarten</t>
  </si>
  <si>
    <t>04-526 9883</t>
  </si>
  <si>
    <t>dorisnicholson@wmkindergartens.org.nz</t>
  </si>
  <si>
    <t>1122 Fergusson Drive</t>
  </si>
  <si>
    <t>Clouston Park</t>
  </si>
  <si>
    <t>Heretaunga Kindergarten</t>
  </si>
  <si>
    <t>04-528 3418</t>
  </si>
  <si>
    <t>heretaunga@wmkindergartens.org.nz</t>
  </si>
  <si>
    <t>9 Ruru Crescent</t>
  </si>
  <si>
    <t>Heretaunga</t>
  </si>
  <si>
    <t>Irmgard Ritchie Kindergarten</t>
  </si>
  <si>
    <t>04-528 5724</t>
  </si>
  <si>
    <t>irmgardritchie@wmkindergartens.org.nz</t>
  </si>
  <si>
    <t>88 A McLeod Street</t>
  </si>
  <si>
    <t>Elderslea</t>
  </si>
  <si>
    <t>Silverstream Kindergarten</t>
  </si>
  <si>
    <t>04-528 9567</t>
  </si>
  <si>
    <t>silverstream@wmkindergartens.org.nz</t>
  </si>
  <si>
    <t>51-53 Kiln Street</t>
  </si>
  <si>
    <t>Silverstream</t>
  </si>
  <si>
    <t>Silverstream (Upper Hutt City)</t>
  </si>
  <si>
    <t>Totara Park Kindergarten</t>
  </si>
  <si>
    <t>04-526 9236</t>
  </si>
  <si>
    <t>totarapark@wmkindergartens.org.nz</t>
  </si>
  <si>
    <t>7 A Denver Grove</t>
  </si>
  <si>
    <t>Totara Park</t>
  </si>
  <si>
    <t>Trentham Kindergarten</t>
  </si>
  <si>
    <t>04-528 4944</t>
  </si>
  <si>
    <t>trentham@wmkindergartens.org.nz</t>
  </si>
  <si>
    <t>19 A Tawai Street</t>
  </si>
  <si>
    <t>Trentham</t>
  </si>
  <si>
    <t>Trentham North</t>
  </si>
  <si>
    <t>Upper Hutt Kindergarten</t>
  </si>
  <si>
    <t>04-528 4416</t>
  </si>
  <si>
    <t>14 A Mcparland Street</t>
  </si>
  <si>
    <t>Ebdentown</t>
  </si>
  <si>
    <t>Arakura Kindergarten</t>
  </si>
  <si>
    <t>04-9209806</t>
  </si>
  <si>
    <t>arakura@huttkindergartens.org.nz</t>
  </si>
  <si>
    <t>192 A Wellington Road</t>
  </si>
  <si>
    <t>Wainuiomata</t>
  </si>
  <si>
    <t>Lower Hutt</t>
  </si>
  <si>
    <t>Lower Hutt City</t>
  </si>
  <si>
    <t>Hutt South</t>
  </si>
  <si>
    <t>Arakura</t>
  </si>
  <si>
    <t>Wainuiomata Ward</t>
  </si>
  <si>
    <t>Norma Roberts</t>
  </si>
  <si>
    <t>P O Box 30552</t>
  </si>
  <si>
    <t>Lower Hutt 5040</t>
  </si>
  <si>
    <t>04-920 9805</t>
  </si>
  <si>
    <t>Wainuiomata Community of Learning</t>
  </si>
  <si>
    <t>Avalon Kindergarten</t>
  </si>
  <si>
    <t>04-9209808</t>
  </si>
  <si>
    <t>avalon@huttkindergartens.org.nz</t>
  </si>
  <si>
    <t>25 Walters Street</t>
  </si>
  <si>
    <t>Lower Hutt CBD</t>
  </si>
  <si>
    <t>Avalon East</t>
  </si>
  <si>
    <t>Central Ward</t>
  </si>
  <si>
    <t>Dyer Street Kindergarten</t>
  </si>
  <si>
    <t>04-9209812</t>
  </si>
  <si>
    <t>dyerst@huttkindergartens.org.nz</t>
  </si>
  <si>
    <t>49 Roberts Street</t>
  </si>
  <si>
    <t>Te Tai Tonga</t>
  </si>
  <si>
    <t>Epuni West</t>
  </si>
  <si>
    <t>Epuni Kindergarten</t>
  </si>
  <si>
    <t>04-9209814</t>
  </si>
  <si>
    <t>epuni@huttkindergartens.org.nz</t>
  </si>
  <si>
    <t>48 A Durham Crescent</t>
  </si>
  <si>
    <t>Epuni East</t>
  </si>
  <si>
    <t>Eastern Ward</t>
  </si>
  <si>
    <t>Kelson Kindergarten</t>
  </si>
  <si>
    <t>04-5650700</t>
  </si>
  <si>
    <t>kelson@huttkindergartens.org.nz</t>
  </si>
  <si>
    <t>50 Taieri Crescent</t>
  </si>
  <si>
    <t>Kelson</t>
  </si>
  <si>
    <t>Western Ward</t>
  </si>
  <si>
    <t>Koraunui Kindergarten</t>
  </si>
  <si>
    <t>04-9209820</t>
  </si>
  <si>
    <t>htkoraunui@huttkindergartens.org.nz</t>
  </si>
  <si>
    <t>285 Stokes Valley Road</t>
  </si>
  <si>
    <t>Stokes Valley</t>
  </si>
  <si>
    <t>Manuka</t>
  </si>
  <si>
    <t>Northern Ward</t>
  </si>
  <si>
    <t>Taita/Stokes Valley Community of Learning</t>
  </si>
  <si>
    <t>Maungaraki Kindergarten</t>
  </si>
  <si>
    <t>04-5701027</t>
  </si>
  <si>
    <t>maungaraki@huttkindergartens.org.nz</t>
  </si>
  <si>
    <t>1 A Holly Grove</t>
  </si>
  <si>
    <t>Maungaraki</t>
  </si>
  <si>
    <t>Naenae Kindergarten</t>
  </si>
  <si>
    <t>04-9209824</t>
  </si>
  <si>
    <t>admin_naenae@huttkindergartens.org.nz</t>
  </si>
  <si>
    <t>Seddon Street</t>
  </si>
  <si>
    <t>Naenae</t>
  </si>
  <si>
    <t>Naenae Central</t>
  </si>
  <si>
    <t>Parkway Kindergarten</t>
  </si>
  <si>
    <t>04-9209826</t>
  </si>
  <si>
    <t>parkway@huttkindergartens.org.nz</t>
  </si>
  <si>
    <t>Parkway</t>
  </si>
  <si>
    <t>Wainuiomata West</t>
  </si>
  <si>
    <t>Moera Kindergarten</t>
  </si>
  <si>
    <t>04-9209822</t>
  </si>
  <si>
    <t>moera@huttkindergartens.org.nz</t>
  </si>
  <si>
    <t>Randwick Crescent</t>
  </si>
  <si>
    <t>Moera</t>
  </si>
  <si>
    <t>Harbour Ward</t>
  </si>
  <si>
    <t>Stokes Valley Kindergarten</t>
  </si>
  <si>
    <t>04-9209830</t>
  </si>
  <si>
    <t>stokesvalley@huttkindergartens.org.nz</t>
  </si>
  <si>
    <t>74 Stokes Valley Road</t>
  </si>
  <si>
    <t>Stokes Valley Central</t>
  </si>
  <si>
    <t>Sun Valley Kindergarten</t>
  </si>
  <si>
    <t>04-9209832</t>
  </si>
  <si>
    <t>sunvalley@huttkindergartens.org.nz</t>
  </si>
  <si>
    <t>69 Meremere Street</t>
  </si>
  <si>
    <t>Taita Kindergarten</t>
  </si>
  <si>
    <t>04-9209834</t>
  </si>
  <si>
    <t>Admin_Taita@huttkindergartens.org.nz</t>
  </si>
  <si>
    <t>Shepherd Grove</t>
  </si>
  <si>
    <t>Taita</t>
  </si>
  <si>
    <t>Taita South</t>
  </si>
  <si>
    <t>Boulcott Kindergarten</t>
  </si>
  <si>
    <t>04-9209810</t>
  </si>
  <si>
    <t>boulcott@huttkindergartens.org.nz</t>
  </si>
  <si>
    <t>31 Boulcott Street</t>
  </si>
  <si>
    <t>Boulcott</t>
  </si>
  <si>
    <t>Pukeatua Kindergarten</t>
  </si>
  <si>
    <t>04-9209816</t>
  </si>
  <si>
    <t>pukeatua@huttkindergartens.org.nz</t>
  </si>
  <si>
    <t>Glendale</t>
  </si>
  <si>
    <t>Waterloo Kindergarten</t>
  </si>
  <si>
    <t>04-9209838</t>
  </si>
  <si>
    <t>waterloo@huttkindergartens.org.nz</t>
  </si>
  <si>
    <t>99 Trafalgar Street</t>
  </si>
  <si>
    <t>Waterloo West</t>
  </si>
  <si>
    <t>Ascot Park Kindergarten</t>
  </si>
  <si>
    <t>04-235 7146</t>
  </si>
  <si>
    <t>ascotpark@wmkindergartens.org.nz</t>
  </si>
  <si>
    <t>Conclusion Street</t>
  </si>
  <si>
    <t>Ascot Park</t>
  </si>
  <si>
    <t>Porirua</t>
  </si>
  <si>
    <t>Porirua City</t>
  </si>
  <si>
    <t>Mana</t>
  </si>
  <si>
    <t>Onepoto General Ward</t>
  </si>
  <si>
    <t>North Porirua Community of Learning</t>
  </si>
  <si>
    <t>Berhampore Kindergarten</t>
  </si>
  <si>
    <t>04-389 8471</t>
  </si>
  <si>
    <t>berhampore@wmkindergartens.org.nz</t>
  </si>
  <si>
    <t>5 Stanley Street</t>
  </si>
  <si>
    <t>Berhampore</t>
  </si>
  <si>
    <t>Wellington City</t>
  </si>
  <si>
    <t>Rongotai</t>
  </si>
  <si>
    <t>Paekawakawa/Southern General Ward</t>
  </si>
  <si>
    <t>Capital City Kāhui Ako</t>
  </si>
  <si>
    <t>Brian Webb Kindergarten</t>
  </si>
  <si>
    <t>04-232 5305</t>
  </si>
  <si>
    <t>brianwebb@wmkindergartens.org.nz</t>
  </si>
  <si>
    <t>28 Victory Crescent</t>
  </si>
  <si>
    <t>Tawa</t>
  </si>
  <si>
    <t>Ōhāriu</t>
  </si>
  <si>
    <t>Tawa North</t>
  </si>
  <si>
    <t>Takapū/Northern General Ward</t>
  </si>
  <si>
    <t>Brooklyn Kindergarten</t>
  </si>
  <si>
    <t>04-385 7313</t>
  </si>
  <si>
    <t>brooklyn@wmkindergartens.org.nz</t>
  </si>
  <si>
    <t>62 Todman Street</t>
  </si>
  <si>
    <t>Brooklyn</t>
  </si>
  <si>
    <t>Wellington Central</t>
  </si>
  <si>
    <t>Brooklyn South</t>
  </si>
  <si>
    <t>Campbell Kindergarten</t>
  </si>
  <si>
    <t>04-476 8809</t>
  </si>
  <si>
    <t>campbell@wmkindergartens.org.nz</t>
  </si>
  <si>
    <t>25 Campbell Street</t>
  </si>
  <si>
    <t>Karori</t>
  </si>
  <si>
    <t>Karori East</t>
  </si>
  <si>
    <t>Wharangi/Onslow-Western General Ward</t>
  </si>
  <si>
    <t>Churton Park Kindergarten</t>
  </si>
  <si>
    <t>04-478 5533</t>
  </si>
  <si>
    <t>churtonpark@wmkindergartens.org.nz</t>
  </si>
  <si>
    <t>86 Churton Drive</t>
  </si>
  <si>
    <t>Churton Park</t>
  </si>
  <si>
    <t>Churton Park South</t>
  </si>
  <si>
    <t>Pikopiko Clyde Quay Kindergarten</t>
  </si>
  <si>
    <t>04-385 0441</t>
  </si>
  <si>
    <t>Clyde Quay School Elizabeth Street</t>
  </si>
  <si>
    <t>Mount Victoria</t>
  </si>
  <si>
    <t>Mount Victoria North</t>
  </si>
  <si>
    <t>Pukehīnau/Lambton General Ward</t>
  </si>
  <si>
    <t>Discovery Kindergarten</t>
  </si>
  <si>
    <t>04-234 8186</t>
  </si>
  <si>
    <t>discovery@wmkindergartens.org.nz</t>
  </si>
  <si>
    <t>Pullen Lane</t>
  </si>
  <si>
    <t>Whitby</t>
  </si>
  <si>
    <t>Pāuatahanui General Ward</t>
  </si>
  <si>
    <t>East Harbour Kindergarten</t>
  </si>
  <si>
    <t>04-562 8929</t>
  </si>
  <si>
    <t>eastharbour@wmkindergartens.org.nz</t>
  </si>
  <si>
    <t>99 Muritai Road</t>
  </si>
  <si>
    <t>Eastbourne</t>
  </si>
  <si>
    <t>Hataitai Kindergarten</t>
  </si>
  <si>
    <t>04-386 2491</t>
  </si>
  <si>
    <t>hataitai@wmkindergartens.org.nz</t>
  </si>
  <si>
    <t>Taurima Street</t>
  </si>
  <si>
    <t>Hataitai</t>
  </si>
  <si>
    <t>Hataitai North West</t>
  </si>
  <si>
    <t>Motukairangi/Eastern General Ward</t>
  </si>
  <si>
    <t>Motu Kairangi Kāhui Ako</t>
  </si>
  <si>
    <t>Waitohi Kindergarten</t>
  </si>
  <si>
    <t>04-478 8722</t>
  </si>
  <si>
    <t>waitohi@wmkindergartens.org.nz</t>
  </si>
  <si>
    <t>34 Moorefield Road</t>
  </si>
  <si>
    <t>Johnsonville</t>
  </si>
  <si>
    <t>Johnsonville Central</t>
  </si>
  <si>
    <t>Johnsonville West Kindergarten</t>
  </si>
  <si>
    <t>04-477 9440</t>
  </si>
  <si>
    <t>johnsonvillewest@wmkindergartens.org.nz</t>
  </si>
  <si>
    <t>34A  Kipling Street</t>
  </si>
  <si>
    <t>Johnsonville West</t>
  </si>
  <si>
    <t>Sunshine Kindergarten</t>
  </si>
  <si>
    <t>04-476 9903</t>
  </si>
  <si>
    <t>sunshine@wmkindergartens.org.nz</t>
  </si>
  <si>
    <t>21 A Sunshine Avenue</t>
  </si>
  <si>
    <t>Karori West</t>
  </si>
  <si>
    <t>Katoa Kindergarten</t>
  </si>
  <si>
    <t>04-237 4262</t>
  </si>
  <si>
    <t>katoa@wmkindergartens.org.nz</t>
  </si>
  <si>
    <t>52 Takapuwahia Drive</t>
  </si>
  <si>
    <t>Elsdon</t>
  </si>
  <si>
    <t>Elsdon-Takapuwahia</t>
  </si>
  <si>
    <t>Te Puna Matauranga Kāhui Ako</t>
  </si>
  <si>
    <t>Khandallah Kindergarten</t>
  </si>
  <si>
    <t>04-479 3588</t>
  </si>
  <si>
    <t>khandallah@wmkindergartens.org.nz</t>
  </si>
  <si>
    <t>24 Everest Street</t>
  </si>
  <si>
    <t>Khandallah</t>
  </si>
  <si>
    <t>Khandallah North</t>
  </si>
  <si>
    <t>Lyall Bay Kindergarten</t>
  </si>
  <si>
    <t>04-387 9013</t>
  </si>
  <si>
    <t>lyallbay@wmkindergartens.org.nz</t>
  </si>
  <si>
    <t>89 Apu Crescent</t>
  </si>
  <si>
    <t>Lyall Bay</t>
  </si>
  <si>
    <t>Maraeroa Kindergarten</t>
  </si>
  <si>
    <t>04-237 4276</t>
  </si>
  <si>
    <t>36 Astrolabe Street</t>
  </si>
  <si>
    <t>Cannons Creek</t>
  </si>
  <si>
    <t>Cannons Creek East</t>
  </si>
  <si>
    <t>Porirua East Community of Learning</t>
  </si>
  <si>
    <t>Miramar Central Kindergarten</t>
  </si>
  <si>
    <t>04-388 8879</t>
  </si>
  <si>
    <t>miramarcentral@wmkindergartens.org.nz</t>
  </si>
  <si>
    <t>32 Para Street</t>
  </si>
  <si>
    <t>Miramar</t>
  </si>
  <si>
    <t>Miramar East</t>
  </si>
  <si>
    <t>Miramar North Kindergarten</t>
  </si>
  <si>
    <t>04-939 0250</t>
  </si>
  <si>
    <t>miramarnorth@wmkindergartens.org.nz</t>
  </si>
  <si>
    <t>20 Whanganui Street</t>
  </si>
  <si>
    <t>Miramar North</t>
  </si>
  <si>
    <t>Moira Gallagher Kindergarten</t>
  </si>
  <si>
    <t>04-237 8929</t>
  </si>
  <si>
    <t>moiragallagher@wmkindergartens.org.nz</t>
  </si>
  <si>
    <t>24 Hampshire Street</t>
  </si>
  <si>
    <t>Porirua East</t>
  </si>
  <si>
    <t>Cannons Creek South</t>
  </si>
  <si>
    <t>Awatea Kindergarten</t>
  </si>
  <si>
    <t>04-237 7290</t>
  </si>
  <si>
    <t>19 Awatea Street</t>
  </si>
  <si>
    <t>Newlands Kindergarten</t>
  </si>
  <si>
    <t>04-939 0281</t>
  </si>
  <si>
    <t>newlands@wmkindergartens.org.nz</t>
  </si>
  <si>
    <t>13 Horokiwi Road</t>
  </si>
  <si>
    <t>Newlands</t>
  </si>
  <si>
    <t>Newlands North</t>
  </si>
  <si>
    <t>Bellevue Kindergarten</t>
  </si>
  <si>
    <t>04-477 6764</t>
  </si>
  <si>
    <t>bellevue@wmkindergartens.org.nz</t>
  </si>
  <si>
    <t>50 Link Road</t>
  </si>
  <si>
    <t>Newlands East</t>
  </si>
  <si>
    <t>Te Ō Newtown Kindergarten</t>
  </si>
  <si>
    <t>04-389 8245</t>
  </si>
  <si>
    <t>teonewtown@wmkindergartens.org.nz</t>
  </si>
  <si>
    <t>Hospital Road</t>
  </si>
  <si>
    <t>Newtown</t>
  </si>
  <si>
    <t>Newtown North</t>
  </si>
  <si>
    <t>Ngahina Kindergarten</t>
  </si>
  <si>
    <t>04-904 6298</t>
  </si>
  <si>
    <t>ngahina@wmkindergartens.org.nz</t>
  </si>
  <si>
    <t>Ngahina Street</t>
  </si>
  <si>
    <t>Paraparaumu</t>
  </si>
  <si>
    <t>Kapiti Coast District</t>
  </si>
  <si>
    <t>Paraparaumu Central</t>
  </si>
  <si>
    <t>Paraparaumu Ward</t>
  </si>
  <si>
    <t>Kapiti North Community of Learning</t>
  </si>
  <si>
    <t>Ngaio Kindergarten</t>
  </si>
  <si>
    <t>04-479 3892</t>
  </si>
  <si>
    <t>ngaio@wmkindergartens.org.nz</t>
  </si>
  <si>
    <t>65 Ottawa Road</t>
  </si>
  <si>
    <t>Ngaio</t>
  </si>
  <si>
    <t>Ngaio South</t>
  </si>
  <si>
    <t>Northland Kindergarten</t>
  </si>
  <si>
    <t>04-475 9298</t>
  </si>
  <si>
    <t>northland@wmkindergartens.org.nz</t>
  </si>
  <si>
    <t>22 Albemarle Road</t>
  </si>
  <si>
    <t>Northland (Wellington City)</t>
  </si>
  <si>
    <t>Onslow Kindergarten</t>
  </si>
  <si>
    <t>04-479 1063</t>
  </si>
  <si>
    <t>onslow@wmkindergartens.org.nz</t>
  </si>
  <si>
    <t>1 A Delhi Crescent</t>
  </si>
  <si>
    <t>Ōtaki Kindergarten</t>
  </si>
  <si>
    <t>06-364 8553</t>
  </si>
  <si>
    <t>otaki@wmkindergartens.org.nz</t>
  </si>
  <si>
    <t>68 Waerenga Road</t>
  </si>
  <si>
    <t>Ōtaki Ward</t>
  </si>
  <si>
    <t>Papakōwhai Kindergarten</t>
  </si>
  <si>
    <t>04-237 8634</t>
  </si>
  <si>
    <t>papakowhai@wmkindergartens.org.nz</t>
  </si>
  <si>
    <t>5 Yarrow Place</t>
  </si>
  <si>
    <t>Papakowhai</t>
  </si>
  <si>
    <t>Papakōwhai</t>
  </si>
  <si>
    <t>Paparārangi Kindergarten</t>
  </si>
  <si>
    <t>04-920 5672</t>
  </si>
  <si>
    <t>paparangi@wmkindergartens.org.nz</t>
  </si>
  <si>
    <t>10 Mark Avenue</t>
  </si>
  <si>
    <t>Paparangi</t>
  </si>
  <si>
    <t>Paraparaumu Kindergarten</t>
  </si>
  <si>
    <t>04-298 6798</t>
  </si>
  <si>
    <t>paraparaumu@wmkindergartens.org.nz</t>
  </si>
  <si>
    <t>Donovan Road</t>
  </si>
  <si>
    <t>Paraparaumu Beach</t>
  </si>
  <si>
    <t>Paraparaumu Beach North</t>
  </si>
  <si>
    <t>Paremata Kindergarten</t>
  </si>
  <si>
    <t>04-233 8662</t>
  </si>
  <si>
    <t>paremata@wmkindergartens.org.nz</t>
  </si>
  <si>
    <t>51 Paremata Road</t>
  </si>
  <si>
    <t>Paremata</t>
  </si>
  <si>
    <t>Parsons Avenue Kindergarten</t>
  </si>
  <si>
    <t>06-368 9808</t>
  </si>
  <si>
    <t>parsonsavenue@wmkindergartens.org.nz</t>
  </si>
  <si>
    <t>20 Parsons Avenue</t>
  </si>
  <si>
    <t>Levin</t>
  </si>
  <si>
    <t>Waiopehu</t>
  </si>
  <si>
    <t>Levin General Ward</t>
  </si>
  <si>
    <t>Taitoko Kāhui Ako</t>
  </si>
  <si>
    <t>Petone Kindergarten</t>
  </si>
  <si>
    <t>04-568 5507</t>
  </si>
  <si>
    <t>petone@wmkindergartens.org.nz</t>
  </si>
  <si>
    <t>10 A Tennyson Street</t>
  </si>
  <si>
    <t>Petone</t>
  </si>
  <si>
    <t>Petone East</t>
  </si>
  <si>
    <t>Plimmerton Kindergarten</t>
  </si>
  <si>
    <t>04-233 1027</t>
  </si>
  <si>
    <t>plimmerton@wmkindergartens.org.nz</t>
  </si>
  <si>
    <t>Beach Road</t>
  </si>
  <si>
    <t>Plimmerton</t>
  </si>
  <si>
    <t>Pukerua Bay Kindergarten</t>
  </si>
  <si>
    <t>04-239 9442</t>
  </si>
  <si>
    <t>pukeruabay@wmkindergartens.org.nz</t>
  </si>
  <si>
    <t>1 Wairaka Road</t>
  </si>
  <si>
    <t>Pukerua Bay</t>
  </si>
  <si>
    <t>Raumati Beach Kindergarten</t>
  </si>
  <si>
    <t>04-902 8807</t>
  </si>
  <si>
    <t>raumatibeach@wmkindergartens.org.nz</t>
  </si>
  <si>
    <t>32 Raumati Road</t>
  </si>
  <si>
    <t>Raumati Beach</t>
  </si>
  <si>
    <t>Raumati Beach West</t>
  </si>
  <si>
    <t>Paekākāriki-Raumati Ward</t>
  </si>
  <si>
    <t>Seatoun Kindergarten</t>
  </si>
  <si>
    <t>04-380 8933</t>
  </si>
  <si>
    <t>seatoun@wmkindergartens.org.nz</t>
  </si>
  <si>
    <t>14 Gore Street</t>
  </si>
  <si>
    <t>Seatoun</t>
  </si>
  <si>
    <t>Strathmore Park Kindergarten</t>
  </si>
  <si>
    <t>04-388 7180</t>
  </si>
  <si>
    <t>strathmorepark@wmkindergartens.org.nz</t>
  </si>
  <si>
    <t>50 A Strathmore Avenue</t>
  </si>
  <si>
    <t>Strathmore Park-Wellington</t>
  </si>
  <si>
    <t>Strathmore (Wellington City)</t>
  </si>
  <si>
    <t>Tairangi Kindergarten</t>
  </si>
  <si>
    <t>04-235 8388</t>
  </si>
  <si>
    <t>tairangi@wmkindergartens.org.nz</t>
  </si>
  <si>
    <t>Omapere Street</t>
  </si>
  <si>
    <t>Waitangirua</t>
  </si>
  <si>
    <t>Waitangirua Tairangi</t>
  </si>
  <si>
    <t>Taitoko Kindergarten</t>
  </si>
  <si>
    <t>06-368 8149</t>
  </si>
  <si>
    <t>taitoko@wmkindergartens.org.nz</t>
  </si>
  <si>
    <t>36 Kinross Street</t>
  </si>
  <si>
    <t>Taitoko</t>
  </si>
  <si>
    <t>Tawa Central Kindergarten</t>
  </si>
  <si>
    <t>04-232 6416</t>
  </si>
  <si>
    <t>tawacentral@wmkindergartens.org.nz</t>
  </si>
  <si>
    <t>Coronation Park Oxford Street</t>
  </si>
  <si>
    <t>Tawa Central</t>
  </si>
  <si>
    <t>Titahi Bay Kindergarten</t>
  </si>
  <si>
    <t>04-236 7224</t>
  </si>
  <si>
    <t>titahibay@wmkindergartens.org.nz</t>
  </si>
  <si>
    <t>48 Herewini Street</t>
  </si>
  <si>
    <t>Titahi Bay</t>
  </si>
  <si>
    <t>Titahi Bay North</t>
  </si>
  <si>
    <t>Tui Park Kindergarten</t>
  </si>
  <si>
    <t>04-232 7254</t>
  </si>
  <si>
    <t>tuipark@wmkindergartens.org.nz</t>
  </si>
  <si>
    <t>Mexted Terrace</t>
  </si>
  <si>
    <t>Linden</t>
  </si>
  <si>
    <t>Wadestown Kindergarten</t>
  </si>
  <si>
    <t>04-472 2227</t>
  </si>
  <si>
    <t>wadestown@wmkindergartens.org.nz</t>
  </si>
  <si>
    <t>45 Oban Street</t>
  </si>
  <si>
    <t>Wadestown</t>
  </si>
  <si>
    <t>Waikanae Kindergarten</t>
  </si>
  <si>
    <t>04-904 3302</t>
  </si>
  <si>
    <t>waikanae@wmkindergartens.org.nz</t>
  </si>
  <si>
    <t>Ngaio Road</t>
  </si>
  <si>
    <t>Waikanae</t>
  </si>
  <si>
    <t>Waikanae West</t>
  </si>
  <si>
    <t>Waikanae Ward</t>
  </si>
  <si>
    <t>Waitangirua Kindergarten</t>
  </si>
  <si>
    <t>04-235 9438</t>
  </si>
  <si>
    <t>waitangirua@wmkindergartens.org.nz</t>
  </si>
  <si>
    <t>4 Kalingo Street</t>
  </si>
  <si>
    <t>Waitangirua Corinna</t>
  </si>
  <si>
    <t>Wellington South Kindergarten</t>
  </si>
  <si>
    <t>04-389 9919</t>
  </si>
  <si>
    <t>wellingtonsouth@wmkindergartens.org.nz</t>
  </si>
  <si>
    <t>103 Owen Street</t>
  </si>
  <si>
    <t>Newtown South</t>
  </si>
  <si>
    <t>Petone Beach Kindergarten</t>
  </si>
  <si>
    <t>04-568 5871</t>
  </si>
  <si>
    <t>20 King Street</t>
  </si>
  <si>
    <t>Petone Esplanade</t>
  </si>
  <si>
    <t>Mayfield Kindergarten (Blenheim)</t>
  </si>
  <si>
    <t>03-5783758</t>
  </si>
  <si>
    <t>mayfield@mka.org.nz</t>
  </si>
  <si>
    <t>36 Girling Avenue</t>
  </si>
  <si>
    <t>Mayfield</t>
  </si>
  <si>
    <t>Blenheim</t>
  </si>
  <si>
    <t>Marlborough District</t>
  </si>
  <si>
    <t>Nelson, Marlborough, West Coast</t>
  </si>
  <si>
    <t>Kaikōura</t>
  </si>
  <si>
    <t>Blenheim General Ward</t>
  </si>
  <si>
    <t>Corina Naus</t>
  </si>
  <si>
    <t>82 Seymour Street</t>
  </si>
  <si>
    <t>Blenheim 7201</t>
  </si>
  <si>
    <t>03-578 4800</t>
  </si>
  <si>
    <t>Piritahi Kāhui Ako</t>
  </si>
  <si>
    <t>Redwoodtown Kindergarten</t>
  </si>
  <si>
    <t>03-5784756</t>
  </si>
  <si>
    <t>redwoodtown@mka.org.nz</t>
  </si>
  <si>
    <t>101 Weld Street</t>
  </si>
  <si>
    <t>Redwoodtown</t>
  </si>
  <si>
    <t>Redwoodtown East</t>
  </si>
  <si>
    <t>Seymour Kindergarten</t>
  </si>
  <si>
    <t>03-5784669</t>
  </si>
  <si>
    <t>seymour@mka.org.nz</t>
  </si>
  <si>
    <t>50 Redwood Street</t>
  </si>
  <si>
    <t>Whitney East</t>
  </si>
  <si>
    <t>Witherlea Kindergarten</t>
  </si>
  <si>
    <t>03-5793383</t>
  </si>
  <si>
    <t>witherlea@mka.org.nz</t>
  </si>
  <si>
    <t>18 Alana Place</t>
  </si>
  <si>
    <t>Witherlea</t>
  </si>
  <si>
    <t>Witherlea East</t>
  </si>
  <si>
    <t>Birchwood Kindergarten</t>
  </si>
  <si>
    <t>03-547 9637</t>
  </si>
  <si>
    <t>311 Seaview Road</t>
  </si>
  <si>
    <t>Stoke</t>
  </si>
  <si>
    <t>Nelson</t>
  </si>
  <si>
    <t>Nelson City</t>
  </si>
  <si>
    <t>Broadgreen-Monaco</t>
  </si>
  <si>
    <t>Stoke-Tāhunanui General Ward</t>
  </si>
  <si>
    <t>Craig Vercoe</t>
  </si>
  <si>
    <t>P O Box 360</t>
  </si>
  <si>
    <t>Nelson 7040</t>
  </si>
  <si>
    <t>03-5467683</t>
  </si>
  <si>
    <t>Te Kāhui Ako o Omaio ki Tahunanui</t>
  </si>
  <si>
    <t>Greenwood Kindergarten</t>
  </si>
  <si>
    <t>03-5288385</t>
  </si>
  <si>
    <t>Craig.Vercoe@ntk.org.nz</t>
  </si>
  <si>
    <t>51 Greenwood Street</t>
  </si>
  <si>
    <t>Motueka</t>
  </si>
  <si>
    <t>Tasman District</t>
  </si>
  <si>
    <t>West Coast-Tasman</t>
  </si>
  <si>
    <t>Motueka East</t>
  </si>
  <si>
    <t>Motueka Ward</t>
  </si>
  <si>
    <t>Motueka Community of Learning</t>
  </si>
  <si>
    <t>Grove Street Kindergarten</t>
  </si>
  <si>
    <t>03-548 8600</t>
  </si>
  <si>
    <t>50 A Grove Street</t>
  </si>
  <si>
    <t>The Wood</t>
  </si>
  <si>
    <t>Nelson City Community of Learning</t>
  </si>
  <si>
    <t>Waimea Kindergarten</t>
  </si>
  <si>
    <t>waimeakindergarten@ntk.org.nz</t>
  </si>
  <si>
    <t>11 A Gilbert Street</t>
  </si>
  <si>
    <t>Richmond</t>
  </si>
  <si>
    <t>Templemore</t>
  </si>
  <si>
    <t>Richmond Ward</t>
  </si>
  <si>
    <t>Waimea Community of Learning</t>
  </si>
  <si>
    <t>Motueka South Kindergarten</t>
  </si>
  <si>
    <t>03-528 8363</t>
  </si>
  <si>
    <t>lauraingramkindergarten@ntk.org.nz</t>
  </si>
  <si>
    <t>12 Courtney Street</t>
  </si>
  <si>
    <t>Motueka West</t>
  </si>
  <si>
    <t>Nayland Kindergarten</t>
  </si>
  <si>
    <t>03-547 6313</t>
  </si>
  <si>
    <t>naylandkindergarten@ntk.org.nz</t>
  </si>
  <si>
    <t>175 Nayland Road</t>
  </si>
  <si>
    <t>Nayland</t>
  </si>
  <si>
    <t>Nelson South Kindergarten</t>
  </si>
  <si>
    <t>03-548 9970</t>
  </si>
  <si>
    <t>nelsonsouthkindergarten@ntk.org.nz</t>
  </si>
  <si>
    <t>150 A Waimea Road</t>
  </si>
  <si>
    <t>Grampians</t>
  </si>
  <si>
    <t>Nelson Central Kindergarten</t>
  </si>
  <si>
    <t>03-548 9936</t>
  </si>
  <si>
    <t>nelsoncentralkindergarten@ntk.org.nz</t>
  </si>
  <si>
    <t>51 B Brook Street</t>
  </si>
  <si>
    <t>The Brook</t>
  </si>
  <si>
    <t>Richmond Kindergarten</t>
  </si>
  <si>
    <t>03-544 5588</t>
  </si>
  <si>
    <t>richmondkindergarten@ntk.org.nz</t>
  </si>
  <si>
    <t>24 Florence Street</t>
  </si>
  <si>
    <t>Richmond Central (Tasman District)</t>
  </si>
  <si>
    <t>Stoke Kindergarten</t>
  </si>
  <si>
    <t>03-547 7441</t>
  </si>
  <si>
    <t>stokekindergarten@ntk.org.nz</t>
  </si>
  <si>
    <t>21 Ranui Road</t>
  </si>
  <si>
    <t>Omaio</t>
  </si>
  <si>
    <t>Tahunanui Kindergarten</t>
  </si>
  <si>
    <t>03-548 5345</t>
  </si>
  <si>
    <t>tahunanuikindergarten@ntk.org.nz</t>
  </si>
  <si>
    <t>53 Muritai Street</t>
  </si>
  <si>
    <t>Tahunanui</t>
  </si>
  <si>
    <t>Tāhunanui</t>
  </si>
  <si>
    <t>Westport Kindergarten</t>
  </si>
  <si>
    <t>03-7898232</t>
  </si>
  <si>
    <t>office@westportkindergarten.nz</t>
  </si>
  <si>
    <t>48 A Russell Street</t>
  </si>
  <si>
    <t>Westport</t>
  </si>
  <si>
    <t>Buller District</t>
  </si>
  <si>
    <t>Westport North</t>
  </si>
  <si>
    <t>Westport Ward</t>
  </si>
  <si>
    <t>Cate Barry</t>
  </si>
  <si>
    <t>48a Russell Street</t>
  </si>
  <si>
    <t>Westport 7825</t>
  </si>
  <si>
    <t>03-7898237</t>
  </si>
  <si>
    <t>Buller Community of Learning</t>
  </si>
  <si>
    <t>Kidsfirst Kindergartens Avonhead</t>
  </si>
  <si>
    <t>03-3486803</t>
  </si>
  <si>
    <t>questions@kidsfirst.org.nz</t>
  </si>
  <si>
    <t>49 Staveley Street</t>
  </si>
  <si>
    <t>Avonhead</t>
  </si>
  <si>
    <t>Christchurch</t>
  </si>
  <si>
    <t>Christchurch City</t>
  </si>
  <si>
    <t>Canterbury, Chatham Islands</t>
  </si>
  <si>
    <t>Ilam</t>
  </si>
  <si>
    <t>Avonhead South</t>
  </si>
  <si>
    <t>Waimairi Ward</t>
  </si>
  <si>
    <t>Sherryll Wilson</t>
  </si>
  <si>
    <t>P O Box 8089</t>
  </si>
  <si>
    <t>Riccarton</t>
  </si>
  <si>
    <t>Christchurch 8440</t>
  </si>
  <si>
    <t>03-3381303</t>
  </si>
  <si>
    <t>Kidsfirst Kindergartens Beckenham</t>
  </si>
  <si>
    <t>03-3322647</t>
  </si>
  <si>
    <t>119 A Fisher Avenue</t>
  </si>
  <si>
    <t>Beckenham</t>
  </si>
  <si>
    <t>Christchurch Central</t>
  </si>
  <si>
    <t>Cashmere Ward</t>
  </si>
  <si>
    <t>Te Mana Raupō Kāhui Ako</t>
  </si>
  <si>
    <t>Kidsfirst Kindergartens Bush Street</t>
  </si>
  <si>
    <t>03-3135010</t>
  </si>
  <si>
    <t>27 Bush Street</t>
  </si>
  <si>
    <t>Rangiora</t>
  </si>
  <si>
    <t>Waimakariri District</t>
  </si>
  <si>
    <t>Waimakariri</t>
  </si>
  <si>
    <t>Rangiora South West</t>
  </si>
  <si>
    <t>Rangiora-Ashley Ward</t>
  </si>
  <si>
    <t>Puketeraki Community of Learning</t>
  </si>
  <si>
    <t>Kidsfirst Kindergartens Parklands</t>
  </si>
  <si>
    <t>03-3830777</t>
  </si>
  <si>
    <t>20 Chadbury Street</t>
  </si>
  <si>
    <t>Parklands</t>
  </si>
  <si>
    <t>Christchurch East</t>
  </si>
  <si>
    <t>Coastal Ward</t>
  </si>
  <si>
    <t>Kidsfirst Kindergartens Cashmere</t>
  </si>
  <si>
    <t>03-3327173</t>
  </si>
  <si>
    <t>106 Hackthorne Rd</t>
  </si>
  <si>
    <t>Cashmere</t>
  </si>
  <si>
    <t>Banks Peninsula</t>
  </si>
  <si>
    <t>Cashmere West</t>
  </si>
  <si>
    <t>Kidsfirst Kindergartens Cotswold Avenue</t>
  </si>
  <si>
    <t>03-359 7169</t>
  </si>
  <si>
    <t>62 Cotswold Avenue</t>
  </si>
  <si>
    <t>Bishopdale</t>
  </si>
  <si>
    <t>Bishopdale North</t>
  </si>
  <si>
    <t>Harewood Ward</t>
  </si>
  <si>
    <t>Tōtaranui Kāhui Ako</t>
  </si>
  <si>
    <t>Kidsfirst Kindergartens Edmonds Smith St</t>
  </si>
  <si>
    <t>03-3899995</t>
  </si>
  <si>
    <t>21 Smith Street</t>
  </si>
  <si>
    <t>Woolston</t>
  </si>
  <si>
    <t>Woolston North</t>
  </si>
  <si>
    <t>Linwood Ward</t>
  </si>
  <si>
    <t>Tamai Community of Learning</t>
  </si>
  <si>
    <t>Kidsfirst Kindergartens Ilam</t>
  </si>
  <si>
    <t>03-3517189</t>
  </si>
  <si>
    <t>6 Ryeland Ave</t>
  </si>
  <si>
    <t>Jellie Park</t>
  </si>
  <si>
    <t>Fendalton Ward</t>
  </si>
  <si>
    <t>Waimairi-iri Kāhui Ako</t>
  </si>
  <si>
    <t>Kidsfirst Kindergartens Greymouth</t>
  </si>
  <si>
    <t>021-743757</t>
  </si>
  <si>
    <t>greymouth@kidsfirst.org.nz</t>
  </si>
  <si>
    <t>85A Shakespeare Street</t>
  </si>
  <si>
    <t>Greymouth</t>
  </si>
  <si>
    <t>Grey District</t>
  </si>
  <si>
    <t>King Park</t>
  </si>
  <si>
    <t>Māwhera Kāhui Ako</t>
  </si>
  <si>
    <t>Kidsfirst Kindergartens Hargest Crescent</t>
  </si>
  <si>
    <t>03-3790136</t>
  </si>
  <si>
    <t>33 Hargest Crescent</t>
  </si>
  <si>
    <t>Waltham</t>
  </si>
  <si>
    <t>Sydenham North</t>
  </si>
  <si>
    <t>Heathcote Ward</t>
  </si>
  <si>
    <t>Kidsfirst Kindergartens Hei Hei</t>
  </si>
  <si>
    <t>03-3496265</t>
  </si>
  <si>
    <t>10 Wycola Avenue</t>
  </si>
  <si>
    <t>Hei Hei</t>
  </si>
  <si>
    <t>Wigram</t>
  </si>
  <si>
    <t>Hornby Ward</t>
  </si>
  <si>
    <t>Uru Mānuka Kāhui Ako</t>
  </si>
  <si>
    <t>Kidsfirst Kindergartens Hokitika</t>
  </si>
  <si>
    <t>021-917643</t>
  </si>
  <si>
    <t>hokitika@kidsfirst.org.nz</t>
  </si>
  <si>
    <t>77 Hall Street</t>
  </si>
  <si>
    <t>Hokitika</t>
  </si>
  <si>
    <t>Westland District</t>
  </si>
  <si>
    <t>Hokitika Ward</t>
  </si>
  <si>
    <t>Westland Community of Learning</t>
  </si>
  <si>
    <t>Kidsfirst Kindergartens Hornby</t>
  </si>
  <si>
    <t>03-3497977</t>
  </si>
  <si>
    <t>17 Brynley Street</t>
  </si>
  <si>
    <t>Hornby</t>
  </si>
  <si>
    <t>Hornby South</t>
  </si>
  <si>
    <t>Kidsfirst Kindergartens Karoro</t>
  </si>
  <si>
    <t>021-944038</t>
  </si>
  <si>
    <t>karoro@kidsfirst.org.nz</t>
  </si>
  <si>
    <t>20 Loris Place</t>
  </si>
  <si>
    <t>Karoro</t>
  </si>
  <si>
    <t>Southern Ward</t>
  </si>
  <si>
    <t>Kidsfirst Kindergartens Bromley</t>
  </si>
  <si>
    <t>03-3890359</t>
  </si>
  <si>
    <t>33 Keighleys Road</t>
  </si>
  <si>
    <t>Bromley</t>
  </si>
  <si>
    <t>Bromley South</t>
  </si>
  <si>
    <t>Kidsfirst Kindergartens Kendal Avenue</t>
  </si>
  <si>
    <t>03-3588632</t>
  </si>
  <si>
    <t>55 Kendal Avenue</t>
  </si>
  <si>
    <t>Burnside</t>
  </si>
  <si>
    <t>Kidsfirst Kindergartens King Street</t>
  </si>
  <si>
    <t>03-3137827</t>
  </si>
  <si>
    <t>203 King Street</t>
  </si>
  <si>
    <t>Rangiora North East</t>
  </si>
  <si>
    <t>Kidsfirst Kindergartens Linwood</t>
  </si>
  <si>
    <t>03-3899772</t>
  </si>
  <si>
    <t>24 Rochester Street</t>
  </si>
  <si>
    <t>Linwood</t>
  </si>
  <si>
    <t>Linwood North</t>
  </si>
  <si>
    <t>Kidsfirst Kindergartens Lyttelton</t>
  </si>
  <si>
    <t>03-3288689</t>
  </si>
  <si>
    <t>33 Winchester Street</t>
  </si>
  <si>
    <t>Lyttelton</t>
  </si>
  <si>
    <t>Banks Peninsula Ward</t>
  </si>
  <si>
    <t>Aupaki Kāhui Ako</t>
  </si>
  <si>
    <t>Kidsfirst Kindergartens MacFarlane Park</t>
  </si>
  <si>
    <t>03-3859696</t>
  </si>
  <si>
    <t>19 Acheson Avenue</t>
  </si>
  <si>
    <t>Shirley</t>
  </si>
  <si>
    <t>Shirley West</t>
  </si>
  <si>
    <t>Innes Ward</t>
  </si>
  <si>
    <t>Ōtākaro Community of Learning</t>
  </si>
  <si>
    <t>Kidsfirst Kindergartens McKenzie</t>
  </si>
  <si>
    <t>03-3484326</t>
  </si>
  <si>
    <t>107 Rattray Street</t>
  </si>
  <si>
    <t>Riccarton West</t>
  </si>
  <si>
    <t>Riccarton Ward</t>
  </si>
  <si>
    <t>Pūtaringamotu Kāhui Ako</t>
  </si>
  <si>
    <t>Kidsfirst Kindergartens Mairehau</t>
  </si>
  <si>
    <t>03-3852716</t>
  </si>
  <si>
    <t>23 Fergusson Avenue</t>
  </si>
  <si>
    <t>Mairehau</t>
  </si>
  <si>
    <t>Mairehau South</t>
  </si>
  <si>
    <t>Kidsfirst Kindergartens Mathers Road</t>
  </si>
  <si>
    <t>03-3384035</t>
  </si>
  <si>
    <t>109 Mathers Road</t>
  </si>
  <si>
    <t>Hoon Hay</t>
  </si>
  <si>
    <t>Hoon Hay West</t>
  </si>
  <si>
    <t>Spreydon Ward</t>
  </si>
  <si>
    <t>Kidsfirst Kindergartens The Bays</t>
  </si>
  <si>
    <t>03-3841065</t>
  </si>
  <si>
    <t>1 McCormacks Road</t>
  </si>
  <si>
    <t>Mt Pleasant</t>
  </si>
  <si>
    <t>Mount Pleasant</t>
  </si>
  <si>
    <t>Kidsfirst Kindergartens Northcote</t>
  </si>
  <si>
    <t>03-3528869</t>
  </si>
  <si>
    <t>121 Northcote Road</t>
  </si>
  <si>
    <t>Papanui North</t>
  </si>
  <si>
    <t>Papanui Ward</t>
  </si>
  <si>
    <t>Kidsfirst Kindergartens Nth New Brighton</t>
  </si>
  <si>
    <t>03-3888996</t>
  </si>
  <si>
    <t>177 Bowhill Road</t>
  </si>
  <si>
    <t>North New Brighton</t>
  </si>
  <si>
    <t>Rawhiti</t>
  </si>
  <si>
    <t>Kidsfirst Kindergartens Nuffield</t>
  </si>
  <si>
    <t>03-3888694</t>
  </si>
  <si>
    <t>171 Seaview Road</t>
  </si>
  <si>
    <t>New Brighton</t>
  </si>
  <si>
    <t>Kidsfirst Kindergartens Opawa St Martins</t>
  </si>
  <si>
    <t>03-3322866</t>
  </si>
  <si>
    <t>8 Butler Street</t>
  </si>
  <si>
    <t>Opawa</t>
  </si>
  <si>
    <t>Kidsfirst Kindergartens Papanui</t>
  </si>
  <si>
    <t>03-3529484</t>
  </si>
  <si>
    <t>57 Bellvue Avenue</t>
  </si>
  <si>
    <t>Papanui</t>
  </si>
  <si>
    <t>Northlands (Christchurch City)</t>
  </si>
  <si>
    <t>Kidsfirst Kindergartens Phillipstown</t>
  </si>
  <si>
    <t>03-3667233</t>
  </si>
  <si>
    <t>533 St Asaph Street</t>
  </si>
  <si>
    <t>Phillipstown</t>
  </si>
  <si>
    <t>Kidsfirst Kindergartens Portsmouth Street</t>
  </si>
  <si>
    <t>03-3885347</t>
  </si>
  <si>
    <t>36 Portsmouth Street</t>
  </si>
  <si>
    <t>Wainoni</t>
  </si>
  <si>
    <t>Aranui</t>
  </si>
  <si>
    <t>Burwood Ward</t>
  </si>
  <si>
    <t>Kidsfirst Kindergartens Queenspark</t>
  </si>
  <si>
    <t>03-3830170</t>
  </si>
  <si>
    <t>228 Queenspark Drive</t>
  </si>
  <si>
    <t>Burwood</t>
  </si>
  <si>
    <t>Queenspark</t>
  </si>
  <si>
    <t>Kidsfirst Kindergartens Redwood</t>
  </si>
  <si>
    <t>03-3527778</t>
  </si>
  <si>
    <t>345 A Main North Road</t>
  </si>
  <si>
    <t>Redwood</t>
  </si>
  <si>
    <t>Redwood West</t>
  </si>
  <si>
    <t>Kidsfirst Kindergartens Riccarton</t>
  </si>
  <si>
    <t>03-3483485</t>
  </si>
  <si>
    <t>19 Harakeke Street</t>
  </si>
  <si>
    <t>Mona Vale</t>
  </si>
  <si>
    <t>Kidsfirst Kindergartens Richmond</t>
  </si>
  <si>
    <t>03-3895236</t>
  </si>
  <si>
    <t>41 North Avon Road</t>
  </si>
  <si>
    <t>Closed Service</t>
  </si>
  <si>
    <t>Richmond North (Christchurch City)</t>
  </si>
  <si>
    <t>Kidsfirst Kindergartens Hoon Hay</t>
  </si>
  <si>
    <t>03-3382292</t>
  </si>
  <si>
    <t>60 Rowley Avenue</t>
  </si>
  <si>
    <t>Kidsfirst Kindergartens Rutland Street</t>
  </si>
  <si>
    <t>03-3525101</t>
  </si>
  <si>
    <t>188 Rutland Street</t>
  </si>
  <si>
    <t>Malvern</t>
  </si>
  <si>
    <t>Kidsfirst Kindergartens Selwyn Street</t>
  </si>
  <si>
    <t>03-3663472</t>
  </si>
  <si>
    <t>366 Selwyn Street</t>
  </si>
  <si>
    <t>Spreydon</t>
  </si>
  <si>
    <t>Addington East</t>
  </si>
  <si>
    <t>Kidsfirst Kindergartens Shirley</t>
  </si>
  <si>
    <t>03-3851598</t>
  </si>
  <si>
    <t>3 Ajax Street</t>
  </si>
  <si>
    <t>Dallington</t>
  </si>
  <si>
    <t>Kidsfirst Kindergartens South Brighton</t>
  </si>
  <si>
    <t>03-3887957</t>
  </si>
  <si>
    <t>39 Bridge Street</t>
  </si>
  <si>
    <t>South New Brighton</t>
  </si>
  <si>
    <t>Kidsfirst Kindergartens Sumner</t>
  </si>
  <si>
    <t>03-3266718</t>
  </si>
  <si>
    <t>25 Dryden Street</t>
  </si>
  <si>
    <t>Sumner</t>
  </si>
  <si>
    <t>Kidsfirst Kindergartens Sunbeam</t>
  </si>
  <si>
    <t>03-3667157</t>
  </si>
  <si>
    <t>13 Cornwall Street</t>
  </si>
  <si>
    <t>St Albans</t>
  </si>
  <si>
    <t>St Albans North</t>
  </si>
  <si>
    <t>Kidsfirst Kindergartens Templeton</t>
  </si>
  <si>
    <t>03-3498206</t>
  </si>
  <si>
    <t>19 Banks Street</t>
  </si>
  <si>
    <t>Templeton</t>
  </si>
  <si>
    <t>Selwyn</t>
  </si>
  <si>
    <t>Kidsfirst Kindergartens Trengrove</t>
  </si>
  <si>
    <t>03-3517874</t>
  </si>
  <si>
    <t>243 Clyde Road</t>
  </si>
  <si>
    <t>Fendalton</t>
  </si>
  <si>
    <t>Kidsfirst Kindergartens Vickery Street</t>
  </si>
  <si>
    <t>03-3277783</t>
  </si>
  <si>
    <t>22 Vickery Street</t>
  </si>
  <si>
    <t>Kaiapoi</t>
  </si>
  <si>
    <t>Kaiapoi South</t>
  </si>
  <si>
    <t>Kaiapoi-Woodend Ward</t>
  </si>
  <si>
    <t>Katote (Christchurch) Community of Learning</t>
  </si>
  <si>
    <t>Kidsfirst Kindergartens Wales Street</t>
  </si>
  <si>
    <t>03-3228046</t>
  </si>
  <si>
    <t>134 Wales Street</t>
  </si>
  <si>
    <t>Halswell</t>
  </si>
  <si>
    <t>Oaklands East</t>
  </si>
  <si>
    <t>Halswell Ward</t>
  </si>
  <si>
    <t>Kidsfirst Kindergartens Wigram</t>
  </si>
  <si>
    <t>03-3497982</t>
  </si>
  <si>
    <t>56 Springs Road</t>
  </si>
  <si>
    <t>Kidsfirst Kindergartens Woolley Street</t>
  </si>
  <si>
    <t>03-3882109</t>
  </si>
  <si>
    <t>63 Woolley Street</t>
  </si>
  <si>
    <t>Avondale (Christchurch City)</t>
  </si>
  <si>
    <t>Kidsfirst Kindergartens Burnham</t>
  </si>
  <si>
    <t>03-347 6707</t>
  </si>
  <si>
    <t>16 Ruru Street</t>
  </si>
  <si>
    <t>Burnham</t>
  </si>
  <si>
    <t>Selwyn District</t>
  </si>
  <si>
    <t>Burnham Camp</t>
  </si>
  <si>
    <t>Ellesmere Ward</t>
  </si>
  <si>
    <t>Ngā Peka o Tauwharekākaho (Rolleston) Kāhui Ako</t>
  </si>
  <si>
    <t>Allenton Free Kindergarten</t>
  </si>
  <si>
    <t>03-3087896</t>
  </si>
  <si>
    <t>association@ashkindy.co.nz</t>
  </si>
  <si>
    <t>46 Allens Road</t>
  </si>
  <si>
    <t>Allenton</t>
  </si>
  <si>
    <t>Ashburton</t>
  </si>
  <si>
    <t>Ashburton District</t>
  </si>
  <si>
    <t>Rangitata</t>
  </si>
  <si>
    <t>Allenton South</t>
  </si>
  <si>
    <t>Ashburton Ward</t>
  </si>
  <si>
    <t>Kalena Hirst</t>
  </si>
  <si>
    <t>42 Cambridge Street</t>
  </si>
  <si>
    <t>Ashburton 7700</t>
  </si>
  <si>
    <t>021-636677</t>
  </si>
  <si>
    <t>Hakatere Kāhui Ako</t>
  </si>
  <si>
    <t>Aubrey Mason Free Kindergarten</t>
  </si>
  <si>
    <t>03-3084379</t>
  </si>
  <si>
    <t>Thomson Street</t>
  </si>
  <si>
    <t>Tinwald</t>
  </si>
  <si>
    <t>Tinwald South</t>
  </si>
  <si>
    <t>Hampstead Free Kindergarten</t>
  </si>
  <si>
    <t>03-3083954</t>
  </si>
  <si>
    <t>Cambridge Street</t>
  </si>
  <si>
    <t>Hampstead</t>
  </si>
  <si>
    <t>Merle Leask Free Kindergarten</t>
  </si>
  <si>
    <t>03-3083337</t>
  </si>
  <si>
    <t>34 Davis Crescent</t>
  </si>
  <si>
    <t>Netherby</t>
  </si>
  <si>
    <t>Thomas Street Kindergarten</t>
  </si>
  <si>
    <t>03-3089587</t>
  </si>
  <si>
    <t>Thomas Street</t>
  </si>
  <si>
    <t>Allenton East</t>
  </si>
  <si>
    <t>Geraldine Kindergarten</t>
  </si>
  <si>
    <t>03-6938888</t>
  </si>
  <si>
    <t>gm.gdfka@xtra.co.nz</t>
  </si>
  <si>
    <t>25 Wilson Street</t>
  </si>
  <si>
    <t>Geraldine</t>
  </si>
  <si>
    <t>Timaru District</t>
  </si>
  <si>
    <t>Waitaki</t>
  </si>
  <si>
    <t>Geraldine Ward</t>
  </si>
  <si>
    <t>Helen May</t>
  </si>
  <si>
    <t>P O Box 82</t>
  </si>
  <si>
    <t>Geraldine 7956</t>
  </si>
  <si>
    <t>03-6937161</t>
  </si>
  <si>
    <t>Ka Awa Whiria</t>
  </si>
  <si>
    <t>Glenview Free Kindergarten</t>
  </si>
  <si>
    <t>03-6860726</t>
  </si>
  <si>
    <t>glenview.kindergarten@sck.nz</t>
  </si>
  <si>
    <t>69 Gleniti Road</t>
  </si>
  <si>
    <t>Timaru</t>
  </si>
  <si>
    <t>Gleniti South</t>
  </si>
  <si>
    <t>Timaru Ward</t>
  </si>
  <si>
    <t>Tania Rose</t>
  </si>
  <si>
    <t>P O Box 61</t>
  </si>
  <si>
    <t>Timaru 7940</t>
  </si>
  <si>
    <t>03-6883098</t>
  </si>
  <si>
    <t>North Timaru Community of Learning</t>
  </si>
  <si>
    <t>Hanan Free Kindergarten</t>
  </si>
  <si>
    <t>03-6845470</t>
  </si>
  <si>
    <t>22 B College Road</t>
  </si>
  <si>
    <t>Kensington (Timaru District)</t>
  </si>
  <si>
    <t>South Timaru Community of Learning</t>
  </si>
  <si>
    <t>Kowhai Free Kindergarten</t>
  </si>
  <si>
    <t>03-6880285</t>
  </si>
  <si>
    <t>kowhai.kindergarten@sck.nz</t>
  </si>
  <si>
    <t>16 Coonoor Road</t>
  </si>
  <si>
    <t>Watlington</t>
  </si>
  <si>
    <t>Fairlie Area Kindergarten</t>
  </si>
  <si>
    <t>03-6858505</t>
  </si>
  <si>
    <t>fairliearea.kindergarten@sck.nz</t>
  </si>
  <si>
    <t>12 Sloane Street</t>
  </si>
  <si>
    <t>Fairlie</t>
  </si>
  <si>
    <t>Mackenzie District</t>
  </si>
  <si>
    <t>Opuha Ward</t>
  </si>
  <si>
    <t>Te Kāhui Ako ō Te Manahuna</t>
  </si>
  <si>
    <t>Ranui Free Kindergarten (Timaru)</t>
  </si>
  <si>
    <t>03-684 4469</t>
  </si>
  <si>
    <t>ranui.kindergarten@sck.nz</t>
  </si>
  <si>
    <t>253 Selwyn Street</t>
  </si>
  <si>
    <t>Marchwiel East</t>
  </si>
  <si>
    <t>Rata Free Kindergarten</t>
  </si>
  <si>
    <t>03-688 1991</t>
  </si>
  <si>
    <t>rata.kindergarten@sck.nz</t>
  </si>
  <si>
    <t>53 Cass Street</t>
  </si>
  <si>
    <t>Temuka</t>
  </si>
  <si>
    <t>Temuka West</t>
  </si>
  <si>
    <t>Pleasant Point-Temuka Ward</t>
  </si>
  <si>
    <t>Rhona Day Free Kindergarten</t>
  </si>
  <si>
    <t>03-688 0850</t>
  </si>
  <si>
    <t>2 Hamilton Street</t>
  </si>
  <si>
    <t>Twizel Free Kindergarten</t>
  </si>
  <si>
    <t>03-435 0433</t>
  </si>
  <si>
    <t>office@sck.nz</t>
  </si>
  <si>
    <t>135 Mackenzie Drive</t>
  </si>
  <si>
    <t>Twizel</t>
  </si>
  <si>
    <t>Pukaki Ward</t>
  </si>
  <si>
    <t>Waimataitai Kindergarten</t>
  </si>
  <si>
    <t>03-6843419</t>
  </si>
  <si>
    <t>waimataitai.kindergarten@sck.nz</t>
  </si>
  <si>
    <t>69 Evans Street</t>
  </si>
  <si>
    <t>Waimataitai-Maori Hill</t>
  </si>
  <si>
    <t>West End Kindergarten (Timaru)</t>
  </si>
  <si>
    <t>03-6843996</t>
  </si>
  <si>
    <t>westend.kindergarten@sck.nz</t>
  </si>
  <si>
    <t>34 Kiwi Drive</t>
  </si>
  <si>
    <t>Highfield South</t>
  </si>
  <si>
    <t>Esk Valley Kindergarten</t>
  </si>
  <si>
    <t>03-6898951</t>
  </si>
  <si>
    <t>waimatewfka@xtra.co.nz</t>
  </si>
  <si>
    <t>279 Esk Valley</t>
  </si>
  <si>
    <t>St Andrews</t>
  </si>
  <si>
    <t>Waimate District</t>
  </si>
  <si>
    <t>Maungati</t>
  </si>
  <si>
    <t>Pareora-Otaio-Makikihi Ward</t>
  </si>
  <si>
    <t>Terina Eade</t>
  </si>
  <si>
    <t>13 John Street</t>
  </si>
  <si>
    <t>Waimate 7924</t>
  </si>
  <si>
    <t>03-689 8961</t>
  </si>
  <si>
    <t>Waimate Community of Learning</t>
  </si>
  <si>
    <t>Casa Nova Kindergarten</t>
  </si>
  <si>
    <t>03-4370250</t>
  </si>
  <si>
    <t>ht.casan@oamarukindergarten.co.nz</t>
  </si>
  <si>
    <t>Raglan Street</t>
  </si>
  <si>
    <t>Oamaru</t>
  </si>
  <si>
    <t>Waitaki District</t>
  </si>
  <si>
    <t>Otago, Southland</t>
  </si>
  <si>
    <t>Oamaru North Orana Park</t>
  </si>
  <si>
    <t>Oamaru Ward</t>
  </si>
  <si>
    <t>Julie Craig</t>
  </si>
  <si>
    <t>209-211 Thames St</t>
  </si>
  <si>
    <t>Oamaru 9400</t>
  </si>
  <si>
    <t>03-4342422</t>
  </si>
  <si>
    <t>Holmes Kindergarten</t>
  </si>
  <si>
    <t>03-4346437</t>
  </si>
  <si>
    <t>ht.holmes@oamarukindergarten.co.nz</t>
  </si>
  <si>
    <t>34 A Stuart Street</t>
  </si>
  <si>
    <t>Holmes Hill</t>
  </si>
  <si>
    <t>Edna McCulloch Kindergarten</t>
  </si>
  <si>
    <t>03-4348343</t>
  </si>
  <si>
    <t>ht.ednam@oamarukindergarten.co.nz</t>
  </si>
  <si>
    <t>12 Arun Street</t>
  </si>
  <si>
    <t>South Hill</t>
  </si>
  <si>
    <t>Kidsfirst Kindergartens Alexandra</t>
  </si>
  <si>
    <t>03-4488655</t>
  </si>
  <si>
    <t>alexandra@kidsfirst.org.nz</t>
  </si>
  <si>
    <t>3 Ventry Street</t>
  </si>
  <si>
    <t>Alexandra</t>
  </si>
  <si>
    <t>Central Otago District</t>
  </si>
  <si>
    <t>Southland</t>
  </si>
  <si>
    <t>Alexandra South</t>
  </si>
  <si>
    <t>Vincent Ward</t>
  </si>
  <si>
    <t>Dunstan Community of Learning</t>
  </si>
  <si>
    <t>Kidsfirst Kindergartens Cromwell</t>
  </si>
  <si>
    <t>03-4450530</t>
  </si>
  <si>
    <t>cromwell@kidsfirst.org.nz</t>
  </si>
  <si>
    <t>25 Gilling Place</t>
  </si>
  <si>
    <t>Cromwell</t>
  </si>
  <si>
    <t>Cromwell West</t>
  </si>
  <si>
    <t>Cromwell Ward</t>
  </si>
  <si>
    <t>Te Kāhui Ako o Ngā Awanui</t>
  </si>
  <si>
    <t>Kidsfirst Kindergartens Terrace</t>
  </si>
  <si>
    <t>03-4487291</t>
  </si>
  <si>
    <t>terrace@kidsfirst.org.nz</t>
  </si>
  <si>
    <t>74 Russell Street</t>
  </si>
  <si>
    <t>Alexandra North</t>
  </si>
  <si>
    <t>Abbotsford Kindergarten</t>
  </si>
  <si>
    <t>03-4882021</t>
  </si>
  <si>
    <t>13 Neill Street</t>
  </si>
  <si>
    <t>Abbotsford</t>
  </si>
  <si>
    <t>Dunedin</t>
  </si>
  <si>
    <t>Dunedin City</t>
  </si>
  <si>
    <t>Taieri</t>
  </si>
  <si>
    <t>Nicola Hogg</t>
  </si>
  <si>
    <t>81 Forbury Road</t>
  </si>
  <si>
    <t>Saint Clair</t>
  </si>
  <si>
    <t>Dunedin 9012</t>
  </si>
  <si>
    <t>027-2248540</t>
  </si>
  <si>
    <t>Bayfield Kindergarten</t>
  </si>
  <si>
    <t>03-4550038</t>
  </si>
  <si>
    <t>2 Bayfield Road</t>
  </si>
  <si>
    <t>Andersons Bay</t>
  </si>
  <si>
    <t>Musselburgh</t>
  </si>
  <si>
    <t>Brockville Kindergarten</t>
  </si>
  <si>
    <t>03-4762201</t>
  </si>
  <si>
    <t>255 Brockville Road</t>
  </si>
  <si>
    <t>Brockville</t>
  </si>
  <si>
    <t>Concord Kindergarten</t>
  </si>
  <si>
    <t>03-4876704</t>
  </si>
  <si>
    <t>93 Mulford Street</t>
  </si>
  <si>
    <t>Concord</t>
  </si>
  <si>
    <t>Corstorphine Kindergarten</t>
  </si>
  <si>
    <t>03-4878295</t>
  </si>
  <si>
    <t>10 Lockerbie Street</t>
  </si>
  <si>
    <t>Corstorphine</t>
  </si>
  <si>
    <t>Grants Braes Kindergarten</t>
  </si>
  <si>
    <t>03-4543407</t>
  </si>
  <si>
    <t>100 Belford Street</t>
  </si>
  <si>
    <t>Waverley (Dunedin City)</t>
  </si>
  <si>
    <t>Green Island Kindergarten</t>
  </si>
  <si>
    <t>03-4883094</t>
  </si>
  <si>
    <t>20 Howden Street</t>
  </si>
  <si>
    <t>Green Island</t>
  </si>
  <si>
    <t>Halfway Bush Kindergarten</t>
  </si>
  <si>
    <t>03-4764544</t>
  </si>
  <si>
    <t>41 Salmond Street</t>
  </si>
  <si>
    <t>Halfway Bush</t>
  </si>
  <si>
    <t>Helen Deem Kindergarten</t>
  </si>
  <si>
    <t>03-4557093</t>
  </si>
  <si>
    <t>St Clair</t>
  </si>
  <si>
    <t>Forbury</t>
  </si>
  <si>
    <t>Jonathan Rhodes Kindergarten</t>
  </si>
  <si>
    <t>03-4739107</t>
  </si>
  <si>
    <t>336 North Road</t>
  </si>
  <si>
    <t>North East Valley</t>
  </si>
  <si>
    <t>North East Valley Chingford</t>
  </si>
  <si>
    <t>Otepoti ki Te Raki - Community of Learning Dunedin</t>
  </si>
  <si>
    <t>Kaikorai Kindergarten</t>
  </si>
  <si>
    <t>03-4764496</t>
  </si>
  <si>
    <t>7 Greenock Street</t>
  </si>
  <si>
    <t>Kaikorai</t>
  </si>
  <si>
    <t>Wakari</t>
  </si>
  <si>
    <t>Kelsey-Yaralla Kindergarten</t>
  </si>
  <si>
    <t>03-4776674</t>
  </si>
  <si>
    <t>4 Trent Avenue</t>
  </si>
  <si>
    <t>Dunedin North</t>
  </si>
  <si>
    <t>Campus South</t>
  </si>
  <si>
    <t>Port Chalmers Kindergarten</t>
  </si>
  <si>
    <t>03-4728696</t>
  </si>
  <si>
    <t>30 b Albertson Avenue</t>
  </si>
  <si>
    <t>Port Chalmers</t>
  </si>
  <si>
    <t>Rachel Reynolds Kindergarten</t>
  </si>
  <si>
    <t>03-4551226</t>
  </si>
  <si>
    <t>175 Macandrew Road</t>
  </si>
  <si>
    <t>South Dunedin</t>
  </si>
  <si>
    <t>Richard Hudson Kindergarten</t>
  </si>
  <si>
    <t>03-4558565</t>
  </si>
  <si>
    <t>42 Rutherford  Street</t>
  </si>
  <si>
    <t>Caversham</t>
  </si>
  <si>
    <t>Roslyn Kindergarten (Dunedin)</t>
  </si>
  <si>
    <t>03-4774409</t>
  </si>
  <si>
    <t>69 Highgate</t>
  </si>
  <si>
    <t>Belleknowes</t>
  </si>
  <si>
    <t>Rotary Park Kindergarten</t>
  </si>
  <si>
    <t>03-4544238</t>
  </si>
  <si>
    <t>289 Highcliff Road</t>
  </si>
  <si>
    <t>Shiel Hill</t>
  </si>
  <si>
    <t>St Kilda Kindergarten</t>
  </si>
  <si>
    <t>03-4554442</t>
  </si>
  <si>
    <t>47 Victoria Road</t>
  </si>
  <si>
    <t>St Kilda</t>
  </si>
  <si>
    <t>St Kilda North</t>
  </si>
  <si>
    <t>Wakari Kindergarten</t>
  </si>
  <si>
    <t>03-4667677</t>
  </si>
  <si>
    <t>136 Lynn Street</t>
  </si>
  <si>
    <t>Mosgiel Central Kindergarten</t>
  </si>
  <si>
    <t>03-4897134</t>
  </si>
  <si>
    <t>3 Irvine Street</t>
  </si>
  <si>
    <t>Mosgiel</t>
  </si>
  <si>
    <t>Mosgiel Central</t>
  </si>
  <si>
    <t>Reid Park Kindergarten</t>
  </si>
  <si>
    <t>03-4895515</t>
  </si>
  <si>
    <t>63 Murray Street</t>
  </si>
  <si>
    <t>Seddon Park</t>
  </si>
  <si>
    <t>Balclutha Kindergarten</t>
  </si>
  <si>
    <t>03-418 0330</t>
  </si>
  <si>
    <t>balclutha@wmkindergartens.org.nz</t>
  </si>
  <si>
    <t>1 Lanark Street</t>
  </si>
  <si>
    <t>Balclutha</t>
  </si>
  <si>
    <t>Clutha District</t>
  </si>
  <si>
    <t>Balclutha South</t>
  </si>
  <si>
    <t>Balclutha Ward</t>
  </si>
  <si>
    <t>Gillian Crawford</t>
  </si>
  <si>
    <t>03-4182043</t>
  </si>
  <si>
    <t>Big River Kāhui Ako</t>
  </si>
  <si>
    <t>Rosebank Kindergarten</t>
  </si>
  <si>
    <t>03-418 2670</t>
  </si>
  <si>
    <t>rosebank@wmkindergartens.org.nz</t>
  </si>
  <si>
    <t>14 Naish Street</t>
  </si>
  <si>
    <t>Bluff Kindergarten</t>
  </si>
  <si>
    <t>03-2128674</t>
  </si>
  <si>
    <t>bluffk@ska.co.nz</t>
  </si>
  <si>
    <t>144 Foyle Street</t>
  </si>
  <si>
    <t>Bluff</t>
  </si>
  <si>
    <t>Invercargill City</t>
  </si>
  <si>
    <t>Invercargill</t>
  </si>
  <si>
    <t>Patrick Edwards</t>
  </si>
  <si>
    <t>P O Box 1362</t>
  </si>
  <si>
    <t>Invercargill 9840</t>
  </si>
  <si>
    <t>03-2140237</t>
  </si>
  <si>
    <t>Clarendon Kindergarten</t>
  </si>
  <si>
    <t>03-2169664</t>
  </si>
  <si>
    <t>clarendonk@ska.co.nz</t>
  </si>
  <si>
    <t>30 Waiau Place</t>
  </si>
  <si>
    <t>Kingswell</t>
  </si>
  <si>
    <t>Invercargill Community of Learning</t>
  </si>
  <si>
    <t>Elsie Street Kindergarten</t>
  </si>
  <si>
    <t>03-2086575</t>
  </si>
  <si>
    <t>elsiestreet@ska.co.nz</t>
  </si>
  <si>
    <t>6 Elsie Street</t>
  </si>
  <si>
    <t>Gore</t>
  </si>
  <si>
    <t>Gore District</t>
  </si>
  <si>
    <t>Gore Main</t>
  </si>
  <si>
    <t>Gore Ward</t>
  </si>
  <si>
    <t>Eastern Southland Kāhui Ako</t>
  </si>
  <si>
    <t>Elston Lea Kindergarten</t>
  </si>
  <si>
    <t>03-2168801</t>
  </si>
  <si>
    <t>elstonleak@ska.co.nz</t>
  </si>
  <si>
    <t>40 Iona Court</t>
  </si>
  <si>
    <t>Strathern</t>
  </si>
  <si>
    <t>Fiordland Kindergarten</t>
  </si>
  <si>
    <t>03-2497585</t>
  </si>
  <si>
    <t>9 Gunn Street</t>
  </si>
  <si>
    <t>Te Anau</t>
  </si>
  <si>
    <t>Southland District</t>
  </si>
  <si>
    <t>Te Ānau</t>
  </si>
  <si>
    <t>Mararoa Waimea Ward</t>
  </si>
  <si>
    <t>FINS CoL</t>
  </si>
  <si>
    <t>Glengarry Kindergarten</t>
  </si>
  <si>
    <t>03-2174461</t>
  </si>
  <si>
    <t>glengarryk@ska.co.nz</t>
  </si>
  <si>
    <t>116 Derwent Crescent</t>
  </si>
  <si>
    <t>Glengarry</t>
  </si>
  <si>
    <t>Grasmere Kindergarten</t>
  </si>
  <si>
    <t>03-2159292</t>
  </si>
  <si>
    <t>grasmerek@ska.co.nz</t>
  </si>
  <si>
    <t>90 Heywood Street</t>
  </si>
  <si>
    <t>Prestonville-Grasmere</t>
  </si>
  <si>
    <t>Kew Kindergarten</t>
  </si>
  <si>
    <t>03-2184243</t>
  </si>
  <si>
    <t>kewk@ska.co.nz</t>
  </si>
  <si>
    <t>51 Selwyn Street</t>
  </si>
  <si>
    <t>Appleby South (Invercargill City)</t>
  </si>
  <si>
    <t>Lindisfarne Kindergarten</t>
  </si>
  <si>
    <t>03-2179467</t>
  </si>
  <si>
    <t>lindis@ska.co.nz</t>
  </si>
  <si>
    <t>34 Mitchell Street</t>
  </si>
  <si>
    <t>Richmond (Invercargill City)</t>
  </si>
  <si>
    <t>Newfield Kindergarten</t>
  </si>
  <si>
    <t>03-2168743</t>
  </si>
  <si>
    <t>newfieldk@ska.co.nz</t>
  </si>
  <si>
    <t>150 Centre Street</t>
  </si>
  <si>
    <t>Newfield</t>
  </si>
  <si>
    <t>Otatara Kindergarten</t>
  </si>
  <si>
    <t>03-2130737</t>
  </si>
  <si>
    <t>otatarak@ska.co.nz</t>
  </si>
  <si>
    <t>140 Dunns Road</t>
  </si>
  <si>
    <t>Otatara</t>
  </si>
  <si>
    <t>Oxford Kindergarten</t>
  </si>
  <si>
    <t>03-2084147</t>
  </si>
  <si>
    <t>oxford.kindy@ska.co.nz</t>
  </si>
  <si>
    <t>16 Oxford Street</t>
  </si>
  <si>
    <t>East Gore</t>
  </si>
  <si>
    <t>Ranui Kindergarten (Invercargill)</t>
  </si>
  <si>
    <t>03-2169355</t>
  </si>
  <si>
    <t>ranuik@ska.co.nz</t>
  </si>
  <si>
    <t>288 Nelson Street</t>
  </si>
  <si>
    <t>Riverton Kindergarten</t>
  </si>
  <si>
    <t>03-2348224</t>
  </si>
  <si>
    <t>rivertonkindy@ska.co.nz</t>
  </si>
  <si>
    <t>120 Havelock Street</t>
  </si>
  <si>
    <t>Riverton</t>
  </si>
  <si>
    <t>Waiau Aparima Ward</t>
  </si>
  <si>
    <t>Waikiwi Kindergarten</t>
  </si>
  <si>
    <t>03-2158297</t>
  </si>
  <si>
    <t>waikiwi@ska.co.nz</t>
  </si>
  <si>
    <t>Durham Street</t>
  </si>
  <si>
    <t>Waikiwi</t>
  </si>
  <si>
    <t>Waverley Kindergarten</t>
  </si>
  <si>
    <t>03-2177080</t>
  </si>
  <si>
    <t>waverley@ska.co.nz</t>
  </si>
  <si>
    <t>195 George Street</t>
  </si>
  <si>
    <t>Windsor</t>
  </si>
  <si>
    <t>Winton Kindergarten</t>
  </si>
  <si>
    <t>03-2368058</t>
  </si>
  <si>
    <t>wintonk@ska.co.nz</t>
  </si>
  <si>
    <t>183 Park Street</t>
  </si>
  <si>
    <t>Winton</t>
  </si>
  <si>
    <t>Oreti Ward</t>
  </si>
  <si>
    <t>South End Kindergarten</t>
  </si>
  <si>
    <t>06-379 7723</t>
  </si>
  <si>
    <t>High Street South</t>
  </si>
  <si>
    <t>Follett Street Kindergarten</t>
  </si>
  <si>
    <t>06-3277370</t>
  </si>
  <si>
    <t>follettstreet@ruahinekindergartens.org.nz</t>
  </si>
  <si>
    <t>Follett Street</t>
  </si>
  <si>
    <t>Marton North</t>
  </si>
  <si>
    <t>Milverton Kindergarten</t>
  </si>
  <si>
    <t>06-3578523</t>
  </si>
  <si>
    <t>milverton@ruahinekindergartens.org.nz</t>
  </si>
  <si>
    <t>120 Victoria Avenue</t>
  </si>
  <si>
    <t>Milverton</t>
  </si>
  <si>
    <t>Kidsfirst Kindergartens Belfast</t>
  </si>
  <si>
    <t>03-3237027</t>
  </si>
  <si>
    <t>672 Main North Road</t>
  </si>
  <si>
    <t>Belfast</t>
  </si>
  <si>
    <t>Belfast East</t>
  </si>
  <si>
    <t>Lees Street Kindergarten</t>
  </si>
  <si>
    <t>03-2186680</t>
  </si>
  <si>
    <t>leesstreet@ska.co.nz</t>
  </si>
  <si>
    <t>75 Lees Street</t>
  </si>
  <si>
    <t>Gladstone (Invercargill City)</t>
  </si>
  <si>
    <t>Adventure Kindergarten</t>
  </si>
  <si>
    <t>04-234 8022</t>
  </si>
  <si>
    <t>adventure@wmkindergartens.org.nz</t>
  </si>
  <si>
    <t>18 Longitude Place</t>
  </si>
  <si>
    <t>Whangaparaoa Kindergarten</t>
  </si>
  <si>
    <t>09-424 5130</t>
  </si>
  <si>
    <t>whangaparaoa@kaitiakikindergartens.org.nz</t>
  </si>
  <si>
    <t>7 Motutapu Avenue</t>
  </si>
  <si>
    <t>Whangaparaoa</t>
  </si>
  <si>
    <t>Manly East</t>
  </si>
  <si>
    <t>Carlyle Kindergarten</t>
  </si>
  <si>
    <t>06-8353952</t>
  </si>
  <si>
    <t>carlylekgtn@napierkindergartens.co.nz</t>
  </si>
  <si>
    <t>113 Thackeray Street</t>
  </si>
  <si>
    <t>Napier South</t>
  </si>
  <si>
    <t>Nelson Park</t>
  </si>
  <si>
    <t>Frankleigh Park Kindergarten</t>
  </si>
  <si>
    <t>06-7536373</t>
  </si>
  <si>
    <t>frankleighpark@kindergartentaranaki.co.nz</t>
  </si>
  <si>
    <t>147A Govett Avenue</t>
  </si>
  <si>
    <t>Frankleigh Park</t>
  </si>
  <si>
    <t>John Street Kindergarten</t>
  </si>
  <si>
    <t>Waimate</t>
  </si>
  <si>
    <t>Waimate East</t>
  </si>
  <si>
    <t>Waimate Ward</t>
  </si>
  <si>
    <t>Fanau Pasifika</t>
  </si>
  <si>
    <t>06-368 5041</t>
  </si>
  <si>
    <t>fanaupasifika@wmkindergartens.org.nz</t>
  </si>
  <si>
    <t>76 A Cambridge Street</t>
  </si>
  <si>
    <t>Pacific ECE Service centre</t>
  </si>
  <si>
    <t>Levin Central</t>
  </si>
  <si>
    <t>Kidsfirst Kindergartens Halswell</t>
  </si>
  <si>
    <t>03-3228546</t>
  </si>
  <si>
    <t>Halswell Domain Halswell Road</t>
  </si>
  <si>
    <t>Halswell North</t>
  </si>
  <si>
    <t>Holborn Kindergarten</t>
  </si>
  <si>
    <t>04-9209818</t>
  </si>
  <si>
    <t>holborn@huttkindergartens.org.nz</t>
  </si>
  <si>
    <t>158 Holborn Drive</t>
  </si>
  <si>
    <t>Oaktree Kindergarten</t>
  </si>
  <si>
    <t>09-4795979</t>
  </si>
  <si>
    <t>oaktree@kaitiakikindergartens.org.nz</t>
  </si>
  <si>
    <t>1 Palliser Lane</t>
  </si>
  <si>
    <t>Browns Bay South West</t>
  </si>
  <si>
    <t>Kidsfirst Kindergartens Lincoln</t>
  </si>
  <si>
    <t>03-325 2700</t>
  </si>
  <si>
    <t>Boundary Road</t>
  </si>
  <si>
    <t>Lincoln</t>
  </si>
  <si>
    <t>Lincoln West</t>
  </si>
  <si>
    <t>Springs Ward</t>
  </si>
  <si>
    <t>Ngā Mātāpuna o Ngā Pakihi Community of Learning</t>
  </si>
  <si>
    <t>Kidsfirst Kindergartens Broomfield</t>
  </si>
  <si>
    <t>03-3427136</t>
  </si>
  <si>
    <t>15 Pensacola Crescent</t>
  </si>
  <si>
    <t>Broomfield</t>
  </si>
  <si>
    <t>Kerikeri Kindergarten</t>
  </si>
  <si>
    <t>09-4079639</t>
  </si>
  <si>
    <t>Hone Heke Road</t>
  </si>
  <si>
    <t>Kerikeri</t>
  </si>
  <si>
    <t>Kerikeri Central</t>
  </si>
  <si>
    <t>Grasslands Kindergarten</t>
  </si>
  <si>
    <t>07-8472908</t>
  </si>
  <si>
    <t>17 Karen Crescent</t>
  </si>
  <si>
    <t>Kahikatea</t>
  </si>
  <si>
    <t>Waihi Kindergarten</t>
  </si>
  <si>
    <t>07-8637117</t>
  </si>
  <si>
    <t>waihi@ikindergartens.nz</t>
  </si>
  <si>
    <t>Gladstone Road</t>
  </si>
  <si>
    <t>Waihi</t>
  </si>
  <si>
    <t>Waihī East</t>
  </si>
  <si>
    <t>Waihi Ward</t>
  </si>
  <si>
    <t>Waihi Kāhui Ako</t>
  </si>
  <si>
    <t>Betty Montford Kindergarten</t>
  </si>
  <si>
    <t>06-368 8405</t>
  </si>
  <si>
    <t>bettymontford@wmkindergartens.org.nz</t>
  </si>
  <si>
    <t>46 York Street</t>
  </si>
  <si>
    <t>Kawiu South</t>
  </si>
  <si>
    <t>Oranga Kindergarten</t>
  </si>
  <si>
    <t>09-5797654</t>
  </si>
  <si>
    <t>oranga@aka.org.nz</t>
  </si>
  <si>
    <t>48 A Waitangi Road</t>
  </si>
  <si>
    <t>Oranga</t>
  </si>
  <si>
    <t>Springlands Kindergarten</t>
  </si>
  <si>
    <t>03-579 3362</t>
  </si>
  <si>
    <t>springlands@mka.org.nz</t>
  </si>
  <si>
    <t xml:space="preserve"> 12 Murphys Road</t>
  </si>
  <si>
    <t>Springlands</t>
  </si>
  <si>
    <t>Albany Kindergarten</t>
  </si>
  <si>
    <t>09-415 9517</t>
  </si>
  <si>
    <t>albany@kaitiakikindergartens.org.nz</t>
  </si>
  <si>
    <t>4 Bass Road</t>
  </si>
  <si>
    <t>Albany</t>
  </si>
  <si>
    <t>Albany West</t>
  </si>
  <si>
    <t>Laingholm Kindergarten</t>
  </si>
  <si>
    <t>09-8174372</t>
  </si>
  <si>
    <t>laingholm@aka.org.nz</t>
  </si>
  <si>
    <t>436 A Huia Road</t>
  </si>
  <si>
    <t>Laingholm</t>
  </si>
  <si>
    <t>Taupaki Kindergarten</t>
  </si>
  <si>
    <t>09-8109005</t>
  </si>
  <si>
    <t>taupaki@aka.org.nz</t>
  </si>
  <si>
    <t>20 Cottles Road</t>
  </si>
  <si>
    <t>Taupaki</t>
  </si>
  <si>
    <t>Avenues Kindergarten</t>
  </si>
  <si>
    <t>07-5784481</t>
  </si>
  <si>
    <t>avenues@ikindergartens.nz</t>
  </si>
  <si>
    <t>27 Botanical Road</t>
  </si>
  <si>
    <t>Tauranga South</t>
  </si>
  <si>
    <t>Fraser Cove</t>
  </si>
  <si>
    <t>Te Papa General Ward</t>
  </si>
  <si>
    <t>Riverdale Kindergarten (Gisborne)</t>
  </si>
  <si>
    <t>06-8676948</t>
  </si>
  <si>
    <t>river.dale@xtra.co.nz</t>
  </si>
  <si>
    <t>Stout Street</t>
  </si>
  <si>
    <t>Riverdale</t>
  </si>
  <si>
    <t>Eskview Kindergarten</t>
  </si>
  <si>
    <t>06-8366256</t>
  </si>
  <si>
    <t>eskviewkgtn@napierkindergartens.co.nz</t>
  </si>
  <si>
    <t>11 Petane Road</t>
  </si>
  <si>
    <t>Bay View-Napier/Hastings</t>
  </si>
  <si>
    <t>Bay View (Napier City)</t>
  </si>
  <si>
    <t>Ahuriri Ward</t>
  </si>
  <si>
    <t>Bream Bay Kindergarten</t>
  </si>
  <si>
    <t>09-4328096</t>
  </si>
  <si>
    <t>Peter Snell Road</t>
  </si>
  <si>
    <t>Ruakaka-Whangarei</t>
  </si>
  <si>
    <t>Ruakākā</t>
  </si>
  <si>
    <t>Bream Bay Kāhui Ako</t>
  </si>
  <si>
    <t>Victory Square Kindergarten</t>
  </si>
  <si>
    <t>03-546 9633</t>
  </si>
  <si>
    <t>victorysquarekindergarten@ntk.org.nz</t>
  </si>
  <si>
    <t>166 St Vincent Street</t>
  </si>
  <si>
    <t>Washington</t>
  </si>
  <si>
    <t>Birdwood Kindergarten</t>
  </si>
  <si>
    <t>09-8325700</t>
  </si>
  <si>
    <t>birdwood@aka.org.nz</t>
  </si>
  <si>
    <t>21 Karepo Crescent</t>
  </si>
  <si>
    <t>Rānui North</t>
  </si>
  <si>
    <t>Chelsea Kindergarten</t>
  </si>
  <si>
    <t>09-480 7332</t>
  </si>
  <si>
    <t>chelsea@aka.org.nz</t>
  </si>
  <si>
    <t>62 Balmain Road</t>
  </si>
  <si>
    <t>Chatswood</t>
  </si>
  <si>
    <t>Waiheke Island Kindergarten</t>
  </si>
  <si>
    <t>09-372 8478</t>
  </si>
  <si>
    <t>waiheke@aka.org.nz</t>
  </si>
  <si>
    <t>Donald Bruce Road</t>
  </si>
  <si>
    <t>Surfdale</t>
  </si>
  <si>
    <t>Waiheke Island</t>
  </si>
  <si>
    <t>Auckland - Waiheke</t>
  </si>
  <si>
    <t>Waiheke Kāhui Ako</t>
  </si>
  <si>
    <t>Papamoa Free Kindergarten</t>
  </si>
  <si>
    <t>07-5421865</t>
  </si>
  <si>
    <t>papamoa@ikindergartens.nz</t>
  </si>
  <si>
    <t>27 Doncaster Drive</t>
  </si>
  <si>
    <t>Papamoa</t>
  </si>
  <si>
    <t>Doncaster</t>
  </si>
  <si>
    <t>Pāpāmoa General Ward</t>
  </si>
  <si>
    <t>Te Waka Hourua o Pāpāmoa</t>
  </si>
  <si>
    <t>Waitakere Kindergarten</t>
  </si>
  <si>
    <t>09-8108180</t>
  </si>
  <si>
    <t>waitakere@aka.org.nz</t>
  </si>
  <si>
    <t>12 Township Road</t>
  </si>
  <si>
    <t>Waitākere</t>
  </si>
  <si>
    <t>Crawshaw Kindergarten</t>
  </si>
  <si>
    <t>07-8495656</t>
  </si>
  <si>
    <t>Crawshaw Drive</t>
  </si>
  <si>
    <t>Crawshaw</t>
  </si>
  <si>
    <t>Katikati Free Kindergarten</t>
  </si>
  <si>
    <t>07-5490084</t>
  </si>
  <si>
    <t>katikati@ikindergartens.nz</t>
  </si>
  <si>
    <t>Fairview Road</t>
  </si>
  <si>
    <t>Katikati</t>
  </si>
  <si>
    <t>Katikati South</t>
  </si>
  <si>
    <t>Katikati-Waihi Beach Ward</t>
  </si>
  <si>
    <t>Manukau Central Kindergarten</t>
  </si>
  <si>
    <t>09-2620572</t>
  </si>
  <si>
    <t>23 Inverell Avenue</t>
  </si>
  <si>
    <t>Wiri</t>
  </si>
  <si>
    <t>Wiri North</t>
  </si>
  <si>
    <t>Pencarrow Kindergarten</t>
  </si>
  <si>
    <t>04-9209828</t>
  </si>
  <si>
    <t>pencarrow@huttkindergartens.org.nz</t>
  </si>
  <si>
    <t>63 Antrim Crescent</t>
  </si>
  <si>
    <t>Makino Kindergarten</t>
  </si>
  <si>
    <t>06-3234633</t>
  </si>
  <si>
    <t>makino@ruahinekindergartens.org.nz</t>
  </si>
  <si>
    <t>58 Lethbridge Street</t>
  </si>
  <si>
    <t>Makino</t>
  </si>
  <si>
    <t>Waiwhetu Kindergarten</t>
  </si>
  <si>
    <t>04-9209836</t>
  </si>
  <si>
    <t>waiwhetu@huttkindergartens.org.nz</t>
  </si>
  <si>
    <t>2/30 Grenville Street</t>
  </si>
  <si>
    <t>Waiwhetu North</t>
  </si>
  <si>
    <t>Tuakau Kindergarten</t>
  </si>
  <si>
    <t>Buckland Road</t>
  </si>
  <si>
    <t>Tuakau</t>
  </si>
  <si>
    <t>Tuakau South</t>
  </si>
  <si>
    <t>Tuakau-Pōkeno General Ward</t>
  </si>
  <si>
    <t>Aorere Kindergarten</t>
  </si>
  <si>
    <t>09-2794 269</t>
  </si>
  <si>
    <t>aorere@aka.org.nz</t>
  </si>
  <si>
    <t>43 Chantelle Place</t>
  </si>
  <si>
    <t>Aorere South East</t>
  </si>
  <si>
    <t>Central Kids Kindergartens - Rushton Road</t>
  </si>
  <si>
    <t>rushtonrd@centralkids.org.nz</t>
  </si>
  <si>
    <t>20 Rushton Road</t>
  </si>
  <si>
    <t>Morrinsville West</t>
  </si>
  <si>
    <t>Central Kids Kindergartens - Mercury Bay</t>
  </si>
  <si>
    <t>mercurybay@centralkids.org.nz</t>
  </si>
  <si>
    <t>Eyre Street</t>
  </si>
  <si>
    <t>Whitianga</t>
  </si>
  <si>
    <t>Whitianga South</t>
  </si>
  <si>
    <t>Mercury Bay Ward</t>
  </si>
  <si>
    <t>Coromandel Community of Learning</t>
  </si>
  <si>
    <t>Kidsfirst Kindergartens Wakatipu</t>
  </si>
  <si>
    <t>03-4426236</t>
  </si>
  <si>
    <t>wakatipu@kidsfirst.org.nz</t>
  </si>
  <si>
    <t>Brecon Street</t>
  </si>
  <si>
    <t>Queenstown</t>
  </si>
  <si>
    <t>Queenstown-Lakes District</t>
  </si>
  <si>
    <t>Warren Park</t>
  </si>
  <si>
    <t>Queenstown-Whakatipu Ward</t>
  </si>
  <si>
    <t>Rockdale Park Kindergarten</t>
  </si>
  <si>
    <t>03-2160011</t>
  </si>
  <si>
    <t>rockdale@ska.co.nz</t>
  </si>
  <si>
    <t>18 Farrar Street</t>
  </si>
  <si>
    <t>Heidelberg</t>
  </si>
  <si>
    <t>Kaiti Kindergarten</t>
  </si>
  <si>
    <t>06-8676597</t>
  </si>
  <si>
    <t>kaiti.kgtn@xtra.co.nz</t>
  </si>
  <si>
    <t>517 Wainui Road</t>
  </si>
  <si>
    <t>Kaiti South</t>
  </si>
  <si>
    <t>Kidsfirst Kindergartens Hawthornden Road</t>
  </si>
  <si>
    <t>03-3582915</t>
  </si>
  <si>
    <t>146 Hawthornden Road</t>
  </si>
  <si>
    <t>Avonhead West</t>
  </si>
  <si>
    <t>Central Kids Kindergartens - Ngātea</t>
  </si>
  <si>
    <t>ngatea@centralkids.org.nz</t>
  </si>
  <si>
    <t>27 River Road</t>
  </si>
  <si>
    <t>Ngatea</t>
  </si>
  <si>
    <t>Plains Ward</t>
  </si>
  <si>
    <t>Hauraki Community of Learning</t>
  </si>
  <si>
    <t>Pigeon Mountain Kindergarten</t>
  </si>
  <si>
    <t>09-537 0083</t>
  </si>
  <si>
    <t>pigeonmountain@aka.org.nz</t>
  </si>
  <si>
    <t>64 Pigeon Mountain Road</t>
  </si>
  <si>
    <t>Half Moon Bay North East</t>
  </si>
  <si>
    <t>Renwick Kindergarten</t>
  </si>
  <si>
    <t>03-5729888</t>
  </si>
  <si>
    <t>renwick@mka.org.nz</t>
  </si>
  <si>
    <t>11 Clyde Street</t>
  </si>
  <si>
    <t>Renwick</t>
  </si>
  <si>
    <t>Wairau-Awatere General Ward</t>
  </si>
  <si>
    <t>Welcome Bay Free Kindergarten</t>
  </si>
  <si>
    <t>07-5441959</t>
  </si>
  <si>
    <t>welcomebay@ikindergartens.nz</t>
  </si>
  <si>
    <t>15 Portland Street</t>
  </si>
  <si>
    <t>Welcome Bay</t>
  </si>
  <si>
    <t>Welcome Bay West</t>
  </si>
  <si>
    <t>Milton Kindergarten</t>
  </si>
  <si>
    <t>03-417 4290</t>
  </si>
  <si>
    <t>milton@wmkindergartens.org.nz</t>
  </si>
  <si>
    <t>20A Coronation Court</t>
  </si>
  <si>
    <t>Milton</t>
  </si>
  <si>
    <t>Bruce Ward</t>
  </si>
  <si>
    <t>Tokomairiro Kāhui Ako</t>
  </si>
  <si>
    <t>Conifer Grove Kindergarten</t>
  </si>
  <si>
    <t>09-2997941</t>
  </si>
  <si>
    <t>70 Walter Strevens Drive</t>
  </si>
  <si>
    <t>Conifer Grove</t>
  </si>
  <si>
    <t>Conifer Grove West</t>
  </si>
  <si>
    <t>Maraetai Beachlands Kindergarten</t>
  </si>
  <si>
    <t>09-536 6934</t>
  </si>
  <si>
    <t>maraetaibeachlands@aka.org.nz</t>
  </si>
  <si>
    <t>39 A Craig Road</t>
  </si>
  <si>
    <t>Maraetai</t>
  </si>
  <si>
    <t>Kaitake Kindergarten</t>
  </si>
  <si>
    <t>06-7527016</t>
  </si>
  <si>
    <t>kaitake@kindergartentaranaki.co.nz</t>
  </si>
  <si>
    <t>2 Mckellar Street</t>
  </si>
  <si>
    <t>Oakura</t>
  </si>
  <si>
    <t>Ōakura</t>
  </si>
  <si>
    <t>Greenhithe Kindergarten</t>
  </si>
  <si>
    <t>09-413 9171</t>
  </si>
  <si>
    <t>greenhithe@aka.org.nz</t>
  </si>
  <si>
    <t>10 Isobel Road</t>
  </si>
  <si>
    <t>Greenhithe</t>
  </si>
  <si>
    <t>Greenhithe West</t>
  </si>
  <si>
    <t>Wesley Kindergarten</t>
  </si>
  <si>
    <t>09-620 0702</t>
  </si>
  <si>
    <t>wesley@aka.org.nz</t>
  </si>
  <si>
    <t>26 A O'Donnell Avenue</t>
  </si>
  <si>
    <t>Wesley West</t>
  </si>
  <si>
    <t>Epsom North Kindergarten</t>
  </si>
  <si>
    <t>09-630 7539</t>
  </si>
  <si>
    <t>epsomnorth@aka.org.nz</t>
  </si>
  <si>
    <t>33 Kimberley Road</t>
  </si>
  <si>
    <t>Waiau Pa Kindergarten</t>
  </si>
  <si>
    <t>563 Waiau Pa Road</t>
  </si>
  <si>
    <t>Waiau Pa</t>
  </si>
  <si>
    <t>Karaka Creek</t>
  </si>
  <si>
    <t>Parakai Kindergarten</t>
  </si>
  <si>
    <t>09-420 8737</t>
  </si>
  <si>
    <t>parakai@kaitiakikindergartens.org.nz</t>
  </si>
  <si>
    <t>8 Fordyce Road</t>
  </si>
  <si>
    <t>Parakai</t>
  </si>
  <si>
    <t>Kidsfirst Kindergartens Frankton</t>
  </si>
  <si>
    <t>03-4422744</t>
  </si>
  <si>
    <t>frankton@kidsfirst.org.nz</t>
  </si>
  <si>
    <t>13 Robertson Street</t>
  </si>
  <si>
    <t>Frankton-Queenstown</t>
  </si>
  <si>
    <t>Karori Kindergarten</t>
  </si>
  <si>
    <t>04-476 3986</t>
  </si>
  <si>
    <t>karori@wmkindergartens.org.nz</t>
  </si>
  <si>
    <t>155 Campbell Street</t>
  </si>
  <si>
    <t>Somerville Kindergarten</t>
  </si>
  <si>
    <t>09-535 1675</t>
  </si>
  <si>
    <t>somerville@aka.org.nz</t>
  </si>
  <si>
    <t>84 A Clydesdale Avenue</t>
  </si>
  <si>
    <t>Somerville</t>
  </si>
  <si>
    <t>Waipaparoa Kāhui Ako</t>
  </si>
  <si>
    <t>BestStart Botany Road</t>
  </si>
  <si>
    <t>09-2738882</t>
  </si>
  <si>
    <t>botany@best-start.org</t>
  </si>
  <si>
    <t>293 Botany Road</t>
  </si>
  <si>
    <t>Golflands</t>
  </si>
  <si>
    <t>Jane  Burke</t>
  </si>
  <si>
    <t>P O Box 276177</t>
  </si>
  <si>
    <t>Manukau City</t>
  </si>
  <si>
    <t>South Auckland 2241</t>
  </si>
  <si>
    <t>09-2504136</t>
  </si>
  <si>
    <t>Hidden Treasures Early Learning Centre</t>
  </si>
  <si>
    <t>09-4441906</t>
  </si>
  <si>
    <t>richardhoek@westminster.school.nz</t>
  </si>
  <si>
    <t>31 Westminster Gardens</t>
  </si>
  <si>
    <t>Unsworth Heights</t>
  </si>
  <si>
    <t>Non-denominational</t>
  </si>
  <si>
    <t>Unsworth Heights West</t>
  </si>
  <si>
    <t>Richard Hoek</t>
  </si>
  <si>
    <t>North Shore City 0632</t>
  </si>
  <si>
    <t>Ki Atua hei te Kororia Kāhui Ako</t>
  </si>
  <si>
    <t>The Learning Lane</t>
  </si>
  <si>
    <t>09-8378992</t>
  </si>
  <si>
    <t>thelearninglane@xtra.co.nz</t>
  </si>
  <si>
    <t>96 Sturges Road</t>
  </si>
  <si>
    <t>Privately owned</t>
  </si>
  <si>
    <t>Jackie Peden</t>
  </si>
  <si>
    <t>Auckland 0612</t>
  </si>
  <si>
    <t>09-8333413</t>
  </si>
  <si>
    <t>Farm Friends Early Childhood Centre</t>
  </si>
  <si>
    <t>09-832 3602</t>
  </si>
  <si>
    <t>rhiannon.farmfriends@gmail.com</t>
  </si>
  <si>
    <t>51 Coulter Road</t>
  </si>
  <si>
    <t>Swanson</t>
  </si>
  <si>
    <t xml:space="preserve">Nature Education </t>
  </si>
  <si>
    <t>Swanson Rural</t>
  </si>
  <si>
    <t>Glynis Hibbott</t>
  </si>
  <si>
    <t>c/- Farm Friends ECC 51 Coulter Road</t>
  </si>
  <si>
    <t>Waitakere 0614</t>
  </si>
  <si>
    <t>09-8323 600</t>
  </si>
  <si>
    <t>Busy Bees Kerikeri Preschool</t>
  </si>
  <si>
    <t>09-4077700</t>
  </si>
  <si>
    <t>9 Lanark Road</t>
  </si>
  <si>
    <t>Karyn Connelly</t>
  </si>
  <si>
    <t>P O Box 628</t>
  </si>
  <si>
    <t>Whangaparaoa 0949</t>
  </si>
  <si>
    <t>Lambs Preschool Pukekohe</t>
  </si>
  <si>
    <t>09-238 4401</t>
  </si>
  <si>
    <t>leanne@lambspreschool.co.nz</t>
  </si>
  <si>
    <t>101 Victoria Street</t>
  </si>
  <si>
    <t>Pukekohe West</t>
  </si>
  <si>
    <t>Leanne Kirkham</t>
  </si>
  <si>
    <t>4 Willowbank Close</t>
  </si>
  <si>
    <t>East Tamaki</t>
  </si>
  <si>
    <t>Auckland 2016</t>
  </si>
  <si>
    <t>09-2384401</t>
  </si>
  <si>
    <t>City Impact Church Care and Education</t>
  </si>
  <si>
    <t>09-477 0300</t>
  </si>
  <si>
    <t>fran.bunting@cityimpactchurch.com</t>
  </si>
  <si>
    <t>794 East Coast Road</t>
  </si>
  <si>
    <t>Oteha East</t>
  </si>
  <si>
    <t>Francesca Bunting</t>
  </si>
  <si>
    <t>P O Box 35211</t>
  </si>
  <si>
    <t>Te Akonga Early Learning Centre</t>
  </si>
  <si>
    <t>09-2388 366</t>
  </si>
  <si>
    <t>admin@teakonga.org.nz</t>
  </si>
  <si>
    <t>71 Franklin Road</t>
  </si>
  <si>
    <t>Rooseville Park</t>
  </si>
  <si>
    <t xml:space="preserve">Vanessa Moloney </t>
  </si>
  <si>
    <t>South Auckland 2120</t>
  </si>
  <si>
    <t>09-238 8366</t>
  </si>
  <si>
    <t>Summerfield Early Learning Centre</t>
  </si>
  <si>
    <t>09-4156867</t>
  </si>
  <si>
    <t>info@summerfield.co.nz</t>
  </si>
  <si>
    <t>319 Rosedale Road</t>
  </si>
  <si>
    <t>North Harbour</t>
  </si>
  <si>
    <t>Angela Webb</t>
  </si>
  <si>
    <t>P O Box 65235</t>
  </si>
  <si>
    <t>Auckland 0754</t>
  </si>
  <si>
    <t>Clevedon Kindergarten</t>
  </si>
  <si>
    <t>09-2928378</t>
  </si>
  <si>
    <t>14 Monument Road</t>
  </si>
  <si>
    <t>Clevedon</t>
  </si>
  <si>
    <t>Play And Learn (King Street)</t>
  </si>
  <si>
    <t>09-2777872</t>
  </si>
  <si>
    <t>jan@playandlearn.net.nz</t>
  </si>
  <si>
    <t>4 King Street</t>
  </si>
  <si>
    <t>Puhinui North</t>
  </si>
  <si>
    <t>Janet Mary Beatson</t>
  </si>
  <si>
    <t>P O Box 203002</t>
  </si>
  <si>
    <t>South Auckland 2345</t>
  </si>
  <si>
    <t>09-2321981</t>
  </si>
  <si>
    <t>Starship Play Services: Outpatients</t>
  </si>
  <si>
    <t>Level 11, Support Building Auckland City Hospital, Park Road</t>
  </si>
  <si>
    <t>Grafton</t>
  </si>
  <si>
    <t>Hospital Play, Recreation Programme</t>
  </si>
  <si>
    <t>Nicola Woollaston</t>
  </si>
  <si>
    <t>Attn: Nicola Woollaston, Starship Play Sevices Outpatients, Level 11 Allied Health, Support building</t>
  </si>
  <si>
    <t>Auckland Hospital</t>
  </si>
  <si>
    <t>Auckland 1142</t>
  </si>
  <si>
    <t>09-3078987 Ext 25960</t>
  </si>
  <si>
    <t>Starship Play Service Day Stay and Intensive Care</t>
  </si>
  <si>
    <t>BestStart Marne Road Kindy</t>
  </si>
  <si>
    <t>09-2996696</t>
  </si>
  <si>
    <t>marne.kindy@best-start.org</t>
  </si>
  <si>
    <t>35 Marne Road</t>
  </si>
  <si>
    <t>Papakura Central</t>
  </si>
  <si>
    <t>BestStart Manuroa Road 1</t>
  </si>
  <si>
    <t>09-2961441</t>
  </si>
  <si>
    <t>manuroa@best-start.org</t>
  </si>
  <si>
    <t>14-18 Manuroa Road</t>
  </si>
  <si>
    <t>Takanini West</t>
  </si>
  <si>
    <t>Smoochie McGill Early Learning</t>
  </si>
  <si>
    <t>09-410 8803</t>
  </si>
  <si>
    <t>enquiries@smoochiemcgill.co.nz</t>
  </si>
  <si>
    <t>2 Santa Rosa Terrace</t>
  </si>
  <si>
    <t>Forrest Hill</t>
  </si>
  <si>
    <t>Forrest Hill North</t>
  </si>
  <si>
    <t>Tina Smith</t>
  </si>
  <si>
    <t>P O Box 404304</t>
  </si>
  <si>
    <t>Puhoi</t>
  </si>
  <si>
    <t>Auckland 0951</t>
  </si>
  <si>
    <t>Wee Wisdom Montessori Drury</t>
  </si>
  <si>
    <t>09-294 7978</t>
  </si>
  <si>
    <t>admindrury@weewisdommontessori.co.nz</t>
  </si>
  <si>
    <t>159 Great South Road</t>
  </si>
  <si>
    <t>Drury</t>
  </si>
  <si>
    <t>Montessori</t>
  </si>
  <si>
    <t>Drury East</t>
  </si>
  <si>
    <t xml:space="preserve">Maxine  Bannan </t>
  </si>
  <si>
    <t>279 Remuera Road</t>
  </si>
  <si>
    <t>Auckland 1050</t>
  </si>
  <si>
    <t>021-647 897</t>
  </si>
  <si>
    <t>Gladstone Park Early Childhood Centre</t>
  </si>
  <si>
    <t>09-3771150</t>
  </si>
  <si>
    <t>lyn@parnell.org.nz</t>
  </si>
  <si>
    <t>27 Balfour Road</t>
  </si>
  <si>
    <t xml:space="preserve">Linda Fox </t>
  </si>
  <si>
    <t>P O Box 37682</t>
  </si>
  <si>
    <t>Auckland 1151</t>
  </si>
  <si>
    <t>Oak Tree The Early Childhood Learning Centre</t>
  </si>
  <si>
    <t>09-425 9508</t>
  </si>
  <si>
    <t>oaktree_learningcentre@xtra.co.nz</t>
  </si>
  <si>
    <t>10B Clegg Place</t>
  </si>
  <si>
    <t>Ingrid  Burke</t>
  </si>
  <si>
    <t>289 East Coast Road</t>
  </si>
  <si>
    <t>Auckland 0630</t>
  </si>
  <si>
    <t>Mahurangi Community of Learning</t>
  </si>
  <si>
    <t>BestStart Papatoetoe</t>
  </si>
  <si>
    <t>09-2792922</t>
  </si>
  <si>
    <t>papatoetoe@best-start.org</t>
  </si>
  <si>
    <t>472 Great South Road</t>
  </si>
  <si>
    <t>Papatoetoe South</t>
  </si>
  <si>
    <t>Kindercare Learning Centres Botany Downs</t>
  </si>
  <si>
    <t>09-273 3088</t>
  </si>
  <si>
    <t>botanydowns@kindercare.co.nz</t>
  </si>
  <si>
    <t>138 Golfland Drive</t>
  </si>
  <si>
    <t>Botany Downs</t>
  </si>
  <si>
    <t>Roseanne Way</t>
  </si>
  <si>
    <t>60 Greville Road</t>
  </si>
  <si>
    <t>Pinehill</t>
  </si>
  <si>
    <t>Auckland 0632</t>
  </si>
  <si>
    <t>09-479 9922</t>
  </si>
  <si>
    <t>Busy Bees Otahuhu</t>
  </si>
  <si>
    <t>09-2766 210</t>
  </si>
  <si>
    <t>manager@otahuhu.busybees.org.nz</t>
  </si>
  <si>
    <t>37-41 Mason Avenue</t>
  </si>
  <si>
    <t>Ōtāhuhu Central</t>
  </si>
  <si>
    <t>Sarah Moemausu</t>
  </si>
  <si>
    <t>PO Box 628</t>
  </si>
  <si>
    <t xml:space="preserve">09-276 6210 </t>
  </si>
  <si>
    <t>Ko Taku Reo Preschool, Auckland</t>
  </si>
  <si>
    <t>0800-332 369</t>
  </si>
  <si>
    <t>info@kotakureo.school.nz</t>
  </si>
  <si>
    <t>3 Archibald Road</t>
  </si>
  <si>
    <t>Early Intervention EC service</t>
  </si>
  <si>
    <t>Kelston South</t>
  </si>
  <si>
    <t>Krista Clifford</t>
  </si>
  <si>
    <t>38 Truro Street</t>
  </si>
  <si>
    <t>Christchurch 8081</t>
  </si>
  <si>
    <t>Rockabye Early Learning Centre</t>
  </si>
  <si>
    <t>09-5330218</t>
  </si>
  <si>
    <t>caryn@rockabye.school.nz</t>
  </si>
  <si>
    <t>122 Aviemore Drive</t>
  </si>
  <si>
    <t>Highland Park-Auckland</t>
  </si>
  <si>
    <t>Highland Park (Auckland)</t>
  </si>
  <si>
    <t>Caryn Mawkes</t>
  </si>
  <si>
    <t>Highland Park</t>
  </si>
  <si>
    <t>Manukau 2010</t>
  </si>
  <si>
    <t>09-6221355</t>
  </si>
  <si>
    <t>Red Beach Early Learning Centre</t>
  </si>
  <si>
    <t>09-426 6217</t>
  </si>
  <si>
    <t>info@redbeachelc.co.nz</t>
  </si>
  <si>
    <t>88 Bay Street</t>
  </si>
  <si>
    <t>Red Beach</t>
  </si>
  <si>
    <t>Red Beach East</t>
  </si>
  <si>
    <t>Catherine Zuill</t>
  </si>
  <si>
    <t>North Shore City 0932</t>
  </si>
  <si>
    <t>Kahu Kiwi</t>
  </si>
  <si>
    <t>09-406 7650</t>
  </si>
  <si>
    <t>info@kahukiwi.nz</t>
  </si>
  <si>
    <t>174 Far North Road</t>
  </si>
  <si>
    <t>Awanui</t>
  </si>
  <si>
    <t>Rangaunu Harbour</t>
  </si>
  <si>
    <t>Reona Lanigan</t>
  </si>
  <si>
    <t>P O Box 161</t>
  </si>
  <si>
    <t>Awanui 0451</t>
  </si>
  <si>
    <t>09-405 0976</t>
  </si>
  <si>
    <t>Next Generation Infant Care</t>
  </si>
  <si>
    <t>09-4836382</t>
  </si>
  <si>
    <t>jes@nextgenerationchildcare.co.nz</t>
  </si>
  <si>
    <t>12 Westglade Crescent</t>
  </si>
  <si>
    <t>Birkenhead West</t>
  </si>
  <si>
    <t>Jessica Dodd</t>
  </si>
  <si>
    <t>2 Rarere Road</t>
  </si>
  <si>
    <t>Hauraki</t>
  </si>
  <si>
    <t>North Shore City 0622</t>
  </si>
  <si>
    <t>BestStart Te Atatu Peninsula</t>
  </si>
  <si>
    <t>09-8349669</t>
  </si>
  <si>
    <t>teatatupeninsula@best-start.org</t>
  </si>
  <si>
    <t>5 Cellarmans Street</t>
  </si>
  <si>
    <t>Te Atatū Peninsula East</t>
  </si>
  <si>
    <t>Taulapapa Leata Su'a Aoga Amata</t>
  </si>
  <si>
    <t>09-8385090</t>
  </si>
  <si>
    <t>taulapapaleatasua@xtra.co.nz</t>
  </si>
  <si>
    <t>24 Garelja Road</t>
  </si>
  <si>
    <t>Samoan ECE Service</t>
  </si>
  <si>
    <t>Henderson Valley Park</t>
  </si>
  <si>
    <t>Karen Su'a</t>
  </si>
  <si>
    <t>P O Box 121016</t>
  </si>
  <si>
    <t>Auckland 0650</t>
  </si>
  <si>
    <t>BestStart Puni Road</t>
  </si>
  <si>
    <t>09-2381633</t>
  </si>
  <si>
    <t>puni@best-start.org</t>
  </si>
  <si>
    <t>42-44 Puni Road</t>
  </si>
  <si>
    <t>Cloverlea (Auckland)</t>
  </si>
  <si>
    <t>Ponderosa Kids Preschool</t>
  </si>
  <si>
    <t>09-476 1240</t>
  </si>
  <si>
    <t>pratimatewary@gmail.com</t>
  </si>
  <si>
    <t>3 Ponderosa Drive</t>
  </si>
  <si>
    <t>Pratima Tewary</t>
  </si>
  <si>
    <t xml:space="preserve">10A John Brian Drive </t>
  </si>
  <si>
    <t>Oteha</t>
  </si>
  <si>
    <t>Auckland 0932</t>
  </si>
  <si>
    <t>022-0506910</t>
  </si>
  <si>
    <t>Helensville Montessori</t>
  </si>
  <si>
    <t>09-420 7181</t>
  </si>
  <si>
    <t>helensvillemontessori@xtra.co.nz</t>
  </si>
  <si>
    <t>58 Garfield Road</t>
  </si>
  <si>
    <t>Helensville</t>
  </si>
  <si>
    <t>Heather Durham</t>
  </si>
  <si>
    <t>Auckland 0800</t>
  </si>
  <si>
    <t>09-4207181</t>
  </si>
  <si>
    <t>Kereru Kids Kaukapakapa</t>
  </si>
  <si>
    <t>09-947 3343</t>
  </si>
  <si>
    <t>kiaora@kererukids.com</t>
  </si>
  <si>
    <t>979 Kaipara Coast Highway</t>
  </si>
  <si>
    <t>Kaukapakapa</t>
  </si>
  <si>
    <t>Kimberley Hutchison</t>
  </si>
  <si>
    <t>38 Quail Road RD 4</t>
  </si>
  <si>
    <t>Warkworth 0984</t>
  </si>
  <si>
    <t>Te Kōhanga Reo o Tahuri Mai</t>
  </si>
  <si>
    <t>09-267 6818</t>
  </si>
  <si>
    <t>77 R Sykes Road</t>
  </si>
  <si>
    <t>Weymouth</t>
  </si>
  <si>
    <t>Manukau</t>
  </si>
  <si>
    <t>Te Kōhanga Reo National Trust</t>
  </si>
  <si>
    <t>Weymouth East</t>
  </si>
  <si>
    <t>Marino Hau</t>
  </si>
  <si>
    <t>P O Box 38741</t>
  </si>
  <si>
    <t>Wellington Mail Centre</t>
  </si>
  <si>
    <t>Lower Hutt 5045</t>
  </si>
  <si>
    <t>Kamo Childcare Centre Ltd 1</t>
  </si>
  <si>
    <t>09-435 3855</t>
  </si>
  <si>
    <t>7-9 Clark Road</t>
  </si>
  <si>
    <t>Granfield Reserve</t>
  </si>
  <si>
    <t>Sandra North</t>
  </si>
  <si>
    <t>P O Box 4362</t>
  </si>
  <si>
    <t>09-435 3342</t>
  </si>
  <si>
    <t>Nukutukulea Aoga Niue Incorp.</t>
  </si>
  <si>
    <t>09-275 7881</t>
  </si>
  <si>
    <t>299R Kirkbride Road</t>
  </si>
  <si>
    <t>Niue ECE Service</t>
  </si>
  <si>
    <t>Māngere South</t>
  </si>
  <si>
    <t>Tapulaaia Ah Hao</t>
  </si>
  <si>
    <t>P O Box 61170</t>
  </si>
  <si>
    <t>Auckland 2153</t>
  </si>
  <si>
    <t>Michael Park Kindergarten</t>
  </si>
  <si>
    <t>09-5793083 Ext 701</t>
  </si>
  <si>
    <t>reception@michaelpark.school.nz</t>
  </si>
  <si>
    <t>55 Amy Street</t>
  </si>
  <si>
    <t>Rudolf Steiner</t>
  </si>
  <si>
    <t>Ellerslie Central</t>
  </si>
  <si>
    <t>Stacey  McManus</t>
  </si>
  <si>
    <t>P O Box 11224</t>
  </si>
  <si>
    <t>Auckland 1542</t>
  </si>
  <si>
    <t>09-5258996</t>
  </si>
  <si>
    <t>Steiner Waldorf Community of Learning</t>
  </si>
  <si>
    <t>Hurupaki Kindergarten</t>
  </si>
  <si>
    <t>09-4353015</t>
  </si>
  <si>
    <t>101 Three Mile Bush Road</t>
  </si>
  <si>
    <t>Kamo West</t>
  </si>
  <si>
    <t>Tole Park Community Preschool</t>
  </si>
  <si>
    <t>09-3760896</t>
  </si>
  <si>
    <t>admin@ponsonbypreschool.org.nz</t>
  </si>
  <si>
    <t>20 Ponsonby Terrace</t>
  </si>
  <si>
    <t>Maymoona  Benfayed</t>
  </si>
  <si>
    <t>Auckland 1011</t>
  </si>
  <si>
    <t>09-3735734</t>
  </si>
  <si>
    <t>Ako Tokamu'a Falemasiva Preschool</t>
  </si>
  <si>
    <t>09-2750860</t>
  </si>
  <si>
    <t>aisakepouvalu@hotmail.com</t>
  </si>
  <si>
    <t>28 Cardrona Place</t>
  </si>
  <si>
    <t>Tongan ECE Service</t>
  </si>
  <si>
    <t>Aisake Pouvalu</t>
  </si>
  <si>
    <t>South Auckland 2024</t>
  </si>
  <si>
    <t>Meadowood Community Creche</t>
  </si>
  <si>
    <t>09-4434357</t>
  </si>
  <si>
    <t>creche@meadowood.co.nz</t>
  </si>
  <si>
    <t>55 Meadowood Drive</t>
  </si>
  <si>
    <t>Unsworth Heights East</t>
  </si>
  <si>
    <t xml:space="preserve">Lissa  Burton Burn </t>
  </si>
  <si>
    <t>09-4768384</t>
  </si>
  <si>
    <t>Te Kōhanga Reo o Te Huinga Reo</t>
  </si>
  <si>
    <t>09-274 9236</t>
  </si>
  <si>
    <t>52-S Ōtara Road</t>
  </si>
  <si>
    <t>Li'l Champs Early Learning Centre</t>
  </si>
  <si>
    <t>09-5254365</t>
  </si>
  <si>
    <t>kkumar02220@gmail.com</t>
  </si>
  <si>
    <t>73 Aranui Road</t>
  </si>
  <si>
    <t>Mount Wellington West</t>
  </si>
  <si>
    <t>Kunal Kumar</t>
  </si>
  <si>
    <t xml:space="preserve">11 Corrofin Drive </t>
  </si>
  <si>
    <t>Auckland 2013</t>
  </si>
  <si>
    <t>021-2809532</t>
  </si>
  <si>
    <t>Naval ECE - Tamariki House</t>
  </si>
  <si>
    <t>09-445 2484</t>
  </si>
  <si>
    <t>navycc@xtra.co.nz</t>
  </si>
  <si>
    <t>59 Calliope Road</t>
  </si>
  <si>
    <t>Stanley Point</t>
  </si>
  <si>
    <t>Linda Retimana</t>
  </si>
  <si>
    <t>65 Calliope Road</t>
  </si>
  <si>
    <t>Auckland 0624</t>
  </si>
  <si>
    <t>09-445 2608</t>
  </si>
  <si>
    <t>Growing Minds Early Learning Centre</t>
  </si>
  <si>
    <t>09-444 6060</t>
  </si>
  <si>
    <t>72 Sunset Road</t>
  </si>
  <si>
    <t>Jenny Le Noel</t>
  </si>
  <si>
    <t>5 Marine Terrace</t>
  </si>
  <si>
    <t>Auckland 0622</t>
  </si>
  <si>
    <t>BestStart Tironui Road</t>
  </si>
  <si>
    <t>09-2966991</t>
  </si>
  <si>
    <t>tironui@best-start.org</t>
  </si>
  <si>
    <t>42 Tironui Road</t>
  </si>
  <si>
    <t>Papakura West</t>
  </si>
  <si>
    <t>Kindercare Learning Centre - Papatoetoe</t>
  </si>
  <si>
    <t>09-2783020</t>
  </si>
  <si>
    <t>papatoetoe@kindercare.co.nz</t>
  </si>
  <si>
    <t>7/533 Great South Road</t>
  </si>
  <si>
    <t>Puhinui East</t>
  </si>
  <si>
    <t>Lovingcare Kindergarten</t>
  </si>
  <si>
    <t>09-8371600</t>
  </si>
  <si>
    <t>lovingcare.kindy@gmail.com</t>
  </si>
  <si>
    <t>78 Central Park Drive</t>
  </si>
  <si>
    <t>Chinese ECE Service</t>
  </si>
  <si>
    <t>Henderson Lincoln East</t>
  </si>
  <si>
    <t>Tsui-Lin Ku</t>
  </si>
  <si>
    <t>Auckland 0610</t>
  </si>
  <si>
    <t>Te Atatu Village Kindergarten</t>
  </si>
  <si>
    <t>09-8346012</t>
  </si>
  <si>
    <t>teatatuvillage@aka.org.nz</t>
  </si>
  <si>
    <t>580 Te Atatu Road</t>
  </si>
  <si>
    <t>Kaha Kids Childcare Centre</t>
  </si>
  <si>
    <t>09-411 7266</t>
  </si>
  <si>
    <t>falguni.bhansari@gmail.com</t>
  </si>
  <si>
    <t>42 Taha Road</t>
  </si>
  <si>
    <t>Waimauku</t>
  </si>
  <si>
    <t>Waipatukahu</t>
  </si>
  <si>
    <t>Falguni Bhansari</t>
  </si>
  <si>
    <t>15 Pendlebury St</t>
  </si>
  <si>
    <t>Auckland 0604</t>
  </si>
  <si>
    <t>09-9482147</t>
  </si>
  <si>
    <t>BestStart Albany 1</t>
  </si>
  <si>
    <t>09-415 1917</t>
  </si>
  <si>
    <t>albany@best-start.org</t>
  </si>
  <si>
    <t>1 Fearnley Grove</t>
  </si>
  <si>
    <t>North Shore City</t>
  </si>
  <si>
    <t>Curious Kids Early Learning Centre</t>
  </si>
  <si>
    <t>09-827 4015</t>
  </si>
  <si>
    <t>Lynnmall Shopping Centre 3058 Great North Road</t>
  </si>
  <si>
    <t>New Lynn Central</t>
  </si>
  <si>
    <t>Ya Jun  Han</t>
  </si>
  <si>
    <t xml:space="preserve">3058 Great North Rd </t>
  </si>
  <si>
    <t>Auckland 0600</t>
  </si>
  <si>
    <t>BestStart Lambie Drive 1</t>
  </si>
  <si>
    <t>09-2611 048</t>
  </si>
  <si>
    <t>lambie@best-start.org</t>
  </si>
  <si>
    <t>11 Lambie Drive</t>
  </si>
  <si>
    <t>Manukau Central</t>
  </si>
  <si>
    <t>Kindercare Learning Centres - Henderson</t>
  </si>
  <si>
    <t>09-8373111</t>
  </si>
  <si>
    <t>henderson@kindercare.co.nz</t>
  </si>
  <si>
    <t>105 Central Park Drive</t>
  </si>
  <si>
    <t>Fatugatiti Preschool</t>
  </si>
  <si>
    <t>09-277 8347</t>
  </si>
  <si>
    <t>managerfatugatiti@yahoo.com</t>
  </si>
  <si>
    <t>80-82 Wyllie Road</t>
  </si>
  <si>
    <t>Papatoetoe West</t>
  </si>
  <si>
    <t>Fa'alele Fai'ai</t>
  </si>
  <si>
    <t>P O Box 200036</t>
  </si>
  <si>
    <t>Auckland 2156</t>
  </si>
  <si>
    <t>Akoteu Toonga Fungani</t>
  </si>
  <si>
    <t>09-574 5863</t>
  </si>
  <si>
    <t>71 Maybury Road</t>
  </si>
  <si>
    <t>Etuini Talakai</t>
  </si>
  <si>
    <t>71 Maybury St</t>
  </si>
  <si>
    <t>Auckland 1072</t>
  </si>
  <si>
    <t>09-638 6644</t>
  </si>
  <si>
    <t>Expressions EEC</t>
  </si>
  <si>
    <t>020-41398828</t>
  </si>
  <si>
    <t>karmenliang0716@gmail.com</t>
  </si>
  <si>
    <t>34 Sunnyside Crescent</t>
  </si>
  <si>
    <t>Dingwall</t>
  </si>
  <si>
    <t>Jiawen Liang</t>
  </si>
  <si>
    <t>122C Lancaster Road</t>
  </si>
  <si>
    <t>Auckland 0626</t>
  </si>
  <si>
    <t>Akoteu To'o Lelei</t>
  </si>
  <si>
    <t>09-480 0841</t>
  </si>
  <si>
    <t>toolelei@xtra.co.nz</t>
  </si>
  <si>
    <t>139 Queen Street</t>
  </si>
  <si>
    <t>Northcote Point</t>
  </si>
  <si>
    <t>Northcote Point (Auckland)</t>
  </si>
  <si>
    <t>Kamipeli Tuitahi</t>
  </si>
  <si>
    <t>P O Box 36450</t>
  </si>
  <si>
    <t>Auckland 0748</t>
  </si>
  <si>
    <t>Natural Steps Early Childhood Centre (Ellerslie Village)</t>
  </si>
  <si>
    <t>09-5797019</t>
  </si>
  <si>
    <t>ellerslievillage@naturalsteps.co.nz</t>
  </si>
  <si>
    <t>163/165 Main Highway</t>
  </si>
  <si>
    <t>Ellerslie South</t>
  </si>
  <si>
    <t>Natasha Bankier</t>
  </si>
  <si>
    <t>33 Carlton Gore Road</t>
  </si>
  <si>
    <t>Auckland 1023</t>
  </si>
  <si>
    <t>Heart and Soul Early Learning Centre</t>
  </si>
  <si>
    <t>09-412 5355</t>
  </si>
  <si>
    <t>m.laurie@outlook.co.nz</t>
  </si>
  <si>
    <t>489 State Highway, 16</t>
  </si>
  <si>
    <t>Kumeu</t>
  </si>
  <si>
    <t>Kumeū Rural East</t>
  </si>
  <si>
    <t>Melanie Laurie</t>
  </si>
  <si>
    <t>96A Trig Road</t>
  </si>
  <si>
    <t>Auckland 0618</t>
  </si>
  <si>
    <t>09-4166314</t>
  </si>
  <si>
    <t>BestStart Dilworth Avenue</t>
  </si>
  <si>
    <t>09-522 2122</t>
  </si>
  <si>
    <t>dilworth@best-start.org</t>
  </si>
  <si>
    <t>7 Dilworth Avenue</t>
  </si>
  <si>
    <t>Remuera West</t>
  </si>
  <si>
    <t>Educare City</t>
  </si>
  <si>
    <t>09-4307378</t>
  </si>
  <si>
    <t>city@educare.co.nz</t>
  </si>
  <si>
    <t>11 Hunt Street</t>
  </si>
  <si>
    <t>Whangārei Central</t>
  </si>
  <si>
    <t>Alan Lints</t>
  </si>
  <si>
    <t>3 Grey Street</t>
  </si>
  <si>
    <t>Regent</t>
  </si>
  <si>
    <t>Whangarei 0110</t>
  </si>
  <si>
    <t>09-4328540</t>
  </si>
  <si>
    <t>Mata'aga A'oga Amata</t>
  </si>
  <si>
    <t>09-360 1481</t>
  </si>
  <si>
    <t>mataagaaogaamata@gmail.com</t>
  </si>
  <si>
    <t>25 Murdoch Road</t>
  </si>
  <si>
    <t>Grey Lynn Central</t>
  </si>
  <si>
    <t>Sinatala Leota</t>
  </si>
  <si>
    <t>Auckland 1021</t>
  </si>
  <si>
    <t>09-360 2877</t>
  </si>
  <si>
    <t>Whangarei Hospital Play &amp; Recreation</t>
  </si>
  <si>
    <t>09-430 4101 Ext 8160</t>
  </si>
  <si>
    <t>yvonne.hunter@northlanddhb.org.nz</t>
  </si>
  <si>
    <t>Horahora</t>
  </si>
  <si>
    <t>Yvonne Hunter</t>
  </si>
  <si>
    <t>Attn: Playroom Ward 2 Whangarei Hospital Private Bag 9742</t>
  </si>
  <si>
    <t>Whangarei 0148</t>
  </si>
  <si>
    <t>09-4300010 Ext 8153</t>
  </si>
  <si>
    <t>Japanese Kindergarten</t>
  </si>
  <si>
    <t>09-5752693</t>
  </si>
  <si>
    <t>naomijapanesekindergarten@hotmail.com</t>
  </si>
  <si>
    <t>38 Pembroke Crescent</t>
  </si>
  <si>
    <t>Glendowie</t>
  </si>
  <si>
    <t>Japanese ECE Service</t>
  </si>
  <si>
    <t>Naomi Brown</t>
  </si>
  <si>
    <t>Auckland 1071</t>
  </si>
  <si>
    <t>BestStart Pipiwai Kindy</t>
  </si>
  <si>
    <t>09-4353231</t>
  </si>
  <si>
    <t>pipiwai.kindy@best-start.org</t>
  </si>
  <si>
    <t>2 Pipiwai Road</t>
  </si>
  <si>
    <t>Audrey Kirk</t>
  </si>
  <si>
    <t>Marian Early Childhood Centre</t>
  </si>
  <si>
    <t>09-5705690</t>
  </si>
  <si>
    <t>marianecc@xtra.co.nz</t>
  </si>
  <si>
    <t>19A Sunset View Road</t>
  </si>
  <si>
    <t>Panmure</t>
  </si>
  <si>
    <t>Panmure East</t>
  </si>
  <si>
    <t>Abigail Tigley</t>
  </si>
  <si>
    <t>P O Box 14251</t>
  </si>
  <si>
    <t>Auckland 1741</t>
  </si>
  <si>
    <t>09-570 5690</t>
  </si>
  <si>
    <t>South East Christian Kāhui Ako</t>
  </si>
  <si>
    <t>Te Kōhanga Reo o Pou Kara Ariki Rawene</t>
  </si>
  <si>
    <t>09-405 7454</t>
  </si>
  <si>
    <t>51 Clendon Esplande</t>
  </si>
  <si>
    <t>Rawene</t>
  </si>
  <si>
    <t>Hokianga South</t>
  </si>
  <si>
    <t>Katerina  Hepi</t>
  </si>
  <si>
    <t>09-435 9090</t>
  </si>
  <si>
    <t>Bright Bears Early Childhood Centre</t>
  </si>
  <si>
    <t>09-4283366</t>
  </si>
  <si>
    <t>brightbearselc@gmail.com</t>
  </si>
  <si>
    <t>857 Whangaparaoa Road</t>
  </si>
  <si>
    <t>Whangaparaoa-Auckland</t>
  </si>
  <si>
    <t>Herbert Sima</t>
  </si>
  <si>
    <t>Whangaparaoa 0930</t>
  </si>
  <si>
    <t>09-4788098</t>
  </si>
  <si>
    <t>Learning Steps Childcare Centre</t>
  </si>
  <si>
    <t>09-836 1985</t>
  </si>
  <si>
    <t>4170 Great North Road</t>
  </si>
  <si>
    <t>Glendene</t>
  </si>
  <si>
    <t>Ashmeeta Sharma</t>
  </si>
  <si>
    <t>5 Ribblesdale Road</t>
  </si>
  <si>
    <t>09-8361985</t>
  </si>
  <si>
    <t>Rising Stars Early Childhood Centre</t>
  </si>
  <si>
    <t>09-8372311</t>
  </si>
  <si>
    <t>info@risingstarschildcare.co.nz</t>
  </si>
  <si>
    <t>168 Lincoln Road</t>
  </si>
  <si>
    <t>Leah Boonzaaier</t>
  </si>
  <si>
    <t>P O Box 104235</t>
  </si>
  <si>
    <t>Lincoln North</t>
  </si>
  <si>
    <t>Auckland 0645</t>
  </si>
  <si>
    <t>09-837 2311</t>
  </si>
  <si>
    <t>Olive Tree Early Learning Centre</t>
  </si>
  <si>
    <t>09-218 9896</t>
  </si>
  <si>
    <t>hello@olivetreeelc.co.nz</t>
  </si>
  <si>
    <t>45 Cascades Road</t>
  </si>
  <si>
    <t>Carli Hill</t>
  </si>
  <si>
    <t>Auckland 2010</t>
  </si>
  <si>
    <t>Rising Stars Lynfield Early Childhood Centre</t>
  </si>
  <si>
    <t>09-627 4004</t>
  </si>
  <si>
    <t>jonna@risingstarschildcare.co.nz</t>
  </si>
  <si>
    <t>210 White Swan Road</t>
  </si>
  <si>
    <t>Mount Roskill West</t>
  </si>
  <si>
    <t>Jonna Ramirez</t>
  </si>
  <si>
    <t>278 Victoria Ave</t>
  </si>
  <si>
    <t>Kenese Aoga Niue</t>
  </si>
  <si>
    <t>09-2636768</t>
  </si>
  <si>
    <t>16 Israel Avenue</t>
  </si>
  <si>
    <t>Clover Park North</t>
  </si>
  <si>
    <t>Chelsea-Jill Atasani Kauie</t>
  </si>
  <si>
    <t>16 B Israel Avenue</t>
  </si>
  <si>
    <t>South Auckland 2023</t>
  </si>
  <si>
    <t>Vintage Kids</t>
  </si>
  <si>
    <t>09-524 5574</t>
  </si>
  <si>
    <t>20 Ranfurly Road</t>
  </si>
  <si>
    <t>Mount St John</t>
  </si>
  <si>
    <t>Sheree Thomason</t>
  </si>
  <si>
    <t>09-5245574</t>
  </si>
  <si>
    <t>Fantails Childcare - Country</t>
  </si>
  <si>
    <t>09-427 4060</t>
  </si>
  <si>
    <t>info@fantailschildcare.co.nz</t>
  </si>
  <si>
    <t>411 Wainui Road, RD2</t>
  </si>
  <si>
    <t>Silverdale</t>
  </si>
  <si>
    <t>Milldale</t>
  </si>
  <si>
    <t>Johanna Kiers</t>
  </si>
  <si>
    <t>P O Box 5</t>
  </si>
  <si>
    <t>Silverdale 0944</t>
  </si>
  <si>
    <t>09-2804656</t>
  </si>
  <si>
    <t>Sara Petesa A'oga Amata</t>
  </si>
  <si>
    <t>09-274 6533</t>
  </si>
  <si>
    <t>sarapetesa@xtra.co.nz</t>
  </si>
  <si>
    <t>C/- 32 Kerwyn Avenue</t>
  </si>
  <si>
    <t>Not Applicable / Unknown</t>
  </si>
  <si>
    <t>Maselino Namulauulu</t>
  </si>
  <si>
    <t>P O Box 61089</t>
  </si>
  <si>
    <t>Auckland City</t>
  </si>
  <si>
    <t>Auckland 2159</t>
  </si>
  <si>
    <t>09-265 2945</t>
  </si>
  <si>
    <t>Educare Bream Bay</t>
  </si>
  <si>
    <t>09-432 8540</t>
  </si>
  <si>
    <t>breambay@educare.co.nz</t>
  </si>
  <si>
    <t>Shop 32 386 Marsden Point Road</t>
  </si>
  <si>
    <t>Whangarei 0112</t>
  </si>
  <si>
    <t>Country Kids</t>
  </si>
  <si>
    <t>027-8931108</t>
  </si>
  <si>
    <t>liuyushan1108@gmail.com</t>
  </si>
  <si>
    <t>302 Henderson Valley Road</t>
  </si>
  <si>
    <t>Henderson Valley</t>
  </si>
  <si>
    <t>Liu Yushan</t>
  </si>
  <si>
    <t>3 Banff Avenue</t>
  </si>
  <si>
    <t xml:space="preserve">Auckland </t>
  </si>
  <si>
    <t>Tuakau's Little Stars Early Childhood Centre</t>
  </si>
  <si>
    <t>09-236 8195</t>
  </si>
  <si>
    <t>office@tuakauslittlestars.co.nz</t>
  </si>
  <si>
    <t>1 A Madill Street</t>
  </si>
  <si>
    <t>Tuakau North</t>
  </si>
  <si>
    <t>Sharon Strang</t>
  </si>
  <si>
    <t>Tuakau 2121</t>
  </si>
  <si>
    <t>Te Kōhanga Reo o Te Piringa ki Ōtara</t>
  </si>
  <si>
    <t>09-273 2994</t>
  </si>
  <si>
    <t>10 Pearl Baker Drive</t>
  </si>
  <si>
    <t>Kidz Matter 2 Us</t>
  </si>
  <si>
    <t>09-8374471</t>
  </si>
  <si>
    <t>kidzmatter2us.ecec@salvationarmy.org.nz</t>
  </si>
  <si>
    <t>7 View Road</t>
  </si>
  <si>
    <t>Henderson Central</t>
  </si>
  <si>
    <t>Sarah Barry</t>
  </si>
  <si>
    <t>P O Box 6015</t>
  </si>
  <si>
    <t>Marion Square</t>
  </si>
  <si>
    <t>Wellington 6141</t>
  </si>
  <si>
    <t>Trinity Kindergarten</t>
  </si>
  <si>
    <t>09-577 4959</t>
  </si>
  <si>
    <t>info@trinitykindy.co.nz</t>
  </si>
  <si>
    <t>474 Pakuranga Road</t>
  </si>
  <si>
    <t>Half Moon Bay South East</t>
  </si>
  <si>
    <t>Engela Nel</t>
  </si>
  <si>
    <t>P O Box 82172</t>
  </si>
  <si>
    <t>Auckland 2143</t>
  </si>
  <si>
    <t>Tikipunga Educare</t>
  </si>
  <si>
    <t>09-4375331</t>
  </si>
  <si>
    <t>al@educare.co.nz</t>
  </si>
  <si>
    <t>113 Kiripaka Road</t>
  </si>
  <si>
    <t>Tikipunga South</t>
  </si>
  <si>
    <t>3 Grey Street, Regent</t>
  </si>
  <si>
    <t>Kia Orana Punanga Reo ECE Limited</t>
  </si>
  <si>
    <t>09-257 0184</t>
  </si>
  <si>
    <t>kiaoranapr15@gmail.com</t>
  </si>
  <si>
    <t>29 Wickman Way</t>
  </si>
  <si>
    <t>Cook Island ECE Service</t>
  </si>
  <si>
    <t>Harania South</t>
  </si>
  <si>
    <t>William Greig</t>
  </si>
  <si>
    <t>P O Box 43182</t>
  </si>
  <si>
    <t>Whakatipu Akoranga Kāhui Ako</t>
  </si>
  <si>
    <t>AoKids/Puna O le Atamai</t>
  </si>
  <si>
    <t>09-2650846</t>
  </si>
  <si>
    <t>sue@pasifika.school.nz</t>
  </si>
  <si>
    <t>Sulu Ah-Young</t>
  </si>
  <si>
    <t>P O Box 76107</t>
  </si>
  <si>
    <t>Auckland 2241</t>
  </si>
  <si>
    <t>Fetu Taiala Aoga Amata</t>
  </si>
  <si>
    <t>09-2570182</t>
  </si>
  <si>
    <t>director@tavaesina.co.nz</t>
  </si>
  <si>
    <t>3/29 Wickman Way</t>
  </si>
  <si>
    <t>Letelemalanuola Moe-Penn</t>
  </si>
  <si>
    <t>73 Flathbush Road</t>
  </si>
  <si>
    <t>09-2570218</t>
  </si>
  <si>
    <t>Kerikeri Preschool</t>
  </si>
  <si>
    <t>09-407 1200</t>
  </si>
  <si>
    <t>kerikeripreschool@outlook.co.nz</t>
  </si>
  <si>
    <t>35 Hobson Avenue</t>
  </si>
  <si>
    <t>Joffi .</t>
  </si>
  <si>
    <t>22 Provisional Drive</t>
  </si>
  <si>
    <t>021-0253 1900</t>
  </si>
  <si>
    <t>YMCA Early Learning Centre Ellerslie</t>
  </si>
  <si>
    <t>09-525 4753</t>
  </si>
  <si>
    <t>46 Michaels Avenue</t>
  </si>
  <si>
    <t>Priscilla  Dougall</t>
  </si>
  <si>
    <t>Victoria Street West Private Bag 92150</t>
  </si>
  <si>
    <t>021-424937</t>
  </si>
  <si>
    <t>Akaiti Mangarongaro</t>
  </si>
  <si>
    <t>09-2753217</t>
  </si>
  <si>
    <t>akaiti.m@xtra.co.nz</t>
  </si>
  <si>
    <t>1/29 Wickman Way</t>
  </si>
  <si>
    <t>Temaria Tengange</t>
  </si>
  <si>
    <t>P O Box 86027</t>
  </si>
  <si>
    <t>Auckland 2158</t>
  </si>
  <si>
    <t>022-189133</t>
  </si>
  <si>
    <t>Mana Tama Aoga Niue</t>
  </si>
  <si>
    <t>09-257 0181</t>
  </si>
  <si>
    <t>niueducate@gmail.com</t>
  </si>
  <si>
    <t>Building 4 29 Wickman Way</t>
  </si>
  <si>
    <t>Elviso Togiamua</t>
  </si>
  <si>
    <t xml:space="preserve">8 Juvena Place </t>
  </si>
  <si>
    <t>Auckland 2023</t>
  </si>
  <si>
    <t>Horizons Montessori Preschool</t>
  </si>
  <si>
    <t>09-8272525</t>
  </si>
  <si>
    <t>horizonsmontessoripreschool@xtra.co.nz</t>
  </si>
  <si>
    <t>1 Arahoe Road</t>
  </si>
  <si>
    <t>New Lynn South</t>
  </si>
  <si>
    <t>Helen Emberson</t>
  </si>
  <si>
    <t>09-818 1198</t>
  </si>
  <si>
    <t>All about children - Avondale</t>
  </si>
  <si>
    <t>09-8203933</t>
  </si>
  <si>
    <t>manjot@kweg.co.nz</t>
  </si>
  <si>
    <t>2 Sandy Lane</t>
  </si>
  <si>
    <t>Avondale West (Auckland)</t>
  </si>
  <si>
    <t>Manjot Juneja</t>
  </si>
  <si>
    <t>PO Box 72002</t>
  </si>
  <si>
    <t>Papakura 2244</t>
  </si>
  <si>
    <t>027-504 6194</t>
  </si>
  <si>
    <t>Glow Kids</t>
  </si>
  <si>
    <t>09-8458070</t>
  </si>
  <si>
    <t>info@glowkids.org.nz</t>
  </si>
  <si>
    <t>13 Coyle Street</t>
  </si>
  <si>
    <t>Sandringham Central</t>
  </si>
  <si>
    <t>Sonya Sinclair</t>
  </si>
  <si>
    <t>P O Box 16291</t>
  </si>
  <si>
    <t>Auckland 1351</t>
  </si>
  <si>
    <t>Sathya Sai Preschool - Rongomai</t>
  </si>
  <si>
    <t>09-2724354</t>
  </si>
  <si>
    <t>office@sathyasaipreschoolrongomai.org.nz</t>
  </si>
  <si>
    <t>Rongomai Road</t>
  </si>
  <si>
    <t>Rongomai West</t>
  </si>
  <si>
    <t>Mohini Misaghian</t>
  </si>
  <si>
    <t>C/- Rongomai School for Sathya Sai Preschool 20 Rongomai Road</t>
  </si>
  <si>
    <t>Pascals Herne Bay</t>
  </si>
  <si>
    <t>09-3788106</t>
  </si>
  <si>
    <t>272 Jervois Road</t>
  </si>
  <si>
    <t>Herne Bay</t>
  </si>
  <si>
    <t>Ponsonby West</t>
  </si>
  <si>
    <t xml:space="preserve">Catherine  Jones </t>
  </si>
  <si>
    <t>Level 15 16 Kingston Street</t>
  </si>
  <si>
    <t>Auckland 1010</t>
  </si>
  <si>
    <t>Open Spaces Preschool Limited</t>
  </si>
  <si>
    <t>09-437 5718</t>
  </si>
  <si>
    <t>info@openspaces.net.nz</t>
  </si>
  <si>
    <t>590 Ngunguru Road</t>
  </si>
  <si>
    <t>Kiripaka</t>
  </si>
  <si>
    <t>Whangārei Heads General Ward</t>
  </si>
  <si>
    <t>Katie Beecroft</t>
  </si>
  <si>
    <t>426 Ngunguru Road RD 3</t>
  </si>
  <si>
    <t>Whangarei 0173</t>
  </si>
  <si>
    <t>Starship Play Service Ward 24A &amp; 24B</t>
  </si>
  <si>
    <t>Park Road</t>
  </si>
  <si>
    <t>Starship Play Service Ward 26A &amp; 26B</t>
  </si>
  <si>
    <t>nwoollaston@adhb.govt.nz</t>
  </si>
  <si>
    <t>Auckland Hospital Park Road</t>
  </si>
  <si>
    <t>Creative Minds (Kaeo) Ltd</t>
  </si>
  <si>
    <t>09-405 0850</t>
  </si>
  <si>
    <t>creativemindskaeo@gmail.com</t>
  </si>
  <si>
    <t>73 Omaunu Road</t>
  </si>
  <si>
    <t>Kaeo</t>
  </si>
  <si>
    <t>Kāeo</t>
  </si>
  <si>
    <t>Hillary Sheard</t>
  </si>
  <si>
    <t>71A Totara North Road RD 2</t>
  </si>
  <si>
    <t>Kaeo 0479</t>
  </si>
  <si>
    <t>Bear Park Mt Eden</t>
  </si>
  <si>
    <t>09-623 5150</t>
  </si>
  <si>
    <t>mteden@bearpark.co.nz</t>
  </si>
  <si>
    <t>32 Akiraho Street</t>
  </si>
  <si>
    <t>Mount Eden North</t>
  </si>
  <si>
    <t>Sue Stevely-Cole</t>
  </si>
  <si>
    <t>P O Box 99696</t>
  </si>
  <si>
    <t>Newmarket</t>
  </si>
  <si>
    <t>Auckland 1149</t>
  </si>
  <si>
    <t>03-4561010</t>
  </si>
  <si>
    <t>Kowhai Corner</t>
  </si>
  <si>
    <t>09-4010114</t>
  </si>
  <si>
    <t>29 Purdy Street</t>
  </si>
  <si>
    <t>Lance Whiu</t>
  </si>
  <si>
    <t>P O Box 24</t>
  </si>
  <si>
    <t>Kaikohe 0440</t>
  </si>
  <si>
    <t>09-401 0114</t>
  </si>
  <si>
    <t>Feathers Early Learning Centre</t>
  </si>
  <si>
    <t>09-8327986</t>
  </si>
  <si>
    <t>admin@featherschildcare.co.nz</t>
  </si>
  <si>
    <t>64 Lincoln Park</t>
  </si>
  <si>
    <t>Massey Keegan</t>
  </si>
  <si>
    <t>Rebecca Young</t>
  </si>
  <si>
    <t xml:space="preserve">64 Lincoln Park Avenue </t>
  </si>
  <si>
    <t>Auckland 0614</t>
  </si>
  <si>
    <t>021-2962323</t>
  </si>
  <si>
    <t>Busy Bees Kerikeri Nursery</t>
  </si>
  <si>
    <t>09-4078460</t>
  </si>
  <si>
    <t>19 Hone Heke Road</t>
  </si>
  <si>
    <t>Jemmas Homebased Childcare Auckland</t>
  </si>
  <si>
    <t>09-836 6204</t>
  </si>
  <si>
    <t>kelly@jemmas.co.nz</t>
  </si>
  <si>
    <t>31 Arabian Drive</t>
  </si>
  <si>
    <t>Palm Beach North</t>
  </si>
  <si>
    <t>Kelly Kingi</t>
  </si>
  <si>
    <t>Tauranga 3118</t>
  </si>
  <si>
    <t>Glendowie Kindergarten</t>
  </si>
  <si>
    <t>09-585 1991</t>
  </si>
  <si>
    <t>glendowie@aka.org.nz</t>
  </si>
  <si>
    <t>225 Riddell Road</t>
  </si>
  <si>
    <t>Glendowie South East</t>
  </si>
  <si>
    <t>Kindercare Learning Centres - Silverdale</t>
  </si>
  <si>
    <t>09-427 4001</t>
  </si>
  <si>
    <t>hilltop@kindercare.co.nz</t>
  </si>
  <si>
    <t>71 Hibiscus Coast Highway</t>
  </si>
  <si>
    <t>Red Beach West</t>
  </si>
  <si>
    <t>Kindercare Learning Centre - Albany</t>
  </si>
  <si>
    <t>09-4792828</t>
  </si>
  <si>
    <t>albany@kindercare.co.nz</t>
  </si>
  <si>
    <t>141 Oteha Valley Road</t>
  </si>
  <si>
    <t>Fairview Heights</t>
  </si>
  <si>
    <t>Rise &amp; Shine Childcare Centre</t>
  </si>
  <si>
    <t>021-986 748</t>
  </si>
  <si>
    <t>mangere@riseshine.co.nz</t>
  </si>
  <si>
    <t>77 Aintree Avenue</t>
  </si>
  <si>
    <t>Auckland Airport</t>
  </si>
  <si>
    <t>Kristie Crawford</t>
  </si>
  <si>
    <t>2 Oakmont Grove</t>
  </si>
  <si>
    <t>Upper Hutt 5018</t>
  </si>
  <si>
    <t>Learning Edge Montessori Preschool</t>
  </si>
  <si>
    <t>09-8171170</t>
  </si>
  <si>
    <t>learning_edge@hotmail.com</t>
  </si>
  <si>
    <t>2 Sunray Avenue</t>
  </si>
  <si>
    <t>Titirangi</t>
  </si>
  <si>
    <t>Kaurilands</t>
  </si>
  <si>
    <t>Annette Suter</t>
  </si>
  <si>
    <t>BestStart Epsom</t>
  </si>
  <si>
    <t>09-5227011</t>
  </si>
  <si>
    <t>epsom@best-start.org</t>
  </si>
  <si>
    <t>120 Great South Road</t>
  </si>
  <si>
    <t>Kidz First Surgicalcare</t>
  </si>
  <si>
    <t>09-2760044 Ext 7236</t>
  </si>
  <si>
    <t>Middlemore Hospital  Hospital Road</t>
  </si>
  <si>
    <t>Middlemore</t>
  </si>
  <si>
    <t>Denise Skeen</t>
  </si>
  <si>
    <t>Kidz First Children's Hospital Private Bag 93311</t>
  </si>
  <si>
    <t>Auckland 1640</t>
  </si>
  <si>
    <t>Kimberley Childcare Greenlane</t>
  </si>
  <si>
    <t>09-5201252</t>
  </si>
  <si>
    <t>greenlane@kimberleychildcare.co.nz</t>
  </si>
  <si>
    <t>27 Marewa Road</t>
  </si>
  <si>
    <t>Greenlane</t>
  </si>
  <si>
    <t>Greenlane North</t>
  </si>
  <si>
    <t>Anthony Cluley</t>
  </si>
  <si>
    <t>Auckland 1051</t>
  </si>
  <si>
    <t>Teuila Kids Early Learning Centre</t>
  </si>
  <si>
    <t>09-527 1314</t>
  </si>
  <si>
    <t>35 - 37 Pt England Road</t>
  </si>
  <si>
    <t>Glen Tuala</t>
  </si>
  <si>
    <t>P O Box 18424</t>
  </si>
  <si>
    <t>Auckland 1743</t>
  </si>
  <si>
    <t>09-5707457</t>
  </si>
  <si>
    <t>Busy Bees Rosedale</t>
  </si>
  <si>
    <t>09-444 1979</t>
  </si>
  <si>
    <t>manager@rosedale.busybees.org.nz</t>
  </si>
  <si>
    <t>15-17 Saturn Place</t>
  </si>
  <si>
    <t>Lei Xu</t>
  </si>
  <si>
    <t>Kindercare Learning Centres - Manurewa</t>
  </si>
  <si>
    <t>09-2688005</t>
  </si>
  <si>
    <t>randwick@kindercare.co.nz</t>
  </si>
  <si>
    <t>68 Riverton Drive</t>
  </si>
  <si>
    <t>Randwick Park</t>
  </si>
  <si>
    <t>Randwick Park East</t>
  </si>
  <si>
    <t>Treetops ELC Botany</t>
  </si>
  <si>
    <t>09-2724448</t>
  </si>
  <si>
    <t>natasha@treetopslearning.co.nz</t>
  </si>
  <si>
    <t>Sunset Terrace 588 Chapel Road</t>
  </si>
  <si>
    <t>Botany Central</t>
  </si>
  <si>
    <t>Natasha Rawiri</t>
  </si>
  <si>
    <t>P O Box 64015</t>
  </si>
  <si>
    <t>Botany Downs North</t>
  </si>
  <si>
    <t>South Auckland 2142</t>
  </si>
  <si>
    <t>09-5367031</t>
  </si>
  <si>
    <t>Akoteu Lotofale'ia</t>
  </si>
  <si>
    <t>akoteulotofaleia.manager@xtra.co.nz</t>
  </si>
  <si>
    <t>5 Killington Crescent</t>
  </si>
  <si>
    <t>Little Climbers Early Learning Centre - Dannemora</t>
  </si>
  <si>
    <t>09-274 2928</t>
  </si>
  <si>
    <t>Manager_Dannemora@littleclimbers.co.nz</t>
  </si>
  <si>
    <t>1 Willowbank Close</t>
  </si>
  <si>
    <t>Dannemora</t>
  </si>
  <si>
    <t>Middlefield</t>
  </si>
  <si>
    <t>Ritu Jain</t>
  </si>
  <si>
    <t>Bayview Early Learning Centre</t>
  </si>
  <si>
    <t>09-443 8144</t>
  </si>
  <si>
    <t>manager@bayviewcentre.org.nz</t>
  </si>
  <si>
    <t>72 Bayview Road</t>
  </si>
  <si>
    <t>Elisiva Paumolevuka</t>
  </si>
  <si>
    <t>P O Box 40391</t>
  </si>
  <si>
    <t>North Shore City 0747</t>
  </si>
  <si>
    <t>1 + 1 Preschool</t>
  </si>
  <si>
    <t>09-271 2321</t>
  </si>
  <si>
    <t>1plus1preschool@gmail.com</t>
  </si>
  <si>
    <t>32 Feeny Crescent</t>
  </si>
  <si>
    <t>Redcastle</t>
  </si>
  <si>
    <t>Yufan Jiang</t>
  </si>
  <si>
    <t>South Auckland 2013</t>
  </si>
  <si>
    <t>09-2712321</t>
  </si>
  <si>
    <t>Tongan Tamaki Fe'ofa'aki Preschool</t>
  </si>
  <si>
    <t>09-528 5980</t>
  </si>
  <si>
    <t>feofaaki.preschool@gmail.com</t>
  </si>
  <si>
    <t>183 A Taniwha Street</t>
  </si>
  <si>
    <t>Glen Innes West</t>
  </si>
  <si>
    <t>Goretti Kalolo</t>
  </si>
  <si>
    <t>183A Taniwha Street</t>
  </si>
  <si>
    <t>09-528 8280</t>
  </si>
  <si>
    <t>YMCA Early Learning Centre Massey</t>
  </si>
  <si>
    <t>09-832 7324</t>
  </si>
  <si>
    <t>earlylearning.massey@ymcaauckland.org.nz</t>
  </si>
  <si>
    <t>Cnr Don Buck Road &amp; Westgate Drive 545 Don Buck Road</t>
  </si>
  <si>
    <t>Westgate South</t>
  </si>
  <si>
    <t>Tiny Stars</t>
  </si>
  <si>
    <t>09-2736942</t>
  </si>
  <si>
    <t>managerotara@mykindy.nz</t>
  </si>
  <si>
    <t>208 A Preston Road</t>
  </si>
  <si>
    <t>Emma Norrie</t>
  </si>
  <si>
    <t>2/11 Regia Close</t>
  </si>
  <si>
    <t>Half Moon Bay</t>
  </si>
  <si>
    <t>Kidd Inn Early Learning Centre Ltd</t>
  </si>
  <si>
    <t>09-818 9398</t>
  </si>
  <si>
    <t>kiddinn@xtra.co.nz</t>
  </si>
  <si>
    <t>49 Kaurilands Road</t>
  </si>
  <si>
    <t>Konini Road</t>
  </si>
  <si>
    <t>Kerry Leonard</t>
  </si>
  <si>
    <t>49 Kaurilands Rd</t>
  </si>
  <si>
    <t>Waitakere 0602</t>
  </si>
  <si>
    <t>Arohanui Early Childhood Learning Centre</t>
  </si>
  <si>
    <t>09-407 5955</t>
  </si>
  <si>
    <t>140 Waipapa Road</t>
  </si>
  <si>
    <t>Riverview</t>
  </si>
  <si>
    <t>Fiona Thomson</t>
  </si>
  <si>
    <t>P O Box 579</t>
  </si>
  <si>
    <t>Kerikeri 0245</t>
  </si>
  <si>
    <t>Kindy Cottage Childcare</t>
  </si>
  <si>
    <t>09-4784784</t>
  </si>
  <si>
    <t>17 Graham Collins Drive</t>
  </si>
  <si>
    <t>Windsor Park</t>
  </si>
  <si>
    <t>Xiaocen Chen</t>
  </si>
  <si>
    <t>544 Beach Road</t>
  </si>
  <si>
    <t>Murrays Bay</t>
  </si>
  <si>
    <t>Mataliki Tokelau Akoga Kamata</t>
  </si>
  <si>
    <t>09-275 5804</t>
  </si>
  <si>
    <t>administration@mataliki.co.nz</t>
  </si>
  <si>
    <t>53 R Raglan Street</t>
  </si>
  <si>
    <t>Tokelauan ECE Service</t>
  </si>
  <si>
    <t>Aorere Central</t>
  </si>
  <si>
    <t>Sulata Foai-Amiatu</t>
  </si>
  <si>
    <t>P O Box 43107</t>
  </si>
  <si>
    <t>Red Kite Preschool Mt Albert</t>
  </si>
  <si>
    <t>09-846 8436</t>
  </si>
  <si>
    <t>22B Willcott Street</t>
  </si>
  <si>
    <t xml:space="preserve">Anita Neal </t>
  </si>
  <si>
    <t>Auckland 1025</t>
  </si>
  <si>
    <t>Little Dinosaurs</t>
  </si>
  <si>
    <t>margarita@littledinosaurs.co.nz</t>
  </si>
  <si>
    <t>87 Onslow Avenue</t>
  </si>
  <si>
    <t>Epsom Central-South</t>
  </si>
  <si>
    <t>Margarita Sampayo</t>
  </si>
  <si>
    <t>27 Hendon Avenue</t>
  </si>
  <si>
    <t>Akoteu Kenani</t>
  </si>
  <si>
    <t>09-270 2721</t>
  </si>
  <si>
    <t>89 Fairburn Road</t>
  </si>
  <si>
    <t>Auckland 1062</t>
  </si>
  <si>
    <t>09-4361262</t>
  </si>
  <si>
    <t>Kiteone Road</t>
  </si>
  <si>
    <t>Parua Bay</t>
  </si>
  <si>
    <t>Pārua Bay</t>
  </si>
  <si>
    <t>Ngā Kura mo te ako o Whangarei Kāhui Ako Group 1</t>
  </si>
  <si>
    <t>Magic Garden Early Education Limiited</t>
  </si>
  <si>
    <t>09-479 1240</t>
  </si>
  <si>
    <t>manager@magicgarden.co.nz</t>
  </si>
  <si>
    <t>170-174 Carlisle Road</t>
  </si>
  <si>
    <t>Northcross</t>
  </si>
  <si>
    <t>Paul Blair</t>
  </si>
  <si>
    <t>470/174 Carlisle Road</t>
  </si>
  <si>
    <t>021-902436</t>
  </si>
  <si>
    <t>Kindercare Learning Centres (18) Dannemora</t>
  </si>
  <si>
    <t>09-2733 799</t>
  </si>
  <si>
    <t>dannemora@kindercare.co.nz</t>
  </si>
  <si>
    <t>Cratloe Lane</t>
  </si>
  <si>
    <t>Armoy</t>
  </si>
  <si>
    <t>Wonder Bees Early Learning Centre</t>
  </si>
  <si>
    <t>09-4797 420</t>
  </si>
  <si>
    <t>info@wonderbees.co.nz</t>
  </si>
  <si>
    <t>3 Whetu Place</t>
  </si>
  <si>
    <t>Ying Li</t>
  </si>
  <si>
    <t xml:space="preserve">3 Whetu Place </t>
  </si>
  <si>
    <t>Auckland 0620</t>
  </si>
  <si>
    <t>BestStart Grey Lynn</t>
  </si>
  <si>
    <t>09-376 5431</t>
  </si>
  <si>
    <t>greylynn@best-start.org</t>
  </si>
  <si>
    <t>38 Sackville Street</t>
  </si>
  <si>
    <t>Grey Lynn North</t>
  </si>
  <si>
    <t>KiNZ Myers Park</t>
  </si>
  <si>
    <t>09-3732709</t>
  </si>
  <si>
    <t>myerspark@kinz.org.nz</t>
  </si>
  <si>
    <t>381 Queen Street</t>
  </si>
  <si>
    <t>Auckland CBD</t>
  </si>
  <si>
    <t>Queen Street South West</t>
  </si>
  <si>
    <t>Leataata O Tupulaga O Le Pasefika</t>
  </si>
  <si>
    <t>09-8323616</t>
  </si>
  <si>
    <t>Leataata@leataatapreschool.co.nz</t>
  </si>
  <si>
    <t>91 Moire Road</t>
  </si>
  <si>
    <t>Fa'amalua Tipi</t>
  </si>
  <si>
    <t>P O Box 84075</t>
  </si>
  <si>
    <t>Westgate</t>
  </si>
  <si>
    <t>Sandcastles Matakana</t>
  </si>
  <si>
    <t>09-422 9401</t>
  </si>
  <si>
    <t>enquiries@sandcastles.net.nz</t>
  </si>
  <si>
    <t>984 Matakana Road, RD5,</t>
  </si>
  <si>
    <t>Dome Valley-Matakana</t>
  </si>
  <si>
    <t>Carol Mills</t>
  </si>
  <si>
    <t>984 Matakana Road, RD5</t>
  </si>
  <si>
    <t>Warkworth 0948</t>
  </si>
  <si>
    <t>09-425 5502</t>
  </si>
  <si>
    <t>Small Kauri Early Childhood Education  Centre</t>
  </si>
  <si>
    <t>09-6360644</t>
  </si>
  <si>
    <t>petrenkos@gmail.com</t>
  </si>
  <si>
    <t>39 Coronation Road</t>
  </si>
  <si>
    <t>Māngere Bridge</t>
  </si>
  <si>
    <t>Andrij Petrenko</t>
  </si>
  <si>
    <t>62 Sonia Avenue</t>
  </si>
  <si>
    <t>09-6001200</t>
  </si>
  <si>
    <t>Mokopuna Early C E and Care Centre</t>
  </si>
  <si>
    <t>09-4388422</t>
  </si>
  <si>
    <t>78 Tarewa Road</t>
  </si>
  <si>
    <t>Morningside</t>
  </si>
  <si>
    <t>Māori ECE Service (excluding TKR)</t>
  </si>
  <si>
    <t>Morningside (Whangarei District)</t>
  </si>
  <si>
    <t>Kaye Taylor</t>
  </si>
  <si>
    <t>P O Box 6020</t>
  </si>
  <si>
    <t>Otaika</t>
  </si>
  <si>
    <t>Whangarei 0147</t>
  </si>
  <si>
    <t>09-438 7989</t>
  </si>
  <si>
    <t>The Treasure Cove Early Learning Centre</t>
  </si>
  <si>
    <t>09-2680890</t>
  </si>
  <si>
    <t>9-11 Boon Street</t>
  </si>
  <si>
    <t>Manurewa West</t>
  </si>
  <si>
    <t>Peter Green</t>
  </si>
  <si>
    <t>32 St Vincent Avenue</t>
  </si>
  <si>
    <t>09-266 5727</t>
  </si>
  <si>
    <t>Kiddos Childcare Takapuna</t>
  </si>
  <si>
    <t>09-488 9220</t>
  </si>
  <si>
    <t>Carla@ledu.co.nz</t>
  </si>
  <si>
    <t>1 Tennyson Avenue</t>
  </si>
  <si>
    <t>Jasim Din</t>
  </si>
  <si>
    <t>58 Onetaunga Road</t>
  </si>
  <si>
    <t>09-4803006</t>
  </si>
  <si>
    <t>BestStart Lambie Drive</t>
  </si>
  <si>
    <t>09-2611048</t>
  </si>
  <si>
    <t>BestStart Newton</t>
  </si>
  <si>
    <t>09-302 3701</t>
  </si>
  <si>
    <t>newton@best-Start.org</t>
  </si>
  <si>
    <t>13-17 Virginia Avenue</t>
  </si>
  <si>
    <t>Eden Terrace</t>
  </si>
  <si>
    <t>Kiwi Kapers Care and Education Centre</t>
  </si>
  <si>
    <t>09-8187741</t>
  </si>
  <si>
    <t>kiwikaperspreschool@outlook.com</t>
  </si>
  <si>
    <t>51 Rosier Road</t>
  </si>
  <si>
    <t>Glen Eden Rosier</t>
  </si>
  <si>
    <t>Gail Lasenby</t>
  </si>
  <si>
    <t>Auckland 0602</t>
  </si>
  <si>
    <t>Kindercare Learning Centres - Lincoln</t>
  </si>
  <si>
    <t>09-8373113</t>
  </si>
  <si>
    <t>lincoln@kindercare.co.nz</t>
  </si>
  <si>
    <t>285 Lincoln Road</t>
  </si>
  <si>
    <t>The Treasure Cove ELC - Tawa</t>
  </si>
  <si>
    <t>021-926584</t>
  </si>
  <si>
    <t>48 Tawa Crescent</t>
  </si>
  <si>
    <t>St Peter Chanel Preschool</t>
  </si>
  <si>
    <t>09-2635756</t>
  </si>
  <si>
    <t>stpchaa@xtra.co.nz</t>
  </si>
  <si>
    <t>42A Boundary Road</t>
  </si>
  <si>
    <t>Samoan ECE Service, Catholic</t>
  </si>
  <si>
    <t>Suhad Lirato</t>
  </si>
  <si>
    <t>42a Boundary Road</t>
  </si>
  <si>
    <t>Auckland 2019</t>
  </si>
  <si>
    <t>Immanuel Preschool</t>
  </si>
  <si>
    <t>09-2711 412</t>
  </si>
  <si>
    <t>rachel@immanuelpreschool.ac.nz</t>
  </si>
  <si>
    <t>55 Clayton Avenue</t>
  </si>
  <si>
    <t>Ōtara South West</t>
  </si>
  <si>
    <t>Rachel Talapati</t>
  </si>
  <si>
    <t>103A Terry Street</t>
  </si>
  <si>
    <t>09-627 4325</t>
  </si>
  <si>
    <t>Summerland Kindergarten</t>
  </si>
  <si>
    <t>09-835 0909</t>
  </si>
  <si>
    <t>summerland@aka.org.nz</t>
  </si>
  <si>
    <t>62A Summerland Drive</t>
  </si>
  <si>
    <t>Summerland North</t>
  </si>
  <si>
    <t>ACG Strathallan Preschool Centre</t>
  </si>
  <si>
    <t>09-2950830</t>
  </si>
  <si>
    <t>angela.lunam@acgedu.com</t>
  </si>
  <si>
    <t>Hayfield Way</t>
  </si>
  <si>
    <t>Karaka</t>
  </si>
  <si>
    <t>Hingaia</t>
  </si>
  <si>
    <t>Angela Lunam</t>
  </si>
  <si>
    <t>Hayfield Way RD 1</t>
  </si>
  <si>
    <t>South Auckland 2580</t>
  </si>
  <si>
    <t>09-2135418</t>
  </si>
  <si>
    <t>Kindercare Learning Centres - Auckland CBD (Babies &amp; Toddlers)</t>
  </si>
  <si>
    <t>09-359 9979</t>
  </si>
  <si>
    <t>customs@kindercare.co.nz</t>
  </si>
  <si>
    <t>29 Customs Street West</t>
  </si>
  <si>
    <t>Quay Street-Customs Street</t>
  </si>
  <si>
    <t>Kensington Educare</t>
  </si>
  <si>
    <t>09-4376082</t>
  </si>
  <si>
    <t>kensington@educare.co.nz</t>
  </si>
  <si>
    <t>Western Hills Drive</t>
  </si>
  <si>
    <t>Kensington-Whangarei</t>
  </si>
  <si>
    <t>Kensington (Whangarei District)</t>
  </si>
  <si>
    <t>Pineapples Early Learning Centre</t>
  </si>
  <si>
    <t>09-8324740</t>
  </si>
  <si>
    <t>amy@pineapplesearlylearning.co.nz</t>
  </si>
  <si>
    <t>6 O'Neills Road</t>
  </si>
  <si>
    <t>Amy  Fraser</t>
  </si>
  <si>
    <t xml:space="preserve">207 Woodlands Park Road </t>
  </si>
  <si>
    <t>09-8342320</t>
  </si>
  <si>
    <t>Tautua Aoga Amata</t>
  </si>
  <si>
    <t>09-274 5625</t>
  </si>
  <si>
    <t>Tapu@pasifikaece.co.nz</t>
  </si>
  <si>
    <t>17 Haumia Way</t>
  </si>
  <si>
    <t>Rongomai East</t>
  </si>
  <si>
    <t>Treasure Hunt Montessori Preschool</t>
  </si>
  <si>
    <t>09-828 5440</t>
  </si>
  <si>
    <t>treasurehuntmontessorischool@gmail.com</t>
  </si>
  <si>
    <t>1217-1219 New North Road</t>
  </si>
  <si>
    <t>Michelle Ashika Chand</t>
  </si>
  <si>
    <t>100 Babich Road North</t>
  </si>
  <si>
    <t>Little Kiwis Early Learning Centre</t>
  </si>
  <si>
    <t>09-278 9833</t>
  </si>
  <si>
    <t>dxapoon@hotmail.com</t>
  </si>
  <si>
    <t>20 Norman Spencer Drive</t>
  </si>
  <si>
    <t>Daniel Poon</t>
  </si>
  <si>
    <t>P O Box 76287</t>
  </si>
  <si>
    <t>The Junction Early Learning Centre</t>
  </si>
  <si>
    <t>09-479 5432</t>
  </si>
  <si>
    <t>4 Oteha Valley Road</t>
  </si>
  <si>
    <t>Amanda Pipe</t>
  </si>
  <si>
    <t>11 Islington Street</t>
  </si>
  <si>
    <t>Fame Preschool</t>
  </si>
  <si>
    <t>09-428 5048</t>
  </si>
  <si>
    <t>lana@fame.net.nz</t>
  </si>
  <si>
    <t>6 Karepiro Drive</t>
  </si>
  <si>
    <t>Whangaparāoa Central</t>
  </si>
  <si>
    <t>Lana van der Harst</t>
  </si>
  <si>
    <t>P O Box 79</t>
  </si>
  <si>
    <t>North Shore City 0943</t>
  </si>
  <si>
    <t>Over the Rainbow Early Learning Centre</t>
  </si>
  <si>
    <t>09-2389544</t>
  </si>
  <si>
    <t>12 Victoria Street</t>
  </si>
  <si>
    <t>Pukekohe North West</t>
  </si>
  <si>
    <t>Danielle Twiss</t>
  </si>
  <si>
    <t>66 Ward Street</t>
  </si>
  <si>
    <t>Pukekohe 2120</t>
  </si>
  <si>
    <t>09-2386079</t>
  </si>
  <si>
    <t>Kindercare Learning Centre (19) Greville</t>
  </si>
  <si>
    <t>09-4799933</t>
  </si>
  <si>
    <t>greville@kindercare.co.nz</t>
  </si>
  <si>
    <t>Pinehill South</t>
  </si>
  <si>
    <t>Peekaboo Childcare Centre</t>
  </si>
  <si>
    <t>info@peekaboo.nz</t>
  </si>
  <si>
    <t>115-117 Hugh Green Drive</t>
  </si>
  <si>
    <t>Michelle Bosch</t>
  </si>
  <si>
    <t>37 Churchill Road</t>
  </si>
  <si>
    <t>Fun Kids Learning Centre</t>
  </si>
  <si>
    <t>09-2622742</t>
  </si>
  <si>
    <t>funkidslearningcentre@live.com</t>
  </si>
  <si>
    <t>23 Hollyford Drive</t>
  </si>
  <si>
    <t>Hilltop (Auckland)</t>
  </si>
  <si>
    <t>Anna Chiu</t>
  </si>
  <si>
    <t>Auckland 2105</t>
  </si>
  <si>
    <t>09-262 2742</t>
  </si>
  <si>
    <t>Covenant Kids Preschool</t>
  </si>
  <si>
    <t>09-269 1048</t>
  </si>
  <si>
    <t>covenantkids@mcctrust.nz</t>
  </si>
  <si>
    <t>61 Beaumonts Way</t>
  </si>
  <si>
    <t>Manurewa South</t>
  </si>
  <si>
    <t>Anthony Bracefield</t>
  </si>
  <si>
    <t>30 Hilltop Road</t>
  </si>
  <si>
    <t>Flat Bush</t>
  </si>
  <si>
    <t>Manukau 2023</t>
  </si>
  <si>
    <t>09-2173837</t>
  </si>
  <si>
    <t>Kelston Community Early Childhood Centre</t>
  </si>
  <si>
    <t>09-813 4980</t>
  </si>
  <si>
    <t>9 St Leonards Road</t>
  </si>
  <si>
    <t>Kelston North</t>
  </si>
  <si>
    <t>Lynda Durbin</t>
  </si>
  <si>
    <t>09-813 4949</t>
  </si>
  <si>
    <t>BestStart Albany 2</t>
  </si>
  <si>
    <t>09-415 1918</t>
  </si>
  <si>
    <t>6 Appleby Road</t>
  </si>
  <si>
    <t>Small Sprouts Limited</t>
  </si>
  <si>
    <t>020-4039 2545</t>
  </si>
  <si>
    <t>elysia@smallsprouts.co.nz</t>
  </si>
  <si>
    <t>3 Blue Heron Rise</t>
  </si>
  <si>
    <t>Vipond</t>
  </si>
  <si>
    <t>Elysia Leeming</t>
  </si>
  <si>
    <t xml:space="preserve">3 Blue Heron Rise </t>
  </si>
  <si>
    <t>Mt Royal Early Learning Centre</t>
  </si>
  <si>
    <t>09-8497440</t>
  </si>
  <si>
    <t>88 Mt Royal Avenue</t>
  </si>
  <si>
    <t>Ōwairaka East</t>
  </si>
  <si>
    <t>Iuliana Rodinciuc</t>
  </si>
  <si>
    <t>32 Bradnor Meadows Drive, Swanson</t>
  </si>
  <si>
    <t>Waimauku Kindergarten</t>
  </si>
  <si>
    <t>09-4118890</t>
  </si>
  <si>
    <t>waimauku@kaitiakikindergartens.org.nz</t>
  </si>
  <si>
    <t>18 Freshfields Road</t>
  </si>
  <si>
    <t>Dannemora Kindergarten</t>
  </si>
  <si>
    <t>09-2712 397</t>
  </si>
  <si>
    <t>dannemora@aka.org.nz</t>
  </si>
  <si>
    <t>141 Kilkenny Drive</t>
  </si>
  <si>
    <t>The Gardens ECE</t>
  </si>
  <si>
    <t>09-2660600</t>
  </si>
  <si>
    <t>charlesprevost@thegardens.co.nz</t>
  </si>
  <si>
    <t>85 Charles Prevost Drive</t>
  </si>
  <si>
    <t>The Gardens (Auckland)</t>
  </si>
  <si>
    <t>Micheline Brown</t>
  </si>
  <si>
    <t>153 Hill Road</t>
  </si>
  <si>
    <t>South Auckland 2105</t>
  </si>
  <si>
    <t>09-2777855</t>
  </si>
  <si>
    <t>Fiti Lagakali Aoga Niue</t>
  </si>
  <si>
    <t>09-257 0358</t>
  </si>
  <si>
    <t>Fitilagakali@outlook.com</t>
  </si>
  <si>
    <t>36 Lyncroft Street</t>
  </si>
  <si>
    <t>Foumana Alene-Tumataiki</t>
  </si>
  <si>
    <t>P O Box 200181</t>
  </si>
  <si>
    <t>Papatoetoe Central</t>
  </si>
  <si>
    <t>South Auckland 2156</t>
  </si>
  <si>
    <t>Kiwi Supertots Learning Centre Royal Oak</t>
  </si>
  <si>
    <t>09-625 0050</t>
  </si>
  <si>
    <t>kiwisupertotsbotany@gmail.com</t>
  </si>
  <si>
    <t>15 Mt Smart Road</t>
  </si>
  <si>
    <t>Royal Oak</t>
  </si>
  <si>
    <t>Royal Oak East (Auckland)</t>
  </si>
  <si>
    <t>Ronika Prasad</t>
  </si>
  <si>
    <t>P O Box 72311</t>
  </si>
  <si>
    <t>Auckland 2244</t>
  </si>
  <si>
    <t>09-296 7193</t>
  </si>
  <si>
    <t>Kids Crafty Clubs Learning Centre</t>
  </si>
  <si>
    <t>09-5355522</t>
  </si>
  <si>
    <t>kidscraftyclubs@xtra.co.nz</t>
  </si>
  <si>
    <t>110 Moore Street</t>
  </si>
  <si>
    <t>Howick East</t>
  </si>
  <si>
    <t>Leesa Hill</t>
  </si>
  <si>
    <t>50 Baird Street</t>
  </si>
  <si>
    <t>Auckland 2014</t>
  </si>
  <si>
    <t>Carol White Family Centre</t>
  </si>
  <si>
    <t>09-521 9643</t>
  </si>
  <si>
    <t>creche@selwyn.school.nz</t>
  </si>
  <si>
    <t>c/- Selwyn College Campus 203-245 Kohimarama Road</t>
  </si>
  <si>
    <t>Kohimarama</t>
  </si>
  <si>
    <t>Kohimarama Stadium</t>
  </si>
  <si>
    <t>Laadan Mohajeri</t>
  </si>
  <si>
    <t>09-5219634</t>
  </si>
  <si>
    <t>Te Kopuru Playcentre</t>
  </si>
  <si>
    <t>09-941 4364</t>
  </si>
  <si>
    <t>keri.squires@playcentre.org.nz</t>
  </si>
  <si>
    <t>Norton Street</t>
  </si>
  <si>
    <t>Te Kopuru</t>
  </si>
  <si>
    <t>Kaipara Coastal</t>
  </si>
  <si>
    <t>Keri Squires</t>
  </si>
  <si>
    <t>P O Box 57217</t>
  </si>
  <si>
    <t>Porirua 5026</t>
  </si>
  <si>
    <t>Apples Childcare and Learning Centre</t>
  </si>
  <si>
    <t>09-6348000</t>
  </si>
  <si>
    <t>22 Cameron Street</t>
  </si>
  <si>
    <t>Steven Tan</t>
  </si>
  <si>
    <t>P O Box 26095</t>
  </si>
  <si>
    <t>Auckland 1344</t>
  </si>
  <si>
    <t>Little Moas Early Learning Centre</t>
  </si>
  <si>
    <t>09-525 0548</t>
  </si>
  <si>
    <t>info@littlemoas.co.nz</t>
  </si>
  <si>
    <t>4 Thompson Park Road</t>
  </si>
  <si>
    <t>Mount Wellington Ferndale</t>
  </si>
  <si>
    <t>Meys Mohammed</t>
  </si>
  <si>
    <t>282 Great South Road</t>
  </si>
  <si>
    <t>Auckland 2102</t>
  </si>
  <si>
    <t>City Preschool</t>
  </si>
  <si>
    <t>09-308 9798</t>
  </si>
  <si>
    <t>admin@citypreschool.co.nz</t>
  </si>
  <si>
    <t>68 Upper Queen Street</t>
  </si>
  <si>
    <t>Newton</t>
  </si>
  <si>
    <t>Arafat Husain</t>
  </si>
  <si>
    <t>7 Geordie Street</t>
  </si>
  <si>
    <t>Little Wonders Glendowie</t>
  </si>
  <si>
    <t>09-5752130</t>
  </si>
  <si>
    <t>cm.glendowie@littlewonders.nz</t>
  </si>
  <si>
    <t>54 Sierra Street</t>
  </si>
  <si>
    <t>Michelle  Ryan</t>
  </si>
  <si>
    <t>Busy Bees Whau Valley</t>
  </si>
  <si>
    <t>09-459 4255</t>
  </si>
  <si>
    <t>manager@whauvalley.busybees.org.nz</t>
  </si>
  <si>
    <t>25 Moody Avenue</t>
  </si>
  <si>
    <t>Whau Valley</t>
  </si>
  <si>
    <t>Kidz Unlimited (Learning Centre) Ltd</t>
  </si>
  <si>
    <t>09-8202253</t>
  </si>
  <si>
    <t>admin@kidzunlimited.net.nz</t>
  </si>
  <si>
    <t>4 Ennismore Road</t>
  </si>
  <si>
    <t>Karen Sears</t>
  </si>
  <si>
    <t>The Childrens Corner Howick</t>
  </si>
  <si>
    <t>09-533 0397</t>
  </si>
  <si>
    <t>30 Cook Street</t>
  </si>
  <si>
    <t>Diane Cornelius</t>
  </si>
  <si>
    <t>663 Whitford Road RD 1</t>
  </si>
  <si>
    <t>Auckland 2571</t>
  </si>
  <si>
    <t>09-530 9457</t>
  </si>
  <si>
    <t>Bear Park Henderson</t>
  </si>
  <si>
    <t>09-8377300</t>
  </si>
  <si>
    <t>henderson@bearpark.co.nz</t>
  </si>
  <si>
    <t>64-68 Summerland Drive</t>
  </si>
  <si>
    <t>Leigh Reddish</t>
  </si>
  <si>
    <t>09-5204060</t>
  </si>
  <si>
    <t>BestStart Remuera Road</t>
  </si>
  <si>
    <t>09-5230300</t>
  </si>
  <si>
    <t>remuera@best-start.org</t>
  </si>
  <si>
    <t>97 Remuera Road</t>
  </si>
  <si>
    <t>Newmarket Park</t>
  </si>
  <si>
    <t>Eden Campus Early Learning Centre</t>
  </si>
  <si>
    <t>09-6383413</t>
  </si>
  <si>
    <t>admin@taonga.org.nz</t>
  </si>
  <si>
    <t>16 Ngauruhoe Street</t>
  </si>
  <si>
    <t>Mount Eden East</t>
  </si>
  <si>
    <t>Charlene Watene</t>
  </si>
  <si>
    <t>P O Box 75644</t>
  </si>
  <si>
    <t>South Auckland 2243</t>
  </si>
  <si>
    <t>09-2692861</t>
  </si>
  <si>
    <t>Busy Bees Pakuranga 1</t>
  </si>
  <si>
    <t>09-576 8201</t>
  </si>
  <si>
    <t>Jolene.Stadler@busybees.org.nz</t>
  </si>
  <si>
    <t>67 Reeves Road</t>
  </si>
  <si>
    <t>Pakuranga Central</t>
  </si>
  <si>
    <t>Jolene Stadler</t>
  </si>
  <si>
    <t>Little Pukeko's Preschool</t>
  </si>
  <si>
    <t>09-2392272</t>
  </si>
  <si>
    <t>verenaliu62@gmail.com</t>
  </si>
  <si>
    <t>7 Graham Street</t>
  </si>
  <si>
    <t>Yilin Zhang</t>
  </si>
  <si>
    <t>7 Graham Street Pukekohe</t>
  </si>
  <si>
    <t>Auckland 2120</t>
  </si>
  <si>
    <t>Te Hononga Puna Reo</t>
  </si>
  <si>
    <t>09-239 1150</t>
  </si>
  <si>
    <t>jan@tenuinga.co.nz</t>
  </si>
  <si>
    <t>19 Beatty Road</t>
  </si>
  <si>
    <t>January Albert</t>
  </si>
  <si>
    <t>25 Heather Green ave</t>
  </si>
  <si>
    <t>Waikato 2474</t>
  </si>
  <si>
    <t>Smiling Stars Childcare</t>
  </si>
  <si>
    <t>021-268 9079</t>
  </si>
  <si>
    <t>103 Queen Street</t>
  </si>
  <si>
    <t>Somna  Chaudhary</t>
  </si>
  <si>
    <t>09-974 2060</t>
  </si>
  <si>
    <t>Te Ōhonga Reo o Matangirau</t>
  </si>
  <si>
    <t>09-405 0955</t>
  </si>
  <si>
    <t>495 Wainui Road</t>
  </si>
  <si>
    <t>Whakarara</t>
  </si>
  <si>
    <t>Te Timatatanga o te Matauranga</t>
  </si>
  <si>
    <t>09-4372515</t>
  </si>
  <si>
    <t>189 William Jones Drive</t>
  </si>
  <si>
    <t>Otangarei</t>
  </si>
  <si>
    <t>Te Kōhanga Reo o Te kotahitanga</t>
  </si>
  <si>
    <t>09-401 2191</t>
  </si>
  <si>
    <t>30 Rangihamama Road</t>
  </si>
  <si>
    <t>Ngapuhi</t>
  </si>
  <si>
    <t>He Kaakano Early Learning Centre</t>
  </si>
  <si>
    <t>09-438 1840</t>
  </si>
  <si>
    <t>hekakano@teorahou.org.nz</t>
  </si>
  <si>
    <t>55 Raumanga Valley Road</t>
  </si>
  <si>
    <t>Tarewa</t>
  </si>
  <si>
    <t>Louis Davis</t>
  </si>
  <si>
    <t>P O Box 1136</t>
  </si>
  <si>
    <t>Whangarei 0140</t>
  </si>
  <si>
    <t>09-4385556</t>
  </si>
  <si>
    <t>Titoki Playcentre</t>
  </si>
  <si>
    <t>09-433 1702</t>
  </si>
  <si>
    <t>Mangakahia Road</t>
  </si>
  <si>
    <t>Mangakahia-Hūkerenui</t>
  </si>
  <si>
    <t>Mangakahia-Maungatapere General Ward</t>
  </si>
  <si>
    <t>Harinui Early Childhood Learning Centre</t>
  </si>
  <si>
    <t>09-407 6155</t>
  </si>
  <si>
    <t>Before Six Early Educational Childhood Centre</t>
  </si>
  <si>
    <t>09-431 4012</t>
  </si>
  <si>
    <t>admin@beforesixchildcare.co.nz</t>
  </si>
  <si>
    <t>2 Pearson Street</t>
  </si>
  <si>
    <t>Mangawhai</t>
  </si>
  <si>
    <t>Kaiwaka-Mangawhai General Ward</t>
  </si>
  <si>
    <t>Shelley Paddock</t>
  </si>
  <si>
    <t>P O Box 2175</t>
  </si>
  <si>
    <t>Shortland Street</t>
  </si>
  <si>
    <t>Auckland 1140</t>
  </si>
  <si>
    <t>Twin Coast Community of Learning</t>
  </si>
  <si>
    <t>BestStart Kamo Central</t>
  </si>
  <si>
    <t>09-4355454</t>
  </si>
  <si>
    <t>kamocentral@best-start.org</t>
  </si>
  <si>
    <t>2a Lilian Street</t>
  </si>
  <si>
    <t>Springbank Pre School</t>
  </si>
  <si>
    <t>09-4079898</t>
  </si>
  <si>
    <t>preschool@springbank.school.nz</t>
  </si>
  <si>
    <t>72 Waimate North Road</t>
  </si>
  <si>
    <t>Puketotara</t>
  </si>
  <si>
    <t>Michael Warren</t>
  </si>
  <si>
    <t>P O Box 404</t>
  </si>
  <si>
    <t>09-407 5236</t>
  </si>
  <si>
    <t>Stepping Stones Preschool</t>
  </si>
  <si>
    <t>09-4303523</t>
  </si>
  <si>
    <t>info@steppingstonespreschool.co.nz</t>
  </si>
  <si>
    <t>153a Bank Street</t>
  </si>
  <si>
    <t>Kingdom Kidz</t>
  </si>
  <si>
    <t>09-4595552</t>
  </si>
  <si>
    <t>office@kingdomkidz.co.nz</t>
  </si>
  <si>
    <t>22 Ngunguru Road</t>
  </si>
  <si>
    <t>Glenbervie</t>
  </si>
  <si>
    <t>Abbey Caves-Glenbervie</t>
  </si>
  <si>
    <t>Lisa Burton</t>
  </si>
  <si>
    <t>22 Ngunguru Rd RD 3</t>
  </si>
  <si>
    <t>Smart Start Preschool</t>
  </si>
  <si>
    <t>09-4357304</t>
  </si>
  <si>
    <t>smartstart@xtra.co.nz</t>
  </si>
  <si>
    <t>63 Station Road</t>
  </si>
  <si>
    <t>Kamo East</t>
  </si>
  <si>
    <t>Moira McKay</t>
  </si>
  <si>
    <t>09-433 2782</t>
  </si>
  <si>
    <t>Mokopuna O Moerewa Early Childhood Centre</t>
  </si>
  <si>
    <t>09-404 1116</t>
  </si>
  <si>
    <t>1-15 Station Road</t>
  </si>
  <si>
    <t>Moerewa</t>
  </si>
  <si>
    <t>Kids 1st Childcare &amp; Learning Centre Ltd</t>
  </si>
  <si>
    <t>09-432 1411</t>
  </si>
  <si>
    <t>kids1st@xtra.co.nz</t>
  </si>
  <si>
    <t>44 The Braigh</t>
  </si>
  <si>
    <t>Waipu</t>
  </si>
  <si>
    <t>Waipū</t>
  </si>
  <si>
    <t>Noela Duffus</t>
  </si>
  <si>
    <t>P O Box 14</t>
  </si>
  <si>
    <t>Waipu 0545</t>
  </si>
  <si>
    <t>Hikurangi Educare</t>
  </si>
  <si>
    <t>09-4337980</t>
  </si>
  <si>
    <t>hikurangi@educare.co.nz</t>
  </si>
  <si>
    <t>18A Park Street</t>
  </si>
  <si>
    <t>Awhi Early Learning Centre</t>
  </si>
  <si>
    <t>09-430 4280</t>
  </si>
  <si>
    <t>lainecveitch@gmail.com</t>
  </si>
  <si>
    <t>16 Porowini Avenue</t>
  </si>
  <si>
    <t>Delaine Veitch</t>
  </si>
  <si>
    <t>963 Cove Road, Langs Beach</t>
  </si>
  <si>
    <t>Waipu 0582</t>
  </si>
  <si>
    <t>Kereru Kindy</t>
  </si>
  <si>
    <t>09-430 8804</t>
  </si>
  <si>
    <t>support@kererukindy.co.nz</t>
  </si>
  <si>
    <t>152 Bank Street</t>
  </si>
  <si>
    <t>Carol Cook</t>
  </si>
  <si>
    <t>152A Bank Street</t>
  </si>
  <si>
    <t xml:space="preserve">Whangarei </t>
  </si>
  <si>
    <t>Footprints Educare</t>
  </si>
  <si>
    <t>09-408 2489</t>
  </si>
  <si>
    <t>office@footprintseducare.co.nz</t>
  </si>
  <si>
    <t>13 North Road</t>
  </si>
  <si>
    <t>Anna-Marie Toia</t>
  </si>
  <si>
    <t>Kaitaia 0410</t>
  </si>
  <si>
    <t>Kerikeri Community Childcare Trust</t>
  </si>
  <si>
    <t>09-4077153</t>
  </si>
  <si>
    <t>kkcct@xtra.co.nz</t>
  </si>
  <si>
    <t>Norfolk Place</t>
  </si>
  <si>
    <t>Daniela Cook</t>
  </si>
  <si>
    <t>4 Norfolk Place</t>
  </si>
  <si>
    <t>Kerikeri 0230</t>
  </si>
  <si>
    <t>09-407 7153</t>
  </si>
  <si>
    <t>Family Link Childcare</t>
  </si>
  <si>
    <t>09-4396685</t>
  </si>
  <si>
    <t>familylinkdargaville@gmail.com</t>
  </si>
  <si>
    <t>38 Parore Street</t>
  </si>
  <si>
    <t>Susanne Green</t>
  </si>
  <si>
    <t>Whangarei 0310</t>
  </si>
  <si>
    <t>09-9465007</t>
  </si>
  <si>
    <t>He Waka Eke Noa Early Learning Centre</t>
  </si>
  <si>
    <t>09-4388366</t>
  </si>
  <si>
    <t>hewakaekenoa@xtra.co.nz</t>
  </si>
  <si>
    <t>60 Riverside Drive</t>
  </si>
  <si>
    <t>Rebbeca Joyce</t>
  </si>
  <si>
    <t>Avenues EduCare</t>
  </si>
  <si>
    <t>09-4387194</t>
  </si>
  <si>
    <t>avenues.educare@xtra.co.nz</t>
  </si>
  <si>
    <t>83 Fourth Avenue</t>
  </si>
  <si>
    <t>Deborah Beardsell</t>
  </si>
  <si>
    <t>P O Box 230</t>
  </si>
  <si>
    <t>St John's Progressive Childcare</t>
  </si>
  <si>
    <t>09-437 2746</t>
  </si>
  <si>
    <t>info@stjohnscc.org.nz</t>
  </si>
  <si>
    <t>149 Kamo Road</t>
  </si>
  <si>
    <t>John Overton</t>
  </si>
  <si>
    <t>P O Box 8111</t>
  </si>
  <si>
    <t>Kensington</t>
  </si>
  <si>
    <t>Whangarei 0145</t>
  </si>
  <si>
    <t>Impact Childcare Ltd</t>
  </si>
  <si>
    <t>09-438 5030</t>
  </si>
  <si>
    <t>cjbudgen@gmail.com</t>
  </si>
  <si>
    <t>208 Maunu Road</t>
  </si>
  <si>
    <t>Angela Budgen</t>
  </si>
  <si>
    <t>021-438 5030</t>
  </si>
  <si>
    <t>Te Kōhanga Reo o Wharepunga</t>
  </si>
  <si>
    <t>09-401 4773</t>
  </si>
  <si>
    <t>Wharepunga Road</t>
  </si>
  <si>
    <t>Waimā Forest</t>
  </si>
  <si>
    <t>Te Kōhanga Reo o Raumanga Kōhungahunga</t>
  </si>
  <si>
    <t>09-438 8900</t>
  </si>
  <si>
    <t>Raumanga Valley Road</t>
  </si>
  <si>
    <t>Totara North Early Childhood Centre</t>
  </si>
  <si>
    <t>09-4051057</t>
  </si>
  <si>
    <t>tnecc@xtra.co.nz</t>
  </si>
  <si>
    <t>32 Totara School Road</t>
  </si>
  <si>
    <t>Totara North</t>
  </si>
  <si>
    <t>Whakapaku</t>
  </si>
  <si>
    <t>Colleen Sherwin</t>
  </si>
  <si>
    <t>32 Totara School Road RD 2</t>
  </si>
  <si>
    <t>09-4051007</t>
  </si>
  <si>
    <t>Whangaroa Kāhui Ako</t>
  </si>
  <si>
    <t>Ahipara Sandhoppers Early Childhood</t>
  </si>
  <si>
    <t>09-4094662</t>
  </si>
  <si>
    <t>sandhoppers@xtra.co.nz</t>
  </si>
  <si>
    <t>Main Road</t>
  </si>
  <si>
    <t>Ahipara</t>
  </si>
  <si>
    <t>Tangonge</t>
  </si>
  <si>
    <t>Mary Graham</t>
  </si>
  <si>
    <t>P O Box 72</t>
  </si>
  <si>
    <t>Ahipara 0449</t>
  </si>
  <si>
    <t>Te Kōhanga Reo o Raurimu</t>
  </si>
  <si>
    <t>09-436 2704</t>
  </si>
  <si>
    <t>36 Raurimu Avenue</t>
  </si>
  <si>
    <t>Te Kōhanga Reo o Papatahi</t>
  </si>
  <si>
    <t>09-404 0041</t>
  </si>
  <si>
    <t>21 Otiria Road</t>
  </si>
  <si>
    <t>Te Kōhanga Reo o Ngā Toa Iwi Whenua</t>
  </si>
  <si>
    <t>09-401 0856</t>
  </si>
  <si>
    <t>16 Heke Street</t>
  </si>
  <si>
    <t>Te Kōhanga Reo o Te Reo</t>
  </si>
  <si>
    <t>09-437 1579</t>
  </si>
  <si>
    <t>31 Taraire Crescent</t>
  </si>
  <si>
    <t>Te Kōhanga Reo o Okaihau</t>
  </si>
  <si>
    <t>09-401 9193</t>
  </si>
  <si>
    <t>10 Lawn Street</t>
  </si>
  <si>
    <t>Okaihau</t>
  </si>
  <si>
    <t>Ōkaihau</t>
  </si>
  <si>
    <t>Te Kōhanga Reo o Moerewa</t>
  </si>
  <si>
    <t>09-404 1684</t>
  </si>
  <si>
    <t>233 Taumatamakuku Settlement Road</t>
  </si>
  <si>
    <t>BestStart Kaikohe</t>
  </si>
  <si>
    <t>09-4012806</t>
  </si>
  <si>
    <t>kaikohe@best-start.org</t>
  </si>
  <si>
    <t>15-17 Park Road</t>
  </si>
  <si>
    <t>Te Kōhanga Reo o Motatau</t>
  </si>
  <si>
    <t>09-404 0204</t>
  </si>
  <si>
    <t>Motatau Marae Henare Road</t>
  </si>
  <si>
    <t>Motatau</t>
  </si>
  <si>
    <t>Maromaku</t>
  </si>
  <si>
    <t>Paihia Early Childhood Centre</t>
  </si>
  <si>
    <t>09-4027324</t>
  </si>
  <si>
    <t>paihiaecc@xtra.co.nz</t>
  </si>
  <si>
    <t>40 Yorke Road</t>
  </si>
  <si>
    <t>Haruru Falls</t>
  </si>
  <si>
    <t>Haruru</t>
  </si>
  <si>
    <t>Samantha Caldwell</t>
  </si>
  <si>
    <t>203 Forest Hill Road</t>
  </si>
  <si>
    <t>Waitakere 0612</t>
  </si>
  <si>
    <t>Te Kōhanga Reo o Te Puna o Te Reo o Takiwira</t>
  </si>
  <si>
    <t>09-439 0545</t>
  </si>
  <si>
    <t>38 Finlayson Park Road</t>
  </si>
  <si>
    <t>Te Kōhanga Reo o Kororipo</t>
  </si>
  <si>
    <t>09-407 6665</t>
  </si>
  <si>
    <t>20 Lanark Road</t>
  </si>
  <si>
    <t>Kamo Kids Educational Childcare Centre</t>
  </si>
  <si>
    <t>Taipa Treasures</t>
  </si>
  <si>
    <t>09-406 1189</t>
  </si>
  <si>
    <t>taipa@treasureschildcare.com</t>
  </si>
  <si>
    <t>23 Oruru Road</t>
  </si>
  <si>
    <t>Nikki Foster</t>
  </si>
  <si>
    <t>23 Oruru Road, RD 3</t>
  </si>
  <si>
    <t>Taipa 0483</t>
  </si>
  <si>
    <t>Parklands Playcentre</t>
  </si>
  <si>
    <t>26 Tait Street</t>
  </si>
  <si>
    <t>BestStart Pipiwai Road</t>
  </si>
  <si>
    <t>09-4353234</t>
  </si>
  <si>
    <t>pipiwai@best-start.org</t>
  </si>
  <si>
    <t>Pipiwai Road</t>
  </si>
  <si>
    <t>Te Kōhanga Reo o Mokau</t>
  </si>
  <si>
    <t>09-433 6647</t>
  </si>
  <si>
    <t>2355 Old Russell Road</t>
  </si>
  <si>
    <t>Whangaruru</t>
  </si>
  <si>
    <t>Mangawhai Kindergarten</t>
  </si>
  <si>
    <t>09-4314333</t>
  </si>
  <si>
    <t>mangawhai@aka.org.nz</t>
  </si>
  <si>
    <t>Insley Street</t>
  </si>
  <si>
    <t>Kaitaia Playcentre</t>
  </si>
  <si>
    <t>09-408 0913</t>
  </si>
  <si>
    <t>Matthews Park, North Road</t>
  </si>
  <si>
    <t>Rawene Playcentre</t>
  </si>
  <si>
    <t>09-401 0368</t>
  </si>
  <si>
    <t>19A Marmon Street</t>
  </si>
  <si>
    <t>Kerikeri Playcentre</t>
  </si>
  <si>
    <t>09-407 9502</t>
  </si>
  <si>
    <t>Landing Road</t>
  </si>
  <si>
    <t>Russell Playcentre</t>
  </si>
  <si>
    <t>09-403 7636</t>
  </si>
  <si>
    <t>Church Street</t>
  </si>
  <si>
    <t>Russell</t>
  </si>
  <si>
    <t>Kawakawa Playcentre</t>
  </si>
  <si>
    <t>09-404 0114</t>
  </si>
  <si>
    <t>Albert Street</t>
  </si>
  <si>
    <t>Kawakawa</t>
  </si>
  <si>
    <t>Dargaville Playcentre</t>
  </si>
  <si>
    <t>Ranfurly Street</t>
  </si>
  <si>
    <t>Onerahi Playcentre</t>
  </si>
  <si>
    <t>09-436 1001</t>
  </si>
  <si>
    <t>1B Church Street</t>
  </si>
  <si>
    <t>Totara Grove Playcentre</t>
  </si>
  <si>
    <t>38 Corks Road</t>
  </si>
  <si>
    <t>Marsden Playcentre</t>
  </si>
  <si>
    <t>McEwan Road</t>
  </si>
  <si>
    <t>Ruakaka</t>
  </si>
  <si>
    <t>Bream Bay</t>
  </si>
  <si>
    <t>Waipu Playcentre</t>
  </si>
  <si>
    <t>St Marys Road</t>
  </si>
  <si>
    <t>Kaiwaka Playcentre</t>
  </si>
  <si>
    <t>09-431 2286</t>
  </si>
  <si>
    <t>Hastie Lane</t>
  </si>
  <si>
    <t>Kaiwaka</t>
  </si>
  <si>
    <t>Horahora Playcentre</t>
  </si>
  <si>
    <t>Te Mai Road</t>
  </si>
  <si>
    <t>Woodhill</t>
  </si>
  <si>
    <t>Awanui Playcentre</t>
  </si>
  <si>
    <t>172 Far North Road, State Highway 1</t>
  </si>
  <si>
    <t>Pamapuria Playcentre</t>
  </si>
  <si>
    <t>09-408 0237</t>
  </si>
  <si>
    <t>6964 State Highway 1, RD 2</t>
  </si>
  <si>
    <t>Pamapuria</t>
  </si>
  <si>
    <t>Rangitihi</t>
  </si>
  <si>
    <t>Peria Playcentre</t>
  </si>
  <si>
    <t>Peria Primary School Oruru Road</t>
  </si>
  <si>
    <t>Peria</t>
  </si>
  <si>
    <t>Kohukohu Playcentre</t>
  </si>
  <si>
    <t>Cnr Kohukohu Road and Beach Road</t>
  </si>
  <si>
    <t>Kohukohu</t>
  </si>
  <si>
    <t>Kohukohu-Broadwood</t>
  </si>
  <si>
    <t>Karatia Bilingual Playcentre</t>
  </si>
  <si>
    <t>09-405 7570</t>
  </si>
  <si>
    <t>Omanaia Road</t>
  </si>
  <si>
    <t>Omanaia</t>
  </si>
  <si>
    <t>Ohaeawai Playcentre</t>
  </si>
  <si>
    <t>021-02422154</t>
  </si>
  <si>
    <t>Hobson Street</t>
  </si>
  <si>
    <t>Ohaeawai</t>
  </si>
  <si>
    <t>Ōhaeawai-Waimate North</t>
  </si>
  <si>
    <t>Waimamaku Playcentre</t>
  </si>
  <si>
    <t>09-405 4566</t>
  </si>
  <si>
    <t>State Highway 12</t>
  </si>
  <si>
    <t>Waimamaku</t>
  </si>
  <si>
    <t>Waipoua Forest</t>
  </si>
  <si>
    <t>Kaeo Playcentre</t>
  </si>
  <si>
    <t>09-405 1288</t>
  </si>
  <si>
    <t>Mamaranui Playcentre</t>
  </si>
  <si>
    <t>2098 State Highway 12</t>
  </si>
  <si>
    <t>Mamaranui</t>
  </si>
  <si>
    <t>Hukerenui Playcentre</t>
  </si>
  <si>
    <t>9 Crows Nest Road</t>
  </si>
  <si>
    <t>Hukerenui</t>
  </si>
  <si>
    <t>Maungakaramea Playcentre</t>
  </si>
  <si>
    <t>Tauraroa Road</t>
  </si>
  <si>
    <t>Maungakaramea</t>
  </si>
  <si>
    <t>Oakleigh-Mangapai</t>
  </si>
  <si>
    <t>Maungatapere Playcentre</t>
  </si>
  <si>
    <t>Maungatapere</t>
  </si>
  <si>
    <t>Maungatāpere</t>
  </si>
  <si>
    <t>Parua Bay Playcentre</t>
  </si>
  <si>
    <t>Whangarei Heads Road</t>
  </si>
  <si>
    <t>Tutukaka Coast Playcentre</t>
  </si>
  <si>
    <t>Waiotoi Road</t>
  </si>
  <si>
    <t>Ngunguru</t>
  </si>
  <si>
    <t>Maungaturoto Playcentre</t>
  </si>
  <si>
    <t>Hurndal Street</t>
  </si>
  <si>
    <t>Maungaturoto</t>
  </si>
  <si>
    <t>Maungatūroto</t>
  </si>
  <si>
    <t>Paparoa Playcentre</t>
  </si>
  <si>
    <t>09-431 6653</t>
  </si>
  <si>
    <t>Franklin Road</t>
  </si>
  <si>
    <t>Paparoa</t>
  </si>
  <si>
    <t>Otamatea (Kaipara District)</t>
  </si>
  <si>
    <t>Te Kōhanga Reo o Manaakitia</t>
  </si>
  <si>
    <t>09-435 3004</t>
  </si>
  <si>
    <t>11 Balmoral Road</t>
  </si>
  <si>
    <t>Te Kōhanga Reo o Ngā Tau E Toru</t>
  </si>
  <si>
    <t>09-430 0082</t>
  </si>
  <si>
    <t>3239 Pipiwai Road</t>
  </si>
  <si>
    <t>Te Kōhanga Reo o Takahiwai</t>
  </si>
  <si>
    <t>09-432 8514</t>
  </si>
  <si>
    <t>Te Whare 3 - Takahiwai Marae RD1</t>
  </si>
  <si>
    <t>Te Kōhanga Reo o Kamo</t>
  </si>
  <si>
    <t>09-435 3379</t>
  </si>
  <si>
    <t>Clarke Road</t>
  </si>
  <si>
    <t>Te Kōhanga Reo o Rewarewa</t>
  </si>
  <si>
    <t>09-438 9948</t>
  </si>
  <si>
    <t>Community House Smeaton Drive</t>
  </si>
  <si>
    <t>Te Kōhanga Reo o Matawaia</t>
  </si>
  <si>
    <t>09-974 6749</t>
  </si>
  <si>
    <t>Matawaia Marae</t>
  </si>
  <si>
    <t>Matawaia</t>
  </si>
  <si>
    <t>Matawaia-Taumarere</t>
  </si>
  <si>
    <t>Te Kōhanga Reo o Kawakawa</t>
  </si>
  <si>
    <t>09-404 1283</t>
  </si>
  <si>
    <t>10 Derrick Road</t>
  </si>
  <si>
    <t>Te Kōhanga Reo o Waikare</t>
  </si>
  <si>
    <t>09-403 7419</t>
  </si>
  <si>
    <t>Waikare Road</t>
  </si>
  <si>
    <t>Waikare</t>
  </si>
  <si>
    <t>Russell Forest-Rawhiti</t>
  </si>
  <si>
    <t>Te Kōhanga Reo o Kaikohe</t>
  </si>
  <si>
    <t>09-405 2170</t>
  </si>
  <si>
    <t>7 Recreation Road</t>
  </si>
  <si>
    <t>Te Kōhanga Reo o Whirinaki</t>
  </si>
  <si>
    <t>09-405 8102</t>
  </si>
  <si>
    <t>Whirinaki School Road</t>
  </si>
  <si>
    <t>Whirinaki</t>
  </si>
  <si>
    <t>Te Kōhanga Reo o Pa Arapeta</t>
  </si>
  <si>
    <t>09-409 5714</t>
  </si>
  <si>
    <t>Ngatimanawa Marae 340 West Coast Road</t>
  </si>
  <si>
    <t>Panguru</t>
  </si>
  <si>
    <t>Te Kōhanga Reo o Maungataniwha</t>
  </si>
  <si>
    <t>09-401 8942</t>
  </si>
  <si>
    <t>State Highway One</t>
  </si>
  <si>
    <t>Mangamuka</t>
  </si>
  <si>
    <t>Omahuta Forest-Horeke</t>
  </si>
  <si>
    <t>Te Kōhanga Reo o Te Ohaki</t>
  </si>
  <si>
    <t>09-409 4535</t>
  </si>
  <si>
    <t>Roma Road</t>
  </si>
  <si>
    <t>Te Kōhanga Reo o Te Paatu</t>
  </si>
  <si>
    <t>09-408 4183</t>
  </si>
  <si>
    <t>Te Paatu Marae State Highway 1</t>
  </si>
  <si>
    <t>Te Kōhanga Reo o Te Roopu Whanau</t>
  </si>
  <si>
    <t>09-408 1285</t>
  </si>
  <si>
    <t>198 Pukepoto Road</t>
  </si>
  <si>
    <t>Te Kōhanga Reo o Rangaunu</t>
  </si>
  <si>
    <t>09-406 7064</t>
  </si>
  <si>
    <t>212 State Highway 1, Awanui</t>
  </si>
  <si>
    <t>Waimanoni</t>
  </si>
  <si>
    <t>Te Kōhanga Reo o Te Kotahitanga o Whangape</t>
  </si>
  <si>
    <t>09-409 5010</t>
  </si>
  <si>
    <t>996 Whangape Road, RD1</t>
  </si>
  <si>
    <t>Herekino</t>
  </si>
  <si>
    <t>Herekino-Takahue</t>
  </si>
  <si>
    <t>Te Kōhanga Reo o Kareponia</t>
  </si>
  <si>
    <t>09-406 7487</t>
  </si>
  <si>
    <t>State Highway 10</t>
  </si>
  <si>
    <t>Te Kōhanga Reo o Te Hiku o Te Ika</t>
  </si>
  <si>
    <t>09-409 7798</t>
  </si>
  <si>
    <t>Te Rero Mihi Marae Waharua Road</t>
  </si>
  <si>
    <t>Te Hapua</t>
  </si>
  <si>
    <t>North Cape</t>
  </si>
  <si>
    <t>Te Kōhanga Reo o Te Piri o Waimirirangi</t>
  </si>
  <si>
    <t>09-409 7713</t>
  </si>
  <si>
    <t>24 Te Ahu Road</t>
  </si>
  <si>
    <t>Te Kao</t>
  </si>
  <si>
    <t>Belmont Montessori Preschool</t>
  </si>
  <si>
    <t>09-445 4500</t>
  </si>
  <si>
    <t>7 Kawerau Avenue</t>
  </si>
  <si>
    <t>Narrow Neck</t>
  </si>
  <si>
    <t>Renata Cabral Mcllory</t>
  </si>
  <si>
    <t>1730A Great North Road</t>
  </si>
  <si>
    <t>Auckland 1026</t>
  </si>
  <si>
    <t>Akoranga Childcare Centre</t>
  </si>
  <si>
    <t>09-4897916</t>
  </si>
  <si>
    <t>office@akorangachildcare.co.nz</t>
  </si>
  <si>
    <t>AUT Campus, Gate 3 Akoranga Drive</t>
  </si>
  <si>
    <t>Akoranga</t>
  </si>
  <si>
    <t>Maree Wilson</t>
  </si>
  <si>
    <t>c/- AUT (Akoranga Childcare Centre) Private Bag 92006</t>
  </si>
  <si>
    <t>027-4960415</t>
  </si>
  <si>
    <t>Albany Community Preschool</t>
  </si>
  <si>
    <t>09-4159690</t>
  </si>
  <si>
    <t>manager@albanypreschool.co.nz</t>
  </si>
  <si>
    <t>575 Albany Highway</t>
  </si>
  <si>
    <t>Albany Central</t>
  </si>
  <si>
    <t>Catherine Bucher</t>
  </si>
  <si>
    <t>P O Box 300312</t>
  </si>
  <si>
    <t>North Shore City 0752</t>
  </si>
  <si>
    <t>09-415 9690</t>
  </si>
  <si>
    <t>Nurture by Nature Early Childhood Centre</t>
  </si>
  <si>
    <t>09-4074042</t>
  </si>
  <si>
    <t>info@nurture.co.nz</t>
  </si>
  <si>
    <t>324 Kapiro Road</t>
  </si>
  <si>
    <t>Lake Manuwai-Kapiro</t>
  </si>
  <si>
    <t>Christine Kira</t>
  </si>
  <si>
    <t>P O Box 303</t>
  </si>
  <si>
    <t>09-407 4042</t>
  </si>
  <si>
    <t>Kids Domain Early Learning Centre</t>
  </si>
  <si>
    <t>09-3074949 Ext 25100</t>
  </si>
  <si>
    <t>kidsdomain@adhb.govt.nz</t>
  </si>
  <si>
    <t>Building 15, Auckland City Hospital Park Road</t>
  </si>
  <si>
    <t>Bridgette Towle</t>
  </si>
  <si>
    <t>. Private Bag 92024</t>
  </si>
  <si>
    <t>Symonds Street Early Childhood Centre</t>
  </si>
  <si>
    <t>09-923 8377</t>
  </si>
  <si>
    <t>joelene.waugh@auckland.ac.nz</t>
  </si>
  <si>
    <t>26 A Symonds Street</t>
  </si>
  <si>
    <t>Auckland-University</t>
  </si>
  <si>
    <t>Joelene  Waugh</t>
  </si>
  <si>
    <t>THE UNIVERSITY OF AUCKLAND LEVEL 9, 49 SYMONDS STREET</t>
  </si>
  <si>
    <t>Avondale Christian Kindergarten</t>
  </si>
  <si>
    <t>09-8283 222</t>
  </si>
  <si>
    <t>admin@ackindy.org</t>
  </si>
  <si>
    <t>63 St Georges Road</t>
  </si>
  <si>
    <t>Avondale South (Auckland)</t>
  </si>
  <si>
    <t>Ann Hunt</t>
  </si>
  <si>
    <t>63 St Georges Rd</t>
  </si>
  <si>
    <t>09-8283222</t>
  </si>
  <si>
    <t>Royal Oak Childcare Centre</t>
  </si>
  <si>
    <t>09-624 4462</t>
  </si>
  <si>
    <t>6 Crown Street</t>
  </si>
  <si>
    <t>Royal Oak West (Auckland)</t>
  </si>
  <si>
    <t>Grace Sun</t>
  </si>
  <si>
    <t>09-6244462</t>
  </si>
  <si>
    <t>The Y Early Learning Centre Beach Haven</t>
  </si>
  <si>
    <t>09-482 1209</t>
  </si>
  <si>
    <t>130 Beach Haven Road</t>
  </si>
  <si>
    <t>Beach Haven West</t>
  </si>
  <si>
    <t>Lancaster Learning Centre</t>
  </si>
  <si>
    <t>09-4836645</t>
  </si>
  <si>
    <t>admin@lancasterlearning.co.nz</t>
  </si>
  <si>
    <t>1 Lancaster Road</t>
  </si>
  <si>
    <t>Colin Barrett</t>
  </si>
  <si>
    <t>North Shore City 0626</t>
  </si>
  <si>
    <t>Bear Park St Heliers</t>
  </si>
  <si>
    <t>09-5757 295</t>
  </si>
  <si>
    <t>stheliers@bearpark.co.nz</t>
  </si>
  <si>
    <t>114-116 Maskell Street</t>
  </si>
  <si>
    <t>Saint Heliers North</t>
  </si>
  <si>
    <t>Rachael Snell</t>
  </si>
  <si>
    <t>P O Box 54065</t>
  </si>
  <si>
    <t>The Marina</t>
  </si>
  <si>
    <t>Manukau 2144</t>
  </si>
  <si>
    <t>09-5757295</t>
  </si>
  <si>
    <t>The Y Early Learning Centre Birkdale</t>
  </si>
  <si>
    <t>09-483 7659</t>
  </si>
  <si>
    <t>134 Birkdale Road</t>
  </si>
  <si>
    <t>Birkdale</t>
  </si>
  <si>
    <t>Birkdale Central</t>
  </si>
  <si>
    <t>Blockhouse Bay Baptist Kindergarten</t>
  </si>
  <si>
    <t>09-6266655</t>
  </si>
  <si>
    <t>managerbhbbaptistkindy@gmail.com</t>
  </si>
  <si>
    <t>506 Blockhouse Bay Road</t>
  </si>
  <si>
    <t>Baptist</t>
  </si>
  <si>
    <t>Jingwen Shi</t>
  </si>
  <si>
    <t>Browns Bay Preschool</t>
  </si>
  <si>
    <t>09-479 3008</t>
  </si>
  <si>
    <t>brownsbaypreschool@gmail.com</t>
  </si>
  <si>
    <t>55 Browns Bay Road</t>
  </si>
  <si>
    <t>Browns Bay South East</t>
  </si>
  <si>
    <t>Yvonne Haviland</t>
  </si>
  <si>
    <t>55 Browns Bay Rd</t>
  </si>
  <si>
    <t>Busby Street Early Learning Childcare Centre</t>
  </si>
  <si>
    <t>09-828 7653</t>
  </si>
  <si>
    <t>info@busbychildcare.co.nz</t>
  </si>
  <si>
    <t>19 Busby Street</t>
  </si>
  <si>
    <t>Blockhouse Bay North</t>
  </si>
  <si>
    <t>Althea Andrade</t>
  </si>
  <si>
    <t>09-4458557</t>
  </si>
  <si>
    <t>Rainbow Bears Preschool</t>
  </si>
  <si>
    <t>09-8386713</t>
  </si>
  <si>
    <t>rbpreschool@xtra.co.nz</t>
  </si>
  <si>
    <t>181 Swanson Road</t>
  </si>
  <si>
    <t>Henderson Lincoln South</t>
  </si>
  <si>
    <t>Pritanjali Nand</t>
  </si>
  <si>
    <t>09-8387770</t>
  </si>
  <si>
    <t>Childspace Preschool</t>
  </si>
  <si>
    <t>09-418 1466</t>
  </si>
  <si>
    <t>office@childspacepreschool.co.nz</t>
  </si>
  <si>
    <t>208 Onewa Road</t>
  </si>
  <si>
    <t>Birkenhead North</t>
  </si>
  <si>
    <t>Fraser Thomas</t>
  </si>
  <si>
    <t>P O Box 34801</t>
  </si>
  <si>
    <t>Auckland 0746</t>
  </si>
  <si>
    <t>Mariposa Kids</t>
  </si>
  <si>
    <t>09-418 2813</t>
  </si>
  <si>
    <t>info@mariposakids.co.nz</t>
  </si>
  <si>
    <t>17 Mariposa Crescent</t>
  </si>
  <si>
    <t>Gail Menkin</t>
  </si>
  <si>
    <t>c/- Mariposa Kids 17 Mariposa Crescent</t>
  </si>
  <si>
    <t>09-479 1365</t>
  </si>
  <si>
    <t>Christopher Robin Childcare</t>
  </si>
  <si>
    <t>09-378 0748</t>
  </si>
  <si>
    <t>c.robin@xtra.co.nz</t>
  </si>
  <si>
    <t>4 Sherwood Avenue</t>
  </si>
  <si>
    <t>Grey Lynn West</t>
  </si>
  <si>
    <t>Patricia Jones</t>
  </si>
  <si>
    <t>4 Sherwood Ave</t>
  </si>
  <si>
    <t>Daystar Early Learning Centre</t>
  </si>
  <si>
    <t>09-630 5571</t>
  </si>
  <si>
    <t>daystar@xtra.co.nz</t>
  </si>
  <si>
    <t>76 View Road</t>
  </si>
  <si>
    <t>Open Brethren</t>
  </si>
  <si>
    <t>Eden Valley</t>
  </si>
  <si>
    <t>Deepshikha Sharma</t>
  </si>
  <si>
    <t>Auckland 1024</t>
  </si>
  <si>
    <t>Little Forest</t>
  </si>
  <si>
    <t>09-4440709</t>
  </si>
  <si>
    <t>info@shorekids.co.nz</t>
  </si>
  <si>
    <t>9 Barbados Drive</t>
  </si>
  <si>
    <t>Glenfield North</t>
  </si>
  <si>
    <t>Jung Min Cho</t>
  </si>
  <si>
    <t>Devonport Community Creche</t>
  </si>
  <si>
    <t>027-526 2634</t>
  </si>
  <si>
    <t>devonportcreche@xtra.co.nz</t>
  </si>
  <si>
    <t>32 a Clarence Street</t>
  </si>
  <si>
    <t>Therese Dunleavy</t>
  </si>
  <si>
    <t>32 a Clarence St</t>
  </si>
  <si>
    <t>09-4456778</t>
  </si>
  <si>
    <t>East Coast Bays Community Creche</t>
  </si>
  <si>
    <t>09-4791241</t>
  </si>
  <si>
    <t>5 Inverness Road</t>
  </si>
  <si>
    <t>Penelope Harding</t>
  </si>
  <si>
    <t>P O Box 35348</t>
  </si>
  <si>
    <t>Edmonton Community Kindergarten</t>
  </si>
  <si>
    <t>09-836 3566</t>
  </si>
  <si>
    <t>info@edmontonkindy.co.nz</t>
  </si>
  <si>
    <t>247 Edmonton Road</t>
  </si>
  <si>
    <t>Te Atatū South-Edmonton</t>
  </si>
  <si>
    <t>Caitlin Logan</t>
  </si>
  <si>
    <t>P O Box 83089</t>
  </si>
  <si>
    <t>Auckland 0652</t>
  </si>
  <si>
    <t>Epsom Community Creche</t>
  </si>
  <si>
    <t>09-623 2200</t>
  </si>
  <si>
    <t>hello@epsomcommunitycreche.co.nz</t>
  </si>
  <si>
    <t>200 Gillies Avenue</t>
  </si>
  <si>
    <t>Hanna Schmidt</t>
  </si>
  <si>
    <t>Our Family Early Learning Ltd</t>
  </si>
  <si>
    <t>09-410 1261</t>
  </si>
  <si>
    <t>debby@ourfamilyearlylearning.co.nz</t>
  </si>
  <si>
    <t>1 Jonathan Place</t>
  </si>
  <si>
    <t>Sunnynook</t>
  </si>
  <si>
    <t>Deborah Evans</t>
  </si>
  <si>
    <t>09-4101261</t>
  </si>
  <si>
    <t>Oma Rāpeti Early Learning Centre</t>
  </si>
  <si>
    <t>09-376 7282</t>
  </si>
  <si>
    <t>3 Pratt Street</t>
  </si>
  <si>
    <t>Dean Barker</t>
  </si>
  <si>
    <t xml:space="preserve">19B Masons Avenue </t>
  </si>
  <si>
    <t>Gardner Road Kindergarten</t>
  </si>
  <si>
    <t>09-638 8760</t>
  </si>
  <si>
    <t>gardner.rd.kindy@xtra.co.nz</t>
  </si>
  <si>
    <t>10 Gardner Road</t>
  </si>
  <si>
    <t>Epsom East</t>
  </si>
  <si>
    <t>Gaylene Brownlie</t>
  </si>
  <si>
    <t>09-636 3295</t>
  </si>
  <si>
    <t>Auckland Central Community of Schools</t>
  </si>
  <si>
    <t>Our Kids Early Learning Centre</t>
  </si>
  <si>
    <t>09-8366495</t>
  </si>
  <si>
    <t>glendene@ourkidsearlylearning.co.nz</t>
  </si>
  <si>
    <t>3 Beazley Place</t>
  </si>
  <si>
    <t>Glendene North East</t>
  </si>
  <si>
    <t>Anita  Kumar</t>
  </si>
  <si>
    <t>15 Matau Rise</t>
  </si>
  <si>
    <t>09-8343447</t>
  </si>
  <si>
    <t>Eden Cottage</t>
  </si>
  <si>
    <t>09-8180768</t>
  </si>
  <si>
    <t>edencottage@visionwest.org.nz</t>
  </si>
  <si>
    <t>97 Glendale Road</t>
  </si>
  <si>
    <t>Crystal Lynch</t>
  </si>
  <si>
    <t>P O Box 20406</t>
  </si>
  <si>
    <t>Waitakere 0641</t>
  </si>
  <si>
    <t>09-818 0768</t>
  </si>
  <si>
    <t>Stellar Kids Early Learning Centre Birkenhead</t>
  </si>
  <si>
    <t>020-41259483</t>
  </si>
  <si>
    <t>mika@stellarkids.nz</t>
  </si>
  <si>
    <t>156 Glenfield Road</t>
  </si>
  <si>
    <t>Birkenhead North West</t>
  </si>
  <si>
    <t>Monika Hawkes</t>
  </si>
  <si>
    <t>15 Fairfax Avenue</t>
  </si>
  <si>
    <t>Auckland 0627</t>
  </si>
  <si>
    <t>Greenlane Childcare Centre</t>
  </si>
  <si>
    <t>09-524 8414</t>
  </si>
  <si>
    <t>admin@greenlanechildcare.co.nz</t>
  </si>
  <si>
    <t>4 Atarangi Road</t>
  </si>
  <si>
    <t>Greenlane Central</t>
  </si>
  <si>
    <t>Jayhindra Rama</t>
  </si>
  <si>
    <t xml:space="preserve">4 Atarangi Road </t>
  </si>
  <si>
    <t>09-5248414</t>
  </si>
  <si>
    <t>Aro Arataki Children's Centre</t>
  </si>
  <si>
    <t>09-6309943 Ext 28731</t>
  </si>
  <si>
    <t>elliec@adhb.govt.nz</t>
  </si>
  <si>
    <t>Building 29, Greenlane Clinical Centre 212 Greenlane West</t>
  </si>
  <si>
    <t>Ellie Chung</t>
  </si>
  <si>
    <t>Aro Arataki Childcare Centre Private Bag 92189</t>
  </si>
  <si>
    <t>09-630 9943 Ext 28731</t>
  </si>
  <si>
    <t>Totara Hill Montessori</t>
  </si>
  <si>
    <t>09-422 9981</t>
  </si>
  <si>
    <t>admin@totarahillmontessori.co.nz</t>
  </si>
  <si>
    <t>8 Smith Road</t>
  </si>
  <si>
    <t>Matakana-Auckland</t>
  </si>
  <si>
    <t>Cindy Buchs</t>
  </si>
  <si>
    <t>Auckland 0985</t>
  </si>
  <si>
    <t>021-02499332</t>
  </si>
  <si>
    <t>Harbour View Kindergarten</t>
  </si>
  <si>
    <t>09-4167714</t>
  </si>
  <si>
    <t>harbourviewkindy@hotmail.coM</t>
  </si>
  <si>
    <t>9 Williams Road</t>
  </si>
  <si>
    <t>Chenxiao (James) Wang</t>
  </si>
  <si>
    <t>BestStart Montessori The Children's House</t>
  </si>
  <si>
    <t>09-8337119</t>
  </si>
  <si>
    <t>mont.childrenshouse@best-start.org</t>
  </si>
  <si>
    <t>1 Clover Drive</t>
  </si>
  <si>
    <t>Henderson Larnoch</t>
  </si>
  <si>
    <t>Sunny Days Community Preschool</t>
  </si>
  <si>
    <t>09-420 7253</t>
  </si>
  <si>
    <t>sunnydays102@yahoo.com</t>
  </si>
  <si>
    <t>130 Commercial Road</t>
  </si>
  <si>
    <t>Gillian Carter</t>
  </si>
  <si>
    <t>Hannah's House ECE</t>
  </si>
  <si>
    <t>09-4269237</t>
  </si>
  <si>
    <t>hannahshouse@xtra.co.nz</t>
  </si>
  <si>
    <t>31 Thorburn Avenue</t>
  </si>
  <si>
    <t xml:space="preserve">Lynnette McCall </t>
  </si>
  <si>
    <t xml:space="preserve">31 Thorburn Avenue </t>
  </si>
  <si>
    <t xml:space="preserve">Red Beach </t>
  </si>
  <si>
    <t>Highbury House Early Learning Centre</t>
  </si>
  <si>
    <t>09-4805239</t>
  </si>
  <si>
    <t>admin@highburyhouse.org.nz</t>
  </si>
  <si>
    <t>110 Hinemoa Street</t>
  </si>
  <si>
    <t>Adele Hall</t>
  </si>
  <si>
    <t>09-4274400</t>
  </si>
  <si>
    <t>Te Kōhanga Reo o Hoani Waititi Marae</t>
  </si>
  <si>
    <t>09-818 8915</t>
  </si>
  <si>
    <t>451 A West Coast Road</t>
  </si>
  <si>
    <t>Sunnyvale West-Parrs Park</t>
  </si>
  <si>
    <t>Little Dudes Childcare Centre</t>
  </si>
  <si>
    <t>09-846 9915</t>
  </si>
  <si>
    <t>163rimustreet@gmail.com</t>
  </si>
  <si>
    <t>14 Stewart Road</t>
  </si>
  <si>
    <t>Mona Mascarenhas</t>
  </si>
  <si>
    <t>Kaurilands Kindergarten</t>
  </si>
  <si>
    <t>09-817 5249</t>
  </si>
  <si>
    <t>hello@kaurilandskindy.nz</t>
  </si>
  <si>
    <t>65 Atkinson Road</t>
  </si>
  <si>
    <t>Mary Day</t>
  </si>
  <si>
    <t>65 Atkinson Rd</t>
  </si>
  <si>
    <t>Takapuna Kids Early Childhood Centre</t>
  </si>
  <si>
    <t>09-489 8263</t>
  </si>
  <si>
    <t>director@takapunakids.co.nz</t>
  </si>
  <si>
    <t>2 Tennyson Avenue</t>
  </si>
  <si>
    <t>Takapuna South</t>
  </si>
  <si>
    <t>Diane Toal</t>
  </si>
  <si>
    <t>09-5291088</t>
  </si>
  <si>
    <t>Hedgehog House Early Learning Centre</t>
  </si>
  <si>
    <t>09-8497259</t>
  </si>
  <si>
    <t>90 Point Chevalier Road</t>
  </si>
  <si>
    <t>Point Chevalier</t>
  </si>
  <si>
    <t>Point Chevalier West</t>
  </si>
  <si>
    <t>Kiri-Anne Brokenshire</t>
  </si>
  <si>
    <t>34 Island Bay Road</t>
  </si>
  <si>
    <t>09-4837152</t>
  </si>
  <si>
    <t>Kids' Kampus (2000) Ltd</t>
  </si>
  <si>
    <t>09-6301454</t>
  </si>
  <si>
    <t>kidskampus@xtra.co.nz</t>
  </si>
  <si>
    <t>50 &amp; 52 Shackleton Road</t>
  </si>
  <si>
    <t>Mount Eden South</t>
  </si>
  <si>
    <t>Margaret Blackwood</t>
  </si>
  <si>
    <t>52 Shackleton Road</t>
  </si>
  <si>
    <t>Kindercare Learning Centres Belmont</t>
  </si>
  <si>
    <t>09-4451201</t>
  </si>
  <si>
    <t>belmont@kindercare.co.nz</t>
  </si>
  <si>
    <t>194 Bayswater Avenue</t>
  </si>
  <si>
    <t>Belmont</t>
  </si>
  <si>
    <t>Belmont (Auckland)</t>
  </si>
  <si>
    <t>Kindercare Learning Centres - Grey Lynn</t>
  </si>
  <si>
    <t>09-3765198</t>
  </si>
  <si>
    <t>greylynn@kindercare.co.nz</t>
  </si>
  <si>
    <t>7 King Street</t>
  </si>
  <si>
    <t>Kindercare Learning Centres (Milford)</t>
  </si>
  <si>
    <t>09-4861338</t>
  </si>
  <si>
    <t>milford@kindercare.co.nz</t>
  </si>
  <si>
    <t>103 Shakespeare Road</t>
  </si>
  <si>
    <t>Milford West</t>
  </si>
  <si>
    <t>Kindercare Learning Centres Milford P</t>
  </si>
  <si>
    <t>09-4862626</t>
  </si>
  <si>
    <t>91 Shakespeare Road</t>
  </si>
  <si>
    <t>Kindercare Learning Centres (8) Pakuranga</t>
  </si>
  <si>
    <t>09-535 8942</t>
  </si>
  <si>
    <t>pakuranga@kindercare.co.nz</t>
  </si>
  <si>
    <t>163 Pigeon Mountain Road</t>
  </si>
  <si>
    <t>Little Sunbeams Christian Early Childhood Centre</t>
  </si>
  <si>
    <t>09-2991910</t>
  </si>
  <si>
    <t>little.sunbeams@xtra.co.nz</t>
  </si>
  <si>
    <t>163 Dominion Road</t>
  </si>
  <si>
    <t>Papakura East</t>
  </si>
  <si>
    <t>Papakura Industrial</t>
  </si>
  <si>
    <t>Genelyn Reyes</t>
  </si>
  <si>
    <t>P O Box 72225</t>
  </si>
  <si>
    <t>South Auckland 2244</t>
  </si>
  <si>
    <t>09-299 1910</t>
  </si>
  <si>
    <t>Kindercare Learning Centres -Three Kings</t>
  </si>
  <si>
    <t>09-6302795</t>
  </si>
  <si>
    <t>threekings@kindercare.co.nz</t>
  </si>
  <si>
    <t>2 Shackeleton Road</t>
  </si>
  <si>
    <t>Kohimarama Montessori Pre-School 2</t>
  </si>
  <si>
    <t>09-528 7970</t>
  </si>
  <si>
    <t>kohimontessori@xtra.co.nz</t>
  </si>
  <si>
    <t>36 Allum Street</t>
  </si>
  <si>
    <t>Saint Heliers West</t>
  </si>
  <si>
    <t>Hayley French</t>
  </si>
  <si>
    <t>6 Walker RD</t>
  </si>
  <si>
    <t>09-5287970</t>
  </si>
  <si>
    <t>Lakeview Private Kindergarten</t>
  </si>
  <si>
    <t>09-489 2823</t>
  </si>
  <si>
    <t>michelle@lakeviewkindy.co.nz</t>
  </si>
  <si>
    <t>11 Killarney Street</t>
  </si>
  <si>
    <t>297 Beach Road</t>
  </si>
  <si>
    <t>Campbells Bay</t>
  </si>
  <si>
    <t>North Shore City 0630</t>
  </si>
  <si>
    <t>The Learning Corner Early Learning Centre</t>
  </si>
  <si>
    <t>09-849 2923</t>
  </si>
  <si>
    <t>admin@thelearningcorner.co.nz</t>
  </si>
  <si>
    <t>222 Carrington Road</t>
  </si>
  <si>
    <t>Mount Albert North</t>
  </si>
  <si>
    <t>Naturally Kids Early Learning</t>
  </si>
  <si>
    <t>09-445 9739</t>
  </si>
  <si>
    <t>krystallochan@gmail.com</t>
  </si>
  <si>
    <t>47 Old Lake Road</t>
  </si>
  <si>
    <t>Krystal Lochan</t>
  </si>
  <si>
    <t xml:space="preserve">86 Tarapuka Road </t>
  </si>
  <si>
    <t>Auckland 0814</t>
  </si>
  <si>
    <t>022-340 1712</t>
  </si>
  <si>
    <t>Lincoln Road Childcare &amp; Kindergarten</t>
  </si>
  <si>
    <t>09-837 4168</t>
  </si>
  <si>
    <t>officemanager@lrchildcare.org.nz</t>
  </si>
  <si>
    <t>66-68 Lincoln Road</t>
  </si>
  <si>
    <t>Peter Brookes</t>
  </si>
  <si>
    <t>P O Box 21192</t>
  </si>
  <si>
    <t>Lynfield College Community Childcare Centre</t>
  </si>
  <si>
    <t>09-626 2464</t>
  </si>
  <si>
    <t>lynfieldcollegechildcare@xtra.co.nz</t>
  </si>
  <si>
    <t>100 Boundary Road</t>
  </si>
  <si>
    <t>Denise Tolliday</t>
  </si>
  <si>
    <t>191 White Swan Road</t>
  </si>
  <si>
    <t>Auckland 1041</t>
  </si>
  <si>
    <t>09-6262464</t>
  </si>
  <si>
    <t>BestStart Ponsonby</t>
  </si>
  <si>
    <t>09-376 2410</t>
  </si>
  <si>
    <t>ponsonby@best-start.org</t>
  </si>
  <si>
    <t>62-68 Vermont Street</t>
  </si>
  <si>
    <t>Milford Baptist Kindergarten</t>
  </si>
  <si>
    <t>09-489 9746</t>
  </si>
  <si>
    <t>milbapkindy@xtra.co.nz</t>
  </si>
  <si>
    <t>3 Dodson Avenue</t>
  </si>
  <si>
    <t>Susan McIntosh</t>
  </si>
  <si>
    <t>P O Box 31679</t>
  </si>
  <si>
    <t>North Shore City 0741</t>
  </si>
  <si>
    <t>09-4806997</t>
  </si>
  <si>
    <t>Silverdale Kindergarten</t>
  </si>
  <si>
    <t>09-426 9600</t>
  </si>
  <si>
    <t>silverdale@kaitiakikindergartens.org.nz</t>
  </si>
  <si>
    <t>2 Longmore Lane</t>
  </si>
  <si>
    <t>Millwater South</t>
  </si>
  <si>
    <t>Mt Roskill Baptist Kindergarten</t>
  </si>
  <si>
    <t>09-626 7250</t>
  </si>
  <si>
    <t>485 Richardson Road</t>
  </si>
  <si>
    <t>Mount Roskill White Swan</t>
  </si>
  <si>
    <t>Meribha Dammala</t>
  </si>
  <si>
    <t>485 Richardson Rd</t>
  </si>
  <si>
    <t>09-625 5991</t>
  </si>
  <si>
    <t>Puketāpapa Community of Learning</t>
  </si>
  <si>
    <t>Murrays Bay Childcare Centre</t>
  </si>
  <si>
    <t>09-4786693</t>
  </si>
  <si>
    <t>info@mbcc.co.nz</t>
  </si>
  <si>
    <t>23 Seaton Road</t>
  </si>
  <si>
    <t>Murrays Bay East</t>
  </si>
  <si>
    <t>Sherene Newby</t>
  </si>
  <si>
    <t>15 Selby Square</t>
  </si>
  <si>
    <t>Roots Montessori Early Learning Centre</t>
  </si>
  <si>
    <t>09-480 4527</t>
  </si>
  <si>
    <t>admin@rootsmontessori.co.nz</t>
  </si>
  <si>
    <t>5 Gladstone Road</t>
  </si>
  <si>
    <t>Faye Gronberg</t>
  </si>
  <si>
    <t>6 Celestial Crescent</t>
  </si>
  <si>
    <t>Auckland 0931</t>
  </si>
  <si>
    <t>021-2810089</t>
  </si>
  <si>
    <t>Naval Community Daycare - Calliope House</t>
  </si>
  <si>
    <t>Northcote Baptist Community Preschool</t>
  </si>
  <si>
    <t>09-418 0710</t>
  </si>
  <si>
    <t>office@nbcp.org.nz</t>
  </si>
  <si>
    <t>67 Eban Avenue</t>
  </si>
  <si>
    <t>Hillcrest East (Auckland)</t>
  </si>
  <si>
    <t>Elizabeth Lupton</t>
  </si>
  <si>
    <t>09-475 9903</t>
  </si>
  <si>
    <t>Northcote Community of Learning</t>
  </si>
  <si>
    <t>Northcote Point Community Creche</t>
  </si>
  <si>
    <t>09-480 1280</t>
  </si>
  <si>
    <t>hello@northcotecreche.org.nz</t>
  </si>
  <si>
    <t>152 Queen Street</t>
  </si>
  <si>
    <t>Julie Peal</t>
  </si>
  <si>
    <t>North Shore City 0627</t>
  </si>
  <si>
    <t>Northcote Pre-School Community Trust (Kete Wananga)</t>
  </si>
  <si>
    <t>027-3067040</t>
  </si>
  <si>
    <t>Lindisfarne Hall at Lindisfarne Reserve Cnr Lake Road &amp; Tonar Street</t>
  </si>
  <si>
    <t>P O Box 35834</t>
  </si>
  <si>
    <t>Auckland 0753</t>
  </si>
  <si>
    <t>Takapuna Learning Space</t>
  </si>
  <si>
    <t>09-488 0417</t>
  </si>
  <si>
    <t>yvegroot@xtra.co.nz</t>
  </si>
  <si>
    <t>Building 19, North Shore Hospital Site 124 Shakespeare Road</t>
  </si>
  <si>
    <t>Takapuna West</t>
  </si>
  <si>
    <t>Yvonne Groot</t>
  </si>
  <si>
    <t>20 Northboro Road</t>
  </si>
  <si>
    <t>09-4840051</t>
  </si>
  <si>
    <t>Nurserydale Childcare Centre</t>
  </si>
  <si>
    <t>09-483 8273</t>
  </si>
  <si>
    <t>262 Birkdale Road</t>
  </si>
  <si>
    <t>Birkdale North</t>
  </si>
  <si>
    <t>Elizabeth Hunt</t>
  </si>
  <si>
    <t>19 Rockwood Place</t>
  </si>
  <si>
    <t>09-630 2421</t>
  </si>
  <si>
    <t>One Tree Hill Community Kindergarten</t>
  </si>
  <si>
    <t>09-579 8382</t>
  </si>
  <si>
    <t>ht@othkindy.co.nz</t>
  </si>
  <si>
    <t>21 Massey Avenue</t>
  </si>
  <si>
    <t>One Tree Hill</t>
  </si>
  <si>
    <t>Greenlane South</t>
  </si>
  <si>
    <t>Jennifer Skerritt</t>
  </si>
  <si>
    <t>P O Box 17312</t>
  </si>
  <si>
    <t>Auckland 1546</t>
  </si>
  <si>
    <t>09-6348144</t>
  </si>
  <si>
    <t>BestStart Mount Eden</t>
  </si>
  <si>
    <t>09-846 3900</t>
  </si>
  <si>
    <t>mteden@best-start.org</t>
  </si>
  <si>
    <t>25 Walters Road</t>
  </si>
  <si>
    <t>Eden Park</t>
  </si>
  <si>
    <t>Kohi Learning Centre</t>
  </si>
  <si>
    <t>09-5210051</t>
  </si>
  <si>
    <t>237 Kohimarama Road</t>
  </si>
  <si>
    <t>Brian Tomlinson</t>
  </si>
  <si>
    <t>P O Box 25120</t>
  </si>
  <si>
    <t>Saint Heliers</t>
  </si>
  <si>
    <t>Auckland 1740</t>
  </si>
  <si>
    <t>09-5210009</t>
  </si>
  <si>
    <t>Poppies Kindergarten</t>
  </si>
  <si>
    <t>09-520 3424</t>
  </si>
  <si>
    <t>rhiannon@poppies.co.nz</t>
  </si>
  <si>
    <t>1 Hapua Street</t>
  </si>
  <si>
    <t>Megan Davies</t>
  </si>
  <si>
    <t>26b Wiles Avenue</t>
  </si>
  <si>
    <t>09-5244080</t>
  </si>
  <si>
    <t>Rainbow Cottage Kindergarten</t>
  </si>
  <si>
    <t>09-817 6504</t>
  </si>
  <si>
    <t>joan@rainbowcottage.co.nz</t>
  </si>
  <si>
    <t>53 Seabrook Ave</t>
  </si>
  <si>
    <t>New Lynn Seabrook</t>
  </si>
  <si>
    <t>Joan Kluge</t>
  </si>
  <si>
    <t>66 Park Road</t>
  </si>
  <si>
    <t>09-8176504</t>
  </si>
  <si>
    <t>Kingsway Pre-School - Red Beach</t>
  </si>
  <si>
    <t>09-426 5619</t>
  </si>
  <si>
    <t>manager@kwp.nz</t>
  </si>
  <si>
    <t>76 Red Beach Road</t>
  </si>
  <si>
    <t>Methodist</t>
  </si>
  <si>
    <t>Randy Alingalan</t>
  </si>
  <si>
    <t>P O Box 13</t>
  </si>
  <si>
    <t>Redhills Community Kindergarten Inc</t>
  </si>
  <si>
    <t>09-8336401</t>
  </si>
  <si>
    <t>372 Don Buck Road</t>
  </si>
  <si>
    <t>Pauline Stratful</t>
  </si>
  <si>
    <t>P O Box 84013</t>
  </si>
  <si>
    <t>Waitakere 0657</t>
  </si>
  <si>
    <t>07-8320299</t>
  </si>
  <si>
    <t>Remuera Baptist Kindergarten</t>
  </si>
  <si>
    <t>09-529 2354</t>
  </si>
  <si>
    <t>643 A Remuera Road</t>
  </si>
  <si>
    <t>Remuera Abbotts Park</t>
  </si>
  <si>
    <t>Michelle Bishop</t>
  </si>
  <si>
    <t>Remuera Montessori Ltd</t>
  </si>
  <si>
    <t>09-5202805</t>
  </si>
  <si>
    <t>2 Armadale Road</t>
  </si>
  <si>
    <t>Chandula Kumarasiri</t>
  </si>
  <si>
    <t>52 Brian Slater Way</t>
  </si>
  <si>
    <t>Stonefields</t>
  </si>
  <si>
    <t>09-520 2805</t>
  </si>
  <si>
    <t>Gumboots Early Learning Centre</t>
  </si>
  <si>
    <t>09-411 9038</t>
  </si>
  <si>
    <t>Lucy.gumboots@gmail.com</t>
  </si>
  <si>
    <t>1157 Peak Road, RD 2</t>
  </si>
  <si>
    <t>Waikoukou Valley</t>
  </si>
  <si>
    <t>Lucy-jane Scott</t>
  </si>
  <si>
    <t>35 Oaia Rd, Muriwai Beach RD 1</t>
  </si>
  <si>
    <t>Waimauku 0881</t>
  </si>
  <si>
    <t>Te Kāhui Ako o Kaipara</t>
  </si>
  <si>
    <t>Te Puna Reo o Ritimana</t>
  </si>
  <si>
    <t>09-376 3076</t>
  </si>
  <si>
    <t>pouwhakahaere@ritimanapunareo.co.nz</t>
  </si>
  <si>
    <t>Richmond Road School 113 Richmond Road</t>
  </si>
  <si>
    <t>Ngatangiwaiatahuri Afemata</t>
  </si>
  <si>
    <t>113 Richmond Road</t>
  </si>
  <si>
    <t>Rutherford Preschool</t>
  </si>
  <si>
    <t>09-834 8844</t>
  </si>
  <si>
    <t>r.preschool@xtra.co.nz</t>
  </si>
  <si>
    <t>16 Kotuku Street</t>
  </si>
  <si>
    <t>Te Atatū Peninsula West</t>
  </si>
  <si>
    <t>Carey Bartlett</t>
  </si>
  <si>
    <t>St Pauls Kindergarten</t>
  </si>
  <si>
    <t>09-8336634</t>
  </si>
  <si>
    <t>st.pauls.kindy@xtra.co.nz</t>
  </si>
  <si>
    <t>162 A Waimumu Road</t>
  </si>
  <si>
    <t>Catholic</t>
  </si>
  <si>
    <t>Kim Jones</t>
  </si>
  <si>
    <t>St Pauls Baptist Church 162 A Waimumu Road</t>
  </si>
  <si>
    <t>09-833 6634</t>
  </si>
  <si>
    <t>Little Treehouse Kindergaten</t>
  </si>
  <si>
    <t>09-520 0114</t>
  </si>
  <si>
    <t>attwoodnz@gmail.com</t>
  </si>
  <si>
    <t>130 Remuera Road</t>
  </si>
  <si>
    <t>Allanah  Attwood</t>
  </si>
  <si>
    <t>354 Riddell Rd</t>
  </si>
  <si>
    <t>09-5757220</t>
  </si>
  <si>
    <t>Pīwaka Early Learning Centre</t>
  </si>
  <si>
    <t>09-8182416</t>
  </si>
  <si>
    <t>ginny@piwaka.nz</t>
  </si>
  <si>
    <t>4 - 6 Wilson Road</t>
  </si>
  <si>
    <t>Glen Eden Central</t>
  </si>
  <si>
    <t>Virginia Trethwey</t>
  </si>
  <si>
    <t>P O Box 20594</t>
  </si>
  <si>
    <t>Auckland 0641</t>
  </si>
  <si>
    <t>Lollipops Birkenhead</t>
  </si>
  <si>
    <t>09-4196826</t>
  </si>
  <si>
    <t>71 Roseberry Avenue</t>
  </si>
  <si>
    <t>C NAIDOO</t>
  </si>
  <si>
    <t>BestStart Ascot Avenue</t>
  </si>
  <si>
    <t>09-524 0753</t>
  </si>
  <si>
    <t>ascot@best-start.org</t>
  </si>
  <si>
    <t>44 Ascot Avenue</t>
  </si>
  <si>
    <t>Sunnynook Pre-School</t>
  </si>
  <si>
    <t>09-4109606</t>
  </si>
  <si>
    <t>sunnynookpreschool@xtra.co.nz</t>
  </si>
  <si>
    <t>34 Tonkin Drive</t>
  </si>
  <si>
    <t>Sharon Bush</t>
  </si>
  <si>
    <t>P O Box 18066</t>
  </si>
  <si>
    <t>07-8889920</t>
  </si>
  <si>
    <t>Kia ora Kids at Home Childcare 4</t>
  </si>
  <si>
    <t>0800-277 537</t>
  </si>
  <si>
    <t>Unit D2 17 Corinthian Drive</t>
  </si>
  <si>
    <t>Brett Morris</t>
  </si>
  <si>
    <t>P O Box 300688</t>
  </si>
  <si>
    <t>Auckland 0752</t>
  </si>
  <si>
    <t>09-4150 535</t>
  </si>
  <si>
    <t>Rocket Kids Early Learning Centre</t>
  </si>
  <si>
    <t>09-820 3110</t>
  </si>
  <si>
    <t>admin@rocketkids.co.nz</t>
  </si>
  <si>
    <t>36 Blockhouse Road</t>
  </si>
  <si>
    <t>Avondale North East (Auckland)</t>
  </si>
  <si>
    <t>Kirsten  Matthews</t>
  </si>
  <si>
    <t>27 Inverary Avenue</t>
  </si>
  <si>
    <t>Little Nest Early Learning Centre</t>
  </si>
  <si>
    <t>09-4409394</t>
  </si>
  <si>
    <t>info@littlenestelc.co.nz</t>
  </si>
  <si>
    <t>46 James Street</t>
  </si>
  <si>
    <t>Bayview East (Auckland)</t>
  </si>
  <si>
    <t>Chang Li</t>
  </si>
  <si>
    <t xml:space="preserve">46 James Street </t>
  </si>
  <si>
    <t>Nurturing Hearts Early Learning Centre</t>
  </si>
  <si>
    <t>09-827 0074</t>
  </si>
  <si>
    <t>hello@nurturinghearts.co.nz</t>
  </si>
  <si>
    <t>3 Gardner Avenue</t>
  </si>
  <si>
    <t>Su Costa</t>
  </si>
  <si>
    <t>Titoki Montessori Pre-School</t>
  </si>
  <si>
    <t>09-4730362</t>
  </si>
  <si>
    <t>headofschool@titokimontessori.school.nz</t>
  </si>
  <si>
    <t>70 A Stredwick Drive</t>
  </si>
  <si>
    <t>Tracie Phua</t>
  </si>
  <si>
    <t>P O Box 89142</t>
  </si>
  <si>
    <t>North Shore City 0742</t>
  </si>
  <si>
    <t>Titirangi Private Kindergarten</t>
  </si>
  <si>
    <t>09-817 4304</t>
  </si>
  <si>
    <t>walnorm@hotmail.com</t>
  </si>
  <si>
    <t>16 Hilling Street</t>
  </si>
  <si>
    <t>Titirangi East</t>
  </si>
  <si>
    <t>Norman Wallace</t>
  </si>
  <si>
    <t>Waitakere 0604</t>
  </si>
  <si>
    <t>Uplands Kindergarten</t>
  </si>
  <si>
    <t>09-524 5839</t>
  </si>
  <si>
    <t>497 Remuera Road</t>
  </si>
  <si>
    <t>David Anderson</t>
  </si>
  <si>
    <t>027-567 7403</t>
  </si>
  <si>
    <t>Waiheke Community Childcare Centre</t>
  </si>
  <si>
    <t>09-3726115</t>
  </si>
  <si>
    <t>waicomcentre@xtra.co.nz</t>
  </si>
  <si>
    <t>3a Donald Bruce Road</t>
  </si>
  <si>
    <t>Tanya Marshall-Smith</t>
  </si>
  <si>
    <t>Auckland 1081</t>
  </si>
  <si>
    <t>09-372 6115</t>
  </si>
  <si>
    <t>Tiny Tots Childcare Centre</t>
  </si>
  <si>
    <t>09-441 0044</t>
  </si>
  <si>
    <t>sheree@tiny-tots.co.nz</t>
  </si>
  <si>
    <t>18 Raleigh Road</t>
  </si>
  <si>
    <t>Sheree Wilkins</t>
  </si>
  <si>
    <t>Walbrook Early Childhood Centre-Butterfly's Garden</t>
  </si>
  <si>
    <t>09-424 8669</t>
  </si>
  <si>
    <t>walbrook.elc@gmail.com</t>
  </si>
  <si>
    <t>9 Walbrook Road</t>
  </si>
  <si>
    <t>Manly</t>
  </si>
  <si>
    <t>Eileen Cowie</t>
  </si>
  <si>
    <t>Bunny Childcare Warkworth</t>
  </si>
  <si>
    <t>evajiang66@gmail.com</t>
  </si>
  <si>
    <t>23 - 25 Campbell Drive</t>
  </si>
  <si>
    <t>Liping Jiang</t>
  </si>
  <si>
    <t xml:space="preserve">17 Aplin Place </t>
  </si>
  <si>
    <t>09-4258730</t>
  </si>
  <si>
    <t>Our Kids Early Learning Centre - Glen Eden</t>
  </si>
  <si>
    <t>09-8189913</t>
  </si>
  <si>
    <t>gleneden@ourkidsearlylearning.co.nz</t>
  </si>
  <si>
    <t>23 Glendale Road</t>
  </si>
  <si>
    <t>Creative Kids</t>
  </si>
  <si>
    <t>09-483 7489</t>
  </si>
  <si>
    <t>creativekidsece@gmail.com</t>
  </si>
  <si>
    <t>46 Mayall Avenue</t>
  </si>
  <si>
    <t>Sophie Harper</t>
  </si>
  <si>
    <t>P O Box 594</t>
  </si>
  <si>
    <t>Whangaparaoa 0943</t>
  </si>
  <si>
    <t>09-4281215</t>
  </si>
  <si>
    <t>Kids at Play Childcare Centre</t>
  </si>
  <si>
    <t>09-6305800</t>
  </si>
  <si>
    <t>6 Bellwood Avenue</t>
  </si>
  <si>
    <t>Ella Harper</t>
  </si>
  <si>
    <t>Coast Kindy</t>
  </si>
  <si>
    <t>09-4282 037</t>
  </si>
  <si>
    <t>coastkindy@gmail.com</t>
  </si>
  <si>
    <t>733-735 Whangaparaoa Road</t>
  </si>
  <si>
    <t>Wade Heads-Arkles Bay</t>
  </si>
  <si>
    <t>Raewyn Meikle</t>
  </si>
  <si>
    <t>P O Box 98</t>
  </si>
  <si>
    <t>Woodlands Park Community Kindergarten</t>
  </si>
  <si>
    <t>09-8178782</t>
  </si>
  <si>
    <t>woodlandskindy@xtra.co.nz</t>
  </si>
  <si>
    <t>22A Minnehaha Avenue</t>
  </si>
  <si>
    <t>Waima-Woodlands Park</t>
  </si>
  <si>
    <t>Michelle Fouche</t>
  </si>
  <si>
    <t>22 A Minnehaha Avenue</t>
  </si>
  <si>
    <t>Barnardos Early Learning Home Based Auckland Tahi</t>
  </si>
  <si>
    <t>09-625 0560</t>
  </si>
  <si>
    <t>beckie.bews@barnardos.org.nz</t>
  </si>
  <si>
    <t>33 Cape Road</t>
  </si>
  <si>
    <t>Rebecca   Bews</t>
  </si>
  <si>
    <t>P O Box 6434</t>
  </si>
  <si>
    <t>09-62550560</t>
  </si>
  <si>
    <t>A'oga Fa'a Samoa Incorporated</t>
  </si>
  <si>
    <t>09-3780403</t>
  </si>
  <si>
    <t>italia@aogafaasamoa.school.nz</t>
  </si>
  <si>
    <t>Richmond Road Primary School</t>
  </si>
  <si>
    <t xml:space="preserve">Italia  Taouma </t>
  </si>
  <si>
    <t>Kindercare - Greenhithe</t>
  </si>
  <si>
    <t>09-413 9041</t>
  </si>
  <si>
    <t>roseanne@kindercare.co.nz</t>
  </si>
  <si>
    <t>4 Greenhithe Road</t>
  </si>
  <si>
    <t>09-4799922</t>
  </si>
  <si>
    <t>Riverhead Montessori Learning Centre</t>
  </si>
  <si>
    <t>09-4127171</t>
  </si>
  <si>
    <t>admin@riverheadmontessori.co.nz</t>
  </si>
  <si>
    <t>280E Riverhead Road , RD2</t>
  </si>
  <si>
    <t>Riverhead</t>
  </si>
  <si>
    <t>Kelli Booth</t>
  </si>
  <si>
    <t>17 Elliot St</t>
  </si>
  <si>
    <t>Auckland 0820</t>
  </si>
  <si>
    <t>09-4125302</t>
  </si>
  <si>
    <t>Kindercare Learning Centres - Mount Wellington (20204)</t>
  </si>
  <si>
    <t>09-5255896</t>
  </si>
  <si>
    <t>mt.wellington@kindercare.co.nz</t>
  </si>
  <si>
    <t>140 Aranui Road</t>
  </si>
  <si>
    <t>Howe Street Early Learning Centre</t>
  </si>
  <si>
    <t>cheryl@howestreetelc.co.nz</t>
  </si>
  <si>
    <t>70 Howe Street</t>
  </si>
  <si>
    <t>Chang Zhou</t>
  </si>
  <si>
    <t>11 Ki Roto Way</t>
  </si>
  <si>
    <t>026-4953186</t>
  </si>
  <si>
    <t>Barnardos Early Learning Home Based Waitakere Two</t>
  </si>
  <si>
    <t>09-625 3677</t>
  </si>
  <si>
    <t>Beckie.bews@barnardos.org.nz</t>
  </si>
  <si>
    <t>Treetops ELC Botany Junction</t>
  </si>
  <si>
    <t>09-2711550</t>
  </si>
  <si>
    <t>Unit K  277 Te Irirangi Drive</t>
  </si>
  <si>
    <t>Chapel Downs</t>
  </si>
  <si>
    <t>P O Box 217039</t>
  </si>
  <si>
    <t>Botany Junction</t>
  </si>
  <si>
    <t>Auckland 2164</t>
  </si>
  <si>
    <t>Busy Bees Ruakaka</t>
  </si>
  <si>
    <t>09-4327396</t>
  </si>
  <si>
    <t>17 Marsden Point Road</t>
  </si>
  <si>
    <t>Elizabeth Jones</t>
  </si>
  <si>
    <t>09-4390220</t>
  </si>
  <si>
    <t>Caterpillars to Butterflies Childcare</t>
  </si>
  <si>
    <t>09-480 5827</t>
  </si>
  <si>
    <t>office@caterpillarstobutterflies.co.nz</t>
  </si>
  <si>
    <t>62 Coronation Road</t>
  </si>
  <si>
    <t>Hillcrest North (Auckland)</t>
  </si>
  <si>
    <t>Helen  Wood</t>
  </si>
  <si>
    <t>10 Corregidor Place</t>
  </si>
  <si>
    <t>027-2500129</t>
  </si>
  <si>
    <t>Folkestone Street Infant &amp; Childcare</t>
  </si>
  <si>
    <t>09-4101982</t>
  </si>
  <si>
    <t>folkestoneinfantcare@xtra.co.nz</t>
  </si>
  <si>
    <t>6 Folkestone Street</t>
  </si>
  <si>
    <t>Miranda Howden-Waugh</t>
  </si>
  <si>
    <t>2/84 Kowhai Road</t>
  </si>
  <si>
    <t>09-4101 982</t>
  </si>
  <si>
    <t>Starship Play Service Ward 27A &amp; 27B</t>
  </si>
  <si>
    <t>Grafton Road</t>
  </si>
  <si>
    <t>Kia ora Kids at Home Childcare 5</t>
  </si>
  <si>
    <t>Lollipops North Harbour Fantails</t>
  </si>
  <si>
    <t>09-444 9248</t>
  </si>
  <si>
    <t>cm.northharbourkakapo@ledu.co.nz</t>
  </si>
  <si>
    <t>33-35 Cheval Drive</t>
  </si>
  <si>
    <t>Totara Vale South</t>
  </si>
  <si>
    <t>Elise  Dawson</t>
  </si>
  <si>
    <t>09-4449248</t>
  </si>
  <si>
    <t>BestStart North Harbour</t>
  </si>
  <si>
    <t>09-4416382</t>
  </si>
  <si>
    <t>Shop 109, Westfield Mall Civic Crescent</t>
  </si>
  <si>
    <t>BestStart Glenfield</t>
  </si>
  <si>
    <t>09-4433023</t>
  </si>
  <si>
    <t>glenfield@best-start.org</t>
  </si>
  <si>
    <t>26 Manuka Road</t>
  </si>
  <si>
    <t>Bayview South (Auckland)</t>
  </si>
  <si>
    <t>Little Palms Early Learning Center</t>
  </si>
  <si>
    <t>09-4409942</t>
  </si>
  <si>
    <t>info@littlepalms.co.nz</t>
  </si>
  <si>
    <t>40 Caribbean Drive</t>
  </si>
  <si>
    <t>Chufan Zhang</t>
  </si>
  <si>
    <t>24 Catlins Place</t>
  </si>
  <si>
    <t>021-02896612</t>
  </si>
  <si>
    <t>Lollipops Albany</t>
  </si>
  <si>
    <t>09-4471955</t>
  </si>
  <si>
    <t>cm.albany@ledu.co.nz</t>
  </si>
  <si>
    <t>406 Rosedale Road</t>
  </si>
  <si>
    <t>Tiffany Shi</t>
  </si>
  <si>
    <t>Reach for the Stars Early Learning Centre</t>
  </si>
  <si>
    <t>09-476 3950</t>
  </si>
  <si>
    <t>albanychildcare@reachforthestars.co.nz</t>
  </si>
  <si>
    <t>19 Canaveral Drive</t>
  </si>
  <si>
    <t>Carole Liang</t>
  </si>
  <si>
    <t>Kingsway Pre-School - Silverdale</t>
  </si>
  <si>
    <t>Bonair Crescent</t>
  </si>
  <si>
    <t>Active Explorers Swanson</t>
  </si>
  <si>
    <t>09-837 2881</t>
  </si>
  <si>
    <t>cm.swanson@activeexplorers.co.nz</t>
  </si>
  <si>
    <t>220 Swanson Road</t>
  </si>
  <si>
    <t>Sheetal Dhyani</t>
  </si>
  <si>
    <t>09-8372881</t>
  </si>
  <si>
    <t>Birkenhead Point Montessori Pre-school</t>
  </si>
  <si>
    <t>09-550 3443</t>
  </si>
  <si>
    <t>108 Hinemoa Street</t>
  </si>
  <si>
    <t>Fraser Hubbard</t>
  </si>
  <si>
    <t>Krafty Kidz</t>
  </si>
  <si>
    <t>09-8338457</t>
  </si>
  <si>
    <t>kraftykidz.nz@gmail.com</t>
  </si>
  <si>
    <t>11 Metcalfe Road</t>
  </si>
  <si>
    <t>Janine Raper</t>
  </si>
  <si>
    <t>Pupuke Early Education Centre</t>
  </si>
  <si>
    <t>09-489 8666</t>
  </si>
  <si>
    <t>pupukeearlyed@xtra.co.nz</t>
  </si>
  <si>
    <t>20-22 Lake Pupuke Drive</t>
  </si>
  <si>
    <t>Carol Crighton</t>
  </si>
  <si>
    <t>P O Box 25204</t>
  </si>
  <si>
    <t>09-378 8106</t>
  </si>
  <si>
    <t>Kiwi Kids Early Learning Centre</t>
  </si>
  <si>
    <t>09-4864695</t>
  </si>
  <si>
    <t>angelstaka@angelschildcare.co.nz</t>
  </si>
  <si>
    <t>31 Anzac St</t>
  </si>
  <si>
    <t>Maria Sargant</t>
  </si>
  <si>
    <t>09-424 5888</t>
  </si>
  <si>
    <t>Little Poppy's Preschool</t>
  </si>
  <si>
    <t>09-4246003</t>
  </si>
  <si>
    <t>3 Poplar Road</t>
  </si>
  <si>
    <t>Jessamy Outwin</t>
  </si>
  <si>
    <t>32 Deerness Crescent</t>
  </si>
  <si>
    <t>Warkworth 0920</t>
  </si>
  <si>
    <t>Kindercare Learning Centres Kohimarama</t>
  </si>
  <si>
    <t>09-528 6671</t>
  </si>
  <si>
    <t>kohimarama@kindercare.co.nz</t>
  </si>
  <si>
    <t>24 Melanesia Road</t>
  </si>
  <si>
    <t>Kohimarama Bay</t>
  </si>
  <si>
    <t>Snells Beach Kindergarten</t>
  </si>
  <si>
    <t>09-4256330</t>
  </si>
  <si>
    <t>snellsbeach@aka.org.nz</t>
  </si>
  <si>
    <t>15 Hamatana Road</t>
  </si>
  <si>
    <t>Snells Beach</t>
  </si>
  <si>
    <t>BestStart Gillies Avenue</t>
  </si>
  <si>
    <t>09-623 2785</t>
  </si>
  <si>
    <t>gillies@best-start.org</t>
  </si>
  <si>
    <t>181 Gillies Avenue</t>
  </si>
  <si>
    <t>Epsom North</t>
  </si>
  <si>
    <t>Learning at the Point Comm. Kindergarten</t>
  </si>
  <si>
    <t>09-846 9897</t>
  </si>
  <si>
    <t>learningpoint@xtra.co.nz</t>
  </si>
  <si>
    <t>20 Huia Road</t>
  </si>
  <si>
    <t>Point Chevalier East</t>
  </si>
  <si>
    <t>Kristina Walkley</t>
  </si>
  <si>
    <t>Auckland 1022</t>
  </si>
  <si>
    <t>MARC Early Learning Centre</t>
  </si>
  <si>
    <t>09-815 1690</t>
  </si>
  <si>
    <t>meg@marcelc.co.nz</t>
  </si>
  <si>
    <t>122 Mt Albert Road</t>
  </si>
  <si>
    <t>Margaret Moss</t>
  </si>
  <si>
    <t>Starship Play Service Ward 23B/Clinic</t>
  </si>
  <si>
    <t>Aiga Salevalasi Charitable Trust</t>
  </si>
  <si>
    <t>09-818 2504</t>
  </si>
  <si>
    <t>salevalasi@xtra.co.nz</t>
  </si>
  <si>
    <t>2 Clayburn Road</t>
  </si>
  <si>
    <t>Paulo Ieriko</t>
  </si>
  <si>
    <t>28 Binstead Road</t>
  </si>
  <si>
    <t>09-827 2087</t>
  </si>
  <si>
    <t>BestStart Avondale</t>
  </si>
  <si>
    <t>09-828 9083</t>
  </si>
  <si>
    <t>avondale@best-start.org</t>
  </si>
  <si>
    <t>18-20 Wolverton Street</t>
  </si>
  <si>
    <t>Glenavon</t>
  </si>
  <si>
    <t>Learning Stars Preschool</t>
  </si>
  <si>
    <t>09-828 5587</t>
  </si>
  <si>
    <t>learningstarspreschool@outlook.com</t>
  </si>
  <si>
    <t>113 Canal Road</t>
  </si>
  <si>
    <t>Farhana Husaini</t>
  </si>
  <si>
    <t>8C Crows Road</t>
  </si>
  <si>
    <t>09-8374680</t>
  </si>
  <si>
    <t>Freyberg Community Pre-School</t>
  </si>
  <si>
    <t>09-836 5889</t>
  </si>
  <si>
    <t>freybergcommunitypreschool@xtra.co.nz</t>
  </si>
  <si>
    <t>60 Roberts Road</t>
  </si>
  <si>
    <t>Te Atatū South-McLeod North</t>
  </si>
  <si>
    <t>Karen Wyatt</t>
  </si>
  <si>
    <t>Te Atatu</t>
  </si>
  <si>
    <t>BestStart Seymour Road Kindy</t>
  </si>
  <si>
    <t>09-8130964</t>
  </si>
  <si>
    <t>seymour.kindy@best-start.org</t>
  </si>
  <si>
    <t>74 Seymour Road</t>
  </si>
  <si>
    <t>Sunnyvale-Auckland</t>
  </si>
  <si>
    <t>Barnardos Early Learning Home Based Auckland Toru</t>
  </si>
  <si>
    <t>09-624 5961</t>
  </si>
  <si>
    <t>The Rose Centre Community Pre-School</t>
  </si>
  <si>
    <t>09-445 9900 Ext 2</t>
  </si>
  <si>
    <t>manager.preschool@rosecentre.co.nz</t>
  </si>
  <si>
    <t>School Road</t>
  </si>
  <si>
    <t>Siobhan Yurak</t>
  </si>
  <si>
    <t>4 School Road, Belmont</t>
  </si>
  <si>
    <t>027-5215667</t>
  </si>
  <si>
    <t>Koru Montessori</t>
  </si>
  <si>
    <t>09-4109535</t>
  </si>
  <si>
    <t>korumontessori@xtra.co.nz</t>
  </si>
  <si>
    <t>21 Kapiti Place</t>
  </si>
  <si>
    <t>Sunnynook South</t>
  </si>
  <si>
    <t>Kristle Lochan</t>
  </si>
  <si>
    <t>Precious Pipis Childcare Brixton Road</t>
  </si>
  <si>
    <t>09-424 2315</t>
  </si>
  <si>
    <t>coast@preciouspipis.co.nz</t>
  </si>
  <si>
    <t>26 Brixton Road</t>
  </si>
  <si>
    <t>Jessica  May</t>
  </si>
  <si>
    <t>69 Commercial Road</t>
  </si>
  <si>
    <t>Helensville 0800</t>
  </si>
  <si>
    <t>09-4117516</t>
  </si>
  <si>
    <t>Living &amp; Learning Family Centre Mangere</t>
  </si>
  <si>
    <t>09-275 3666</t>
  </si>
  <si>
    <t>mangere@livingandlearning.org.nz</t>
  </si>
  <si>
    <t>6 Bicknell Road</t>
  </si>
  <si>
    <t>Favona East</t>
  </si>
  <si>
    <t>Glenda Wendelborn</t>
  </si>
  <si>
    <t>Confident Learners Early Learning Centre</t>
  </si>
  <si>
    <t>09-826 0644</t>
  </si>
  <si>
    <t>91 Portage Road</t>
  </si>
  <si>
    <t>New Lynn Central South</t>
  </si>
  <si>
    <t>Harsimrat Kaur</t>
  </si>
  <si>
    <t>Flanshaw Early Childhood Centre</t>
  </si>
  <si>
    <t>09-8347132</t>
  </si>
  <si>
    <t>flanshawpreschool@gmail.com</t>
  </si>
  <si>
    <t>51 Flanshaw Road</t>
  </si>
  <si>
    <t>Te Atatū South-North</t>
  </si>
  <si>
    <t>Purdey Redfearn</t>
  </si>
  <si>
    <t>P O Box 186</t>
  </si>
  <si>
    <t>West Harbour</t>
  </si>
  <si>
    <t>Auckland 0661</t>
  </si>
  <si>
    <t>09-8347142</t>
  </si>
  <si>
    <t>Te Kōhanga Reo o Te Hau Kapua</t>
  </si>
  <si>
    <t>09-445 8641</t>
  </si>
  <si>
    <t>16 Roberts Avenue</t>
  </si>
  <si>
    <t>Kerry Jones</t>
  </si>
  <si>
    <t>04-381 8750</t>
  </si>
  <si>
    <t>The Grange Early Learning Centre</t>
  </si>
  <si>
    <t>021-483869</t>
  </si>
  <si>
    <t>childcare@thegrangecentre.co.nz</t>
  </si>
  <si>
    <t>48 Awaroa Road</t>
  </si>
  <si>
    <t>Sunnyvale East</t>
  </si>
  <si>
    <t xml:space="preserve">Evelyne Louarduzzi </t>
  </si>
  <si>
    <t>5 Mildnay Road</t>
  </si>
  <si>
    <t>09-837 2007</t>
  </si>
  <si>
    <t>Te Kōhanga Reo o Te Arapeta</t>
  </si>
  <si>
    <t>09-570 4156</t>
  </si>
  <si>
    <t>49 Court Crescent</t>
  </si>
  <si>
    <t>Tamaki West</t>
  </si>
  <si>
    <t>Te Kōhanga Reo o Ngā Tikanga Pono</t>
  </si>
  <si>
    <t>09-4440818</t>
  </si>
  <si>
    <t>96 Bentley Avenue</t>
  </si>
  <si>
    <t>Headstart Early Learning</t>
  </si>
  <si>
    <t>09-4164300</t>
  </si>
  <si>
    <t>admin@headstartchildcare.nz</t>
  </si>
  <si>
    <t>193 Hobsonville Road</t>
  </si>
  <si>
    <t>West Harbour Clearwater Cove</t>
  </si>
  <si>
    <t>Christine Diprose</t>
  </si>
  <si>
    <t>Lollipops Grey Lynn</t>
  </si>
  <si>
    <t>09-376 2486</t>
  </si>
  <si>
    <t>admin.greylynn@ledu.co.nz</t>
  </si>
  <si>
    <t>120 Surrey Crescent</t>
  </si>
  <si>
    <t>Cherie  Bell</t>
  </si>
  <si>
    <t>09-3762486</t>
  </si>
  <si>
    <t>Kiddos Childcare Birkdale</t>
  </si>
  <si>
    <t>09-482 0840</t>
  </si>
  <si>
    <t>koruearlylearningcentre@xtra.co.nz</t>
  </si>
  <si>
    <t>167 Birkdale Road</t>
  </si>
  <si>
    <t>58 Onetaunga Road, Chatswood</t>
  </si>
  <si>
    <t>09-480 3006</t>
  </si>
  <si>
    <t>Olive Shoots Early Childhood Centre</t>
  </si>
  <si>
    <t>09-836 7838</t>
  </si>
  <si>
    <t>oliveshoots@laidlaw.ac.nz</t>
  </si>
  <si>
    <t>80 Central Park Drive</t>
  </si>
  <si>
    <t>Allan Officer</t>
  </si>
  <si>
    <t>Olive Shoots ECC c/- Laidlaw College Private Bag 93104</t>
  </si>
  <si>
    <t>Devonport Methodist Childcare Centre</t>
  </si>
  <si>
    <t>09-446 0003</t>
  </si>
  <si>
    <t>admin@dmcc.live</t>
  </si>
  <si>
    <t>18 Owens Road</t>
  </si>
  <si>
    <t>Robyn Holt</t>
  </si>
  <si>
    <t>North Shore City 0624</t>
  </si>
  <si>
    <t>Three Bears Titirangi Childcare</t>
  </si>
  <si>
    <t>09-817 7576</t>
  </si>
  <si>
    <t>halford.jen20@gmail.com</t>
  </si>
  <si>
    <t>99 B Atkinson Road</t>
  </si>
  <si>
    <t>Jennifer Halford</t>
  </si>
  <si>
    <t>3 Urlich Drive</t>
  </si>
  <si>
    <t>Country Bears Early Childhood Centre</t>
  </si>
  <si>
    <t>09-4128055</t>
  </si>
  <si>
    <t>info@countrybears.co.nz</t>
  </si>
  <si>
    <t>79 Oraha Road, RD 2</t>
  </si>
  <si>
    <t>Kumeū-Huapai North</t>
  </si>
  <si>
    <t>Nikky Tauranga</t>
  </si>
  <si>
    <t>79 Oraha Road RD 2</t>
  </si>
  <si>
    <t>Auckland 0892</t>
  </si>
  <si>
    <t>Bear Park Childcare Mairangi Bay</t>
  </si>
  <si>
    <t>09-479 3795</t>
  </si>
  <si>
    <t>18 Apollo Drive</t>
  </si>
  <si>
    <t>Diane Bradshaw</t>
  </si>
  <si>
    <t>P O Box 303397</t>
  </si>
  <si>
    <t>North Shore City 0751</t>
  </si>
  <si>
    <t>09-4792982</t>
  </si>
  <si>
    <t>Leigh Community Pre-School Inc</t>
  </si>
  <si>
    <t>09-422 6516</t>
  </si>
  <si>
    <t>centremanager@leighpreschool.co.nz</t>
  </si>
  <si>
    <t>5 Seatoun Avenue</t>
  </si>
  <si>
    <t>Leigh</t>
  </si>
  <si>
    <t>Cape Rodney</t>
  </si>
  <si>
    <t>Crystal MacGregor</t>
  </si>
  <si>
    <t>P O Box 85</t>
  </si>
  <si>
    <t>Auckland 0947</t>
  </si>
  <si>
    <t>Piha Community Preschool</t>
  </si>
  <si>
    <t>09-8128013</t>
  </si>
  <si>
    <t>pihapreschool@xtra.co.nz</t>
  </si>
  <si>
    <t>2 North Piha Road</t>
  </si>
  <si>
    <t>Piha</t>
  </si>
  <si>
    <t>Susan Fraser</t>
  </si>
  <si>
    <t>PO Box 92</t>
  </si>
  <si>
    <t>Auckland 0772</t>
  </si>
  <si>
    <t>Barnardos Early Learning Home Based Auckland Rua</t>
  </si>
  <si>
    <t>Te Kōhanga Reo o Te Kōtuku</t>
  </si>
  <si>
    <t>09-834 4182</t>
  </si>
  <si>
    <t>16-20 Kotuku Street</t>
  </si>
  <si>
    <t>Smart Start Montessori (Grange Rd) Pre-School</t>
  </si>
  <si>
    <t>09-623 0097</t>
  </si>
  <si>
    <t>info@smartstart.school.nz</t>
  </si>
  <si>
    <t>99 Grange Road</t>
  </si>
  <si>
    <t>Rebecca Lee-Houtwipper</t>
  </si>
  <si>
    <t>09-623 2550</t>
  </si>
  <si>
    <t>Next Generation Childcare</t>
  </si>
  <si>
    <t>09-483 6087</t>
  </si>
  <si>
    <t>19 Gatman Street</t>
  </si>
  <si>
    <t>Birkdale South</t>
  </si>
  <si>
    <t>Rainbow Adventurers Childcare</t>
  </si>
  <si>
    <t>09-479 2922</t>
  </si>
  <si>
    <t>12 Laurina Road</t>
  </si>
  <si>
    <t>Lynley Bendall</t>
  </si>
  <si>
    <t>14 Rifleman Rise</t>
  </si>
  <si>
    <t>09-4182813</t>
  </si>
  <si>
    <t>Kindercare Learning Centre (5) Remuera</t>
  </si>
  <si>
    <t>09-5201825</t>
  </si>
  <si>
    <t>remuera@kindercare.co.nz</t>
  </si>
  <si>
    <t>36 Greenlane Road East</t>
  </si>
  <si>
    <t>Lil Seeds Ltd</t>
  </si>
  <si>
    <t>86 Kaurilands Road</t>
  </si>
  <si>
    <t>Ponsonby Montessori Kindergarten</t>
  </si>
  <si>
    <t>09-376 0021</t>
  </si>
  <si>
    <t>montessori.ponsonby@xtra.co.nz</t>
  </si>
  <si>
    <t>244 Richmond Road</t>
  </si>
  <si>
    <t>Canaan Quinlivan-Vega Ron</t>
  </si>
  <si>
    <t>c/- Ponsonby Montessori Kindergarten 244 Richmond Road</t>
  </si>
  <si>
    <t>The No 1 Kindy Limited</t>
  </si>
  <si>
    <t>09-489 6797</t>
  </si>
  <si>
    <t>theno1kindy@gmail.com</t>
  </si>
  <si>
    <t>4 Dominion Street</t>
  </si>
  <si>
    <t>Ruth Hancock</t>
  </si>
  <si>
    <t>Ōrākei Montessori Pre-School</t>
  </si>
  <si>
    <t>azaria@omp.school.nz</t>
  </si>
  <si>
    <t>16 Sudeley Street</t>
  </si>
  <si>
    <t>Azaria Muldoon</t>
  </si>
  <si>
    <t>42 Takitimu Street</t>
  </si>
  <si>
    <t>021-0242535</t>
  </si>
  <si>
    <t>Lollipops Green Bay</t>
  </si>
  <si>
    <t>09-8277 608</t>
  </si>
  <si>
    <t>cm.greenbay@ledu.co.nz</t>
  </si>
  <si>
    <t>200 Portage Road</t>
  </si>
  <si>
    <t>Green Bay South</t>
  </si>
  <si>
    <t>Crystal Fowler</t>
  </si>
  <si>
    <t>09-827 7608</t>
  </si>
  <si>
    <t>Te Atatu South Childcare Centre</t>
  </si>
  <si>
    <t>09-834 3018</t>
  </si>
  <si>
    <t>info@teatatusouthchildcare.co.nz</t>
  </si>
  <si>
    <t>1 Vera Road</t>
  </si>
  <si>
    <t>Stephanie Hickman</t>
  </si>
  <si>
    <t>68 Tiroroa Avenue</t>
  </si>
  <si>
    <t>Jolly Stars Early Learning Centre</t>
  </si>
  <si>
    <t>09-833 7319</t>
  </si>
  <si>
    <t>jollystars.elc@gmail.com</t>
  </si>
  <si>
    <t>36 Reynella Drive</t>
  </si>
  <si>
    <t>Massey Central</t>
  </si>
  <si>
    <t>Liyan Zhen</t>
  </si>
  <si>
    <t>Kindercare Learning Centres (10 B, T &amp; P) Constellation</t>
  </si>
  <si>
    <t>09-4799 922</t>
  </si>
  <si>
    <t>constellation@kindercare.co.nz</t>
  </si>
  <si>
    <t>5 Vega Place</t>
  </si>
  <si>
    <t>Stepping Stones Daycare Ltd</t>
  </si>
  <si>
    <t>09-6310300</t>
  </si>
  <si>
    <t>70 Wairiki Road</t>
  </si>
  <si>
    <t>Maungawhau</t>
  </si>
  <si>
    <t>Xueli (Shirley) Sun</t>
  </si>
  <si>
    <t>63 Magma Cres</t>
  </si>
  <si>
    <t>09-5746627</t>
  </si>
  <si>
    <t>BestStart Meadowbank</t>
  </si>
  <si>
    <t>09-523 1450</t>
  </si>
  <si>
    <t>meadowbank@best-start.org</t>
  </si>
  <si>
    <t>31 Kelvin Road</t>
  </si>
  <si>
    <t>Remuera East</t>
  </si>
  <si>
    <t>Babies &amp; Buddies Early Childhood Centre</t>
  </si>
  <si>
    <t>09-837 4023</t>
  </si>
  <si>
    <t>141 Universal Drive</t>
  </si>
  <si>
    <t>Cuizhen Chen Zhen</t>
  </si>
  <si>
    <t>9 Titchener Street</t>
  </si>
  <si>
    <t>021-363644</t>
  </si>
  <si>
    <t>Sunnynook Community Early Learning</t>
  </si>
  <si>
    <t xml:space="preserve">021-02750384 </t>
  </si>
  <si>
    <t>scc.creche@xtra.co.nz</t>
  </si>
  <si>
    <t>148 Sycamore Drive</t>
  </si>
  <si>
    <t>Bronwyn Bound</t>
  </si>
  <si>
    <t>North Shore City 0620</t>
  </si>
  <si>
    <t>09-410 4902</t>
  </si>
  <si>
    <t>Collectively Kids Ltd</t>
  </si>
  <si>
    <t>09-849 5261</t>
  </si>
  <si>
    <t>collectivelykids@xtra.co.nz</t>
  </si>
  <si>
    <t>28 Carrington Road</t>
  </si>
  <si>
    <t xml:space="preserve">Soya  Thomas </t>
  </si>
  <si>
    <t>14 Potatau St</t>
  </si>
  <si>
    <t>021-1638986</t>
  </si>
  <si>
    <t>Te Kōhanga Reo o Te Ngākau Mahana</t>
  </si>
  <si>
    <t>09-836 0507</t>
  </si>
  <si>
    <t>22 A Smythe Road</t>
  </si>
  <si>
    <t>Te Kōhanga Reo ki Papatoetoe Whānau</t>
  </si>
  <si>
    <t>09-279 9772</t>
  </si>
  <si>
    <t>67 K Swaffield Road</t>
  </si>
  <si>
    <t>Tots Corner</t>
  </si>
  <si>
    <t>09-480 7025</t>
  </si>
  <si>
    <t>tots@totscorner.co.nz</t>
  </si>
  <si>
    <t>95 Onewa Road</t>
  </si>
  <si>
    <t>Imogen McBeth</t>
  </si>
  <si>
    <t>79 Glenvar Road</t>
  </si>
  <si>
    <t>All Saints Early Learning Centre</t>
  </si>
  <si>
    <t>09-376 0353</t>
  </si>
  <si>
    <t>hello@allsaintselc.co.nz</t>
  </si>
  <si>
    <t>284 Ponsonby Road</t>
  </si>
  <si>
    <t>Anglican</t>
  </si>
  <si>
    <t>Rachel Hughes</t>
  </si>
  <si>
    <t>P O Box 47625</t>
  </si>
  <si>
    <t>Auckland 1144</t>
  </si>
  <si>
    <t>09-3760353</t>
  </si>
  <si>
    <t>St Heliers-Glendowie Playcentre</t>
  </si>
  <si>
    <t>09-5758003</t>
  </si>
  <si>
    <t>kiri.mccabe@playcentre.org.nz</t>
  </si>
  <si>
    <t>16 A Kinsale Avenue</t>
  </si>
  <si>
    <t>Glendowie North</t>
  </si>
  <si>
    <t>Kiri McCabe</t>
  </si>
  <si>
    <t>09-4153321</t>
  </si>
  <si>
    <t>Fetū ole Moana Aoga amata</t>
  </si>
  <si>
    <t>0800-338 865</t>
  </si>
  <si>
    <t>office@fetuolemoana.org.nz</t>
  </si>
  <si>
    <t>35 Armada Drive</t>
  </si>
  <si>
    <t>Joyita Crichton</t>
  </si>
  <si>
    <t>PO Box 70026</t>
  </si>
  <si>
    <t>Playday (Orakei Presbyterian Church)</t>
  </si>
  <si>
    <t>09-5210302</t>
  </si>
  <si>
    <t>orakeiplayday@xtra.co.nz</t>
  </si>
  <si>
    <t>162 Coates Avenue</t>
  </si>
  <si>
    <t>Presbyterian</t>
  </si>
  <si>
    <t>Orakei East</t>
  </si>
  <si>
    <t>Ajten Ibrahimbegov</t>
  </si>
  <si>
    <t>Flying Start Kindergarten</t>
  </si>
  <si>
    <t>09-6304847</t>
  </si>
  <si>
    <t>2/22 Cromwell Street</t>
  </si>
  <si>
    <t>Jenny Fang</t>
  </si>
  <si>
    <t>51 Kerrykeel Drive</t>
  </si>
  <si>
    <t>09-963 2218</t>
  </si>
  <si>
    <t>Learning Curves Childcare Centre</t>
  </si>
  <si>
    <t xml:space="preserve">09- </t>
  </si>
  <si>
    <t>11 Kinross Street</t>
  </si>
  <si>
    <t>Blockhouse Bay South</t>
  </si>
  <si>
    <t>Gregory  Burt</t>
  </si>
  <si>
    <t>59a Empire Road</t>
  </si>
  <si>
    <t>Titirangi Rudolf Steiner Kindergarten 1</t>
  </si>
  <si>
    <t>09-8174386</t>
  </si>
  <si>
    <t>5 Helios Place</t>
  </si>
  <si>
    <t>Sheryl Mace</t>
  </si>
  <si>
    <t>P O Box 60266</t>
  </si>
  <si>
    <t>Auckland 0642</t>
  </si>
  <si>
    <t>Starfish Early Childhood  Centre</t>
  </si>
  <si>
    <t>09-424 1031</t>
  </si>
  <si>
    <t>admin@starfishpreschool.co.nz</t>
  </si>
  <si>
    <t>1 Waiora Road</t>
  </si>
  <si>
    <t>Robyn Matthewson</t>
  </si>
  <si>
    <t>9A Waiata Avenue</t>
  </si>
  <si>
    <t>Little Star Montessori House Of Children</t>
  </si>
  <si>
    <t>09-4169696</t>
  </si>
  <si>
    <t>21 Buisson Glade</t>
  </si>
  <si>
    <t>Rachel Loo</t>
  </si>
  <si>
    <t>P O Box 79295</t>
  </si>
  <si>
    <t>Royal Heights</t>
  </si>
  <si>
    <t>Auckland 0656</t>
  </si>
  <si>
    <t>Lollipops North Harbour Kakapo</t>
  </si>
  <si>
    <t>cm.northharbourkakapos@ledu.co.nz</t>
  </si>
  <si>
    <t>48 Cheval Drive</t>
  </si>
  <si>
    <t>Muddy Toes ELC Warkworth</t>
  </si>
  <si>
    <t>09-4259581</t>
  </si>
  <si>
    <t>muddytoeselc@outlook.com</t>
  </si>
  <si>
    <t>18 Percy Street</t>
  </si>
  <si>
    <t>Warkworth East</t>
  </si>
  <si>
    <t>Rochanna Weston</t>
  </si>
  <si>
    <t>42 Glenelg Road</t>
  </si>
  <si>
    <t>Whangaparoa 0932</t>
  </si>
  <si>
    <t>White Heron Learning Centre - Manurewa</t>
  </si>
  <si>
    <t>09-266 1141</t>
  </si>
  <si>
    <t>whiteheron.manurewa@xtra.co.nz</t>
  </si>
  <si>
    <t>16 Jellicoe Road</t>
  </si>
  <si>
    <t>Manurewa Central</t>
  </si>
  <si>
    <t>Jenifer Hood</t>
  </si>
  <si>
    <t>54 Normans Hill Road</t>
  </si>
  <si>
    <t>Auckland 1061</t>
  </si>
  <si>
    <t>Waterview Early Learning Center</t>
  </si>
  <si>
    <t>09-828 7872</t>
  </si>
  <si>
    <t>bhavin.dhankee@gmail.com</t>
  </si>
  <si>
    <t>24 A Fairlands Avenue</t>
  </si>
  <si>
    <t>Waterview</t>
  </si>
  <si>
    <t>Roly  Dhankee</t>
  </si>
  <si>
    <t>77 b Buscamb Ave</t>
  </si>
  <si>
    <t>Te Kōhanga Reo o Te Māungarongo</t>
  </si>
  <si>
    <t>09-416 4720</t>
  </si>
  <si>
    <t>19 Luckens Road</t>
  </si>
  <si>
    <t>Little People</t>
  </si>
  <si>
    <t>09-444 8802</t>
  </si>
  <si>
    <t>info@littlepeople.net.nz</t>
  </si>
  <si>
    <t>128 Archers Road</t>
  </si>
  <si>
    <t>Glenfield East</t>
  </si>
  <si>
    <t>Jodie Hight</t>
  </si>
  <si>
    <t>c/- Little People 128 Archers Road</t>
  </si>
  <si>
    <t>Auckland 0629</t>
  </si>
  <si>
    <t>Fossil Bay Kindergarten</t>
  </si>
  <si>
    <t>09-3722152</t>
  </si>
  <si>
    <t>info@fossilbay.co.nz</t>
  </si>
  <si>
    <t>58 Korora Road</t>
  </si>
  <si>
    <t>Oneroa</t>
  </si>
  <si>
    <t>Oneroa West</t>
  </si>
  <si>
    <t>Iris Richter</t>
  </si>
  <si>
    <t>P O Box 128</t>
  </si>
  <si>
    <t>Playhouse Early Childhood Centre</t>
  </si>
  <si>
    <t>09-8277833</t>
  </si>
  <si>
    <t>info@playhousechildcare.co.nz</t>
  </si>
  <si>
    <t>38 La Rosa Street</t>
  </si>
  <si>
    <t>Gregory Burt</t>
  </si>
  <si>
    <t>09-3616711</t>
  </si>
  <si>
    <t>Faavae Mautu Aoga Amata</t>
  </si>
  <si>
    <t>09-627 9406</t>
  </si>
  <si>
    <t>fmaa@xtra.co.nz</t>
  </si>
  <si>
    <t>504a Richardson Road</t>
  </si>
  <si>
    <t>Mount Roskill Central South</t>
  </si>
  <si>
    <t>Taelase Su'a</t>
  </si>
  <si>
    <t>5 Bridgman Avenue</t>
  </si>
  <si>
    <t>09-6279406</t>
  </si>
  <si>
    <t>Aspirations Early Learning Centre</t>
  </si>
  <si>
    <t>09-4164523</t>
  </si>
  <si>
    <t>info@aspirationselc.co.nz</t>
  </si>
  <si>
    <t>129-131 Moire Road</t>
  </si>
  <si>
    <t>Hafiza Pirani</t>
  </si>
  <si>
    <t xml:space="preserve">5 Barbarich Drive </t>
  </si>
  <si>
    <t>09-5705786</t>
  </si>
  <si>
    <t>Royal Oak Learning Centre</t>
  </si>
  <si>
    <t>684 Mt Albert Road</t>
  </si>
  <si>
    <t>Kindercare Learning Centres (10 P) Constellation</t>
  </si>
  <si>
    <t>Small Miracles Pre-School</t>
  </si>
  <si>
    <t>09-5854006</t>
  </si>
  <si>
    <t>smallmiracles@sthelierscentre.org.nz</t>
  </si>
  <si>
    <t>100 St Heliers Bay Road</t>
  </si>
  <si>
    <t>Sharon Sweeney Lauder</t>
  </si>
  <si>
    <t>P O Box 25287</t>
  </si>
  <si>
    <t>Kristin School Kindergarten</t>
  </si>
  <si>
    <t>09-415 9566</t>
  </si>
  <si>
    <t>kristin@kristin.school.nz</t>
  </si>
  <si>
    <t>360 Albany Highway</t>
  </si>
  <si>
    <t>Leila Twinn</t>
  </si>
  <si>
    <t>P O Box 300087</t>
  </si>
  <si>
    <t>09-4159566</t>
  </si>
  <si>
    <t>Mighty Minds Educare Glenfield Ltd</t>
  </si>
  <si>
    <t>09-5256868</t>
  </si>
  <si>
    <t>cheryl3@mightyminds.co.nz</t>
  </si>
  <si>
    <t>81 Stanley Road</t>
  </si>
  <si>
    <t>Chia-Chih Cheng</t>
  </si>
  <si>
    <t>13 Charles Dickens Drive, Mellons Bay</t>
  </si>
  <si>
    <t>Steps to Strides Early Learning Centre</t>
  </si>
  <si>
    <t>022-5408813</t>
  </si>
  <si>
    <t>stepstostrides@gmail.com</t>
  </si>
  <si>
    <t>50 Strong Street</t>
  </si>
  <si>
    <t>St Johns</t>
  </si>
  <si>
    <t>Tracey Brown</t>
  </si>
  <si>
    <t>11 De Quincey Terrace</t>
  </si>
  <si>
    <t>Little Earth Montessori Panmure</t>
  </si>
  <si>
    <t>09-527 0553</t>
  </si>
  <si>
    <t>cm.panmure@littleearth.co.nz</t>
  </si>
  <si>
    <t>45 Ireland Road</t>
  </si>
  <si>
    <t>Sumathy Pushpakumar</t>
  </si>
  <si>
    <t>09-5270553</t>
  </si>
  <si>
    <t>Happy Kiddy Castle Early Learning</t>
  </si>
  <si>
    <t>09-416 5580</t>
  </si>
  <si>
    <t>lena@happykiddy.co.nz</t>
  </si>
  <si>
    <t>5 Luckens Road</t>
  </si>
  <si>
    <t>Na (Lena) Li</t>
  </si>
  <si>
    <t>9 Oak Bark Drive, Schnapper Rock</t>
  </si>
  <si>
    <t>Bear Park Albany</t>
  </si>
  <si>
    <t>09-4159833</t>
  </si>
  <si>
    <t>albany@bearpark.co.nz</t>
  </si>
  <si>
    <t>31 Schnapper Rock Road</t>
  </si>
  <si>
    <t>Greenhithe East</t>
  </si>
  <si>
    <t>Bridget Gerrard</t>
  </si>
  <si>
    <t>Busy Minds Early Learning Centre</t>
  </si>
  <si>
    <t>09-478 5510</t>
  </si>
  <si>
    <t>319 Sunset Road</t>
  </si>
  <si>
    <t>Kate  Wyness</t>
  </si>
  <si>
    <t>P O Box 334082</t>
  </si>
  <si>
    <t>Auckland 0743</t>
  </si>
  <si>
    <t>09-4806408</t>
  </si>
  <si>
    <t>Kumeu Village Kindergarten</t>
  </si>
  <si>
    <t>09-412 9361</t>
  </si>
  <si>
    <t>kumeuvk@xtra.co.nz</t>
  </si>
  <si>
    <t>5 Shamrock Drive</t>
  </si>
  <si>
    <t>Kumeū-Huapai South</t>
  </si>
  <si>
    <t>Stephen Pye</t>
  </si>
  <si>
    <t>09-814 8814</t>
  </si>
  <si>
    <t>Gulf Harbour Preschool</t>
  </si>
  <si>
    <t>027-2759772</t>
  </si>
  <si>
    <t>gulfharbourpreschool@gmail.com</t>
  </si>
  <si>
    <t>79 Alec Craig Way</t>
  </si>
  <si>
    <t>Gulf Harbour</t>
  </si>
  <si>
    <t>Gulf Harbour North</t>
  </si>
  <si>
    <t>Lynda Wackrow</t>
  </si>
  <si>
    <t>23 Chelverton Terrace</t>
  </si>
  <si>
    <t>09-4240288</t>
  </si>
  <si>
    <t>Bear Park Early Childhood Centre</t>
  </si>
  <si>
    <t>09-520 6661</t>
  </si>
  <si>
    <t>patey@bearpark.co.nz</t>
  </si>
  <si>
    <t>7 Patey Street</t>
  </si>
  <si>
    <t>Blockhouse Bay Christian Kindergarten</t>
  </si>
  <si>
    <t>09-626 6284 Ext 3</t>
  </si>
  <si>
    <t>kindy@bbcc.org.nz</t>
  </si>
  <si>
    <t>76 Dundale Avenue</t>
  </si>
  <si>
    <t>New Windsor South</t>
  </si>
  <si>
    <t>David Marshall</t>
  </si>
  <si>
    <t>P O Box 48056</t>
  </si>
  <si>
    <t>Auckland 0644</t>
  </si>
  <si>
    <t>09-8465093</t>
  </si>
  <si>
    <t>Glendowie Christian Kindergarten</t>
  </si>
  <si>
    <t>09-575 2971</t>
  </si>
  <si>
    <t>kindy@gck.org.nz</t>
  </si>
  <si>
    <t>197 Riddell Road</t>
  </si>
  <si>
    <t>Karen Millar</t>
  </si>
  <si>
    <t>Andy's Educare</t>
  </si>
  <si>
    <t>09-6252480</t>
  </si>
  <si>
    <t>crane@andyseducare.co.nz</t>
  </si>
  <si>
    <t>692 Mt Albert Road</t>
  </si>
  <si>
    <t>Hequn (Crane)  Shi</t>
  </si>
  <si>
    <t>34 Rosewell Crescent</t>
  </si>
  <si>
    <t>Learning Unlimited Childcare Centre</t>
  </si>
  <si>
    <t>09-480 2732</t>
  </si>
  <si>
    <t>info@learningunlimited.co.nz</t>
  </si>
  <si>
    <t>65 - 67 Greenslade Crescent</t>
  </si>
  <si>
    <t>Lin Chen</t>
  </si>
  <si>
    <t>108 A Carrington Road</t>
  </si>
  <si>
    <t>Avondale College Early Childhood Centre</t>
  </si>
  <si>
    <t>09-828 6750</t>
  </si>
  <si>
    <t>ecec@avcol.school.nz</t>
  </si>
  <si>
    <t>Gate 2, Avondale College 47 Victor Street</t>
  </si>
  <si>
    <t>Yasmin Khan</t>
  </si>
  <si>
    <t>Avondale College Early Childhood Education Ctr 47 Victor Street, Gate 2</t>
  </si>
  <si>
    <t>Auckland 1007</t>
  </si>
  <si>
    <t>09-8287103</t>
  </si>
  <si>
    <t>BestStart Onehunga</t>
  </si>
  <si>
    <t>09-634 8161</t>
  </si>
  <si>
    <t>onehunga@best-start.org</t>
  </si>
  <si>
    <t>19 A Jordan Avenue</t>
  </si>
  <si>
    <t>ToTally Kids</t>
  </si>
  <si>
    <t>09-625 2570</t>
  </si>
  <si>
    <t>sandreddy90@hotmail.com</t>
  </si>
  <si>
    <t>25 Golf Road</t>
  </si>
  <si>
    <t>New Lynn South East</t>
  </si>
  <si>
    <t>Shobhna Reddy</t>
  </si>
  <si>
    <t xml:space="preserve">2D Aldersgate Road </t>
  </si>
  <si>
    <t>Auckland 1042</t>
  </si>
  <si>
    <t>Te Kōhanga Reo o Pōmāria</t>
  </si>
  <si>
    <t>09-835 2528</t>
  </si>
  <si>
    <t>33 A Pōmāria Road</t>
  </si>
  <si>
    <t>Te Kōhanga Reo o Puawairua</t>
  </si>
  <si>
    <t>09-832 1994</t>
  </si>
  <si>
    <t>5 Beauchamp Drive</t>
  </si>
  <si>
    <t>Marshwood Montessori Preschool</t>
  </si>
  <si>
    <t>09-521 5288</t>
  </si>
  <si>
    <t>marshwoodm@gmail.com</t>
  </si>
  <si>
    <t>20 Mt Taylor Drive</t>
  </si>
  <si>
    <t xml:space="preserve">Stuart  Palmer </t>
  </si>
  <si>
    <t>P O Box 25098</t>
  </si>
  <si>
    <t>Te Kōhanga Reo o Hineteiwaiwa</t>
  </si>
  <si>
    <t>09-923 6534</t>
  </si>
  <si>
    <t>hineteiwaiwa@auckland.ac.nz</t>
  </si>
  <si>
    <t>23A Alten Road</t>
  </si>
  <si>
    <t>Barbaras Place Learning Centre</t>
  </si>
  <si>
    <t>09-522 1022</t>
  </si>
  <si>
    <t>admin@barbarasplace.co.nz</t>
  </si>
  <si>
    <t>23 Mauranui Avenue</t>
  </si>
  <si>
    <t>Abner Chiu</t>
  </si>
  <si>
    <t>Kids Biz preschool and Daycare</t>
  </si>
  <si>
    <t>09-4793199</t>
  </si>
  <si>
    <t>kidsbizpreschool@outlook.com</t>
  </si>
  <si>
    <t>14 -16 Hebron Road</t>
  </si>
  <si>
    <t>Waiake</t>
  </si>
  <si>
    <t>Natasha Coughlan</t>
  </si>
  <si>
    <t>14-16 Hebron Road</t>
  </si>
  <si>
    <t>Creative Minds Childcare Centre</t>
  </si>
  <si>
    <t>021-2349026</t>
  </si>
  <si>
    <t>narelle.leach@gmail.com</t>
  </si>
  <si>
    <t>106 Edmonton Road</t>
  </si>
  <si>
    <t>Henderson North East</t>
  </si>
  <si>
    <t>Narelle  Leach</t>
  </si>
  <si>
    <t>52 King Edward Street</t>
  </si>
  <si>
    <t>Learning Adventures Henderson</t>
  </si>
  <si>
    <t>09-8366221</t>
  </si>
  <si>
    <t>cm.henderson@learningadventures.co.nz</t>
  </si>
  <si>
    <t>43 Norcross Avenue</t>
  </si>
  <si>
    <t>Hannah Bunce</t>
  </si>
  <si>
    <t>022-0597809</t>
  </si>
  <si>
    <t>Glendene Playcentre</t>
  </si>
  <si>
    <t>09-818 9072</t>
  </si>
  <si>
    <t>northern.csc@playcentre.org.nz</t>
  </si>
  <si>
    <t>Patts Avenue Reserve 7a Patts Avenue</t>
  </si>
  <si>
    <t>Glendene South</t>
  </si>
  <si>
    <t>Rachel Rix-Trott</t>
  </si>
  <si>
    <t>Glen Eden Playcentre</t>
  </si>
  <si>
    <t>09-818 8172</t>
  </si>
  <si>
    <t>4 Levy Road</t>
  </si>
  <si>
    <t>Helensville Playcentre</t>
  </si>
  <si>
    <t>09-420 9199</t>
  </si>
  <si>
    <t>rachel.rix-trott@playcentre.org.nz</t>
  </si>
  <si>
    <t>7 Stewart Street</t>
  </si>
  <si>
    <t>Henderson Valley Playcentre</t>
  </si>
  <si>
    <t>09-837 5847</t>
  </si>
  <si>
    <t>31 Farwood Drive</t>
  </si>
  <si>
    <t>McLaren Memorial Park</t>
  </si>
  <si>
    <t>Kumeu Playcentre</t>
  </si>
  <si>
    <t>09-412 8199</t>
  </si>
  <si>
    <t>18 Oraha Road</t>
  </si>
  <si>
    <t>Massey Playcentre</t>
  </si>
  <si>
    <t>027-8800 5396</t>
  </si>
  <si>
    <t>massey@playcentre.org.nz</t>
  </si>
  <si>
    <t>5 Sunpark Place</t>
  </si>
  <si>
    <t>Ranui Playcentre</t>
  </si>
  <si>
    <t>09-832 0669</t>
  </si>
  <si>
    <t>2 Ranui Station Road</t>
  </si>
  <si>
    <t>Swanson Playcentre</t>
  </si>
  <si>
    <t>5A Christian Road</t>
  </si>
  <si>
    <t>Waiatarua Playcentre</t>
  </si>
  <si>
    <t>09-814 8835</t>
  </si>
  <si>
    <t>911 West Coast Road</t>
  </si>
  <si>
    <t>Waiatarua</t>
  </si>
  <si>
    <t>Waimauku Playcentre</t>
  </si>
  <si>
    <t>09-411 8256</t>
  </si>
  <si>
    <t>69 Muriwai Road</t>
  </si>
  <si>
    <t>West Harbour Playcentre</t>
  </si>
  <si>
    <t>09-416 4136</t>
  </si>
  <si>
    <t>westharbour@playcentre.org.nz</t>
  </si>
  <si>
    <t>1/74 Oreil Avenue</t>
  </si>
  <si>
    <t>Freemans Bay Playcentre</t>
  </si>
  <si>
    <t>09-3761492</t>
  </si>
  <si>
    <t>Kiri.mccabe@playcentre.org.nz</t>
  </si>
  <si>
    <t>124 Wellington Street</t>
  </si>
  <si>
    <t>Blockhouse Bay Playcentre</t>
  </si>
  <si>
    <t>09-627 9882</t>
  </si>
  <si>
    <t>582 Blockhouse Bay Road</t>
  </si>
  <si>
    <t>Eden/Epsom Playcentre</t>
  </si>
  <si>
    <t>09-6389556</t>
  </si>
  <si>
    <t>25 Poronui Street</t>
  </si>
  <si>
    <t>Herne Bay Playcentre</t>
  </si>
  <si>
    <t>027-880 5398</t>
  </si>
  <si>
    <t>211 Jervois Road</t>
  </si>
  <si>
    <t>Hillsborough Playcentre</t>
  </si>
  <si>
    <t>09-8388849</t>
  </si>
  <si>
    <t>21 Currie Avenue</t>
  </si>
  <si>
    <t>Hillsborough Central (Auckland)</t>
  </si>
  <si>
    <t>Laingholm Playcentre</t>
  </si>
  <si>
    <t>shailina.arora@playcentre.org.nz</t>
  </si>
  <si>
    <t>4 Lookout Drive</t>
  </si>
  <si>
    <t>Maungawhau Playcentre</t>
  </si>
  <si>
    <t>09-638 6117</t>
  </si>
  <si>
    <t>30 Marsden Avenue</t>
  </si>
  <si>
    <t>Morningside Playcentre</t>
  </si>
  <si>
    <t>09-815 7491</t>
  </si>
  <si>
    <t>1A School Road</t>
  </si>
  <si>
    <t>Western Springs</t>
  </si>
  <si>
    <t>Kingsland</t>
  </si>
  <si>
    <t>Mt Albert Playcentre</t>
  </si>
  <si>
    <t>09-8467963</t>
  </si>
  <si>
    <t>25 Phyllis Street</t>
  </si>
  <si>
    <t>Newmarket Playcentre</t>
  </si>
  <si>
    <t>09-524 9576</t>
  </si>
  <si>
    <t>2 Hapua Street</t>
  </si>
  <si>
    <t>New Windsor Playcentre</t>
  </si>
  <si>
    <t>09-828 6290</t>
  </si>
  <si>
    <t>64 Peter Buck Road</t>
  </si>
  <si>
    <t>New Windsor</t>
  </si>
  <si>
    <t>Titirangi Playcentre</t>
  </si>
  <si>
    <t>09-8173003</t>
  </si>
  <si>
    <t>shalina.arora@playcentre.org.nz</t>
  </si>
  <si>
    <t>500 South Titirangi Road</t>
  </si>
  <si>
    <t>Titirangi South</t>
  </si>
  <si>
    <t>Shailina Arora</t>
  </si>
  <si>
    <t>Onehunga Playcentre</t>
  </si>
  <si>
    <t>09-6221396</t>
  </si>
  <si>
    <t>47 Hill Street</t>
  </si>
  <si>
    <t>Onehunga West</t>
  </si>
  <si>
    <t>Aotea Island Playcentre</t>
  </si>
  <si>
    <t>09-429 0600</t>
  </si>
  <si>
    <t>aoteaisland@playcentre.org.nz</t>
  </si>
  <si>
    <t>Kaitoke Lane</t>
  </si>
  <si>
    <t>Claris</t>
  </si>
  <si>
    <t>Great Barrier Island</t>
  </si>
  <si>
    <t>Auckland - Aotea/Great Barrier</t>
  </si>
  <si>
    <t>Barrier Islands</t>
  </si>
  <si>
    <t>Birkenhead Playcentre</t>
  </si>
  <si>
    <t>09-480 9671</t>
  </si>
  <si>
    <t>birkenhead@playcentre.org.nz</t>
  </si>
  <si>
    <t>16 Recreation Drive</t>
  </si>
  <si>
    <t>Coatesville Playcentre</t>
  </si>
  <si>
    <t>09-415 8547</t>
  </si>
  <si>
    <t>12 Mahoenui Valley Road</t>
  </si>
  <si>
    <t>Coatesville</t>
  </si>
  <si>
    <t>Greenhithe Playcentre</t>
  </si>
  <si>
    <t>09-413 5039</t>
  </si>
  <si>
    <t>15 A Greenhithe Road</t>
  </si>
  <si>
    <t>Kaukapakapa Playcentre</t>
  </si>
  <si>
    <t>09-420 5308</t>
  </si>
  <si>
    <t>Sinclair Park Macky Road</t>
  </si>
  <si>
    <t>Mairangi Bay Playcentre</t>
  </si>
  <si>
    <t>09-478 3316</t>
  </si>
  <si>
    <t>112 Kowhai Road</t>
  </si>
  <si>
    <t>Matakana Playcentre</t>
  </si>
  <si>
    <t>09-422 9070</t>
  </si>
  <si>
    <t>3 Torea Road</t>
  </si>
  <si>
    <t>Narrowneck Playcentre</t>
  </si>
  <si>
    <t>027-8802756</t>
  </si>
  <si>
    <t>narrowneck@playcentre.org.nz</t>
  </si>
  <si>
    <t>22 Handley Avenue</t>
  </si>
  <si>
    <t>Onepoto Playcentre</t>
  </si>
  <si>
    <t>09-443 6359</t>
  </si>
  <si>
    <t>onepoto@playcentre.org.nz</t>
  </si>
  <si>
    <t>51 Hillcrest Avenue</t>
  </si>
  <si>
    <t>Red Beach Playcentre</t>
  </si>
  <si>
    <t>027-880 4108</t>
  </si>
  <si>
    <t>redbeach@playcentre.org.nz</t>
  </si>
  <si>
    <t>3 Bay Vista Drive</t>
  </si>
  <si>
    <t>Silverdale Playcentre</t>
  </si>
  <si>
    <t>09-426 3282</t>
  </si>
  <si>
    <t>19 Wainui Road</t>
  </si>
  <si>
    <t>Silverdale Central (Auckland)</t>
  </si>
  <si>
    <t>Takapuna Playcentre</t>
  </si>
  <si>
    <t>09-489 8366</t>
  </si>
  <si>
    <t>takapuna@playcentre.org.nz</t>
  </si>
  <si>
    <t>4/8 Auburn Street</t>
  </si>
  <si>
    <t>Takarunga Playcentre</t>
  </si>
  <si>
    <t>027-880 2749</t>
  </si>
  <si>
    <t>takarunga@playcentre.org.nz</t>
  </si>
  <si>
    <t>1-26 Kerr Street</t>
  </si>
  <si>
    <t>Torbay Playcentre</t>
  </si>
  <si>
    <t>09-473 8077</t>
  </si>
  <si>
    <t>35 Watea Road</t>
  </si>
  <si>
    <t>Torbay West</t>
  </si>
  <si>
    <t>Waiheke Island Playcentre</t>
  </si>
  <si>
    <t>09-372 9480</t>
  </si>
  <si>
    <t>waihekeisland@playcentre.org.nz</t>
  </si>
  <si>
    <t>5A Albert Crescent</t>
  </si>
  <si>
    <t>Ostend</t>
  </si>
  <si>
    <t>Warkworth Playcentre</t>
  </si>
  <si>
    <t>09-425 8331</t>
  </si>
  <si>
    <t>Church Hill</t>
  </si>
  <si>
    <t>Whangaparaoa Playcentre</t>
  </si>
  <si>
    <t>09-424 1090</t>
  </si>
  <si>
    <t>41 A Stanmore Bay Road</t>
  </si>
  <si>
    <t>Manly West</t>
  </si>
  <si>
    <t>Windy Ridge Playcentre</t>
  </si>
  <si>
    <t>09-444 3949</t>
  </si>
  <si>
    <t>21A Tamahere Drive</t>
  </si>
  <si>
    <t>Glenfield South West</t>
  </si>
  <si>
    <t>Ellerslie Playcentre</t>
  </si>
  <si>
    <t>09-5791974</t>
  </si>
  <si>
    <t>8 Lawry Street</t>
  </si>
  <si>
    <t>Glen Innes Playcentre</t>
  </si>
  <si>
    <t>109 A Taniwha Street</t>
  </si>
  <si>
    <t>Mt Wellington Playcentre</t>
  </si>
  <si>
    <t xml:space="preserve">09-8388849 </t>
  </si>
  <si>
    <t>174 Penrose Road</t>
  </si>
  <si>
    <t>Active Explorers Central Park</t>
  </si>
  <si>
    <t>09-525 1694</t>
  </si>
  <si>
    <t>cm.centralpark@activeexplorers.co.nz</t>
  </si>
  <si>
    <t>Building 9, 666 Great South Road</t>
  </si>
  <si>
    <t>Ellerslie West</t>
  </si>
  <si>
    <t>Harpreet Kanwal</t>
  </si>
  <si>
    <t>09-5785099</t>
  </si>
  <si>
    <t>Karaka Learning Centre 4</t>
  </si>
  <si>
    <t>09-2984199</t>
  </si>
  <si>
    <t>info@karakalearning.co.nz</t>
  </si>
  <si>
    <t>113 Harbourside Drive</t>
  </si>
  <si>
    <t>Rachel Waterson</t>
  </si>
  <si>
    <t>P O Box 72916</t>
  </si>
  <si>
    <t>09-2984199 Ext 8</t>
  </si>
  <si>
    <t>The Wildlings Early Years</t>
  </si>
  <si>
    <t>09-2680017</t>
  </si>
  <si>
    <t>sam@thewildlings.co.nz</t>
  </si>
  <si>
    <t>32 McInnes Road</t>
  </si>
  <si>
    <t>Weymouth South</t>
  </si>
  <si>
    <t>Samantha Christians</t>
  </si>
  <si>
    <t>Te Korowai Kakahu o Manurewa Kāhui Ako</t>
  </si>
  <si>
    <t>Pukapuka Preschool</t>
  </si>
  <si>
    <t>09-2759630</t>
  </si>
  <si>
    <t>23 Canning Crescent</t>
  </si>
  <si>
    <t>Tupuka Tikinau</t>
  </si>
  <si>
    <t>P O Box 43247</t>
  </si>
  <si>
    <t>South Auckland 2022</t>
  </si>
  <si>
    <t>Barnardos Early Learning Centre Mangere</t>
  </si>
  <si>
    <t>09-275 5978</t>
  </si>
  <si>
    <t>deloshnee.pillay@barnardos.org.nz</t>
  </si>
  <si>
    <t>Deloshnee Pillay</t>
  </si>
  <si>
    <t>09-267 8394</t>
  </si>
  <si>
    <t>Beachcomber Early Learning Center</t>
  </si>
  <si>
    <t>09-5348058</t>
  </si>
  <si>
    <t>red9limited@gmail.com</t>
  </si>
  <si>
    <t>95 Hutchinsons Road</t>
  </si>
  <si>
    <t>Howick South</t>
  </si>
  <si>
    <t>Howick West</t>
  </si>
  <si>
    <t>Dayle Walker</t>
  </si>
  <si>
    <t>18 Stevenson Way</t>
  </si>
  <si>
    <t>09-5343567</t>
  </si>
  <si>
    <t>St Andrews Chilton Kindergarten</t>
  </si>
  <si>
    <t>09-5372282</t>
  </si>
  <si>
    <t>11 Vincent Street</t>
  </si>
  <si>
    <t>Janine Leaming</t>
  </si>
  <si>
    <t>P O Box 38590</t>
  </si>
  <si>
    <t>South Auckland 2145</t>
  </si>
  <si>
    <t>Pukeko Preschool Mangere East</t>
  </si>
  <si>
    <t>09-276 2611</t>
  </si>
  <si>
    <t>pukekopreschoolmangereeast@gmail.com</t>
  </si>
  <si>
    <t>5 Hain Avenue</t>
  </si>
  <si>
    <t>Massey Road North</t>
  </si>
  <si>
    <t>Mira Mautner</t>
  </si>
  <si>
    <t>48 Waipa Street</t>
  </si>
  <si>
    <t>09-482 2454</t>
  </si>
  <si>
    <t>Pakuranga Montessori Learning Centre</t>
  </si>
  <si>
    <t>09-2131866</t>
  </si>
  <si>
    <t>pmontessori2014@gmail.com</t>
  </si>
  <si>
    <t>71 Udys Road</t>
  </si>
  <si>
    <t>Zheng (Summer) Wei</t>
  </si>
  <si>
    <t>15 Sarah Place</t>
  </si>
  <si>
    <t>Auckland 2012</t>
  </si>
  <si>
    <t>Howick Baptist Church Kindergarten</t>
  </si>
  <si>
    <t>021-0412010</t>
  </si>
  <si>
    <t>manager@hbckindy.nz</t>
  </si>
  <si>
    <t>17 Wellington Street</t>
  </si>
  <si>
    <t>Alison Leaf</t>
  </si>
  <si>
    <t>126A Bleakhouse Road</t>
  </si>
  <si>
    <t>Mellons Bay</t>
  </si>
  <si>
    <t>09-534 7752</t>
  </si>
  <si>
    <t>Howick KIDS Early Learning Centre</t>
  </si>
  <si>
    <t>09-535 7507</t>
  </si>
  <si>
    <t>glen.tuala@communitykids.co.nz</t>
  </si>
  <si>
    <t>Kiddy Winks Kindergarten</t>
  </si>
  <si>
    <t>09-267 4933</t>
  </si>
  <si>
    <t>admin@kiddywinks.org.nz</t>
  </si>
  <si>
    <t>9 Lupton Road</t>
  </si>
  <si>
    <t>Nicole Leach</t>
  </si>
  <si>
    <t>P O Box 75964</t>
  </si>
  <si>
    <t>Auckland 2243</t>
  </si>
  <si>
    <t>09-266 8484</t>
  </si>
  <si>
    <t>Immanuel Preschool (Mangere)</t>
  </si>
  <si>
    <t>09-277 9409</t>
  </si>
  <si>
    <t>55 Hokianga Street</t>
  </si>
  <si>
    <t>Litttle Learners Childcare</t>
  </si>
  <si>
    <t>09-272 3344</t>
  </si>
  <si>
    <t>yingluyue88@gmail.com</t>
  </si>
  <si>
    <t>491 Te Irirangi Drive</t>
  </si>
  <si>
    <t>Savonna</t>
  </si>
  <si>
    <t>Luyue Ying</t>
  </si>
  <si>
    <t>Manukau Institute Of Technology Children's Education Centre</t>
  </si>
  <si>
    <t>09-9687715</t>
  </si>
  <si>
    <t>liz.keneti@manukau.ac.nz</t>
  </si>
  <si>
    <t>Manukau Institute of Technology 61 Otara Road, Gate 11</t>
  </si>
  <si>
    <t>Ōtara Central</t>
  </si>
  <si>
    <t>Liz Keneti</t>
  </si>
  <si>
    <t>PO Box 19400</t>
  </si>
  <si>
    <t>Hamilton 3244</t>
  </si>
  <si>
    <t>09-968 8642</t>
  </si>
  <si>
    <t>Te Kōhanga Reo o Manurewa</t>
  </si>
  <si>
    <t>09-267 0955</t>
  </si>
  <si>
    <t>33 Russell Road</t>
  </si>
  <si>
    <t>Manurewa West Kindergarten</t>
  </si>
  <si>
    <t>2 Crampton Place</t>
  </si>
  <si>
    <t>Rowandale East</t>
  </si>
  <si>
    <t>The Tree House</t>
  </si>
  <si>
    <t>09-276 0005</t>
  </si>
  <si>
    <t>treehouse.governance@middlemore.co.nz</t>
  </si>
  <si>
    <t>Building 9, Middlemore Hospital 100 Hospital Road</t>
  </si>
  <si>
    <t>Veronica Hamilton</t>
  </si>
  <si>
    <t>P O Box 93311</t>
  </si>
  <si>
    <t>Young Petals Early Learning Centre Drury</t>
  </si>
  <si>
    <t>09-2947125</t>
  </si>
  <si>
    <t>hello@youngpetals.co.nz</t>
  </si>
  <si>
    <t>12A Cross Street</t>
  </si>
  <si>
    <t>Sujata Patel</t>
  </si>
  <si>
    <t>15 Windoma Circle</t>
  </si>
  <si>
    <t>Auckland 2025</t>
  </si>
  <si>
    <t>09-2779730</t>
  </si>
  <si>
    <t>Pakuranga Baptist Kindergarten</t>
  </si>
  <si>
    <t>09-5767632</t>
  </si>
  <si>
    <t>pakbaptkindy@xtra.co.nz</t>
  </si>
  <si>
    <t>2 Freemantle Place</t>
  </si>
  <si>
    <t>Jacqueline  Lees</t>
  </si>
  <si>
    <t>P O Box 51538</t>
  </si>
  <si>
    <t>South Auckland 2140</t>
  </si>
  <si>
    <t>09-5330491</t>
  </si>
  <si>
    <t>Panmure Bridge Childcare Centre</t>
  </si>
  <si>
    <t>09-5271165</t>
  </si>
  <si>
    <t>candyw@panmurebridgechildcare.co.nz</t>
  </si>
  <si>
    <t>43 Caen Road</t>
  </si>
  <si>
    <t>Tsz Kan (Candy)  Wu</t>
  </si>
  <si>
    <t>P O Box 14747</t>
  </si>
  <si>
    <t>09-527 1165</t>
  </si>
  <si>
    <t>Papakura Christian Preschool</t>
  </si>
  <si>
    <t>09-298 2591</t>
  </si>
  <si>
    <t>presch@xtra.co.nz</t>
  </si>
  <si>
    <t>6-8 Coles Crescent</t>
  </si>
  <si>
    <t>Melanie Whitham</t>
  </si>
  <si>
    <t>P O Box 72978</t>
  </si>
  <si>
    <t>09-2924747</t>
  </si>
  <si>
    <t>159 A Russell Road</t>
  </si>
  <si>
    <t>Homai Central</t>
  </si>
  <si>
    <t>BestStart Maich Road</t>
  </si>
  <si>
    <t>09-269 0077</t>
  </si>
  <si>
    <t>maich@best-start.org</t>
  </si>
  <si>
    <t>78-80 Maich Road</t>
  </si>
  <si>
    <t>Amber Early Learning Centre</t>
  </si>
  <si>
    <t>09-2981185</t>
  </si>
  <si>
    <t>amberelc.takanini@gmail.com</t>
  </si>
  <si>
    <t>14 Taka Street</t>
  </si>
  <si>
    <t>Navpreet Kaur</t>
  </si>
  <si>
    <t>34 Milano Boulevard</t>
  </si>
  <si>
    <t>South Auckland 2113</t>
  </si>
  <si>
    <t>09-298 1185</t>
  </si>
  <si>
    <t>BestStart Dublin Street</t>
  </si>
  <si>
    <t>09-238 7388</t>
  </si>
  <si>
    <t>dublin@best-start.org</t>
  </si>
  <si>
    <t>30 Dublin Street</t>
  </si>
  <si>
    <t>Good Seeds Childrens Centre</t>
  </si>
  <si>
    <t>09-275 1069</t>
  </si>
  <si>
    <t>info@goodseedtrust.co.nz</t>
  </si>
  <si>
    <t>201 Buckland Road</t>
  </si>
  <si>
    <t>Massey Road West</t>
  </si>
  <si>
    <t>Helen Senior</t>
  </si>
  <si>
    <t>P O Box 86076</t>
  </si>
  <si>
    <t>BestStart Coronation Road</t>
  </si>
  <si>
    <t>09-2788 454</t>
  </si>
  <si>
    <t>coronation@best-start.org</t>
  </si>
  <si>
    <t>2 Coronation Road</t>
  </si>
  <si>
    <t>Clevedon Kidz Early Childhood Centre</t>
  </si>
  <si>
    <t>09-2928085</t>
  </si>
  <si>
    <t>office@clevedonkidz.co.nz</t>
  </si>
  <si>
    <t>Tony Sangster</t>
  </si>
  <si>
    <t>P O Box 89</t>
  </si>
  <si>
    <t>Auckland 2248</t>
  </si>
  <si>
    <t>09-292 8061</t>
  </si>
  <si>
    <t>St Andrews Christian Pre-School</t>
  </si>
  <si>
    <t>09-276 4534</t>
  </si>
  <si>
    <t>preschool@stand.org.nz</t>
  </si>
  <si>
    <t>18 Station Road</t>
  </si>
  <si>
    <t>Raewynne Dalton</t>
  </si>
  <si>
    <t>09-2666191 Ext 9018</t>
  </si>
  <si>
    <t>Pukeko Preschool Papatoetoe</t>
  </si>
  <si>
    <t>09-2776369</t>
  </si>
  <si>
    <t>pukekopreschoolpapatoetoe@gmail.com</t>
  </si>
  <si>
    <t>170 Puhinui Road</t>
  </si>
  <si>
    <t>Puhinui South</t>
  </si>
  <si>
    <t>Manurewa Early Discoveries Centre</t>
  </si>
  <si>
    <t>09-2688040</t>
  </si>
  <si>
    <t>cherie@earlydiscoveries.co.nz</t>
  </si>
  <si>
    <t>225 Weymouth Road</t>
  </si>
  <si>
    <t>Cherie Whaanga</t>
  </si>
  <si>
    <t>P O Box 75314</t>
  </si>
  <si>
    <t>Ako Tokamu'a Lou Olive Preschool</t>
  </si>
  <si>
    <t>09-5783612</t>
  </si>
  <si>
    <t>akoteu.louolive@gmail.com</t>
  </si>
  <si>
    <t>127 Taniwha Street</t>
  </si>
  <si>
    <t>34 Buckland Road</t>
  </si>
  <si>
    <t>Auckland 2024</t>
  </si>
  <si>
    <t>Te Kōhanga Reo ki Pikitia</t>
  </si>
  <si>
    <t>09-275 1326</t>
  </si>
  <si>
    <t>75 Comet Crescent</t>
  </si>
  <si>
    <t>Māngere North</t>
  </si>
  <si>
    <t>All About Children-Mt Wellington</t>
  </si>
  <si>
    <t>09-5278222</t>
  </si>
  <si>
    <t>16 Mountain Road</t>
  </si>
  <si>
    <t>Mount Wellington North East</t>
  </si>
  <si>
    <t>P O Box 72002</t>
  </si>
  <si>
    <t>Papakura 2110</t>
  </si>
  <si>
    <t>Te Kōhanga Reo o Te Kupenga</t>
  </si>
  <si>
    <t>09-274 9511</t>
  </si>
  <si>
    <t>25 Othello Drive</t>
  </si>
  <si>
    <t>Eden Early Learning Centre</t>
  </si>
  <si>
    <t>09-6292225</t>
  </si>
  <si>
    <t>adrian@landscapegroup.nz</t>
  </si>
  <si>
    <t>159 -161 Landscape Road</t>
  </si>
  <si>
    <t>Adrian Rowan</t>
  </si>
  <si>
    <t>P O Box 47806</t>
  </si>
  <si>
    <t>09-4799090</t>
  </si>
  <si>
    <t>Toddlers Turf Childcare Centre</t>
  </si>
  <si>
    <t>09-263 9680</t>
  </si>
  <si>
    <t>director@toddlersturf.co.nz</t>
  </si>
  <si>
    <t>66 Trevor Hosken Drive</t>
  </si>
  <si>
    <t>Violet Hancock</t>
  </si>
  <si>
    <t>South Auckland 2104</t>
  </si>
  <si>
    <t>St James KidsWay</t>
  </si>
  <si>
    <t>09-2392057</t>
  </si>
  <si>
    <t>admin@stjameskidsway.org.nz</t>
  </si>
  <si>
    <t>30 West Street</t>
  </si>
  <si>
    <t>Sharon Harris</t>
  </si>
  <si>
    <t>P O Box 1274</t>
  </si>
  <si>
    <t>Pukekohe 2340</t>
  </si>
  <si>
    <t>Parnell Early Childhood Centre</t>
  </si>
  <si>
    <t>09-5555198</t>
  </si>
  <si>
    <t>pecc@parnell.org.nz</t>
  </si>
  <si>
    <t>27 Glanville Terrace</t>
  </si>
  <si>
    <t>BestStart Papakura East Kindy</t>
  </si>
  <si>
    <t>09-2965420</t>
  </si>
  <si>
    <t>papakuraeast.kindy@best-start.org</t>
  </si>
  <si>
    <t>7 Winiata Terrace</t>
  </si>
  <si>
    <t>Papakura Eastburn</t>
  </si>
  <si>
    <t>Uxbridge Early Learning Centre</t>
  </si>
  <si>
    <t>09-537 0399</t>
  </si>
  <si>
    <t>35 Uxbridge Road</t>
  </si>
  <si>
    <t>Laura Payne</t>
  </si>
  <si>
    <t>P O Box 38915</t>
  </si>
  <si>
    <t>Auckland 2145</t>
  </si>
  <si>
    <t>Childsplay Unlimited - Lynfield</t>
  </si>
  <si>
    <t>09-6279041</t>
  </si>
  <si>
    <t>childsplaychildcare@hotmail.com</t>
  </si>
  <si>
    <t>456 Hillsborough Road</t>
  </si>
  <si>
    <t>Waikowhai Bay</t>
  </si>
  <si>
    <t>Sophie Wang</t>
  </si>
  <si>
    <t>P O Box 27764</t>
  </si>
  <si>
    <t>Auckland 1440</t>
  </si>
  <si>
    <t>Waiuku Early Learners</t>
  </si>
  <si>
    <t>09-235 7548</t>
  </si>
  <si>
    <t>waiukuearlylearners@xtra.co.nz</t>
  </si>
  <si>
    <t>43 Constable Road</t>
  </si>
  <si>
    <t>Tamakae</t>
  </si>
  <si>
    <t>Erin Fraser</t>
  </si>
  <si>
    <t>P O Box 418</t>
  </si>
  <si>
    <t>Waiuku 2341</t>
  </si>
  <si>
    <t>09-2357489</t>
  </si>
  <si>
    <t>Te Kōhanga Reo o Whāia Te Mātauranga</t>
  </si>
  <si>
    <t>09-276 6094</t>
  </si>
  <si>
    <t>WHANAU@K03G027.kohanga.ac.nz</t>
  </si>
  <si>
    <t>89F Vine Street</t>
  </si>
  <si>
    <t>Sutton Park</t>
  </si>
  <si>
    <t>Akoteu Falemaama Pre-school</t>
  </si>
  <si>
    <t>09-833 8087</t>
  </si>
  <si>
    <t>talakai@xtra.co.nz</t>
  </si>
  <si>
    <t>70 A Metcalfe Road</t>
  </si>
  <si>
    <t>Busy Bees Mount Wellington</t>
  </si>
  <si>
    <t>09-570 9919</t>
  </si>
  <si>
    <t>manager@mountwellington.busybees.org.nz</t>
  </si>
  <si>
    <t>41-43 Harwood Road</t>
  </si>
  <si>
    <t>Kumudu Perera</t>
  </si>
  <si>
    <t>Busy Bees Pakuranga 2</t>
  </si>
  <si>
    <t>71 Reeves Road</t>
  </si>
  <si>
    <t>St Mary's Family Pre-School</t>
  </si>
  <si>
    <t>09-276 3729 Ext 9020</t>
  </si>
  <si>
    <t>jennyw@atwc.org.nz</t>
  </si>
  <si>
    <t>10 Beatty Street</t>
  </si>
  <si>
    <t>Ōtāhuhu South West</t>
  </si>
  <si>
    <t>Jennifer Wyber</t>
  </si>
  <si>
    <t>P O Box 22363</t>
  </si>
  <si>
    <t>09-276 3729</t>
  </si>
  <si>
    <t>Potiki Early Childhood Centre</t>
  </si>
  <si>
    <t>09-269 2862</t>
  </si>
  <si>
    <t>28 Palmers Road</t>
  </si>
  <si>
    <t>Clendon</t>
  </si>
  <si>
    <t>Weymouth Central</t>
  </si>
  <si>
    <t>BestStart Onslow Road</t>
  </si>
  <si>
    <t>09-2983669</t>
  </si>
  <si>
    <t>onslow@best-start.org</t>
  </si>
  <si>
    <t>25 Onslow Road</t>
  </si>
  <si>
    <t>Papakura Massey Park</t>
  </si>
  <si>
    <t>Cuddly Kiwis Childcare Everglade</t>
  </si>
  <si>
    <t>09-263 6071</t>
  </si>
  <si>
    <t>nirmala@cuddlykiwis.co.nz</t>
  </si>
  <si>
    <t>1 Keri Anne Place</t>
  </si>
  <si>
    <t>Goodwood Heights West</t>
  </si>
  <si>
    <t>Nirmala Shiudin</t>
  </si>
  <si>
    <t>6A Kylie Court</t>
  </si>
  <si>
    <t>09-262 2604</t>
  </si>
  <si>
    <t>Riverhills Early Learning Centre</t>
  </si>
  <si>
    <t>09-5765731</t>
  </si>
  <si>
    <t>riverhillselc@xtra.co.nz</t>
  </si>
  <si>
    <t>4 Waikaremoana Place</t>
  </si>
  <si>
    <t>Haripriya Erukapati</t>
  </si>
  <si>
    <t xml:space="preserve">4 Waikaremoana Place </t>
  </si>
  <si>
    <t>09-535 5007</t>
  </si>
  <si>
    <t>Tamariki Takitumu Punanga Reo</t>
  </si>
  <si>
    <t>09-622 1083</t>
  </si>
  <si>
    <t>tamarikipr15@gmail.com</t>
  </si>
  <si>
    <t>9 Tanners Road</t>
  </si>
  <si>
    <t>Māngere Mountain View</t>
  </si>
  <si>
    <t>Elizabeth Donnelly</t>
  </si>
  <si>
    <t>P O Box 59095</t>
  </si>
  <si>
    <t>South Auckland 2151</t>
  </si>
  <si>
    <t>09-6221083</t>
  </si>
  <si>
    <t>Te Kōhanga Reo o Kiwitoa</t>
  </si>
  <si>
    <t>09-296 0911</t>
  </si>
  <si>
    <t>6 R Liddy Place</t>
  </si>
  <si>
    <t>Tu Manu Ae Le Tu Logologo Aoga Amata</t>
  </si>
  <si>
    <t>022-5108143</t>
  </si>
  <si>
    <t>admin@tumanu.school.nz</t>
  </si>
  <si>
    <t>Fetu Pupula Place</t>
  </si>
  <si>
    <t>Kenese Misiuepa</t>
  </si>
  <si>
    <t>P O Box 72240</t>
  </si>
  <si>
    <t>Glenbrook Kindergarten</t>
  </si>
  <si>
    <t>09-2353322</t>
  </si>
  <si>
    <t>1292 Glenbrook Road</t>
  </si>
  <si>
    <t>Glenbrook</t>
  </si>
  <si>
    <t>Te Kōhanga Reo o Pukeroihi</t>
  </si>
  <si>
    <t>09-298 2106</t>
  </si>
  <si>
    <t>44 A Beach Road</t>
  </si>
  <si>
    <t>Rosehill</t>
  </si>
  <si>
    <t>Te Kōhanga Reo o Te Otinga ki Tāmaki</t>
  </si>
  <si>
    <t>09-276 7360</t>
  </si>
  <si>
    <t>77 Wymondley Road</t>
  </si>
  <si>
    <t>Grange</t>
  </si>
  <si>
    <t>Active Explorers Airport</t>
  </si>
  <si>
    <t>09-2750888</t>
  </si>
  <si>
    <t>(International Airport) 6 Uenuku Way</t>
  </si>
  <si>
    <t>Rohina Janif</t>
  </si>
  <si>
    <t>09-275 0888</t>
  </si>
  <si>
    <t>Te Ao Hou Community Childcare Centre</t>
  </si>
  <si>
    <t>09-5278489</t>
  </si>
  <si>
    <t>teaohouchildcare@xtra.co.nz</t>
  </si>
  <si>
    <t>134 Elstree Avenue</t>
  </si>
  <si>
    <t>Vicky Holmes</t>
  </si>
  <si>
    <t>P O Box 18054</t>
  </si>
  <si>
    <t>Frog Puddles Childcare Centre - Half Moon Bay</t>
  </si>
  <si>
    <t>09-5375744</t>
  </si>
  <si>
    <t>frogpuddles5@gmail.com</t>
  </si>
  <si>
    <t>1 Dianne Louise Drive</t>
  </si>
  <si>
    <t>Filiata Hannemann</t>
  </si>
  <si>
    <t>P O Box 97443</t>
  </si>
  <si>
    <t>Lollipops Pukekohe</t>
  </si>
  <si>
    <t>09-239 1078</t>
  </si>
  <si>
    <t>5 Paerata Road</t>
  </si>
  <si>
    <t>Pukekohe North</t>
  </si>
  <si>
    <t>Abashia Riddles</t>
  </si>
  <si>
    <t>09-2391078</t>
  </si>
  <si>
    <t>Te Kōhanga Reo o Ngāti Ōtara Marae</t>
  </si>
  <si>
    <t>09-274 8927</t>
  </si>
  <si>
    <t>100 Gilbert Road</t>
  </si>
  <si>
    <t>Te Kōhanga Reo o Ngā Hau e Whā o Pukekohe</t>
  </si>
  <si>
    <t>09-238 7215</t>
  </si>
  <si>
    <t>92 Beattys Road</t>
  </si>
  <si>
    <t>Daniella Kaihau</t>
  </si>
  <si>
    <t>04-3818750</t>
  </si>
  <si>
    <t>Te Kōhanga Reo o Mataatua ki Mangere</t>
  </si>
  <si>
    <t>09-275 4179</t>
  </si>
  <si>
    <t>17 Killington Crescent</t>
  </si>
  <si>
    <t>Te Kōhanga Reo o Te Puāwaitanga ki Manurewa</t>
  </si>
  <si>
    <t>09-266 7506</t>
  </si>
  <si>
    <t>25 Ferguson Street</t>
  </si>
  <si>
    <t>Te Kōhanga Reo o Te Tīmatatanga</t>
  </si>
  <si>
    <t>09-266 1150</t>
  </si>
  <si>
    <t>7 Berkeley Road</t>
  </si>
  <si>
    <t>Te Kōhanga Reo o Te Wiri</t>
  </si>
  <si>
    <t>09-263 7114</t>
  </si>
  <si>
    <t>27 Kerrs Road</t>
  </si>
  <si>
    <t>Haumia Early Childhood Centre</t>
  </si>
  <si>
    <t>09-377 8700</t>
  </si>
  <si>
    <t>maxine@ecemanagement.co.nz</t>
  </si>
  <si>
    <t>11 Haumia Way</t>
  </si>
  <si>
    <t>Maxine Bannan</t>
  </si>
  <si>
    <t>Akoteu Kato Kakala</t>
  </si>
  <si>
    <t>09-2651304</t>
  </si>
  <si>
    <t>akoteukatokakala@xtra.co.nz</t>
  </si>
  <si>
    <t>210 Bairds Road</t>
  </si>
  <si>
    <t>Jeanne Teisina</t>
  </si>
  <si>
    <t>210 Bairds Rd</t>
  </si>
  <si>
    <t>09-265 1304</t>
  </si>
  <si>
    <t>Penguins School of Early Learning</t>
  </si>
  <si>
    <t>09-537 4970</t>
  </si>
  <si>
    <t>enquiries@penguinsearlylearning.co.nz</t>
  </si>
  <si>
    <t>197 Whitford Road</t>
  </si>
  <si>
    <t>Whitford</t>
  </si>
  <si>
    <t>Dannemora North-Shamrock Park</t>
  </si>
  <si>
    <t>Katie  Millar</t>
  </si>
  <si>
    <t>P O Box 6199</t>
  </si>
  <si>
    <t>09-5374970</t>
  </si>
  <si>
    <t>AUT Centre for Refugee Education Early Childhood Centre</t>
  </si>
  <si>
    <t>09-921 9999 Ext 6675</t>
  </si>
  <si>
    <t>mireille.weldschidt@aut.ac.nz</t>
  </si>
  <si>
    <t>251 Massey Road</t>
  </si>
  <si>
    <t>EC Refugee education centre</t>
  </si>
  <si>
    <t>Ōtāhuhu Industrial</t>
  </si>
  <si>
    <t>Mireille Weldschidt</t>
  </si>
  <si>
    <t>c/- AUT Ctr for Refugee Education ECC Private Bag 92006</t>
  </si>
  <si>
    <t>Te Kōhanga Reo o Te Atawhai</t>
  </si>
  <si>
    <t>09-268 0547</t>
  </si>
  <si>
    <t>59 Sharland Avenue</t>
  </si>
  <si>
    <t>Te Kōhanga Reo o Te Kāmaka Mātauranga</t>
  </si>
  <si>
    <t>09-268 1075</t>
  </si>
  <si>
    <t>94 Weymouth Road</t>
  </si>
  <si>
    <t>Leabank</t>
  </si>
  <si>
    <t>Te Kōhanga Reo o Hūmārie</t>
  </si>
  <si>
    <t>09-299 2630</t>
  </si>
  <si>
    <t>25-33 Station Road</t>
  </si>
  <si>
    <t>Te Kōhanga Reo o Ngā Puāwai o Wikitoria</t>
  </si>
  <si>
    <t>09-296 2143</t>
  </si>
  <si>
    <t>32 Old Wairoa Road</t>
  </si>
  <si>
    <t>Te Kōhanga Reo o Te Whakatupuranga ki Ōtara</t>
  </si>
  <si>
    <t>09-274 5383</t>
  </si>
  <si>
    <t>21 Waimate Street</t>
  </si>
  <si>
    <t>BestStart Everglade Babies</t>
  </si>
  <si>
    <t>09-263 6074</t>
  </si>
  <si>
    <t>evergladebabies@best-start.org</t>
  </si>
  <si>
    <t>2 Keri Anne Place</t>
  </si>
  <si>
    <t>Great Potentials Papakura Early Learning Centre</t>
  </si>
  <si>
    <t>09-2996610</t>
  </si>
  <si>
    <t>elc@greatpotentials.org.nz</t>
  </si>
  <si>
    <t>14 Maurice Street</t>
  </si>
  <si>
    <t>Deepika Sarmah</t>
  </si>
  <si>
    <t>P O Box 72499</t>
  </si>
  <si>
    <t>Te Kōhanga Reo o Ngā Mokopuna o Te Awamarahi</t>
  </si>
  <si>
    <t>09-232 8141</t>
  </si>
  <si>
    <t>529 Port Waikato Road</t>
  </si>
  <si>
    <t>Onewhero</t>
  </si>
  <si>
    <t>Awaroa-Maramarua General Ward</t>
  </si>
  <si>
    <t>Beginnings Early Learning Centre</t>
  </si>
  <si>
    <t>09-372 6206</t>
  </si>
  <si>
    <t>info@totsontherock.co.nz</t>
  </si>
  <si>
    <t>11 Waitai Road</t>
  </si>
  <si>
    <t>Hayley Farmer</t>
  </si>
  <si>
    <t>22 Kuaka Road, Oneroa</t>
  </si>
  <si>
    <t>Auckland 1240</t>
  </si>
  <si>
    <t>09-3728555</t>
  </si>
  <si>
    <t>Royal Road Pre-School</t>
  </si>
  <si>
    <t>09-8337675</t>
  </si>
  <si>
    <t>Royal Road Primary School 112 Royal Road</t>
  </si>
  <si>
    <t>Katee Waetford</t>
  </si>
  <si>
    <t>P O Box 5104</t>
  </si>
  <si>
    <t>09-4284285</t>
  </si>
  <si>
    <t>Fetu-I-Sasa'e Aoga Amata</t>
  </si>
  <si>
    <t>09-2652000</t>
  </si>
  <si>
    <t>fetuisasae@xtra.co.nz</t>
  </si>
  <si>
    <t>104A Dawson Road</t>
  </si>
  <si>
    <t>Eperone Futi</t>
  </si>
  <si>
    <t>104A  Dawson Road</t>
  </si>
  <si>
    <t>Appletree Preschool</t>
  </si>
  <si>
    <t>09-4421244</t>
  </si>
  <si>
    <t>140 Archers Road</t>
  </si>
  <si>
    <t>Ban Mutwali</t>
  </si>
  <si>
    <t>10 Chivalry Road</t>
  </si>
  <si>
    <t>North Shore City 0629</t>
  </si>
  <si>
    <t>09-443 4920</t>
  </si>
  <si>
    <t>Kiwi Supertots Learning Centre - Papakura</t>
  </si>
  <si>
    <t>09-2967193</t>
  </si>
  <si>
    <t>58 Chichester Drive</t>
  </si>
  <si>
    <t>Tiny Treasures Early Learning Centre</t>
  </si>
  <si>
    <t>09-2761679</t>
  </si>
  <si>
    <t>jaswant23455@yahoo.co.in</t>
  </si>
  <si>
    <t>67 Walmsley Road</t>
  </si>
  <si>
    <t>Rupinder Bhela</t>
  </si>
  <si>
    <t>45 Pickaberry Avenue</t>
  </si>
  <si>
    <t>Auckland 2113</t>
  </si>
  <si>
    <t>BestStart Kenderdine Road</t>
  </si>
  <si>
    <t>09-277 0994</t>
  </si>
  <si>
    <t>kenderdine@best-start.org</t>
  </si>
  <si>
    <t>19 Kenderdine Road</t>
  </si>
  <si>
    <t>BestStart Howick</t>
  </si>
  <si>
    <t>09-538 0099</t>
  </si>
  <si>
    <t>howick@best-start.org</t>
  </si>
  <si>
    <t>174 Ridge Road</t>
  </si>
  <si>
    <t>Bombay Playcentre</t>
  </si>
  <si>
    <t>09-236 0741</t>
  </si>
  <si>
    <t>33 Paparata Road</t>
  </si>
  <si>
    <t>Bombay</t>
  </si>
  <si>
    <t>Bombay Hills</t>
  </si>
  <si>
    <t>Drury Playcentre</t>
  </si>
  <si>
    <t>09-294 8094</t>
  </si>
  <si>
    <t>Young Crescent</t>
  </si>
  <si>
    <t>Hunua Playcentre</t>
  </si>
  <si>
    <t>09-292 4470</t>
  </si>
  <si>
    <t>45 Lockwood Road</t>
  </si>
  <si>
    <t>Hunua</t>
  </si>
  <si>
    <t>Karaka Playcentre</t>
  </si>
  <si>
    <t>09-292 7675</t>
  </si>
  <si>
    <t>299 Linwood Road</t>
  </si>
  <si>
    <t>Kingseat-Karaka</t>
  </si>
  <si>
    <t>Manukau Peninsula Playcentre</t>
  </si>
  <si>
    <t>09-  8388849</t>
  </si>
  <si>
    <t>2610 Awhitu Road</t>
  </si>
  <si>
    <t>Matakawau</t>
  </si>
  <si>
    <t>Āwhitu</t>
  </si>
  <si>
    <t>Maramarua/Kopuku Playcentre</t>
  </si>
  <si>
    <t>09-232 5846</t>
  </si>
  <si>
    <t>2200 State Highway 2</t>
  </si>
  <si>
    <t>Maramarua</t>
  </si>
  <si>
    <t>Otaua/Aka Aka Playcentre</t>
  </si>
  <si>
    <t>09-235 2845</t>
  </si>
  <si>
    <t>32 Factory Road</t>
  </si>
  <si>
    <t>Otaua-Auckland</t>
  </si>
  <si>
    <t>Aka Aka</t>
  </si>
  <si>
    <t>Papakura Playcentre</t>
  </si>
  <si>
    <t>09-299 5214</t>
  </si>
  <si>
    <t>15 Opaheke Road</t>
  </si>
  <si>
    <t>Patumahoe/Mauku Playcentre</t>
  </si>
  <si>
    <t>09-236 3902</t>
  </si>
  <si>
    <t>Cnr Mareretu Ave &amp; Patumahoe Rd</t>
  </si>
  <si>
    <t>Patumahoe</t>
  </si>
  <si>
    <t>Patumāhoe</t>
  </si>
  <si>
    <t>Pukekawa Playcentre</t>
  </si>
  <si>
    <t>09-233 4181</t>
  </si>
  <si>
    <t>38 Clarke And Denize Road</t>
  </si>
  <si>
    <t>Pukekawa</t>
  </si>
  <si>
    <t>Pukekohe Playcentre</t>
  </si>
  <si>
    <t>09-238 5561</t>
  </si>
  <si>
    <t>177 Victoria Street West</t>
  </si>
  <si>
    <t>Pukekohe South West</t>
  </si>
  <si>
    <t>Te Kauwhata Playcentre</t>
  </si>
  <si>
    <t>40 Mahi Road</t>
  </si>
  <si>
    <t>Te Kauwhata</t>
  </si>
  <si>
    <t>Te Kauwhata East</t>
  </si>
  <si>
    <t>Waerenga-Whitikahu General Ward</t>
  </si>
  <si>
    <t>Tō Tātou Haerenga</t>
  </si>
  <si>
    <t>Tuakau Playcentre</t>
  </si>
  <si>
    <t>09-236 8536</t>
  </si>
  <si>
    <t>Cnr Henderson &amp; Jellicoe Avenues</t>
  </si>
  <si>
    <t>Mangere Bridge Playcentre</t>
  </si>
  <si>
    <t>09-827 8649</t>
  </si>
  <si>
    <t>17 Domain Road</t>
  </si>
  <si>
    <t>Beachlands/Maraetai Playcentre</t>
  </si>
  <si>
    <t>09-5366 015</t>
  </si>
  <si>
    <t>18 Rell Road</t>
  </si>
  <si>
    <t>Beachlands</t>
  </si>
  <si>
    <t>Sunkist Bay</t>
  </si>
  <si>
    <t>Bucklands Beach Ohui-a-rangi Playcentre</t>
  </si>
  <si>
    <t>09-534 2927</t>
  </si>
  <si>
    <t>50 The Parade</t>
  </si>
  <si>
    <t>Bucklands Beach North</t>
  </si>
  <si>
    <t>Cockle Bay Playcentre</t>
  </si>
  <si>
    <t>09-534 1445</t>
  </si>
  <si>
    <t>17 Pah Road</t>
  </si>
  <si>
    <t>Cockle Bay</t>
  </si>
  <si>
    <t>Howick Playcentre</t>
  </si>
  <si>
    <t>09-5355565</t>
  </si>
  <si>
    <t>98 Nelson Street</t>
  </si>
  <si>
    <t>Manurewa Playcentre</t>
  </si>
  <si>
    <t>09-267 6938</t>
  </si>
  <si>
    <t>7 Lupton Road</t>
  </si>
  <si>
    <t>Pakuranga-Rahihi Playcentre</t>
  </si>
  <si>
    <t>09-577 4546</t>
  </si>
  <si>
    <t>6A Glenside Avenue</t>
  </si>
  <si>
    <t>Papatoetoe Playcentre</t>
  </si>
  <si>
    <t>papatoetoe@playcentre.org.nz</t>
  </si>
  <si>
    <t>4 Guide Place</t>
  </si>
  <si>
    <t>Papatoetoe Central East</t>
  </si>
  <si>
    <t>Weymouth Playcentre</t>
  </si>
  <si>
    <t>09-267 2184</t>
  </si>
  <si>
    <t>516 Weymouth Road</t>
  </si>
  <si>
    <t>Whitford Playcentre</t>
  </si>
  <si>
    <t>09-5308895</t>
  </si>
  <si>
    <t>War Memorial Pavilion Whitford-Maraetai Road</t>
  </si>
  <si>
    <t>Turanga</t>
  </si>
  <si>
    <t>Pukekohe High School Childcare Centre</t>
  </si>
  <si>
    <t>09-238 0404</t>
  </si>
  <si>
    <t>phscc@xtra.co.nz</t>
  </si>
  <si>
    <t>18 John Street</t>
  </si>
  <si>
    <t>Shannon Wharfe</t>
  </si>
  <si>
    <t>09-2380404</t>
  </si>
  <si>
    <t>Te Kōhanga Reo o Te Reo Rangatira ki Whaiora</t>
  </si>
  <si>
    <t>09-274 3860</t>
  </si>
  <si>
    <t>20 Otara Road</t>
  </si>
  <si>
    <t>Te Kōhanga Reo O Pūau Te Moananui -a- Kiwa</t>
  </si>
  <si>
    <t>09-528 7522</t>
  </si>
  <si>
    <t>26 A Farringdon Street</t>
  </si>
  <si>
    <t>Small Oaks Early Learning Centre</t>
  </si>
  <si>
    <t>09-267 3757</t>
  </si>
  <si>
    <t>smalloaks@xtra.co.nz</t>
  </si>
  <si>
    <t>1/25 Maich Road</t>
  </si>
  <si>
    <t>Quan Linda Quach</t>
  </si>
  <si>
    <t>5 Serl Place</t>
  </si>
  <si>
    <t>BestStart Everglade Preschool</t>
  </si>
  <si>
    <t>09-2636070</t>
  </si>
  <si>
    <t>evergladepreschool@best-start.org</t>
  </si>
  <si>
    <t>66 Everglade Drive</t>
  </si>
  <si>
    <t>Goodwood Heights East</t>
  </si>
  <si>
    <t>Kiddos Childcare Otahuhu</t>
  </si>
  <si>
    <t>09-276 2894</t>
  </si>
  <si>
    <t>jdin@kiddoschildcareotahuhu.co.nz</t>
  </si>
  <si>
    <t>37-39 Church Street</t>
  </si>
  <si>
    <t>Ōtāhuhu North West</t>
  </si>
  <si>
    <t>Te Kōhanga Reo o Te Maunga Kōhungahunga</t>
  </si>
  <si>
    <t>09-298 4943</t>
  </si>
  <si>
    <t>18 A Bates Street</t>
  </si>
  <si>
    <t>Barnardos Early Learning Centre Pakuranga</t>
  </si>
  <si>
    <t>09-576 8136</t>
  </si>
  <si>
    <t>pakurangaelc@barnardos.org.nz</t>
  </si>
  <si>
    <t>13 Reeves Road</t>
  </si>
  <si>
    <t>Joyce Balanag</t>
  </si>
  <si>
    <t>09-534 2328</t>
  </si>
  <si>
    <t>Wellsford Preschool Education Centre</t>
  </si>
  <si>
    <t>09-4237956</t>
  </si>
  <si>
    <t>wellsfordpreschool@hotmail.com</t>
  </si>
  <si>
    <t>107 Centennial Park Road</t>
  </si>
  <si>
    <t>Ann Sulway</t>
  </si>
  <si>
    <t>56 Elliston Crescent</t>
  </si>
  <si>
    <t>Whangaparaoa 0932</t>
  </si>
  <si>
    <t>09-4281525</t>
  </si>
  <si>
    <t>The Learning Space</t>
  </si>
  <si>
    <t>09-377 3734</t>
  </si>
  <si>
    <t>yvonne.groot@thelearningspace.co.nz</t>
  </si>
  <si>
    <t>7 Fleet Street</t>
  </si>
  <si>
    <t>P O Box 304021</t>
  </si>
  <si>
    <t>North Shore City 0750</t>
  </si>
  <si>
    <t>Te Kōhanga Reo o Te Puaha</t>
  </si>
  <si>
    <t>09-232 9789</t>
  </si>
  <si>
    <t>Stack Road, RD5</t>
  </si>
  <si>
    <t>Port Waikato-Waikaretu</t>
  </si>
  <si>
    <t>Western Districts General Ward</t>
  </si>
  <si>
    <t>Chapel Downs Early Learning Centre</t>
  </si>
  <si>
    <t>09-274 8002</t>
  </si>
  <si>
    <t>jillb@chapeldowns.school.nz</t>
  </si>
  <si>
    <t>170 Dawson Road</t>
  </si>
  <si>
    <t>Jillian Bathgate</t>
  </si>
  <si>
    <t>P O Box 217069</t>
  </si>
  <si>
    <t>Manukau 2164</t>
  </si>
  <si>
    <t>Karaka Learning Centre 2</t>
  </si>
  <si>
    <t>BestStart Wattle Downs</t>
  </si>
  <si>
    <t>09-2674731</t>
  </si>
  <si>
    <t>wattledowns@best-start.org</t>
  </si>
  <si>
    <t>134 Coxhead Road</t>
  </si>
  <si>
    <t>Wattle Downs North</t>
  </si>
  <si>
    <t>Cockle Bay Early Learning Centre</t>
  </si>
  <si>
    <t>09-5347083</t>
  </si>
  <si>
    <t>hello@cocklebayece.co.nz</t>
  </si>
  <si>
    <t>17 Cockle Bay Road</t>
  </si>
  <si>
    <t xml:space="preserve">24 Trelawn Place </t>
  </si>
  <si>
    <t>Kingsway Preschool Snells Beach</t>
  </si>
  <si>
    <t>manager@kwps.nz</t>
  </si>
  <si>
    <t>20 Goodall Road</t>
  </si>
  <si>
    <t>Otara Community Preschool</t>
  </si>
  <si>
    <t>09-273 1284</t>
  </si>
  <si>
    <t>ocpkids45c@gmail.com</t>
  </si>
  <si>
    <t>45 C Everitt Road</t>
  </si>
  <si>
    <t>Pacific ECE Service centre, Baptist</t>
  </si>
  <si>
    <t>Tapulaaia Ah-Hao</t>
  </si>
  <si>
    <t>South Auckland 2159</t>
  </si>
  <si>
    <t>Pukekohe East Playcentre</t>
  </si>
  <si>
    <t>09-238 1976</t>
  </si>
  <si>
    <t>137 Runciman Road</t>
  </si>
  <si>
    <t>Anselmi Ridge</t>
  </si>
  <si>
    <t>Highland Park Community Creche Inc.</t>
  </si>
  <si>
    <t>09-533 9500</t>
  </si>
  <si>
    <t>highlandparkcreche@xtra.co.nz</t>
  </si>
  <si>
    <t>47 Aviemore Drive</t>
  </si>
  <si>
    <t>Suzanne Ellis</t>
  </si>
  <si>
    <t>South Auckland 2010</t>
  </si>
  <si>
    <t>Kidz First Medicalcare</t>
  </si>
  <si>
    <t>Middlemore Hospital Hospital Road</t>
  </si>
  <si>
    <t>Cuddly Kiwis Childcare Papatoetoe</t>
  </si>
  <si>
    <t>09-279 4566</t>
  </si>
  <si>
    <t>315 S Great South Road</t>
  </si>
  <si>
    <t>Lighthouse Preschool</t>
  </si>
  <si>
    <t>09-5353095</t>
  </si>
  <si>
    <t>admin@lighthousepreschool.co.nz</t>
  </si>
  <si>
    <t>69 Hutchinson Road</t>
  </si>
  <si>
    <t>Sheree Clarke</t>
  </si>
  <si>
    <t>69 Hutchinsons Road</t>
  </si>
  <si>
    <t>09-5371618</t>
  </si>
  <si>
    <t>BestStart Manurewa Central</t>
  </si>
  <si>
    <t>09-2669878</t>
  </si>
  <si>
    <t>manurewacentral@best-start.org</t>
  </si>
  <si>
    <t>93 Russell Road</t>
  </si>
  <si>
    <t>Te Kōhanga Reo o ki Tāmaki Rāwhiti</t>
  </si>
  <si>
    <t>09-274 3485</t>
  </si>
  <si>
    <t>265 A East Tamaki Road</t>
  </si>
  <si>
    <t>Finlayson Park Childcare Centre</t>
  </si>
  <si>
    <t>09-267 8324</t>
  </si>
  <si>
    <t>childcareadmin@finlaysonpark.school.nz</t>
  </si>
  <si>
    <t>247 Weymouth Road</t>
  </si>
  <si>
    <t>Sumithra Naidoo</t>
  </si>
  <si>
    <t>85 John Walker Drive</t>
  </si>
  <si>
    <t>09-2665558 Ext 105</t>
  </si>
  <si>
    <t>ME Family Services - Early Childhood</t>
  </si>
  <si>
    <t>09-2560810</t>
  </si>
  <si>
    <t>ece@mefsc.org.nz</t>
  </si>
  <si>
    <t>16-18 Ferguson Street</t>
  </si>
  <si>
    <t>Karen Matata</t>
  </si>
  <si>
    <t>P O Box 86086</t>
  </si>
  <si>
    <t>South Auckland 2158</t>
  </si>
  <si>
    <t>Tomarata Playcentre</t>
  </si>
  <si>
    <t>09-423 9074</t>
  </si>
  <si>
    <t>619 School Road, RD4</t>
  </si>
  <si>
    <t>Seugagogo Aoga Amata Preschool</t>
  </si>
  <si>
    <t>09-276 6783</t>
  </si>
  <si>
    <t>sofaeapenn@hotmail.com</t>
  </si>
  <si>
    <t>4 Nikau Road</t>
  </si>
  <si>
    <t>Sofaea Penn</t>
  </si>
  <si>
    <t>P O Box 22593</t>
  </si>
  <si>
    <t>09-2693171</t>
  </si>
  <si>
    <t>Te Kōhanga  Reo o Te Paa Harakeke</t>
  </si>
  <si>
    <t>09-622 0939</t>
  </si>
  <si>
    <t>Miro Road</t>
  </si>
  <si>
    <t>Akoteu Tokaima'ananga</t>
  </si>
  <si>
    <t>09-274 1177</t>
  </si>
  <si>
    <t>tokaimaananga_03@hotmail.com</t>
  </si>
  <si>
    <t>3 Ormiston Road</t>
  </si>
  <si>
    <t>Tongan ECE Service, Methodist</t>
  </si>
  <si>
    <t xml:space="preserve">Iunisi Johansson </t>
  </si>
  <si>
    <t>3 Ormiston Rd</t>
  </si>
  <si>
    <t>09-2638740</t>
  </si>
  <si>
    <t>Peninsula Stars Early Learning Centre - Fetufa Tokelau Akoga Kamata</t>
  </si>
  <si>
    <t>09-8349055</t>
  </si>
  <si>
    <t>fetufatokelau_ece@yahoo.com</t>
  </si>
  <si>
    <t>5 Harbour View Road</t>
  </si>
  <si>
    <t>Elisapeta Pedro</t>
  </si>
  <si>
    <t>P O Box 45042</t>
  </si>
  <si>
    <t>Waitakere 0651</t>
  </si>
  <si>
    <t>Bambinos Early Childhood Centre</t>
  </si>
  <si>
    <t>09-815 1206</t>
  </si>
  <si>
    <t>stlukes@bambinos.co.nz</t>
  </si>
  <si>
    <t>123 St Lukes Road</t>
  </si>
  <si>
    <t>Keti Grgicevich</t>
  </si>
  <si>
    <t>P O Box 41007</t>
  </si>
  <si>
    <t>Saint Lukes</t>
  </si>
  <si>
    <t>09-815 8009</t>
  </si>
  <si>
    <t>KINZ Sandringham Early Learning Centre</t>
  </si>
  <si>
    <t>09-8451364</t>
  </si>
  <si>
    <t>sandringham@kinz.org.nz</t>
  </si>
  <si>
    <t>27A Shorwell Street</t>
  </si>
  <si>
    <t>Bear Park Herne Bay Early Childhood Education Centre</t>
  </si>
  <si>
    <t>09-376 0232</t>
  </si>
  <si>
    <t>42 Shelly Beach Road</t>
  </si>
  <si>
    <t>Saint Marys Bay</t>
  </si>
  <si>
    <t>Talented Tots Early Childhood Centre</t>
  </si>
  <si>
    <t>09-818 6138</t>
  </si>
  <si>
    <t>306 West Coast Road</t>
  </si>
  <si>
    <t>Colleen Aberhart</t>
  </si>
  <si>
    <t>P O Box 658</t>
  </si>
  <si>
    <t>Orewa 0946</t>
  </si>
  <si>
    <t>09-846 5480</t>
  </si>
  <si>
    <t>Play and Learn Clarks Beach</t>
  </si>
  <si>
    <t>09-232 1981</t>
  </si>
  <si>
    <t>3 Torkar Road</t>
  </si>
  <si>
    <t>Clarks Beach</t>
  </si>
  <si>
    <t>Janet Beatson</t>
  </si>
  <si>
    <t>The Learning Centre Ltd</t>
  </si>
  <si>
    <t>09-376 6857</t>
  </si>
  <si>
    <t>enquiries@thelearningcentre.co.nz</t>
  </si>
  <si>
    <t>96 Vermont Street</t>
  </si>
  <si>
    <t>Maritha Hindle</t>
  </si>
  <si>
    <t>P O Box 47755</t>
  </si>
  <si>
    <t>BestStart Manukau 1</t>
  </si>
  <si>
    <t>09-250 2658</t>
  </si>
  <si>
    <t>manukau@best-start.org</t>
  </si>
  <si>
    <t>561 Great South Road</t>
  </si>
  <si>
    <t>Blossoms Educare  Limited</t>
  </si>
  <si>
    <t>09-262 1606</t>
  </si>
  <si>
    <t>admin@blossomseducare.co.nz</t>
  </si>
  <si>
    <t>3 Iona Placce</t>
  </si>
  <si>
    <t>Sarabjit Sidhu</t>
  </si>
  <si>
    <t>22 Ryan Road RD4</t>
  </si>
  <si>
    <t>Pukekohe 2679</t>
  </si>
  <si>
    <t>09-2363160</t>
  </si>
  <si>
    <t>KiNZ Otara</t>
  </si>
  <si>
    <t>09-2748994</t>
  </si>
  <si>
    <t>otara@kinz.org.nz</t>
  </si>
  <si>
    <t>69 Otara Road</t>
  </si>
  <si>
    <t>Ōtara ō te Rererangi Kāhui Ako</t>
  </si>
  <si>
    <t>Te Puna Reo Okahukura</t>
  </si>
  <si>
    <t>09-578 1806</t>
  </si>
  <si>
    <t>melissag@ngatiwhatuaorakei.com</t>
  </si>
  <si>
    <t>222 Kupe Street</t>
  </si>
  <si>
    <t>Melissa Greenwood</t>
  </si>
  <si>
    <t>c/- Te Puna Reo Okahukura 222 Kupe Street</t>
  </si>
  <si>
    <t>BestStart St Lukes</t>
  </si>
  <si>
    <t>09-8154090</t>
  </si>
  <si>
    <t>stlukes@best-start.org</t>
  </si>
  <si>
    <t>2 Wagener Place</t>
  </si>
  <si>
    <t>St Lukes</t>
  </si>
  <si>
    <t>BestStart Waiuku</t>
  </si>
  <si>
    <t>09-2350373</t>
  </si>
  <si>
    <t>waiuku@best-start.org</t>
  </si>
  <si>
    <t>66-70 King St</t>
  </si>
  <si>
    <t>Pohutukawa Kindergarten</t>
  </si>
  <si>
    <t>09-579 5008</t>
  </si>
  <si>
    <t>melanie@pohutukawa.net.nz</t>
  </si>
  <si>
    <t>16 Arthur Street</t>
  </si>
  <si>
    <t>Melanie Metson</t>
  </si>
  <si>
    <t>Whitford Early Learning Centre</t>
  </si>
  <si>
    <t>09-530 8726</t>
  </si>
  <si>
    <t>whitfordearlylearning@xtra.co.nz</t>
  </si>
  <si>
    <t>633 Whitford Road</t>
  </si>
  <si>
    <t>Kim O'Neill</t>
  </si>
  <si>
    <t>P O Box 31</t>
  </si>
  <si>
    <t>South Auckland 2149</t>
  </si>
  <si>
    <t>09-5308726</t>
  </si>
  <si>
    <t>Central Park Early Learning Centre</t>
  </si>
  <si>
    <t>09-838 7770</t>
  </si>
  <si>
    <t>info@centralparkelc.co.nz</t>
  </si>
  <si>
    <t>Unit H 133 Central Park Drive</t>
  </si>
  <si>
    <t>Amanda Redfern</t>
  </si>
  <si>
    <t>133H Central Park Drive</t>
  </si>
  <si>
    <t>Fetu'u Moana Catholic Early Childhood Preschool</t>
  </si>
  <si>
    <t>09-277 0052</t>
  </si>
  <si>
    <t>nita@fetuumoana.org.nz</t>
  </si>
  <si>
    <t>54 Fairview Road</t>
  </si>
  <si>
    <t>Tongan ECE Service, Catholic</t>
  </si>
  <si>
    <t>Nita Takai</t>
  </si>
  <si>
    <t>P O Box 200160</t>
  </si>
  <si>
    <t>09-2770052</t>
  </si>
  <si>
    <t>Papatoetoe Footsteps Community Preschool</t>
  </si>
  <si>
    <t>09-2501067</t>
  </si>
  <si>
    <t>footstepspap@xtra.co.nz</t>
  </si>
  <si>
    <t>28 Puhinui Road</t>
  </si>
  <si>
    <t>Rebekah Wheeler</t>
  </si>
  <si>
    <t>Small Steps ECE Centre</t>
  </si>
  <si>
    <t>09-5337517</t>
  </si>
  <si>
    <t>14 Botany Road</t>
  </si>
  <si>
    <t>Angela Ledgerwood</t>
  </si>
  <si>
    <t>09-5337518</t>
  </si>
  <si>
    <t>Kimberley Childcare Te Atatu</t>
  </si>
  <si>
    <t>09-834 1219</t>
  </si>
  <si>
    <t>anthony@kimberleychildcare.co.nz</t>
  </si>
  <si>
    <t>3 Flanshaw Road</t>
  </si>
  <si>
    <t>Lollipops Millennium</t>
  </si>
  <si>
    <t>09-571 2381</t>
  </si>
  <si>
    <t>cm.millennium@ledu.co.nz</t>
  </si>
  <si>
    <t>Building C, Millennium Centre  600 Great South Road</t>
  </si>
  <si>
    <t>Wise Owl Early Learning Centre</t>
  </si>
  <si>
    <t>09-238 6370</t>
  </si>
  <si>
    <t>info@wiseowlelc.co.nz</t>
  </si>
  <si>
    <t>49 John Street</t>
  </si>
  <si>
    <t>Pukekohe Hospital</t>
  </si>
  <si>
    <t>Anette Blair</t>
  </si>
  <si>
    <t xml:space="preserve">49 John Street   </t>
  </si>
  <si>
    <t>Pukekohe 2678</t>
  </si>
  <si>
    <t>Kakano Early Childhood Centre</t>
  </si>
  <si>
    <t>09-2692868</t>
  </si>
  <si>
    <t>kakano@taonga.org.nz</t>
  </si>
  <si>
    <t>91 Palmers Road</t>
  </si>
  <si>
    <t>Clendon Park East</t>
  </si>
  <si>
    <t>Little Sparks Educare</t>
  </si>
  <si>
    <t>09-2385656</t>
  </si>
  <si>
    <t>65 Helvetia Road</t>
  </si>
  <si>
    <t>Kelly Logan</t>
  </si>
  <si>
    <t>Barnardos Early Learning Centre Clendon</t>
  </si>
  <si>
    <t>60 Finlayson Avenue</t>
  </si>
  <si>
    <t>Lou Guinares</t>
  </si>
  <si>
    <t>Learning Adventures Airport Oaks</t>
  </si>
  <si>
    <t>09-257 1144</t>
  </si>
  <si>
    <t>33 Andrew Baxter Drive</t>
  </si>
  <si>
    <t>Anne Singh</t>
  </si>
  <si>
    <t>MyKindy Henderson</t>
  </si>
  <si>
    <t>09-8362500</t>
  </si>
  <si>
    <t>emma@mykindy.nz</t>
  </si>
  <si>
    <t>40 Paramount Drive</t>
  </si>
  <si>
    <t>Aubrey Early Learning Centre</t>
  </si>
  <si>
    <t>09-421 1097</t>
  </si>
  <si>
    <t>elc.aubrey@gmail.com</t>
  </si>
  <si>
    <t>71 Aubrey Road</t>
  </si>
  <si>
    <t>Silverdale South (Auckland)</t>
  </si>
  <si>
    <t>Geoffrey Stephens</t>
  </si>
  <si>
    <t>2/199 Birdwood Road</t>
  </si>
  <si>
    <t>Blooming Stars Childcare</t>
  </si>
  <si>
    <t>09-2782 788</t>
  </si>
  <si>
    <t>admin@bloomingstars.co.nz</t>
  </si>
  <si>
    <t>14 Evelyn Street</t>
  </si>
  <si>
    <t>Gayathri Natarajan</t>
  </si>
  <si>
    <t>31 Shibata Rise</t>
  </si>
  <si>
    <t>Flanshaw Infant &amp; Toddler Centre</t>
  </si>
  <si>
    <t>flanshawinfants@gmail.com</t>
  </si>
  <si>
    <t>2 Cole Place</t>
  </si>
  <si>
    <t>BestStart Dannemora</t>
  </si>
  <si>
    <t>09-265 1530</t>
  </si>
  <si>
    <t>dannemora@best-start.org</t>
  </si>
  <si>
    <t>15-19 Siedeberg Drive</t>
  </si>
  <si>
    <t>Lollipops Waiuku</t>
  </si>
  <si>
    <t>09-235 7072</t>
  </si>
  <si>
    <t>cm.waiuku@ledu.co.nz</t>
  </si>
  <si>
    <t>82-84 Queen Street</t>
  </si>
  <si>
    <t>Michelle Wheatley</t>
  </si>
  <si>
    <t>Pitter Patter Childcare</t>
  </si>
  <si>
    <t>09-6200817</t>
  </si>
  <si>
    <t>info@pitterpatter.nz</t>
  </si>
  <si>
    <t>1438 Dominion Road</t>
  </si>
  <si>
    <t>Navneet Kaur</t>
  </si>
  <si>
    <t>52 Nacton Lane</t>
  </si>
  <si>
    <t>09-8452521</t>
  </si>
  <si>
    <t>Lollipops Britomart</t>
  </si>
  <si>
    <t>09-365 1640</t>
  </si>
  <si>
    <t>cm.britomart@ledu.co.nz</t>
  </si>
  <si>
    <t>8 Tangihua Street</t>
  </si>
  <si>
    <t>Yu-hsuan Lin</t>
  </si>
  <si>
    <t>09-3651640</t>
  </si>
  <si>
    <t>Buds and Blooms Childcare Centre</t>
  </si>
  <si>
    <t>09-257 4788</t>
  </si>
  <si>
    <t>selvigoundar@yahoo.com</t>
  </si>
  <si>
    <t>7 Penihana Place</t>
  </si>
  <si>
    <t>Selvi Goundar</t>
  </si>
  <si>
    <t>48 Hamilton Road</t>
  </si>
  <si>
    <t>Waiuku Learning space</t>
  </si>
  <si>
    <t>09-235 0904</t>
  </si>
  <si>
    <t>info@waiukulearningspace.com</t>
  </si>
  <si>
    <t>82 Kitchener Road</t>
  </si>
  <si>
    <t>Hamilton Estate</t>
  </si>
  <si>
    <t>Rukshat Singh</t>
  </si>
  <si>
    <t>Auckland 2123</t>
  </si>
  <si>
    <t>Playway</t>
  </si>
  <si>
    <t>playway.paps@gmail.com</t>
  </si>
  <si>
    <t>127-129 Gray Avenue</t>
  </si>
  <si>
    <t>Vikram Thakur</t>
  </si>
  <si>
    <t>1A Navigator Place</t>
  </si>
  <si>
    <t>BestStart Apirana Avenue</t>
  </si>
  <si>
    <t>09-5210275</t>
  </si>
  <si>
    <t>apirana@best-start.org</t>
  </si>
  <si>
    <t>119 Apirana Avenue</t>
  </si>
  <si>
    <t>Panmure Glen Innes Industrial</t>
  </si>
  <si>
    <t>Active Explorers Highbrook</t>
  </si>
  <si>
    <t>09-271 3480</t>
  </si>
  <si>
    <t>cm.highbrook@activeexplorers.co.nz</t>
  </si>
  <si>
    <t>130 Kerwyn Road</t>
  </si>
  <si>
    <t>Janine Baker</t>
  </si>
  <si>
    <t>09-2713480</t>
  </si>
  <si>
    <t>Caterpillar Kids Early Learning Centre</t>
  </si>
  <si>
    <t>09-6207822</t>
  </si>
  <si>
    <t>lixiao0417@gmail.com</t>
  </si>
  <si>
    <t>202 Mt Albert Road</t>
  </si>
  <si>
    <t>Sandringham West</t>
  </si>
  <si>
    <t>Xiao Li</t>
  </si>
  <si>
    <t>15 Cherrywood Crescent</t>
  </si>
  <si>
    <t>Rosebank Early Childhood Centre - Aoga Amata</t>
  </si>
  <si>
    <t>09-820 0782</t>
  </si>
  <si>
    <t>217 Rosebank Road</t>
  </si>
  <si>
    <t>Asofa Gafoi</t>
  </si>
  <si>
    <t>27 Waimoko Glen</t>
  </si>
  <si>
    <t>The Treehouse Children's Creche</t>
  </si>
  <si>
    <t>09-573 1120</t>
  </si>
  <si>
    <t>kdammi@yahoo.com</t>
  </si>
  <si>
    <t>Sylvia Park Shopping Centre, Level 1 286 Mt Wellington Highway</t>
  </si>
  <si>
    <t>Sylvia Park</t>
  </si>
  <si>
    <t>Damayanthi Herath Mudiyanselage</t>
  </si>
  <si>
    <t>72 Ksenia Drive</t>
  </si>
  <si>
    <t>The Gardens Early Childhood Education</t>
  </si>
  <si>
    <t>09-2665800</t>
  </si>
  <si>
    <t>hillroad@thegardens.co.nz</t>
  </si>
  <si>
    <t>Alfriston</t>
  </si>
  <si>
    <t>The Playhouse Pre-School</t>
  </si>
  <si>
    <t>09-2381371</t>
  </si>
  <si>
    <t>sharmen-risha@hotmail.co.nz</t>
  </si>
  <si>
    <t>51 Twomey Drive</t>
  </si>
  <si>
    <t>Risha Kumar</t>
  </si>
  <si>
    <t>Christopher and Robin Early Childhood Centre</t>
  </si>
  <si>
    <t>09-4301020</t>
  </si>
  <si>
    <t>12 Gumdigger Place</t>
  </si>
  <si>
    <t>Port-Limeburners</t>
  </si>
  <si>
    <t>Janelle Rogers</t>
  </si>
  <si>
    <t>021-0847 5266</t>
  </si>
  <si>
    <t>Child Pre-School Education Ltd</t>
  </si>
  <si>
    <t>09-488 7766</t>
  </si>
  <si>
    <t>lee@child.co.nz</t>
  </si>
  <si>
    <t>Ground Floor Sovereign House, Smales Farm Cnr Northcote Rd &amp; Taharoto Road</t>
  </si>
  <si>
    <t>Lee  Clark</t>
  </si>
  <si>
    <t>P O Box 33843</t>
  </si>
  <si>
    <t>North Shore City 0740</t>
  </si>
  <si>
    <t>09-438 7766</t>
  </si>
  <si>
    <t>Uptown Kids Epsom Childcare Centre</t>
  </si>
  <si>
    <t>09-523 1716</t>
  </si>
  <si>
    <t>enquiries@uptownkids.co.nz</t>
  </si>
  <si>
    <t>216 Manukau Road</t>
  </si>
  <si>
    <t>Paula  Bannister</t>
  </si>
  <si>
    <t xml:space="preserve">216 Manukau Rd </t>
  </si>
  <si>
    <t>09-8150460</t>
  </si>
  <si>
    <t>Kuddles In-Home Childcare &amp; Education - 1</t>
  </si>
  <si>
    <t>09-6256621</t>
  </si>
  <si>
    <t>info@kuddles.co.nz</t>
  </si>
  <si>
    <t>6 Tarndale Grove</t>
  </si>
  <si>
    <t>Rosedale</t>
  </si>
  <si>
    <t>The Vines Early Learning</t>
  </si>
  <si>
    <t>09-8382022 Ext 0</t>
  </si>
  <si>
    <t>1 Enterprise Drive</t>
  </si>
  <si>
    <t>Nicole Bult</t>
  </si>
  <si>
    <t>85 Tapu Road</t>
  </si>
  <si>
    <t>Huapai</t>
  </si>
  <si>
    <t>Kumeu 0810</t>
  </si>
  <si>
    <t>BestStart Wolverton Street</t>
  </si>
  <si>
    <t>wolverton@best-start.org</t>
  </si>
  <si>
    <t>25 Wolverton Street</t>
  </si>
  <si>
    <t>Secret Garden ELC Limited</t>
  </si>
  <si>
    <t>418 Albany Highway</t>
  </si>
  <si>
    <t>2 Red Bluff Raise</t>
  </si>
  <si>
    <t>Bear Park Kohimarama</t>
  </si>
  <si>
    <t>09-528 0427</t>
  </si>
  <si>
    <t>kohi@bearpark.co.nz</t>
  </si>
  <si>
    <t>318 St Heliers Bay Road</t>
  </si>
  <si>
    <t>Active Explorers Ellerslie</t>
  </si>
  <si>
    <t>09-579 4991</t>
  </si>
  <si>
    <t>75 Ballarat Street</t>
  </si>
  <si>
    <t>Mount Wellington North West</t>
  </si>
  <si>
    <t>Tao Wu</t>
  </si>
  <si>
    <t>09-5794991</t>
  </si>
  <si>
    <t>Shining Starz Early Learning Centre</t>
  </si>
  <si>
    <t>09-816 8072</t>
  </si>
  <si>
    <t>info@shiningstarz.co.nz</t>
  </si>
  <si>
    <t>131 Atkinson Road</t>
  </si>
  <si>
    <t>Madhu Sondhi</t>
  </si>
  <si>
    <t>09-2762894</t>
  </si>
  <si>
    <t>Barnardos Early Learning Centre Manurewa</t>
  </si>
  <si>
    <t>09-269 2103</t>
  </si>
  <si>
    <t>manurewaeastelc@barnardos.org.nz</t>
  </si>
  <si>
    <t>14s Scotts Road</t>
  </si>
  <si>
    <t>Jen Kumar</t>
  </si>
  <si>
    <t>Learning Adventures Takanini</t>
  </si>
  <si>
    <t>09-2977678</t>
  </si>
  <si>
    <t>cm.takanini@learningadventures.co.nz</t>
  </si>
  <si>
    <t>Takanini McLennan</t>
  </si>
  <si>
    <t>Harshika Narayan</t>
  </si>
  <si>
    <t>09-266 5312</t>
  </si>
  <si>
    <t>Te Kōhanga Reo o Awaruaiti</t>
  </si>
  <si>
    <t>09-235 8004</t>
  </si>
  <si>
    <t>tekahuiitinei@gmail.com</t>
  </si>
  <si>
    <t>38 Tahuna Pa Road</t>
  </si>
  <si>
    <t>Nanaksar Education Phulwari</t>
  </si>
  <si>
    <t>09-268 9539</t>
  </si>
  <si>
    <t>aiectrust@gmail.com</t>
  </si>
  <si>
    <t>106A Great South Road</t>
  </si>
  <si>
    <t>Tarunjeet Kaur</t>
  </si>
  <si>
    <t>P O Box 75411</t>
  </si>
  <si>
    <t>09-2689539</t>
  </si>
  <si>
    <t>St Andrews Preschool</t>
  </si>
  <si>
    <t>09-267 3149</t>
  </si>
  <si>
    <t>preschool@sapc.org.nz</t>
  </si>
  <si>
    <t>150 Great South Road</t>
  </si>
  <si>
    <t>Kiwi Supertots Learning Centre, Botany</t>
  </si>
  <si>
    <t>09-2716553</t>
  </si>
  <si>
    <t>37 Bishop Dunn Place</t>
  </si>
  <si>
    <t>Akoteu Matavai Silai (Matavai Silai Preschool)</t>
  </si>
  <si>
    <t>09-275 8365</t>
  </si>
  <si>
    <t>akoteu@xtra.co.nz</t>
  </si>
  <si>
    <t>143 Favona Road</t>
  </si>
  <si>
    <t>Tasia Seleti</t>
  </si>
  <si>
    <t>Whaingaroa Childcare Center</t>
  </si>
  <si>
    <t>07-8250442</t>
  </si>
  <si>
    <t>info@whaingaroachildcare.co.nz</t>
  </si>
  <si>
    <t>5 Wallis Street</t>
  </si>
  <si>
    <t>Warnakulasuriya Fernando</t>
  </si>
  <si>
    <t>021-0683839</t>
  </si>
  <si>
    <t>Hinuera Playcentre</t>
  </si>
  <si>
    <t>07-9292123</t>
  </si>
  <si>
    <t>CNI.funding@playcentre.org.nz</t>
  </si>
  <si>
    <t>Hinuera Road</t>
  </si>
  <si>
    <t>Hinuera</t>
  </si>
  <si>
    <t>Cojana Spear</t>
  </si>
  <si>
    <t>Matamata Playcentre</t>
  </si>
  <si>
    <t>37 Farmers Road</t>
  </si>
  <si>
    <t>Tirau Playcentre</t>
  </si>
  <si>
    <t>Goodwin Street</t>
  </si>
  <si>
    <t>Tirau</t>
  </si>
  <si>
    <t>Tīrau</t>
  </si>
  <si>
    <t>Tirau Ward</t>
  </si>
  <si>
    <t>Tokoroa Playcentre</t>
  </si>
  <si>
    <t>Balmoral Drive</t>
  </si>
  <si>
    <t>Strathmore (South Waikato District)</t>
  </si>
  <si>
    <t>Happy Sprouts Educare Putaruru</t>
  </si>
  <si>
    <t>07-8833293</t>
  </si>
  <si>
    <t>happysproutseducare@gmail.com</t>
  </si>
  <si>
    <t>1 Commerce Street</t>
  </si>
  <si>
    <t>Marlene Harvey</t>
  </si>
  <si>
    <t>1287 Te Kawa Road</t>
  </si>
  <si>
    <t>Te Awamutu 3973</t>
  </si>
  <si>
    <t>021-2349022</t>
  </si>
  <si>
    <t>Te Kōhanga Reo o Te Oranga o Ngā Kaupapa</t>
  </si>
  <si>
    <t>07-847 3743</t>
  </si>
  <si>
    <t>89 Duke Street</t>
  </si>
  <si>
    <t>Frankton Junction</t>
  </si>
  <si>
    <t>Newstead Country Preschool</t>
  </si>
  <si>
    <t>07-8568366</t>
  </si>
  <si>
    <t>info@newsteadcountrypreschool.co.nz</t>
  </si>
  <si>
    <t>92 Vaile Road</t>
  </si>
  <si>
    <t>Hamilton Park</t>
  </si>
  <si>
    <t>Tamahere-Woodlands General Ward</t>
  </si>
  <si>
    <t>Tracy Trigg</t>
  </si>
  <si>
    <t>181 Reid Road RD 2, Ohaupo</t>
  </si>
  <si>
    <t>Hamilton 3882</t>
  </si>
  <si>
    <t>Waiapu Kids St Mary's Tahatai</t>
  </si>
  <si>
    <t>07-5725016</t>
  </si>
  <si>
    <t>admin.tahatai@acw.org.nz</t>
  </si>
  <si>
    <t>114 Evans Road</t>
  </si>
  <si>
    <t>Trish Parkes</t>
  </si>
  <si>
    <t>P O Box 227</t>
  </si>
  <si>
    <t>Napier 4140</t>
  </si>
  <si>
    <t>Happy Sprouts Educare Ltd</t>
  </si>
  <si>
    <t>07-8738487</t>
  </si>
  <si>
    <t>11a Kakamutu Road</t>
  </si>
  <si>
    <t>BestStart MacDonald Street</t>
  </si>
  <si>
    <t>07-5752657</t>
  </si>
  <si>
    <t>39 MacDonald Street</t>
  </si>
  <si>
    <t>Mt Maunganui</t>
  </si>
  <si>
    <t>Mount Maunganui Central</t>
  </si>
  <si>
    <t>Julie Bradley</t>
  </si>
  <si>
    <t>027-7030394</t>
  </si>
  <si>
    <t>Te Kōhanga Reo o Te Kaahu</t>
  </si>
  <si>
    <t>07-824 8335</t>
  </si>
  <si>
    <t>9 Edward Street</t>
  </si>
  <si>
    <t>BestStart Doncaster Drive Kindy</t>
  </si>
  <si>
    <t>07-542 3479</t>
  </si>
  <si>
    <t>doncaster.kindy@best-start.org</t>
  </si>
  <si>
    <t>32B Doncaster Drive</t>
  </si>
  <si>
    <t>BestStart Morrinsville</t>
  </si>
  <si>
    <t>07-8890042</t>
  </si>
  <si>
    <t>morrinsville@best-start.org</t>
  </si>
  <si>
    <t>190 Studholme Street</t>
  </si>
  <si>
    <t>Morrinsville North</t>
  </si>
  <si>
    <t>Te Ōki Early Learning</t>
  </si>
  <si>
    <t>07-8703910</t>
  </si>
  <si>
    <t>teokiearlylearning@gmail.com</t>
  </si>
  <si>
    <t>192 Domain Rd</t>
  </si>
  <si>
    <t>Abby Cheney</t>
  </si>
  <si>
    <t>192 Domain Road</t>
  </si>
  <si>
    <t xml:space="preserve">Te Awamutu </t>
  </si>
  <si>
    <t>Kids at Home Hamilton 2</t>
  </si>
  <si>
    <t>0508-3382273</t>
  </si>
  <si>
    <t>ella@edubase.co.nz</t>
  </si>
  <si>
    <t>57A Spring Street</t>
  </si>
  <si>
    <t>Tauranga Central</t>
  </si>
  <si>
    <t>Leanne Masters</t>
  </si>
  <si>
    <t>Tauranga 3110</t>
  </si>
  <si>
    <t>Kihikihi Early Adventurers</t>
  </si>
  <si>
    <t>07-8715130</t>
  </si>
  <si>
    <t>1 Carey Street</t>
  </si>
  <si>
    <t>Kusum Singh</t>
  </si>
  <si>
    <t>021-02719050</t>
  </si>
  <si>
    <t>Li'l Pumpkins Preschool Centre Limited</t>
  </si>
  <si>
    <t>07-8434004</t>
  </si>
  <si>
    <t>admin@lilpumpkins.co.nz</t>
  </si>
  <si>
    <t>99 Peacockes Road</t>
  </si>
  <si>
    <t>Fitzroy (Hamilton City)</t>
  </si>
  <si>
    <t>Sharon Honiss</t>
  </si>
  <si>
    <t>P O Box 24170</t>
  </si>
  <si>
    <t>Hamilton 3253</t>
  </si>
  <si>
    <t>07-8390025</t>
  </si>
  <si>
    <t>BestStart Kawaha Point</t>
  </si>
  <si>
    <t>07-3478911</t>
  </si>
  <si>
    <t>kawahapoint@best-start.org</t>
  </si>
  <si>
    <t>75 Aquarius Drive</t>
  </si>
  <si>
    <t>Kawaha Point</t>
  </si>
  <si>
    <t>Kawaha</t>
  </si>
  <si>
    <t>BestStart St Andrews</t>
  </si>
  <si>
    <t>07-849 7750</t>
  </si>
  <si>
    <t>standrews@best-start.org</t>
  </si>
  <si>
    <t>37 Sunshine Avenue</t>
  </si>
  <si>
    <t>Te Rapa South</t>
  </si>
  <si>
    <t>City Limits Early Learning Centre Ltd</t>
  </si>
  <si>
    <t>07-8550656</t>
  </si>
  <si>
    <t>729 Grey Street</t>
  </si>
  <si>
    <t>Pescha Eccles</t>
  </si>
  <si>
    <t>2 Red Bluff Rise, Campbells Bay</t>
  </si>
  <si>
    <t>07-8550658</t>
  </si>
  <si>
    <t>BestStart Claudelands</t>
  </si>
  <si>
    <t>07-855 5972</t>
  </si>
  <si>
    <t>claudelands@best-start.org</t>
  </si>
  <si>
    <t>2 E Brooklyn Road</t>
  </si>
  <si>
    <t>BestStart Hillcrest</t>
  </si>
  <si>
    <t>07-3492933</t>
  </si>
  <si>
    <t>26 Puriri Crescent</t>
  </si>
  <si>
    <t>Hillcrest (Rotorua District)</t>
  </si>
  <si>
    <t>Te Rangimārie Kōhanga Reo Ki Rotorua</t>
  </si>
  <si>
    <t>07-000</t>
  </si>
  <si>
    <t>63 Ford Road</t>
  </si>
  <si>
    <t>Dawn Whare</t>
  </si>
  <si>
    <t>027-3296080</t>
  </si>
  <si>
    <t>Central Kids Kindergartens - Northwood</t>
  </si>
  <si>
    <t>07-3782699</t>
  </si>
  <si>
    <t>northwood@centralkids.org.nz</t>
  </si>
  <si>
    <t>30 Northwood Road</t>
  </si>
  <si>
    <t>Nukuhau</t>
  </si>
  <si>
    <t>Brentwood (Taupo District)</t>
  </si>
  <si>
    <t>Te Kauwhata Childcare &amp; Learning Centre</t>
  </si>
  <si>
    <t>07-8263280</t>
  </si>
  <si>
    <t>tkchildcare@outlook.com</t>
  </si>
  <si>
    <t>9 Mahi Road</t>
  </si>
  <si>
    <t>Gayle Story</t>
  </si>
  <si>
    <t>Waikato 3710</t>
  </si>
  <si>
    <t>Four Winds Ngahau E Fa</t>
  </si>
  <si>
    <t>07-8462033</t>
  </si>
  <si>
    <t>katrina4winds@gmail.com</t>
  </si>
  <si>
    <t>13 West Street</t>
  </si>
  <si>
    <t>'Ema Bourne</t>
  </si>
  <si>
    <t>P O Box 9034</t>
  </si>
  <si>
    <t>Waikato 3240</t>
  </si>
  <si>
    <t>Home Grown Kids (South)</t>
  </si>
  <si>
    <t>0508-445437</t>
  </si>
  <si>
    <t>jess@hgk.co.nz</t>
  </si>
  <si>
    <t>189 Moffat Road</t>
  </si>
  <si>
    <t>Bethlehem</t>
  </si>
  <si>
    <t>Bethlehem Central</t>
  </si>
  <si>
    <t>Jess Penney</t>
  </si>
  <si>
    <t>BestStart Greerton</t>
  </si>
  <si>
    <t>07-5432289</t>
  </si>
  <si>
    <t>greerton@best-start.org</t>
  </si>
  <si>
    <t>169A Maleme Street</t>
  </si>
  <si>
    <t>The Garden Early Childhood Centre Gate Pa</t>
  </si>
  <si>
    <t>07-5715242</t>
  </si>
  <si>
    <t>mornay@thegarden.co.nz</t>
  </si>
  <si>
    <t>1021 Cameron Road</t>
  </si>
  <si>
    <t>Gate Pa</t>
  </si>
  <si>
    <t>Mornay Jacobs</t>
  </si>
  <si>
    <t>6a Kayelene Place</t>
  </si>
  <si>
    <t xml:space="preserve">Omokoroa </t>
  </si>
  <si>
    <t>07-5623341</t>
  </si>
  <si>
    <t>Fairy Springs ELC</t>
  </si>
  <si>
    <t>07-3460610</t>
  </si>
  <si>
    <t>5 Isobel Street</t>
  </si>
  <si>
    <t>Rotorua Central</t>
  </si>
  <si>
    <t>Fairy Springs</t>
  </si>
  <si>
    <t>Linda Irwin</t>
  </si>
  <si>
    <t>69 Symes Drive</t>
  </si>
  <si>
    <t>027-4898604</t>
  </si>
  <si>
    <t>Educare Tree Town</t>
  </si>
  <si>
    <t>07-8234570</t>
  </si>
  <si>
    <t>michaela.s@educare.co.nz</t>
  </si>
  <si>
    <t>21a Wilson Street</t>
  </si>
  <si>
    <t>Cambridge Central</t>
  </si>
  <si>
    <t>Michaela Smith</t>
  </si>
  <si>
    <t>07-8278406</t>
  </si>
  <si>
    <t>Te Kāhui Ako o Te Oko Horoi</t>
  </si>
  <si>
    <t>Kindy Tweenz</t>
  </si>
  <si>
    <t>07-8555722</t>
  </si>
  <si>
    <t>gareth@kindyz.co.nz</t>
  </si>
  <si>
    <t>7 Colman Street</t>
  </si>
  <si>
    <t>Gareth Pritchard</t>
  </si>
  <si>
    <t>6 Rembrandt Terrace</t>
  </si>
  <si>
    <t>Rototuna</t>
  </si>
  <si>
    <t>Hamilton 3210</t>
  </si>
  <si>
    <t>022-0432127</t>
  </si>
  <si>
    <t>Te Pae Here Kāhui Ako Te Raki Rāwhiti o Kirikiriroa</t>
  </si>
  <si>
    <t>Homebased Childcare Ltd 1</t>
  </si>
  <si>
    <t>021-362810</t>
  </si>
  <si>
    <t>zandra@rotoruahomebased.co.nz</t>
  </si>
  <si>
    <t>138 Otonga Road</t>
  </si>
  <si>
    <t>Tihiotonga-Whakarewarewa</t>
  </si>
  <si>
    <t>Zandra Harding</t>
  </si>
  <si>
    <t xml:space="preserve">Rotorua </t>
  </si>
  <si>
    <t>Active Explorers Farnborough</t>
  </si>
  <si>
    <t>07-8505055</t>
  </si>
  <si>
    <t>cm.farnborough@activeexplorers.co.nz</t>
  </si>
  <si>
    <t>35 Farnborough Drive</t>
  </si>
  <si>
    <t>Nawton West</t>
  </si>
  <si>
    <t>Angela Maseyk</t>
  </si>
  <si>
    <t>Taupo Childrens Corner</t>
  </si>
  <si>
    <t>07-3782943</t>
  </si>
  <si>
    <t>office@taupochildrenscorner.co.nz</t>
  </si>
  <si>
    <t>73 Lakewood Drive</t>
  </si>
  <si>
    <t>Helen Passmore</t>
  </si>
  <si>
    <t>P O Box 1561</t>
  </si>
  <si>
    <t>Waikato 3351</t>
  </si>
  <si>
    <t>07-3771240</t>
  </si>
  <si>
    <t>Rainbows Gordonton Early Childhood Centre</t>
  </si>
  <si>
    <t>07-824 3188</t>
  </si>
  <si>
    <t>office@rainbows.org.nz</t>
  </si>
  <si>
    <t>21 College Drive</t>
  </si>
  <si>
    <t>Gordonton</t>
  </si>
  <si>
    <t>Kainui-Gordonton</t>
  </si>
  <si>
    <t>Kathryn Dyer</t>
  </si>
  <si>
    <t xml:space="preserve">21 College Drive RD 1 </t>
  </si>
  <si>
    <t>Taupiri 3791</t>
  </si>
  <si>
    <t>027-2002099</t>
  </si>
  <si>
    <t>BestStart Clarence Street</t>
  </si>
  <si>
    <t>07-834 2291</t>
  </si>
  <si>
    <t>128 Clarence Street</t>
  </si>
  <si>
    <t>Hamilton Lake North</t>
  </si>
  <si>
    <t>Pukeko Preschool Claudelands</t>
  </si>
  <si>
    <t>07-8538448</t>
  </si>
  <si>
    <t>12 Claude Street</t>
  </si>
  <si>
    <t>Fairfield South (Hamilton City)</t>
  </si>
  <si>
    <t>Joseph Paguia</t>
  </si>
  <si>
    <t>021-02389276</t>
  </si>
  <si>
    <t>Central Kids Kindergartens – Dinsdale</t>
  </si>
  <si>
    <t>24 Dinsdale Road</t>
  </si>
  <si>
    <t>Te Ara Ki Te Reo Ki Kuirau</t>
  </si>
  <si>
    <t>07-3460806</t>
  </si>
  <si>
    <t>bev@tearakitereo.co.nz</t>
  </si>
  <si>
    <t>1351 Amohau Street</t>
  </si>
  <si>
    <t>Kuirau</t>
  </si>
  <si>
    <t>Alyssa Tibble</t>
  </si>
  <si>
    <t>P O Box 211</t>
  </si>
  <si>
    <t>Rotorua Mail Centre</t>
  </si>
  <si>
    <t>Rotorua 3040</t>
  </si>
  <si>
    <t>07-3572303</t>
  </si>
  <si>
    <t>Papamoa Coast Kindergarten</t>
  </si>
  <si>
    <t>07-5422269</t>
  </si>
  <si>
    <t>papamoacoast@ikindergartens.nz</t>
  </si>
  <si>
    <t>236 Dickson Road</t>
  </si>
  <si>
    <t>Papamoa Beach South</t>
  </si>
  <si>
    <t>Tamariki Akoranga</t>
  </si>
  <si>
    <t>07-8958006</t>
  </si>
  <si>
    <t>yvonne.tahere@kokiritrust.org.nz</t>
  </si>
  <si>
    <t>65 Huia Street</t>
  </si>
  <si>
    <t>Christine Brears</t>
  </si>
  <si>
    <t>P O Box 286</t>
  </si>
  <si>
    <t>Taumarunui 3946</t>
  </si>
  <si>
    <t>07-8955919</t>
  </si>
  <si>
    <t>Ra-itu Koanga Reo</t>
  </si>
  <si>
    <t>07-8865550</t>
  </si>
  <si>
    <t>raitu@xtra.co.nz</t>
  </si>
  <si>
    <t>27 Thompson Street</t>
  </si>
  <si>
    <t>Tamoe Kamoe</t>
  </si>
  <si>
    <t>P O Box 516</t>
  </si>
  <si>
    <t>Waikato 3444</t>
  </si>
  <si>
    <t xml:space="preserve">027- 316 7154  </t>
  </si>
  <si>
    <t>BestStart Montessori Flagstaff</t>
  </si>
  <si>
    <t>07-8543857</t>
  </si>
  <si>
    <t>3 Admiral Crescent</t>
  </si>
  <si>
    <t>Flagstaff-Hamilton</t>
  </si>
  <si>
    <t>Flagstaff East</t>
  </si>
  <si>
    <t>Te Rau Ōriwa Puna Reo</t>
  </si>
  <si>
    <t>07-8860324</t>
  </si>
  <si>
    <t>emma.mouroa@twoa.ac.nz</t>
  </si>
  <si>
    <t>Te Wananga O Aotearoa Maraetai Road</t>
  </si>
  <si>
    <t>Samantha Turipa</t>
  </si>
  <si>
    <t>P O Box 6076</t>
  </si>
  <si>
    <t>Urlich</t>
  </si>
  <si>
    <t>Hamilton 3246</t>
  </si>
  <si>
    <t>07-8850425</t>
  </si>
  <si>
    <t>Central Kids Kindergartens - Tairua</t>
  </si>
  <si>
    <t>tairua@centralkids.org.nz</t>
  </si>
  <si>
    <t>52 Hornsea Road</t>
  </si>
  <si>
    <t>Tairua</t>
  </si>
  <si>
    <t>South East Ward</t>
  </si>
  <si>
    <t>Waiapu Kids - St Francis Whanau Aroha</t>
  </si>
  <si>
    <t>07-3473080</t>
  </si>
  <si>
    <t>13 Thomas Crescent</t>
  </si>
  <si>
    <t>Pleasant Heights</t>
  </si>
  <si>
    <t>Erin Batley</t>
  </si>
  <si>
    <t>BestStart Rototuna</t>
  </si>
  <si>
    <t>07-8540540</t>
  </si>
  <si>
    <t>rototuna@best-start.org</t>
  </si>
  <si>
    <t>23 Saxon Woods Drive</t>
  </si>
  <si>
    <t>Rototuna North</t>
  </si>
  <si>
    <t>Rototuna West</t>
  </si>
  <si>
    <t>Punavai O Le Gagana Samoa</t>
  </si>
  <si>
    <t>06-8797568</t>
  </si>
  <si>
    <t>administrator@punavai.org</t>
  </si>
  <si>
    <t>80 Caernarvon Drive</t>
  </si>
  <si>
    <t>Tumema Faioso</t>
  </si>
  <si>
    <t>P O Box 15016</t>
  </si>
  <si>
    <t>Hawkes Bay 4154</t>
  </si>
  <si>
    <t>04-8799597</t>
  </si>
  <si>
    <t>Early Learners Cate Rd</t>
  </si>
  <si>
    <t>07-8546250</t>
  </si>
  <si>
    <t>info@earlylearnerschildcare.co.nz</t>
  </si>
  <si>
    <t>41 Cate Road</t>
  </si>
  <si>
    <t>Merran Davis</t>
  </si>
  <si>
    <t>39 Cate Road</t>
  </si>
  <si>
    <t>Te Kuiti Community Childcare Centre Inc.</t>
  </si>
  <si>
    <t>07-8787200</t>
  </si>
  <si>
    <t>manager@thecottage.org.nz</t>
  </si>
  <si>
    <t>65 Esplanade</t>
  </si>
  <si>
    <t>Te Kuiti</t>
  </si>
  <si>
    <t>Waitomo District</t>
  </si>
  <si>
    <t>Te Kūiti East</t>
  </si>
  <si>
    <t>Te Kuiti Ward</t>
  </si>
  <si>
    <t>Elizabeth Rendall</t>
  </si>
  <si>
    <t>P O Box 30</t>
  </si>
  <si>
    <t>Te Kuiti 3941</t>
  </si>
  <si>
    <t>021-0474625</t>
  </si>
  <si>
    <t>Waitomo Arotahi Kāhui Ako</t>
  </si>
  <si>
    <t>Campus Creche at Fraser</t>
  </si>
  <si>
    <t>07-8474696</t>
  </si>
  <si>
    <t>72 Elllicott Road</t>
  </si>
  <si>
    <t>Rangi Tapara</t>
  </si>
  <si>
    <t>c/- The University of Waikato Private Bag 3105</t>
  </si>
  <si>
    <t>Hamilton 3204</t>
  </si>
  <si>
    <t>07-838 4034</t>
  </si>
  <si>
    <t>BestStart Somerset Street</t>
  </si>
  <si>
    <t>07-8467180</t>
  </si>
  <si>
    <t>7 Somerset Street</t>
  </si>
  <si>
    <t>Chapel Hill Kindergarten</t>
  </si>
  <si>
    <t>07-8541295</t>
  </si>
  <si>
    <t>admin@chapelhillkindergarten.co.nz</t>
  </si>
  <si>
    <t>2 Cate Road</t>
  </si>
  <si>
    <t>Rototuna South East</t>
  </si>
  <si>
    <t>Graeme Allen</t>
  </si>
  <si>
    <t>P O Box 28053</t>
  </si>
  <si>
    <t>Hamilton 3256</t>
  </si>
  <si>
    <t>022-1269255</t>
  </si>
  <si>
    <t>BestStart Girven Road</t>
  </si>
  <si>
    <t>07-5755534</t>
  </si>
  <si>
    <t>58 Girven Road</t>
  </si>
  <si>
    <t>Kawhia Early Childhood Centre Kura Tiaki</t>
  </si>
  <si>
    <t>keccheadteacher@hotmail.com</t>
  </si>
  <si>
    <t>318 Rosamond Terrace</t>
  </si>
  <si>
    <t>Kawhia</t>
  </si>
  <si>
    <t>Pirongia Forest</t>
  </si>
  <si>
    <t>Kāwhia-Tihiroa General Ward</t>
  </si>
  <si>
    <t>Sarah  Williamson</t>
  </si>
  <si>
    <t>Kawhia 3843</t>
  </si>
  <si>
    <t>07-8710048</t>
  </si>
  <si>
    <t>BestStart Waihi East</t>
  </si>
  <si>
    <t>07-8637955</t>
  </si>
  <si>
    <t>8 Mataura Road</t>
  </si>
  <si>
    <t>Samoa Taumafai Aoga Amata</t>
  </si>
  <si>
    <t>07-8862494</t>
  </si>
  <si>
    <t>samoataumafai@xtra.co.nz</t>
  </si>
  <si>
    <t>8 Giles Street</t>
  </si>
  <si>
    <t>Tokoroa Central</t>
  </si>
  <si>
    <t>Lynnda Misa-Tilivea</t>
  </si>
  <si>
    <t>P O Box 422</t>
  </si>
  <si>
    <t>022-5239010</t>
  </si>
  <si>
    <t>Whenuakite Country Kids</t>
  </si>
  <si>
    <t>07-8663360</t>
  </si>
  <si>
    <t>info@wck.co.nz</t>
  </si>
  <si>
    <t>1052 B Tairua-Whenuakite Road</t>
  </si>
  <si>
    <t>Mercury Bay South</t>
  </si>
  <si>
    <t>Jasmine Lockhart</t>
  </si>
  <si>
    <t>1052B Tairua-Whitianga Rd RD 1</t>
  </si>
  <si>
    <t>Whitianga 3591</t>
  </si>
  <si>
    <t>Busy Bees Frimley</t>
  </si>
  <si>
    <t>06-8788949</t>
  </si>
  <si>
    <t>312 Frimley Ave</t>
  </si>
  <si>
    <t>Frimley</t>
  </si>
  <si>
    <t>Iona  Inglis</t>
  </si>
  <si>
    <t>06-8772335</t>
  </si>
  <si>
    <t>Amazing Place Preschool (Sunset Road)</t>
  </si>
  <si>
    <t>07-3439991</t>
  </si>
  <si>
    <t>manager@amazingplace.school.nz</t>
  </si>
  <si>
    <t>87 Sunset Road</t>
  </si>
  <si>
    <t>Mangakakahi West</t>
  </si>
  <si>
    <t>Timothy Collins</t>
  </si>
  <si>
    <t>Bethlehem Early Learning Centr Private Bag 12003</t>
  </si>
  <si>
    <t>Tauranga 3143</t>
  </si>
  <si>
    <t>07-5791873  Ext 7873</t>
  </si>
  <si>
    <t>Ngā Whānau O Karaiti Kāhui Ako</t>
  </si>
  <si>
    <t>Te Whare Whai Hua</t>
  </si>
  <si>
    <t>06-8680255</t>
  </si>
  <si>
    <t>cltwwh@ora.org.nz</t>
  </si>
  <si>
    <t>Lytton High School Nelson Road</t>
  </si>
  <si>
    <t>Jean-Ellan Tomoana</t>
  </si>
  <si>
    <t>P O Box 2124</t>
  </si>
  <si>
    <t>Rockmybaby Childcare</t>
  </si>
  <si>
    <t>06-8779595</t>
  </si>
  <si>
    <t>havelocknorth@rockmybaby.co.nz</t>
  </si>
  <si>
    <t>13 Porter Drive</t>
  </si>
  <si>
    <t>Havelock North-Central</t>
  </si>
  <si>
    <t>Abbey Kelsen</t>
  </si>
  <si>
    <t>P O Box 8720</t>
  </si>
  <si>
    <t>Hawkes Bay 4157</t>
  </si>
  <si>
    <t>022-0773682</t>
  </si>
  <si>
    <t>Lollipops Waikato Hospital</t>
  </si>
  <si>
    <t>07-8380034</t>
  </si>
  <si>
    <t>cm.waikatohospital@ledu.co.nz</t>
  </si>
  <si>
    <t>230 Pembroke Street</t>
  </si>
  <si>
    <t>Donna Huriwai</t>
  </si>
  <si>
    <t>022-051 3473</t>
  </si>
  <si>
    <t>Jubilee Catholic Early Childhood Centre</t>
  </si>
  <si>
    <t>07-8564072</t>
  </si>
  <si>
    <t>jubilee.cdh@xtra.co.nz</t>
  </si>
  <si>
    <t>67 Clyde Street</t>
  </si>
  <si>
    <t>Hamilton East Village</t>
  </si>
  <si>
    <t>Valerie Penrose</t>
  </si>
  <si>
    <t>PO Box 4353</t>
  </si>
  <si>
    <t>Waikato Catholic Kāhui Ako</t>
  </si>
  <si>
    <t>Central City Quality Edu-care Ltd</t>
  </si>
  <si>
    <t>07-3437007</t>
  </si>
  <si>
    <t>1277 Pukuatua Street</t>
  </si>
  <si>
    <t>Sheryl Terlesk</t>
  </si>
  <si>
    <t>Maraekakaho Early Childhood Centre</t>
  </si>
  <si>
    <t xml:space="preserve">06-874 9010 </t>
  </si>
  <si>
    <t>supervisor@gumboots.org.nz</t>
  </si>
  <si>
    <t>64 Kereru Road</t>
  </si>
  <si>
    <t>Maraekakaho</t>
  </si>
  <si>
    <t>Kahurānaki General Ward</t>
  </si>
  <si>
    <t>Helen Davison</t>
  </si>
  <si>
    <t>64 Kereru Road RD 1</t>
  </si>
  <si>
    <t>Hawkes Bay 4171</t>
  </si>
  <si>
    <t>06-8749010</t>
  </si>
  <si>
    <t>Whakamarama &amp; Districts Kindergarten</t>
  </si>
  <si>
    <t>07-5526631</t>
  </si>
  <si>
    <t>whakamarama@ikindergartens.nz</t>
  </si>
  <si>
    <t>474 Whakamarama Road, RD 7</t>
  </si>
  <si>
    <t>Pahoia East</t>
  </si>
  <si>
    <t>Kaimai Ward</t>
  </si>
  <si>
    <t>Nurtured at Home - Taranaki 2</t>
  </si>
  <si>
    <t>0800-221177</t>
  </si>
  <si>
    <t>josh@nurturedathome.co.nz</t>
  </si>
  <si>
    <t>234 Bankwood Road</t>
  </si>
  <si>
    <t>Kay Moffat</t>
  </si>
  <si>
    <t>BestStart Jones Crescent Kindy</t>
  </si>
  <si>
    <t>07-8431691</t>
  </si>
  <si>
    <t>9 Jones Crescent</t>
  </si>
  <si>
    <t>Melville North</t>
  </si>
  <si>
    <t>Midcity Childcare</t>
  </si>
  <si>
    <t>07-9573698</t>
  </si>
  <si>
    <t>55 Rostrevor Street</t>
  </si>
  <si>
    <t>Kirikiriroa</t>
  </si>
  <si>
    <t>Helen Monckton</t>
  </si>
  <si>
    <t>P O Box 9011</t>
  </si>
  <si>
    <t>07-8383109</t>
  </si>
  <si>
    <t>Bizzy Bodz Early Learning Centre - Huntly</t>
  </si>
  <si>
    <t>07-8288145</t>
  </si>
  <si>
    <t>huntly@bizzybodzeducare.co.nz</t>
  </si>
  <si>
    <t>7 George Drive</t>
  </si>
  <si>
    <t>Gina Prendergast</t>
  </si>
  <si>
    <t>P O Box 53</t>
  </si>
  <si>
    <t>022-6955356</t>
  </si>
  <si>
    <t>Bay Buddies Preschool</t>
  </si>
  <si>
    <t>06-8788387</t>
  </si>
  <si>
    <t>office@deanalie.nz</t>
  </si>
  <si>
    <t>110 Tomoana Road</t>
  </si>
  <si>
    <t>St Leonards-Napier/Hastings</t>
  </si>
  <si>
    <t>St Leonards</t>
  </si>
  <si>
    <t>Katrina Huisman</t>
  </si>
  <si>
    <t>P O Box 8722</t>
  </si>
  <si>
    <t>Havelock North 4157</t>
  </si>
  <si>
    <t>Piki Te Ora</t>
  </si>
  <si>
    <t>06-8788109 Ext 6085</t>
  </si>
  <si>
    <t>Elin.Robertson@hbdhb.govt.nz</t>
  </si>
  <si>
    <t>Hawke's Bay Hospital Omahu Road</t>
  </si>
  <si>
    <t>Michelle Robertson</t>
  </si>
  <si>
    <t>Hawkes Bay Hospital Private Bag 9014</t>
  </si>
  <si>
    <t>Hawkes Bay 4156</t>
  </si>
  <si>
    <t>06-8788109 Ext 2584</t>
  </si>
  <si>
    <t>Te Kōhanga Reo o Taniwhā Tūmeke</t>
  </si>
  <si>
    <t>06-8764295</t>
  </si>
  <si>
    <t>whanau@K08c083.kohanga.ac.nz</t>
  </si>
  <si>
    <t xml:space="preserve"> Wall Street 1013 Wall Street</t>
  </si>
  <si>
    <t>Heke Turoa Huata</t>
  </si>
  <si>
    <t>06-8703220</t>
  </si>
  <si>
    <t>BestStart Peachgrove Road</t>
  </si>
  <si>
    <t>07-8555411</t>
  </si>
  <si>
    <t>peachgrove@best-start.org</t>
  </si>
  <si>
    <t>205 Peachgrove Road</t>
  </si>
  <si>
    <t>Peachgrove</t>
  </si>
  <si>
    <t>Kids at Home Hamilton 4</t>
  </si>
  <si>
    <t>TnT Kidscare</t>
  </si>
  <si>
    <t>07-8248871</t>
  </si>
  <si>
    <t>3 Galileo Street</t>
  </si>
  <si>
    <t>Tanya Sullivan</t>
  </si>
  <si>
    <t>6201 Great South Road, RD8</t>
  </si>
  <si>
    <t>Horotiu</t>
  </si>
  <si>
    <t>Waikato 3288</t>
  </si>
  <si>
    <t>027-839 2942</t>
  </si>
  <si>
    <t>Raroera Te Puawai Puna Reo</t>
  </si>
  <si>
    <t>07-8499742</t>
  </si>
  <si>
    <t>lesley.hamiora@twoa.ac.nz</t>
  </si>
  <si>
    <t>510 Te Rapa Road</t>
  </si>
  <si>
    <t>Lesley  Hamiora</t>
  </si>
  <si>
    <t>027-2470958</t>
  </si>
  <si>
    <t>Apakura Te Kākano Puna Reo</t>
  </si>
  <si>
    <t>tracy.rikihana@twoa.ac.nz</t>
  </si>
  <si>
    <t>296 Factory Road</t>
  </si>
  <si>
    <t>Te Awamutu North</t>
  </si>
  <si>
    <t>Tracy Rikihana</t>
  </si>
  <si>
    <t>Central Kids Kindergartens - Ngā Ririki</t>
  </si>
  <si>
    <t>07-3239324</t>
  </si>
  <si>
    <t>ngaririki@centralkids.org.nz</t>
  </si>
  <si>
    <t>40 Ballance Street</t>
  </si>
  <si>
    <t>Tarawera Park</t>
  </si>
  <si>
    <t>Hopscotch Early Learning Childcare Centre</t>
  </si>
  <si>
    <t>07-8738732</t>
  </si>
  <si>
    <t>elc@hopscotch.kiwi</t>
  </si>
  <si>
    <t>11 Bledisloe Avenue</t>
  </si>
  <si>
    <t>Charlotte Clapcott</t>
  </si>
  <si>
    <t>Waikato 3900</t>
  </si>
  <si>
    <t>07-8738639</t>
  </si>
  <si>
    <t>Beginnings and Beyond Quality Preschool</t>
  </si>
  <si>
    <t>07-5747942</t>
  </si>
  <si>
    <t>beginningsandbeyondcentres@gmail.com</t>
  </si>
  <si>
    <t>209 Gravatt Road</t>
  </si>
  <si>
    <t>Belinda Cassidy</t>
  </si>
  <si>
    <t>209 Gravatt Rd</t>
  </si>
  <si>
    <t>07-5421384</t>
  </si>
  <si>
    <t>Busy Bees Putaruru</t>
  </si>
  <si>
    <t>07-8821250</t>
  </si>
  <si>
    <t>manager@putaruru.busybees.org.nz</t>
  </si>
  <si>
    <t>69 Buckland Street</t>
  </si>
  <si>
    <t>Leander Rangi</t>
  </si>
  <si>
    <t>Home Grown Kids (Auckland - North Shore)</t>
  </si>
  <si>
    <t>0508-445 437</t>
  </si>
  <si>
    <t>info@hgk.co.nz</t>
  </si>
  <si>
    <t>Stacey Dunn</t>
  </si>
  <si>
    <t>Fanau a le Tupu A'oga Amata</t>
  </si>
  <si>
    <t>06-8438762</t>
  </si>
  <si>
    <t>charles@kingsharvestcentre.com</t>
  </si>
  <si>
    <t>190 Riverbend Road</t>
  </si>
  <si>
    <t>Meeanee-Awatoto</t>
  </si>
  <si>
    <t>Charles  Faletutulu</t>
  </si>
  <si>
    <t>P O Box 4237</t>
  </si>
  <si>
    <t>06-8432642</t>
  </si>
  <si>
    <t>Busy Bees Douglas Street</t>
  </si>
  <si>
    <t>07-3085222</t>
  </si>
  <si>
    <t>info@douglasstreet.busybees.org.nz</t>
  </si>
  <si>
    <t>41 Douglas Street</t>
  </si>
  <si>
    <t>Allandale</t>
  </si>
  <si>
    <t>Karla Goddard</t>
  </si>
  <si>
    <t>BestStart Dinsdale</t>
  </si>
  <si>
    <t>07-8479169</t>
  </si>
  <si>
    <t>dinsdale@best-start.org</t>
  </si>
  <si>
    <t>8 Railside Place</t>
  </si>
  <si>
    <t>Greenpark Pre-school</t>
  </si>
  <si>
    <t>07-5411717</t>
  </si>
  <si>
    <t>gppreschool@xtra.co.nz</t>
  </si>
  <si>
    <t>106 Argyll Road</t>
  </si>
  <si>
    <t>Greerton North</t>
  </si>
  <si>
    <t>Sam An</t>
  </si>
  <si>
    <t xml:space="preserve">Tauranga </t>
  </si>
  <si>
    <t>07-5755160</t>
  </si>
  <si>
    <t>Minnows Kindergarten</t>
  </si>
  <si>
    <t>07-5482040</t>
  </si>
  <si>
    <t>minnows@xtra.co.nz</t>
  </si>
  <si>
    <t>3 Margaret Drive</t>
  </si>
  <si>
    <t>Omokoroa</t>
  </si>
  <si>
    <t>Ōmokoroa North</t>
  </si>
  <si>
    <t>Nirmala Madhavan</t>
  </si>
  <si>
    <t>Omokoroa 3114</t>
  </si>
  <si>
    <t>BestStart Greenmeadows</t>
  </si>
  <si>
    <t>06-8443408</t>
  </si>
  <si>
    <t>greenmeadows@best-start.org</t>
  </si>
  <si>
    <t>66 Tait Drive</t>
  </si>
  <si>
    <t>Greenmeadows South</t>
  </si>
  <si>
    <t>Kelly Abraham</t>
  </si>
  <si>
    <t>06-8565798</t>
  </si>
  <si>
    <t>The Treehouse on Ranolf</t>
  </si>
  <si>
    <t>07-3485733</t>
  </si>
  <si>
    <t>treehousedaycare@xtra.co.nz</t>
  </si>
  <si>
    <t>141 Ranolf Street</t>
  </si>
  <si>
    <t>Glenholme North</t>
  </si>
  <si>
    <t>Lorryl McIndoe</t>
  </si>
  <si>
    <t>Glenholme</t>
  </si>
  <si>
    <t>Rotorua 3010</t>
  </si>
  <si>
    <t>07-349 6080</t>
  </si>
  <si>
    <t>Waihi Playcentre</t>
  </si>
  <si>
    <t>toni.schou@playcentre.org.nz</t>
  </si>
  <si>
    <t>Consols Street</t>
  </si>
  <si>
    <t>Waihī South</t>
  </si>
  <si>
    <t>Rototuna Early Education Centre</t>
  </si>
  <si>
    <t>07-8538157</t>
  </si>
  <si>
    <t>25 Strathmore Drive</t>
  </si>
  <si>
    <t>Hamilton North</t>
  </si>
  <si>
    <t>BestStart Puketaha Road</t>
  </si>
  <si>
    <t>07-8551716</t>
  </si>
  <si>
    <t>puketaha@best-start.org</t>
  </si>
  <si>
    <t>144 Puketaha Road</t>
  </si>
  <si>
    <t>Cambridge Montessori</t>
  </si>
  <si>
    <t>07-8235949</t>
  </si>
  <si>
    <t>admin@cmps.co.nz</t>
  </si>
  <si>
    <t>22a Taylor Street</t>
  </si>
  <si>
    <t>Cambridge West</t>
  </si>
  <si>
    <t>Sophie Aston</t>
  </si>
  <si>
    <t>Cambridge 3434</t>
  </si>
  <si>
    <t>027-2123227</t>
  </si>
  <si>
    <t>Scallywaggs SPROUTS CHB 2</t>
  </si>
  <si>
    <t>06-8422015</t>
  </si>
  <si>
    <t>office@scallywaggs.co.nz</t>
  </si>
  <si>
    <t>13 Russell Street</t>
  </si>
  <si>
    <t>Robyn Hotton</t>
  </si>
  <si>
    <t>P O Box 136</t>
  </si>
  <si>
    <t>Hawkes Bay 4200</t>
  </si>
  <si>
    <t>06- 858 7404</t>
  </si>
  <si>
    <t>Busy Bees Morrinsville</t>
  </si>
  <si>
    <t>07-8895846</t>
  </si>
  <si>
    <t>info@morrinsville.busybees.org.nz</t>
  </si>
  <si>
    <t>2568 State Highway 26</t>
  </si>
  <si>
    <t>Stacie Claridge</t>
  </si>
  <si>
    <t>07-889 5846</t>
  </si>
  <si>
    <t>Kindy Bubz</t>
  </si>
  <si>
    <t>07-8555711</t>
  </si>
  <si>
    <t>1 Colman St</t>
  </si>
  <si>
    <t>Waikato Montessori Early Education Centre</t>
  </si>
  <si>
    <t>07-8583563</t>
  </si>
  <si>
    <t>admin@goldenbeads.org.nz</t>
  </si>
  <si>
    <t>267 Newell Road</t>
  </si>
  <si>
    <t>Tamahere West</t>
  </si>
  <si>
    <t>Diane Bhana</t>
  </si>
  <si>
    <t>P O Box 10161</t>
  </si>
  <si>
    <t xml:space="preserve">Waikato </t>
  </si>
  <si>
    <t>BestStart Dey Street</t>
  </si>
  <si>
    <t>07-8582618</t>
  </si>
  <si>
    <t>dey@best-start.org</t>
  </si>
  <si>
    <t>421 Dey Street</t>
  </si>
  <si>
    <t>Impressions Childcare Centre</t>
  </si>
  <si>
    <t>07-8719109</t>
  </si>
  <si>
    <t>impressionschildcare@xtra.co.nz</t>
  </si>
  <si>
    <t>805 Crozier Street</t>
  </si>
  <si>
    <t>Pirongia</t>
  </si>
  <si>
    <t>Pirongia-Kakepuku General Ward</t>
  </si>
  <si>
    <t>Susan McOnie</t>
  </si>
  <si>
    <t>805 Crozier St</t>
  </si>
  <si>
    <t xml:space="preserve">Pirongia </t>
  </si>
  <si>
    <t>Li'l Pumpkins Early Learning Tamahere</t>
  </si>
  <si>
    <t>07-8590090</t>
  </si>
  <si>
    <t>48a Devine Road, RD3</t>
  </si>
  <si>
    <t>Tamahere</t>
  </si>
  <si>
    <t>Kowhai Childcare</t>
  </si>
  <si>
    <t>0508-492536</t>
  </si>
  <si>
    <t>manager@kowhaitui.co.nz</t>
  </si>
  <si>
    <t>68 Te Manatu Drive</t>
  </si>
  <si>
    <t>Te Manatu</t>
  </si>
  <si>
    <t>Victoria Corley Millar</t>
  </si>
  <si>
    <t>Coromandel Community Preschool</t>
  </si>
  <si>
    <t>07-8667570</t>
  </si>
  <si>
    <t>coropreschool@xtra.co.nz</t>
  </si>
  <si>
    <t>155 Pottery Lane</t>
  </si>
  <si>
    <t>Coromandel-Colville Ward</t>
  </si>
  <si>
    <t>Debra Attwood</t>
  </si>
  <si>
    <t>Waikato 3506</t>
  </si>
  <si>
    <t>07-8667660</t>
  </si>
  <si>
    <t>Cambridge E L Centre The Pagoda</t>
  </si>
  <si>
    <t>07-8274727</t>
  </si>
  <si>
    <t>10 Fort St</t>
  </si>
  <si>
    <t>Laura Herbert</t>
  </si>
  <si>
    <t>021-1619990</t>
  </si>
  <si>
    <t>Learn A Lot Childcare</t>
  </si>
  <si>
    <t>07-8525300</t>
  </si>
  <si>
    <t>eric.curray@gmail.com</t>
  </si>
  <si>
    <t xml:space="preserve"> Rototuna Retail Centre Shop 13, 44 Horsham Downs Road</t>
  </si>
  <si>
    <t>New Service</t>
  </si>
  <si>
    <t>Eric Curray</t>
  </si>
  <si>
    <t>5 Southbrook Close</t>
  </si>
  <si>
    <t xml:space="preserve">Hamilton </t>
  </si>
  <si>
    <t>022-0143206</t>
  </si>
  <si>
    <t>Pohutukawa 1 - Quality</t>
  </si>
  <si>
    <t>06-8683102</t>
  </si>
  <si>
    <t>7 Ballance Street</t>
  </si>
  <si>
    <t>Whataupoko</t>
  </si>
  <si>
    <t>Whataupoko West</t>
  </si>
  <si>
    <t>Natalie Torrance</t>
  </si>
  <si>
    <t>P O Box 562</t>
  </si>
  <si>
    <t>Te Hapara</t>
  </si>
  <si>
    <t>06-8671008</t>
  </si>
  <si>
    <t>Jack and Jill Educare</t>
  </si>
  <si>
    <t>07-8434420</t>
  </si>
  <si>
    <t>info@jackandjill.co.nz</t>
  </si>
  <si>
    <t>29 Gallagher Drive</t>
  </si>
  <si>
    <t>Mandy Suess</t>
  </si>
  <si>
    <t>P O Box 16176</t>
  </si>
  <si>
    <t>Hamilton 3245</t>
  </si>
  <si>
    <t>Whitianga Explorers Ltd t/a Mercury Bay Preschool</t>
  </si>
  <si>
    <t>07-8664945</t>
  </si>
  <si>
    <t>admin@mercurybaypreschool.co.nz</t>
  </si>
  <si>
    <t>58 Kupe Drive</t>
  </si>
  <si>
    <t>Whitianga Waterways</t>
  </si>
  <si>
    <t>Maria Maskery</t>
  </si>
  <si>
    <t>Whitianga 3510</t>
  </si>
  <si>
    <t>Education Angels In Home Childcare Wellington</t>
  </si>
  <si>
    <t xml:space="preserve">06-353 5303 </t>
  </si>
  <si>
    <t>kristin.reese@educationangels.co.nz</t>
  </si>
  <si>
    <t>23 Cornwall Street</t>
  </si>
  <si>
    <t>Hutt Central North</t>
  </si>
  <si>
    <t>Kristin Reese</t>
  </si>
  <si>
    <t>Wellington 5010</t>
  </si>
  <si>
    <t>0508-264 357</t>
  </si>
  <si>
    <t>Te Kōhanga Reo o Ngā Kuaka</t>
  </si>
  <si>
    <t>07-856 2982</t>
  </si>
  <si>
    <t>159 Silverdale Road</t>
  </si>
  <si>
    <t>Silverdale-Hamilton</t>
  </si>
  <si>
    <t>Ruakura</t>
  </si>
  <si>
    <t>Kindy Totz</t>
  </si>
  <si>
    <t>07-8538164</t>
  </si>
  <si>
    <t>2 Colman St</t>
  </si>
  <si>
    <t>Junior Junction</t>
  </si>
  <si>
    <t>07-8394588</t>
  </si>
  <si>
    <t>hamilton@juniorjunction.co.nz</t>
  </si>
  <si>
    <t>9-11 Richmond Street</t>
  </si>
  <si>
    <t>Tania Lisignoli</t>
  </si>
  <si>
    <t>P O Box 41487</t>
  </si>
  <si>
    <t>Auckland 1346</t>
  </si>
  <si>
    <t>Kids Collective</t>
  </si>
  <si>
    <t>07-8889930</t>
  </si>
  <si>
    <t>kcgeorgestreet@xtra.co.nz</t>
  </si>
  <si>
    <t>32 Waharoa Road West</t>
  </si>
  <si>
    <t>535 State Highway 25 RD 6</t>
  </si>
  <si>
    <t>Thames 3576</t>
  </si>
  <si>
    <t>Hopscotch Preschool</t>
  </si>
  <si>
    <t>07-8738739</t>
  </si>
  <si>
    <t>preschool@hopscotch.kiwi</t>
  </si>
  <si>
    <t>59 Haerehuka St</t>
  </si>
  <si>
    <t>BestStart Maui Street</t>
  </si>
  <si>
    <t>07- 8473714</t>
  </si>
  <si>
    <t>maui@best-start.org</t>
  </si>
  <si>
    <t>6 Maui Street</t>
  </si>
  <si>
    <t>Te Rapa North</t>
  </si>
  <si>
    <t>Te Kōhanga Reo o Tāwerawera Ki Te Kūao o Taupiri</t>
  </si>
  <si>
    <t>07-824 6742</t>
  </si>
  <si>
    <t>1 Kainui Road</t>
  </si>
  <si>
    <t>Taupiri</t>
  </si>
  <si>
    <t>Taupiri-Lake Kainui</t>
  </si>
  <si>
    <t>Te Kōhanga Reo o Te Ao Hou</t>
  </si>
  <si>
    <t>07-895 5946</t>
  </si>
  <si>
    <t>663 Ongarue Back Road Okahukura</t>
  </si>
  <si>
    <t>Ngapuke</t>
  </si>
  <si>
    <t>Amelia Paea</t>
  </si>
  <si>
    <t>04-5762005</t>
  </si>
  <si>
    <t>Country Kids Kindergarten</t>
  </si>
  <si>
    <t>07-8891456</t>
  </si>
  <si>
    <t>Corner Ngarua &amp; SH26</t>
  </si>
  <si>
    <t>Waitoa</t>
  </si>
  <si>
    <t>Waitoa-Ngarua</t>
  </si>
  <si>
    <t>Te Kōhanga Reo o Whatawhata</t>
  </si>
  <si>
    <t>07-829 3369</t>
  </si>
  <si>
    <t>Maori Point Road, Te Papa o Ro</t>
  </si>
  <si>
    <t>Whatawhata</t>
  </si>
  <si>
    <t>Whatawhata East</t>
  </si>
  <si>
    <t>Growing Wings on Grey</t>
  </si>
  <si>
    <t>ongrey@growingwingselcco.nz</t>
  </si>
  <si>
    <t>185 Grey St</t>
  </si>
  <si>
    <t>Rebecca Crabb</t>
  </si>
  <si>
    <t>128 Bankwood Road</t>
  </si>
  <si>
    <t>021-0481004</t>
  </si>
  <si>
    <t>Elim Early Learning Centre Cambridge</t>
  </si>
  <si>
    <t>07-8233216</t>
  </si>
  <si>
    <t>manager@elimcambridge.org.nz</t>
  </si>
  <si>
    <t>10 Wordsworth Street</t>
  </si>
  <si>
    <t>Pentecostal</t>
  </si>
  <si>
    <t>Jeff Parker</t>
  </si>
  <si>
    <t>Waikato 3432</t>
  </si>
  <si>
    <t>027-2448771</t>
  </si>
  <si>
    <t>Busy Bees Cambridge</t>
  </si>
  <si>
    <t>07-8233300</t>
  </si>
  <si>
    <t>info@cambridge.busybees.org.nz</t>
  </si>
  <si>
    <t>116 Swayne Rd</t>
  </si>
  <si>
    <t>Cambridge North</t>
  </si>
  <si>
    <t>Rowena Ormsby</t>
  </si>
  <si>
    <t>07-823 3300</t>
  </si>
  <si>
    <t>Barnardos Early Learning Centre Turua</t>
  </si>
  <si>
    <t>07-8675392</t>
  </si>
  <si>
    <t>TuruaELC@Barnardos.org.nz</t>
  </si>
  <si>
    <t>Turua Domain Raupoiti St</t>
  </si>
  <si>
    <t>Turua</t>
  </si>
  <si>
    <t>Hauraki Plains East</t>
  </si>
  <si>
    <t>Rebecca Aislabie</t>
  </si>
  <si>
    <t>027-8229780</t>
  </si>
  <si>
    <t>Go Bananas Childcare Cambridge</t>
  </si>
  <si>
    <t>07-8276406</t>
  </si>
  <si>
    <t>info@gobananasnz.co.nz</t>
  </si>
  <si>
    <t>41 Swayne Road</t>
  </si>
  <si>
    <t>Steven (Prabhat) Dogra</t>
  </si>
  <si>
    <t>P O Box 82266</t>
  </si>
  <si>
    <t>021-2987926</t>
  </si>
  <si>
    <t>Te Kōhanga Amorangi o Whakawātea</t>
  </si>
  <si>
    <t>07-843 3332</t>
  </si>
  <si>
    <t>132 Saxbys Road</t>
  </si>
  <si>
    <t>Lake Cameron</t>
  </si>
  <si>
    <t>Susanne Simmons-Kopa</t>
  </si>
  <si>
    <t>Matapihi Kindergarten</t>
  </si>
  <si>
    <t>07-8257875</t>
  </si>
  <si>
    <t>info@matapihikindergarten.co.nz</t>
  </si>
  <si>
    <t>390 Te Mata Road</t>
  </si>
  <si>
    <t>Whale Bay</t>
  </si>
  <si>
    <t>Angela Kimber</t>
  </si>
  <si>
    <t>390 Te Mata Road RD 1</t>
  </si>
  <si>
    <t>Waikato 3295</t>
  </si>
  <si>
    <t>07-8564404</t>
  </si>
  <si>
    <t>Aria Playcentre</t>
  </si>
  <si>
    <t>Aria School</t>
  </si>
  <si>
    <t>Aria</t>
  </si>
  <si>
    <t>Waitomo Rural Ward</t>
  </si>
  <si>
    <t>Arohena Playcentre</t>
  </si>
  <si>
    <t>Pukewhau Road</t>
  </si>
  <si>
    <t>Arohena</t>
  </si>
  <si>
    <t>Puniu</t>
  </si>
  <si>
    <t>Wharepuhunga General Ward</t>
  </si>
  <si>
    <t>Otorohanga Playcentre</t>
  </si>
  <si>
    <t>paula.mb@playcentre.org.nz</t>
  </si>
  <si>
    <t>40 Te Kawa Street</t>
  </si>
  <si>
    <t>Maihiihi Playcentre</t>
  </si>
  <si>
    <t>748 Maihiihi Road</t>
  </si>
  <si>
    <t>Maihiihi</t>
  </si>
  <si>
    <t>Waipā General Ward</t>
  </si>
  <si>
    <t>Pio Pio Playcentre</t>
  </si>
  <si>
    <t>14 Ruru Street</t>
  </si>
  <si>
    <t>Piranui Pa</t>
  </si>
  <si>
    <t>Pirongia Playcentre</t>
  </si>
  <si>
    <t>762 Franklin Street</t>
  </si>
  <si>
    <t>Puahue Playcentre</t>
  </si>
  <si>
    <t>Puahue Road</t>
  </si>
  <si>
    <t>Rotoorangi</t>
  </si>
  <si>
    <t>Pukeatua Playcentre</t>
  </si>
  <si>
    <t>Arapuni Road</t>
  </si>
  <si>
    <t>Pukeatua</t>
  </si>
  <si>
    <t>Rotongata</t>
  </si>
  <si>
    <t>Te Awamutu Playcentre</t>
  </si>
  <si>
    <t>99 Bond Road</t>
  </si>
  <si>
    <t>Te Kuiti Playcentre</t>
  </si>
  <si>
    <t>16 Ward Street</t>
  </si>
  <si>
    <t>Te Kūiti West</t>
  </si>
  <si>
    <t>Wharepuhunga Playcentre</t>
  </si>
  <si>
    <t>Wharepuhunga Road</t>
  </si>
  <si>
    <t>Kio Kio-Korakonui General Ward</t>
  </si>
  <si>
    <t>Coromandel Playcentre</t>
  </si>
  <si>
    <t>Woollams Avenue</t>
  </si>
  <si>
    <t>Mangatangi &amp; Districts Playcentre</t>
  </si>
  <si>
    <t>2053 Miranda Road</t>
  </si>
  <si>
    <t>Pokeno</t>
  </si>
  <si>
    <t>Manawaru Playcentre</t>
  </si>
  <si>
    <t xml:space="preserve"> 405B Manawaru Road</t>
  </si>
  <si>
    <t>Waihou-Manawaru</t>
  </si>
  <si>
    <t>Ngatea Playcentre</t>
  </si>
  <si>
    <t>McMillan Street</t>
  </si>
  <si>
    <t>Paeroa Playcentre</t>
  </si>
  <si>
    <t>58 Aorangi Road</t>
  </si>
  <si>
    <t>Te Aroha Playcentre</t>
  </si>
  <si>
    <t>Terminus Street</t>
  </si>
  <si>
    <t>Thames/Parawai Playcentre</t>
  </si>
  <si>
    <t>331 Parawai Road</t>
  </si>
  <si>
    <t>Thames South</t>
  </si>
  <si>
    <t>Turua Playcentre</t>
  </si>
  <si>
    <t>07-8675406</t>
  </si>
  <si>
    <t>12 Raratuna Street</t>
  </si>
  <si>
    <t>Waihi Beach Playcentre</t>
  </si>
  <si>
    <t>Waihi Beach</t>
  </si>
  <si>
    <t>Waihī Beach-Bowentown</t>
  </si>
  <si>
    <t>Whangamata Playcentre</t>
  </si>
  <si>
    <t>99 Achilles Avenue</t>
  </si>
  <si>
    <t>Whangamata</t>
  </si>
  <si>
    <t>Whangamatā East</t>
  </si>
  <si>
    <t>Whitianga Playcentre</t>
  </si>
  <si>
    <t>027-8803947</t>
  </si>
  <si>
    <t>1 D White Street</t>
  </si>
  <si>
    <t>Cambridge Playcentre</t>
  </si>
  <si>
    <t>07-8471739</t>
  </si>
  <si>
    <t>Vogel Street</t>
  </si>
  <si>
    <t>Deanwell Playcentre</t>
  </si>
  <si>
    <t>Deanwell Avenue</t>
  </si>
  <si>
    <t>Dinsdale Playcentre</t>
  </si>
  <si>
    <t>Frederick Drive</t>
  </si>
  <si>
    <t>Hamilton East Playcentre</t>
  </si>
  <si>
    <t>46 Graham Street</t>
  </si>
  <si>
    <t>Horotiu Playcentre</t>
  </si>
  <si>
    <t>89 B Horotiu Bridge Road</t>
  </si>
  <si>
    <t>Huimai Playcentre</t>
  </si>
  <si>
    <t>07-8876622</t>
  </si>
  <si>
    <t>32 Seifert Road</t>
  </si>
  <si>
    <t>Tauhei</t>
  </si>
  <si>
    <t>Whitikahu</t>
  </si>
  <si>
    <t>Leamington Playcentre</t>
  </si>
  <si>
    <t>Cnr Burns &amp; Thompson Streets</t>
  </si>
  <si>
    <t>Morrinsville Playcentre</t>
  </si>
  <si>
    <t>55 Lorne Street</t>
  </si>
  <si>
    <t>Nawton Family Playcentre</t>
  </si>
  <si>
    <t>82 Dominion Road</t>
  </si>
  <si>
    <t>Ohaupo Playcentre</t>
  </si>
  <si>
    <t>Forkert Road</t>
  </si>
  <si>
    <t>Ohaupo</t>
  </si>
  <si>
    <t>Kaipaki</t>
  </si>
  <si>
    <t>Paterson Street Playcentre</t>
  </si>
  <si>
    <t>40 Paterson Street</t>
  </si>
  <si>
    <t>Peachgrove Playcentre</t>
  </si>
  <si>
    <t>80 Peachgrove Road</t>
  </si>
  <si>
    <t>River Downs Playcentre</t>
  </si>
  <si>
    <t>5 Endeavour Avenue</t>
  </si>
  <si>
    <t>Tamahere Playcentre</t>
  </si>
  <si>
    <t>Devine Road</t>
  </si>
  <si>
    <t>Taupiri Playcentre</t>
  </si>
  <si>
    <t>Greenlane Road</t>
  </si>
  <si>
    <t>Tahuna Playcentre</t>
  </si>
  <si>
    <t>Ohinewai Road</t>
  </si>
  <si>
    <t>Tahuna-Mangateparu</t>
  </si>
  <si>
    <t>Te Akau &amp; Districts Playcentre</t>
  </si>
  <si>
    <t>C/- Te Akau School 953 Te Akau Road</t>
  </si>
  <si>
    <t>Te Ākau</t>
  </si>
  <si>
    <t>Ashurst Park Playcentre</t>
  </si>
  <si>
    <t>61a Ashurst Avenue</t>
  </si>
  <si>
    <t>Pukete West</t>
  </si>
  <si>
    <t>Cambridge E L Centre \The Castle\""</t>
  </si>
  <si>
    <t>10 Fort Street</t>
  </si>
  <si>
    <t>Riverlea Kindergarten</t>
  </si>
  <si>
    <t>07-8560127</t>
  </si>
  <si>
    <t>Riverleakindergarten@xtra.co.nz</t>
  </si>
  <si>
    <t>Hillcrest Normal School</t>
  </si>
  <si>
    <t>Riverlea</t>
  </si>
  <si>
    <t>Donna Towner</t>
  </si>
  <si>
    <t>P O Box 11098</t>
  </si>
  <si>
    <t>Hamilton 3251</t>
  </si>
  <si>
    <t>027-5093322</t>
  </si>
  <si>
    <t>Campus Creche Trust</t>
  </si>
  <si>
    <t>07-8384034</t>
  </si>
  <si>
    <t>creche@campuscreche.co.nz</t>
  </si>
  <si>
    <t>186 Hillcrest Road</t>
  </si>
  <si>
    <t>Ezekiel Trust Community Kindergarten</t>
  </si>
  <si>
    <t>07-8897891</t>
  </si>
  <si>
    <t>kindy@ezekieltrust.org</t>
  </si>
  <si>
    <t>Baptist Church Moorhouse Street</t>
  </si>
  <si>
    <t>Gwenneth Bonnar</t>
  </si>
  <si>
    <t>P O Box 256</t>
  </si>
  <si>
    <t>Waikato 3340</t>
  </si>
  <si>
    <t>027-7119478</t>
  </si>
  <si>
    <t>Fairfield Early Education Centre</t>
  </si>
  <si>
    <t>07-8564649</t>
  </si>
  <si>
    <t>55 Bankwood Road</t>
  </si>
  <si>
    <t>Miropiko</t>
  </si>
  <si>
    <t>EEW Homebased Education - West</t>
  </si>
  <si>
    <t>291 Grey Street</t>
  </si>
  <si>
    <t>Claudelands Early Education Centre</t>
  </si>
  <si>
    <t>07-8554837</t>
  </si>
  <si>
    <t>17 O'Neill Street</t>
  </si>
  <si>
    <t>Flourish Early Learning Ltd</t>
  </si>
  <si>
    <t>07-8715393</t>
  </si>
  <si>
    <t>kate@flourishearlylearning.nz</t>
  </si>
  <si>
    <t>433 Rewi Street</t>
  </si>
  <si>
    <t>Te Awamutu Stadium</t>
  </si>
  <si>
    <t>Kate Welten</t>
  </si>
  <si>
    <t>Te Awamutu 3800</t>
  </si>
  <si>
    <t>027-3409962</t>
  </si>
  <si>
    <t>Matamata Childcare Centre</t>
  </si>
  <si>
    <t>07-8888574</t>
  </si>
  <si>
    <t>kidscorner1@xtra.co.nz</t>
  </si>
  <si>
    <t>61 Smith Street</t>
  </si>
  <si>
    <t>Rhiannon King</t>
  </si>
  <si>
    <t>P O Box 298</t>
  </si>
  <si>
    <t>Waikato 3440</t>
  </si>
  <si>
    <t>McKenzie Centre</t>
  </si>
  <si>
    <t>07-8395357</t>
  </si>
  <si>
    <t>admin@mckenziecentre.org.nz</t>
  </si>
  <si>
    <t>30 Hammond Street</t>
  </si>
  <si>
    <t xml:space="preserve">Beverley  Haddon </t>
  </si>
  <si>
    <t>Wondernauts</t>
  </si>
  <si>
    <t>07-8563115</t>
  </si>
  <si>
    <t>hello@wondernauts.co.nz</t>
  </si>
  <si>
    <t>Ruakura Research Centre 10  Bisley Road</t>
  </si>
  <si>
    <t>Victoria Hill</t>
  </si>
  <si>
    <t>Ruakura Agricultural Centre Private Bag 3123</t>
  </si>
  <si>
    <t>Hamilton 3240</t>
  </si>
  <si>
    <t>Central Kids Kindergartens– Taumarunui</t>
  </si>
  <si>
    <t>30 Huia Street</t>
  </si>
  <si>
    <t>Te Kowhai Kindergarten</t>
  </si>
  <si>
    <t>07-8297686</t>
  </si>
  <si>
    <t>473 Bedford Road, RD8</t>
  </si>
  <si>
    <t>Te Kowhai</t>
  </si>
  <si>
    <t>Te Kōwhai</t>
  </si>
  <si>
    <t>Te Rapa Early Education Centre</t>
  </si>
  <si>
    <t>07-8497693</t>
  </si>
  <si>
    <t>76 Vickery Street</t>
  </si>
  <si>
    <t>Thames Early Childhood Education Centre</t>
  </si>
  <si>
    <t>07-8687028</t>
  </si>
  <si>
    <t>tecec@xtra.co.nz</t>
  </si>
  <si>
    <t>100 Haven Street</t>
  </si>
  <si>
    <t>Phyllis Heemi</t>
  </si>
  <si>
    <t>Waikato 3500</t>
  </si>
  <si>
    <t>07-8626375</t>
  </si>
  <si>
    <t>Go Bananas Childcare Boutique Centre</t>
  </si>
  <si>
    <t>07-8477979</t>
  </si>
  <si>
    <t>82 Rimu Street</t>
  </si>
  <si>
    <t>Maeroa</t>
  </si>
  <si>
    <t>Colville Bay Pre-School</t>
  </si>
  <si>
    <t>022-645 3272</t>
  </si>
  <si>
    <t>admin@colvillebaypreschool.co.nz</t>
  </si>
  <si>
    <t>2391 Colville Road</t>
  </si>
  <si>
    <t>Colville</t>
  </si>
  <si>
    <t xml:space="preserve">Belinda  Williams </t>
  </si>
  <si>
    <t>P O Box 35</t>
  </si>
  <si>
    <t>Waikato 3547</t>
  </si>
  <si>
    <t>Te Pahu Preschool Group</t>
  </si>
  <si>
    <t>07-8259908</t>
  </si>
  <si>
    <t>office@tepahupreschool.co.nz</t>
  </si>
  <si>
    <t>731 Te Pahu Road</t>
  </si>
  <si>
    <t>Te Pahu</t>
  </si>
  <si>
    <t>Amanda Eady</t>
  </si>
  <si>
    <t>Cnr Te Pahu &amp; Limeworks Loop RD 5</t>
  </si>
  <si>
    <t>Hamilton 3285</t>
  </si>
  <si>
    <t>Growing Wings Whangamata</t>
  </si>
  <si>
    <t>07-865 9899</t>
  </si>
  <si>
    <t>104 Mark Street</t>
  </si>
  <si>
    <t>Paeroa Early Learning Centre</t>
  </si>
  <si>
    <t>07-862 7669</t>
  </si>
  <si>
    <t>paeroaelc@gmail.com</t>
  </si>
  <si>
    <t>9 Nowra Crescent</t>
  </si>
  <si>
    <t>Brian Dobbs</t>
  </si>
  <si>
    <t>Paeroa 3600</t>
  </si>
  <si>
    <t>021-2227008</t>
  </si>
  <si>
    <t>BestStart Te Awamutu</t>
  </si>
  <si>
    <t>07-8718810</t>
  </si>
  <si>
    <t>teawamutu@best-start.org</t>
  </si>
  <si>
    <t>86 George Street</t>
  </si>
  <si>
    <t>Te Awamutu Central</t>
  </si>
  <si>
    <t>Central Kids Kindergartens - Tokoroa</t>
  </si>
  <si>
    <t>07-886 5088</t>
  </si>
  <si>
    <t>tokoroa@centralkids.org.nz</t>
  </si>
  <si>
    <t>97 Grampian Street</t>
  </si>
  <si>
    <t>BestStart Whangamata</t>
  </si>
  <si>
    <t>07-8659590</t>
  </si>
  <si>
    <t>whangamata@best-start.org</t>
  </si>
  <si>
    <t>107 Casement Road</t>
  </si>
  <si>
    <t>EEW Homebased Education - East</t>
  </si>
  <si>
    <t>Wana Tamariki Trust</t>
  </si>
  <si>
    <t>07-8557013</t>
  </si>
  <si>
    <t>cewaikato@xtra.co.nz</t>
  </si>
  <si>
    <t>C/- Woodstock School 43 Fairfield Road</t>
  </si>
  <si>
    <t>Vicki Coddington</t>
  </si>
  <si>
    <t>P O Box 12066</t>
  </si>
  <si>
    <t>Chartwell Square</t>
  </si>
  <si>
    <t>Hamilton 3248</t>
  </si>
  <si>
    <t>07-855 7013</t>
  </si>
  <si>
    <t>Hillcrest High School Community Childcare</t>
  </si>
  <si>
    <t>07-8568707</t>
  </si>
  <si>
    <t>manager@hhcentre.co.nz</t>
  </si>
  <si>
    <t>Carrington Avenue</t>
  </si>
  <si>
    <t>Silverdale (Hamilton City)</t>
  </si>
  <si>
    <t>Dominic Hopkirk</t>
  </si>
  <si>
    <t>P O Box 13063</t>
  </si>
  <si>
    <t>07-8259814</t>
  </si>
  <si>
    <t>Kidz @ Wintec</t>
  </si>
  <si>
    <t>07-8348812</t>
  </si>
  <si>
    <t>lisa.baker@wintec.ac.nz</t>
  </si>
  <si>
    <t>Gate 4 Tristram St</t>
  </si>
  <si>
    <t>Lisa Baker</t>
  </si>
  <si>
    <t>07-8248812</t>
  </si>
  <si>
    <t>Tokoroa Childcare Centre</t>
  </si>
  <si>
    <t>07-8868605</t>
  </si>
  <si>
    <t>admin@tokark.co.nz</t>
  </si>
  <si>
    <t>50 Maraetai Road</t>
  </si>
  <si>
    <t>Jacinta Stavert</t>
  </si>
  <si>
    <t>P O Box 630</t>
  </si>
  <si>
    <t>Tokoroa 3444</t>
  </si>
  <si>
    <t>Educare Pukete</t>
  </si>
  <si>
    <t>07-8496780</t>
  </si>
  <si>
    <t>pukete@educare.co.nz</t>
  </si>
  <si>
    <t>1 Cullimore Street</t>
  </si>
  <si>
    <t>Miao  Wang</t>
  </si>
  <si>
    <t>027-2102329</t>
  </si>
  <si>
    <t>Pioneer Kids Early Learning Centre</t>
  </si>
  <si>
    <t>07-8689823</t>
  </si>
  <si>
    <t>linda@pioneerkidselc.co.nz</t>
  </si>
  <si>
    <t>601a Mackay Street Service Lane 7</t>
  </si>
  <si>
    <t>Angela  Steers</t>
  </si>
  <si>
    <t>Pukehangi</t>
  </si>
  <si>
    <t>Rotorua 3015</t>
  </si>
  <si>
    <t>027-4867724</t>
  </si>
  <si>
    <t>Waikids Early Childhood Centre</t>
  </si>
  <si>
    <t>07-8398899 Ext 96747</t>
  </si>
  <si>
    <t>naomi.knight@waikatodhb.health.nz</t>
  </si>
  <si>
    <t>Waikato Hospital Pembroke Street</t>
  </si>
  <si>
    <t>Naomi Knight</t>
  </si>
  <si>
    <t>Waikato Hospital Play Specialist Service Private Bag 3200</t>
  </si>
  <si>
    <t>Pukeko Country Preschool</t>
  </si>
  <si>
    <t>07-8240860</t>
  </si>
  <si>
    <t>pukekopreschool@xtra.co.nz</t>
  </si>
  <si>
    <t>20 Scotsman Valley Road</t>
  </si>
  <si>
    <t>Tauwhare-Hamilton</t>
  </si>
  <si>
    <t>Eureka-Tauwhare</t>
  </si>
  <si>
    <t>Jo Morris</t>
  </si>
  <si>
    <t>20 Scotsman Valley Road RD 7</t>
  </si>
  <si>
    <t>Hamilton 3287</t>
  </si>
  <si>
    <t>027-4702080</t>
  </si>
  <si>
    <t>Country Gate Early Learning</t>
  </si>
  <si>
    <t>07-8295635</t>
  </si>
  <si>
    <t>hello@countrygate.co.nz</t>
  </si>
  <si>
    <t>608 Marychurch Road</t>
  </si>
  <si>
    <t>Matangi</t>
  </si>
  <si>
    <t>Pukemoremore</t>
  </si>
  <si>
    <t>Kate Watson</t>
  </si>
  <si>
    <t>7 Burr St</t>
  </si>
  <si>
    <t>027-3423498</t>
  </si>
  <si>
    <t>Thames Coast Community Kindergarten Inc</t>
  </si>
  <si>
    <t>07-8682444</t>
  </si>
  <si>
    <t>tcckindy@gmail.com</t>
  </si>
  <si>
    <t>4 West Crescent</t>
  </si>
  <si>
    <t>Te Puru</t>
  </si>
  <si>
    <t>Thames Coast</t>
  </si>
  <si>
    <t>Kate McGee</t>
  </si>
  <si>
    <t>4 West Crescent RD 5</t>
  </si>
  <si>
    <t>Thames 3575</t>
  </si>
  <si>
    <t>022-0175460</t>
  </si>
  <si>
    <t>Wildlings Early Learning</t>
  </si>
  <si>
    <t>07-8636466</t>
  </si>
  <si>
    <t>4 Russell Street</t>
  </si>
  <si>
    <t>Waihī North</t>
  </si>
  <si>
    <t>Alisha Rohloff</t>
  </si>
  <si>
    <t>43B Wilson Road</t>
  </si>
  <si>
    <t xml:space="preserve">Waihi Beach </t>
  </si>
  <si>
    <t>027-7826434</t>
  </si>
  <si>
    <t>Pukekos Educare Thames</t>
  </si>
  <si>
    <t>07-8685027</t>
  </si>
  <si>
    <t>admin@pukekoseducare.co.nz</t>
  </si>
  <si>
    <t>11 Waipapa Road</t>
  </si>
  <si>
    <t>Totora-Kopu</t>
  </si>
  <si>
    <t>Miffy Welsh</t>
  </si>
  <si>
    <t>P O Box 714</t>
  </si>
  <si>
    <t>Thames 3540</t>
  </si>
  <si>
    <t>07-8675640</t>
  </si>
  <si>
    <t>Huntly Early Childhood Centre Inc.</t>
  </si>
  <si>
    <t>07-8289392</t>
  </si>
  <si>
    <t>hecc@xtra.co.nz</t>
  </si>
  <si>
    <t>1 Kosoof Place</t>
  </si>
  <si>
    <t>Huntly East</t>
  </si>
  <si>
    <t>Penny Dawbin</t>
  </si>
  <si>
    <t>Waikato 3700</t>
  </si>
  <si>
    <t>07-8288333</t>
  </si>
  <si>
    <t>BestStart Primrose Street</t>
  </si>
  <si>
    <t>07-8471099</t>
  </si>
  <si>
    <t>41 Primrose Street</t>
  </si>
  <si>
    <t>Elite Early Childhood Education Ltd</t>
  </si>
  <si>
    <t>07-8636639</t>
  </si>
  <si>
    <t>elite.ece.waihi@gmail.com</t>
  </si>
  <si>
    <t>13 Wrigley Street</t>
  </si>
  <si>
    <t>Dita Huizing</t>
  </si>
  <si>
    <t>Waihi 3610</t>
  </si>
  <si>
    <t>Kuaotunu Kindergarten</t>
  </si>
  <si>
    <t>07-866 2841</t>
  </si>
  <si>
    <t>Irishtown Road</t>
  </si>
  <si>
    <t>Kuaotunu</t>
  </si>
  <si>
    <t>Mercury Bay North</t>
  </si>
  <si>
    <t xml:space="preserve">Hannah  Barsi </t>
  </si>
  <si>
    <t>4 Cuvier Crescent RD RD 2</t>
  </si>
  <si>
    <t>Whitianga 3592</t>
  </si>
  <si>
    <t>07-8660094</t>
  </si>
  <si>
    <t>Te Ara Metua Punanga Reo Kuki Airani</t>
  </si>
  <si>
    <t>07-8868807</t>
  </si>
  <si>
    <t>4-6 O'Sullivan Drive</t>
  </si>
  <si>
    <t>Metua  Tangaroa-Daniel-Malietoa</t>
  </si>
  <si>
    <t>P O Box 117</t>
  </si>
  <si>
    <t>River Kids Early Learning Centre</t>
  </si>
  <si>
    <t>07-8550666</t>
  </si>
  <si>
    <t>2 Donny Avenue</t>
  </si>
  <si>
    <t>Showanna Palaone</t>
  </si>
  <si>
    <t>15 Riverlinks Lane</t>
  </si>
  <si>
    <t>Flagstaff</t>
  </si>
  <si>
    <t>07-8544069</t>
  </si>
  <si>
    <t>Happy Little Learners</t>
  </si>
  <si>
    <t>07-8566594</t>
  </si>
  <si>
    <t>office@happylittlelearners.co.nz</t>
  </si>
  <si>
    <t>12 Fenwick Crescent</t>
  </si>
  <si>
    <t>Narinder Kaur</t>
  </si>
  <si>
    <t>4 Waione Court</t>
  </si>
  <si>
    <t>Auckland 2112</t>
  </si>
  <si>
    <t>Hillcrest Kāhui Ako</t>
  </si>
  <si>
    <t>YMCA Early Learning Centre</t>
  </si>
  <si>
    <t>07-2100685</t>
  </si>
  <si>
    <t>markmarkou@ymcahamilton.org.nz</t>
  </si>
  <si>
    <t>36 Pembroke Street</t>
  </si>
  <si>
    <t>Mark Markou</t>
  </si>
  <si>
    <t>Te Puna o Tarawa ECE</t>
  </si>
  <si>
    <t>07-315 5967</t>
  </si>
  <si>
    <t>rowena.richmond@whakatohea.co.nz</t>
  </si>
  <si>
    <t>26 Buchanan Street</t>
  </si>
  <si>
    <t>Rowena Richmond</t>
  </si>
  <si>
    <t>P O Box 207</t>
  </si>
  <si>
    <t>Opotiki 3122</t>
  </si>
  <si>
    <t>07-3155967</t>
  </si>
  <si>
    <t>BestStart Te Aroha</t>
  </si>
  <si>
    <t>07-8848342</t>
  </si>
  <si>
    <t>tearoha@best-start.org</t>
  </si>
  <si>
    <t>72 Rewi Street</t>
  </si>
  <si>
    <t>Whanui Early Learning Centre</t>
  </si>
  <si>
    <t>07-8289394</t>
  </si>
  <si>
    <t>Parry Street</t>
  </si>
  <si>
    <t>Huntly West</t>
  </si>
  <si>
    <t>Te Aira Berryman</t>
  </si>
  <si>
    <t>Waikato 3740</t>
  </si>
  <si>
    <t>07-8289695</t>
  </si>
  <si>
    <t>Pauanui Pre-School</t>
  </si>
  <si>
    <t>07-864 7754</t>
  </si>
  <si>
    <t>pauanuipreschool@xtra.co.nz</t>
  </si>
  <si>
    <t>Sheppard Avenue</t>
  </si>
  <si>
    <t>Pauanui Beach</t>
  </si>
  <si>
    <t>Pāuanui</t>
  </si>
  <si>
    <t>Monique McDonald</t>
  </si>
  <si>
    <t>P O Box 17</t>
  </si>
  <si>
    <t>Waikato 3546</t>
  </si>
  <si>
    <t>Little Fantails</t>
  </si>
  <si>
    <t>07-8867092</t>
  </si>
  <si>
    <t>manager@littlefantailstokoroa.co.nz</t>
  </si>
  <si>
    <t>83 Bridge Street</t>
  </si>
  <si>
    <t>Natasha Aukett</t>
  </si>
  <si>
    <t>Kindy Kidz</t>
  </si>
  <si>
    <t>07-8555788</t>
  </si>
  <si>
    <t>35 Herbert Road</t>
  </si>
  <si>
    <t>Tots Love Country</t>
  </si>
  <si>
    <t>07-8494820</t>
  </si>
  <si>
    <t>tlcadmin@xtra.co.nz</t>
  </si>
  <si>
    <t>Tots Love Country 16 O'Brien Road, RD9</t>
  </si>
  <si>
    <t>Rotokauri</t>
  </si>
  <si>
    <t>Suzanne Fransen</t>
  </si>
  <si>
    <t>16 O'Brien Road RD 9</t>
  </si>
  <si>
    <t>Waikato 3289</t>
  </si>
  <si>
    <t>07-8495105</t>
  </si>
  <si>
    <t>Bunnies Childcare and Preschool</t>
  </si>
  <si>
    <t>07-8275081</t>
  </si>
  <si>
    <t>enquiries@bunnies.co.nz</t>
  </si>
  <si>
    <t>197 Thornton Road</t>
  </si>
  <si>
    <t>Oaklands-St Kilda</t>
  </si>
  <si>
    <t>Sheree Jones</t>
  </si>
  <si>
    <t>P O Box 1040</t>
  </si>
  <si>
    <t>Cambridge 3450</t>
  </si>
  <si>
    <t>The Busy Hands Montessori Ltd</t>
  </si>
  <si>
    <t>07-8567297</t>
  </si>
  <si>
    <t>56 Cameron Road</t>
  </si>
  <si>
    <t>Greensboro</t>
  </si>
  <si>
    <t>Mizra Abdeen</t>
  </si>
  <si>
    <t>Hamilton 3216</t>
  </si>
  <si>
    <t>022-0362181</t>
  </si>
  <si>
    <t>First Steps Kids Academy</t>
  </si>
  <si>
    <t>07-8466985</t>
  </si>
  <si>
    <t>kidsacademynz@gmail.com</t>
  </si>
  <si>
    <t>29 Green Street</t>
  </si>
  <si>
    <t>Damandeep Kaur</t>
  </si>
  <si>
    <t>187B Grandview Road</t>
  </si>
  <si>
    <t>Hamilton 3200</t>
  </si>
  <si>
    <t>021-02185200</t>
  </si>
  <si>
    <t>Argyle Preschool</t>
  </si>
  <si>
    <t>07-8559939</t>
  </si>
  <si>
    <t>admin@argylepreschool.co.nz</t>
  </si>
  <si>
    <t>5 Argyle Street</t>
  </si>
  <si>
    <t>Melanie Kneebone</t>
  </si>
  <si>
    <t>Waikato 3216</t>
  </si>
  <si>
    <t>Te Kōhanga Reo o Atamārie</t>
  </si>
  <si>
    <t>07-886 6166</t>
  </si>
  <si>
    <t>35 Tainui Street</t>
  </si>
  <si>
    <t>Te Kōhanga Reo o E Tū Puritia</t>
  </si>
  <si>
    <t>07-846 9009</t>
  </si>
  <si>
    <t>63 Grandview Road</t>
  </si>
  <si>
    <t>Te Kōhanga Reo o Kaitumutumu</t>
  </si>
  <si>
    <t>07-828 9802</t>
  </si>
  <si>
    <t>Kaitumu Marae Te Ohaki Road</t>
  </si>
  <si>
    <t>Te Kōhanga Reo o Kauriki</t>
  </si>
  <si>
    <t>07-896 6350</t>
  </si>
  <si>
    <t>Ngapuke Road</t>
  </si>
  <si>
    <t>Te Kōhanga Reo o Kemureti</t>
  </si>
  <si>
    <t>07-827 3306</t>
  </si>
  <si>
    <t>3 Bracken Street</t>
  </si>
  <si>
    <t>Te Kōhanga Reo o Kerepehi</t>
  </si>
  <si>
    <t>07-867 6805</t>
  </si>
  <si>
    <t>Mcgowan Avenue</t>
  </si>
  <si>
    <t>Kerepehi</t>
  </si>
  <si>
    <t>Hauraki Plains South</t>
  </si>
  <si>
    <t>Te Kōhanga Reo o Kutia</t>
  </si>
  <si>
    <t>07-888 5212</t>
  </si>
  <si>
    <t>Raungaiti Marae</t>
  </si>
  <si>
    <t>Waharoa</t>
  </si>
  <si>
    <t>Richmond Downs-Wardville</t>
  </si>
  <si>
    <t>Te Kōhanga Reo o Matai Whetu</t>
  </si>
  <si>
    <t>07-868 9819</t>
  </si>
  <si>
    <t>WHANAU@K04B002.kohanga.ac.nz</t>
  </si>
  <si>
    <t>Matai Whetu Marae Kopu Road</t>
  </si>
  <si>
    <t>Kauaeranga</t>
  </si>
  <si>
    <t>Te Kōhanga Reo o Iti A Rata</t>
  </si>
  <si>
    <t>07-873 0847</t>
  </si>
  <si>
    <t>WHANAU@K04D035.kohanga.ac.nz</t>
  </si>
  <si>
    <t>Otewa Road, RD 5</t>
  </si>
  <si>
    <t>Te Kōhanga Reo o Ōpārure</t>
  </si>
  <si>
    <t>07-878 7667</t>
  </si>
  <si>
    <t>Ōpārure Road</t>
  </si>
  <si>
    <t>Hangatiki</t>
  </si>
  <si>
    <t>Te Kōhanga Reo o Pīpīwharauroa o Te Marae o Hukanui</t>
  </si>
  <si>
    <t>07-824 3401</t>
  </si>
  <si>
    <t>825 Gordonton Road</t>
  </si>
  <si>
    <t>Te Kōhanga Reo Puāwai o Te Awamutu</t>
  </si>
  <si>
    <t>07-871 3883</t>
  </si>
  <si>
    <t>300 Factory Road</t>
  </si>
  <si>
    <t>Te Kōhanga Reo o Puketapu</t>
  </si>
  <si>
    <t>07-828 9650</t>
  </si>
  <si>
    <t>212 Te Ohaki Road</t>
  </si>
  <si>
    <t>Huntly Rural</t>
  </si>
  <si>
    <t>Te Kōhanga Reo o Pukewa</t>
  </si>
  <si>
    <t>07-863 7284</t>
  </si>
  <si>
    <t>Victoria Street</t>
  </si>
  <si>
    <t>Te Kōhanga Reo o Rāhui Pōkeka</t>
  </si>
  <si>
    <t>07-828 7027</t>
  </si>
  <si>
    <t>Harris Street Extension</t>
  </si>
  <si>
    <t>Te Kōhanga Reo o Taharoa</t>
  </si>
  <si>
    <t>07-876 7361</t>
  </si>
  <si>
    <t>Kiwi Street</t>
  </si>
  <si>
    <t>Taharoa</t>
  </si>
  <si>
    <t>Herangi</t>
  </si>
  <si>
    <t>Te Kōhanga Reo o Taringamotu</t>
  </si>
  <si>
    <t>07-895 3042</t>
  </si>
  <si>
    <t>22 Kaitūpeka Pā Road</t>
  </si>
  <si>
    <t>Samuel Ellis</t>
  </si>
  <si>
    <t>Te Kōhanga Reo o Tātou Katoa Rā</t>
  </si>
  <si>
    <t>07-895 5308</t>
  </si>
  <si>
    <t>28 Taumarunui Street</t>
  </si>
  <si>
    <t>Te Kōhanga Reo o Te Awhi Mai</t>
  </si>
  <si>
    <t>07-886 5341</t>
  </si>
  <si>
    <t>Mossop Road</t>
  </si>
  <si>
    <t>Te Kōhanga Reo o Ataahua</t>
  </si>
  <si>
    <t>07-886 4400</t>
  </si>
  <si>
    <t>56 Dalmeny Street</t>
  </si>
  <si>
    <t>Te Kōhanga Reo o Te Kauri</t>
  </si>
  <si>
    <t>07-828 8178</t>
  </si>
  <si>
    <t>c/- Te Kauri Marae 163 Hetherington Road</t>
  </si>
  <si>
    <t>Te Kōhanga Reo Tuarua o Tokoroa</t>
  </si>
  <si>
    <t>07-886 6520</t>
  </si>
  <si>
    <t>11 Ettrick Place</t>
  </si>
  <si>
    <t>Te Kōhanga Reo Tuatahi o Tokoroa</t>
  </si>
  <si>
    <t>07-886 6938</t>
  </si>
  <si>
    <t>3 Balerno Street</t>
  </si>
  <si>
    <t>Te Kōhanga Reo o Te Kuiti</t>
  </si>
  <si>
    <t>07-878 8646</t>
  </si>
  <si>
    <t>24 A Lawrence Street</t>
  </si>
  <si>
    <t>Te Kōhanga Reo o Te Raungaiti</t>
  </si>
  <si>
    <t>07-883 8142</t>
  </si>
  <si>
    <t>160 Domain Road</t>
  </si>
  <si>
    <t>Te Kōhanga Reo o Te Whaanui</t>
  </si>
  <si>
    <t>07-828 7896</t>
  </si>
  <si>
    <t>Parry Street Complex Parry Street</t>
  </si>
  <si>
    <t>Te Kōhanga Reo o Tuhikaramea Inc</t>
  </si>
  <si>
    <t>07-847 2457</t>
  </si>
  <si>
    <t>60 McKay Drive</t>
  </si>
  <si>
    <t>Temple View</t>
  </si>
  <si>
    <t>Te Kōhanga Reo o Tūrangawaewae</t>
  </si>
  <si>
    <t>022-4709658</t>
  </si>
  <si>
    <t>Turangawaewae Marae River Road</t>
  </si>
  <si>
    <t>Te Kōhanga Reo o Whaingaroa</t>
  </si>
  <si>
    <t>07-825 8365</t>
  </si>
  <si>
    <t>94 Riria Kereopa Memorial Driv</t>
  </si>
  <si>
    <t>Te Kōhanga Reo o Whakapiripiri Ki Te Iwi</t>
  </si>
  <si>
    <t>07-855 3886</t>
  </si>
  <si>
    <t>Fifth Avenue</t>
  </si>
  <si>
    <t>Enderley South</t>
  </si>
  <si>
    <t>Te Kōhanga Reo o Te Kohao o Te Ngira</t>
  </si>
  <si>
    <t>07-856 3688</t>
  </si>
  <si>
    <t>951 Wairere Drive</t>
  </si>
  <si>
    <t>Te Kōhanga Reo o Takapūtīraha</t>
  </si>
  <si>
    <t>07-895 7321</t>
  </si>
  <si>
    <t>23 Waituhi Road, Taraingamotu</t>
  </si>
  <si>
    <t>Te  Kōhanga Reo o Te Whānau o Piopio</t>
  </si>
  <si>
    <t>07-877 8185</t>
  </si>
  <si>
    <t>Main North Road</t>
  </si>
  <si>
    <t>Piopio</t>
  </si>
  <si>
    <t>Te Kōhanga Reo o Miropiko</t>
  </si>
  <si>
    <t>07-854 9293</t>
  </si>
  <si>
    <t>Bankwood Road</t>
  </si>
  <si>
    <t>Te Kōhanga Reo o Ruru Te Tupuna</t>
  </si>
  <si>
    <t>07-883 7463</t>
  </si>
  <si>
    <t>38 Scotia Glen</t>
  </si>
  <si>
    <t>Te Kōhanga Reo o Rukumoana</t>
  </si>
  <si>
    <t>07-889 7757</t>
  </si>
  <si>
    <t>Rukumoana Marae Kiwitahi Road</t>
  </si>
  <si>
    <t>Tahuroa</t>
  </si>
  <si>
    <t>Te Kōhanga Reo o Waikeri</t>
  </si>
  <si>
    <t>07-824 8785</t>
  </si>
  <si>
    <t>Ngāruawāhia Road</t>
  </si>
  <si>
    <t>Te Kōhanga Reo o Rangiamokura</t>
  </si>
  <si>
    <t>07-882 8333</t>
  </si>
  <si>
    <t>26 Wairenga Street</t>
  </si>
  <si>
    <t>Mangakino</t>
  </si>
  <si>
    <t>Mangakino-Pouakani General Ward</t>
  </si>
  <si>
    <t>Te Kōhanga Reo o Te Rau Aroha</t>
  </si>
  <si>
    <t>07-888 5933</t>
  </si>
  <si>
    <t>49 Rata Street</t>
  </si>
  <si>
    <t>Matamata East</t>
  </si>
  <si>
    <t>Te Kōhanga Reo o Te Ko Utu</t>
  </si>
  <si>
    <t>07-827 8509</t>
  </si>
  <si>
    <t>3C McLean Street</t>
  </si>
  <si>
    <t>Kawerau Preschool Learning Centre (Incorporated)</t>
  </si>
  <si>
    <t>07-3238042</t>
  </si>
  <si>
    <t>56 River Road</t>
  </si>
  <si>
    <t>Kawerau Industrial</t>
  </si>
  <si>
    <t xml:space="preserve">Janet  White </t>
  </si>
  <si>
    <t>P O Box 165</t>
  </si>
  <si>
    <t>Kawerau 3169</t>
  </si>
  <si>
    <t>Te Puke Playcentre</t>
  </si>
  <si>
    <t>07-5737537</t>
  </si>
  <si>
    <t>colleen.rd@playcentre.org.nz</t>
  </si>
  <si>
    <t>5 Stock Road</t>
  </si>
  <si>
    <t>Colleen Roycroft-Dominguez</t>
  </si>
  <si>
    <t>Te Puna Playcentre</t>
  </si>
  <si>
    <t>07-5525153</t>
  </si>
  <si>
    <t>225 Te Puna Road</t>
  </si>
  <si>
    <t>Te Puna</t>
  </si>
  <si>
    <t>Omokoroa Playcentre</t>
  </si>
  <si>
    <t>07-5481343</t>
  </si>
  <si>
    <t>334 Omokoroa Road</t>
  </si>
  <si>
    <t>Ōmokoroa South</t>
  </si>
  <si>
    <t>Welcome Bay Playcentre</t>
  </si>
  <si>
    <t>07-5446406</t>
  </si>
  <si>
    <t>333 Welcome Bay Road</t>
  </si>
  <si>
    <t>Welcome Bay East</t>
  </si>
  <si>
    <t>Tauriko Playcentre</t>
  </si>
  <si>
    <t>07-5431070</t>
  </si>
  <si>
    <t>Main Highway</t>
  </si>
  <si>
    <t>Tauriko</t>
  </si>
  <si>
    <t>Pyes Pa Playcentre</t>
  </si>
  <si>
    <t>020-0</t>
  </si>
  <si>
    <t>968 Pyes Pa Road, RD 3</t>
  </si>
  <si>
    <t>Waiorohi</t>
  </si>
  <si>
    <t>Pongakawa Playcentre</t>
  </si>
  <si>
    <t>07-5333250</t>
  </si>
  <si>
    <t>Old Coach Road</t>
  </si>
  <si>
    <t>Papamoa Playcentre</t>
  </si>
  <si>
    <t>07-5421349</t>
  </si>
  <si>
    <t>301 Dickson Road</t>
  </si>
  <si>
    <t>Otumoetai Playcentre</t>
  </si>
  <si>
    <t>07-5761178</t>
  </si>
  <si>
    <t>Bellevue Park Windsor Road</t>
  </si>
  <si>
    <t>Bellevue</t>
  </si>
  <si>
    <t>Katikati Playcentre</t>
  </si>
  <si>
    <t>07-5490211</t>
  </si>
  <si>
    <t>Binnie Road</t>
  </si>
  <si>
    <t>Katikati North</t>
  </si>
  <si>
    <t>Greenpark Playcentre</t>
  </si>
  <si>
    <t>07-5410031</t>
  </si>
  <si>
    <t>19 Sinclair Street</t>
  </si>
  <si>
    <t>Edgecumbe Playcentre</t>
  </si>
  <si>
    <t>07-3071382</t>
  </si>
  <si>
    <t>vanessa.rd@playcentre.org.nz</t>
  </si>
  <si>
    <t>179 College Road</t>
  </si>
  <si>
    <t>Wairaka Playcentre</t>
  </si>
  <si>
    <t>21 Harvey Street</t>
  </si>
  <si>
    <t>Opotiki Playcentre</t>
  </si>
  <si>
    <t>50 Goring Street</t>
  </si>
  <si>
    <t>Awakeri Playcentre</t>
  </si>
  <si>
    <t>976B State Highway 30</t>
  </si>
  <si>
    <t>Awakeri</t>
  </si>
  <si>
    <t>Thornton-Awakeri</t>
  </si>
  <si>
    <t>Otakiri Playcentre</t>
  </si>
  <si>
    <t>027-8805814</t>
  </si>
  <si>
    <t>otakiri@Playcentre.org.nz</t>
  </si>
  <si>
    <t>583 Otakiri Road RD 3</t>
  </si>
  <si>
    <t>Onepu Spring</t>
  </si>
  <si>
    <t>Port Ohope Playcentre</t>
  </si>
  <si>
    <t>Harbour Road</t>
  </si>
  <si>
    <t>Ohope</t>
  </si>
  <si>
    <t>Ōhope</t>
  </si>
  <si>
    <t>Galatea Playcentre</t>
  </si>
  <si>
    <t>4945-4947 Galatea Road</t>
  </si>
  <si>
    <t>Galatea</t>
  </si>
  <si>
    <t>Mananui Playcentre</t>
  </si>
  <si>
    <t>71 Riverside Drive</t>
  </si>
  <si>
    <t>Whakatāne West</t>
  </si>
  <si>
    <t>Bethlehem College Kindergarten</t>
  </si>
  <si>
    <t>07-5791706</t>
  </si>
  <si>
    <t>manager@bckindy.school.nz</t>
  </si>
  <si>
    <t>Elder Lane</t>
  </si>
  <si>
    <t>The Ole Schoolhouse</t>
  </si>
  <si>
    <t>07-3481475</t>
  </si>
  <si>
    <t>15 Toko Street</t>
  </si>
  <si>
    <t>Victoria</t>
  </si>
  <si>
    <t>Eric Hollis</t>
  </si>
  <si>
    <t>Lake Okareka Preschool Education Group</t>
  </si>
  <si>
    <t>07-3628606</t>
  </si>
  <si>
    <t>leslie@lakeokarekapreschool.co.nz</t>
  </si>
  <si>
    <t>Community Hall Loop Road</t>
  </si>
  <si>
    <t>Kaingaroa-Whakarewarewa</t>
  </si>
  <si>
    <t>Carrin Goddard</t>
  </si>
  <si>
    <t>Community Hall - Loop Road RD 5</t>
  </si>
  <si>
    <t>Rotorua 3076</t>
  </si>
  <si>
    <t>Matua Kindergarten</t>
  </si>
  <si>
    <t>07-5763558</t>
  </si>
  <si>
    <t>matua@ikindergartens.nz</t>
  </si>
  <si>
    <t>Audrey Place</t>
  </si>
  <si>
    <t>Matua</t>
  </si>
  <si>
    <t>Matua North</t>
  </si>
  <si>
    <t>Reporoa Playcentre</t>
  </si>
  <si>
    <t>07-3338195</t>
  </si>
  <si>
    <t>20 Massey Road</t>
  </si>
  <si>
    <t>Reporoa</t>
  </si>
  <si>
    <t>Golden Springs</t>
  </si>
  <si>
    <t>Rotorua Rural General Ward</t>
  </si>
  <si>
    <t>Taupō Family Playcentre</t>
  </si>
  <si>
    <t>07-3772267</t>
  </si>
  <si>
    <t>133 Taharepa Road</t>
  </si>
  <si>
    <t>Hilltop (Taupo District)</t>
  </si>
  <si>
    <t>Taupo Kids Community</t>
  </si>
  <si>
    <t>07-3783796</t>
  </si>
  <si>
    <t>admin@taupokids.co.nz</t>
  </si>
  <si>
    <t>20 Waikato Street</t>
  </si>
  <si>
    <t>Taupō Central West</t>
  </si>
  <si>
    <t>Teri Molesworth</t>
  </si>
  <si>
    <t>Waikato 3330</t>
  </si>
  <si>
    <t>Opeys Kindergarten</t>
  </si>
  <si>
    <t>07-5764649</t>
  </si>
  <si>
    <t>opeys@ikindergartens.nz</t>
  </si>
  <si>
    <t>9 Darraghs Road</t>
  </si>
  <si>
    <t>Toi Ohomai Childcare Centre</t>
  </si>
  <si>
    <t>07-5578737</t>
  </si>
  <si>
    <t>36 Lagoon Place</t>
  </si>
  <si>
    <t>Poike</t>
  </si>
  <si>
    <t>David Simanu</t>
  </si>
  <si>
    <t>Nature's Cove</t>
  </si>
  <si>
    <t>07-5713398</t>
  </si>
  <si>
    <t>45 Fraser Street</t>
  </si>
  <si>
    <t>Rebecca Scott</t>
  </si>
  <si>
    <t>166a Grace Road</t>
  </si>
  <si>
    <t>Shalom Kindergarten</t>
  </si>
  <si>
    <t>07-5762891</t>
  </si>
  <si>
    <t>shalom@citychurchtauranga.org.nz</t>
  </si>
  <si>
    <t>252 Otumoetai Road</t>
  </si>
  <si>
    <t>Assembly of God</t>
  </si>
  <si>
    <t>Otūmoetai South</t>
  </si>
  <si>
    <t>Sharon Van Ameringen</t>
  </si>
  <si>
    <t>P O Box 6056</t>
  </si>
  <si>
    <t>Tauranga 3146</t>
  </si>
  <si>
    <t>BestStart Montessori Otumoetai</t>
  </si>
  <si>
    <t>07-5768898</t>
  </si>
  <si>
    <t>mont.otumoetai@best-start.org</t>
  </si>
  <si>
    <t>43 Queen Road</t>
  </si>
  <si>
    <t>Waiapu Kids St Mary's Family Centre</t>
  </si>
  <si>
    <t>07-5759915</t>
  </si>
  <si>
    <t>erin.batley@acw.org.nz</t>
  </si>
  <si>
    <t>1 Marlin Street</t>
  </si>
  <si>
    <t>Arataki South</t>
  </si>
  <si>
    <t>Anna de Koster</t>
  </si>
  <si>
    <t>021-509618</t>
  </si>
  <si>
    <t>Rotorua Community Creche &amp; Kindergarten Inc.</t>
  </si>
  <si>
    <t>07-3486605</t>
  </si>
  <si>
    <t>supervisor@rcck.org.nz</t>
  </si>
  <si>
    <t>187 Old Taupo Road</t>
  </si>
  <si>
    <t>Utuhina</t>
  </si>
  <si>
    <t>Anna Williams</t>
  </si>
  <si>
    <t>BestStart Katikati</t>
  </si>
  <si>
    <t>07-5491019</t>
  </si>
  <si>
    <t>katikati@best-start.org</t>
  </si>
  <si>
    <t>4 Park Road</t>
  </si>
  <si>
    <t>Busy Bees Ngongotahā</t>
  </si>
  <si>
    <t>07-3574709</t>
  </si>
  <si>
    <t>info@ngongotaha.busybees.org.nz</t>
  </si>
  <si>
    <t>45 Taui Street</t>
  </si>
  <si>
    <t>Ngongotahā East</t>
  </si>
  <si>
    <t>Rochelle Munro</t>
  </si>
  <si>
    <t>Pathways Rudolf Steiner Kindergarten</t>
  </si>
  <si>
    <t>07-3489532</t>
  </si>
  <si>
    <t>office@pathwayskindergarten.co.nz</t>
  </si>
  <si>
    <t>14 Larch Street</t>
  </si>
  <si>
    <t>Carina Naudē</t>
  </si>
  <si>
    <t>P O Box 5081</t>
  </si>
  <si>
    <t>Rotorua West</t>
  </si>
  <si>
    <t>Rotorua 3044</t>
  </si>
  <si>
    <t>Busy Bees Whakatau Street</t>
  </si>
  <si>
    <t>07-3479962</t>
  </si>
  <si>
    <t>info@whakatau.busybees.org.nz</t>
  </si>
  <si>
    <t>1271 Whakatau Street</t>
  </si>
  <si>
    <t>Annalee Timoti</t>
  </si>
  <si>
    <t>021-02752432</t>
  </si>
  <si>
    <t>Central Kids Kindergartens - Reporoa</t>
  </si>
  <si>
    <t>07-3338351</t>
  </si>
  <si>
    <t>reporoa@centralkids.org.nz</t>
  </si>
  <si>
    <t>28 Massey Road</t>
  </si>
  <si>
    <t>Reporoa Community of Learning</t>
  </si>
  <si>
    <t>BestStart Lynmore</t>
  </si>
  <si>
    <t>07-3457542</t>
  </si>
  <si>
    <t>8 Iles Road</t>
  </si>
  <si>
    <t>Lynmore</t>
  </si>
  <si>
    <t>Little Darlings Childcare Centre</t>
  </si>
  <si>
    <t>07-3479671</t>
  </si>
  <si>
    <t>kimd@littledarlingschildcare.co.nz</t>
  </si>
  <si>
    <t>23 Park Road</t>
  </si>
  <si>
    <t>Kim-Sheree Dalton</t>
  </si>
  <si>
    <t>375A Malfroy Road</t>
  </si>
  <si>
    <t>Kids Campus T.P.S. Childcare Society Inc</t>
  </si>
  <si>
    <t>07-5781150</t>
  </si>
  <si>
    <t>70 Humber Crescent</t>
  </si>
  <si>
    <t>Melissa Jeffcoat</t>
  </si>
  <si>
    <t>Tauranga 3112</t>
  </si>
  <si>
    <t>BestStart Herewini Street</t>
  </si>
  <si>
    <t>07-3487484</t>
  </si>
  <si>
    <t>20 Herewini Street</t>
  </si>
  <si>
    <t>Rotorua Girls' High School Childcare Centre</t>
  </si>
  <si>
    <t>07-3477488</t>
  </si>
  <si>
    <t>rghschildcare@xtra.co.nz</t>
  </si>
  <si>
    <t>15 Miro Street</t>
  </si>
  <si>
    <t>Christine Dender</t>
  </si>
  <si>
    <t>Tawa Early Learning Centre</t>
  </si>
  <si>
    <t>07-3789593</t>
  </si>
  <si>
    <t>admin@tawaelc.co.nz</t>
  </si>
  <si>
    <t>35 Tawa Street</t>
  </si>
  <si>
    <t>Jennifer Jones</t>
  </si>
  <si>
    <t>Hilltop</t>
  </si>
  <si>
    <t>Taupo 3330</t>
  </si>
  <si>
    <t>021-0603115</t>
  </si>
  <si>
    <t>Waiapu Kids - St Georges</t>
  </si>
  <si>
    <t>07-3086934</t>
  </si>
  <si>
    <t>phillip.ozanne@acw.org.nz</t>
  </si>
  <si>
    <t>32 Domain Road</t>
  </si>
  <si>
    <t>Phillip Ozanne</t>
  </si>
  <si>
    <t>Opotiki Community Childcare Centre</t>
  </si>
  <si>
    <t>07-3158364</t>
  </si>
  <si>
    <t>115 Wellington Street</t>
  </si>
  <si>
    <t>Melanie Brown</t>
  </si>
  <si>
    <t>Whakatane 3122</t>
  </si>
  <si>
    <t>027-6200131</t>
  </si>
  <si>
    <t>Matariki Early Childhood Centre</t>
  </si>
  <si>
    <t>07-3129432</t>
  </si>
  <si>
    <t>467 Reid Road, RD 1</t>
  </si>
  <si>
    <t>Ruatoki</t>
  </si>
  <si>
    <t>Waingarara-Waimana</t>
  </si>
  <si>
    <t>Meri Sisley</t>
  </si>
  <si>
    <t>467A Reid Road RD 1</t>
  </si>
  <si>
    <t>Whakatane 3191</t>
  </si>
  <si>
    <t>Rose Ring Kindergarten</t>
  </si>
  <si>
    <t>07-5442452</t>
  </si>
  <si>
    <t>R364 Welcome Bay Road</t>
  </si>
  <si>
    <t>Welcome Bay South</t>
  </si>
  <si>
    <t>Sophie Moselen</t>
  </si>
  <si>
    <t>P O Box 115</t>
  </si>
  <si>
    <t>Seventh Avenue</t>
  </si>
  <si>
    <t>027-5182392</t>
  </si>
  <si>
    <t>Seedlings Preschool</t>
  </si>
  <si>
    <t>07-3049466</t>
  </si>
  <si>
    <t>spike@seedlings.co.nz</t>
  </si>
  <si>
    <t>37 Putiki Road</t>
  </si>
  <si>
    <t>Zhihui Xu</t>
  </si>
  <si>
    <t>37 Putiki Road, RD 3</t>
  </si>
  <si>
    <t>Edgecumbe 3193</t>
  </si>
  <si>
    <t>Manaaki Tamariki Early Learning Centre</t>
  </si>
  <si>
    <t>07-3437544</t>
  </si>
  <si>
    <t>30 Pererika Street</t>
  </si>
  <si>
    <t>Jo-Anne Edmonds</t>
  </si>
  <si>
    <t>316 Ngongotaha Road</t>
  </si>
  <si>
    <t>Atiamuri Playcentre</t>
  </si>
  <si>
    <t>07-3332028</t>
  </si>
  <si>
    <t>2603 State Highway 30, RD 1</t>
  </si>
  <si>
    <t>Atiamuri</t>
  </si>
  <si>
    <t>Ngakuru</t>
  </si>
  <si>
    <t>Hamurana Playcentre</t>
  </si>
  <si>
    <t>07-3322110</t>
  </si>
  <si>
    <t>38 Tauranga Direct Road, RD 6</t>
  </si>
  <si>
    <t>Hamurana</t>
  </si>
  <si>
    <t>Koutu Playcentre</t>
  </si>
  <si>
    <t>07-3461702</t>
  </si>
  <si>
    <t>35 Taharangi Street</t>
  </si>
  <si>
    <t>Koutu-Rotorua</t>
  </si>
  <si>
    <t>Koutu</t>
  </si>
  <si>
    <t>Lynmore Playcentre</t>
  </si>
  <si>
    <t>07-3455815</t>
  </si>
  <si>
    <t>3A Lynbert Road</t>
  </si>
  <si>
    <t>Mamaku Playcentre</t>
  </si>
  <si>
    <t>07-3325919</t>
  </si>
  <si>
    <t>1 Karamu Street</t>
  </si>
  <si>
    <t>Mamaku</t>
  </si>
  <si>
    <t>Ngongotahā Valley</t>
  </si>
  <si>
    <t>Ngakuru Playcentre</t>
  </si>
  <si>
    <t>07-3436444</t>
  </si>
  <si>
    <t>923 Whirinaki Valley Road, RD 1</t>
  </si>
  <si>
    <t>First Journey Preschool Limited</t>
  </si>
  <si>
    <t>07-3477503</t>
  </si>
  <si>
    <t>firstjourneypreschoollimited@gmail.com</t>
  </si>
  <si>
    <t>34 Sala Street</t>
  </si>
  <si>
    <t>Fenton Park</t>
  </si>
  <si>
    <t>Sarah Benfell</t>
  </si>
  <si>
    <t>34-36 Sala Street</t>
  </si>
  <si>
    <t>Whakarewarewa</t>
  </si>
  <si>
    <t>021-1892508</t>
  </si>
  <si>
    <t>Rotorua Childcare Centre</t>
  </si>
  <si>
    <t>07-3482462</t>
  </si>
  <si>
    <t>63 Tarewa Road</t>
  </si>
  <si>
    <t>Melanie Sinclair</t>
  </si>
  <si>
    <t>P O Box 1687</t>
  </si>
  <si>
    <t>Atawhai Childcare</t>
  </si>
  <si>
    <t>07-3489909</t>
  </si>
  <si>
    <t>cm@atawhaichildcare.co.nz</t>
  </si>
  <si>
    <t>Mokoia Drive</t>
  </si>
  <si>
    <t>Victoria Makirere</t>
  </si>
  <si>
    <t>P O Box 456</t>
  </si>
  <si>
    <t>027-9210502</t>
  </si>
  <si>
    <t>Eastern Suburbs Pre-School Inc</t>
  </si>
  <si>
    <t>07-3455988</t>
  </si>
  <si>
    <t>escp@xtra.co.nz</t>
  </si>
  <si>
    <t>10 Bronte Place</t>
  </si>
  <si>
    <t>Ōwhata West</t>
  </si>
  <si>
    <t>Danya Wood</t>
  </si>
  <si>
    <t>P O Box 7132</t>
  </si>
  <si>
    <t>Rotorua 3042</t>
  </si>
  <si>
    <t>07-3493407</t>
  </si>
  <si>
    <t>Maunganui Kindergarten</t>
  </si>
  <si>
    <t>07-5755471</t>
  </si>
  <si>
    <t>maunganui@ikindergartens.nz</t>
  </si>
  <si>
    <t>19 Miro Street</t>
  </si>
  <si>
    <t>Mount Maunganui South</t>
  </si>
  <si>
    <t>Mount Maunganui North</t>
  </si>
  <si>
    <t>Nature's Cove 2021 Ltd</t>
  </si>
  <si>
    <t>07-5761740</t>
  </si>
  <si>
    <t>naturescove@outlook.co.nz</t>
  </si>
  <si>
    <t>7 Ngatai Road</t>
  </si>
  <si>
    <t>Te Manaaki Preschool</t>
  </si>
  <si>
    <t>07-3237873</t>
  </si>
  <si>
    <t>mentorme2017@yahoo.com</t>
  </si>
  <si>
    <t>22 Peter Lippa Drive</t>
  </si>
  <si>
    <t>Felicity Millar</t>
  </si>
  <si>
    <t>P O Box 204</t>
  </si>
  <si>
    <t>Opotiki Rose Garden Preschool</t>
  </si>
  <si>
    <t>07-3156177</t>
  </si>
  <si>
    <t>rosegarden@xtra.co.nz</t>
  </si>
  <si>
    <t>Ford Street</t>
  </si>
  <si>
    <t>Jamie Papuni</t>
  </si>
  <si>
    <t>P O Box 154</t>
  </si>
  <si>
    <t xml:space="preserve">Opotiki </t>
  </si>
  <si>
    <t>Te Kōhanga Reo ki Aorangi</t>
  </si>
  <si>
    <t>07-348 7411</t>
  </si>
  <si>
    <t>18 Gem Street</t>
  </si>
  <si>
    <t>Pukehangi North</t>
  </si>
  <si>
    <t>Te Kōhanga Reo o Te Koutu</t>
  </si>
  <si>
    <t>07-349 2100</t>
  </si>
  <si>
    <t>39 Huratai Street</t>
  </si>
  <si>
    <t>Te Kōhanga Reo o Pipiwharauroa</t>
  </si>
  <si>
    <t>07-348 5413</t>
  </si>
  <si>
    <t>26 Tarewa Place</t>
  </si>
  <si>
    <t>Te Kōhanga Reo ki Pukeroa Ōruawhata</t>
  </si>
  <si>
    <t>07-348 9401</t>
  </si>
  <si>
    <t>Arawa Street</t>
  </si>
  <si>
    <t>Te Kōhanga Reo o Te Rongopai</t>
  </si>
  <si>
    <t>022-0232137</t>
  </si>
  <si>
    <t>17 Old Quarry Road</t>
  </si>
  <si>
    <t>Te Kōhanga Reo o Tō Te Rā</t>
  </si>
  <si>
    <t>07-348 1958</t>
  </si>
  <si>
    <t>Sunset Road</t>
  </si>
  <si>
    <t>Mangakakahi</t>
  </si>
  <si>
    <t>Te Kōhanga Reo o Tārewa Pounamu</t>
  </si>
  <si>
    <t>07-346 2165</t>
  </si>
  <si>
    <t>21A Tarewa Road</t>
  </si>
  <si>
    <t>Te Kōhanga Reo ki Whakarewarewa</t>
  </si>
  <si>
    <t>07-347 6622</t>
  </si>
  <si>
    <t>63 Sala Street</t>
  </si>
  <si>
    <t>Te Kōhanga Reo ki Ōhau</t>
  </si>
  <si>
    <t>07-362 4714</t>
  </si>
  <si>
    <t>State Highway 33</t>
  </si>
  <si>
    <t>Okere Falls</t>
  </si>
  <si>
    <t>Rotoiti-Rotoehu</t>
  </si>
  <si>
    <t>Te Kōhanga Reo ki Rotokawa</t>
  </si>
  <si>
    <t>07-345 5173</t>
  </si>
  <si>
    <t>6 Rotokawa Road</t>
  </si>
  <si>
    <t>Rotokawa</t>
  </si>
  <si>
    <t>Holdens Bay-Rotokawa</t>
  </si>
  <si>
    <t>Te Kōhanga Reo o Te Hikuwai</t>
  </si>
  <si>
    <t>07-362 7280</t>
  </si>
  <si>
    <t>1620 State Highway 30</t>
  </si>
  <si>
    <t>Rotoiti</t>
  </si>
  <si>
    <t>Te Kōhanga Reo o Ngongotahā</t>
  </si>
  <si>
    <t>07-357 2075</t>
  </si>
  <si>
    <t>23 Taui Street</t>
  </si>
  <si>
    <t>Te Kōhanga Reo o Atawhai</t>
  </si>
  <si>
    <t>07-378 3574</t>
  </si>
  <si>
    <t>Tauhara School 3 Crown Road</t>
  </si>
  <si>
    <t>Te Kōhanga Reo o Taupō</t>
  </si>
  <si>
    <t>07-378 2575</t>
  </si>
  <si>
    <t>11 Arihia Street</t>
  </si>
  <si>
    <t>Te Kōhanga Reo o Waitahanui</t>
  </si>
  <si>
    <t>07-378 5409</t>
  </si>
  <si>
    <t>Waitahanui</t>
  </si>
  <si>
    <t>Te Kōhanga Reo o Papakai</t>
  </si>
  <si>
    <t>07-386 5993</t>
  </si>
  <si>
    <t>Papakai Marae Highway 47, Lake Rotoaira</t>
  </si>
  <si>
    <t>Lake Taupō Bays</t>
  </si>
  <si>
    <t>Te Kōhanga Reo o Waihī</t>
  </si>
  <si>
    <t>07-386 6260</t>
  </si>
  <si>
    <t>Korohe Rd</t>
  </si>
  <si>
    <t>Te Kōhanga Reo o Kimihia</t>
  </si>
  <si>
    <t>07-378 0634</t>
  </si>
  <si>
    <t>14 Morison Street</t>
  </si>
  <si>
    <t>Te Kōhanga Reo o Reporoa</t>
  </si>
  <si>
    <t>07-3338333</t>
  </si>
  <si>
    <t>Mataarae Marae State Highway 5</t>
  </si>
  <si>
    <t>Te Kōhanga Reo O Hairini</t>
  </si>
  <si>
    <t>07-544 1840</t>
  </si>
  <si>
    <t>9 Tamahika Street</t>
  </si>
  <si>
    <t>Hairini</t>
  </si>
  <si>
    <t>Ipo Tait</t>
  </si>
  <si>
    <t>07-3060008</t>
  </si>
  <si>
    <t>Te Kōhanga Reo o Ngāti Hangarau</t>
  </si>
  <si>
    <t>07-579 1484</t>
  </si>
  <si>
    <t>217 Bethlehem Road, RD4</t>
  </si>
  <si>
    <t>Bethlehem North</t>
  </si>
  <si>
    <t>Te Kōhanga Reo o Matakana Island</t>
  </si>
  <si>
    <t>07-571 0758</t>
  </si>
  <si>
    <t>Opureora Road</t>
  </si>
  <si>
    <t>Matakana Island</t>
  </si>
  <si>
    <t>Te Kōhanga Reo o Te Matapihi</t>
  </si>
  <si>
    <t>07-579 9461</t>
  </si>
  <si>
    <t>7 Hungahungatoroa Road, RD 5</t>
  </si>
  <si>
    <t>Matapihi</t>
  </si>
  <si>
    <t>Te Kōhanga Reo O Pirirakau</t>
  </si>
  <si>
    <t>07-552 5137</t>
  </si>
  <si>
    <t>Lockhead Road</t>
  </si>
  <si>
    <t>Te Kōhanga Reo o Tutarawananga</t>
  </si>
  <si>
    <t>07-578 2216</t>
  </si>
  <si>
    <t>43 Henderson Crescent</t>
  </si>
  <si>
    <t>Parkvale-Tauranga</t>
  </si>
  <si>
    <t>Yatton Park</t>
  </si>
  <si>
    <t>Te Kōhanga Reo o Tutereinga</t>
  </si>
  <si>
    <t>07-552 4128</t>
  </si>
  <si>
    <t>89 Tangitu Road</t>
  </si>
  <si>
    <t>Te Kōhanga Reo o Hūria</t>
  </si>
  <si>
    <t>07-571 0339</t>
  </si>
  <si>
    <t>25 Sutherland Road</t>
  </si>
  <si>
    <t>Brookfield</t>
  </si>
  <si>
    <t>Te Kōhanga Reo o Ngāpeke</t>
  </si>
  <si>
    <t>07-544 2384</t>
  </si>
  <si>
    <t>Whetu Marae</t>
  </si>
  <si>
    <t>Waitao</t>
  </si>
  <si>
    <t>Te Kōhanga Reo o Arataki</t>
  </si>
  <si>
    <t>07-575 2380</t>
  </si>
  <si>
    <t>135 Eversham Road</t>
  </si>
  <si>
    <t>Te Kōhanga Reo o Apanui ki Whakatāne</t>
  </si>
  <si>
    <t>07-307 1116</t>
  </si>
  <si>
    <t>50 Arawa Road</t>
  </si>
  <si>
    <t>Te Kōhanga Reo o Kokohinau</t>
  </si>
  <si>
    <t>07-322 8089</t>
  </si>
  <si>
    <t>Kokohinau Marae</t>
  </si>
  <si>
    <t>Te Teko</t>
  </si>
  <si>
    <t>Te Teko Lakes</t>
  </si>
  <si>
    <t>Te Kōhanga Reo o Tu Whakaara o Rautahi</t>
  </si>
  <si>
    <t>07-323 8202</t>
  </si>
  <si>
    <t>36-40 Grey Street</t>
  </si>
  <si>
    <t>Kawerau Central</t>
  </si>
  <si>
    <t>Te Kōhanga Reo o Taahuna</t>
  </si>
  <si>
    <t>07-322 8002</t>
  </si>
  <si>
    <t>Te Teko School Main Road</t>
  </si>
  <si>
    <t>Te Kōhanga Reo o Taneatua</t>
  </si>
  <si>
    <t>07-312 9154</t>
  </si>
  <si>
    <t>11 Amokura Street</t>
  </si>
  <si>
    <t>Taneatua</t>
  </si>
  <si>
    <t>Wainui</t>
  </si>
  <si>
    <t>Te Kōhanga Reo o Te Teko</t>
  </si>
  <si>
    <t>07-322 8617</t>
  </si>
  <si>
    <t>6 Te Teko Road</t>
  </si>
  <si>
    <t>Te Kōhanga Reo o Ngā Whetu o Tawera</t>
  </si>
  <si>
    <t>07-312 9400</t>
  </si>
  <si>
    <t>Ngahina Road</t>
  </si>
  <si>
    <t>Te Kōhanga Reo o Te Whare Aroha o Te Hūmārie</t>
  </si>
  <si>
    <t>07-315 8454</t>
  </si>
  <si>
    <t>141 Church Street</t>
  </si>
  <si>
    <t>Te Kōhanga Reo o Nau Mai</t>
  </si>
  <si>
    <t>07-366 5064</t>
  </si>
  <si>
    <t>30 Kowhai Drive</t>
  </si>
  <si>
    <t>Te Kōhanga Reo o Nga Tamariki O Te Kohu</t>
  </si>
  <si>
    <t>07-312 9507</t>
  </si>
  <si>
    <t>Te Rewa Rewa Marae Te Wakaunua Road</t>
  </si>
  <si>
    <t>Te Kōhanga Reo o Waitaha</t>
  </si>
  <si>
    <t>07-573 6910</t>
  </si>
  <si>
    <t>147 Manoeka Road, RD 3</t>
  </si>
  <si>
    <t>Te Puke West</t>
  </si>
  <si>
    <t>Te Kōhanga Reo o Patutaatahi</t>
  </si>
  <si>
    <t>07-304 9150</t>
  </si>
  <si>
    <t>College Road</t>
  </si>
  <si>
    <t>Te Kōhanga Reo o Te Rereatukahia</t>
  </si>
  <si>
    <t>07-549 0534</t>
  </si>
  <si>
    <t>Te Rereatukahia Pa Road</t>
  </si>
  <si>
    <t>Te Kōhanga Reo o Ōpopoti</t>
  </si>
  <si>
    <t>07-544 0542</t>
  </si>
  <si>
    <t>25 Wikitoria Street</t>
  </si>
  <si>
    <t>Te Kōhanga Reo o Te Akau</t>
  </si>
  <si>
    <t>07-572 1904</t>
  </si>
  <si>
    <t>95 Hartford Ave</t>
  </si>
  <si>
    <t>Te Kōhanga Reo o Te Kiriwera Hana</t>
  </si>
  <si>
    <t>07-322 8359</t>
  </si>
  <si>
    <t>Te Mapou Marae</t>
  </si>
  <si>
    <t>Te Kōhanga Reo o Rangitihi</t>
  </si>
  <si>
    <t>07-322 2603</t>
  </si>
  <si>
    <t>8 Marae Lane</t>
  </si>
  <si>
    <t>Matata</t>
  </si>
  <si>
    <t>Matatā-Otakiri</t>
  </si>
  <si>
    <t>Te Kōhanga Reo o Te Kaha Nui A Tiki</t>
  </si>
  <si>
    <t>07-325 2777</t>
  </si>
  <si>
    <t>6870 State Highway 35, RD 1</t>
  </si>
  <si>
    <t>Te Kaha</t>
  </si>
  <si>
    <t>Cape Runaway</t>
  </si>
  <si>
    <t>Coast Ward</t>
  </si>
  <si>
    <t>Te Kōhanga Reo o Tama Ki Hikurangi</t>
  </si>
  <si>
    <t>07-322 8221</t>
  </si>
  <si>
    <t>Waiohau Marae</t>
  </si>
  <si>
    <t>Waiohau</t>
  </si>
  <si>
    <t>Te Kōhanga Reo o Whangaparaoa</t>
  </si>
  <si>
    <t>07-325 3623</t>
  </si>
  <si>
    <t>11555 State Highway 35, Cape Runaway, RD 3</t>
  </si>
  <si>
    <t>Te Kōhanga Reo o Wairaka</t>
  </si>
  <si>
    <t>07-307 0023</t>
  </si>
  <si>
    <t>Harvey Street</t>
  </si>
  <si>
    <t>Te Kōhanga Reo o Toroa</t>
  </si>
  <si>
    <t>07-308 4595</t>
  </si>
  <si>
    <t>100 Patuwai Road</t>
  </si>
  <si>
    <t>Coastlands</t>
  </si>
  <si>
    <t>Te Kōhanga Reo o Maraenui</t>
  </si>
  <si>
    <t>07-325 2764</t>
  </si>
  <si>
    <t>State Highway 35</t>
  </si>
  <si>
    <t>Te Kōhanga Reo o Tarimano</t>
  </si>
  <si>
    <t>07-332 2133</t>
  </si>
  <si>
    <t>68 Gloucester Road</t>
  </si>
  <si>
    <t>Awahou North-Rotorua</t>
  </si>
  <si>
    <t>Te Kōhanga Reo o Ngā Mōkai-a-Koko</t>
  </si>
  <si>
    <t>07-348 2886</t>
  </si>
  <si>
    <t>11 Tukiterangi Street</t>
  </si>
  <si>
    <t>Te Kōhanga Reo o Mangakino</t>
  </si>
  <si>
    <t>07-882 8180</t>
  </si>
  <si>
    <t>Pouakani Marae Moana Crescent</t>
  </si>
  <si>
    <t>Te Kōhanga Reo o Te Paroa</t>
  </si>
  <si>
    <t>07-308 5152</t>
  </si>
  <si>
    <t>Taiwhakaea Road</t>
  </si>
  <si>
    <t>Busy Bees Mangakakahi</t>
  </si>
  <si>
    <t>07-3462390</t>
  </si>
  <si>
    <t>info@mangakakahi.busybees.org.nz</t>
  </si>
  <si>
    <t>16 Lisa Crescent</t>
  </si>
  <si>
    <t>Jamie Irwin</t>
  </si>
  <si>
    <t>Bright Beginnings Childcare Centre</t>
  </si>
  <si>
    <t>06-3487290</t>
  </si>
  <si>
    <t>29 Hatrick Street</t>
  </si>
  <si>
    <t>Whanganui Central</t>
  </si>
  <si>
    <t>Nicola Cawley</t>
  </si>
  <si>
    <t>P O Box 95</t>
  </si>
  <si>
    <t>Paekakariki</t>
  </si>
  <si>
    <t>Wellington 5034</t>
  </si>
  <si>
    <t>027-4680875</t>
  </si>
  <si>
    <t>Te Kōhanga Reo o Mawake</t>
  </si>
  <si>
    <t>07-386 0032</t>
  </si>
  <si>
    <t>2 Mawake Place</t>
  </si>
  <si>
    <t>Kidz World - Maisey Place</t>
  </si>
  <si>
    <t>07-3490632</t>
  </si>
  <si>
    <t>beverleycarlton@gmail.com</t>
  </si>
  <si>
    <t>9 Maisey Place</t>
  </si>
  <si>
    <t>Mangakakahi Central</t>
  </si>
  <si>
    <t>Jamie Buffett</t>
  </si>
  <si>
    <t>P O Box 10026</t>
  </si>
  <si>
    <t>Rotorua 3143</t>
  </si>
  <si>
    <t>027-211361821</t>
  </si>
  <si>
    <t>Kids on Nineteen Early Learning Centre</t>
  </si>
  <si>
    <t>07-5780828</t>
  </si>
  <si>
    <t>kids_on_19@xtra.co.nz</t>
  </si>
  <si>
    <t>5 Nineteenth Avenue</t>
  </si>
  <si>
    <t>Marlene Best</t>
  </si>
  <si>
    <t>137a Bassett Road</t>
  </si>
  <si>
    <t>Fairfield Educare Ltd</t>
  </si>
  <si>
    <t>06-3686288</t>
  </si>
  <si>
    <t>85 MacArthur Street</t>
  </si>
  <si>
    <t>Kawiu North</t>
  </si>
  <si>
    <t>Gaylene Williams</t>
  </si>
  <si>
    <t>P O Box 539</t>
  </si>
  <si>
    <t>Paraparaumu 5254</t>
  </si>
  <si>
    <t>06-3645414</t>
  </si>
  <si>
    <t>Te Kōhanga Reo o Waikaremoana</t>
  </si>
  <si>
    <t>06-837 3875</t>
  </si>
  <si>
    <t>whanau@k12f037.kohanga.ac.nz</t>
  </si>
  <si>
    <t>Waimako Pa Waimako Pa Road</t>
  </si>
  <si>
    <t>Tuai</t>
  </si>
  <si>
    <t>Maungataniwha-Raupunga</t>
  </si>
  <si>
    <t>Te Kōhanga Reo o Tanatana</t>
  </si>
  <si>
    <t>07-312 3565</t>
  </si>
  <si>
    <t>Matahi Valley Road</t>
  </si>
  <si>
    <t>Tanatana</t>
  </si>
  <si>
    <t>Te Kōhanga Reo o Tumanako</t>
  </si>
  <si>
    <t>07-323 7887</t>
  </si>
  <si>
    <t>119 River Road</t>
  </si>
  <si>
    <t>Te Kōhanga Reo o Te Puāwaitanga</t>
  </si>
  <si>
    <t>07-377 1401</t>
  </si>
  <si>
    <t>30 Ōpepe Street</t>
  </si>
  <si>
    <t>Te Kōhanga Reo o Hakota</t>
  </si>
  <si>
    <t>07-325 2752</t>
  </si>
  <si>
    <t>Te Kōhanga Reo o Terere</t>
  </si>
  <si>
    <t>07-315 5404</t>
  </si>
  <si>
    <t>Terere Pā Road</t>
  </si>
  <si>
    <t>Ōtara-Tirohanga</t>
  </si>
  <si>
    <t>Waioeka-Waiōtahe-Otara Ward</t>
  </si>
  <si>
    <t>Te Kōhanga Reo o Pirimai</t>
  </si>
  <si>
    <t>06-929 5400</t>
  </si>
  <si>
    <t>14 Kaka Place</t>
  </si>
  <si>
    <t>Wembley Park</t>
  </si>
  <si>
    <t>Te Kōhanga Reo o Te Uru Karaka</t>
  </si>
  <si>
    <t>06-356 9099</t>
  </si>
  <si>
    <t>teurukarakakohanga@gmail.com</t>
  </si>
  <si>
    <t>Drysdale</t>
  </si>
  <si>
    <t>Massey University</t>
  </si>
  <si>
    <t>Turitea</t>
  </si>
  <si>
    <t>Learna Pipi</t>
  </si>
  <si>
    <t>04-3818910  Ext 9002</t>
  </si>
  <si>
    <t>Te Kōhanga Reo o Te Huinga o te Ao</t>
  </si>
  <si>
    <t>07-315 4692</t>
  </si>
  <si>
    <t>Kutarere Marae</t>
  </si>
  <si>
    <t>Kutarere</t>
  </si>
  <si>
    <t>Waiotahe</t>
  </si>
  <si>
    <t>Kiwi Clubhouse Learning Centre</t>
  </si>
  <si>
    <t>06-2780810</t>
  </si>
  <si>
    <t>admin@kiwiclubhouse.co.nz</t>
  </si>
  <si>
    <t>29 Manawapou Road</t>
  </si>
  <si>
    <t>Sally Coombe</t>
  </si>
  <si>
    <t>P O Box 374</t>
  </si>
  <si>
    <t>Hāwera 4640</t>
  </si>
  <si>
    <t>027-2408841</t>
  </si>
  <si>
    <t>Tui Early Learners - birth to school</t>
  </si>
  <si>
    <t>06-280 2615</t>
  </si>
  <si>
    <t>deborah@tuiearlylearners.co.nz</t>
  </si>
  <si>
    <t>322 Albert Street</t>
  </si>
  <si>
    <t>Hokowhitu Central</t>
  </si>
  <si>
    <t>Deborah Pedersen</t>
  </si>
  <si>
    <t>68 Napier Road</t>
  </si>
  <si>
    <t>Eastside Playcentre</t>
  </si>
  <si>
    <t>026-700 1410</t>
  </si>
  <si>
    <t>Eastside@playcentre.org.nz</t>
  </si>
  <si>
    <t>10 Matarawa Street</t>
  </si>
  <si>
    <t>Lisa Poulsen</t>
  </si>
  <si>
    <t>027-880 5227</t>
  </si>
  <si>
    <t>BestStart Vivian Street</t>
  </si>
  <si>
    <t>06-7573552</t>
  </si>
  <si>
    <t>vivian@best-start.org</t>
  </si>
  <si>
    <t>102 Vivian Street</t>
  </si>
  <si>
    <t>Kawaroa</t>
  </si>
  <si>
    <t>Hilary Bourke</t>
  </si>
  <si>
    <t>Manaia Community Preschool</t>
  </si>
  <si>
    <t>06-2749292</t>
  </si>
  <si>
    <t>admin@mcp.org.nz</t>
  </si>
  <si>
    <t>11 Patu-Kukupa Street</t>
  </si>
  <si>
    <t>Manaia</t>
  </si>
  <si>
    <t>Taranaki Coastal General Ward</t>
  </si>
  <si>
    <t>Jillian Harrison</t>
  </si>
  <si>
    <t>P O Box 81</t>
  </si>
  <si>
    <t>Manaia 4641</t>
  </si>
  <si>
    <t>06-2791231</t>
  </si>
  <si>
    <t>Kelvin Grove Kindergarten</t>
  </si>
  <si>
    <t>06-3541442</t>
  </si>
  <si>
    <t>kelvingrove@ruahinekindergartens.org.nz</t>
  </si>
  <si>
    <t>113 Hillcrest Drive</t>
  </si>
  <si>
    <t>Kelvin Grove</t>
  </si>
  <si>
    <t>Kelvin Grove West</t>
  </si>
  <si>
    <t>Punahau Early Childhood Care Centre</t>
  </si>
  <si>
    <t>06-3687780</t>
  </si>
  <si>
    <t>punahau.eccc@xtra.co.nz</t>
  </si>
  <si>
    <t>24 Wilton Street</t>
  </si>
  <si>
    <t>Levin East</t>
  </si>
  <si>
    <t>Playford Park</t>
  </si>
  <si>
    <t>Kelly Tahiwi</t>
  </si>
  <si>
    <t>Manawatu 5510</t>
  </si>
  <si>
    <t>Barnardos Early Learning Centre Palmerston North</t>
  </si>
  <si>
    <t>06-3500043</t>
  </si>
  <si>
    <t>25 Kipling Street</t>
  </si>
  <si>
    <t>Roslyn (Palmerston North City)</t>
  </si>
  <si>
    <t>Kelsy Mudgway</t>
  </si>
  <si>
    <t>Te Kōhanga Reo o Kauri</t>
  </si>
  <si>
    <t>06-367 0977</t>
  </si>
  <si>
    <t>WHANAU@K09D097.kohanga.ac.nz</t>
  </si>
  <si>
    <t>7 Kauri Street</t>
  </si>
  <si>
    <t>Queenwood (Horowhenua District)</t>
  </si>
  <si>
    <t>BestStart Hokowhitu</t>
  </si>
  <si>
    <t>06-3549994</t>
  </si>
  <si>
    <t>224-226 Park Road</t>
  </si>
  <si>
    <t>Nicola Christie</t>
  </si>
  <si>
    <t>027-5717596</t>
  </si>
  <si>
    <t>BestStart Palmerston North 2</t>
  </si>
  <si>
    <t>06-3547907</t>
  </si>
  <si>
    <t>palmerstonnorth@best-start.org</t>
  </si>
  <si>
    <t>34 Carroll Street</t>
  </si>
  <si>
    <t>Papaioea North</t>
  </si>
  <si>
    <t>Country Educare Children's Centre</t>
  </si>
  <si>
    <t>06-3681061</t>
  </si>
  <si>
    <t>country.educare@xtra.co.nz</t>
  </si>
  <si>
    <t>73 Whelans Road, RD 1</t>
  </si>
  <si>
    <t>Ōhau-Manakau</t>
  </si>
  <si>
    <t>Waiopehu General Ward</t>
  </si>
  <si>
    <t>Gemma Mckay</t>
  </si>
  <si>
    <t>74 Wheelans Road</t>
  </si>
  <si>
    <t>Levin 5571</t>
  </si>
  <si>
    <t>06-3681062</t>
  </si>
  <si>
    <t>Lots of Hugs Childcare Centre</t>
  </si>
  <si>
    <t>06-3546878</t>
  </si>
  <si>
    <t>loh1@lotsofhugschildcare.co.nz</t>
  </si>
  <si>
    <t>72 Pitt Street</t>
  </si>
  <si>
    <t>Theresa Christison</t>
  </si>
  <si>
    <t>Crossroads Early Childhood Centre Trust</t>
  </si>
  <si>
    <t>06-3580669</t>
  </si>
  <si>
    <t>cecc@crossroads.co.nz</t>
  </si>
  <si>
    <t>220 Church Street</t>
  </si>
  <si>
    <t>Ashleigh McDonald</t>
  </si>
  <si>
    <t>Manawatu 4410</t>
  </si>
  <si>
    <t>027-2835219</t>
  </si>
  <si>
    <t>BestStart Foxton Beach Kindy</t>
  </si>
  <si>
    <t>06-3636626</t>
  </si>
  <si>
    <t>foxtonbeach.kindy@best-start.org</t>
  </si>
  <si>
    <t>12 Carthew Terrace</t>
  </si>
  <si>
    <t>Foxton Beach</t>
  </si>
  <si>
    <t>Lucie Hyett</t>
  </si>
  <si>
    <t>Rata Street Pre-school</t>
  </si>
  <si>
    <t>07-8958719</t>
  </si>
  <si>
    <t>ratast.office@gmail.com</t>
  </si>
  <si>
    <t>Rata Street</t>
  </si>
  <si>
    <t>Taumarunui East</t>
  </si>
  <si>
    <t>Cindy Woolston</t>
  </si>
  <si>
    <t>10 Rata Street</t>
  </si>
  <si>
    <t>Waikato 3924</t>
  </si>
  <si>
    <t>Lilliput Preschool</t>
  </si>
  <si>
    <t>07-5770458</t>
  </si>
  <si>
    <t>dolly@lilliputpreschool.co.nz</t>
  </si>
  <si>
    <t>163 Fifteenth Avenue</t>
  </si>
  <si>
    <t>Matthew Dol</t>
  </si>
  <si>
    <t>027-3622770</t>
  </si>
  <si>
    <t>Central City Quality Edu-care (Pukaki St)</t>
  </si>
  <si>
    <t>07-3437011</t>
  </si>
  <si>
    <t>pukaki@ccqe.co.nz</t>
  </si>
  <si>
    <t>1151 Pukaki</t>
  </si>
  <si>
    <t>1151 Pukaki Street</t>
  </si>
  <si>
    <t>Jemmas Homebased Childcare Ltd 6</t>
  </si>
  <si>
    <t>07-5785978</t>
  </si>
  <si>
    <t>treenaw@jemmas.co.nz</t>
  </si>
  <si>
    <t>Treena Woods</t>
  </si>
  <si>
    <t>Giggles Te Puke Early Learning Centre</t>
  </si>
  <si>
    <t>07-5736222</t>
  </si>
  <si>
    <t>shona@giggleseducare.co.nz</t>
  </si>
  <si>
    <t>1 Commerce Lane</t>
  </si>
  <si>
    <t>Shona Ua-Marsh</t>
  </si>
  <si>
    <t>P O Box 767</t>
  </si>
  <si>
    <t>Tauranga 3153</t>
  </si>
  <si>
    <t>Tauranga Hospital Play Service</t>
  </si>
  <si>
    <t>07-5798701</t>
  </si>
  <si>
    <t>deborah.mcdougall@bopdhb.govt.nz</t>
  </si>
  <si>
    <t>Tauranga Hospital Children's Ward, Cameron Road</t>
  </si>
  <si>
    <t>Tauranga Hospital</t>
  </si>
  <si>
    <t>Deborah McDougall</t>
  </si>
  <si>
    <t>Tauranga Hospital Private Bag 12024</t>
  </si>
  <si>
    <t>BestStart Parton Road</t>
  </si>
  <si>
    <t>07-542 3136</t>
  </si>
  <si>
    <t>parton@best-start.org</t>
  </si>
  <si>
    <t>90 Parton Road</t>
  </si>
  <si>
    <t>Central Kids Kindergartens - Matatā</t>
  </si>
  <si>
    <t>07-3222053</t>
  </si>
  <si>
    <t>matata@centralkids.org.nz</t>
  </si>
  <si>
    <t>43 Pollen Street</t>
  </si>
  <si>
    <t>Busy Bees Western Heights</t>
  </si>
  <si>
    <t>07-3490600</t>
  </si>
  <si>
    <t>195 Clayton Road</t>
  </si>
  <si>
    <t>Gina Hagan</t>
  </si>
  <si>
    <t>BestStart Totara Street</t>
  </si>
  <si>
    <t>07-3770677</t>
  </si>
  <si>
    <t>35 Totara Street</t>
  </si>
  <si>
    <t>Kirsten Stewart</t>
  </si>
  <si>
    <t>027-18004414</t>
  </si>
  <si>
    <t>Coastlands Preschool</t>
  </si>
  <si>
    <t>07-3089302</t>
  </si>
  <si>
    <t>9 Fishermans Drive</t>
  </si>
  <si>
    <t>Jacqueline Johnston</t>
  </si>
  <si>
    <t>Whakatane 3120</t>
  </si>
  <si>
    <t>027-8645467</t>
  </si>
  <si>
    <t>Kidz Rock Early Learning Centre</t>
  </si>
  <si>
    <t>07-3492142</t>
  </si>
  <si>
    <t>kidzrock@xtra.co.nz</t>
  </si>
  <si>
    <t>82 Pererika Street</t>
  </si>
  <si>
    <t>Tracy Tutbury</t>
  </si>
  <si>
    <t>P O Box 1121</t>
  </si>
  <si>
    <t>07-3485204</t>
  </si>
  <si>
    <t>Bizzy Buddyz Ltd</t>
  </si>
  <si>
    <t>07-3084314</t>
  </si>
  <si>
    <t>76 Alexander Avenue</t>
  </si>
  <si>
    <t>Maree Hunt</t>
  </si>
  <si>
    <t>P O Box 827</t>
  </si>
  <si>
    <t>Whakatane 3158</t>
  </si>
  <si>
    <t>07-3084312</t>
  </si>
  <si>
    <t>BestStart Fairy Springs</t>
  </si>
  <si>
    <t>07-3463132</t>
  </si>
  <si>
    <t>fairysprings@best-start.org</t>
  </si>
  <si>
    <t>51 Monokia Street</t>
  </si>
  <si>
    <t>Songbird Early Childhood Centre</t>
  </si>
  <si>
    <t>07-5520045</t>
  </si>
  <si>
    <t>2257 State Highway 2</t>
  </si>
  <si>
    <t>Aongatete</t>
  </si>
  <si>
    <t>Melissa Hay</t>
  </si>
  <si>
    <t>71A Wright Road RD 4</t>
  </si>
  <si>
    <t>Katikati 3181</t>
  </si>
  <si>
    <t>027-3845299</t>
  </si>
  <si>
    <t>Kiwi Treasures</t>
  </si>
  <si>
    <t>07-5799113</t>
  </si>
  <si>
    <t>586 Fraser Street</t>
  </si>
  <si>
    <t>Elana Lintern</t>
  </si>
  <si>
    <t>36A Crawford Rd RD 1</t>
  </si>
  <si>
    <t>Tauranga 3171</t>
  </si>
  <si>
    <t>07-5790256</t>
  </si>
  <si>
    <t>Tauranga Regional Free Kindergarten Association - Home Based Childcare</t>
  </si>
  <si>
    <t>07-5780552</t>
  </si>
  <si>
    <t>homebased@ikindergartens.nz</t>
  </si>
  <si>
    <t>34 Chapel Street</t>
  </si>
  <si>
    <t>Tauranga Mail Centre</t>
  </si>
  <si>
    <t>Whangamata Free Kindergarten</t>
  </si>
  <si>
    <t>07-8656590</t>
  </si>
  <si>
    <t>whangamata@ikindergartens.nz</t>
  </si>
  <si>
    <t>202 Port Road</t>
  </si>
  <si>
    <t>Lollipops Papamoa</t>
  </si>
  <si>
    <t>07-5425492</t>
  </si>
  <si>
    <t>cm.papamoa@ledu.co.nz</t>
  </si>
  <si>
    <t>95 Domain Road</t>
  </si>
  <si>
    <t>Hayley Pamment</t>
  </si>
  <si>
    <t>027-2205579</t>
  </si>
  <si>
    <t>Kidz World - Brent Road</t>
  </si>
  <si>
    <t>07-3456320</t>
  </si>
  <si>
    <t>12 Brent Road</t>
  </si>
  <si>
    <t>St Andrew's Preschool</t>
  </si>
  <si>
    <t>07-5736903</t>
  </si>
  <si>
    <t>manager@standrews.school.nz</t>
  </si>
  <si>
    <t>6 Stewart Street</t>
  </si>
  <si>
    <t>Te Kōhanga Reo o Te Wairoa</t>
  </si>
  <si>
    <t>07-579 3087</t>
  </si>
  <si>
    <t>whanau@k14a022.kohanga.ac.nz</t>
  </si>
  <si>
    <t>Wairoa Pā Road</t>
  </si>
  <si>
    <t>The Children's Garden Childcare</t>
  </si>
  <si>
    <t>07-5446019</t>
  </si>
  <si>
    <t>64 Victory Street</t>
  </si>
  <si>
    <t>Jennifer Coyle</t>
  </si>
  <si>
    <t>P O Box 12477</t>
  </si>
  <si>
    <t>Hamilton 3214</t>
  </si>
  <si>
    <t>07-544086</t>
  </si>
  <si>
    <t>Fern Garden Preschool &amp; Childcare Centre</t>
  </si>
  <si>
    <t>07-5761976</t>
  </si>
  <si>
    <t>childcare@ferngarden.co.nz</t>
  </si>
  <si>
    <t>408 Otumoetai Road</t>
  </si>
  <si>
    <t>Claire Hesketh</t>
  </si>
  <si>
    <t>P O Box 80155</t>
  </si>
  <si>
    <t>Auckland 0643</t>
  </si>
  <si>
    <t>Agape Christian Preschool</t>
  </si>
  <si>
    <t>07-3481221</t>
  </si>
  <si>
    <t>admin@agape.school.nz</t>
  </si>
  <si>
    <t>155-157 Clayton Road</t>
  </si>
  <si>
    <t>Nanette Alexander</t>
  </si>
  <si>
    <t>P O Box 4052</t>
  </si>
  <si>
    <t>Rotorua 3047</t>
  </si>
  <si>
    <t>07-3331965</t>
  </si>
  <si>
    <t>Daisy Cottage Montessori</t>
  </si>
  <si>
    <t>07-5720300</t>
  </si>
  <si>
    <t>jade@daisycottage.co.nz</t>
  </si>
  <si>
    <t>38 Gloucester Road</t>
  </si>
  <si>
    <t>Jade Smith</t>
  </si>
  <si>
    <t>59 St Kilda Road</t>
  </si>
  <si>
    <t>Robins Nest</t>
  </si>
  <si>
    <t>07-5495496</t>
  </si>
  <si>
    <t>robinsnest.katikati@gmail.com</t>
  </si>
  <si>
    <t>52 Beach Road</t>
  </si>
  <si>
    <t>Zoe Farnath</t>
  </si>
  <si>
    <t>100D Park Road</t>
  </si>
  <si>
    <t>Katikati 3129</t>
  </si>
  <si>
    <t>BestStart Palm Springs</t>
  </si>
  <si>
    <t>07-5424153</t>
  </si>
  <si>
    <t>4 Palm Springs Boulevard</t>
  </si>
  <si>
    <t>Bizzy Buddyz (2)</t>
  </si>
  <si>
    <t>maree@bizzybuddyz.co.nz</t>
  </si>
  <si>
    <t>Buckle My Shoe Early Learning Centre</t>
  </si>
  <si>
    <t>07-5716036</t>
  </si>
  <si>
    <t>menezesenterprisesnz@gmail.com</t>
  </si>
  <si>
    <t>1007 Cameron Road</t>
  </si>
  <si>
    <t>Shreena Menezes</t>
  </si>
  <si>
    <t>Waiapu Kids - Merivale Whanau Aroha</t>
  </si>
  <si>
    <t>07-5715121</t>
  </si>
  <si>
    <t>45 Henderson Crescent</t>
  </si>
  <si>
    <t>Kidz World Rutland St</t>
  </si>
  <si>
    <t>07-3476710</t>
  </si>
  <si>
    <t>5 Rutland Street</t>
  </si>
  <si>
    <t>Starlight Preschool Brookfield</t>
  </si>
  <si>
    <t>07-5761747</t>
  </si>
  <si>
    <t>starlightpreschool.ltd@gmail.com</t>
  </si>
  <si>
    <t>38-40 Millers Road</t>
  </si>
  <si>
    <t>Brookfield West</t>
  </si>
  <si>
    <t>Karamvir Kaur</t>
  </si>
  <si>
    <t>6 Verona Way</t>
  </si>
  <si>
    <t>Judea</t>
  </si>
  <si>
    <t>022-4265033</t>
  </si>
  <si>
    <t>BestStart Pukuatua</t>
  </si>
  <si>
    <t>07-3483579</t>
  </si>
  <si>
    <t>1553 Pukuatua Street</t>
  </si>
  <si>
    <t>Kiwi Educare Ltd</t>
  </si>
  <si>
    <t>07-3454704</t>
  </si>
  <si>
    <t>earlylearningconsultantsnz@gmail.com</t>
  </si>
  <si>
    <t>252 Vaughan Road</t>
  </si>
  <si>
    <t>Aimee Christie</t>
  </si>
  <si>
    <t>Tiaki Early Learning Centre</t>
  </si>
  <si>
    <t>07-3453811</t>
  </si>
  <si>
    <t>tiakiearlylearningcentre@gmail.com</t>
  </si>
  <si>
    <t>25B Umukaria Road, Hinemoa Point</t>
  </si>
  <si>
    <t>Sheela Rao</t>
  </si>
  <si>
    <t>52 Hillcrest Avenue</t>
  </si>
  <si>
    <t>07-3496474</t>
  </si>
  <si>
    <t>Douglas Street Montessori by Busy Bees</t>
  </si>
  <si>
    <t>douglascentre@lops.co.nz</t>
  </si>
  <si>
    <t>Liberty Montessori</t>
  </si>
  <si>
    <t>07-5782040</t>
  </si>
  <si>
    <t>176 Fifteenth Ave</t>
  </si>
  <si>
    <t>Graham Armstrong</t>
  </si>
  <si>
    <t>P O Box 412</t>
  </si>
  <si>
    <t>Tauranga 3144</t>
  </si>
  <si>
    <t>07-5710729</t>
  </si>
  <si>
    <t>Learning Adventures Rotorua Kea</t>
  </si>
  <si>
    <t>07-3477770</t>
  </si>
  <si>
    <t>6 Tryon Street</t>
  </si>
  <si>
    <t>Judy Morgan</t>
  </si>
  <si>
    <t>Above &amp; Beyond Education &amp; Care</t>
  </si>
  <si>
    <t>07-5795714</t>
  </si>
  <si>
    <t>gatepa@above-beyond.co.nz</t>
  </si>
  <si>
    <t>1 Rimu Street</t>
  </si>
  <si>
    <t>Colleen Fryett</t>
  </si>
  <si>
    <t>P O Box 9445</t>
  </si>
  <si>
    <t>Tauranga 3142</t>
  </si>
  <si>
    <t>07 5792252</t>
  </si>
  <si>
    <t>Kids at Home The Bay 1</t>
  </si>
  <si>
    <t>Jacqui Haywood</t>
  </si>
  <si>
    <t>Learning Adventures Te Puke</t>
  </si>
  <si>
    <t>07-5734120</t>
  </si>
  <si>
    <t>5 Beatty Avenue</t>
  </si>
  <si>
    <t>Robert Miles-Kingston</t>
  </si>
  <si>
    <t>Ngongotaha Early Learning Centre</t>
  </si>
  <si>
    <t>07-3574044</t>
  </si>
  <si>
    <t>14 Western Road</t>
  </si>
  <si>
    <t>Heather Brake</t>
  </si>
  <si>
    <t>P O Box 41</t>
  </si>
  <si>
    <t>Rotorua 3041</t>
  </si>
  <si>
    <t>07-3574818</t>
  </si>
  <si>
    <t>Te Kōhanga Reo o Te Puna O Te Aroha</t>
  </si>
  <si>
    <t>07-315 5521</t>
  </si>
  <si>
    <t>Waioeka Pa Road</t>
  </si>
  <si>
    <t>Oponae</t>
  </si>
  <si>
    <t>Te Kōhanga Reo o Ruātoki</t>
  </si>
  <si>
    <t>07-312 9393</t>
  </si>
  <si>
    <t>Mission Road</t>
  </si>
  <si>
    <t>Te Kōhanga Reo O Ruatahuna</t>
  </si>
  <si>
    <t>07-366 3200</t>
  </si>
  <si>
    <t>11 Sister Annie Road</t>
  </si>
  <si>
    <t>Ruatahuna</t>
  </si>
  <si>
    <t>Te Kōhanga Reo o Ngā Mokohuia o Te Rautahi</t>
  </si>
  <si>
    <t>07-323 8423</t>
  </si>
  <si>
    <t>117 Onslow Road</t>
  </si>
  <si>
    <t>Te Kōhanga Reo o Ngā Purapura Hou</t>
  </si>
  <si>
    <t>07-323 6735</t>
  </si>
  <si>
    <t>129 Valley Road</t>
  </si>
  <si>
    <t>Te Kōhanga Reo o Te Timatanga Hou ki Whakatane</t>
  </si>
  <si>
    <t>07-308 4520</t>
  </si>
  <si>
    <t>48 Awatapu Drive</t>
  </si>
  <si>
    <t>Te Kōhanga Reo o Nukutere</t>
  </si>
  <si>
    <t>07-315 7478</t>
  </si>
  <si>
    <t>Omarumutu Marae Omarumutu Road, RD 1</t>
  </si>
  <si>
    <t>Te Kōhanga Reo o Rangitahi</t>
  </si>
  <si>
    <t>07-366 5952</t>
  </si>
  <si>
    <t>Ngatimanawa Road</t>
  </si>
  <si>
    <t>Te Kōhanga Reo o Papaohaki</t>
  </si>
  <si>
    <t>07-312 3414</t>
  </si>
  <si>
    <t>Waimana</t>
  </si>
  <si>
    <t>Te Kōhanga Reo o He Maungarongo</t>
  </si>
  <si>
    <t>07-366 5665</t>
  </si>
  <si>
    <t>147 Oregon Drive</t>
  </si>
  <si>
    <t>Te Kōhanga Reo o Horohoro</t>
  </si>
  <si>
    <t>07-333 1959</t>
  </si>
  <si>
    <t>55 Apirana Road</t>
  </si>
  <si>
    <t>Horohoro</t>
  </si>
  <si>
    <t>Te Kōhanga Reo o Otawhiwhi</t>
  </si>
  <si>
    <t>07-863 4271</t>
  </si>
  <si>
    <t>Seaforth Road</t>
  </si>
  <si>
    <t>Bowentown</t>
  </si>
  <si>
    <t>Te Kōhanga Reo o Whareroa</t>
  </si>
  <si>
    <t>07-575 0417</t>
  </si>
  <si>
    <t>25 Taiaho Place</t>
  </si>
  <si>
    <t>Te Kōhanga Reo o Ākina Te Reo</t>
  </si>
  <si>
    <t>07-386 6577</t>
  </si>
  <si>
    <t>29 Rota Street</t>
  </si>
  <si>
    <t>Te Kōhanga Reo o Motutaiko</t>
  </si>
  <si>
    <t>07-377 3446</t>
  </si>
  <si>
    <t>31 Brice Street</t>
  </si>
  <si>
    <t>Tauhara</t>
  </si>
  <si>
    <t>Te Kōhanga Reo o Te Tīmatatanga Hou</t>
  </si>
  <si>
    <t>07-573 4081</t>
  </si>
  <si>
    <t>4 Dunlop Road</t>
  </si>
  <si>
    <t>Te Kōhanga Reo o Ariki</t>
  </si>
  <si>
    <t>07-357 2842</t>
  </si>
  <si>
    <t>1-3 Ariki Street</t>
  </si>
  <si>
    <t>Te Kōhanga Reo o Ōtūpango</t>
  </si>
  <si>
    <t>07-573 5531</t>
  </si>
  <si>
    <t>309 State Highway 2</t>
  </si>
  <si>
    <t>Rangiuru</t>
  </si>
  <si>
    <t>Bethlehem Community Preschool Inc</t>
  </si>
  <si>
    <t>07-5793500</t>
  </si>
  <si>
    <t>office@bethlehemcommunitypreschool.co.nz</t>
  </si>
  <si>
    <t>53 Bethlehem Road</t>
  </si>
  <si>
    <t>Esther Wrenn</t>
  </si>
  <si>
    <t>P O Box 16028</t>
  </si>
  <si>
    <t>Tauranga 3147</t>
  </si>
  <si>
    <t>021-1280951</t>
  </si>
  <si>
    <t>The Children's Garden Preschool</t>
  </si>
  <si>
    <t>07-5440864</t>
  </si>
  <si>
    <t>4 Pamir Place</t>
  </si>
  <si>
    <t>BestStart Sunset</t>
  </si>
  <si>
    <t>07-3482233</t>
  </si>
  <si>
    <t>sunset@best-start.org</t>
  </si>
  <si>
    <t>177 Sunset Road</t>
  </si>
  <si>
    <t>Little Sprouts Montessori Pre-School</t>
  </si>
  <si>
    <t>07-3089155</t>
  </si>
  <si>
    <t>sprouts@xtra.co.nz</t>
  </si>
  <si>
    <t>72 Domain Road</t>
  </si>
  <si>
    <t>Angela Barker</t>
  </si>
  <si>
    <t>P O Box 779</t>
  </si>
  <si>
    <t>07-307 2189</t>
  </si>
  <si>
    <t>Stepping Stones Learning Environment</t>
  </si>
  <si>
    <t>07-3454569</t>
  </si>
  <si>
    <t>26 Dickens Street</t>
  </si>
  <si>
    <t>Deborah Nelson</t>
  </si>
  <si>
    <t>Busy Bees Katikati</t>
  </si>
  <si>
    <t>07-5492293</t>
  </si>
  <si>
    <t>manager@katikati.busybees.org.nz</t>
  </si>
  <si>
    <t>113-115 Main Road</t>
  </si>
  <si>
    <t>Hana Atutahi</t>
  </si>
  <si>
    <t>07-3788191</t>
  </si>
  <si>
    <t>2 Duncan Street</t>
  </si>
  <si>
    <t>First Class Education &amp; Care (Bethlehem)</t>
  </si>
  <si>
    <t>07-5792252</t>
  </si>
  <si>
    <t>manager@firstclass.school.nz</t>
  </si>
  <si>
    <t>125 Moffat Road</t>
  </si>
  <si>
    <t>The Village Preschool &amp; Childcare Centre</t>
  </si>
  <si>
    <t>07-5760183</t>
  </si>
  <si>
    <t>info@thevillagepreschoolco.nz</t>
  </si>
  <si>
    <t>171b Moffat Road</t>
  </si>
  <si>
    <t>Abby Mattock</t>
  </si>
  <si>
    <t>171B Moffat Road</t>
  </si>
  <si>
    <t>Health NZ Lakes ECE Centre</t>
  </si>
  <si>
    <t>07-3481199 Ext 7970</t>
  </si>
  <si>
    <t>Corner Arawa Street, Pukeroa Road</t>
  </si>
  <si>
    <t>Michelle Robinson</t>
  </si>
  <si>
    <t>. Private Bag 3023</t>
  </si>
  <si>
    <t>Rotorua 3046</t>
  </si>
  <si>
    <t>027-6128868</t>
  </si>
  <si>
    <t>Little Pipi Early Childhood Centre</t>
  </si>
  <si>
    <t>07-5752055</t>
  </si>
  <si>
    <t>50 Hartford Avenue</t>
  </si>
  <si>
    <t>Aimee Waugh</t>
  </si>
  <si>
    <t>7 Litsea Way</t>
  </si>
  <si>
    <t>BestStart Abacus</t>
  </si>
  <si>
    <t>07-3787247</t>
  </si>
  <si>
    <t>69 Rotokawa Road</t>
  </si>
  <si>
    <t>BestStart Ngatai Road</t>
  </si>
  <si>
    <t>07-5766744</t>
  </si>
  <si>
    <t>186 Ngatai Road</t>
  </si>
  <si>
    <t>Otūmoetai North</t>
  </si>
  <si>
    <t>BestStart Tauranga Central</t>
  </si>
  <si>
    <t>07-5789690</t>
  </si>
  <si>
    <t>taurangacentral@best-start.org</t>
  </si>
  <si>
    <t>76 13th Avenue</t>
  </si>
  <si>
    <t>Little Lights Kindy</t>
  </si>
  <si>
    <t>07-3477742</t>
  </si>
  <si>
    <t>cm.rotorua@littlelights.co.nz</t>
  </si>
  <si>
    <t>56B Mountain Road</t>
  </si>
  <si>
    <t>Fiona Smith</t>
  </si>
  <si>
    <t>BestStart Welcome Bay</t>
  </si>
  <si>
    <t>07-5443546</t>
  </si>
  <si>
    <t>166 Welcome Bay Road</t>
  </si>
  <si>
    <t>Kaitemako</t>
  </si>
  <si>
    <t>BestStart Halswell Road</t>
  </si>
  <si>
    <t>03-322 5139</t>
  </si>
  <si>
    <t>296 Halswell Road</t>
  </si>
  <si>
    <t>Shanna Terrell</t>
  </si>
  <si>
    <t>Kindercare Learning Centres - Bishopdale</t>
  </si>
  <si>
    <t>03-3595511</t>
  </si>
  <si>
    <t>sawyersarms@kindercare.co.nz</t>
  </si>
  <si>
    <t>345 Sawyers Arms Road</t>
  </si>
  <si>
    <t>Desley Eastwick</t>
  </si>
  <si>
    <t>03-3374290</t>
  </si>
  <si>
    <t>Fingerprints Christian Preschool</t>
  </si>
  <si>
    <t>03-3328265</t>
  </si>
  <si>
    <t>info@fingerprints.school.nz</t>
  </si>
  <si>
    <t>130 Wilsons Road</t>
  </si>
  <si>
    <t>St Martins</t>
  </si>
  <si>
    <t>Aaron Donaldson</t>
  </si>
  <si>
    <t>Christchurch 8022</t>
  </si>
  <si>
    <t>Bell Street Early Learning Centre</t>
  </si>
  <si>
    <t>06-3088110</t>
  </si>
  <si>
    <t>74 Bell Street</t>
  </si>
  <si>
    <t>Ana Gudsell</t>
  </si>
  <si>
    <t xml:space="preserve">Featherston </t>
  </si>
  <si>
    <t>06-3727720</t>
  </si>
  <si>
    <t>Active Explorers Mana</t>
  </si>
  <si>
    <t>04-2331233</t>
  </si>
  <si>
    <t>amy.mitchell-king@eeg.co.nz</t>
  </si>
  <si>
    <t>30 Marina View</t>
  </si>
  <si>
    <t>Amy Mitchell-King</t>
  </si>
  <si>
    <t>Montessori Beginnings Early Childhood Education Centre</t>
  </si>
  <si>
    <t>09-428 2951</t>
  </si>
  <si>
    <t>staff@montessoribeginnings.co.nz</t>
  </si>
  <si>
    <t>29 Brightside Road</t>
  </si>
  <si>
    <t>Patrick Haugh</t>
  </si>
  <si>
    <t>09-4282951</t>
  </si>
  <si>
    <t>Kindercare Learning Centres - Rototuna</t>
  </si>
  <si>
    <t>07-8553667</t>
  </si>
  <si>
    <t>rototuna@kindercare.co.nz</t>
  </si>
  <si>
    <t>99 Thomas Road</t>
  </si>
  <si>
    <t>St James</t>
  </si>
  <si>
    <t>Michelle Bailey</t>
  </si>
  <si>
    <t>Kids at Home The Bay 2</t>
  </si>
  <si>
    <t>Kids Rock Early Learning Centre</t>
  </si>
  <si>
    <t>07-8831969</t>
  </si>
  <si>
    <t>kidsrockelc@outlook.com</t>
  </si>
  <si>
    <t>6 Patere Street</t>
  </si>
  <si>
    <t>Tania Wharepapa</t>
  </si>
  <si>
    <t>6 Patetere Street</t>
  </si>
  <si>
    <t>Tirau 3410</t>
  </si>
  <si>
    <t>Honeybeez Preschool &amp; Nursery</t>
  </si>
  <si>
    <t>03-3275683</t>
  </si>
  <si>
    <t>honeybeez.preschool@windowslive.com</t>
  </si>
  <si>
    <t>208 Williams Street</t>
  </si>
  <si>
    <t>Kaiapoi North West</t>
  </si>
  <si>
    <t>Jasmyn Pihema</t>
  </si>
  <si>
    <t>P O Box 405</t>
  </si>
  <si>
    <t>Kaiapoi 7644</t>
  </si>
  <si>
    <t>BestStart Te Atatu Road</t>
  </si>
  <si>
    <t>09-834 3749</t>
  </si>
  <si>
    <t>teatatu@best-start.org</t>
  </si>
  <si>
    <t>633-635 Te Atatu Road</t>
  </si>
  <si>
    <t>Te Puna Reo O Puhi Kaiti</t>
  </si>
  <si>
    <t>06-868 8182</t>
  </si>
  <si>
    <t>tepunareopk@gmail.com</t>
  </si>
  <si>
    <t>4 Cambridge Terrace</t>
  </si>
  <si>
    <t>Erana Haerewa</t>
  </si>
  <si>
    <t>P O Box 3072</t>
  </si>
  <si>
    <t>Gisborne 4010</t>
  </si>
  <si>
    <t>06-8688182</t>
  </si>
  <si>
    <t>07-3077155</t>
  </si>
  <si>
    <t>yscott@xtra.co.nz</t>
  </si>
  <si>
    <t>25 Hinemoa Street</t>
  </si>
  <si>
    <t>Yvonne Scott</t>
  </si>
  <si>
    <t>Bear Park Centre of Learning</t>
  </si>
  <si>
    <t>09-520 4060</t>
  </si>
  <si>
    <t>dilworth@bearpark.co.nz</t>
  </si>
  <si>
    <t>13-15 Dilworth Ave</t>
  </si>
  <si>
    <t>Bright Horizons Drury</t>
  </si>
  <si>
    <t>09-294 6139</t>
  </si>
  <si>
    <t>drury@bhnewzealand.co.nz</t>
  </si>
  <si>
    <t>74 Mercer Street, RD2</t>
  </si>
  <si>
    <t>Maria Tuia-Pemerika</t>
  </si>
  <si>
    <t>P O Box 142</t>
  </si>
  <si>
    <t>Drury 2247</t>
  </si>
  <si>
    <t>Dorie Community Preschool</t>
  </si>
  <si>
    <t>03-3020989</t>
  </si>
  <si>
    <t>admin@doriepreschool.co.nz</t>
  </si>
  <si>
    <t>97 Dorie School Road - RD11 Dorie</t>
  </si>
  <si>
    <t>Rakaia</t>
  </si>
  <si>
    <t>Chertsey</t>
  </si>
  <si>
    <t>Ashleigh Ligtenberg</t>
  </si>
  <si>
    <t>97 Dorie School Road - RD 11 Dorie</t>
  </si>
  <si>
    <t>Ashburton 7781</t>
  </si>
  <si>
    <t>Opuke Community of Learning</t>
  </si>
  <si>
    <t>Miro House Kindergarten</t>
  </si>
  <si>
    <t>07-8558711</t>
  </si>
  <si>
    <t xml:space="preserve"> 85 Barrington Drive</t>
  </si>
  <si>
    <t>Margaret  McCarthy</t>
  </si>
  <si>
    <t>P O Box 12127</t>
  </si>
  <si>
    <t>Little Earth Montessori Kāpiti</t>
  </si>
  <si>
    <t>04-298 1730</t>
  </si>
  <si>
    <t>15 Te Tupe Road</t>
  </si>
  <si>
    <t>Paraparaumu East</t>
  </si>
  <si>
    <t>Mayie Pagalilauan</t>
  </si>
  <si>
    <t>04-2981730</t>
  </si>
  <si>
    <t>Thriving Kids Early Learning Centre</t>
  </si>
  <si>
    <t>022-1745748</t>
  </si>
  <si>
    <t>10/2 Triangle Road</t>
  </si>
  <si>
    <t>Massey Royal Road West</t>
  </si>
  <si>
    <t>2/8 Triangle Road, Massey</t>
  </si>
  <si>
    <t>Puanga Kākaho</t>
  </si>
  <si>
    <t>03-3472054</t>
  </si>
  <si>
    <t>learning@pkece.co.nz</t>
  </si>
  <si>
    <t>41 Marlowe Place</t>
  </si>
  <si>
    <t>Rolleston</t>
  </si>
  <si>
    <t>Reggio Emilia, Emmi Pikler</t>
  </si>
  <si>
    <t>Rolleston Tauwharekākaho</t>
  </si>
  <si>
    <t>Rolleston Ward</t>
  </si>
  <si>
    <t>Courtney Whitmore</t>
  </si>
  <si>
    <t>101 Lowes Road</t>
  </si>
  <si>
    <t xml:space="preserve">Rolleston </t>
  </si>
  <si>
    <t>BestStart Buchanans Road</t>
  </si>
  <si>
    <t>03-741 1024</t>
  </si>
  <si>
    <t>5 Jarnac Boulevard</t>
  </si>
  <si>
    <t>Yaldhurst</t>
  </si>
  <si>
    <t>BestStart Redwood</t>
  </si>
  <si>
    <t>03-354 3017</t>
  </si>
  <si>
    <t>302 - 304 Main North Road</t>
  </si>
  <si>
    <t>Redwood East</t>
  </si>
  <si>
    <t>HardyKids Early Learning Service</t>
  </si>
  <si>
    <t>03-5456905</t>
  </si>
  <si>
    <t>manager.nelson@hardykids.co.nz</t>
  </si>
  <si>
    <t>400 Hardy Street</t>
  </si>
  <si>
    <t>Nelson Central</t>
  </si>
  <si>
    <t>Maitai</t>
  </si>
  <si>
    <t>Emma Louis</t>
  </si>
  <si>
    <t>Oasis Early Learning Centre</t>
  </si>
  <si>
    <t>03-528 8039</t>
  </si>
  <si>
    <t>lisa@oasispreschools.co.nz</t>
  </si>
  <si>
    <t>Oasis Central 39 Vosper Street</t>
  </si>
  <si>
    <t>Motueka North</t>
  </si>
  <si>
    <t>Lisa Haring</t>
  </si>
  <si>
    <t>49 Olympus Way</t>
  </si>
  <si>
    <t>Richmond 7020</t>
  </si>
  <si>
    <t>021-1496287</t>
  </si>
  <si>
    <t>Cherry's on Maryhill</t>
  </si>
  <si>
    <t>03-3381999</t>
  </si>
  <si>
    <t>cherry@cherrys.co.nz</t>
  </si>
  <si>
    <t>5 Maryhill Avenue</t>
  </si>
  <si>
    <t>Hoon Hay East</t>
  </si>
  <si>
    <t>Cherry Howitt</t>
  </si>
  <si>
    <t>59 Ashgrove Terrace</t>
  </si>
  <si>
    <t>Somerfield</t>
  </si>
  <si>
    <t>Christchurch 8024</t>
  </si>
  <si>
    <t>03-332 2210</t>
  </si>
  <si>
    <t>BestStart Petone</t>
  </si>
  <si>
    <t>04-566 2278</t>
  </si>
  <si>
    <t>petone@best-start.org</t>
  </si>
  <si>
    <t>Unit 2 &amp; 3 22-32 Nevis Street</t>
  </si>
  <si>
    <t>Petone Central</t>
  </si>
  <si>
    <t>Busy Bees Tāhunanui</t>
  </si>
  <si>
    <t>03-546 5359</t>
  </si>
  <si>
    <t>manager@tahunanui.busybees.org.nz</t>
  </si>
  <si>
    <t>Busy Bees Tāhunanui 150 Tāhunanui Drive</t>
  </si>
  <si>
    <t>Adelle Hawkins</t>
  </si>
  <si>
    <t>022-4161445</t>
  </si>
  <si>
    <t>Nurtured at Home - Wellington 1</t>
  </si>
  <si>
    <t>michelle@nurturedathome.co.nz</t>
  </si>
  <si>
    <t>Michelle Maisuria</t>
  </si>
  <si>
    <t>Active Explorers Central City</t>
  </si>
  <si>
    <t>03-3664307</t>
  </si>
  <si>
    <t>396 Manchester Street</t>
  </si>
  <si>
    <t>St Albans East</t>
  </si>
  <si>
    <t>Jan Greaves</t>
  </si>
  <si>
    <t>03-366 4307</t>
  </si>
  <si>
    <t>Te Taura Here o Ōtautahi Kāhui Ako</t>
  </si>
  <si>
    <t>Te Puawaitanga o Ngati Ruanui ECE</t>
  </si>
  <si>
    <t>06-2783529</t>
  </si>
  <si>
    <t>Leah.hurley@ngatiruanui.org</t>
  </si>
  <si>
    <t>151 Glover Road Hawera</t>
  </si>
  <si>
    <t>King Edward Park</t>
  </si>
  <si>
    <t>Leah Hurley</t>
  </si>
  <si>
    <t>151 Glover Road</t>
  </si>
  <si>
    <t>Hāwera 4610</t>
  </si>
  <si>
    <t>027-7219348</t>
  </si>
  <si>
    <t>Saplings Early Learning Limited</t>
  </si>
  <si>
    <t>09-5376074</t>
  </si>
  <si>
    <t>kristin@saplingsel.co.nz</t>
  </si>
  <si>
    <t>Half Moon Bay Marina 1 Ara Tai</t>
  </si>
  <si>
    <t>Half Moon Bay West</t>
  </si>
  <si>
    <t>Kristin Colthurst</t>
  </si>
  <si>
    <t>P O Box 54217</t>
  </si>
  <si>
    <t>Auckland 2144</t>
  </si>
  <si>
    <t>Flying Kiwi Preschool</t>
  </si>
  <si>
    <t>09-8383062</t>
  </si>
  <si>
    <t>48 Henderson Valley Road</t>
  </si>
  <si>
    <t>Taokia Gill</t>
  </si>
  <si>
    <t>Inspiring Kids Early Learning Limited</t>
  </si>
  <si>
    <t>07-3484838</t>
  </si>
  <si>
    <t>admin@inspiringkids.co.nz</t>
  </si>
  <si>
    <t>219 Clayton Road</t>
  </si>
  <si>
    <t>Lynley Sydiongco</t>
  </si>
  <si>
    <t>P O Box 306</t>
  </si>
  <si>
    <t>Starship Play Service Ward 25AB</t>
  </si>
  <si>
    <t>BestStart Motutaiko Street</t>
  </si>
  <si>
    <t>07-3765681</t>
  </si>
  <si>
    <t>9 Motutaiko Street</t>
  </si>
  <si>
    <t>BestStart Glasgow Street</t>
  </si>
  <si>
    <t>06-3453804</t>
  </si>
  <si>
    <t>glasgow@best-start.org</t>
  </si>
  <si>
    <t>451 Victoria Avenue</t>
  </si>
  <si>
    <t>MyKindy Rosedale</t>
  </si>
  <si>
    <t>09-478 6333</t>
  </si>
  <si>
    <t>23 Triton Drive</t>
  </si>
  <si>
    <t>Spring Creek Playcentre</t>
  </si>
  <si>
    <t>03-578 6704 Ext 4</t>
  </si>
  <si>
    <t>46A Ferry Road</t>
  </si>
  <si>
    <t>Spring Creek</t>
  </si>
  <si>
    <t>Spring Creek-Grovetown</t>
  </si>
  <si>
    <t xml:space="preserve">Leah  Fairgrieve </t>
  </si>
  <si>
    <t>03-927 3400</t>
  </si>
  <si>
    <t>Akoteu Lotofaleia Under 2s</t>
  </si>
  <si>
    <t>09-2572030</t>
  </si>
  <si>
    <t>MoiMoi Kaufononga</t>
  </si>
  <si>
    <t>Adventureland Early Learning Centre</t>
  </si>
  <si>
    <t>09-5800587</t>
  </si>
  <si>
    <t>hello@adventureland.co.nz</t>
  </si>
  <si>
    <t>4a Ballarat Street</t>
  </si>
  <si>
    <t>Auckland 2110</t>
  </si>
  <si>
    <t>Farmhouse Preschool Patumahoe</t>
  </si>
  <si>
    <t>09-2363003</t>
  </si>
  <si>
    <t>office@farmhousepreschool.co.nz</t>
  </si>
  <si>
    <t>71a Mauku Road</t>
  </si>
  <si>
    <t>Natasha Pedersen</t>
  </si>
  <si>
    <t>89B Bald Hill Road</t>
  </si>
  <si>
    <t>Waiuku 2679</t>
  </si>
  <si>
    <t>Kids at Home The Bay 3</t>
  </si>
  <si>
    <t>Somerset Early Learning Centre</t>
  </si>
  <si>
    <t>07-8633057</t>
  </si>
  <si>
    <t>somersetchildcare@yahoo.com</t>
  </si>
  <si>
    <t>2 Somerset St</t>
  </si>
  <si>
    <t>Bianca Kelsey</t>
  </si>
  <si>
    <t>Waikato 3610</t>
  </si>
  <si>
    <t>07-8633075</t>
  </si>
  <si>
    <t>Giggles Learning Centre</t>
  </si>
  <si>
    <t>021-207 3469</t>
  </si>
  <si>
    <t>giggleslearningcentre@xtra.co.nz</t>
  </si>
  <si>
    <t>8 Cairnfield Rd</t>
  </si>
  <si>
    <t>Rachel Terry</t>
  </si>
  <si>
    <t>18 Maru Lane</t>
  </si>
  <si>
    <t>09-4376353</t>
  </si>
  <si>
    <t>Owhiro Bay Kindergarten</t>
  </si>
  <si>
    <t>04-383 7103</t>
  </si>
  <si>
    <t>owhirobay@wmkindergartens.org.nz</t>
  </si>
  <si>
    <t>96 Happy Valley Road</t>
  </si>
  <si>
    <t>Owhiro Bay</t>
  </si>
  <si>
    <t>Ōwhiro Bay</t>
  </si>
  <si>
    <t>Kowhai Kids Early Learning Centre</t>
  </si>
  <si>
    <t>09-415 1665</t>
  </si>
  <si>
    <t>265 Albany Highway</t>
  </si>
  <si>
    <t>Sheree Macready</t>
  </si>
  <si>
    <t>P O Box 305178</t>
  </si>
  <si>
    <t>Triton Plaza</t>
  </si>
  <si>
    <t>Auckland 0757</t>
  </si>
  <si>
    <t>09-476 4298</t>
  </si>
  <si>
    <t>Kindercare Learning Centres - Frankton</t>
  </si>
  <si>
    <t>07-8466644</t>
  </si>
  <si>
    <t>frankton@kindercare.co.nz</t>
  </si>
  <si>
    <t>156 Massey St</t>
  </si>
  <si>
    <t>Annabel's Educare Avonhead Ltd</t>
  </si>
  <si>
    <t>03-3187948</t>
  </si>
  <si>
    <t>ah@annabelseducare.co.nz</t>
  </si>
  <si>
    <t>66 Avonhead Road</t>
  </si>
  <si>
    <t>Ilam South</t>
  </si>
  <si>
    <t>Annabel Sloss</t>
  </si>
  <si>
    <t>14 South Terrace</t>
  </si>
  <si>
    <t>Darfield 7510</t>
  </si>
  <si>
    <t>Space Southland</t>
  </si>
  <si>
    <t>judy.CSC@playcentre.org.nz</t>
  </si>
  <si>
    <t>328 Tramway Road</t>
  </si>
  <si>
    <t>Judy Hinton</t>
  </si>
  <si>
    <t>03-4883932</t>
  </si>
  <si>
    <t>The Park Early Education Centre</t>
  </si>
  <si>
    <t>89 Naylor St</t>
  </si>
  <si>
    <t>BestStart Alexandra</t>
  </si>
  <si>
    <t>03-448 7060</t>
  </si>
  <si>
    <t>alexandra@best-start.org</t>
  </si>
  <si>
    <t>23 Matau Street</t>
  </si>
  <si>
    <t>Vanessa Reid</t>
  </si>
  <si>
    <t>Kia ora Kids at Home Childcare 3</t>
  </si>
  <si>
    <t>info@kiaorakids.co.nz</t>
  </si>
  <si>
    <t>Footprints Early Learning Centre</t>
  </si>
  <si>
    <t>22 Amaranth Street</t>
  </si>
  <si>
    <t>Leona Moore</t>
  </si>
  <si>
    <t>10 Poets Corner Road</t>
  </si>
  <si>
    <t>Waihi 3681</t>
  </si>
  <si>
    <t>027-2213829</t>
  </si>
  <si>
    <t>Child's Wonder Learning Centre</t>
  </si>
  <si>
    <t>07-5424602</t>
  </si>
  <si>
    <t>info@childswonder.co.nz</t>
  </si>
  <si>
    <t>1 Doncaster Drive</t>
  </si>
  <si>
    <t>Eloise Wilcock</t>
  </si>
  <si>
    <t>Papamoa Beach</t>
  </si>
  <si>
    <t xml:space="preserve">Papamoa </t>
  </si>
  <si>
    <t>Superstart Childcare</t>
  </si>
  <si>
    <t>09-2749226</t>
  </si>
  <si>
    <t>info@superstart.co.nz</t>
  </si>
  <si>
    <t>88 Lady Ruby Drive</t>
  </si>
  <si>
    <t>Fiona (Qiaoyuan) Zhang</t>
  </si>
  <si>
    <t>121 Cyril French Drive</t>
  </si>
  <si>
    <t>Te Kōhanga Reo o Kākāriki</t>
  </si>
  <si>
    <t>09-813 1412</t>
  </si>
  <si>
    <t>2 Janet Clews Place</t>
  </si>
  <si>
    <t>Lollipops Napier Port</t>
  </si>
  <si>
    <t>06-834 0569</t>
  </si>
  <si>
    <t>cm.napier@ledu.co.nz</t>
  </si>
  <si>
    <t>27 Ossian Street</t>
  </si>
  <si>
    <t>Ahuriri</t>
  </si>
  <si>
    <t>Emma  Borman</t>
  </si>
  <si>
    <t>BestStart Riverbend Road</t>
  </si>
  <si>
    <t>06-8434534</t>
  </si>
  <si>
    <t>riverbend@best-start.org</t>
  </si>
  <si>
    <t>21 Riverbend Road</t>
  </si>
  <si>
    <t>St Johns Montessori</t>
  </si>
  <si>
    <t>09-521 3040</t>
  </si>
  <si>
    <t>admin@chuchutrain.co.nz</t>
  </si>
  <si>
    <t>75 Merton Road</t>
  </si>
  <si>
    <t>Heather Skelton</t>
  </si>
  <si>
    <t>Saint Johns</t>
  </si>
  <si>
    <t>09-5754261</t>
  </si>
  <si>
    <t>Lollipops Mount Albert</t>
  </si>
  <si>
    <t>09-8461046</t>
  </si>
  <si>
    <t>cm.mtalbert@ledu.co.nz</t>
  </si>
  <si>
    <t>1105-1107 New North Road</t>
  </si>
  <si>
    <t>Lihua Dong</t>
  </si>
  <si>
    <t>Active Explorers Blockhouse Bay</t>
  </si>
  <si>
    <t>09-8281525</t>
  </si>
  <si>
    <t>admin.blockhousebay@activeexplorers.co.nz</t>
  </si>
  <si>
    <t>250 Blockhouse Bay Rd</t>
  </si>
  <si>
    <t>Paula-Mae Butler</t>
  </si>
  <si>
    <t>09-828 1525</t>
  </si>
  <si>
    <t>Childsplay Unlimited Kingsland</t>
  </si>
  <si>
    <t>09-8468908</t>
  </si>
  <si>
    <t>childsplay.kingsland@hotmail.com</t>
  </si>
  <si>
    <t>6B Western Springs Road</t>
  </si>
  <si>
    <t>Otatara Preschool</t>
  </si>
  <si>
    <t>03-213 0456</t>
  </si>
  <si>
    <t>6 Marama Avenue North</t>
  </si>
  <si>
    <t>Emma Allen</t>
  </si>
  <si>
    <t>021-407436</t>
  </si>
  <si>
    <t>Home2Grow Childcare</t>
  </si>
  <si>
    <t>0508-466 324 Ext 1</t>
  </si>
  <si>
    <t>simran@home2grow.co.nz</t>
  </si>
  <si>
    <t>14 Springs Road</t>
  </si>
  <si>
    <t>Simran Naik</t>
  </si>
  <si>
    <t>P O Box 217076</t>
  </si>
  <si>
    <t>Educare Two Rivers</t>
  </si>
  <si>
    <t>07-8247373</t>
  </si>
  <si>
    <t>76 Great South Road</t>
  </si>
  <si>
    <t>Stacey McDonald</t>
  </si>
  <si>
    <t xml:space="preserve">3 Grey Street </t>
  </si>
  <si>
    <t>Sunshine Childcare  Preschool</t>
  </si>
  <si>
    <t>07-8492020</t>
  </si>
  <si>
    <t>info@sunshinechildcare.co.nz</t>
  </si>
  <si>
    <t>80 Sunshine Ave</t>
  </si>
  <si>
    <t>Patricia Radich</t>
  </si>
  <si>
    <t>69 Keswick Crescent</t>
  </si>
  <si>
    <t>Huntington</t>
  </si>
  <si>
    <t>021-703303</t>
  </si>
  <si>
    <t>Bloesem 2021 Limited</t>
  </si>
  <si>
    <t>07-5758727</t>
  </si>
  <si>
    <t>alisha@bloesem.co.nz</t>
  </si>
  <si>
    <t>13 Newton Street</t>
  </si>
  <si>
    <t>Alisha Merriman</t>
  </si>
  <si>
    <t>Mount Maunganui 3116</t>
  </si>
  <si>
    <t>Active Explorers Shakespeare Street</t>
  </si>
  <si>
    <t>03-7680708</t>
  </si>
  <si>
    <t>Active Explorers Shakespeare St  24 Shakespeare Street</t>
  </si>
  <si>
    <t>Caitlin Goodall</t>
  </si>
  <si>
    <t>03-7555171</t>
  </si>
  <si>
    <t>BestStart Montel Avenue</t>
  </si>
  <si>
    <t>09-8362647</t>
  </si>
  <si>
    <t>montel@best-start.org</t>
  </si>
  <si>
    <t>5 Vitasovich Avenue</t>
  </si>
  <si>
    <t>Pipis Childcare and Preschool</t>
  </si>
  <si>
    <t>09-4343044</t>
  </si>
  <si>
    <t>info@pipis.co.nz</t>
  </si>
  <si>
    <t>1807 Ngunguru Rd</t>
  </si>
  <si>
    <t>Sherryn Smith</t>
  </si>
  <si>
    <t>P O Box 403088</t>
  </si>
  <si>
    <t>Whangarei 0154</t>
  </si>
  <si>
    <t>Riverside Educare</t>
  </si>
  <si>
    <t>03-4434073</t>
  </si>
  <si>
    <t>office@riversideeducare.com</t>
  </si>
  <si>
    <t>8 Rifleman Street</t>
  </si>
  <si>
    <t>Wanaka</t>
  </si>
  <si>
    <t>Albert Town</t>
  </si>
  <si>
    <t>Wānaka-Upper Clutha Ward</t>
  </si>
  <si>
    <t>Sarah Macfie</t>
  </si>
  <si>
    <t>Wanaka 9305</t>
  </si>
  <si>
    <t>Oxford Kindy</t>
  </si>
  <si>
    <t>03-3124445</t>
  </si>
  <si>
    <t>info@oxfordkindy.co.nz</t>
  </si>
  <si>
    <t>1 A Campbell Lane</t>
  </si>
  <si>
    <t>Oxford</t>
  </si>
  <si>
    <t>Oxford-Ohoka Ward</t>
  </si>
  <si>
    <t>Carolyn Cameron</t>
  </si>
  <si>
    <t>59 Church Street</t>
  </si>
  <si>
    <t>Oxford 7430</t>
  </si>
  <si>
    <t>021-02788430</t>
  </si>
  <si>
    <t>Portobelo Kaiapoi</t>
  </si>
  <si>
    <t>03-3279113</t>
  </si>
  <si>
    <t>office@portobelo.co.nz</t>
  </si>
  <si>
    <t>107 Otaki Street</t>
  </si>
  <si>
    <t>Kaiapoi West</t>
  </si>
  <si>
    <t>Danielle  Wilson</t>
  </si>
  <si>
    <t>1655 Hoskyns Road</t>
  </si>
  <si>
    <t>Kirwee 7543</t>
  </si>
  <si>
    <t>021-1088617</t>
  </si>
  <si>
    <t>Busy Bees McGarvey Road 2</t>
  </si>
  <si>
    <t>07-3087777</t>
  </si>
  <si>
    <t>manager@mcgarveyroad.busybees.org.nz</t>
  </si>
  <si>
    <t>101 McGarvey Road</t>
  </si>
  <si>
    <t>Sara Davie</t>
  </si>
  <si>
    <t>Busy Bees McGarvey Road 1</t>
  </si>
  <si>
    <t>BestStart Montessori St Albans</t>
  </si>
  <si>
    <t>03-356 0111</t>
  </si>
  <si>
    <t>96 Trafalgar Street</t>
  </si>
  <si>
    <t>Busy Bees Waitara</t>
  </si>
  <si>
    <t>06-7771131</t>
  </si>
  <si>
    <t>info@waitara.busybees.org.nz</t>
  </si>
  <si>
    <t>8 Queen Street</t>
  </si>
  <si>
    <t>Sonya Robinson</t>
  </si>
  <si>
    <t>Smart Start Care and Education Centre</t>
  </si>
  <si>
    <t>06-3442638</t>
  </si>
  <si>
    <t>info@smart-start.co.nz</t>
  </si>
  <si>
    <t>122 Parsons Street</t>
  </si>
  <si>
    <t>Springvale</t>
  </si>
  <si>
    <t>Springvale East</t>
  </si>
  <si>
    <t>Andrea Williamson</t>
  </si>
  <si>
    <t>9 Cameron Road East</t>
  </si>
  <si>
    <t>Whanganui 4574</t>
  </si>
  <si>
    <t>Tai Tamariki Kindergarten</t>
  </si>
  <si>
    <t>04-802 4041</t>
  </si>
  <si>
    <t>taitamariki@wmkindergartens.org.nz</t>
  </si>
  <si>
    <t>Te Papa Museum Cable Street</t>
  </si>
  <si>
    <t>Courtenay</t>
  </si>
  <si>
    <t>Biggles Childcare</t>
  </si>
  <si>
    <t>09-8133595</t>
  </si>
  <si>
    <t>biggleschildcare@xtra.co.nz</t>
  </si>
  <si>
    <t>9 Glenorchy Street</t>
  </si>
  <si>
    <t>Marco Farmand</t>
  </si>
  <si>
    <t>09-8352260</t>
  </si>
  <si>
    <t>Little Kiwis Playhouse Early Learning Centre</t>
  </si>
  <si>
    <t>09-9482162</t>
  </si>
  <si>
    <t>lkpnz@outlook.co.nz</t>
  </si>
  <si>
    <t>926 Mt Eden Road</t>
  </si>
  <si>
    <t>Three Kings</t>
  </si>
  <si>
    <t>Three Kings North</t>
  </si>
  <si>
    <t>Ramya Negi</t>
  </si>
  <si>
    <t>926 Mount Eden Road</t>
  </si>
  <si>
    <t>Pukeko Preschool Manurewa</t>
  </si>
  <si>
    <t>09-2660203</t>
  </si>
  <si>
    <t>pukekopreschoolmanurewa@gmail.com</t>
  </si>
  <si>
    <t>13 Jellicoe Road</t>
  </si>
  <si>
    <t>Ira Mautner</t>
  </si>
  <si>
    <t>021-555558</t>
  </si>
  <si>
    <t>Kidz Kindy @75</t>
  </si>
  <si>
    <t>03-579 4543</t>
  </si>
  <si>
    <t>blenheim@kidzkindy.co.nz</t>
  </si>
  <si>
    <t>75 Budge Street</t>
  </si>
  <si>
    <t>Riversdale-Islington</t>
  </si>
  <si>
    <t>Lisa McDonald</t>
  </si>
  <si>
    <t>18 Sirrah st</t>
  </si>
  <si>
    <t>Wymondley Early Learning Centre</t>
  </si>
  <si>
    <t>09-2764311</t>
  </si>
  <si>
    <t>admin@welc.co.nz</t>
  </si>
  <si>
    <t>77s Wymondley Road</t>
  </si>
  <si>
    <t>Shan Zhang</t>
  </si>
  <si>
    <t>P O Box 61037</t>
  </si>
  <si>
    <t>St Andrews Playcentre</t>
  </si>
  <si>
    <t>34 Heath St</t>
  </si>
  <si>
    <t>St Andrews-Hamilton</t>
  </si>
  <si>
    <t>Active Explorers Invercargill</t>
  </si>
  <si>
    <t>03-2141312</t>
  </si>
  <si>
    <t>70 Arena Ave</t>
  </si>
  <si>
    <t>Invercargill Central</t>
  </si>
  <si>
    <t>Sophie Pine</t>
  </si>
  <si>
    <t>021-12841103</t>
  </si>
  <si>
    <t>Harakeke</t>
  </si>
  <si>
    <t>03-5432119</t>
  </si>
  <si>
    <t>info@harakeke.org.nz</t>
  </si>
  <si>
    <t>1856 Moutere Highway</t>
  </si>
  <si>
    <t>Upper Moutere</t>
  </si>
  <si>
    <t>Moutere Hills</t>
  </si>
  <si>
    <t>Moutere-Waimea Ward</t>
  </si>
  <si>
    <t>Gundula Montag-Ruebsam</t>
  </si>
  <si>
    <t>Harakeke 1856 Moutere Highway RD 2</t>
  </si>
  <si>
    <t>Upper Moutere 7175</t>
  </si>
  <si>
    <t>Jemmas Homebased Childcare</t>
  </si>
  <si>
    <t>Leanne Jackson</t>
  </si>
  <si>
    <t>Reach Forward Early Learning Centre</t>
  </si>
  <si>
    <t>09-9504400</t>
  </si>
  <si>
    <t>10 Gills Road</t>
  </si>
  <si>
    <t>Linda Ward</t>
  </si>
  <si>
    <t>P O Box 301489</t>
  </si>
  <si>
    <t>09-950 4400</t>
  </si>
  <si>
    <t>BestStart Mangorei Road</t>
  </si>
  <si>
    <t>06-7573687</t>
  </si>
  <si>
    <t>95 Mangorei Road</t>
  </si>
  <si>
    <t>Strandon</t>
  </si>
  <si>
    <t>BestStart South Road 2</t>
  </si>
  <si>
    <t>06-278 8366</t>
  </si>
  <si>
    <t>southroad@best-start.org</t>
  </si>
  <si>
    <t>314 South Road</t>
  </si>
  <si>
    <t>Hāwera Central</t>
  </si>
  <si>
    <t>BestStart Railway Road</t>
  </si>
  <si>
    <t>06-3562516</t>
  </si>
  <si>
    <t>railway@best-start.org</t>
  </si>
  <si>
    <t>1 El Prado Drive</t>
  </si>
  <si>
    <t>Palmerston North Airport</t>
  </si>
  <si>
    <t>Norfolk Street Educare</t>
  </si>
  <si>
    <t>09-438 4699</t>
  </si>
  <si>
    <t>norfolk@educare.co.nz</t>
  </si>
  <si>
    <t>23 Norfolk St</t>
  </si>
  <si>
    <t>Parua Bay Childcare</t>
  </si>
  <si>
    <t>09-436 5544</t>
  </si>
  <si>
    <t>6 Lamb Road</t>
  </si>
  <si>
    <t>Lisa Dyer</t>
  </si>
  <si>
    <t>6 Tiaho Place RD 4</t>
  </si>
  <si>
    <t>Whangarei 0174</t>
  </si>
  <si>
    <t>Grasshoppers Early Learning Centre Ltd</t>
  </si>
  <si>
    <t>07-8236755</t>
  </si>
  <si>
    <t>4 Great Burke Street</t>
  </si>
  <si>
    <t>Pauline Breeze</t>
  </si>
  <si>
    <t>22 Longbow Terrace</t>
  </si>
  <si>
    <t>07-9290673</t>
  </si>
  <si>
    <t>Longford Kindergarten</t>
  </si>
  <si>
    <t>03-2089203</t>
  </si>
  <si>
    <t>longford@ska.co.nz</t>
  </si>
  <si>
    <t>11 Vera Street</t>
  </si>
  <si>
    <t>Gore West</t>
  </si>
  <si>
    <t>Alfriston Early Learning</t>
  </si>
  <si>
    <t>550 Porchester Road</t>
  </si>
  <si>
    <t>The Miller Nest Early Learning Centre</t>
  </si>
  <si>
    <t>09-6360305</t>
  </si>
  <si>
    <t>bolaz.biz@gmail.com</t>
  </si>
  <si>
    <t>64 Miller Rd</t>
  </si>
  <si>
    <t>Juliana Saini</t>
  </si>
  <si>
    <t>23 Taka Street</t>
  </si>
  <si>
    <t>Country Wonders</t>
  </si>
  <si>
    <t>021-748435</t>
  </si>
  <si>
    <t>mel@countrywonders.co.nz</t>
  </si>
  <si>
    <t>57 Hodgsons Road</t>
  </si>
  <si>
    <t>Loburn</t>
  </si>
  <si>
    <t>Melanie Lawton</t>
  </si>
  <si>
    <t>Rangiora 7472</t>
  </si>
  <si>
    <t>Te Kōhanga Reo o Āniwaniwa</t>
  </si>
  <si>
    <t>09-406 7370</t>
  </si>
  <si>
    <t>Quarry Road RD2</t>
  </si>
  <si>
    <t>Kidiwise Early Learning Centre</t>
  </si>
  <si>
    <t>027-3658134</t>
  </si>
  <si>
    <t>info@kidiwise.co.nz</t>
  </si>
  <si>
    <t>231 State Highway 2</t>
  </si>
  <si>
    <t>Joss Hooker</t>
  </si>
  <si>
    <t>P O Box 16256</t>
  </si>
  <si>
    <t>027-2823793</t>
  </si>
  <si>
    <t>Nurture Nannies 1</t>
  </si>
  <si>
    <t>0800-936878</t>
  </si>
  <si>
    <t>janh@nurturenannies.co.nz</t>
  </si>
  <si>
    <t>12 Springfield Crescent</t>
  </si>
  <si>
    <t>Elizabeth Phillips</t>
  </si>
  <si>
    <t>P O Box 12017</t>
  </si>
  <si>
    <t>Barnardos Early Learning Centre Otara</t>
  </si>
  <si>
    <t>09-274 5516</t>
  </si>
  <si>
    <t>carolaina.mua@barnardos.org.nz</t>
  </si>
  <si>
    <t>10 Luke Place</t>
  </si>
  <si>
    <t>Carolaina Peterson</t>
  </si>
  <si>
    <t>Rising Stars Preschool</t>
  </si>
  <si>
    <t>03-307 7157</t>
  </si>
  <si>
    <t>maria@rspreschool.co.nz</t>
  </si>
  <si>
    <t>20 Middle Road</t>
  </si>
  <si>
    <t>Maria Anstis</t>
  </si>
  <si>
    <t>03-3077157</t>
  </si>
  <si>
    <t>BestStart Stoddard Road</t>
  </si>
  <si>
    <t>09-6295140</t>
  </si>
  <si>
    <t>stoddard@best-start.org</t>
  </si>
  <si>
    <t>Unit 1 64 Stoddard Road</t>
  </si>
  <si>
    <t>Wesley South</t>
  </si>
  <si>
    <t>Educare Wigram</t>
  </si>
  <si>
    <t>03-349 40 28</t>
  </si>
  <si>
    <t>leigh.pwr@educare.co.nz</t>
  </si>
  <si>
    <t>2 Carrs Road</t>
  </si>
  <si>
    <t>Awatea South</t>
  </si>
  <si>
    <t>Vanessa McMillan</t>
  </si>
  <si>
    <t>027-2720857</t>
  </si>
  <si>
    <t>Ohope Beach Montessori Preschool</t>
  </si>
  <si>
    <t>07-3124820</t>
  </si>
  <si>
    <t>ohopemontessori@outlook.co.nz</t>
  </si>
  <si>
    <t>23 Bluett Road</t>
  </si>
  <si>
    <t>Ohope Beach</t>
  </si>
  <si>
    <t>Sarah Omar</t>
  </si>
  <si>
    <t>19 Thornton Road, RD 1</t>
  </si>
  <si>
    <t>07-3124819</t>
  </si>
  <si>
    <t>Koru Kindergarten</t>
  </si>
  <si>
    <t>06-7656051</t>
  </si>
  <si>
    <t>koru@kindergartentaranaki.co.nz</t>
  </si>
  <si>
    <t>90A Swansea Road</t>
  </si>
  <si>
    <t>Pebbles Montessori Sumner (0-3)</t>
  </si>
  <si>
    <t>03-326 5063</t>
  </si>
  <si>
    <t>48 Nayland Street</t>
  </si>
  <si>
    <t>Aisling O'Riordan</t>
  </si>
  <si>
    <t>P O Box 28069</t>
  </si>
  <si>
    <t>Christchurch 8242</t>
  </si>
  <si>
    <t>021-2741972</t>
  </si>
  <si>
    <t>Heathcote Valley Montessori Preschool</t>
  </si>
  <si>
    <t>03-384 9249</t>
  </si>
  <si>
    <t>info@hvp.co.nz</t>
  </si>
  <si>
    <t>108 Port Hills Road</t>
  </si>
  <si>
    <t>Heathcote Valley</t>
  </si>
  <si>
    <t>Danielle Fisher</t>
  </si>
  <si>
    <t>57 Buckhurst Ave</t>
  </si>
  <si>
    <t>Christchurch 8042</t>
  </si>
  <si>
    <t>03-7411236</t>
  </si>
  <si>
    <t>Beach haven Playcentre</t>
  </si>
  <si>
    <t>09-481 8035</t>
  </si>
  <si>
    <t>beachhaven@playcentre.org.nz</t>
  </si>
  <si>
    <t>6 Drome View Place</t>
  </si>
  <si>
    <t>Cashmere Early Learning Centre</t>
  </si>
  <si>
    <t>03-9432305</t>
  </si>
  <si>
    <t>192 Cashmere Road</t>
  </si>
  <si>
    <t>Hoon Hay South</t>
  </si>
  <si>
    <t>Haijing Zong</t>
  </si>
  <si>
    <t>6 Garrett Place</t>
  </si>
  <si>
    <t>Lincoln 7608</t>
  </si>
  <si>
    <t>03-3217299</t>
  </si>
  <si>
    <t>Lollipops Tauranga</t>
  </si>
  <si>
    <t>07-5781811</t>
  </si>
  <si>
    <t>10 Jude Place</t>
  </si>
  <si>
    <t>Katherine McElhinney</t>
  </si>
  <si>
    <t>021-2221411</t>
  </si>
  <si>
    <t>The Barnyard</t>
  </si>
  <si>
    <t>07-8701515</t>
  </si>
  <si>
    <t>info@thebarnyard.co.nz</t>
  </si>
  <si>
    <t>504 Racecourse Rd</t>
  </si>
  <si>
    <t>Michelle Cummings</t>
  </si>
  <si>
    <t>P O Box 351</t>
  </si>
  <si>
    <t>Te Awamutu 3840</t>
  </si>
  <si>
    <t>Koru Kindy</t>
  </si>
  <si>
    <t>09-423 8246</t>
  </si>
  <si>
    <t>78 Rodney Street</t>
  </si>
  <si>
    <t>Michelle Letcher</t>
  </si>
  <si>
    <t>5A Links Road</t>
  </si>
  <si>
    <t>Te Kōpae Piripono</t>
  </si>
  <si>
    <t>027-2019697</t>
  </si>
  <si>
    <t>admin@tekopaepiripono.org.nz</t>
  </si>
  <si>
    <t>245 Henwood Road</t>
  </si>
  <si>
    <t>Paraite</t>
  </si>
  <si>
    <t>Aroaro Tamati</t>
  </si>
  <si>
    <t>New Plymouth 4372</t>
  </si>
  <si>
    <t>Selwyn Kids</t>
  </si>
  <si>
    <t>03-347 9089</t>
  </si>
  <si>
    <t>62 Rolleston Drive</t>
  </si>
  <si>
    <t>Rebecca Adams</t>
  </si>
  <si>
    <t>60 Rolleston Drive</t>
  </si>
  <si>
    <t>Christchurch 7614</t>
  </si>
  <si>
    <t>03-3479089</t>
  </si>
  <si>
    <t>Toru Fetu Kindergarten</t>
  </si>
  <si>
    <t>04-2396063</t>
  </si>
  <si>
    <t>torufetu@wmkindergartens.org.nz</t>
  </si>
  <si>
    <t>Country Kidz</t>
  </si>
  <si>
    <t>07-3339111</t>
  </si>
  <si>
    <t>countrykidz@xtra.co.nz</t>
  </si>
  <si>
    <t>1452 Forest Road</t>
  </si>
  <si>
    <t>Marotiri</t>
  </si>
  <si>
    <t>Brett Steeghs</t>
  </si>
  <si>
    <t>1452 Forest Road RD 1</t>
  </si>
  <si>
    <t>Atiamuri 3078</t>
  </si>
  <si>
    <t>Maungaarangi Kindergarten and Family Centre</t>
  </si>
  <si>
    <t>07-544 8944</t>
  </si>
  <si>
    <t>maungaarangi@ikindergartens.nz</t>
  </si>
  <si>
    <t>22 Esmeralda Street</t>
  </si>
  <si>
    <t>BestStart Pleasant Point</t>
  </si>
  <si>
    <t>03-6148338</t>
  </si>
  <si>
    <t>PleasantPoint@best-start.org</t>
  </si>
  <si>
    <t>21 Halstead Road</t>
  </si>
  <si>
    <t>Pleasant Point</t>
  </si>
  <si>
    <t>Kidz Kindy Gisborne</t>
  </si>
  <si>
    <t>06-8683576</t>
  </si>
  <si>
    <t>Rebecca@kidzkindy.co.nz</t>
  </si>
  <si>
    <t>116 Lytton Road</t>
  </si>
  <si>
    <t>Te Hapara North</t>
  </si>
  <si>
    <t>Viv Robertson</t>
  </si>
  <si>
    <t>021-02424643</t>
  </si>
  <si>
    <t>Ako Early Learning</t>
  </si>
  <si>
    <t>07-5787744</t>
  </si>
  <si>
    <t>ingrid@akoearlylearning.co.nz</t>
  </si>
  <si>
    <t>154 Fraser Street</t>
  </si>
  <si>
    <t>Ingrid Ambrosiussen</t>
  </si>
  <si>
    <t>1 Haneanea Way</t>
  </si>
  <si>
    <t>027-5589883</t>
  </si>
  <si>
    <t>Scallywaggs Graduation Kindergarten</t>
  </si>
  <si>
    <t>06-8587404</t>
  </si>
  <si>
    <t>11 Russell Street</t>
  </si>
  <si>
    <t>Arrowtown Preschool Cotter Ave</t>
  </si>
  <si>
    <t>03-4420172</t>
  </si>
  <si>
    <t>admin@arrowtownpreschool.co.nz</t>
  </si>
  <si>
    <t>114 Cotter Avenue</t>
  </si>
  <si>
    <t>Arrowtown</t>
  </si>
  <si>
    <t>Arrowtown-Kawarau Ward</t>
  </si>
  <si>
    <t>Jane Foster</t>
  </si>
  <si>
    <t>P O Box 47</t>
  </si>
  <si>
    <t>Arrowtown 9351</t>
  </si>
  <si>
    <t>03-442 0172</t>
  </si>
  <si>
    <t>Wattle Cove Early Learning</t>
  </si>
  <si>
    <t>15 Scotsmoor Drive</t>
  </si>
  <si>
    <t>Wattle Downs</t>
  </si>
  <si>
    <t>Wattle Downs West</t>
  </si>
  <si>
    <t>The Rabbit Patch - Saffron Street</t>
  </si>
  <si>
    <t>03-359 0196</t>
  </si>
  <si>
    <t>gail@rabbitpatch.co.nz</t>
  </si>
  <si>
    <t>22 Saffron Street</t>
  </si>
  <si>
    <t>Bryndwr North</t>
  </si>
  <si>
    <t>Gail Clarke</t>
  </si>
  <si>
    <t>Christchurch 8053</t>
  </si>
  <si>
    <t>Star Early Learning</t>
  </si>
  <si>
    <t>027-7279226</t>
  </si>
  <si>
    <t>melissa@starearlylearning.co.nz</t>
  </si>
  <si>
    <t>329 &amp; 331 Annesbrook Drive</t>
  </si>
  <si>
    <t>Melissa Laing</t>
  </si>
  <si>
    <t>331 Annesbrook Drive</t>
  </si>
  <si>
    <t>Nelson 7011</t>
  </si>
  <si>
    <t>03-547 5477</t>
  </si>
  <si>
    <t>Childhood Concepts Goodshed Rd</t>
  </si>
  <si>
    <t>04-527 0282</t>
  </si>
  <si>
    <t>28Goodshedrd@childhoodconcepts.co.nz</t>
  </si>
  <si>
    <t>28 Goodshed Road</t>
  </si>
  <si>
    <t>Upper Hutt Central</t>
  </si>
  <si>
    <t>Paula  Drummond</t>
  </si>
  <si>
    <t xml:space="preserve">AIG Building, Level 10 41 Shortland Street, </t>
  </si>
  <si>
    <t>04-979 9849</t>
  </si>
  <si>
    <t>Kauri Seeds Preschool</t>
  </si>
  <si>
    <t>09-6385674</t>
  </si>
  <si>
    <t>admin@kauriseeds.co.nz</t>
  </si>
  <si>
    <t>24 King George Avenue</t>
  </si>
  <si>
    <t>Ling  Li</t>
  </si>
  <si>
    <t>89A Namata Road</t>
  </si>
  <si>
    <t>KiNZ Mission Heights</t>
  </si>
  <si>
    <t>09-2652850</t>
  </si>
  <si>
    <t>missionheights@kinz.org.nz</t>
  </si>
  <si>
    <t>31 Valderama Drive</t>
  </si>
  <si>
    <t>Mission Heights South</t>
  </si>
  <si>
    <t>Active Explorers Blenheim</t>
  </si>
  <si>
    <t>03-578 5842</t>
  </si>
  <si>
    <t>27 Redwood Street</t>
  </si>
  <si>
    <t>Blenheim Central</t>
  </si>
  <si>
    <t>Leesa Armstrong</t>
  </si>
  <si>
    <t>03-5775442</t>
  </si>
  <si>
    <t>Crackerjax Early Learning Centre</t>
  </si>
  <si>
    <t>03-4885333</t>
  </si>
  <si>
    <t>2 Westland Street</t>
  </si>
  <si>
    <t>Qiuzi Chen</t>
  </si>
  <si>
    <t>374 Taieri Road</t>
  </si>
  <si>
    <t>Dunedin 9010</t>
  </si>
  <si>
    <t>Henderson Valley Private Kindergarten</t>
  </si>
  <si>
    <t>09-8174304</t>
  </si>
  <si>
    <t>101 Coulter Rd</t>
  </si>
  <si>
    <t>BestStart Wainoni Road</t>
  </si>
  <si>
    <t>03-382 6472</t>
  </si>
  <si>
    <t>260 Wainoni Road</t>
  </si>
  <si>
    <t>Bright Beginnings Montessori</t>
  </si>
  <si>
    <t>03-3474474</t>
  </si>
  <si>
    <t>office@bbmontessori.co.nz</t>
  </si>
  <si>
    <t>183 Brookside Road</t>
  </si>
  <si>
    <t>Rolleston Central</t>
  </si>
  <si>
    <t>Zoe Russell</t>
  </si>
  <si>
    <t>Rolleston 7614</t>
  </si>
  <si>
    <t>027-3100157</t>
  </si>
  <si>
    <t>Aoga Amata (AAPICA) Centre Avondale</t>
  </si>
  <si>
    <t>09-8206056</t>
  </si>
  <si>
    <t>manager@aapica.com</t>
  </si>
  <si>
    <t>43 Rosebank Road</t>
  </si>
  <si>
    <t>Avondale Central (Auckland)</t>
  </si>
  <si>
    <t>Henga Amosa</t>
  </si>
  <si>
    <t>09-6295120</t>
  </si>
  <si>
    <t>Little Waikato Scholars Prep School</t>
  </si>
  <si>
    <t>07-8550144</t>
  </si>
  <si>
    <t>waikatoscholars@xtra.co.nz</t>
  </si>
  <si>
    <t>644 Grey Street</t>
  </si>
  <si>
    <t>Steve Henry</t>
  </si>
  <si>
    <t>1 Quail Place</t>
  </si>
  <si>
    <t>Little Wonders Rolleston</t>
  </si>
  <si>
    <t>03-347 3511</t>
  </si>
  <si>
    <t>33 Elizabeth Street</t>
  </si>
  <si>
    <t>Rolleston North Central</t>
  </si>
  <si>
    <t>Natasha Hamer</t>
  </si>
  <si>
    <t>Learning Links Borman Road</t>
  </si>
  <si>
    <t>07-8543933</t>
  </si>
  <si>
    <t>manager.LLBor@learninglinkschildcare.co.nz</t>
  </si>
  <si>
    <t>267 Borman Road</t>
  </si>
  <si>
    <t>Joanna Purdie</t>
  </si>
  <si>
    <t>P O Box 28113</t>
  </si>
  <si>
    <t>07-8525510</t>
  </si>
  <si>
    <t>Sunshine Christian Preschool</t>
  </si>
  <si>
    <t>09-263 9137</t>
  </si>
  <si>
    <t>sunshinepreschool@mcctrust.nz</t>
  </si>
  <si>
    <t>Lupesina Aoga Amata Preschool</t>
  </si>
  <si>
    <t>09-835 1926</t>
  </si>
  <si>
    <t>lupesina.aoga@gmail.com</t>
  </si>
  <si>
    <t>60 Barrys Road</t>
  </si>
  <si>
    <t>Alovale Faaiuaso</t>
  </si>
  <si>
    <t>52A Barrys Road</t>
  </si>
  <si>
    <t>Brightlands Childcare Centre, Vickery Street</t>
  </si>
  <si>
    <t>07-8496868</t>
  </si>
  <si>
    <t>info@brightlands.ac.nz</t>
  </si>
  <si>
    <t>53 Vickery Street</t>
  </si>
  <si>
    <t>Rosanne  Harding</t>
  </si>
  <si>
    <t>021-678287</t>
  </si>
  <si>
    <t>Maungatapu Pre-School</t>
  </si>
  <si>
    <t>07-544 6969</t>
  </si>
  <si>
    <t>karen@maungatapupreschool.co.nz</t>
  </si>
  <si>
    <t>313 Maungatapu Road</t>
  </si>
  <si>
    <t>Karen Reeves</t>
  </si>
  <si>
    <t>31 Montego Drive</t>
  </si>
  <si>
    <t>Young Explorers Early Learning Centre</t>
  </si>
  <si>
    <t>09-238 4852</t>
  </si>
  <si>
    <t>566 Bucklands Road RD2</t>
  </si>
  <si>
    <t>Buckland</t>
  </si>
  <si>
    <t>Natasha Jones</t>
  </si>
  <si>
    <t>P O Box 36</t>
  </si>
  <si>
    <t>09-2383303</t>
  </si>
  <si>
    <t>Nature's Explorers Kindergarten</t>
  </si>
  <si>
    <t>09-4128800</t>
  </si>
  <si>
    <t>office.kindergarten@xtra.co.nz</t>
  </si>
  <si>
    <t>1 Maude Street</t>
  </si>
  <si>
    <t>Little People Learning Centre</t>
  </si>
  <si>
    <t>09-4442931</t>
  </si>
  <si>
    <t>jodie@littlepeople.net.nz</t>
  </si>
  <si>
    <t>12 Chartwell Avenue</t>
  </si>
  <si>
    <t>Dudley Creek Preschool Ltd</t>
  </si>
  <si>
    <t>03-9801525</t>
  </si>
  <si>
    <t>dudleycreekpreschool@gmail.com</t>
  </si>
  <si>
    <t>357 Hills Road</t>
  </si>
  <si>
    <t>Sue  Fergusson</t>
  </si>
  <si>
    <t>PO Box 76040</t>
  </si>
  <si>
    <t>Christchurch 8051</t>
  </si>
  <si>
    <t>03-3542926</t>
  </si>
  <si>
    <t>Tiny Nation</t>
  </si>
  <si>
    <t>09-3094444</t>
  </si>
  <si>
    <t>info@tinynation.co.nz</t>
  </si>
  <si>
    <t>209 Karamu Road North</t>
  </si>
  <si>
    <t>Hastings Central</t>
  </si>
  <si>
    <t>Andrea Cooper</t>
  </si>
  <si>
    <t>Hastings 4122</t>
  </si>
  <si>
    <t>027-5263732</t>
  </si>
  <si>
    <t>Pukeatua Kōhanga Reo</t>
  </si>
  <si>
    <t>04-5642215</t>
  </si>
  <si>
    <t>82 Moohan Street</t>
  </si>
  <si>
    <t>Homedale East</t>
  </si>
  <si>
    <t>Kuini Garthwaite</t>
  </si>
  <si>
    <t>P O Box 42122</t>
  </si>
  <si>
    <t>Lower Hutt 5049</t>
  </si>
  <si>
    <t>04-564 2215</t>
  </si>
  <si>
    <t>Te Waipuna Ariki o Matangireia</t>
  </si>
  <si>
    <t>07-3060096</t>
  </si>
  <si>
    <t>manu.glen@nash.org.nz</t>
  </si>
  <si>
    <t>15 Golf Links Road, RD 1</t>
  </si>
  <si>
    <t>Thornton</t>
  </si>
  <si>
    <t>Manurere Glen</t>
  </si>
  <si>
    <t>15 Golf Links  RD 1</t>
  </si>
  <si>
    <t xml:space="preserve">Whakatane </t>
  </si>
  <si>
    <t>Auckland Point Kindergarten</t>
  </si>
  <si>
    <t>03-546 3383</t>
  </si>
  <si>
    <t>aucklandpointkindergarten@ntk.org.nz</t>
  </si>
  <si>
    <t>Auckland Point School 111 Haven Road</t>
  </si>
  <si>
    <t>Port Nelson</t>
  </si>
  <si>
    <t>Planet Sunshine Early Childhood Service</t>
  </si>
  <si>
    <t>06-8690500 Ext 8810</t>
  </si>
  <si>
    <t>Gisborne Hospital 421 Ormond Road</t>
  </si>
  <si>
    <t>Lytton</t>
  </si>
  <si>
    <t>Nicki Dever</t>
  </si>
  <si>
    <t>Tairawhiti District Health  Private Bag 7001</t>
  </si>
  <si>
    <t>06-8690500 Ext 8240</t>
  </si>
  <si>
    <t>Seedlings Education</t>
  </si>
  <si>
    <t>09-2735525</t>
  </si>
  <si>
    <t>3/12 Laidlaw Way</t>
  </si>
  <si>
    <t>Adam Brunt</t>
  </si>
  <si>
    <t>2/9 Inkerman Street</t>
  </si>
  <si>
    <t>Te Kōhanga Reo o Ngā Whare Maha</t>
  </si>
  <si>
    <t>09-869 2051</t>
  </si>
  <si>
    <t>7 A Ceres Court</t>
  </si>
  <si>
    <t>A Fun Place To Be Childcare</t>
  </si>
  <si>
    <t>07-8685587</t>
  </si>
  <si>
    <t>funplace@xtra.co.nz</t>
  </si>
  <si>
    <t>3 Maramarahi Road</t>
  </si>
  <si>
    <t>Imojen Treanor</t>
  </si>
  <si>
    <t>Thames 3500</t>
  </si>
  <si>
    <t>021-1837281</t>
  </si>
  <si>
    <t>Minerva House</t>
  </si>
  <si>
    <t>03-3558886</t>
  </si>
  <si>
    <t>info@minervahouse.co.nz</t>
  </si>
  <si>
    <t>90 McFaddens Road</t>
  </si>
  <si>
    <t>Peter Wortley</t>
  </si>
  <si>
    <t>Saint Albans</t>
  </si>
  <si>
    <t>Christchurch 8052</t>
  </si>
  <si>
    <t>03-3541673</t>
  </si>
  <si>
    <t>Globalkids Early Learning Centre</t>
  </si>
  <si>
    <t>03-332 2070</t>
  </si>
  <si>
    <t>global.kids@xtra.co.nz</t>
  </si>
  <si>
    <t>70 Hume Street</t>
  </si>
  <si>
    <t>Sydenham</t>
  </si>
  <si>
    <t>Debbie Taylor</t>
  </si>
  <si>
    <t>16 Rivers Edge</t>
  </si>
  <si>
    <t>Northwood</t>
  </si>
  <si>
    <t>03-323 4074</t>
  </si>
  <si>
    <t>Active Explorers St Lukes</t>
  </si>
  <si>
    <t>09-8158586</t>
  </si>
  <si>
    <t>55 Sainsbury Road</t>
  </si>
  <si>
    <t>Sheree Davys</t>
  </si>
  <si>
    <t>09-2960522</t>
  </si>
  <si>
    <t>Nurture Early Learning Centre</t>
  </si>
  <si>
    <t>09-820 2396</t>
  </si>
  <si>
    <t>admin@nurtureearlylearning.co.nz</t>
  </si>
  <si>
    <t>391 Rosebank Road</t>
  </si>
  <si>
    <t>Rosebank Peninsula</t>
  </si>
  <si>
    <t>Trudie Kroef</t>
  </si>
  <si>
    <t>P O Box 10263</t>
  </si>
  <si>
    <t>Dominion Road</t>
  </si>
  <si>
    <t>Auckland 1446</t>
  </si>
  <si>
    <t>Whiz Kids</t>
  </si>
  <si>
    <t>09-4052255</t>
  </si>
  <si>
    <t>52 Guy Road</t>
  </si>
  <si>
    <t>Isita Fale</t>
  </si>
  <si>
    <t>Whangarei 0447</t>
  </si>
  <si>
    <t>09-4019283</t>
  </si>
  <si>
    <t>Koru Kids Early Learning Centre</t>
  </si>
  <si>
    <t>09-277 4222</t>
  </si>
  <si>
    <t>30 Kenderine Road</t>
  </si>
  <si>
    <t>Sarah White</t>
  </si>
  <si>
    <t>19 Tasman Avenue</t>
  </si>
  <si>
    <t>021-02419391</t>
  </si>
  <si>
    <t>Angels Childcare - New Lynn</t>
  </si>
  <si>
    <t>09-8273379</t>
  </si>
  <si>
    <t>angelsnew@angelschildcare.co.nz</t>
  </si>
  <si>
    <t>32 Arawa St</t>
  </si>
  <si>
    <t>New Lynn North West</t>
  </si>
  <si>
    <t>Bryan McCloughen</t>
  </si>
  <si>
    <t>87 Braemar Road</t>
  </si>
  <si>
    <t>Castor Bay</t>
  </si>
  <si>
    <t>09-4144328</t>
  </si>
  <si>
    <t>Fotumalama Aoga Amata</t>
  </si>
  <si>
    <t>09-2623009</t>
  </si>
  <si>
    <t>fotumalama.preschool@xtra.co.nz</t>
  </si>
  <si>
    <t>1/54 Trevor Hosken Drive</t>
  </si>
  <si>
    <t>Noama Timoteo</t>
  </si>
  <si>
    <t xml:space="preserve">1/54 Trevor Hosken Drive </t>
  </si>
  <si>
    <t>Auckland 2104</t>
  </si>
  <si>
    <t>Busy Bees Havelock North</t>
  </si>
  <si>
    <t>06-8774746</t>
  </si>
  <si>
    <t>info@havelocknorth.busybees.org.nz</t>
  </si>
  <si>
    <t>108 Te Mata Road</t>
  </si>
  <si>
    <t>Hereworth</t>
  </si>
  <si>
    <t>Laurie Latter</t>
  </si>
  <si>
    <t>Busy Bees Pioneer Highway</t>
  </si>
  <si>
    <t>06-3582294</t>
  </si>
  <si>
    <t>715 Pioneer Highway</t>
  </si>
  <si>
    <t>Takaro South</t>
  </si>
  <si>
    <t>Samantha Gould</t>
  </si>
  <si>
    <t>Busy Bees Carterton</t>
  </si>
  <si>
    <t>06-3799260</t>
  </si>
  <si>
    <t>manager@carterton.busybees.org.nz</t>
  </si>
  <si>
    <t>171 High Street South</t>
  </si>
  <si>
    <t>Melissa Allen</t>
  </si>
  <si>
    <t>06-379 9260</t>
  </si>
  <si>
    <t>Active Explorers Lower Hutt</t>
  </si>
  <si>
    <t>04-589 5061</t>
  </si>
  <si>
    <t>cm.lowerhutt@activeexplorers.co.nz</t>
  </si>
  <si>
    <t>22A Pretoria Street</t>
  </si>
  <si>
    <t>Lower Hutt Central</t>
  </si>
  <si>
    <t>Emilee Keefe</t>
  </si>
  <si>
    <t>04-589-5061</t>
  </si>
  <si>
    <t>Little Magpies Home Based Care</t>
  </si>
  <si>
    <t>06-8775261</t>
  </si>
  <si>
    <t>admin@littlemagpies.co.nz</t>
  </si>
  <si>
    <t>24 Leyland Street</t>
  </si>
  <si>
    <t>Onekawa West</t>
  </si>
  <si>
    <t>Shane Rooney</t>
  </si>
  <si>
    <t>P O Box 8644</t>
  </si>
  <si>
    <t>06-8776108</t>
  </si>
  <si>
    <t>KaTui Early Childhood Learning Centre</t>
  </si>
  <si>
    <t>09-4053351</t>
  </si>
  <si>
    <t>12 Broadway</t>
  </si>
  <si>
    <t>Kawhena Matthews</t>
  </si>
  <si>
    <t>126 Orakau Road  RD 1</t>
  </si>
  <si>
    <t>Tautoro</t>
  </si>
  <si>
    <t>Kaikohe 0474</t>
  </si>
  <si>
    <t>09-405 3351</t>
  </si>
  <si>
    <t>Kuddles In-Home Childcare &amp; Education - 2</t>
  </si>
  <si>
    <t>AoKids/Malelega</t>
  </si>
  <si>
    <t>09-270 0263</t>
  </si>
  <si>
    <t>welcome@aokids.co.nz</t>
  </si>
  <si>
    <t>40 Cleek Road</t>
  </si>
  <si>
    <t>Nature Kids</t>
  </si>
  <si>
    <t>06-8786111</t>
  </si>
  <si>
    <t>naturekids@xtra.co.nz</t>
  </si>
  <si>
    <t>1015 Duke Street</t>
  </si>
  <si>
    <t>Hayley Rameka</t>
  </si>
  <si>
    <t>Hastings 4201</t>
  </si>
  <si>
    <t>ACG Queenstown Henry Street</t>
  </si>
  <si>
    <t>03-4090441</t>
  </si>
  <si>
    <t>admin@zigzagzoo.co.nz</t>
  </si>
  <si>
    <t>7 Henry Street</t>
  </si>
  <si>
    <t>Queenstown Central</t>
  </si>
  <si>
    <t>Harpreet Ahluwalia</t>
  </si>
  <si>
    <t>027-9400904</t>
  </si>
  <si>
    <t>Kumeu Childcare</t>
  </si>
  <si>
    <t>09-4128081</t>
  </si>
  <si>
    <t>info@kumeuchildcare.co.nz</t>
  </si>
  <si>
    <t>7-9 Wookey Lane</t>
  </si>
  <si>
    <t>Harinder Bedi</t>
  </si>
  <si>
    <t>P O Box 58303</t>
  </si>
  <si>
    <t>Auckland 2163</t>
  </si>
  <si>
    <t>09-2777934</t>
  </si>
  <si>
    <t>Busy Bees Richmond</t>
  </si>
  <si>
    <t>03-5410617</t>
  </si>
  <si>
    <t>info@richmond.busybees.org.nz</t>
  </si>
  <si>
    <t>34 Edward Street</t>
  </si>
  <si>
    <t>Easby Park</t>
  </si>
  <si>
    <t>Jasmine Nilsson</t>
  </si>
  <si>
    <t>09-4363085</t>
  </si>
  <si>
    <t>info@kiwikidselc.co.nz</t>
  </si>
  <si>
    <t>4 Waimahanga Road</t>
  </si>
  <si>
    <t>Sherwood Rise</t>
  </si>
  <si>
    <t>Jane Allen</t>
  </si>
  <si>
    <t>Four Seasons Rudolf Steiner Kindergarten</t>
  </si>
  <si>
    <t>07-3788042</t>
  </si>
  <si>
    <t>tlee@fourseasonskindergarten.co.nz</t>
  </si>
  <si>
    <t>78 Kaimanawa Street</t>
  </si>
  <si>
    <t>Traceylee Hooton</t>
  </si>
  <si>
    <t>P O Box 530</t>
  </si>
  <si>
    <t>Taupo 3351</t>
  </si>
  <si>
    <t>07-3782974</t>
  </si>
  <si>
    <t>Big Hugz Early Learning Centre Limited</t>
  </si>
  <si>
    <t>07-8562222</t>
  </si>
  <si>
    <t>3 Fenwick Crescent</t>
  </si>
  <si>
    <t>Ning Hsu</t>
  </si>
  <si>
    <t>07-856 5238</t>
  </si>
  <si>
    <t>Central Kids Kindergartens - Golden Sands</t>
  </si>
  <si>
    <t>07-9280315</t>
  </si>
  <si>
    <t>goldensands@centralkids.org.nz</t>
  </si>
  <si>
    <t>30 Golden Sands Drive</t>
  </si>
  <si>
    <t>Motiti</t>
  </si>
  <si>
    <t>Great Beginnings Early Learning Centre</t>
  </si>
  <si>
    <t>07-8243227</t>
  </si>
  <si>
    <t>great.begin@yahoo.com</t>
  </si>
  <si>
    <t>59 Woodlands Road</t>
  </si>
  <si>
    <t>Tracey Ryan</t>
  </si>
  <si>
    <t>17 Tenfoot Road RD 1</t>
  </si>
  <si>
    <t>The Nest Private Kindergarten @ Clive</t>
  </si>
  <si>
    <t>06-8700008</t>
  </si>
  <si>
    <t>clive@thenestnz.com</t>
  </si>
  <si>
    <t>237 State Highway 2</t>
  </si>
  <si>
    <t>Clive</t>
  </si>
  <si>
    <t>Heretaunga General Ward</t>
  </si>
  <si>
    <t>Nicole  Brocklehurst</t>
  </si>
  <si>
    <t>Clive 4102</t>
  </si>
  <si>
    <t>027-9442277</t>
  </si>
  <si>
    <t>Prebbleton Early Learners</t>
  </si>
  <si>
    <t>03-3499950</t>
  </si>
  <si>
    <t>504 Springs Road</t>
  </si>
  <si>
    <t>Prebbleton North</t>
  </si>
  <si>
    <t>Melanie Cotter</t>
  </si>
  <si>
    <t>542 Springs Road</t>
  </si>
  <si>
    <t>Prebbleton</t>
  </si>
  <si>
    <t>Christchurch 7604</t>
  </si>
  <si>
    <t>03-3499970</t>
  </si>
  <si>
    <t>Stems From Home</t>
  </si>
  <si>
    <t>09-536 7103</t>
  </si>
  <si>
    <t>stephany@stemsfromhome.co.nz</t>
  </si>
  <si>
    <t>93A Beach Road, Mellons Bay</t>
  </si>
  <si>
    <t>Stephany Wofinden</t>
  </si>
  <si>
    <t>P O Box 43</t>
  </si>
  <si>
    <t>0800-783378</t>
  </si>
  <si>
    <t>BestStart Judea</t>
  </si>
  <si>
    <t>07-5770911</t>
  </si>
  <si>
    <t>judea@best-start.org</t>
  </si>
  <si>
    <t>167 Waihi Road</t>
  </si>
  <si>
    <t>Future Focus - The Bach</t>
  </si>
  <si>
    <t>07-5425132</t>
  </si>
  <si>
    <t>thebach@futurefocus.co.nz</t>
  </si>
  <si>
    <t>886 Papamoa Beach Road</t>
  </si>
  <si>
    <t>Brittney Tulafono</t>
  </si>
  <si>
    <t>Papamoa 3118</t>
  </si>
  <si>
    <t>027-7666756</t>
  </si>
  <si>
    <t>A to Z Preschool</t>
  </si>
  <si>
    <t>03-768 4733</t>
  </si>
  <si>
    <t>alesha.crawford@hotmail.com</t>
  </si>
  <si>
    <t>70 Blake Street</t>
  </si>
  <si>
    <t>Blaketown</t>
  </si>
  <si>
    <t>Alesha Crawford</t>
  </si>
  <si>
    <t>Greymouth 7805</t>
  </si>
  <si>
    <t>Surrey Park Early Learning Centre</t>
  </si>
  <si>
    <t>03-2173477</t>
  </si>
  <si>
    <t>55 Isabella Street</t>
  </si>
  <si>
    <t>Avril Dalzell</t>
  </si>
  <si>
    <t>Invercargill North</t>
  </si>
  <si>
    <t>Invercargill 9810</t>
  </si>
  <si>
    <t>Pitter Patter</t>
  </si>
  <si>
    <t>09-838 1433</t>
  </si>
  <si>
    <t>163 McLeod Road</t>
  </si>
  <si>
    <t>Shooting Stars Daycare</t>
  </si>
  <si>
    <t>09-5255711</t>
  </si>
  <si>
    <t>diana@shootingstars.co.nz</t>
  </si>
  <si>
    <t>3 Tecoma Street</t>
  </si>
  <si>
    <t>Diana Hansen</t>
  </si>
  <si>
    <t>P O Box 11207</t>
  </si>
  <si>
    <t>09-6367959</t>
  </si>
  <si>
    <t>Pascals St Johns</t>
  </si>
  <si>
    <t>09-578 2020</t>
  </si>
  <si>
    <t>cm.stjohns@pascalselc.co.nz</t>
  </si>
  <si>
    <t>9 Farmhouse Lane</t>
  </si>
  <si>
    <t>Hazel  Fernandes</t>
  </si>
  <si>
    <t>Springbank Headstart</t>
  </si>
  <si>
    <t>09-4075236</t>
  </si>
  <si>
    <t>jenna.pille@springbank.school.nz</t>
  </si>
  <si>
    <t>78 Waimate North Road</t>
  </si>
  <si>
    <t>Sunshine Childcare on Vickery</t>
  </si>
  <si>
    <t>07-8492022</t>
  </si>
  <si>
    <t>106 Vickery Street</t>
  </si>
  <si>
    <t>Good Beginnings Infants &amp; Toddlers</t>
  </si>
  <si>
    <t>06-3770949</t>
  </si>
  <si>
    <t>admin@goodbeginnings.co.nz</t>
  </si>
  <si>
    <t>16 Casel Street</t>
  </si>
  <si>
    <t>Nicola Burling</t>
  </si>
  <si>
    <t>20 Waltons Avenue</t>
  </si>
  <si>
    <t>Masterton 5810</t>
  </si>
  <si>
    <t>06-3770932</t>
  </si>
  <si>
    <t>Lynfield Playcentre</t>
  </si>
  <si>
    <t>16 Griffen Park Road</t>
  </si>
  <si>
    <t>Pennylane Early Childhood Centre</t>
  </si>
  <si>
    <t>03-338 6825</t>
  </si>
  <si>
    <t>manager@pennylanechildcare.co.nz</t>
  </si>
  <si>
    <t>79 Hoon Hay Road</t>
  </si>
  <si>
    <t>Helen Lowe</t>
  </si>
  <si>
    <t>69 Hinau Street</t>
  </si>
  <si>
    <t>Christchurch 8041</t>
  </si>
  <si>
    <t>Little Blue Penguin Preschool and Nursery Prestons</t>
  </si>
  <si>
    <t>03-383 7720</t>
  </si>
  <si>
    <t>gina@littlebluepenguin.co.nz</t>
  </si>
  <si>
    <t>408 Prestons Road</t>
  </si>
  <si>
    <t>Marshland</t>
  </si>
  <si>
    <t>Prestons Park</t>
  </si>
  <si>
    <t>Gina Colvin</t>
  </si>
  <si>
    <t>68 Farrington Avenue</t>
  </si>
  <si>
    <t>03-9801090</t>
  </si>
  <si>
    <t>Richmond Early Learning Centre</t>
  </si>
  <si>
    <t>03-2178009</t>
  </si>
  <si>
    <t>little.ones@xtra.co.nz</t>
  </si>
  <si>
    <t>104 Islington Street</t>
  </si>
  <si>
    <t>Turnbull Thompson Park</t>
  </si>
  <si>
    <t>Nardine Rhind</t>
  </si>
  <si>
    <t>39 Ferry Road</t>
  </si>
  <si>
    <t>Edendale 9825</t>
  </si>
  <si>
    <t>03-2313362</t>
  </si>
  <si>
    <t>Tokomairiro Early Learning Centre on Spenser</t>
  </si>
  <si>
    <t>03-4178185</t>
  </si>
  <si>
    <t>telc@xtra.co.nz</t>
  </si>
  <si>
    <t>71 Spenser Street</t>
  </si>
  <si>
    <t>Joanne Mead</t>
  </si>
  <si>
    <t>94 Johnson Street</t>
  </si>
  <si>
    <t>Milton 9220</t>
  </si>
  <si>
    <t>BestStart Great North Road</t>
  </si>
  <si>
    <t>09-8274537</t>
  </si>
  <si>
    <t>greatnorth@best-start.org</t>
  </si>
  <si>
    <t>3180 Great North Road</t>
  </si>
  <si>
    <t>Happy Kids Preschool</t>
  </si>
  <si>
    <t>09-8368323</t>
  </si>
  <si>
    <t>happykidspreschool@hotmail.com</t>
  </si>
  <si>
    <t>287 Great North Road</t>
  </si>
  <si>
    <t>Angela Shao</t>
  </si>
  <si>
    <t>2-459 Blockhouse Bay Road</t>
  </si>
  <si>
    <t>Pohutukawa Early Learning Centre</t>
  </si>
  <si>
    <t>06-3771000</t>
  </si>
  <si>
    <t>elcpohutukawa@gmail.com</t>
  </si>
  <si>
    <t>12 Villa Street</t>
  </si>
  <si>
    <t>Masterton Central</t>
  </si>
  <si>
    <t>Paulette Hall</t>
  </si>
  <si>
    <t xml:space="preserve">12 Villa Street </t>
  </si>
  <si>
    <t>06-3727877</t>
  </si>
  <si>
    <t>Turangi Kindy</t>
  </si>
  <si>
    <t>07-2817271</t>
  </si>
  <si>
    <t>14 Ngawaka Place</t>
  </si>
  <si>
    <t>Sangeeta Dhot</t>
  </si>
  <si>
    <t>558d Papamoa Road</t>
  </si>
  <si>
    <t>All About Children  - Browns</t>
  </si>
  <si>
    <t>49brownsroad@allaboutchildren.co.nz</t>
  </si>
  <si>
    <t>49 Browns Road</t>
  </si>
  <si>
    <t>Homai East</t>
  </si>
  <si>
    <t>P O Box 15503</t>
  </si>
  <si>
    <t>Auckland 0640</t>
  </si>
  <si>
    <t>BestStart Cornwall Street</t>
  </si>
  <si>
    <t>04-5664205</t>
  </si>
  <si>
    <t>cornwall@best-start.org</t>
  </si>
  <si>
    <t>3 Cornwall Street</t>
  </si>
  <si>
    <t>Diocesan School for Girls Foundation Class</t>
  </si>
  <si>
    <t>09-5200 221 Ext 8153</t>
  </si>
  <si>
    <t>Clyde Street</t>
  </si>
  <si>
    <t>Emma Gordon</t>
  </si>
  <si>
    <t>Private Bag 99939</t>
  </si>
  <si>
    <t>09-520 0221 Ext 7631</t>
  </si>
  <si>
    <t>BestStart Kaikorai Valley Road</t>
  </si>
  <si>
    <t xml:space="preserve">03-4880074 </t>
  </si>
  <si>
    <t>kaikorai@best-start.org</t>
  </si>
  <si>
    <t>463 Kaikorai Valley Road</t>
  </si>
  <si>
    <t>Bradford</t>
  </si>
  <si>
    <t>Kenmure</t>
  </si>
  <si>
    <t>BestStart Montessori Bethlehem</t>
  </si>
  <si>
    <t>07-579 3661</t>
  </si>
  <si>
    <t>250 Tauranga West Road</t>
  </si>
  <si>
    <t>Kindercare Learning Centres Tawa</t>
  </si>
  <si>
    <t>04-2326666</t>
  </si>
  <si>
    <t>tawa@kindercare.co.nz</t>
  </si>
  <si>
    <t>25 Main Road</t>
  </si>
  <si>
    <t>Seventh Day Adventist</t>
  </si>
  <si>
    <t>Tawa South</t>
  </si>
  <si>
    <t>Paula Martin</t>
  </si>
  <si>
    <t>Pascals St Albans</t>
  </si>
  <si>
    <t>03-356 2252</t>
  </si>
  <si>
    <t>cm.stalbans@pascalselc.co.nz</t>
  </si>
  <si>
    <t>26 Somme Street</t>
  </si>
  <si>
    <t>Rutland</t>
  </si>
  <si>
    <t>Louise Thompson</t>
  </si>
  <si>
    <t>Gingerbread Cottage Network 2</t>
  </si>
  <si>
    <t>07-4728535</t>
  </si>
  <si>
    <t>11 Green Street</t>
  </si>
  <si>
    <t>Kids at Home The Bay 5</t>
  </si>
  <si>
    <t>Play To Learn Early Learning Centre</t>
  </si>
  <si>
    <t>07-8505064</t>
  </si>
  <si>
    <t>admin@playtolearnelc.co.nz</t>
  </si>
  <si>
    <t>29 Tasman Road</t>
  </si>
  <si>
    <t>Kylee McLean</t>
  </si>
  <si>
    <t>Funshine Early Learning Centre</t>
  </si>
  <si>
    <t>03-2025065</t>
  </si>
  <si>
    <t>office@funshine.co.nz</t>
  </si>
  <si>
    <t>12 Chester Street</t>
  </si>
  <si>
    <t>Riversdale</t>
  </si>
  <si>
    <t>Riversdale-Piano Flat</t>
  </si>
  <si>
    <t>Jessica Boyte</t>
  </si>
  <si>
    <t>P O Box 198</t>
  </si>
  <si>
    <t>Riversdale 9744</t>
  </si>
  <si>
    <t>Little Wonders Timaru</t>
  </si>
  <si>
    <t>027-2239661</t>
  </si>
  <si>
    <t>lisa.mitchell@eeg.co.nz</t>
  </si>
  <si>
    <t>210 Otipua Road</t>
  </si>
  <si>
    <t>West End</t>
  </si>
  <si>
    <t>Fraser Park</t>
  </si>
  <si>
    <t>Jodi Arkinstall</t>
  </si>
  <si>
    <t>03-6888816</t>
  </si>
  <si>
    <t>Te Kōhanga Reo o Whānau Paki</t>
  </si>
  <si>
    <t>03-476 4362</t>
  </si>
  <si>
    <t>54 Ashmore Street</t>
  </si>
  <si>
    <t>Catherine Stuart</t>
  </si>
  <si>
    <t>03-375 4003</t>
  </si>
  <si>
    <t>Melodies Preschool</t>
  </si>
  <si>
    <t>nickyabb@gmail.com</t>
  </si>
  <si>
    <t>27 West Belt</t>
  </si>
  <si>
    <t>Nicky Abbott</t>
  </si>
  <si>
    <t>Kiwikidz Educare - At the Beach</t>
  </si>
  <si>
    <t>07-8635548</t>
  </si>
  <si>
    <t>kiwikidzwaihibeach@xtra.co.nz</t>
  </si>
  <si>
    <t>43 Edinburgh Street</t>
  </si>
  <si>
    <t>Rebecca Taylor</t>
  </si>
  <si>
    <t>8a Jenkinson Street</t>
  </si>
  <si>
    <t>Waihi Beach 3611</t>
  </si>
  <si>
    <t>021-1351669</t>
  </si>
  <si>
    <t>Kindercare Learning Centres - Rangiora (212)</t>
  </si>
  <si>
    <t>03-3106631</t>
  </si>
  <si>
    <t>rangiora@kindercare.co.nz</t>
  </si>
  <si>
    <t>52 Southbrook Road</t>
  </si>
  <si>
    <t>Southbrook</t>
  </si>
  <si>
    <t>Nicola  Harris</t>
  </si>
  <si>
    <t>Playworx Kindy</t>
  </si>
  <si>
    <t>07-8437529</t>
  </si>
  <si>
    <t>aaidaeducation@gmail.com</t>
  </si>
  <si>
    <t>89 Pine Avenue</t>
  </si>
  <si>
    <t>Melville South</t>
  </si>
  <si>
    <t>Deepa Kamaldeen</t>
  </si>
  <si>
    <t>14 Bond Street</t>
  </si>
  <si>
    <t>021-2091193</t>
  </si>
  <si>
    <t>JoJo's Early Learning Limited</t>
  </si>
  <si>
    <t>09-412 5325</t>
  </si>
  <si>
    <t>admin@jojoschildcare.co.nz</t>
  </si>
  <si>
    <t>5/21 Oraha Road</t>
  </si>
  <si>
    <t>Joshika Kanna</t>
  </si>
  <si>
    <t>43 Collier Drive</t>
  </si>
  <si>
    <t>Comrie Park Kindergarten</t>
  </si>
  <si>
    <t>09-433 5045</t>
  </si>
  <si>
    <t>109 Matarau Road</t>
  </si>
  <si>
    <t>Matarau</t>
  </si>
  <si>
    <t>Bear Park - St Clair</t>
  </si>
  <si>
    <t>10 Hobson Street</t>
  </si>
  <si>
    <t>Karinna Blacklock</t>
  </si>
  <si>
    <t>Active Explorers Glenfield Rimu</t>
  </si>
  <si>
    <t>09-4440076</t>
  </si>
  <si>
    <t>4A Camrose Place</t>
  </si>
  <si>
    <t>Andrea Louw</t>
  </si>
  <si>
    <t>022-0463478</t>
  </si>
  <si>
    <t>Levin Montessori</t>
  </si>
  <si>
    <t>06-3684828</t>
  </si>
  <si>
    <t>levinmontessori@gmail.com</t>
  </si>
  <si>
    <t>12 Highfield Place</t>
  </si>
  <si>
    <t>Adventure Valley Childcare</t>
  </si>
  <si>
    <t>09-837 3616</t>
  </si>
  <si>
    <t>fraserh@msn.com</t>
  </si>
  <si>
    <t>91 Henderson Valley Road</t>
  </si>
  <si>
    <t>Level 2 74 Taharoto Road</t>
  </si>
  <si>
    <t>Montessori 3-6 Trilingual Early Childhood Education</t>
  </si>
  <si>
    <t>06-8336970</t>
  </si>
  <si>
    <t>montessoripreschoolnapier@gmail.com</t>
  </si>
  <si>
    <t>Cnr Chambers Street &amp; Georges Drive</t>
  </si>
  <si>
    <t>McLean Park</t>
  </si>
  <si>
    <t>Vicky Lumsden</t>
  </si>
  <si>
    <t>69 Wellesley Road</t>
  </si>
  <si>
    <t>Napier 4110</t>
  </si>
  <si>
    <t>Busy Bees Masterton</t>
  </si>
  <si>
    <t>06-3708384</t>
  </si>
  <si>
    <t>info@masterton.busybees.org.nz</t>
  </si>
  <si>
    <t>45 Te Ore Ore Road</t>
  </si>
  <si>
    <t>Homebush-Te Ore Ore</t>
  </si>
  <si>
    <t>Janelle Herbert</t>
  </si>
  <si>
    <t>06-370 8384</t>
  </si>
  <si>
    <t>Leap Ahead Early Childhood Centre</t>
  </si>
  <si>
    <t>03-3028991</t>
  </si>
  <si>
    <t>6 Methven Chertsey Road</t>
  </si>
  <si>
    <t>Methven</t>
  </si>
  <si>
    <t>Emma Harmer</t>
  </si>
  <si>
    <t>Methven 7730</t>
  </si>
  <si>
    <t>03-303 0911</t>
  </si>
  <si>
    <t>Nurture@Home Marlb</t>
  </si>
  <si>
    <t>027-300 8656</t>
  </si>
  <si>
    <t>info@nurtureathome.co.nz</t>
  </si>
  <si>
    <t>38 Devon Street</t>
  </si>
  <si>
    <t>Angela Eaton</t>
  </si>
  <si>
    <t xml:space="preserve">027-268 0310 </t>
  </si>
  <si>
    <t>Busy Bees Ashburton</t>
  </si>
  <si>
    <t>03-308 1379</t>
  </si>
  <si>
    <t>manager@ashburton.busybees.org.nz</t>
  </si>
  <si>
    <t>80 Peter Street</t>
  </si>
  <si>
    <t>Ashburton East</t>
  </si>
  <si>
    <t>Kirsty-Rae Holdem</t>
  </si>
  <si>
    <t>03-3081379</t>
  </si>
  <si>
    <t>The Ridge Childcare</t>
  </si>
  <si>
    <t>09-407 7333</t>
  </si>
  <si>
    <t>info@theridgechildcare.co.nz</t>
  </si>
  <si>
    <t>322 Kerikeri Road</t>
  </si>
  <si>
    <t>Erana Doolan</t>
  </si>
  <si>
    <t>75 Morris Lane</t>
  </si>
  <si>
    <t>Kerikeri 0294</t>
  </si>
  <si>
    <t>09-269 2861</t>
  </si>
  <si>
    <t>Te Kōhanga Reo o Te Taurahere ki te Ao</t>
  </si>
  <si>
    <t>06-764 7056</t>
  </si>
  <si>
    <t>24 York Street</t>
  </si>
  <si>
    <t>Little Pipis Childcare Incorporated</t>
  </si>
  <si>
    <t>04-4727542</t>
  </si>
  <si>
    <t>management@littlepipis.co.nz</t>
  </si>
  <si>
    <t>1-15 Pipitea Street</t>
  </si>
  <si>
    <t>Thorndon</t>
  </si>
  <si>
    <t>Pipitea-Kaiwharawhara</t>
  </si>
  <si>
    <t>Holly Lee</t>
  </si>
  <si>
    <t>P O Box 12209</t>
  </si>
  <si>
    <t>Wellington 6144</t>
  </si>
  <si>
    <t>Education Angels</t>
  </si>
  <si>
    <t>0508-264357</t>
  </si>
  <si>
    <t>30 Maxwell Road</t>
  </si>
  <si>
    <t>Robyn  Lynn</t>
  </si>
  <si>
    <t>ACG Remuera Early Learning School</t>
  </si>
  <si>
    <t>09-5230177</t>
  </si>
  <si>
    <t>Angela.Lunam@acgedu.com</t>
  </si>
  <si>
    <t>27-33 Ohinerau Street</t>
  </si>
  <si>
    <t>Angela  Lunam</t>
  </si>
  <si>
    <t>09-213 5418</t>
  </si>
  <si>
    <t>Natures Nest Early Learning Centre</t>
  </si>
  <si>
    <t>09-4250511</t>
  </si>
  <si>
    <t>warkworth@natures-nest.co.nz</t>
  </si>
  <si>
    <t>33 Glenmore Drive</t>
  </si>
  <si>
    <t>Hayley Hargreaves</t>
  </si>
  <si>
    <t>P O Box 462</t>
  </si>
  <si>
    <t>Auckland 0941</t>
  </si>
  <si>
    <t>09-425 0511</t>
  </si>
  <si>
    <t>New Shoots Childrens Centre (Papamoa)</t>
  </si>
  <si>
    <t>07-5424050</t>
  </si>
  <si>
    <t>papamoa@newshoots.co.nz</t>
  </si>
  <si>
    <t>5-7 Twin Oaks Avenue</t>
  </si>
  <si>
    <t>Nicola Prendergast</t>
  </si>
  <si>
    <t>P O Box 11567</t>
  </si>
  <si>
    <t>Palm Beach</t>
  </si>
  <si>
    <t>Papamoa 3151</t>
  </si>
  <si>
    <t>New Lynn Kindergarten</t>
  </si>
  <si>
    <t>09-8271627</t>
  </si>
  <si>
    <t>newlynn@aka.org.nz</t>
  </si>
  <si>
    <t>10 Ambrico Place</t>
  </si>
  <si>
    <t>Aidanfield Christian Preschool</t>
  </si>
  <si>
    <t>03-3754869</t>
  </si>
  <si>
    <t>aidanfieldpreschool@mcctrust.nz</t>
  </si>
  <si>
    <t>2 Nash Road</t>
  </si>
  <si>
    <t>Aidanfield</t>
  </si>
  <si>
    <t>Adele Venter</t>
  </si>
  <si>
    <t>021-2450601</t>
  </si>
  <si>
    <t>Christian Education Network Community of Learning</t>
  </si>
  <si>
    <t>Kuddles In-Home Childcare &amp; Education - 3</t>
  </si>
  <si>
    <t>Rosebank-Auckland</t>
  </si>
  <si>
    <t>Little Feet Childcare Centre Limited</t>
  </si>
  <si>
    <t>09-2777 217</t>
  </si>
  <si>
    <t>avind@littlefeetchildcare.co.nz</t>
  </si>
  <si>
    <t>18 Kingswood Road</t>
  </si>
  <si>
    <t>Avind Lal</t>
  </si>
  <si>
    <t>P O Box 23460</t>
  </si>
  <si>
    <t>Hunters Corner</t>
  </si>
  <si>
    <t>Auckland 2155</t>
  </si>
  <si>
    <t>09-2555526</t>
  </si>
  <si>
    <t>Homai Nga Taonga Early Childhood Centre</t>
  </si>
  <si>
    <t>09-2692867</t>
  </si>
  <si>
    <t>homaingataonga@taonga.org.nz</t>
  </si>
  <si>
    <t>89 Browns Road</t>
  </si>
  <si>
    <t>Country Kindy Ltd</t>
  </si>
  <si>
    <t>06-3232032</t>
  </si>
  <si>
    <t>1 Te Arakura Road, RD 5</t>
  </si>
  <si>
    <t>Kauwhata</t>
  </si>
  <si>
    <t>Manawatū Rural General Ward</t>
  </si>
  <si>
    <t>Fiona Zwart</t>
  </si>
  <si>
    <t>P O Box 103</t>
  </si>
  <si>
    <t>Feilding 4740</t>
  </si>
  <si>
    <t>Takapau Playcentre</t>
  </si>
  <si>
    <t>06-8585452 </t>
  </si>
  <si>
    <t>takapau@Playcentre.org.nz</t>
  </si>
  <si>
    <t>18 Meta Street</t>
  </si>
  <si>
    <t>Takapau</t>
  </si>
  <si>
    <t>Makaretu</t>
  </si>
  <si>
    <t>Aramoana-Ruahine Ward</t>
  </si>
  <si>
    <t>Lisa  Halsall</t>
  </si>
  <si>
    <t>027-8805251</t>
  </si>
  <si>
    <t>Small Steps Early Learning Centre</t>
  </si>
  <si>
    <t>07-8886096</t>
  </si>
  <si>
    <t>2 Eldonwood Drive</t>
  </si>
  <si>
    <t>Shenaye Green</t>
  </si>
  <si>
    <t>Matamata 3400</t>
  </si>
  <si>
    <t>027-4088724</t>
  </si>
  <si>
    <t>Kindercare Learning Centres (Aotea)</t>
  </si>
  <si>
    <t>04-2377937</t>
  </si>
  <si>
    <t>aotea@kindercare.co.nz</t>
  </si>
  <si>
    <t>41 Aotea Drive</t>
  </si>
  <si>
    <t>Aotea</t>
  </si>
  <si>
    <t>Eskdale Treehouse Early Learning Centre</t>
  </si>
  <si>
    <t>09-4821536</t>
  </si>
  <si>
    <t>eskdale@treehouselearning.co.nz</t>
  </si>
  <si>
    <t>76 Eskdale Road</t>
  </si>
  <si>
    <t>Nicola James</t>
  </si>
  <si>
    <t>63 Nehaven Terrace</t>
  </si>
  <si>
    <t>Whakamaru Playcentre</t>
  </si>
  <si>
    <t>vanessa.fitzgerald@playcentre.org.nz</t>
  </si>
  <si>
    <t>Whakamaru Settlers Hall Cnr Arataki Road &amp; Tihoi Road</t>
  </si>
  <si>
    <t>Whakamaru</t>
  </si>
  <si>
    <t>Te Whare Rama | Light House Early Learning Centre Edinburgh Street</t>
  </si>
  <si>
    <t>03-3385465</t>
  </si>
  <si>
    <t>office.tewharerama@gmail.com</t>
  </si>
  <si>
    <t>51 Edinburgh Street</t>
  </si>
  <si>
    <t>Barrington</t>
  </si>
  <si>
    <t>Spreydon West</t>
  </si>
  <si>
    <t>Lisa Saunders</t>
  </si>
  <si>
    <t>P O Box 33048</t>
  </si>
  <si>
    <t>Christchurch 8244</t>
  </si>
  <si>
    <t>03-3514415</t>
  </si>
  <si>
    <t>Glenview Kindy</t>
  </si>
  <si>
    <t>07-843 3674</t>
  </si>
  <si>
    <t>glenviewkindy@xtra.co.nz</t>
  </si>
  <si>
    <t>5 MacDonald</t>
  </si>
  <si>
    <t>Resthill</t>
  </si>
  <si>
    <t>Rebecca Dale</t>
  </si>
  <si>
    <t>47b Malcolm Street</t>
  </si>
  <si>
    <t>027-4320845</t>
  </si>
  <si>
    <t>Suits and Gumboots Country Daycare Ltd</t>
  </si>
  <si>
    <t>07-8264404</t>
  </si>
  <si>
    <t>info@suitsandgumboots.co.nz</t>
  </si>
  <si>
    <t>46 Waerenga Road</t>
  </si>
  <si>
    <t xml:space="preserve">Stephanie Griffin </t>
  </si>
  <si>
    <t>8 Hillside Heights Road RD 1</t>
  </si>
  <si>
    <t>Huntly 3700</t>
  </si>
  <si>
    <t>Busy Bees Pahiatua</t>
  </si>
  <si>
    <t>06-3766800</t>
  </si>
  <si>
    <t>manager@pahiatua.busybees.org.nz</t>
  </si>
  <si>
    <t>Cnr Main and Edward Street</t>
  </si>
  <si>
    <t>Jean Davidson</t>
  </si>
  <si>
    <t>06-376 6800</t>
  </si>
  <si>
    <t>Little Footprints Care and Education Centre</t>
  </si>
  <si>
    <t>04-5896650</t>
  </si>
  <si>
    <t>esther@littlefootprints.co.nz</t>
  </si>
  <si>
    <t>79 Marsden Street</t>
  </si>
  <si>
    <t>Melling</t>
  </si>
  <si>
    <t>Alicetown-Melling</t>
  </si>
  <si>
    <t>Esther Lewis</t>
  </si>
  <si>
    <t>84 Pharazyn Street</t>
  </si>
  <si>
    <t>Lower Hutt 5010</t>
  </si>
  <si>
    <t>My Treehut</t>
  </si>
  <si>
    <t>07-3776252</t>
  </si>
  <si>
    <t>admin@mytreehut.co.nz</t>
  </si>
  <si>
    <t>27 Tamatea Road</t>
  </si>
  <si>
    <t>Kirsty Darvill</t>
  </si>
  <si>
    <t>374 Oruanui Road RD 4</t>
  </si>
  <si>
    <t>Taupo 3384</t>
  </si>
  <si>
    <t>07-3778000</t>
  </si>
  <si>
    <t>Blessings for Life</t>
  </si>
  <si>
    <t>09-4098878</t>
  </si>
  <si>
    <t>56 Waterfront Road</t>
  </si>
  <si>
    <t>Pukenui</t>
  </si>
  <si>
    <t>Karen Nattrass</t>
  </si>
  <si>
    <t>Kaitaia 0484</t>
  </si>
  <si>
    <t>09-409 8878</t>
  </si>
  <si>
    <t>Weymouth Early Discoveries Centre</t>
  </si>
  <si>
    <t>09-2678642</t>
  </si>
  <si>
    <t>(Cnr Weymouth &amp; Estuary Rds) 23 Evans Road</t>
  </si>
  <si>
    <t>Kia ora Kids at Home Childcare 6</t>
  </si>
  <si>
    <t>Unit D 2 17 Corinthian Drive</t>
  </si>
  <si>
    <t>Kiddz Homebased Childcare 2</t>
  </si>
  <si>
    <t>veronica.kidd@kiddz.co.nz</t>
  </si>
  <si>
    <t>51 Orlando Crescent</t>
  </si>
  <si>
    <t>Waimairi Beach</t>
  </si>
  <si>
    <t>Veronica Kidd</t>
  </si>
  <si>
    <t>P O Box 38052</t>
  </si>
  <si>
    <t xml:space="preserve">Christchurch </t>
  </si>
  <si>
    <t>03-3887 287</t>
  </si>
  <si>
    <t>Building Blocks</t>
  </si>
  <si>
    <t>06-3535222</t>
  </si>
  <si>
    <t>office@buildingblocks.nz</t>
  </si>
  <si>
    <t>255 Main Street</t>
  </si>
  <si>
    <t>Cara Day</t>
  </si>
  <si>
    <t>255-259 Main Street</t>
  </si>
  <si>
    <t>Educare Lincoln Village</t>
  </si>
  <si>
    <t>8 Robert Street</t>
  </si>
  <si>
    <t>Joella Cullen</t>
  </si>
  <si>
    <t>021-843443</t>
  </si>
  <si>
    <t>Kindercare Learning Centres Whakatiki</t>
  </si>
  <si>
    <t>04-5270499</t>
  </si>
  <si>
    <t>upperhutt@kindercare.co.nz</t>
  </si>
  <si>
    <t>51 Whakatiki Street</t>
  </si>
  <si>
    <t>Tracie Hobbs</t>
  </si>
  <si>
    <t>09-4448802</t>
  </si>
  <si>
    <t>140 - 146 Sunnynook Road</t>
  </si>
  <si>
    <t>Tony Hight</t>
  </si>
  <si>
    <t>Little Gems Childcare</t>
  </si>
  <si>
    <t>09-2983399</t>
  </si>
  <si>
    <t>littlegemschildcare.papakura@gmail.com</t>
  </si>
  <si>
    <t>88 Opaheke Road</t>
  </si>
  <si>
    <t>Ōpaheke</t>
  </si>
  <si>
    <t>Ashwani Mala</t>
  </si>
  <si>
    <t>21 Capital Place</t>
  </si>
  <si>
    <t>Stems From Home 2</t>
  </si>
  <si>
    <t>09-5367103</t>
  </si>
  <si>
    <t>admin@stemsfromhome.co.nz</t>
  </si>
  <si>
    <t>14 Izone Drive</t>
  </si>
  <si>
    <t>Rolleston Izone</t>
  </si>
  <si>
    <t>Emma McAlister</t>
  </si>
  <si>
    <t>Peacocks Early Learning Centre</t>
  </si>
  <si>
    <t>09-849 4800</t>
  </si>
  <si>
    <t>admin@peacocks.org.nz</t>
  </si>
  <si>
    <t>70 Malvern Road</t>
  </si>
  <si>
    <t>Sarah Lockton</t>
  </si>
  <si>
    <t>11 Combes Road</t>
  </si>
  <si>
    <t>021-2553695</t>
  </si>
  <si>
    <t>Pakuranga Learning Centre</t>
  </si>
  <si>
    <t>09-576 0992</t>
  </si>
  <si>
    <t>pakurangalearningcentre@xtra.co.nz</t>
  </si>
  <si>
    <t>33 B Ben Lomond Crescent</t>
  </si>
  <si>
    <t>Kavita Swarup</t>
  </si>
  <si>
    <t>1 Bronte Place</t>
  </si>
  <si>
    <t>Manukau 2014</t>
  </si>
  <si>
    <t>09-849 7440</t>
  </si>
  <si>
    <t>BestStart Marshland Road</t>
  </si>
  <si>
    <t>03-385 5288</t>
  </si>
  <si>
    <t>marshland@best-start.org</t>
  </si>
  <si>
    <t>68 Marshlands Road</t>
  </si>
  <si>
    <t>Shirley East</t>
  </si>
  <si>
    <t>Okara Educare</t>
  </si>
  <si>
    <t>09-9748811</t>
  </si>
  <si>
    <t>11 Jellicoe Street</t>
  </si>
  <si>
    <t>Small Pukeko's Early Learning Centre</t>
  </si>
  <si>
    <t>09-431 2842</t>
  </si>
  <si>
    <t>8 Kaiwaka-Mangawhai Road</t>
  </si>
  <si>
    <t>Sarah Hastie</t>
  </si>
  <si>
    <t>11 Manuel Road</t>
  </si>
  <si>
    <t>Silverdale 0932</t>
  </si>
  <si>
    <t>Seedlings Education 2</t>
  </si>
  <si>
    <t>adam@seedlingseducation.co.nz</t>
  </si>
  <si>
    <t>Curious Minds Early Learning Island Bay</t>
  </si>
  <si>
    <t>04-3838348</t>
  </si>
  <si>
    <t>info@islandbaychildcare.co.nz</t>
  </si>
  <si>
    <t>112 The Parade</t>
  </si>
  <si>
    <t>Island Bay</t>
  </si>
  <si>
    <t>Island Bay West</t>
  </si>
  <si>
    <t>Vivien Hitchins</t>
  </si>
  <si>
    <t>P O Box 19196</t>
  </si>
  <si>
    <t>Courtenay Place</t>
  </si>
  <si>
    <t>Wellington 6149</t>
  </si>
  <si>
    <t>Bright Star Education and Care Centre</t>
  </si>
  <si>
    <t>04-9202945</t>
  </si>
  <si>
    <t>1 Batchelor Street</t>
  </si>
  <si>
    <t>Linda Tam</t>
  </si>
  <si>
    <t>14 Eastcott Grove</t>
  </si>
  <si>
    <t>Wellington 6037</t>
  </si>
  <si>
    <t>Te Mirumiru Early Childhood Education Centre</t>
  </si>
  <si>
    <t>09-404 0123</t>
  </si>
  <si>
    <t>temirumiru.info@nhht.co.nz</t>
  </si>
  <si>
    <t>3 Rayner Street</t>
  </si>
  <si>
    <t>Matthew Bell</t>
  </si>
  <si>
    <t>P O Box 1127</t>
  </si>
  <si>
    <t>09-404 1551</t>
  </si>
  <si>
    <t>The Park Early Learning Centre</t>
  </si>
  <si>
    <t>04-3896966</t>
  </si>
  <si>
    <t>lydia@thepark-elc.co.nz</t>
  </si>
  <si>
    <t>130 Rintoul Street</t>
  </si>
  <si>
    <t>Lydia Hall</t>
  </si>
  <si>
    <t>PO Box 137274</t>
  </si>
  <si>
    <t>027-4140435</t>
  </si>
  <si>
    <t>Inspiring Minds Early Learning Centre</t>
  </si>
  <si>
    <t>09-4071133</t>
  </si>
  <si>
    <t>admin@inspiringminds.net.nz</t>
  </si>
  <si>
    <t>21A Purerua Road</t>
  </si>
  <si>
    <t>Kaye Dawson</t>
  </si>
  <si>
    <t>44 Oromahoe School Road RD RD 2</t>
  </si>
  <si>
    <t>Kaikohe 0472</t>
  </si>
  <si>
    <t>09-407 1130</t>
  </si>
  <si>
    <t>St Heliers Little School</t>
  </si>
  <si>
    <t>04-475 8710</t>
  </si>
  <si>
    <t>enrolments@littleschool.co.nz</t>
  </si>
  <si>
    <t>34 Long Drive</t>
  </si>
  <si>
    <t>Graham Lawrence</t>
  </si>
  <si>
    <t>P O Box 22239</t>
  </si>
  <si>
    <t>Wellington 6441</t>
  </si>
  <si>
    <t>Living &amp; Learning Family Centre Henderson</t>
  </si>
  <si>
    <t>09-837 7992</t>
  </si>
  <si>
    <t>henderson@livingandlearning.org.nz</t>
  </si>
  <si>
    <t>212 Universal Drive</t>
  </si>
  <si>
    <t>Li'l Champs Educare</t>
  </si>
  <si>
    <t>09-627 6274</t>
  </si>
  <si>
    <t>info@lilchamps.co.nz</t>
  </si>
  <si>
    <t>57 Terry Street</t>
  </si>
  <si>
    <t>Xizhou He</t>
  </si>
  <si>
    <t>133 Kern Road Ramarama</t>
  </si>
  <si>
    <t xml:space="preserve">Drury </t>
  </si>
  <si>
    <t>Dream Education Programme (3)</t>
  </si>
  <si>
    <t>09-9695451</t>
  </si>
  <si>
    <t>tanya@dream.co.nz</t>
  </si>
  <si>
    <t>88 a Kohimarama Road</t>
  </si>
  <si>
    <t>Tanya Burrage</t>
  </si>
  <si>
    <t>P O Box 133178</t>
  </si>
  <si>
    <t>Eastridge</t>
  </si>
  <si>
    <t>Auckland 1146</t>
  </si>
  <si>
    <t>Lollipops Browns Bay</t>
  </si>
  <si>
    <t>09-3778700</t>
  </si>
  <si>
    <t>41 Bute Road</t>
  </si>
  <si>
    <t>Ajah Peterson</t>
  </si>
  <si>
    <t>Lollipops Coatesville</t>
  </si>
  <si>
    <t>09-414 4004</t>
  </si>
  <si>
    <t>cm.coatesville@ledu.co.nz</t>
  </si>
  <si>
    <t>8 Glenmore Road</t>
  </si>
  <si>
    <t>Sheetal Devi</t>
  </si>
  <si>
    <t>09-4144004</t>
  </si>
  <si>
    <t>AppleSeed Educare</t>
  </si>
  <si>
    <t>09-630 9158</t>
  </si>
  <si>
    <t>shelley@appleseededucare.co.nz</t>
  </si>
  <si>
    <t>158 Balmoral Road</t>
  </si>
  <si>
    <t>Shelley Horton</t>
  </si>
  <si>
    <t>712 Remuera Road</t>
  </si>
  <si>
    <t>Country Kids ECE Limited</t>
  </si>
  <si>
    <t>06-374 0941</t>
  </si>
  <si>
    <t>16 Viking Street</t>
  </si>
  <si>
    <t>Norsewood</t>
  </si>
  <si>
    <t>Whare Amai Puna Reo</t>
  </si>
  <si>
    <t>06-8692070</t>
  </si>
  <si>
    <t>wa@twoa.ac.nz</t>
  </si>
  <si>
    <t>630 Childers Road</t>
  </si>
  <si>
    <t>Kelly-Ann Kemp</t>
  </si>
  <si>
    <t>021-753782</t>
  </si>
  <si>
    <t>Whippersnappers Early Learning Centre</t>
  </si>
  <si>
    <t>03-3252677</t>
  </si>
  <si>
    <t>info@whippersnappers.co.nz</t>
  </si>
  <si>
    <t>53 Edward Street</t>
  </si>
  <si>
    <t>Lincoln East</t>
  </si>
  <si>
    <t>Sonya Cookeson</t>
  </si>
  <si>
    <t>P O Box 69185</t>
  </si>
  <si>
    <t>Christchurch 7640</t>
  </si>
  <si>
    <t>03-3253350</t>
  </si>
  <si>
    <t>Mokopuna ki Clendon Early Childhood Service</t>
  </si>
  <si>
    <t>09-2150791</t>
  </si>
  <si>
    <t>c.richards@mokonz.co.nz</t>
  </si>
  <si>
    <t>145 Rowandale Avenue</t>
  </si>
  <si>
    <t>Homai West</t>
  </si>
  <si>
    <t>Christine Richards</t>
  </si>
  <si>
    <t>09-2694491</t>
  </si>
  <si>
    <t>Grey Lynn Montessori by Busy Bees</t>
  </si>
  <si>
    <t>09-378 9502</t>
  </si>
  <si>
    <t>manager@greylynnmontessori.co.nz</t>
  </si>
  <si>
    <t>56 Surrey Crescent</t>
  </si>
  <si>
    <t>Mariana Silahuddin</t>
  </si>
  <si>
    <t>09-3789502</t>
  </si>
  <si>
    <t>Alphabet Academy Cloverlea</t>
  </si>
  <si>
    <t>06-3562586</t>
  </si>
  <si>
    <t>237 Tremaine Avenue</t>
  </si>
  <si>
    <t>Tremaine</t>
  </si>
  <si>
    <t xml:space="preserve">Jennie Meacheam </t>
  </si>
  <si>
    <t>P O Box 7091</t>
  </si>
  <si>
    <t>Manawatu Mail Centre</t>
  </si>
  <si>
    <t>06-3574717</t>
  </si>
  <si>
    <t>BestStart Te Heuheu Street Kindy</t>
  </si>
  <si>
    <t>07-3765131</t>
  </si>
  <si>
    <t>heuheu.kindy@best-start.org</t>
  </si>
  <si>
    <t>105 Heuheu St</t>
  </si>
  <si>
    <t>The Cottage Kindergarten Ltd</t>
  </si>
  <si>
    <t>09-4117058</t>
  </si>
  <si>
    <t>info@thecottagekindergarten.co.nz</t>
  </si>
  <si>
    <t>181 Taha Road, RD1</t>
  </si>
  <si>
    <t>Sara Stewart</t>
  </si>
  <si>
    <t>181 Taha Road RD 1</t>
  </si>
  <si>
    <t>Tiny Wonders Early Learning Centre</t>
  </si>
  <si>
    <t>09-239 0971</t>
  </si>
  <si>
    <t>223 B Manukau Road</t>
  </si>
  <si>
    <t>Hailee Minty</t>
  </si>
  <si>
    <t>P O Box 135</t>
  </si>
  <si>
    <t>Auckland 2341</t>
  </si>
  <si>
    <t>Small Fries Christian Childcare Centre</t>
  </si>
  <si>
    <t>09-477 2879</t>
  </si>
  <si>
    <t>reception@smallfries.org.nz</t>
  </si>
  <si>
    <t>542-550 East Coast Road</t>
  </si>
  <si>
    <t>Verdette Bruwer</t>
  </si>
  <si>
    <t>P O Box 65685</t>
  </si>
  <si>
    <t>Glendowie Montessori Preschool</t>
  </si>
  <si>
    <t>09-575 6453</t>
  </si>
  <si>
    <t>teachers@glendowiemontessori.net.nz</t>
  </si>
  <si>
    <t>227 West Tamaki Road</t>
  </si>
  <si>
    <t>BestStart Flat Bush</t>
  </si>
  <si>
    <t>09-950 1906</t>
  </si>
  <si>
    <t>flatbush@best-start.org</t>
  </si>
  <si>
    <t>2 &amp; 10 Arranmore Drive</t>
  </si>
  <si>
    <t>Ormiston Central</t>
  </si>
  <si>
    <t>Barnardos Early Learning Centre Henderson</t>
  </si>
  <si>
    <t>09-835 9576</t>
  </si>
  <si>
    <t>joanne.bywater@barnardos.org.nz</t>
  </si>
  <si>
    <t>22A Smythe Road</t>
  </si>
  <si>
    <t>Joanne Bywater</t>
  </si>
  <si>
    <t>09-8359576</t>
  </si>
  <si>
    <t>The Secret Garden Childcare Ltd</t>
  </si>
  <si>
    <t>06-323 0506</t>
  </si>
  <si>
    <t>info@thesecretgardenchildcare.co.nz</t>
  </si>
  <si>
    <t>1459 Waughs Road</t>
  </si>
  <si>
    <t>Reggio Emilia, Enviroschools</t>
  </si>
  <si>
    <t>Feilding Central</t>
  </si>
  <si>
    <t>Lorelei Dekker</t>
  </si>
  <si>
    <t>1459 Waughs Road RD 5</t>
  </si>
  <si>
    <t>Feilding 4775</t>
  </si>
  <si>
    <t>06-2328444</t>
  </si>
  <si>
    <t>Little Pinecone Preschool</t>
  </si>
  <si>
    <t>09-6343676</t>
  </si>
  <si>
    <t>info@littlepinecone.co.nz</t>
  </si>
  <si>
    <t>68 Rawhiti Road</t>
  </si>
  <si>
    <t>One Tree Hill Amaru</t>
  </si>
  <si>
    <t xml:space="preserve">6 Rawhiti Rd </t>
  </si>
  <si>
    <t>Te Kōhanga Reo o Atutahi</t>
  </si>
  <si>
    <t>07-895 6776</t>
  </si>
  <si>
    <t>32A Taitua Street</t>
  </si>
  <si>
    <t>Tokirima</t>
  </si>
  <si>
    <t>06-7585044</t>
  </si>
  <si>
    <t>info@risingstarspreschool.co.nz</t>
  </si>
  <si>
    <t>Katere Road, Waiwhakaiho</t>
  </si>
  <si>
    <t>Waiwhakaiho-Bell Block South</t>
  </si>
  <si>
    <t>Amy De Faria</t>
  </si>
  <si>
    <t>134B Huatoki Street</t>
  </si>
  <si>
    <t>New Plymouth 4310</t>
  </si>
  <si>
    <t>027-9008387</t>
  </si>
  <si>
    <t>Active Explorers Victoria Avenue</t>
  </si>
  <si>
    <t>06-3555560</t>
  </si>
  <si>
    <t>cm.victoria@activeexplorers.co.nz</t>
  </si>
  <si>
    <t>4 Victoria Avenue</t>
  </si>
  <si>
    <t>Gillian De Rose</t>
  </si>
  <si>
    <t>06-355 5560</t>
  </si>
  <si>
    <t>Curious Keas Ltd</t>
  </si>
  <si>
    <t>07-8778224</t>
  </si>
  <si>
    <t>curiouskeas@yahoo.co.nz</t>
  </si>
  <si>
    <t>10 Kea Street</t>
  </si>
  <si>
    <t>Stephanie Brough</t>
  </si>
  <si>
    <t>10 Kea St</t>
  </si>
  <si>
    <t>Piopio 3912</t>
  </si>
  <si>
    <t>Changepoint Early Learning Centre</t>
  </si>
  <si>
    <t>07-2424088</t>
  </si>
  <si>
    <t>135 Poike Road</t>
  </si>
  <si>
    <t>Linda Dishroon</t>
  </si>
  <si>
    <t>The Tot Spot</t>
  </si>
  <si>
    <t>07-5430822</t>
  </si>
  <si>
    <t>1440 Cameron Road</t>
  </si>
  <si>
    <t>Michelle Hodge</t>
  </si>
  <si>
    <t>P O Box 14402</t>
  </si>
  <si>
    <t>07-5703588</t>
  </si>
  <si>
    <t>The Learning Ladder</t>
  </si>
  <si>
    <t>09-534 3567</t>
  </si>
  <si>
    <t>thelearningladder2018ltd@gmail.com</t>
  </si>
  <si>
    <t>169 Moore Street</t>
  </si>
  <si>
    <t>P O Box 38701</t>
  </si>
  <si>
    <t>BestStart West Melton</t>
  </si>
  <si>
    <t>03-7411785</t>
  </si>
  <si>
    <t>65 Iris Taylor Avenue</t>
  </si>
  <si>
    <t>West Melton</t>
  </si>
  <si>
    <t>Malvern Ward</t>
  </si>
  <si>
    <t>BestStart Maunu Village</t>
  </si>
  <si>
    <t>09-4596342</t>
  </si>
  <si>
    <t>maunu@best-start.org</t>
  </si>
  <si>
    <t>460 Maunu Road</t>
  </si>
  <si>
    <t>Maunu</t>
  </si>
  <si>
    <t>Learning Adventures Mangere East</t>
  </si>
  <si>
    <t>09-279 2406</t>
  </si>
  <si>
    <t>48 Buckland Road</t>
  </si>
  <si>
    <t>White Heron @ the Bridge</t>
  </si>
  <si>
    <t>09-622 1852</t>
  </si>
  <si>
    <t>whiteheron_mb@yahoo.co.nz</t>
  </si>
  <si>
    <t>2 S Domain Road</t>
  </si>
  <si>
    <t>Early Explorers Childcare Centre</t>
  </si>
  <si>
    <t>09-8208980</t>
  </si>
  <si>
    <t>earlyexplorers@live.com</t>
  </si>
  <si>
    <t>1836-1848 Great North Road</t>
  </si>
  <si>
    <t>Rachael Howard</t>
  </si>
  <si>
    <t>P O Box 19470</t>
  </si>
  <si>
    <t>Auckland 1746</t>
  </si>
  <si>
    <t>Tots on The Rock</t>
  </si>
  <si>
    <t>09-372 8555</t>
  </si>
  <si>
    <t>22 Kuaka Road</t>
  </si>
  <si>
    <t>Scuola Montessori</t>
  </si>
  <si>
    <t>07-5788434</t>
  </si>
  <si>
    <t>enquiries@scuolamontessori.co.nz</t>
  </si>
  <si>
    <t>112 Waihi Road</t>
  </si>
  <si>
    <t>Lorraine Mercer</t>
  </si>
  <si>
    <t>07-5765960</t>
  </si>
  <si>
    <t>Kidsfirst Kindergartens Maniototo</t>
  </si>
  <si>
    <t>03-444 9310</t>
  </si>
  <si>
    <t>maniototo@kidsfirst.org.nz</t>
  </si>
  <si>
    <t>28 Welles Street</t>
  </si>
  <si>
    <t>Ranfurly</t>
  </si>
  <si>
    <t>Maniototo</t>
  </si>
  <si>
    <t>Maniototo Ward</t>
  </si>
  <si>
    <t>Kids Count - Weymouth</t>
  </si>
  <si>
    <t>09-2690399</t>
  </si>
  <si>
    <t>weymouth@kidscount.co.nz</t>
  </si>
  <si>
    <t>512 Weymouth Road</t>
  </si>
  <si>
    <t>Mary McLeod</t>
  </si>
  <si>
    <t>45A Clarence Street</t>
  </si>
  <si>
    <t>09-297 7678</t>
  </si>
  <si>
    <t>Minimee Early Childhood Adventure</t>
  </si>
  <si>
    <t>09-418 2770</t>
  </si>
  <si>
    <t>manager@minimee.co.nz</t>
  </si>
  <si>
    <t>6 Bank Street</t>
  </si>
  <si>
    <t>Hillcrest West (Auckland)</t>
  </si>
  <si>
    <t>Monisha Harjee</t>
  </si>
  <si>
    <t>Busy Bees Alfriston Road</t>
  </si>
  <si>
    <t>09-266  6550</t>
  </si>
  <si>
    <t>manager@alfriston.busybees.org.nz</t>
  </si>
  <si>
    <t>52 Alfriston Road</t>
  </si>
  <si>
    <t>Priyanka Kumar</t>
  </si>
  <si>
    <t>09-266 6550</t>
  </si>
  <si>
    <t>Tuakau Learning Centre Harrisville</t>
  </si>
  <si>
    <t>09-236 8979</t>
  </si>
  <si>
    <t>hello@tuakaulearningcentre.co.nz</t>
  </si>
  <si>
    <t>61 Harrisville Road</t>
  </si>
  <si>
    <t>Ajneeta Singh</t>
  </si>
  <si>
    <t>65 Milano Boulevard</t>
  </si>
  <si>
    <t>Little Climbers Early Learning Centre</t>
  </si>
  <si>
    <t>09-275 7438</t>
  </si>
  <si>
    <t>33 Kairanga Street</t>
  </si>
  <si>
    <t>Aorere North</t>
  </si>
  <si>
    <t>Etu Ao - Saeala</t>
  </si>
  <si>
    <t>04-2323069</t>
  </si>
  <si>
    <t>office@wmkindergartens.org.nz</t>
  </si>
  <si>
    <t>211 Main Road</t>
  </si>
  <si>
    <t>Blossoms Educare Otahuhu</t>
  </si>
  <si>
    <t>09-276 8522</t>
  </si>
  <si>
    <t>18 Princes Street</t>
  </si>
  <si>
    <t>Kindercare Learning Centres (308) Johnsonville</t>
  </si>
  <si>
    <t>04-4773350</t>
  </si>
  <si>
    <t>johnsonville@kindercare.co.nz</t>
  </si>
  <si>
    <t>129 Burma Road</t>
  </si>
  <si>
    <t>Johnsonville South</t>
  </si>
  <si>
    <t>Foxton Preschool and Nursery</t>
  </si>
  <si>
    <t>06-3635956</t>
  </si>
  <si>
    <t>admin@aboutkids.co.nz</t>
  </si>
  <si>
    <t>15 - 17 Cousins Avenue</t>
  </si>
  <si>
    <t xml:space="preserve">Paraparaumu </t>
  </si>
  <si>
    <t>Kid's Cove Learning Centre Newmarket</t>
  </si>
  <si>
    <t>09-5200 540</t>
  </si>
  <si>
    <t>8-12 Morrow Street</t>
  </si>
  <si>
    <t>Jaspreet Gill</t>
  </si>
  <si>
    <t xml:space="preserve">72 St Heliers Bay Road </t>
  </si>
  <si>
    <t>09-585 1573</t>
  </si>
  <si>
    <t>YMCA Early Learning Centre Manurewa</t>
  </si>
  <si>
    <t>09-267 0673</t>
  </si>
  <si>
    <t>earlylearning.manurewa@ymcaauckland.org.nz</t>
  </si>
  <si>
    <t>29 S McKean Avenue</t>
  </si>
  <si>
    <t>Oromahoe Kindergarten</t>
  </si>
  <si>
    <t>09-405 9336</t>
  </si>
  <si>
    <t>info@oromahoekindergarten.co.nz</t>
  </si>
  <si>
    <t>514 State Highway 10</t>
  </si>
  <si>
    <t>Oromahoe</t>
  </si>
  <si>
    <t>Puketona-Waitangi</t>
  </si>
  <si>
    <t>Mora Schneider</t>
  </si>
  <si>
    <t>P O Box 680</t>
  </si>
  <si>
    <t>021-109 1959</t>
  </si>
  <si>
    <t>Bula Centre</t>
  </si>
  <si>
    <t>09-2594281</t>
  </si>
  <si>
    <t>lisa@matarikichambers.co.nz</t>
  </si>
  <si>
    <t>40 R Cleek Road</t>
  </si>
  <si>
    <t>Lisa Samusamuvodre</t>
  </si>
  <si>
    <t>09-966 0558</t>
  </si>
  <si>
    <t>Kidz &amp; Crayonz Early Learning Centre</t>
  </si>
  <si>
    <t>09-275 3059</t>
  </si>
  <si>
    <t>leanne@kidzandcrayonz.co.nz</t>
  </si>
  <si>
    <t>20 Kirkella Crescent</t>
  </si>
  <si>
    <t>Leanne Van Niekerk</t>
  </si>
  <si>
    <t>Magic Sparks Care and Learning</t>
  </si>
  <si>
    <t>04-5898459</t>
  </si>
  <si>
    <t>info@magicsparks.co.nz</t>
  </si>
  <si>
    <t>28 Buick Street</t>
  </si>
  <si>
    <t>Charleen Te Naihi</t>
  </si>
  <si>
    <t>P O Box 30871</t>
  </si>
  <si>
    <t>Dream Education Programme (7)</t>
  </si>
  <si>
    <t>09-969 5451</t>
  </si>
  <si>
    <t>Education Angels In Home Childcare</t>
  </si>
  <si>
    <t>03-4428228</t>
  </si>
  <si>
    <t>Level 1 45 Camp Street</t>
  </si>
  <si>
    <t>Diana Cowie</t>
  </si>
  <si>
    <t>027-4673636</t>
  </si>
  <si>
    <t>New Shoots Sunnynook</t>
  </si>
  <si>
    <t>09-410 9605</t>
  </si>
  <si>
    <t>kellys@newshoots.co.nz</t>
  </si>
  <si>
    <t>20 Tonkin Drive</t>
  </si>
  <si>
    <t>Kelly Seaburg</t>
  </si>
  <si>
    <t>Lovely Lotus Childcare</t>
  </si>
  <si>
    <t>06-3593022</t>
  </si>
  <si>
    <t>littlewonders114@hotmail.com</t>
  </si>
  <si>
    <t>185 College Street</t>
  </si>
  <si>
    <t>Jianguo Chen</t>
  </si>
  <si>
    <t>9 Vaucluse Heights</t>
  </si>
  <si>
    <t>Fitzherbert</t>
  </si>
  <si>
    <t>06-3533214</t>
  </si>
  <si>
    <t>09-666 3030</t>
  </si>
  <si>
    <t>samjuneja@gmail.com</t>
  </si>
  <si>
    <t>444 Richardson Road</t>
  </si>
  <si>
    <t>Mount Roskill Nirvana</t>
  </si>
  <si>
    <t>Samjyoti Juneja</t>
  </si>
  <si>
    <t>Kidz Kindy Tauranga</t>
  </si>
  <si>
    <t>07-5783600</t>
  </si>
  <si>
    <t>admin@kidzkindy.co.nz</t>
  </si>
  <si>
    <t>107 First Avenue</t>
  </si>
  <si>
    <t>Jordan Mawer</t>
  </si>
  <si>
    <t>Kids Pace Education</t>
  </si>
  <si>
    <t>03-0</t>
  </si>
  <si>
    <t>5 Hall Road, RD3</t>
  </si>
  <si>
    <t>Dunstan-Galloway</t>
  </si>
  <si>
    <t>Katherine Smithies</t>
  </si>
  <si>
    <t xml:space="preserve">Alexandra </t>
  </si>
  <si>
    <t>03-4489328</t>
  </si>
  <si>
    <t>BestStart North Road</t>
  </si>
  <si>
    <t>03-2158374</t>
  </si>
  <si>
    <t>122 North Road</t>
  </si>
  <si>
    <t>Nichola McIntosh</t>
  </si>
  <si>
    <t>027-8081753</t>
  </si>
  <si>
    <t>Stepping Stones Early Childhood Education</t>
  </si>
  <si>
    <t>06-7524289</t>
  </si>
  <si>
    <t>2502 State Highway 45, RD 37</t>
  </si>
  <si>
    <t>Okato</t>
  </si>
  <si>
    <t>Kaitake</t>
  </si>
  <si>
    <t>Katherine Simmonds</t>
  </si>
  <si>
    <t>387 Upper Pitone Road RD 4</t>
  </si>
  <si>
    <t>New Plymouth 4374</t>
  </si>
  <si>
    <t>BestStart Elles Road</t>
  </si>
  <si>
    <t>03-216 8769</t>
  </si>
  <si>
    <t>200 Elles Road</t>
  </si>
  <si>
    <t>Busy Bees Brooklyn</t>
  </si>
  <si>
    <t>04-8025782</t>
  </si>
  <si>
    <t>info@brooklyn.busybees.org.nz</t>
  </si>
  <si>
    <t>37-41 Cleveland Street</t>
  </si>
  <si>
    <t>Brooklyn East</t>
  </si>
  <si>
    <t>Marie-Luce Matonog</t>
  </si>
  <si>
    <t>04-802 5782</t>
  </si>
  <si>
    <t>09-5790814</t>
  </si>
  <si>
    <t>1 Ranier Street</t>
  </si>
  <si>
    <t>Magic Kingdom Childcare</t>
  </si>
  <si>
    <t>09-964 0514</t>
  </si>
  <si>
    <t>childcare@magickingdom.co.nz</t>
  </si>
  <si>
    <t>115 Boundary Road</t>
  </si>
  <si>
    <t>Blockhouse Bay East</t>
  </si>
  <si>
    <t>Nikeeta Singh</t>
  </si>
  <si>
    <t>09-337 0033</t>
  </si>
  <si>
    <t>Tic Tac Toe Educare Tots n Toddlers</t>
  </si>
  <si>
    <t>07-8287228</t>
  </si>
  <si>
    <t>admin@tictactoe.nz</t>
  </si>
  <si>
    <t>13 Glasgow Street</t>
  </si>
  <si>
    <t>Natasha Bland</t>
  </si>
  <si>
    <t>022-6308843</t>
  </si>
  <si>
    <t>Gems Miro</t>
  </si>
  <si>
    <t>12 Onslow Road</t>
  </si>
  <si>
    <t>Lake Hayes Estate</t>
  </si>
  <si>
    <t>Summa Murchie</t>
  </si>
  <si>
    <t>03-4282862</t>
  </si>
  <si>
    <t>Te Kōhanga Reo o Te Rongomau</t>
  </si>
  <si>
    <t>09-815 6349</t>
  </si>
  <si>
    <t>140-142 Haverstock Road</t>
  </si>
  <si>
    <t>Imagine Childcare</t>
  </si>
  <si>
    <t>04-5898298</t>
  </si>
  <si>
    <t>julie@imaginechildcare.co.nz</t>
  </si>
  <si>
    <t>77 Hutt Road</t>
  </si>
  <si>
    <t>Kay McAlwee</t>
  </si>
  <si>
    <t>Lower Hutt 5012</t>
  </si>
  <si>
    <t>All About Children - Marton</t>
  </si>
  <si>
    <t>06-3277400</t>
  </si>
  <si>
    <t>394 Wellington Road</t>
  </si>
  <si>
    <t>Megan Woods</t>
  </si>
  <si>
    <t>027-5333626</t>
  </si>
  <si>
    <t>Kiwi Explorers</t>
  </si>
  <si>
    <t>03-5446963</t>
  </si>
  <si>
    <t>kiwiexplorerseec@gmail.com</t>
  </si>
  <si>
    <t>219 Main Road</t>
  </si>
  <si>
    <t>Hope</t>
  </si>
  <si>
    <t>Rebecca Dudley</t>
  </si>
  <si>
    <t>Nelson 7020</t>
  </si>
  <si>
    <t>WonderKids Childcare &amp; Preschool</t>
  </si>
  <si>
    <t>09-272 4275</t>
  </si>
  <si>
    <t>wonderkidslc@hotmail.com</t>
  </si>
  <si>
    <t>2H Torrens Road</t>
  </si>
  <si>
    <t>Rekha Prakash</t>
  </si>
  <si>
    <t xml:space="preserve">10 Ballindrait Drive </t>
  </si>
  <si>
    <t>Manukau 2019</t>
  </si>
  <si>
    <t>Te Kōhanga Reo o Ngā Mokopuna o Te Matai</t>
  </si>
  <si>
    <t>07-573 6601</t>
  </si>
  <si>
    <t>Makahae Marae, Te Kahika Road</t>
  </si>
  <si>
    <t>Tauranga Moana Kāhui Ako</t>
  </si>
  <si>
    <t>Busy Bees Judsons Rd</t>
  </si>
  <si>
    <t>03-312 2179</t>
  </si>
  <si>
    <t>6 Judsons Road</t>
  </si>
  <si>
    <t>Woodend</t>
  </si>
  <si>
    <t>Sarah Mardon</t>
  </si>
  <si>
    <t>BestStart Weymouth</t>
  </si>
  <si>
    <t>09-2665771</t>
  </si>
  <si>
    <t>weymouth@best-start.org</t>
  </si>
  <si>
    <t>5 Churchill Ave</t>
  </si>
  <si>
    <t>Plum Tree Preschool Millwater</t>
  </si>
  <si>
    <t>09-9590360</t>
  </si>
  <si>
    <t>Kate.plumtree.club@gmail.com</t>
  </si>
  <si>
    <t>14 Botanical Avenue</t>
  </si>
  <si>
    <t>Millwater Central</t>
  </si>
  <si>
    <t xml:space="preserve">Kate  Olsen </t>
  </si>
  <si>
    <t xml:space="preserve">14 Botanical Drive </t>
  </si>
  <si>
    <t>Little Rosebuds Early Learning Centre</t>
  </si>
  <si>
    <t>07-870 3000</t>
  </si>
  <si>
    <t>manager.ta@minimiracles.co.nz</t>
  </si>
  <si>
    <t>1 North Street</t>
  </si>
  <si>
    <t>Rebecca Fitzell</t>
  </si>
  <si>
    <t>105 Tephra Boulevard</t>
  </si>
  <si>
    <t>07-8703000</t>
  </si>
  <si>
    <t>Gate Pa Preschool and Childcare</t>
  </si>
  <si>
    <t>07-579 9496</t>
  </si>
  <si>
    <t>gatepapreschool1132@gmail.com</t>
  </si>
  <si>
    <t>1132 Cameron Road</t>
  </si>
  <si>
    <t>Caroline Hjorth</t>
  </si>
  <si>
    <t>07-5443318</t>
  </si>
  <si>
    <t>Tom Parker House</t>
  </si>
  <si>
    <t>06-8430526</t>
  </si>
  <si>
    <t>tomparkerhouse@birthrighthb.org.nz</t>
  </si>
  <si>
    <t>42 Tom Parker Avenue</t>
  </si>
  <si>
    <t>Marewa West</t>
  </si>
  <si>
    <t>Fiona Parrant</t>
  </si>
  <si>
    <t>P O Box 4216</t>
  </si>
  <si>
    <t>06-835 2162</t>
  </si>
  <si>
    <t>The Rumpus Room</t>
  </si>
  <si>
    <t>09-845 0123</t>
  </si>
  <si>
    <t>info@therumpusroom.co.nz</t>
  </si>
  <si>
    <t>7 Moa Road</t>
  </si>
  <si>
    <t>Carolyn Laban</t>
  </si>
  <si>
    <t>Kauri Montessori</t>
  </si>
  <si>
    <t>03-5489186</t>
  </si>
  <si>
    <t>39 Tukuka Street</t>
  </si>
  <si>
    <t>Sithy Mowjood</t>
  </si>
  <si>
    <t>P O Box 1167</t>
  </si>
  <si>
    <t>Waterview Kindergarten</t>
  </si>
  <si>
    <t>09-828 1467</t>
  </si>
  <si>
    <t>waterview@aka.org.nz</t>
  </si>
  <si>
    <t>17 Oakley Avenue</t>
  </si>
  <si>
    <t>Kiwi Steps</t>
  </si>
  <si>
    <t>07-882 8234</t>
  </si>
  <si>
    <t>kiwistepsoffice@xtra.co.nz</t>
  </si>
  <si>
    <t>42 Tihoi Road (SH 30)</t>
  </si>
  <si>
    <t>Kirsty Trueman</t>
  </si>
  <si>
    <t>43 Mountview Close RD 1</t>
  </si>
  <si>
    <t>Mangakino 3492</t>
  </si>
  <si>
    <t>07-8828663</t>
  </si>
  <si>
    <t>Lollipops Petone</t>
  </si>
  <si>
    <t>04-909 7272</t>
  </si>
  <si>
    <t>sasha.stewart@eeg.co.nz</t>
  </si>
  <si>
    <t>121 The Esplande</t>
  </si>
  <si>
    <t>Sasha Stewart</t>
  </si>
  <si>
    <t>Lollipops Waiwhetu</t>
  </si>
  <si>
    <t>04-5860586</t>
  </si>
  <si>
    <t>cm.waiwhetu@ledu.co.nz</t>
  </si>
  <si>
    <t>30 Waikare Avenue</t>
  </si>
  <si>
    <t>Waiwhetu</t>
  </si>
  <si>
    <t>Waiwhetu South</t>
  </si>
  <si>
    <t>Samantha  Ives</t>
  </si>
  <si>
    <t>04-586-0586</t>
  </si>
  <si>
    <t>Kids Count ECE Marne Rd</t>
  </si>
  <si>
    <t>09-295 0090</t>
  </si>
  <si>
    <t>marne@kidscount.co.nz</t>
  </si>
  <si>
    <t>69 Marne Road</t>
  </si>
  <si>
    <t>Mighty Minds Bucklands Beach</t>
  </si>
  <si>
    <t>09-5355353</t>
  </si>
  <si>
    <t>joanne@mightyminds.co.nz</t>
  </si>
  <si>
    <t>245 Bucklands Beach Road</t>
  </si>
  <si>
    <t>Bucklands Beach Central</t>
  </si>
  <si>
    <t>139 Barbarich Drive</t>
  </si>
  <si>
    <t>Learning Adventures Flaxmere</t>
  </si>
  <si>
    <t>06-8799352</t>
  </si>
  <si>
    <t>cm.flaxmere@learningadventures.co.nz</t>
  </si>
  <si>
    <t>2 Blyth Street</t>
  </si>
  <si>
    <t>Flaxmere West</t>
  </si>
  <si>
    <t>Lana  Graham</t>
  </si>
  <si>
    <t>Nga Wawata Educare Limited</t>
  </si>
  <si>
    <t>09-408 2250</t>
  </si>
  <si>
    <t>ngawawata@gmail.com</t>
  </si>
  <si>
    <t>6 Melba Street</t>
  </si>
  <si>
    <t>Kerry Allen</t>
  </si>
  <si>
    <t>P O Box 522</t>
  </si>
  <si>
    <t>Kaitaia 0441</t>
  </si>
  <si>
    <t>BestStart Bader Street</t>
  </si>
  <si>
    <t>07-843 2812</t>
  </si>
  <si>
    <t>bader@best-start.org</t>
  </si>
  <si>
    <t>8-10 Bader Street</t>
  </si>
  <si>
    <t>Kelly's Preschool</t>
  </si>
  <si>
    <t>09-837 4680</t>
  </si>
  <si>
    <t>kellyspreschool@hotmail.co.nz</t>
  </si>
  <si>
    <t>41 Lincoln Road</t>
  </si>
  <si>
    <t>Henderson North</t>
  </si>
  <si>
    <t>Early Adventures</t>
  </si>
  <si>
    <t>09-947 5010</t>
  </si>
  <si>
    <t>info@earlyadventures.co.nz</t>
  </si>
  <si>
    <t>26 Elizabeth Street</t>
  </si>
  <si>
    <t>Orewa Central</t>
  </si>
  <si>
    <t>Jocelyn Ingram</t>
  </si>
  <si>
    <t>P O Box 702</t>
  </si>
  <si>
    <t>Auckland 0946</t>
  </si>
  <si>
    <t>09-947 6010</t>
  </si>
  <si>
    <t>Hillmorton Nest</t>
  </si>
  <si>
    <t>03-3388888</t>
  </si>
  <si>
    <t>sarah@nests.co.nz</t>
  </si>
  <si>
    <t>52 Tankerville Road</t>
  </si>
  <si>
    <t>Sarah Forward</t>
  </si>
  <si>
    <t>Christchurch 8025</t>
  </si>
  <si>
    <t>03-3494901</t>
  </si>
  <si>
    <t>Wee Nippers Early Childhood Centre</t>
  </si>
  <si>
    <t>03-05089336477</t>
  </si>
  <si>
    <t>manager.invercargill@weenippers.co.nz</t>
  </si>
  <si>
    <t>271 Tweed Street</t>
  </si>
  <si>
    <t>Appleby North (Invercargill City)</t>
  </si>
  <si>
    <t>Audrey-Anne Ormond</t>
  </si>
  <si>
    <t>P O Box 997</t>
  </si>
  <si>
    <t>Queenstown 9348</t>
  </si>
  <si>
    <t>027-3485991</t>
  </si>
  <si>
    <t>Next Generation Birkenhead</t>
  </si>
  <si>
    <t>09-419 4481</t>
  </si>
  <si>
    <t>76 Birkenhead Avenue</t>
  </si>
  <si>
    <t>Imagine Kids Care Huntly Limited</t>
  </si>
  <si>
    <t>07-8288880</t>
  </si>
  <si>
    <t>huntly@imaginekids.co.nz</t>
  </si>
  <si>
    <t>24 Williams Street</t>
  </si>
  <si>
    <t>Amber Tuhakaraina</t>
  </si>
  <si>
    <t>Little Monkeys Preschool</t>
  </si>
  <si>
    <t>06-3588262</t>
  </si>
  <si>
    <t>littlemonkeyslc@xtra.co.nz</t>
  </si>
  <si>
    <t>10 Pascal Street</t>
  </si>
  <si>
    <t>Jennifer Hall</t>
  </si>
  <si>
    <t>06-3546061</t>
  </si>
  <si>
    <t>Discovery Tree</t>
  </si>
  <si>
    <t>07-8555152</t>
  </si>
  <si>
    <t>jesspullan@discoverytree.co.nz</t>
  </si>
  <si>
    <t>187 Tramway Road</t>
  </si>
  <si>
    <t>Enderley</t>
  </si>
  <si>
    <t>Jessica Pullan</t>
  </si>
  <si>
    <t>12 Montrose Cres</t>
  </si>
  <si>
    <t>Learning Adventures Katikati</t>
  </si>
  <si>
    <t>07-5495536</t>
  </si>
  <si>
    <t>80 Main Road</t>
  </si>
  <si>
    <t>Coralie Hoskin</t>
  </si>
  <si>
    <t>Fundamentals Merivale</t>
  </si>
  <si>
    <t>03-355 1522</t>
  </si>
  <si>
    <t>merivale@fundamentals.co.nz</t>
  </si>
  <si>
    <t>5 Innes Road</t>
  </si>
  <si>
    <t>Merivale</t>
  </si>
  <si>
    <t>Dianna Jenkinson</t>
  </si>
  <si>
    <t>2 Ti Kouka Eco Lane</t>
  </si>
  <si>
    <t>Redcliffs</t>
  </si>
  <si>
    <t>03-960 0000</t>
  </si>
  <si>
    <t>Bizzy Bodz Early Learning Centre Gisborne</t>
  </si>
  <si>
    <t>06- 8684872</t>
  </si>
  <si>
    <t>gisborne@bizzybodzeducare.co.nz</t>
  </si>
  <si>
    <t>804 Gladstone Road</t>
  </si>
  <si>
    <t>Te Hapara South</t>
  </si>
  <si>
    <t>Crystal Grayndler-Cleeton</t>
  </si>
  <si>
    <t>027-5495507</t>
  </si>
  <si>
    <t>Taha Hinengaro (Gisborne) Kāhui Ako</t>
  </si>
  <si>
    <t>Active Explorers Upper Hutt</t>
  </si>
  <si>
    <t>04-5280528</t>
  </si>
  <si>
    <t>851-857 Fergusson Drive</t>
  </si>
  <si>
    <t>Nakita Hart</t>
  </si>
  <si>
    <t>04-528 0528</t>
  </si>
  <si>
    <t>Te Rito, Te Puna Reo</t>
  </si>
  <si>
    <t>09-4087673</t>
  </si>
  <si>
    <t>terito.hailey@gmail.com</t>
  </si>
  <si>
    <t>1 Tokerau Beach Road</t>
  </si>
  <si>
    <t>Karikari Peninsula</t>
  </si>
  <si>
    <t>Hailey-Jane Tobin</t>
  </si>
  <si>
    <t>21 East Street RD 3</t>
  </si>
  <si>
    <t>Kaitaia 0483</t>
  </si>
  <si>
    <t>09-406 0140</t>
  </si>
  <si>
    <t>Busy Bees Pukekohe</t>
  </si>
  <si>
    <t>09-238 4370</t>
  </si>
  <si>
    <t>manager@pukekohe.busybees.org.nz</t>
  </si>
  <si>
    <t>47 A Ward Street</t>
  </si>
  <si>
    <t>Priya Prasad</t>
  </si>
  <si>
    <t>Busy Bees Kawatiri</t>
  </si>
  <si>
    <t>03-7896369</t>
  </si>
  <si>
    <t>info@kawatiri.busybees.org.nz</t>
  </si>
  <si>
    <t>149 Derby Street</t>
  </si>
  <si>
    <t>Westport South</t>
  </si>
  <si>
    <t xml:space="preserve">Tina  Holland </t>
  </si>
  <si>
    <t>03-7895151</t>
  </si>
  <si>
    <t>Little Adventurers' Early Learning Centre</t>
  </si>
  <si>
    <t>04-2389684</t>
  </si>
  <si>
    <t>info@littleadv.co.nz</t>
  </si>
  <si>
    <t>11 Heriot Drive</t>
  </si>
  <si>
    <t>Porirua Central</t>
  </si>
  <si>
    <t>Theresa Stebbing</t>
  </si>
  <si>
    <t>P O Box 50375</t>
  </si>
  <si>
    <t>04-238 9684</t>
  </si>
  <si>
    <t>Little Earth Montessori Remuera</t>
  </si>
  <si>
    <t>09-520 0021</t>
  </si>
  <si>
    <t>45 Ascot Avenue</t>
  </si>
  <si>
    <t>Apple Tree Childcare Centre Ballyboe</t>
  </si>
  <si>
    <t>09-9503623</t>
  </si>
  <si>
    <t>2 Ballyboe Place, Pinehill</t>
  </si>
  <si>
    <t>Pinehill North</t>
  </si>
  <si>
    <t>Akoranga Preschool</t>
  </si>
  <si>
    <t>03-2085757</t>
  </si>
  <si>
    <t>akorangapreschool@gmail.com</t>
  </si>
  <si>
    <t>106 Broughton Street</t>
  </si>
  <si>
    <t>Joanne Brown</t>
  </si>
  <si>
    <t>Gore 9700</t>
  </si>
  <si>
    <t>Active Explorers Melville</t>
  </si>
  <si>
    <t>07-8395354</t>
  </si>
  <si>
    <t>cm.melville@activeexplorers.co.nz</t>
  </si>
  <si>
    <t>130 Collins Road</t>
  </si>
  <si>
    <t>Heidi Marsh</t>
  </si>
  <si>
    <t>The Homestead Early Learning Centre</t>
  </si>
  <si>
    <t>09-420 9810</t>
  </si>
  <si>
    <t>Kaipara House Corner SH16 &amp; Parkhurst Road, RD1</t>
  </si>
  <si>
    <t>South Head</t>
  </si>
  <si>
    <t>'Api Fakakoloa</t>
  </si>
  <si>
    <t>09-2747790</t>
  </si>
  <si>
    <t>linita.manuatu@apifakakoloa.co.nz</t>
  </si>
  <si>
    <t>66 Lovegrove Crescent</t>
  </si>
  <si>
    <t>Linita Manu'atu</t>
  </si>
  <si>
    <t>P O Box 22048</t>
  </si>
  <si>
    <t>09-2747493</t>
  </si>
  <si>
    <t>Blossoms Educare Pukekohe</t>
  </si>
  <si>
    <t>09-238 1795</t>
  </si>
  <si>
    <t>pukekohe@blossomseducare.co.nz</t>
  </si>
  <si>
    <t>29 Queen Street</t>
  </si>
  <si>
    <t>Taeaofou I Puaseisei Preschool</t>
  </si>
  <si>
    <t>09-275 9600</t>
  </si>
  <si>
    <t>tupai@edupac.co.nz</t>
  </si>
  <si>
    <t>53 Raglan Street</t>
  </si>
  <si>
    <t>Tupai Keneti Apa</t>
  </si>
  <si>
    <t>P O Box 86078</t>
  </si>
  <si>
    <t xml:space="preserve">09-9654489 </t>
  </si>
  <si>
    <t>BestStart Vardon Road</t>
  </si>
  <si>
    <t>07-8493231</t>
  </si>
  <si>
    <t>vardon@best-start.org</t>
  </si>
  <si>
    <t>2 Hampton Place</t>
  </si>
  <si>
    <t>Saint Andrews West</t>
  </si>
  <si>
    <t>Natural Steps Albany</t>
  </si>
  <si>
    <t>09-479 5051</t>
  </si>
  <si>
    <t>albany@naturalsteps.co.nz</t>
  </si>
  <si>
    <t>78 Apollo Drive</t>
  </si>
  <si>
    <t>Grace Carter</t>
  </si>
  <si>
    <t>09-4795051</t>
  </si>
  <si>
    <t>Tiny Tuis Early Learning Centre</t>
  </si>
  <si>
    <t>09-527 2222</t>
  </si>
  <si>
    <t>nicole@tinytuis.co.nz</t>
  </si>
  <si>
    <t>27 Lunn Avenue</t>
  </si>
  <si>
    <t>Seeds and Sprouts Childcare Ltd</t>
  </si>
  <si>
    <t>09-4591778</t>
  </si>
  <si>
    <t>cassandra.wood@outlook.com</t>
  </si>
  <si>
    <t>15 Moody Avenue</t>
  </si>
  <si>
    <t>Cassandra Wood</t>
  </si>
  <si>
    <t>835 Pipiwai Road RD 6</t>
  </si>
  <si>
    <t>Whangarei 0176</t>
  </si>
  <si>
    <t>All About Children - Sylvia Park</t>
  </si>
  <si>
    <t>09-527 1811</t>
  </si>
  <si>
    <t>manager.sylviapark@allaboutchildren.co.nz</t>
  </si>
  <si>
    <t>297-301 Mt Wellington Highway</t>
  </si>
  <si>
    <t>Mt Wellington</t>
  </si>
  <si>
    <t>Surjit Juneja</t>
  </si>
  <si>
    <t>West Harbour Christian Kindergarten</t>
  </si>
  <si>
    <t>09-416 8091</t>
  </si>
  <si>
    <t>info@whck.org.nz</t>
  </si>
  <si>
    <t>49-53 Luckens Road</t>
  </si>
  <si>
    <t>Ananda Paruchuri</t>
  </si>
  <si>
    <t>24 Gilletta Road</t>
  </si>
  <si>
    <t>09-626 2217</t>
  </si>
  <si>
    <t>Bush Babies Childcare</t>
  </si>
  <si>
    <t>09-945 3997</t>
  </si>
  <si>
    <t>bushbabieschildcareltd@gmail.com</t>
  </si>
  <si>
    <t>56 Hamatana Road</t>
  </si>
  <si>
    <t>Catherine  Heald</t>
  </si>
  <si>
    <t>583A Woodcocks Road</t>
  </si>
  <si>
    <t>Warkworth 0981</t>
  </si>
  <si>
    <t>New Shoots Children's Centre - Hamilton Central</t>
  </si>
  <si>
    <t>07-8593377</t>
  </si>
  <si>
    <t>hamilton@newshoots.co.nz</t>
  </si>
  <si>
    <t>109 - 117 Tristram Street</t>
  </si>
  <si>
    <t>Gill Palmer</t>
  </si>
  <si>
    <t>Little Pipi Early Childhood Centre Welcome Bay</t>
  </si>
  <si>
    <t>07-5448764</t>
  </si>
  <si>
    <t>admin@littlepipi.nz</t>
  </si>
  <si>
    <t>55 Resolution Road</t>
  </si>
  <si>
    <t>Hannah Hill</t>
  </si>
  <si>
    <t>5 Oleander Lane</t>
  </si>
  <si>
    <t>Lollipops Bell Block</t>
  </si>
  <si>
    <t>06-7594366</t>
  </si>
  <si>
    <t>14-16 Pohutukawa Place</t>
  </si>
  <si>
    <t>Misty Murray</t>
  </si>
  <si>
    <t>022-6584761</t>
  </si>
  <si>
    <t>Back 2 Basics</t>
  </si>
  <si>
    <t>09-4346797</t>
  </si>
  <si>
    <t>back2basicsmaungatapere@gmail.com</t>
  </si>
  <si>
    <t>179 Newton Road</t>
  </si>
  <si>
    <t>Amanda Taylor</t>
  </si>
  <si>
    <t>P O Box 2</t>
  </si>
  <si>
    <t>Maungatapere 0152</t>
  </si>
  <si>
    <t>09-4346771</t>
  </si>
  <si>
    <t>Country Kids Pre-School Ltd</t>
  </si>
  <si>
    <t>07-5771811</t>
  </si>
  <si>
    <t>138 Condor Drive</t>
  </si>
  <si>
    <t>Pyes Pa</t>
  </si>
  <si>
    <t>Pyes Pa South</t>
  </si>
  <si>
    <t>Joanna Bennett</t>
  </si>
  <si>
    <t>BestStart Mount Wellington</t>
  </si>
  <si>
    <t>09-574 6377</t>
  </si>
  <si>
    <t>mtwellington@best-start.org</t>
  </si>
  <si>
    <t>113-115 Mt Wellington Highway</t>
  </si>
  <si>
    <t>Mount Wellington East</t>
  </si>
  <si>
    <t>BestStart Bay Kindy</t>
  </si>
  <si>
    <t>07-5443799</t>
  </si>
  <si>
    <t>bay.kindy@kidicorp.co.nz</t>
  </si>
  <si>
    <t>301 Welcome Bay Road</t>
  </si>
  <si>
    <t>King's School - Early Learning Centre</t>
  </si>
  <si>
    <t>09-520 7770 Ext 797</t>
  </si>
  <si>
    <t>258 Remuera Road</t>
  </si>
  <si>
    <t>Remuera Waitaramoa</t>
  </si>
  <si>
    <t>Anthony Sissons</t>
  </si>
  <si>
    <t>King's School Early Learning Centre Private Bag 28914</t>
  </si>
  <si>
    <t>Auckland 1541</t>
  </si>
  <si>
    <t>09-520 7770</t>
  </si>
  <si>
    <t>Hātea Early Learning Centre</t>
  </si>
  <si>
    <t>09-601 3308</t>
  </si>
  <si>
    <t>info@hateaelc.co.nz</t>
  </si>
  <si>
    <t>2A Deveron Street</t>
  </si>
  <si>
    <t>Cherie van der Net</t>
  </si>
  <si>
    <t>P O Box 40581</t>
  </si>
  <si>
    <t>Auckland 0747</t>
  </si>
  <si>
    <t>BestStart Baverstock Oaks</t>
  </si>
  <si>
    <t>09-271 3891</t>
  </si>
  <si>
    <t>baverstock@best-start.org</t>
  </si>
  <si>
    <t>21 S Baverstock Road</t>
  </si>
  <si>
    <t>Baverstock</t>
  </si>
  <si>
    <t>Pascals Blenheim</t>
  </si>
  <si>
    <t>03-577 5442</t>
  </si>
  <si>
    <t>5 Hodson Street</t>
  </si>
  <si>
    <t>Nestlings In-Home Childcare</t>
  </si>
  <si>
    <t>09-215 8334</t>
  </si>
  <si>
    <t>kiryth@nestlings.co.nz</t>
  </si>
  <si>
    <t>6 Sale Street</t>
  </si>
  <si>
    <t>Kiryth Reddish</t>
  </si>
  <si>
    <t>6 Sale Street, Cockle Bay</t>
  </si>
  <si>
    <t>Ako Langimalie</t>
  </si>
  <si>
    <t>09-266 2249</t>
  </si>
  <si>
    <t>Glenn.Doherty@tonganhealth.com</t>
  </si>
  <si>
    <t>119 Rowandale Avenue</t>
  </si>
  <si>
    <t>Glenn Doherty</t>
  </si>
  <si>
    <t>P O Box 13569</t>
  </si>
  <si>
    <t>Auckland 1643</t>
  </si>
  <si>
    <t>09-636 3629</t>
  </si>
  <si>
    <t>Geckos Early Learning Centre</t>
  </si>
  <si>
    <t>09-4386810</t>
  </si>
  <si>
    <t>c.vandernet@kieter.co.nz</t>
  </si>
  <si>
    <t>11a Cross Street</t>
  </si>
  <si>
    <t>Sancta Maria Montessori Preschool</t>
  </si>
  <si>
    <t>03-343 3800</t>
  </si>
  <si>
    <t>info@sanctamariamontessori.co.nz</t>
  </si>
  <si>
    <t>60 Curletts Road</t>
  </si>
  <si>
    <t>Upper Riccarton</t>
  </si>
  <si>
    <t>Catholic, Montessori</t>
  </si>
  <si>
    <t>Joseph Rayen</t>
  </si>
  <si>
    <t>Sockburn</t>
  </si>
  <si>
    <t>03-3433 800</t>
  </si>
  <si>
    <t>Blue School</t>
  </si>
  <si>
    <t>06-3048963</t>
  </si>
  <si>
    <t>info@blueschool.co.nz</t>
  </si>
  <si>
    <t>23-25 Wood Street</t>
  </si>
  <si>
    <t>Sian Paterson</t>
  </si>
  <si>
    <t>Greytown 5712</t>
  </si>
  <si>
    <t>06-3048568</t>
  </si>
  <si>
    <t>Northland Community Pre-School</t>
  </si>
  <si>
    <t>04-4758062</t>
  </si>
  <si>
    <t>office@ncpreschool.co.nz</t>
  </si>
  <si>
    <t>137 Mairangi Road</t>
  </si>
  <si>
    <t>Wilton</t>
  </si>
  <si>
    <t>Daniel Johnston</t>
  </si>
  <si>
    <t>Wellington 6012</t>
  </si>
  <si>
    <t>Noah's Ark Early Learning Centre</t>
  </si>
  <si>
    <t>06-347 7941</t>
  </si>
  <si>
    <t>19 Tawa Street</t>
  </si>
  <si>
    <t>Gonville South</t>
  </si>
  <si>
    <t>Kevin Cate</t>
  </si>
  <si>
    <t>77 Marybank Road</t>
  </si>
  <si>
    <t>Whanganui 4572</t>
  </si>
  <si>
    <t>06-345 8552</t>
  </si>
  <si>
    <t>Maketu Kidettes Early Education Centre</t>
  </si>
  <si>
    <t>07-5333433</t>
  </si>
  <si>
    <t>nellie@kidettes.co.nz</t>
  </si>
  <si>
    <t>8 School Rd</t>
  </si>
  <si>
    <t>Maketu</t>
  </si>
  <si>
    <t>Maketū</t>
  </si>
  <si>
    <t>Michelle Walmsley</t>
  </si>
  <si>
    <t>22 Roulston Street</t>
  </si>
  <si>
    <t>Pukeko Preschool Pakuranga Heights</t>
  </si>
  <si>
    <t>09-576 4822</t>
  </si>
  <si>
    <t>pukekopreschoolph@gmail.com</t>
  </si>
  <si>
    <t>Pakuranga Heights School 77 Udys Road</t>
  </si>
  <si>
    <t>Etu Ao - Niu</t>
  </si>
  <si>
    <t>etuao@wmkindergartens.org.nz</t>
  </si>
  <si>
    <t>15 John Seddon Drive</t>
  </si>
  <si>
    <t>Samoan ECE Service, Non-denominational</t>
  </si>
  <si>
    <t>All About Children - 149 Mahia</t>
  </si>
  <si>
    <t>149mahiaroad@allaboutchildren.co.nz</t>
  </si>
  <si>
    <t>149 Mahia Road</t>
  </si>
  <si>
    <t>Awatere Early Learning Centre</t>
  </si>
  <si>
    <t>03-5757420</t>
  </si>
  <si>
    <t>15c Redwood Street</t>
  </si>
  <si>
    <t>Seddon</t>
  </si>
  <si>
    <t>Awatere</t>
  </si>
  <si>
    <t>Cumberland Early Education Centre</t>
  </si>
  <si>
    <t>07-8557516</t>
  </si>
  <si>
    <t>341 Borman Road</t>
  </si>
  <si>
    <t>Flagstaff North East</t>
  </si>
  <si>
    <t>Little Wonders Childcare (Roslyn)</t>
  </si>
  <si>
    <t>03-4763818</t>
  </si>
  <si>
    <t>admin.littlewondersro@eeg.co.nz</t>
  </si>
  <si>
    <t>98 Taieri Road</t>
  </si>
  <si>
    <t>Angela Sutton</t>
  </si>
  <si>
    <t>03-476 3818</t>
  </si>
  <si>
    <t>The Farmyard</t>
  </si>
  <si>
    <t>06-8674565</t>
  </si>
  <si>
    <t>manager@thefarmyard.school.nz</t>
  </si>
  <si>
    <t>160 Valley Road</t>
  </si>
  <si>
    <t>Chanel Van Niekerk</t>
  </si>
  <si>
    <t>021-02702758187</t>
  </si>
  <si>
    <t>Active Explorers Grenada</t>
  </si>
  <si>
    <t>04-4770582</t>
  </si>
  <si>
    <t>1 Aruba Grove</t>
  </si>
  <si>
    <t>Grenada Village</t>
  </si>
  <si>
    <t>Bee Kids Childcare Centre</t>
  </si>
  <si>
    <t>06-3277889</t>
  </si>
  <si>
    <t>14 Hair Street</t>
  </si>
  <si>
    <t>Stephanie Boerboom</t>
  </si>
  <si>
    <t>Learning Adventures Maraenui</t>
  </si>
  <si>
    <t>06-8439352</t>
  </si>
  <si>
    <t>cm.maraenui@learningadventures.co.nz</t>
  </si>
  <si>
    <t>88 Bledisloe Road</t>
  </si>
  <si>
    <t>Chloe Campbell</t>
  </si>
  <si>
    <t>06-8453839</t>
  </si>
  <si>
    <t>Te Tuareka O Manurewa Punanga Reo</t>
  </si>
  <si>
    <t>09-266 1192</t>
  </si>
  <si>
    <t>1/119 Rowandale Avenue</t>
  </si>
  <si>
    <t>Dorothy Ram</t>
  </si>
  <si>
    <t>P O Box 76085</t>
  </si>
  <si>
    <t>09-2560067</t>
  </si>
  <si>
    <t>Timaru Christian Preschool</t>
  </si>
  <si>
    <t>03-6869337</t>
  </si>
  <si>
    <t>10 Quarry Road</t>
  </si>
  <si>
    <t>Bronwyn Davies</t>
  </si>
  <si>
    <t>50 Connells Road</t>
  </si>
  <si>
    <t>Timaru RD4</t>
  </si>
  <si>
    <t>03-6862942</t>
  </si>
  <si>
    <t>Inspired Minds Early Learning Centre</t>
  </si>
  <si>
    <t>09-437 6357</t>
  </si>
  <si>
    <t>R.a.destablishments@gmail.com</t>
  </si>
  <si>
    <t>99 Kiripaka Road</t>
  </si>
  <si>
    <t>Daniel  Williamson</t>
  </si>
  <si>
    <t>Tikipunaga</t>
  </si>
  <si>
    <t>Bambinos Early Childhood centre (Tawa St)</t>
  </si>
  <si>
    <t>07-5755204</t>
  </si>
  <si>
    <t>20 Tawa Street</t>
  </si>
  <si>
    <t>Lynda Grant</t>
  </si>
  <si>
    <t>P O Box 4056</t>
  </si>
  <si>
    <t>Mount Maunganui 3149</t>
  </si>
  <si>
    <t>Apii Potiki Glen Innes Community Pre-School</t>
  </si>
  <si>
    <t>09-528 5824</t>
  </si>
  <si>
    <t>38-42 Eastview Road</t>
  </si>
  <si>
    <t>Marina Ngakiau</t>
  </si>
  <si>
    <t>P O Box 18414</t>
  </si>
  <si>
    <t>Kuddles In-Home Childcare &amp; Education - 4</t>
  </si>
  <si>
    <t>09-625 6621</t>
  </si>
  <si>
    <t>Creative Garden ELC - Dawson</t>
  </si>
  <si>
    <t>09-273 9688</t>
  </si>
  <si>
    <t>garg.m@hotmail.com</t>
  </si>
  <si>
    <t>100 Dawson Road</t>
  </si>
  <si>
    <t>Mukesh Garg</t>
  </si>
  <si>
    <t>6 Vin Alto Drive</t>
  </si>
  <si>
    <t>09-259 3030</t>
  </si>
  <si>
    <t>Grace Christian Community Preschool</t>
  </si>
  <si>
    <t>09-553 9628</t>
  </si>
  <si>
    <t>28 Rimu Street</t>
  </si>
  <si>
    <t>Kenneth Leong</t>
  </si>
  <si>
    <t>418 Ridge Road RD 3</t>
  </si>
  <si>
    <t>Auckland 0793</t>
  </si>
  <si>
    <t>Pukeatua Childcare Centre</t>
  </si>
  <si>
    <t>04-9206469</t>
  </si>
  <si>
    <t>17 Fraser Street</t>
  </si>
  <si>
    <t>Wainuiomata Central</t>
  </si>
  <si>
    <t>Mereana Storey</t>
  </si>
  <si>
    <t>P O Box 43161</t>
  </si>
  <si>
    <t>Lower Hutt 5014</t>
  </si>
  <si>
    <t>Active Explorers Kaiwharawhara</t>
  </si>
  <si>
    <t>04-4739939</t>
  </si>
  <si>
    <t>cm.kaiwharawhara@activeexplorers.co.nz</t>
  </si>
  <si>
    <t>172 Hutt Road</t>
  </si>
  <si>
    <t>Kaiwharawhara</t>
  </si>
  <si>
    <t>Rebecca Gilmour</t>
  </si>
  <si>
    <t>04-473 9939</t>
  </si>
  <si>
    <t>Te Puna Reo O Raparapaririki</t>
  </si>
  <si>
    <t>06-8648676</t>
  </si>
  <si>
    <t>sierra@tewaiu.school.nz</t>
  </si>
  <si>
    <t>13 Tuparoa Road</t>
  </si>
  <si>
    <t>Ruatoria</t>
  </si>
  <si>
    <t>Ruatōria-Raukumara</t>
  </si>
  <si>
    <t>Sierra  Blane</t>
  </si>
  <si>
    <t>Te Kura Kaupapa Maori o Te Waiu 13 Tuparoa Road</t>
  </si>
  <si>
    <t xml:space="preserve">Ruatoria </t>
  </si>
  <si>
    <t>Te Kāhui Ako o Ngā Kura Kaupapa Māori o Ngāti Porou</t>
  </si>
  <si>
    <t>Little Discoverers</t>
  </si>
  <si>
    <t>07-8564424</t>
  </si>
  <si>
    <t>nichole@littlediscoverers.co.nz</t>
  </si>
  <si>
    <t>109 Cambridge Road</t>
  </si>
  <si>
    <t>Nichole Brett</t>
  </si>
  <si>
    <t>Kids Barn Childcare Centre</t>
  </si>
  <si>
    <t>06-2788592</t>
  </si>
  <si>
    <t>129 Fairfield Road Hawera</t>
  </si>
  <si>
    <t>Kirsten Gilberd</t>
  </si>
  <si>
    <t>129 Fairfield Road</t>
  </si>
  <si>
    <t>06-278 8424</t>
  </si>
  <si>
    <t>Brilliant Minds Early Childhood Centre</t>
  </si>
  <si>
    <t>09-625 8844</t>
  </si>
  <si>
    <t>30 Carr Road</t>
  </si>
  <si>
    <t>Three Kings South</t>
  </si>
  <si>
    <t>Paayal Garg</t>
  </si>
  <si>
    <t>5 Drover Close</t>
  </si>
  <si>
    <t>Nature Kids Motueka</t>
  </si>
  <si>
    <t>022-307 4401</t>
  </si>
  <si>
    <t>naturekidsmotueka@gmail.com</t>
  </si>
  <si>
    <t>12 Queen Street</t>
  </si>
  <si>
    <t>Kate Whitehead</t>
  </si>
  <si>
    <t>12 Queeen Victoria Street</t>
  </si>
  <si>
    <t>Motueka 7120</t>
  </si>
  <si>
    <t>Carterton Preschool Littlies</t>
  </si>
  <si>
    <t>06-3797699</t>
  </si>
  <si>
    <t>littlies@cartertonpreschool.co.nz</t>
  </si>
  <si>
    <t>31 Augustus Street</t>
  </si>
  <si>
    <t>Carterton North</t>
  </si>
  <si>
    <t>Melissa Hutchings</t>
  </si>
  <si>
    <t>190 Belvedere Road</t>
  </si>
  <si>
    <t>Masterton 5713</t>
  </si>
  <si>
    <t>06-379 5945</t>
  </si>
  <si>
    <t>ACG Queenstown Remarkables Park</t>
  </si>
  <si>
    <t>03-4090404</t>
  </si>
  <si>
    <t>9 Copper Beech Avenue</t>
  </si>
  <si>
    <t>The Playhouse Pre-School 2</t>
  </si>
  <si>
    <t>09-238 2530</t>
  </si>
  <si>
    <t>41 Twomey Drive</t>
  </si>
  <si>
    <t>Casa Montessori Preschool</t>
  </si>
  <si>
    <t>09-828 4967</t>
  </si>
  <si>
    <t>dreamshineeducation@gmail.com</t>
  </si>
  <si>
    <t>1 Larch Street</t>
  </si>
  <si>
    <t>William-Chi Zhang</t>
  </si>
  <si>
    <t xml:space="preserve">85 Hugh Green Drive </t>
  </si>
  <si>
    <t>Te Pā Harakeke o Te Awahou Puna Reo</t>
  </si>
  <si>
    <t>06-3637265</t>
  </si>
  <si>
    <t>tepaharakekeoteawahou@gmail.com</t>
  </si>
  <si>
    <t>5 Park Street</t>
  </si>
  <si>
    <t>Wahi Lōs'e</t>
  </si>
  <si>
    <t>Foxton 4814</t>
  </si>
  <si>
    <t>Little Oaks Early Learning Centre 2019 Ltd</t>
  </si>
  <si>
    <t>03-448 6066</t>
  </si>
  <si>
    <t>admin@littleoaks.co.nz</t>
  </si>
  <si>
    <t>20 Ngapara Street</t>
  </si>
  <si>
    <t>Michelle McDonald</t>
  </si>
  <si>
    <t>36 Shields Street</t>
  </si>
  <si>
    <t>Clyde 9330</t>
  </si>
  <si>
    <t>03-4486066</t>
  </si>
  <si>
    <t>Te Pukeiti Early Childhood Centre</t>
  </si>
  <si>
    <t>07-878 3042</t>
  </si>
  <si>
    <t>41 Taupiri Street</t>
  </si>
  <si>
    <t>Billie Taia</t>
  </si>
  <si>
    <t>07-878 6234</t>
  </si>
  <si>
    <t>BestStart Johnstones Road Kindy</t>
  </si>
  <si>
    <t>09-274 6070</t>
  </si>
  <si>
    <t>johnstones.kindy@best-start.org</t>
  </si>
  <si>
    <t>17 Johnstones Road</t>
  </si>
  <si>
    <t>No Cotton Wool Kids Hawke's Bay</t>
  </si>
  <si>
    <t>0800-2824663</t>
  </si>
  <si>
    <t>info@atahome.co.nz</t>
  </si>
  <si>
    <t>9 Drake Crescent</t>
  </si>
  <si>
    <t>Ingrid  Chettleburgh</t>
  </si>
  <si>
    <t>20 Niven Street</t>
  </si>
  <si>
    <t>027-618805</t>
  </si>
  <si>
    <t>Te Kōhanga Reo o Makaurau Marae</t>
  </si>
  <si>
    <t>09-275 6041</t>
  </si>
  <si>
    <t>whanau@k04a089.kohanga.ac.nz</t>
  </si>
  <si>
    <t>8-12 Ruaiti Road</t>
  </si>
  <si>
    <t>Tuakau Learning Centre</t>
  </si>
  <si>
    <t>09-237 8086</t>
  </si>
  <si>
    <t>tuakaulc@xtra.co.nz</t>
  </si>
  <si>
    <t>17-19 West Street</t>
  </si>
  <si>
    <t>ACG Sunderland Preschool</t>
  </si>
  <si>
    <t>09-838 7070</t>
  </si>
  <si>
    <t>shelley.Lord@acgedu.com</t>
  </si>
  <si>
    <t>6 Waipareira Avenue</t>
  </si>
  <si>
    <t>Shelley Lord</t>
  </si>
  <si>
    <t>c/- ACG Sunderland Preschool 6 Waipareira Avenue</t>
  </si>
  <si>
    <t>09-213 5556</t>
  </si>
  <si>
    <t>Home Grown Kids Auckland 2</t>
  </si>
  <si>
    <t>0508-338 2273</t>
  </si>
  <si>
    <t>tracey@edubase.co.nz</t>
  </si>
  <si>
    <t>Kereru Rudolf Steiner Kindergarten</t>
  </si>
  <si>
    <t>06-8787363</t>
  </si>
  <si>
    <t>kereru@taikura.school.nz</t>
  </si>
  <si>
    <t>Cnr Nelson Street and Fitzroy Avenue</t>
  </si>
  <si>
    <t>Natasha Shaw</t>
  </si>
  <si>
    <t>P O Box 888</t>
  </si>
  <si>
    <t>Hastings 4156</t>
  </si>
  <si>
    <t>Awhi Educare @ Owhata</t>
  </si>
  <si>
    <t>07-3456051</t>
  </si>
  <si>
    <t>37 Brent Road</t>
  </si>
  <si>
    <t>Ann Brell</t>
  </si>
  <si>
    <t>9 Judith Place</t>
  </si>
  <si>
    <t>07-3453533</t>
  </si>
  <si>
    <t>Rockmybaby Homebased Childcare</t>
  </si>
  <si>
    <t>09-410 2216</t>
  </si>
  <si>
    <t>homebased@rockmybaby.co.nz</t>
  </si>
  <si>
    <t>10 Cardigan Street</t>
  </si>
  <si>
    <t>Shinnae Stirling</t>
  </si>
  <si>
    <t>Portobello Kindergarten</t>
  </si>
  <si>
    <t>30 Harington Point Road</t>
  </si>
  <si>
    <t>Portobello</t>
  </si>
  <si>
    <t>Broad Bay-Portobello</t>
  </si>
  <si>
    <t>Treetops NZ Limited</t>
  </si>
  <si>
    <t>09-600 3070</t>
  </si>
  <si>
    <t>kerie@treetopseducation.org</t>
  </si>
  <si>
    <t>96 Hinau Road</t>
  </si>
  <si>
    <t>Kerie Lewisham</t>
  </si>
  <si>
    <t>09-6003170</t>
  </si>
  <si>
    <t>Amberley Community Preparatory School Inc</t>
  </si>
  <si>
    <t>03-314 9148</t>
  </si>
  <si>
    <t>Cnr Lawcocks and Douglas Roads</t>
  </si>
  <si>
    <t>Amberley</t>
  </si>
  <si>
    <t>Hurunui District</t>
  </si>
  <si>
    <t>South Ward</t>
  </si>
  <si>
    <t>Kelly Scanlan</t>
  </si>
  <si>
    <t>3 Douglas Road</t>
  </si>
  <si>
    <t>Amberley 7410</t>
  </si>
  <si>
    <t>03-3149147</t>
  </si>
  <si>
    <t>Young and Amazing Limited</t>
  </si>
  <si>
    <t>09-636 7136</t>
  </si>
  <si>
    <t>catherine@youngandamazing.co.nz</t>
  </si>
  <si>
    <t>84-86 Mays Road</t>
  </si>
  <si>
    <t>Te Papapa</t>
  </si>
  <si>
    <t>Catherine Thorpe</t>
  </si>
  <si>
    <t>29 Norwood Road</t>
  </si>
  <si>
    <t>Glen Warren Kindergarten</t>
  </si>
  <si>
    <t>03-4349105</t>
  </si>
  <si>
    <t>40 Torridge Street</t>
  </si>
  <si>
    <t>Glen Warren</t>
  </si>
  <si>
    <t>Little Kiwi's Corner</t>
  </si>
  <si>
    <t>07-8739291</t>
  </si>
  <si>
    <t>lkc.otorohanga@gmail.com</t>
  </si>
  <si>
    <t>1 Clarke Street</t>
  </si>
  <si>
    <t>Teah  Collins</t>
  </si>
  <si>
    <t>34 Milano Boulevard, Karaka</t>
  </si>
  <si>
    <t>021-08432351</t>
  </si>
  <si>
    <t>Littletoetoes ELC Ltd</t>
  </si>
  <si>
    <t>09-277 0033</t>
  </si>
  <si>
    <t>littletoetoes@littletoetoes.co.nz</t>
  </si>
  <si>
    <t>40 Wintere Road</t>
  </si>
  <si>
    <t>Papatoetoe North East</t>
  </si>
  <si>
    <t>Pratibha Madhavan</t>
  </si>
  <si>
    <t>5 Goodland Street</t>
  </si>
  <si>
    <t>09-2770033</t>
  </si>
  <si>
    <t>The Orchard Child Care &amp; Preschool</t>
  </si>
  <si>
    <t>07-3323603</t>
  </si>
  <si>
    <t>7 Oturoa Road</t>
  </si>
  <si>
    <t>Tui Ridge</t>
  </si>
  <si>
    <t>Bridget Gifford</t>
  </si>
  <si>
    <t>155 Hamurana Road. RD 7</t>
  </si>
  <si>
    <t>Rotorua 3097</t>
  </si>
  <si>
    <t>07-3322077</t>
  </si>
  <si>
    <t>Coast Montessori Preschool</t>
  </si>
  <si>
    <t>09-427 5544</t>
  </si>
  <si>
    <t>info@coastmontessori.co.nz</t>
  </si>
  <si>
    <t>42 Silverdale Street</t>
  </si>
  <si>
    <t>Karen O'Reilly</t>
  </si>
  <si>
    <t>18 Forest Glen</t>
  </si>
  <si>
    <t>Orewa 0931</t>
  </si>
  <si>
    <t>09-427 5404</t>
  </si>
  <si>
    <t>'Api Fakakoloa Ua</t>
  </si>
  <si>
    <t>09-624 0938</t>
  </si>
  <si>
    <t>66 Lovegrove Crescsent</t>
  </si>
  <si>
    <t>Little Wonders Aoraki</t>
  </si>
  <si>
    <t>03-686 0519</t>
  </si>
  <si>
    <t>307 Wai-iti Road</t>
  </si>
  <si>
    <t>Glenwood</t>
  </si>
  <si>
    <t>Toni Smith</t>
  </si>
  <si>
    <t>03-6860519</t>
  </si>
  <si>
    <t>Taupiri Educare Ltd</t>
  </si>
  <si>
    <t>07-8246001</t>
  </si>
  <si>
    <t>taupiri@educare.co.nz</t>
  </si>
  <si>
    <t>30 Te Putu Street</t>
  </si>
  <si>
    <t>Elise Gerrits</t>
  </si>
  <si>
    <t>333 Sainsbury Road RD RD1</t>
  </si>
  <si>
    <t>Hamilton 3281</t>
  </si>
  <si>
    <t>Kindercare Learning Centre Karori</t>
  </si>
  <si>
    <t>04-4753336</t>
  </si>
  <si>
    <t>karori@kindercare.co.nz</t>
  </si>
  <si>
    <t>31 Curtis Street</t>
  </si>
  <si>
    <t>Busy Bees Onehunga</t>
  </si>
  <si>
    <t>09-214 8021</t>
  </si>
  <si>
    <t>manager@onehunga.busybees.org.nz</t>
  </si>
  <si>
    <t>74 Grey Street</t>
  </si>
  <si>
    <t>Michelle  Coffey</t>
  </si>
  <si>
    <t>09-2148021</t>
  </si>
  <si>
    <t>Piccolo Park Early Learning Centre</t>
  </si>
  <si>
    <t>09-570 5439</t>
  </si>
  <si>
    <t>admin@piccolopark.co.nz</t>
  </si>
  <si>
    <t>279 Mount Wellington Highway</t>
  </si>
  <si>
    <t>Rukshana Kapadia</t>
  </si>
  <si>
    <t>P O Box 132222</t>
  </si>
  <si>
    <t>Auckland 1644</t>
  </si>
  <si>
    <t>Fantails Childcare - Silverdale</t>
  </si>
  <si>
    <t>09-222 9000</t>
  </si>
  <si>
    <t>silverdale@fantailschildcare.co.nz</t>
  </si>
  <si>
    <t>98 Totara Views Road</t>
  </si>
  <si>
    <t>North Shore City 0944</t>
  </si>
  <si>
    <t>Riverlee Early Learning Centre</t>
  </si>
  <si>
    <t>07-8665250</t>
  </si>
  <si>
    <t>1746 The 309 Road</t>
  </si>
  <si>
    <t>Kirsty Millen</t>
  </si>
  <si>
    <t>Riverlee Early Learning Centre 1746 The 309 Road</t>
  </si>
  <si>
    <t>Blossoms Educare Papakura</t>
  </si>
  <si>
    <t>0800-256767</t>
  </si>
  <si>
    <t>1 Bunnythorpe Road</t>
  </si>
  <si>
    <t>Papakura North East</t>
  </si>
  <si>
    <t>Little Magpies Home Based</t>
  </si>
  <si>
    <t>Farmhouse Preschool Karaka</t>
  </si>
  <si>
    <t>09-292 7038</t>
  </si>
  <si>
    <t>48 Blackbridge Road</t>
  </si>
  <si>
    <t>Tī Kōuka Free Kindergarten</t>
  </si>
  <si>
    <t>03-6883260</t>
  </si>
  <si>
    <t>91B North Street</t>
  </si>
  <si>
    <t>Seaview</t>
  </si>
  <si>
    <t>Superstart Early Learning Centre</t>
  </si>
  <si>
    <t>09-527 1961</t>
  </si>
  <si>
    <t>46 Te Koa Road</t>
  </si>
  <si>
    <t>Māori ECE Service (excluding TKR), Montessori</t>
  </si>
  <si>
    <t>Panmure West</t>
  </si>
  <si>
    <t>Ling (Annie) Wang</t>
  </si>
  <si>
    <t>46/48 Te Koa Road</t>
  </si>
  <si>
    <t>Bright Futures Hawkes Bay 3</t>
  </si>
  <si>
    <t>06-8437280</t>
  </si>
  <si>
    <t>careandlearning@brightfutures.org.nz</t>
  </si>
  <si>
    <t>112 Morris Spence Avenue</t>
  </si>
  <si>
    <t>Zonia Fourie</t>
  </si>
  <si>
    <t>Cnr Morris Spence Ave and Wycliff St Cnr Spence Ave and Wycliff Street</t>
  </si>
  <si>
    <t xml:space="preserve">Napier </t>
  </si>
  <si>
    <t>0508-678910</t>
  </si>
  <si>
    <t>Seedlings Early Learning Centre</t>
  </si>
  <si>
    <t>03-322 1335</t>
  </si>
  <si>
    <t>cindy.paul@seedlingspreschool.co.nz</t>
  </si>
  <si>
    <t>1 Hamill Road Longhurst Estate</t>
  </si>
  <si>
    <t>Halswell West</t>
  </si>
  <si>
    <t>Cindy Paul</t>
  </si>
  <si>
    <t>P O Box 37356</t>
  </si>
  <si>
    <t>Christchurch 8245</t>
  </si>
  <si>
    <t>03-3221335</t>
  </si>
  <si>
    <t>Honeybees Preschool</t>
  </si>
  <si>
    <t>09-309 9303</t>
  </si>
  <si>
    <t>hello@honeybees.co.nz</t>
  </si>
  <si>
    <t>Level 5 127 Hobson Street</t>
  </si>
  <si>
    <t>Hobson Ridge Central</t>
  </si>
  <si>
    <t>Sarah Benge</t>
  </si>
  <si>
    <t>P O Box 1500</t>
  </si>
  <si>
    <t>Annabel's Educare - Somerfield</t>
  </si>
  <si>
    <t>03-3326333</t>
  </si>
  <si>
    <t>sf@annabelseducare.co.nz</t>
  </si>
  <si>
    <t>41-43 Somerfield Street</t>
  </si>
  <si>
    <t>Somerfield East</t>
  </si>
  <si>
    <t>Little Pioneers</t>
  </si>
  <si>
    <t>09-2360608</t>
  </si>
  <si>
    <t>emma@littlepioneers.co.nz</t>
  </si>
  <si>
    <t>28 Paparata Road, RD 1</t>
  </si>
  <si>
    <t>Emma Reichenbach</t>
  </si>
  <si>
    <t>127 Bombay Road RD RD1</t>
  </si>
  <si>
    <t>South Auckland 2675</t>
  </si>
  <si>
    <t>09-236 0266</t>
  </si>
  <si>
    <t>Busy Bees New Plymouth</t>
  </si>
  <si>
    <t>06-758 9289</t>
  </si>
  <si>
    <t>20 - 28 Buller Street</t>
  </si>
  <si>
    <t>New Plymouth Central</t>
  </si>
  <si>
    <t>Rebecca Robinson</t>
  </si>
  <si>
    <t>06-7589289</t>
  </si>
  <si>
    <t>Kinderland Educare</t>
  </si>
  <si>
    <t>09-275 0111</t>
  </si>
  <si>
    <t>kinderlandeducare@gmail.com</t>
  </si>
  <si>
    <t>1 Kohinoor Avenue</t>
  </si>
  <si>
    <t>Khatija Syeda</t>
  </si>
  <si>
    <t>34 Jordan Road</t>
  </si>
  <si>
    <t>Auckland 2022</t>
  </si>
  <si>
    <t>Frederick Street Family Centre</t>
  </si>
  <si>
    <t>06-8782287</t>
  </si>
  <si>
    <t>aimeenz@gmail.com</t>
  </si>
  <si>
    <t>900 Frederick Street</t>
  </si>
  <si>
    <t>Aimee Hawke</t>
  </si>
  <si>
    <t>26 Elwood Road RD 2</t>
  </si>
  <si>
    <t>Hastings 4172</t>
  </si>
  <si>
    <t>027-9389845</t>
  </si>
  <si>
    <t>Nga Tamariki Puawai</t>
  </si>
  <si>
    <t>09-570 8777</t>
  </si>
  <si>
    <t>ngatamarikipuawai.office@gmail.com</t>
  </si>
  <si>
    <t>25 Druces Road</t>
  </si>
  <si>
    <t>Frances Williamson</t>
  </si>
  <si>
    <t>P O Box 76561</t>
  </si>
  <si>
    <t>Clendon Christian Preschool</t>
  </si>
  <si>
    <t>09-9723612</t>
  </si>
  <si>
    <t>clendonpreschool@mcctrust.nz</t>
  </si>
  <si>
    <t>79 Maplesden Drive</t>
  </si>
  <si>
    <t>Lollipops Newton Road</t>
  </si>
  <si>
    <t>09-631 7437</t>
  </si>
  <si>
    <t>6 Basque Road</t>
  </si>
  <si>
    <t>Anita Vohra</t>
  </si>
  <si>
    <t>09-3797594</t>
  </si>
  <si>
    <t>The Learning Castle</t>
  </si>
  <si>
    <t>09-278 5252</t>
  </si>
  <si>
    <t>52 Huia Road</t>
  </si>
  <si>
    <t>Ranesh Singh</t>
  </si>
  <si>
    <t>46 Brooke Ridge Rise</t>
  </si>
  <si>
    <t>09-273 6225</t>
  </si>
  <si>
    <t>Active Discoverers Educare</t>
  </si>
  <si>
    <t>07-8245276</t>
  </si>
  <si>
    <t>4 Brownlee Avenue</t>
  </si>
  <si>
    <t>Sudes Herath</t>
  </si>
  <si>
    <t>10 Roy Hilton Drive</t>
  </si>
  <si>
    <t>07-8537389</t>
  </si>
  <si>
    <t>Woodlands Preschool Limited - Huntsbury</t>
  </si>
  <si>
    <t>haffnerrankin86@gmail.com</t>
  </si>
  <si>
    <t>109 Centaurus Road</t>
  </si>
  <si>
    <t>Huntsbury</t>
  </si>
  <si>
    <t>Teneale Rankin</t>
  </si>
  <si>
    <t>934 Leeston-Dunsandel Rd</t>
  </si>
  <si>
    <t>Leeston 7682</t>
  </si>
  <si>
    <t>027-3055479</t>
  </si>
  <si>
    <t>Sparrows Early Learning Centre</t>
  </si>
  <si>
    <t>07-85555773</t>
  </si>
  <si>
    <t>11 Bailey Avenue</t>
  </si>
  <si>
    <t>Rebecca Pohutu</t>
  </si>
  <si>
    <t>8 Maitland Street</t>
  </si>
  <si>
    <t>07-8555773</t>
  </si>
  <si>
    <t>Active Explorers Greenmeadows</t>
  </si>
  <si>
    <t>06-8454746</t>
  </si>
  <si>
    <t>cm.greenmeadows@activeexplorers.co.nz</t>
  </si>
  <si>
    <t>518 Kennedy Road</t>
  </si>
  <si>
    <t>Melissa  Hall</t>
  </si>
  <si>
    <t>06-845 4746</t>
  </si>
  <si>
    <t>Nurtured at Home Waikato 2</t>
  </si>
  <si>
    <t>234  Bankwood Road</t>
  </si>
  <si>
    <t>Yvette Burrows</t>
  </si>
  <si>
    <t>Fern Grove Early Learning Centre</t>
  </si>
  <si>
    <t>07-8712824</t>
  </si>
  <si>
    <t>admin@littlemindselc.co.nz</t>
  </si>
  <si>
    <t>762 Te Rahu Road</t>
  </si>
  <si>
    <t>Pekerau</t>
  </si>
  <si>
    <t>Emma Sands</t>
  </si>
  <si>
    <t>286 Tui Crescent</t>
  </si>
  <si>
    <t>027-3286436</t>
  </si>
  <si>
    <t>Mini Miracles Educare Western Heights</t>
  </si>
  <si>
    <t>09-281 2250</t>
  </si>
  <si>
    <t>125 Sturges Road</t>
  </si>
  <si>
    <t>Barbara Reneti</t>
  </si>
  <si>
    <t>Ngatea Early Learning Centre</t>
  </si>
  <si>
    <t>07-867 7892</t>
  </si>
  <si>
    <t>ngateaelc@gmail.com</t>
  </si>
  <si>
    <t>65 Hayward Road</t>
  </si>
  <si>
    <t>Takaanini Early Learning</t>
  </si>
  <si>
    <t>8 Oakleigh Avenue</t>
  </si>
  <si>
    <t>Grow and Learn Early learning Centre Ltd</t>
  </si>
  <si>
    <t>04-2389451</t>
  </si>
  <si>
    <t>growandlearnelc@gmail.com</t>
  </si>
  <si>
    <t>20 Awarua Street</t>
  </si>
  <si>
    <t>Kerry  Wicks</t>
  </si>
  <si>
    <t>Porirua 5022</t>
  </si>
  <si>
    <t>Junior Junction Lunn Ave</t>
  </si>
  <si>
    <t>09-527 3020</t>
  </si>
  <si>
    <t>vince@juniorjunction.co.nz</t>
  </si>
  <si>
    <t>108 Lunn Avenue</t>
  </si>
  <si>
    <t>Vincent Grgicevich</t>
  </si>
  <si>
    <t>P O Box 26481</t>
  </si>
  <si>
    <t>09-6292929</t>
  </si>
  <si>
    <t>Arohanui Kindergarten</t>
  </si>
  <si>
    <t>06-368 7429</t>
  </si>
  <si>
    <t>Waiopehu College 74 Bartholomew Road</t>
  </si>
  <si>
    <t>Teen Parent Unit</t>
  </si>
  <si>
    <t>Magnolia Tree Childcare Centre</t>
  </si>
  <si>
    <t>07-8293052</t>
  </si>
  <si>
    <t>rachael@magnoliatreechildcare.co.nz</t>
  </si>
  <si>
    <t>33 Store Road</t>
  </si>
  <si>
    <t>Rachael Thomas</t>
  </si>
  <si>
    <t>Hamilton 3289</t>
  </si>
  <si>
    <t>07-8728062</t>
  </si>
  <si>
    <t>New Shoots Children's Centre - Tauranga</t>
  </si>
  <si>
    <t>07-5788775</t>
  </si>
  <si>
    <t>tauranga@newshoots.co.nz</t>
  </si>
  <si>
    <t>1/850 Cameron Road</t>
  </si>
  <si>
    <t>Little Pearls Educare Centre</t>
  </si>
  <si>
    <t>09-815 2277</t>
  </si>
  <si>
    <t>contact@littlepearls.org.nz</t>
  </si>
  <si>
    <t>2 A Lorraine Avenue</t>
  </si>
  <si>
    <t>Taner Basar</t>
  </si>
  <si>
    <t>P O Box 99661</t>
  </si>
  <si>
    <t>Our Place Catholic Preschool</t>
  </si>
  <si>
    <t>07-8477472</t>
  </si>
  <si>
    <t>5 Olwyn Terrace</t>
  </si>
  <si>
    <t>Sonia Whangapirita</t>
  </si>
  <si>
    <t>021-678054</t>
  </si>
  <si>
    <t>Immanuel Preschool (Papatoetoe)</t>
  </si>
  <si>
    <t>09-279 4879</t>
  </si>
  <si>
    <t>184 Portage Road</t>
  </si>
  <si>
    <t>Aorere South West</t>
  </si>
  <si>
    <t>Lets Grow Early Learning Centre</t>
  </si>
  <si>
    <t>07-8257367</t>
  </si>
  <si>
    <t>info@letsgrow.net.nz</t>
  </si>
  <si>
    <t>248 Wainui Road</t>
  </si>
  <si>
    <t>Petruschka Heinz</t>
  </si>
  <si>
    <t>Raglan 3225</t>
  </si>
  <si>
    <t>Te Puna Reo o Ngāti Toa</t>
  </si>
  <si>
    <t>04-2379501</t>
  </si>
  <si>
    <t>punareo@ngatitoa.iwi.nz</t>
  </si>
  <si>
    <t>8 Ngāti Toa Street</t>
  </si>
  <si>
    <t>Takapuwahia</t>
  </si>
  <si>
    <t>Calisa Hippolite</t>
  </si>
  <si>
    <t>P O Box 50355</t>
  </si>
  <si>
    <t>Fundamentals Marshland</t>
  </si>
  <si>
    <t>03-3855252</t>
  </si>
  <si>
    <t>marshlands@fundamentals.co.nz</t>
  </si>
  <si>
    <t>435 Marshland Road</t>
  </si>
  <si>
    <t>Pebbles Montessori  Sumner (2-6)</t>
  </si>
  <si>
    <t>03-9282402</t>
  </si>
  <si>
    <t>belinda@pebbles.nz</t>
  </si>
  <si>
    <t>4 Campbell Street</t>
  </si>
  <si>
    <t>Daisy Frame</t>
  </si>
  <si>
    <t>027-2050078</t>
  </si>
  <si>
    <t>KidsZone Preschool (2013) Ltd</t>
  </si>
  <si>
    <t>06-7554999</t>
  </si>
  <si>
    <t>kidszonepreschool@xtra.co.nz</t>
  </si>
  <si>
    <t>3 Parakau Road</t>
  </si>
  <si>
    <t>Tania Shaw</t>
  </si>
  <si>
    <t>New Plymouth 4312</t>
  </si>
  <si>
    <t>Hanmer Springs Playcentre</t>
  </si>
  <si>
    <t>03-3772540</t>
  </si>
  <si>
    <t>Cheltenham Street</t>
  </si>
  <si>
    <t>Hanmer Springs</t>
  </si>
  <si>
    <t>West Ward</t>
  </si>
  <si>
    <t>Rebecca Congalton</t>
  </si>
  <si>
    <t>03-3772-540</t>
  </si>
  <si>
    <t>ASPIRE Learning L2</t>
  </si>
  <si>
    <t>09-272 4273</t>
  </si>
  <si>
    <t>enquiries@aspirelearning.co.nz</t>
  </si>
  <si>
    <t>6B Jack Conway Avenue</t>
  </si>
  <si>
    <t>Tangiao Wiperi</t>
  </si>
  <si>
    <t>40 Tinaku Road</t>
  </si>
  <si>
    <t>Nurtured at Home - Auckland 1</t>
  </si>
  <si>
    <t>0800-221 177</t>
  </si>
  <si>
    <t>helen@nurturedathome.co.nz</t>
  </si>
  <si>
    <t>1E Cain Road</t>
  </si>
  <si>
    <t>Penrose</t>
  </si>
  <si>
    <t xml:space="preserve">Helen Parker </t>
  </si>
  <si>
    <t>Li'l Champs Educare 2</t>
  </si>
  <si>
    <t>09-2772556</t>
  </si>
  <si>
    <t>pgrover77@gmail.com</t>
  </si>
  <si>
    <t>431 Great South Road</t>
  </si>
  <si>
    <t>Prakash Grover</t>
  </si>
  <si>
    <t>4 Drumconnell Drive</t>
  </si>
  <si>
    <t>09-273 3577</t>
  </si>
  <si>
    <t>Halswell Learning Tree</t>
  </si>
  <si>
    <t>03-3225538</t>
  </si>
  <si>
    <t>halswelllearningtree@outlook.com</t>
  </si>
  <si>
    <t>349 Halswell Road</t>
  </si>
  <si>
    <t>Shanel de Schot</t>
  </si>
  <si>
    <t>Te Papapa Preschool</t>
  </si>
  <si>
    <t>09-634 7387</t>
  </si>
  <si>
    <t>admin@tpps.school.nz</t>
  </si>
  <si>
    <t>219 Mount Smart Road</t>
  </si>
  <si>
    <t>Elizabeth Ferris</t>
  </si>
  <si>
    <t>106/135 Grafton Road</t>
  </si>
  <si>
    <t>09-261 2438</t>
  </si>
  <si>
    <t>BestStart Greenwood Street</t>
  </si>
  <si>
    <t>07-846 0579</t>
  </si>
  <si>
    <t>107 Greenwood Street</t>
  </si>
  <si>
    <t>Butterfly Preschool</t>
  </si>
  <si>
    <t>06-7578344</t>
  </si>
  <si>
    <t>21 Normanby Street</t>
  </si>
  <si>
    <t>Vickie Donaldson</t>
  </si>
  <si>
    <t>8 Puni Street</t>
  </si>
  <si>
    <t>06-7574677</t>
  </si>
  <si>
    <t>Te Kōpae Reo o Tupoho</t>
  </si>
  <si>
    <t>06- 3490554</t>
  </si>
  <si>
    <t>admintekopaereo@xtra.co.nz</t>
  </si>
  <si>
    <t>18 Cross Street</t>
  </si>
  <si>
    <t>Turuhira Hautapu-Hefa</t>
  </si>
  <si>
    <t>Whanganui 4501</t>
  </si>
  <si>
    <t>022-1335017</t>
  </si>
  <si>
    <t>Little Steps Montessori Preschool</t>
  </si>
  <si>
    <t>09-444 3934</t>
  </si>
  <si>
    <t>littlestepsalbany@gmail.com</t>
  </si>
  <si>
    <t>29-31 Omega Street</t>
  </si>
  <si>
    <t>Mary Annequin</t>
  </si>
  <si>
    <t>P O Box 302746</t>
  </si>
  <si>
    <t>Auckland 0751</t>
  </si>
  <si>
    <t>Busy Bees Coopers Beach</t>
  </si>
  <si>
    <t>09-406 1002</t>
  </si>
  <si>
    <t>info@coopers.busybees.org.nz</t>
  </si>
  <si>
    <t>21 Coopers Drive</t>
  </si>
  <si>
    <t>Mangonui</t>
  </si>
  <si>
    <t>09-271 6428</t>
  </si>
  <si>
    <t>flatbush@brilliantminds.co.nz</t>
  </si>
  <si>
    <t>20 McKittrick Avenue</t>
  </si>
  <si>
    <t>Donegal Park West</t>
  </si>
  <si>
    <t>BestStart Waitangirua</t>
  </si>
  <si>
    <t>04-2359404</t>
  </si>
  <si>
    <t>waitangirua@best-start.org</t>
  </si>
  <si>
    <t>3 Button Lane</t>
  </si>
  <si>
    <t>Hope Preschool</t>
  </si>
  <si>
    <t>03-2037057</t>
  </si>
  <si>
    <t>admin@hopepreschool.co.nz</t>
  </si>
  <si>
    <t>1 Carlyle Street</t>
  </si>
  <si>
    <t>Mataura</t>
  </si>
  <si>
    <t>Mataura Ward</t>
  </si>
  <si>
    <t>Lisa Thomas</t>
  </si>
  <si>
    <t>Mataura 9356</t>
  </si>
  <si>
    <t>'Api Fakakoloa Tolu</t>
  </si>
  <si>
    <t>Topa.Tait@apifakakoloa.co.nz</t>
  </si>
  <si>
    <t>'Api Fakakoloa Fa</t>
  </si>
  <si>
    <t>09-6240938</t>
  </si>
  <si>
    <t>apifakakoloa@xtra.co.nz</t>
  </si>
  <si>
    <t>Red Robin Nanny Agency Ltd</t>
  </si>
  <si>
    <t>09-2153900</t>
  </si>
  <si>
    <t>andrea@redrobin.co.nz</t>
  </si>
  <si>
    <t>161a Point Chevalier Road</t>
  </si>
  <si>
    <t>Andrea  McErlean</t>
  </si>
  <si>
    <t>161A Point Chevalier Road</t>
  </si>
  <si>
    <t>North Clyde Kindergarten</t>
  </si>
  <si>
    <t>ntw@napierkindergartens.co.nz</t>
  </si>
  <si>
    <t>55 Freyberg Street</t>
  </si>
  <si>
    <t>Te Puna Early Learning Centre</t>
  </si>
  <si>
    <t>07-5524017</t>
  </si>
  <si>
    <t>4 Te Puna Road</t>
  </si>
  <si>
    <t>Karen Rowling</t>
  </si>
  <si>
    <t>434 Joyce Road</t>
  </si>
  <si>
    <t>Tauranga 3173</t>
  </si>
  <si>
    <t>Peacocks Early Learning Centre Rockfield</t>
  </si>
  <si>
    <t>41 Rockfield Road</t>
  </si>
  <si>
    <t>Church Corner Nest</t>
  </si>
  <si>
    <t>67 Main South Road</t>
  </si>
  <si>
    <t>502 Halswell Road</t>
  </si>
  <si>
    <t>Home2Grow Childcare 2</t>
  </si>
  <si>
    <t>0508-466 324</t>
  </si>
  <si>
    <t>Busy Bees Roscommon Road</t>
  </si>
  <si>
    <t>09-2693087</t>
  </si>
  <si>
    <t>manager@roscommon.busybees.org.nz</t>
  </si>
  <si>
    <t>421 B Roscommon Road</t>
  </si>
  <si>
    <t>Faapine Old</t>
  </si>
  <si>
    <t>09-269 3087</t>
  </si>
  <si>
    <t>Jumpstart School</t>
  </si>
  <si>
    <t>06-7510026</t>
  </si>
  <si>
    <t>amy@jumpstartpreschool.co.nz</t>
  </si>
  <si>
    <t>55A Rimu Street</t>
  </si>
  <si>
    <t>Amy Fale</t>
  </si>
  <si>
    <t>10 Barrett Road</t>
  </si>
  <si>
    <t>06-7511643</t>
  </si>
  <si>
    <t>Playdays Montessori</t>
  </si>
  <si>
    <t>09-835 3847</t>
  </si>
  <si>
    <t>rachsusie@gmail.com</t>
  </si>
  <si>
    <t>12 Temuri Place</t>
  </si>
  <si>
    <t>Glendene North West</t>
  </si>
  <si>
    <t>Rachel Balasingam</t>
  </si>
  <si>
    <t>Kids Count - Kelvin Road</t>
  </si>
  <si>
    <t>09-295 0008</t>
  </si>
  <si>
    <t>kelvin@kidscount.co.nz</t>
  </si>
  <si>
    <t>22 Kelvin Road</t>
  </si>
  <si>
    <t>Just Four Kids Ltd</t>
  </si>
  <si>
    <t>03-217 3970</t>
  </si>
  <si>
    <t>294 Dee Street</t>
  </si>
  <si>
    <t>Avenal</t>
  </si>
  <si>
    <t>Suzanne  McNatty</t>
  </si>
  <si>
    <t>11 Layard Street</t>
  </si>
  <si>
    <t>03-2173970</t>
  </si>
  <si>
    <t>Iqra Educare</t>
  </si>
  <si>
    <t>07-8550568</t>
  </si>
  <si>
    <t>admin@iqraeducare.ac.nz</t>
  </si>
  <si>
    <t>921 Heaphy Terrace</t>
  </si>
  <si>
    <t>Muslim</t>
  </si>
  <si>
    <t>Asad Mohsin</t>
  </si>
  <si>
    <t>P O Box 665</t>
  </si>
  <si>
    <t>Waikato Mail Centre</t>
  </si>
  <si>
    <t>Lollipops Educare Takanini</t>
  </si>
  <si>
    <t>cm.takanini@ledu.co.nz</t>
  </si>
  <si>
    <t>64a Walter Strevens Drive</t>
  </si>
  <si>
    <t>BestStart Porchester Road</t>
  </si>
  <si>
    <t>09-267 8617</t>
  </si>
  <si>
    <t>porchester@best-start.org</t>
  </si>
  <si>
    <t>504 Porchester Road</t>
  </si>
  <si>
    <t>Harewood Rd Montessori by Busy Bees</t>
  </si>
  <si>
    <t>03-3525025</t>
  </si>
  <si>
    <t>59 Harewood Road</t>
  </si>
  <si>
    <t>Papanui West</t>
  </si>
  <si>
    <t>Leigh McDonald</t>
  </si>
  <si>
    <t>Montessori House of Children - Wairere Drive</t>
  </si>
  <si>
    <t>07-2820893</t>
  </si>
  <si>
    <t>ceo@mhoc.co.nz</t>
  </si>
  <si>
    <t>697A Wairere Drive</t>
  </si>
  <si>
    <t>Fairview Downs</t>
  </si>
  <si>
    <t>Muhammad Shabbir</t>
  </si>
  <si>
    <t>Nga Puawai o Kaikohekohe</t>
  </si>
  <si>
    <t>09-401 1222</t>
  </si>
  <si>
    <t>33 Tawanui Road</t>
  </si>
  <si>
    <t>Ngatokorua Maxwell</t>
  </si>
  <si>
    <t>P O Box 75748</t>
  </si>
  <si>
    <t>Te Kōhanga reo o Kawakawa Mai Tawhiti</t>
  </si>
  <si>
    <t>06-864 4616</t>
  </si>
  <si>
    <t>campbell@kkmt.school.nz</t>
  </si>
  <si>
    <t>Te Kura Kaupapa Maori o Kawakawa Mai Tawhiti 22 Wharf Road</t>
  </si>
  <si>
    <t>Hicks Bay</t>
  </si>
  <si>
    <t>East Cape</t>
  </si>
  <si>
    <t xml:space="preserve">Campbell Dewes </t>
  </si>
  <si>
    <t>06-8644616</t>
  </si>
  <si>
    <t>Little Tui Early Childhood Centre</t>
  </si>
  <si>
    <t>07-843 3659</t>
  </si>
  <si>
    <t>office@littletui.co.nz</t>
  </si>
  <si>
    <t>4 Bruce Avenue</t>
  </si>
  <si>
    <t>Komal Kaur</t>
  </si>
  <si>
    <t>11 Hensley Crescent</t>
  </si>
  <si>
    <t>021-1113474</t>
  </si>
  <si>
    <t>Tamariki Station Ltd</t>
  </si>
  <si>
    <t>07-8627171</t>
  </si>
  <si>
    <t>station@tamarikistation.co.nz</t>
  </si>
  <si>
    <t>31 Station Road</t>
  </si>
  <si>
    <t>Erin Staples</t>
  </si>
  <si>
    <t>Moko Club</t>
  </si>
  <si>
    <t>juanita@kowhai.biz</t>
  </si>
  <si>
    <t>Huntly West Primary School Paki Street</t>
  </si>
  <si>
    <t>Juanita Vosloo</t>
  </si>
  <si>
    <t>07-9813650</t>
  </si>
  <si>
    <t>Nurtured at Home - Auckland 2</t>
  </si>
  <si>
    <t>1 E Cain Road</t>
  </si>
  <si>
    <t>Active Explorers Glenfield Kea</t>
  </si>
  <si>
    <t>09-4440077</t>
  </si>
  <si>
    <t>494 Glenfield Road</t>
  </si>
  <si>
    <t>Bizzy Kidz Childcare</t>
  </si>
  <si>
    <t>09-633 0400</t>
  </si>
  <si>
    <t>info@bizzykidzchildcare.co.nz</t>
  </si>
  <si>
    <t>16 Mahunga Drive</t>
  </si>
  <si>
    <t>Ranelle Robinson</t>
  </si>
  <si>
    <t>C/O NSATax Level 1, 5 Crummer Road</t>
  </si>
  <si>
    <t>Blossoms Educare Riverside</t>
  </si>
  <si>
    <t>09-2768527</t>
  </si>
  <si>
    <t>1 Cracroft Street</t>
  </si>
  <si>
    <t>Sunny Side Early Educare</t>
  </si>
  <si>
    <t>ssee@sunnysideece.co.nz</t>
  </si>
  <si>
    <t>2 Horne Street</t>
  </si>
  <si>
    <t>He Qi</t>
  </si>
  <si>
    <t>021-617588</t>
  </si>
  <si>
    <t>Go Bananas Childcare</t>
  </si>
  <si>
    <t>07-8481004</t>
  </si>
  <si>
    <t>5 - 9 Hall Lane</t>
  </si>
  <si>
    <t>A1 Kids Childcare Centre</t>
  </si>
  <si>
    <t>09-2378111</t>
  </si>
  <si>
    <t>130 George Street</t>
  </si>
  <si>
    <t>Chenchen  Li</t>
  </si>
  <si>
    <t xml:space="preserve">14 Mellick Place </t>
  </si>
  <si>
    <t>Nurtured at Home (Bay) 1</t>
  </si>
  <si>
    <t>103A Fifteenth Avenue</t>
  </si>
  <si>
    <t>Aimee Willoughby</t>
  </si>
  <si>
    <t>Haywood Cottage Montessori</t>
  </si>
  <si>
    <t>03-6938989</t>
  </si>
  <si>
    <t>42 Huffey Street</t>
  </si>
  <si>
    <t>Sally Sharp</t>
  </si>
  <si>
    <t>Geraldine 7930</t>
  </si>
  <si>
    <t>03-6939079</t>
  </si>
  <si>
    <t>Hobsonville Point Early Learning Centre</t>
  </si>
  <si>
    <t>09-557 0817</t>
  </si>
  <si>
    <t>hpelc@kaitiakikindergartens.org.nz</t>
  </si>
  <si>
    <t>18 De Havilland Road</t>
  </si>
  <si>
    <t>Hobsonville Point Catalina Bay</t>
  </si>
  <si>
    <t>Sunbeams Private Kindergarten</t>
  </si>
  <si>
    <t>09-8153113</t>
  </si>
  <si>
    <t>info@sunbeams.co.nz</t>
  </si>
  <si>
    <t>11 Myrtle Street</t>
  </si>
  <si>
    <t>Genevieve Hathaway</t>
  </si>
  <si>
    <t>85 Lynbrooke Ave</t>
  </si>
  <si>
    <t>09-6265956</t>
  </si>
  <si>
    <t>Te Puawaitanga o Atareta Playcentre</t>
  </si>
  <si>
    <t>09-5220063</t>
  </si>
  <si>
    <t>6 Minto Road</t>
  </si>
  <si>
    <t>Creators Waipa</t>
  </si>
  <si>
    <t>021-2417305</t>
  </si>
  <si>
    <t>91 Chapel Drive</t>
  </si>
  <si>
    <t>Kym Gibson</t>
  </si>
  <si>
    <t>P O Box 10462</t>
  </si>
  <si>
    <t>Hamilton 3241</t>
  </si>
  <si>
    <t>027-4851212</t>
  </si>
  <si>
    <t>Scuola Montessori (15th Avenue)</t>
  </si>
  <si>
    <t>182 15th Avenue</t>
  </si>
  <si>
    <t>Kaliloa Home-Based ECE</t>
  </si>
  <si>
    <t xml:space="preserve">021- </t>
  </si>
  <si>
    <t>kaliloa.education@gmail.com</t>
  </si>
  <si>
    <t>7 Princes Street</t>
  </si>
  <si>
    <t>Vaivaifolau Kailahi</t>
  </si>
  <si>
    <t>7 Princes St</t>
  </si>
  <si>
    <t>09-3911211</t>
  </si>
  <si>
    <t>Te Tipu Whenua Early Childhood Centre</t>
  </si>
  <si>
    <t>06-6500713</t>
  </si>
  <si>
    <t>ttw.flaxmere@gmail.com</t>
  </si>
  <si>
    <t>151 Flamere Avenue</t>
  </si>
  <si>
    <t>Amy Potter</t>
  </si>
  <si>
    <t>P O Box 5113</t>
  </si>
  <si>
    <t>Napier 4145</t>
  </si>
  <si>
    <t>021-0380129</t>
  </si>
  <si>
    <t>Nurture@Home Tahi</t>
  </si>
  <si>
    <t>Janelle  Johnson Gardiner</t>
  </si>
  <si>
    <t>03-5476631</t>
  </si>
  <si>
    <t>Montessori Little Hands</t>
  </si>
  <si>
    <t>07-2807284</t>
  </si>
  <si>
    <t>309 Rutherford Street</t>
  </si>
  <si>
    <t>Christopher FitzPatrick</t>
  </si>
  <si>
    <t>07-280 7284</t>
  </si>
  <si>
    <t>All About Children - Weymouth</t>
  </si>
  <si>
    <t>436weymouthroad@allaboutchildren.co.nz</t>
  </si>
  <si>
    <t>436 Weymouth Road</t>
  </si>
  <si>
    <t>Little Rugrats Woodville</t>
  </si>
  <si>
    <t>06-376 1003</t>
  </si>
  <si>
    <t>manager.rugrats@gmail.com</t>
  </si>
  <si>
    <t>85 Vogel Street</t>
  </si>
  <si>
    <t>Woodville</t>
  </si>
  <si>
    <t>Alison Sturgess</t>
  </si>
  <si>
    <t>1 Wyndham Street</t>
  </si>
  <si>
    <t>Ashhurst 4810</t>
  </si>
  <si>
    <t>Country Village Preschool</t>
  </si>
  <si>
    <t>09-2393930</t>
  </si>
  <si>
    <t>countryvillage@xtra.co.nz</t>
  </si>
  <si>
    <t>1070 Paerata Rd</t>
  </si>
  <si>
    <t>Michelle Flay</t>
  </si>
  <si>
    <t>09-2320259</t>
  </si>
  <si>
    <t>Fun 'N' Play Childcare Centre</t>
  </si>
  <si>
    <t>09-2782733</t>
  </si>
  <si>
    <t>gordon@funnplay.co.nz</t>
  </si>
  <si>
    <t>99 Portage Road</t>
  </si>
  <si>
    <t>Papatoetoe North West</t>
  </si>
  <si>
    <t>Drury 2579</t>
  </si>
  <si>
    <t>BestStart Fendalton</t>
  </si>
  <si>
    <t>03-3510502</t>
  </si>
  <si>
    <t>fendalton@best-start.org</t>
  </si>
  <si>
    <t>80 Fendalton Road</t>
  </si>
  <si>
    <t>Holmwood</t>
  </si>
  <si>
    <t>Manaia View Kindergarten</t>
  </si>
  <si>
    <t>09-438 2565</t>
  </si>
  <si>
    <t>64 Murdoch Crescent Otaika</t>
  </si>
  <si>
    <t>Little Preschoolers</t>
  </si>
  <si>
    <t>07-8431030</t>
  </si>
  <si>
    <t>2 Morrison Crescent</t>
  </si>
  <si>
    <t>Donna-Lee Johnston</t>
  </si>
  <si>
    <t>Hamilton 3206</t>
  </si>
  <si>
    <t>07-8438418</t>
  </si>
  <si>
    <t>Reggio Bambini Private Preschool &amp; Infant Centre</t>
  </si>
  <si>
    <t>04-2323093</t>
  </si>
  <si>
    <t>reggiobambini@gmail.com</t>
  </si>
  <si>
    <t>24 Main Road</t>
  </si>
  <si>
    <t>Kimberley Pye</t>
  </si>
  <si>
    <t>99 Aotea Drive</t>
  </si>
  <si>
    <t>Porirua 5024</t>
  </si>
  <si>
    <t>The Fire Station Early Learning Centre</t>
  </si>
  <si>
    <t>su@millieshouse.co.nz</t>
  </si>
  <si>
    <t>2 Waipani Road</t>
  </si>
  <si>
    <t>Millie's House Daly Street</t>
  </si>
  <si>
    <t>04-9799849</t>
  </si>
  <si>
    <t>paula@millieshouse.co.nz</t>
  </si>
  <si>
    <t>5 Daly Street</t>
  </si>
  <si>
    <t>C/- Su Costa 17 Hobson Circle, 151 Bassett Road</t>
  </si>
  <si>
    <t>Fairlie Early Learners</t>
  </si>
  <si>
    <t>03-6856263</t>
  </si>
  <si>
    <t>admin@fairlieearlylearners.co.nz</t>
  </si>
  <si>
    <t>19 Hamilton Street</t>
  </si>
  <si>
    <t>Tania Metcalf</t>
  </si>
  <si>
    <t>Fairlie 7925</t>
  </si>
  <si>
    <t>Busy Bees Papamoa Beach</t>
  </si>
  <si>
    <t>07-5623672</t>
  </si>
  <si>
    <t>info@papamoa.busybees.org.nz</t>
  </si>
  <si>
    <t>105 Wairakei Avenue</t>
  </si>
  <si>
    <t>Jennifer Sibley</t>
  </si>
  <si>
    <t>Te Waenganui Childcare Centre</t>
  </si>
  <si>
    <t>09-402 7227</t>
  </si>
  <si>
    <t>1 Ward Drive</t>
  </si>
  <si>
    <t>Opua</t>
  </si>
  <si>
    <t>Ōpua (Far North District)</t>
  </si>
  <si>
    <t>Judith Simpson</t>
  </si>
  <si>
    <t>P O Box 332</t>
  </si>
  <si>
    <t>Paihia 0247</t>
  </si>
  <si>
    <t>Coast Kids on Karepiro</t>
  </si>
  <si>
    <t>09-4242866</t>
  </si>
  <si>
    <t>leonie@coast-kids.co.nz</t>
  </si>
  <si>
    <t>16 Karepiro Drive</t>
  </si>
  <si>
    <t>Leonie Linklater</t>
  </si>
  <si>
    <t>09-424 2866</t>
  </si>
  <si>
    <t>Nurtured at Home - Auckland 3</t>
  </si>
  <si>
    <t>Bambinos Manukau Early Childhood Centre</t>
  </si>
  <si>
    <t>09-262 0227</t>
  </si>
  <si>
    <t>Keti@bambinos.co.nz</t>
  </si>
  <si>
    <t>813 Great South Road</t>
  </si>
  <si>
    <t>09-8151206</t>
  </si>
  <si>
    <t>BestStart Powells Road Kindy</t>
  </si>
  <si>
    <t>07-8540739</t>
  </si>
  <si>
    <t>48 Powells Road</t>
  </si>
  <si>
    <t>Rockmybaby Homebased Childcare Hawke's Bay</t>
  </si>
  <si>
    <t>0800-567566</t>
  </si>
  <si>
    <t>4F Donnelly Street</t>
  </si>
  <si>
    <t xml:space="preserve">Ursula Maidens </t>
  </si>
  <si>
    <t>0800-762569</t>
  </si>
  <si>
    <t>Morrinsville Kids Ltd</t>
  </si>
  <si>
    <t>07-8895508</t>
  </si>
  <si>
    <t>info@morrinsvillekids.co.nz</t>
  </si>
  <si>
    <t>373 Thames Street</t>
  </si>
  <si>
    <t>Sandra Croker</t>
  </si>
  <si>
    <t>P O Box 396</t>
  </si>
  <si>
    <t>Morrinsville 3340</t>
  </si>
  <si>
    <t>027-2878384</t>
  </si>
  <si>
    <t>Growing Learners Childcare &amp; Preschool</t>
  </si>
  <si>
    <t>09-2660640</t>
  </si>
  <si>
    <t>4 Moncrieff Avenue</t>
  </si>
  <si>
    <t>Clendon Park</t>
  </si>
  <si>
    <t>Kavita Bhatia</t>
  </si>
  <si>
    <t>14 Beltany Drive</t>
  </si>
  <si>
    <t>Auckland 2103</t>
  </si>
  <si>
    <t>09-2687200</t>
  </si>
  <si>
    <t>06-3574113</t>
  </si>
  <si>
    <t>303 Karamu Road North</t>
  </si>
  <si>
    <t>Emma Anderson</t>
  </si>
  <si>
    <t>022-4773607</t>
  </si>
  <si>
    <t>Whitianga Explorers 2 Ltd t/a Peanuts ELC</t>
  </si>
  <si>
    <t>07-2119499</t>
  </si>
  <si>
    <t>2 Austin Drive</t>
  </si>
  <si>
    <t>Whitianga North</t>
  </si>
  <si>
    <t>Whitianga 3570</t>
  </si>
  <si>
    <t>The Point Early Childhood Centre</t>
  </si>
  <si>
    <t>09-8464118</t>
  </si>
  <si>
    <t>hello@thepointchildcare.co.nz</t>
  </si>
  <si>
    <t>16 Buxton Street</t>
  </si>
  <si>
    <t>Point Chevalier North</t>
  </si>
  <si>
    <t>Palms Educare (Browns Bay)</t>
  </si>
  <si>
    <t>09-8805181</t>
  </si>
  <si>
    <t>mellyyang0319@gmail.com</t>
  </si>
  <si>
    <t>26-28 Anzac Road</t>
  </si>
  <si>
    <t>Fang Yang</t>
  </si>
  <si>
    <t>39 Wright Road RD 4</t>
  </si>
  <si>
    <t>Auckland 0794</t>
  </si>
  <si>
    <t>09-4739293</t>
  </si>
  <si>
    <t>Nau Mai Mokopuna</t>
  </si>
  <si>
    <t>09-408 1478</t>
  </si>
  <si>
    <t>manager@naumaimokopuna.com</t>
  </si>
  <si>
    <t>4 Pukepoto Road</t>
  </si>
  <si>
    <t>Karlene Andrews</t>
  </si>
  <si>
    <t>1512 Far North Road RD 1</t>
  </si>
  <si>
    <t>Awanui 0486</t>
  </si>
  <si>
    <t>09-406 7598</t>
  </si>
  <si>
    <t>Sovereign Star Nursery and Preschool</t>
  </si>
  <si>
    <t>03-2601023</t>
  </si>
  <si>
    <t>admin@sovereignstarpreschool.co.nz</t>
  </si>
  <si>
    <t>414 William Street</t>
  </si>
  <si>
    <t>Sovereign Palms</t>
  </si>
  <si>
    <t>He Wang Philpott</t>
  </si>
  <si>
    <t>Kaiapoi 7691</t>
  </si>
  <si>
    <t>03-9803962</t>
  </si>
  <si>
    <t>Te Kōhanga Reo o Hinerangi</t>
  </si>
  <si>
    <t>07-325 3705</t>
  </si>
  <si>
    <t>9860 State Highway 35, RD 3</t>
  </si>
  <si>
    <t>Child's Time Penrose</t>
  </si>
  <si>
    <t>09-5800043</t>
  </si>
  <si>
    <t>penrose@childstime.co.nz</t>
  </si>
  <si>
    <t>155 Penrose Road</t>
  </si>
  <si>
    <t>Kate Henry</t>
  </si>
  <si>
    <t>67 Churchouse Road</t>
  </si>
  <si>
    <t>Nurtured at Home Bay (2)</t>
  </si>
  <si>
    <t>Biggles Early Learning Limited</t>
  </si>
  <si>
    <t>07-576 9197</t>
  </si>
  <si>
    <t>203 Ngatai Road</t>
  </si>
  <si>
    <t>Joanna Biggs</t>
  </si>
  <si>
    <t>P O Box 4420</t>
  </si>
  <si>
    <t>Tauranga 3149</t>
  </si>
  <si>
    <t>07-5752866</t>
  </si>
  <si>
    <t>Chrysalis Early Learning Centre</t>
  </si>
  <si>
    <t>09-9640514</t>
  </si>
  <si>
    <t>1 Jomac Place</t>
  </si>
  <si>
    <t>Lollipops Swanson</t>
  </si>
  <si>
    <t>09-835 1900</t>
  </si>
  <si>
    <t>114 Swanson Road</t>
  </si>
  <si>
    <t>Lorraine Duncumb</t>
  </si>
  <si>
    <t>09-306 3756</t>
  </si>
  <si>
    <t>Te Kōhao Kōhungahunga</t>
  </si>
  <si>
    <t>07-8565479</t>
  </si>
  <si>
    <t>elc@tekohaohealth.co.nz</t>
  </si>
  <si>
    <t>60 Tennyson Road</t>
  </si>
  <si>
    <t>Tere Gilbert</t>
  </si>
  <si>
    <t>P O Box 7107</t>
  </si>
  <si>
    <t>07-8530065</t>
  </si>
  <si>
    <t>Te Kaahui Ako o Tainui</t>
  </si>
  <si>
    <t>No-1 Home Based Childcare &amp; Education Service</t>
  </si>
  <si>
    <t>03-None given</t>
  </si>
  <si>
    <t>Riverglade Childcare</t>
  </si>
  <si>
    <t>07-8629202</t>
  </si>
  <si>
    <t>rivergladechildcare@gmail.com</t>
  </si>
  <si>
    <t>63 Belmont Road</t>
  </si>
  <si>
    <t>Learning Adventures Levin</t>
  </si>
  <si>
    <t>06-3670277</t>
  </si>
  <si>
    <t>cm.levin@learningadventures.co.nz</t>
  </si>
  <si>
    <t>40 Weraroa Road</t>
  </si>
  <si>
    <t>Levin West</t>
  </si>
  <si>
    <t>Carmella Rangiuia</t>
  </si>
  <si>
    <t>Sunflowers Preschool Limited</t>
  </si>
  <si>
    <t>03-9751532</t>
  </si>
  <si>
    <t>45 Seymour Street</t>
  </si>
  <si>
    <t>Hawarden</t>
  </si>
  <si>
    <t>Upper Hurunui</t>
  </si>
  <si>
    <t>Nicola Gardner</t>
  </si>
  <si>
    <t>P O Box 96</t>
  </si>
  <si>
    <t>Hawarden 7348</t>
  </si>
  <si>
    <t>Awhi Educare @ Glenholme</t>
  </si>
  <si>
    <t>07-348 1489</t>
  </si>
  <si>
    <t>149 Ranolf Street</t>
  </si>
  <si>
    <t>Poppies Preschool Gardiners Road</t>
  </si>
  <si>
    <t>03-3594007</t>
  </si>
  <si>
    <t>gardiners@poppiespreschool.co.nz</t>
  </si>
  <si>
    <t>344 Gardiners Road</t>
  </si>
  <si>
    <t>Harewood</t>
  </si>
  <si>
    <t>Clearwater</t>
  </si>
  <si>
    <t>Jeanette Allison</t>
  </si>
  <si>
    <t>Wintercreek RD RD1</t>
  </si>
  <si>
    <t>Rangiora 7471</t>
  </si>
  <si>
    <t>03-3131554</t>
  </si>
  <si>
    <t>Kidsfirst Kindergartens Diamond Harbour</t>
  </si>
  <si>
    <t>03-3293391</t>
  </si>
  <si>
    <t>diamondharbour@kidsfirst.org.nz</t>
  </si>
  <si>
    <t>13 Hunters Road</t>
  </si>
  <si>
    <t>Diamond Harbour</t>
  </si>
  <si>
    <t>Curious Minds Early Learning Miramar</t>
  </si>
  <si>
    <t>04-3888343</t>
  </si>
  <si>
    <t>info@miramarchildcare.co.nz</t>
  </si>
  <si>
    <t>392 Broadway</t>
  </si>
  <si>
    <t>Miramar South</t>
  </si>
  <si>
    <t>Nanaksar Educare Centre</t>
  </si>
  <si>
    <t>09-2662071</t>
  </si>
  <si>
    <t>71 Great South Road</t>
  </si>
  <si>
    <t>Organic Kids Limited</t>
  </si>
  <si>
    <t>louandbec@hotmail.com</t>
  </si>
  <si>
    <t>85 Kainga Road</t>
  </si>
  <si>
    <t>Styx</t>
  </si>
  <si>
    <t>Louise Main</t>
  </si>
  <si>
    <t>Christchurch 8083</t>
  </si>
  <si>
    <t>Mighty Minds Montessori House of Children</t>
  </si>
  <si>
    <t>03-4536333</t>
  </si>
  <si>
    <t>66 Springhill Road</t>
  </si>
  <si>
    <t>Mornington</t>
  </si>
  <si>
    <t>Mary Wijesinghe</t>
  </si>
  <si>
    <t>Flat1, 39 Arthur Street</t>
  </si>
  <si>
    <t>Dunedin Central</t>
  </si>
  <si>
    <t>Dunedin 9016</t>
  </si>
  <si>
    <t>Back2Nature - Koru</t>
  </si>
  <si>
    <t>021-031 5575</t>
  </si>
  <si>
    <t>office@back2naturechildcare.co.nz</t>
  </si>
  <si>
    <t>52 Denby Crescent</t>
  </si>
  <si>
    <t>Jenny-Maree Hamilton</t>
  </si>
  <si>
    <t>31 Ogle Crescent, Kamo</t>
  </si>
  <si>
    <t>Waatea Early Childhood Centre</t>
  </si>
  <si>
    <t>09-2759480</t>
  </si>
  <si>
    <t>admin@waateaece.co.nz</t>
  </si>
  <si>
    <t>31 Calthorpe Close</t>
  </si>
  <si>
    <t>Favona West</t>
  </si>
  <si>
    <t>Tania Rangiheuea</t>
  </si>
  <si>
    <t>P O Box 23398</t>
  </si>
  <si>
    <t>09-6222665</t>
  </si>
  <si>
    <t>NatureSpace Early Learning</t>
  </si>
  <si>
    <t>06-3588900</t>
  </si>
  <si>
    <t>165 Tutaki Road</t>
  </si>
  <si>
    <t>Whakarongo</t>
  </si>
  <si>
    <t>Lisa Sae</t>
  </si>
  <si>
    <t>12 Tabak Crescent</t>
  </si>
  <si>
    <t>Palmerston North 4412</t>
  </si>
  <si>
    <t>027-229 9096</t>
  </si>
  <si>
    <t>Omokoroa Pre School</t>
  </si>
  <si>
    <t>07-5482626</t>
  </si>
  <si>
    <t>144 Margaret Drive</t>
  </si>
  <si>
    <t>Robyn Haaker</t>
  </si>
  <si>
    <t>Seedlings Nature Kindergarten</t>
  </si>
  <si>
    <t>06-7586694</t>
  </si>
  <si>
    <t>19 Hadley Drive, RD 1</t>
  </si>
  <si>
    <t>Tania Mitchell</t>
  </si>
  <si>
    <t>New Plymouth 4371</t>
  </si>
  <si>
    <t>Blossoms Educare Takanini</t>
  </si>
  <si>
    <t>239 Porchester Road</t>
  </si>
  <si>
    <t>Takanini East</t>
  </si>
  <si>
    <t>BestStart Papakura</t>
  </si>
  <si>
    <t>09-550 0845</t>
  </si>
  <si>
    <t>papakura@best-start.org</t>
  </si>
  <si>
    <t>4 View Road</t>
  </si>
  <si>
    <t>Te Kōhanga Reo O Ngāti Hineaute Ki Rangitaane o Manawatū</t>
  </si>
  <si>
    <t>06-355-3931</t>
  </si>
  <si>
    <t>117 - 119 Highbury Avenue</t>
  </si>
  <si>
    <t>Little Einsteins Montessori (MacDonald Street)</t>
  </si>
  <si>
    <t>07-5725916</t>
  </si>
  <si>
    <t>1 MacDonald Street</t>
  </si>
  <si>
    <t>Emma Louise Booth</t>
  </si>
  <si>
    <t>Tauranga 3116</t>
  </si>
  <si>
    <t>07-574 7789</t>
  </si>
  <si>
    <t>No-1 Home Based Childcare &amp; Education Service 2</t>
  </si>
  <si>
    <t>Akoteu Sia-ae-toutaiola</t>
  </si>
  <si>
    <t>09-2794894</t>
  </si>
  <si>
    <t>12 Claude Ave</t>
  </si>
  <si>
    <t>Mary-Anne Toetu'u</t>
  </si>
  <si>
    <t>4 Sabre Place</t>
  </si>
  <si>
    <t>Kaliloa Home-Based ECE 2</t>
  </si>
  <si>
    <t>09-2574618</t>
  </si>
  <si>
    <t>Little Farm Pre- School and Nursery</t>
  </si>
  <si>
    <t>04-2986166</t>
  </si>
  <si>
    <t>62 Ratanui Road</t>
  </si>
  <si>
    <t>Paraparaumu North</t>
  </si>
  <si>
    <t>'Api Fakakoloa Nima</t>
  </si>
  <si>
    <t>topa.tait@apifakakoloa.co.nz</t>
  </si>
  <si>
    <t>Pakuranga Montessori by Busy Bees</t>
  </si>
  <si>
    <t>Jolene.Stadler@busybee.org.nz</t>
  </si>
  <si>
    <t>65 Reeves Road</t>
  </si>
  <si>
    <t>Nurtured at Home - Wellington 6</t>
  </si>
  <si>
    <t>Glenbrae KIDS Early Learning Centre</t>
  </si>
  <si>
    <t>09-578 0493</t>
  </si>
  <si>
    <t>office@glenbraekids.co.nz</t>
  </si>
  <si>
    <t>C/- 103 Leybourne Circle</t>
  </si>
  <si>
    <t>No-1 Home Based Childcare &amp; Education Service 3</t>
  </si>
  <si>
    <t>09-4153389</t>
  </si>
  <si>
    <t>brett@no-1group.co.nz</t>
  </si>
  <si>
    <t>Wairakei Kindergarten</t>
  </si>
  <si>
    <t>07-542 1250</t>
  </si>
  <si>
    <t>101 Wairakei Avenue</t>
  </si>
  <si>
    <t>Real Kids Early Learning Centre</t>
  </si>
  <si>
    <t>021-627 458</t>
  </si>
  <si>
    <t>info@realkidsnz.co.nz</t>
  </si>
  <si>
    <t>327 Hobsonville Road</t>
  </si>
  <si>
    <t>Christopher Barlow</t>
  </si>
  <si>
    <t>646 Ridge Road</t>
  </si>
  <si>
    <t>09-4127456</t>
  </si>
  <si>
    <t>Nurture Early Learning - Onehunga</t>
  </si>
  <si>
    <t>09-282 4624</t>
  </si>
  <si>
    <t>tkroef@nurtureearlylearning.co.nz</t>
  </si>
  <si>
    <t>364 Onehunga Mall</t>
  </si>
  <si>
    <t>Te Puna Reo o Pukehinahina</t>
  </si>
  <si>
    <t>07-5776869</t>
  </si>
  <si>
    <t>C/o Gate Pa School, 900 Cameron Road</t>
  </si>
  <si>
    <t>Lisa Steed</t>
  </si>
  <si>
    <t>900 Cameron Road</t>
  </si>
  <si>
    <t>Te Puna Reo o Puawai</t>
  </si>
  <si>
    <t>07-3459109</t>
  </si>
  <si>
    <t>77-79 Pohutukawa Drive</t>
  </si>
  <si>
    <t>Nicola Amotawa</t>
  </si>
  <si>
    <t>P O Box 7057</t>
  </si>
  <si>
    <t>Kaipara Kids Early Learning Centre</t>
  </si>
  <si>
    <t>09-431 8765</t>
  </si>
  <si>
    <t>office@kaiparakids.co.nz</t>
  </si>
  <si>
    <t>182 Hurndall Street</t>
  </si>
  <si>
    <t>Michelle Cannon</t>
  </si>
  <si>
    <t>278 Mountain Road RD 2</t>
  </si>
  <si>
    <t>Maungaturoto 0587</t>
  </si>
  <si>
    <t>Nurtured At Home (Gisborne) 1</t>
  </si>
  <si>
    <t>027-4632595</t>
  </si>
  <si>
    <t>234 Bankwood Rd</t>
  </si>
  <si>
    <t>Andrea Windelev</t>
  </si>
  <si>
    <t>021-632 233</t>
  </si>
  <si>
    <t>Puawai Childcare Centre</t>
  </si>
  <si>
    <t>06-9297965</t>
  </si>
  <si>
    <t>35 Perry Street</t>
  </si>
  <si>
    <t>Jolene Newbery</t>
  </si>
  <si>
    <t>BestStart Naenae</t>
  </si>
  <si>
    <t>04-550 0610</t>
  </si>
  <si>
    <t>naenae@best-start.org</t>
  </si>
  <si>
    <t>244 Naenae Road</t>
  </si>
  <si>
    <t>Naenae North</t>
  </si>
  <si>
    <t>KIDS CAVE</t>
  </si>
  <si>
    <t>07-8491985</t>
  </si>
  <si>
    <t>19 Kahu Crescent</t>
  </si>
  <si>
    <t>Vishal Shukla</t>
  </si>
  <si>
    <t>308 Grandview Road</t>
  </si>
  <si>
    <t>021-1535232</t>
  </si>
  <si>
    <t>Mighty Minds Educare</t>
  </si>
  <si>
    <t>09-525 6868</t>
  </si>
  <si>
    <t>Level 1, Unit 7 531 Great South Road</t>
  </si>
  <si>
    <t>Cheng-Jung Lin</t>
  </si>
  <si>
    <t>11A Pakuranga Road</t>
  </si>
  <si>
    <t>Lifewise ECE Waimumu Road</t>
  </si>
  <si>
    <t>09-2823015</t>
  </si>
  <si>
    <t>112 Waimumu Road</t>
  </si>
  <si>
    <t>Massey South</t>
  </si>
  <si>
    <t>Bell St Early Learning Centre Ltd - Martinborough</t>
  </si>
  <si>
    <t>admin@bellst.co.nz</t>
  </si>
  <si>
    <t>14 Kitchener Street</t>
  </si>
  <si>
    <t>Martinborough</t>
  </si>
  <si>
    <t>Martinborough Ward</t>
  </si>
  <si>
    <t>09-9730544</t>
  </si>
  <si>
    <t>info@piccolopark.co.nz</t>
  </si>
  <si>
    <t>415 Tirakau Drive</t>
  </si>
  <si>
    <t>Huntington Park</t>
  </si>
  <si>
    <t>Piritahi Childcare</t>
  </si>
  <si>
    <t>09-3720022</t>
  </si>
  <si>
    <t>piritahichildcare@xtra.co.nz</t>
  </si>
  <si>
    <t>53 Tahatai Road</t>
  </si>
  <si>
    <t>Judy Davis</t>
  </si>
  <si>
    <t>P O Box 588</t>
  </si>
  <si>
    <t>Waiheke Island 1081</t>
  </si>
  <si>
    <t>Ngapuna Early Learning Centre</t>
  </si>
  <si>
    <t>022-0118304</t>
  </si>
  <si>
    <t>23 Hona Road</t>
  </si>
  <si>
    <t>Ngapuna</t>
  </si>
  <si>
    <t>Maria Dansey</t>
  </si>
  <si>
    <t>48 Wynne Gray Avenue</t>
  </si>
  <si>
    <t>The Salvation Army Early Childhood Education Centre</t>
  </si>
  <si>
    <t>09-9054619</t>
  </si>
  <si>
    <t>mtwellington.ecec@salvationarmy.org.nz</t>
  </si>
  <si>
    <t>18 Allright Place</t>
  </si>
  <si>
    <t>Mount Wellington Industrial</t>
  </si>
  <si>
    <t>Helen Armstrong</t>
  </si>
  <si>
    <t>No-1 Home Based Childcare &amp; Education Service 4</t>
  </si>
  <si>
    <t>Tuitui Educare</t>
  </si>
  <si>
    <t>09-2144857</t>
  </si>
  <si>
    <t>info@tuituieducare.co.nz</t>
  </si>
  <si>
    <t>4 Browns Road</t>
  </si>
  <si>
    <t>Fiona He</t>
  </si>
  <si>
    <t>20a Baird Street</t>
  </si>
  <si>
    <t>021-0621697</t>
  </si>
  <si>
    <t>'Api Fakakoloa Ono</t>
  </si>
  <si>
    <t>Hand and Hand Childcare Centre</t>
  </si>
  <si>
    <t>09-2727086</t>
  </si>
  <si>
    <t>flatbush@handandhand.co.nz</t>
  </si>
  <si>
    <t xml:space="preserve"> 30 Manchester Drive</t>
  </si>
  <si>
    <t>Mengmeng (Mel) Zhu</t>
  </si>
  <si>
    <t>90 Michaels Avenue</t>
  </si>
  <si>
    <t>021-02380338</t>
  </si>
  <si>
    <t>Wee Nippers Mosgiel Ltd</t>
  </si>
  <si>
    <t>0508-9336477</t>
  </si>
  <si>
    <t>1 Ayrshire Drive</t>
  </si>
  <si>
    <t>Mosgiel East</t>
  </si>
  <si>
    <t>Natalie Tisdall</t>
  </si>
  <si>
    <t>03-4553337</t>
  </si>
  <si>
    <t>Cust Preschool</t>
  </si>
  <si>
    <t>03-3102343</t>
  </si>
  <si>
    <t>custpreschool@gmail.com</t>
  </si>
  <si>
    <t>452 Early's Road</t>
  </si>
  <si>
    <t>Cust</t>
  </si>
  <si>
    <t>Starvation Hill-Cust</t>
  </si>
  <si>
    <t>Amy Blatch</t>
  </si>
  <si>
    <t>P O Box 1</t>
  </si>
  <si>
    <t>Cust 7444</t>
  </si>
  <si>
    <t>03-3125492</t>
  </si>
  <si>
    <t>Inspiring Minds Montessori Pre-School</t>
  </si>
  <si>
    <t>06-355 3354</t>
  </si>
  <si>
    <t>11 Matipo Street</t>
  </si>
  <si>
    <t>Takaro North</t>
  </si>
  <si>
    <t>Rihana Lathiff</t>
  </si>
  <si>
    <t>26A Collingwood Street</t>
  </si>
  <si>
    <t>First Years Learning Centre</t>
  </si>
  <si>
    <t>06-927 5402</t>
  </si>
  <si>
    <t>38 Smithfield Road</t>
  </si>
  <si>
    <t>Tawhero</t>
  </si>
  <si>
    <t>Katrina Culhane</t>
  </si>
  <si>
    <t>Whanganui 4500</t>
  </si>
  <si>
    <t>06-9275402</t>
  </si>
  <si>
    <t>Kindercare Learning Centres - Wigram Skies (219)</t>
  </si>
  <si>
    <t>03-3221717</t>
  </si>
  <si>
    <t>wigramskies@kindercare.co.nz</t>
  </si>
  <si>
    <t>151 Corsair Drive</t>
  </si>
  <si>
    <t>Wigram North</t>
  </si>
  <si>
    <t>Kindercare Learning Centres - Fairfield</t>
  </si>
  <si>
    <t>07-8550045</t>
  </si>
  <si>
    <t>fairfield@kindercare.co.nz</t>
  </si>
  <si>
    <t>355 Peachgrove Road</t>
  </si>
  <si>
    <t>Love and Learn Care and Education</t>
  </si>
  <si>
    <t>06-3437953</t>
  </si>
  <si>
    <t>65 Hakeke Street</t>
  </si>
  <si>
    <t>Whanganui East-Williams Domain</t>
  </si>
  <si>
    <t>Marie Butturini</t>
  </si>
  <si>
    <t>1 Woburn Place</t>
  </si>
  <si>
    <t>St Margaret's Pre-school</t>
  </si>
  <si>
    <t>03-3792000</t>
  </si>
  <si>
    <t>preschool@stmargarets.school.nz</t>
  </si>
  <si>
    <t>12 Winchester Street</t>
  </si>
  <si>
    <t>Diana Patchett</t>
  </si>
  <si>
    <t>PO Box 25094</t>
  </si>
  <si>
    <t>Christchurch 8144</t>
  </si>
  <si>
    <t>BestStart Marne Street</t>
  </si>
  <si>
    <t>06-3530092</t>
  </si>
  <si>
    <t>17-19 Marne Street</t>
  </si>
  <si>
    <t>Natural Wonders Early Learning Centre</t>
  </si>
  <si>
    <t>09-4237773</t>
  </si>
  <si>
    <t>51 Davies Road</t>
  </si>
  <si>
    <t>Meaghan Cook</t>
  </si>
  <si>
    <t>Wellsford 0900</t>
  </si>
  <si>
    <t>Valleys Little and Junior Treasures</t>
  </si>
  <si>
    <t>09-4377714/4591023</t>
  </si>
  <si>
    <t>valleyslittletreasures@gmail.com</t>
  </si>
  <si>
    <t>1 &amp; 2 Paranui Crescent</t>
  </si>
  <si>
    <t>Amy Griffiths</t>
  </si>
  <si>
    <t>2 Paranui Crescent</t>
  </si>
  <si>
    <t>09-459 1023</t>
  </si>
  <si>
    <t>Pokeno Explorers Ltd t/a Urban Explorers</t>
  </si>
  <si>
    <t>09-9477958</t>
  </si>
  <si>
    <t>info@urbanexplorers.co.nz</t>
  </si>
  <si>
    <t>12 Helenslee Road</t>
  </si>
  <si>
    <t>Pōkeno North</t>
  </si>
  <si>
    <t>Robyn Lamont</t>
  </si>
  <si>
    <t>2c Wilton Street</t>
  </si>
  <si>
    <t>021-0487245</t>
  </si>
  <si>
    <t>Scallywaggs Tots &amp; Toddlers</t>
  </si>
  <si>
    <t>5 Russell Street</t>
  </si>
  <si>
    <t>Halswell Nest Early Learning</t>
  </si>
  <si>
    <t>03-3221121</t>
  </si>
  <si>
    <t>Halswell South</t>
  </si>
  <si>
    <t>Giggles and Scribbles Early Learning Centre Limited</t>
  </si>
  <si>
    <t>03-3253 350</t>
  </si>
  <si>
    <t>office@gselc.co.nz</t>
  </si>
  <si>
    <t>584 Birchs Road</t>
  </si>
  <si>
    <t>P O Box 69259</t>
  </si>
  <si>
    <t>Christchurch 7608</t>
  </si>
  <si>
    <t>Nurtured at Home - Auckland 5</t>
  </si>
  <si>
    <t>Educare Kāpiti</t>
  </si>
  <si>
    <t>027-8129092</t>
  </si>
  <si>
    <t>lucy.d@educare.co.nz</t>
  </si>
  <si>
    <t>10 Tararua Street</t>
  </si>
  <si>
    <t>Lucy Duncan</t>
  </si>
  <si>
    <t>11 Wairau Drive</t>
  </si>
  <si>
    <t>Kids Cove ELC, Albany</t>
  </si>
  <si>
    <t>09-4444028</t>
  </si>
  <si>
    <t>10 Corinthian Drive</t>
  </si>
  <si>
    <t>Nōku Te Ao Ki Te Pā</t>
  </si>
  <si>
    <t>03-3856570</t>
  </si>
  <si>
    <t>7 McLean Street</t>
  </si>
  <si>
    <t>Dyanna Stirling</t>
  </si>
  <si>
    <t>6 Birchgrove Gardens</t>
  </si>
  <si>
    <t>03-385 6570</t>
  </si>
  <si>
    <t>Bright Kidz Childcare</t>
  </si>
  <si>
    <t xml:space="preserve">027- </t>
  </si>
  <si>
    <t>144 Buckland Road</t>
  </si>
  <si>
    <t>Massey Road South</t>
  </si>
  <si>
    <t>Rajul Kothari</t>
  </si>
  <si>
    <t>10 Mission Heights Drive</t>
  </si>
  <si>
    <t>Little Rock Preschool</t>
  </si>
  <si>
    <t>littlerockpreschool2019@gmail.com</t>
  </si>
  <si>
    <t>1056 Brighton Road</t>
  </si>
  <si>
    <t>Brighton</t>
  </si>
  <si>
    <t>Karen McCauley</t>
  </si>
  <si>
    <t>121 Main South Road</t>
  </si>
  <si>
    <t>East Taieri</t>
  </si>
  <si>
    <t>Mosgiel 9024</t>
  </si>
  <si>
    <t>The Gardens Education Mill Road Limited</t>
  </si>
  <si>
    <t>09-2666612</t>
  </si>
  <si>
    <t>millroad@thegardens.co.nz</t>
  </si>
  <si>
    <t>310 Mill Road</t>
  </si>
  <si>
    <t>Ardmore</t>
  </si>
  <si>
    <t>Auckland 2576</t>
  </si>
  <si>
    <t>Kia ora Kids at Home Childcare  1</t>
  </si>
  <si>
    <t>027-5281668</t>
  </si>
  <si>
    <t>info@awachildcare.co.nz</t>
  </si>
  <si>
    <t>Spotted Frog Preschool</t>
  </si>
  <si>
    <t>09-6222107</t>
  </si>
  <si>
    <t>emmalucygoodwin@hotmail.com</t>
  </si>
  <si>
    <t>41 B McIntyre Road</t>
  </si>
  <si>
    <t>Emma Goodwin</t>
  </si>
  <si>
    <t>71B McIntyre Road</t>
  </si>
  <si>
    <t>021-08225164</t>
  </si>
  <si>
    <t>The Secret Garden Huapai</t>
  </si>
  <si>
    <t>09-4129995</t>
  </si>
  <si>
    <t>info@thesecretgardenhuapai.co.nz</t>
  </si>
  <si>
    <t>399 Main Road</t>
  </si>
  <si>
    <t>Jodi Browne</t>
  </si>
  <si>
    <t>1 Grassfield Place</t>
  </si>
  <si>
    <t>Auckland 0812</t>
  </si>
  <si>
    <t>Nurtured at Home Waikato 1</t>
  </si>
  <si>
    <t>Pandas Home Care</t>
  </si>
  <si>
    <t>03-3180818</t>
  </si>
  <si>
    <t>6 Protea Place</t>
  </si>
  <si>
    <t>Awatea North</t>
  </si>
  <si>
    <t>Yao  Tong</t>
  </si>
  <si>
    <t>Newbies Early Learning Centre</t>
  </si>
  <si>
    <t>09-418 4648</t>
  </si>
  <si>
    <t>204 Lake Road</t>
  </si>
  <si>
    <t>Mandy Jones</t>
  </si>
  <si>
    <t>18 Le Roy Terrace</t>
  </si>
  <si>
    <t>09-4196297</t>
  </si>
  <si>
    <t>07-9269277</t>
  </si>
  <si>
    <t>58 Panorama Drive, RD 5</t>
  </si>
  <si>
    <t>58 Panorama Drive</t>
  </si>
  <si>
    <t>Pohutukawa Preschool</t>
  </si>
  <si>
    <t>07-3087752</t>
  </si>
  <si>
    <t>53-55 James Street</t>
  </si>
  <si>
    <t>Kopeopeo</t>
  </si>
  <si>
    <t>Nicole Fleming</t>
  </si>
  <si>
    <t>409a West Bank Road RD 2</t>
  </si>
  <si>
    <t>Stokes Valley Community Childcare Centre Inc.</t>
  </si>
  <si>
    <t>04-5637279</t>
  </si>
  <si>
    <t>finance.svccc@gmail.com</t>
  </si>
  <si>
    <t>126 Stokes Valley Road</t>
  </si>
  <si>
    <t>Sara McLean</t>
  </si>
  <si>
    <t>P O Box 37138</t>
  </si>
  <si>
    <t>Lower Hutt 5019</t>
  </si>
  <si>
    <t>027-499 6242</t>
  </si>
  <si>
    <t>Happy Hearts Riverhead Early Learning Centre</t>
  </si>
  <si>
    <t>09-4127745</t>
  </si>
  <si>
    <t>office@happyheartselc.co.nz</t>
  </si>
  <si>
    <t>2 Albert Street</t>
  </si>
  <si>
    <t>Alina Cook</t>
  </si>
  <si>
    <t>Riverhead 0820</t>
  </si>
  <si>
    <t>Ferrymead Preschool and Nursery</t>
  </si>
  <si>
    <t>03-3848026</t>
  </si>
  <si>
    <t>admin@ferrymeadpreschool.co.nz</t>
  </si>
  <si>
    <t>12 E Settlers Crescent</t>
  </si>
  <si>
    <t>Ferrymead</t>
  </si>
  <si>
    <t>Brookhaven-Ferrymead</t>
  </si>
  <si>
    <t>Tamasine Glassford</t>
  </si>
  <si>
    <t>Christchurch 8023</t>
  </si>
  <si>
    <t>03-3840097</t>
  </si>
  <si>
    <t>AoKids/Papakura</t>
  </si>
  <si>
    <t>09-2981960</t>
  </si>
  <si>
    <t>1 Prictor St</t>
  </si>
  <si>
    <t>PO Box 76107</t>
  </si>
  <si>
    <t>Kids Connect</t>
  </si>
  <si>
    <t>09-9654489</t>
  </si>
  <si>
    <t>shambhavi@kidsconnect.co.nz</t>
  </si>
  <si>
    <t>Unit 15, 217 - 225 Great South Road</t>
  </si>
  <si>
    <t>Shambhavi Shirsat</t>
  </si>
  <si>
    <t>15 Heathridge Place</t>
  </si>
  <si>
    <t>Pebbles Montessori Cashmere</t>
  </si>
  <si>
    <t>03-928 2285</t>
  </si>
  <si>
    <t>admin@pebbles.nz</t>
  </si>
  <si>
    <t>26 Colombo Street</t>
  </si>
  <si>
    <t>Anisa MacLean</t>
  </si>
  <si>
    <t>021-08175270</t>
  </si>
  <si>
    <t>Kiddy Winkles Westgate</t>
  </si>
  <si>
    <t>09-8321212</t>
  </si>
  <si>
    <t>allen@kiddywinkles.co.nz</t>
  </si>
  <si>
    <t>19 Fernhill Drive</t>
  </si>
  <si>
    <t>Westgate Central</t>
  </si>
  <si>
    <t>Allen Court</t>
  </si>
  <si>
    <t>P O Box 301514</t>
  </si>
  <si>
    <t>Busy Bees Grandview Road</t>
  </si>
  <si>
    <t>021-894999</t>
  </si>
  <si>
    <t>info@busybees.org.nz</t>
  </si>
  <si>
    <t>162 Grandview Road</t>
  </si>
  <si>
    <t>Celeste Marsh</t>
  </si>
  <si>
    <t>027-2566648</t>
  </si>
  <si>
    <t>BestStart Faringdon</t>
  </si>
  <si>
    <t>03-5502076</t>
  </si>
  <si>
    <t>faringdon@best-start.org</t>
  </si>
  <si>
    <t>53 Chandler Way</t>
  </si>
  <si>
    <t>Faringdon</t>
  </si>
  <si>
    <t>Puawai - Homebased Childcare</t>
  </si>
  <si>
    <t>0800-427829</t>
  </si>
  <si>
    <t>puawai_homebased@outlook.com</t>
  </si>
  <si>
    <t>21 Addington Avenue</t>
  </si>
  <si>
    <t>Mavis Taratu</t>
  </si>
  <si>
    <t>P O Box 276093</t>
  </si>
  <si>
    <t>BestStart Prestons</t>
  </si>
  <si>
    <t xml:space="preserve">03-5502075         </t>
  </si>
  <si>
    <t>prestons@best-start.org</t>
  </si>
  <si>
    <t>64 Te Korari Street</t>
  </si>
  <si>
    <t>Prestons</t>
  </si>
  <si>
    <t>Bloesem Early Learning Centre</t>
  </si>
  <si>
    <t>07-5734123</t>
  </si>
  <si>
    <t>109 Cameron Road</t>
  </si>
  <si>
    <t>121A Oceanview Road</t>
  </si>
  <si>
    <t>Te Kōhanga Reo o Ngā Manu Tui</t>
  </si>
  <si>
    <t>06-3451019</t>
  </si>
  <si>
    <t>40 Brunswick Road</t>
  </si>
  <si>
    <t>YMCA Community Early Years Learning Centre</t>
  </si>
  <si>
    <t>06-3496117</t>
  </si>
  <si>
    <t>125 Grey Street</t>
  </si>
  <si>
    <t>Andrew Savage</t>
  </si>
  <si>
    <t>P O Box 622</t>
  </si>
  <si>
    <t>021-384211</t>
  </si>
  <si>
    <t>Te Rito, Te Kāinga Reo</t>
  </si>
  <si>
    <t>23 Walters Way</t>
  </si>
  <si>
    <t>Cable Bay-Kaitaia</t>
  </si>
  <si>
    <t>Kumeu Montessori Preschool</t>
  </si>
  <si>
    <t>09-4129885</t>
  </si>
  <si>
    <t>managers@kumeumontessori.co.nz</t>
  </si>
  <si>
    <t>8 Grivelle Street</t>
  </si>
  <si>
    <t>Danielle McNaughton</t>
  </si>
  <si>
    <t>183 Bayer Road RD 1</t>
  </si>
  <si>
    <t>North Shore City 0994</t>
  </si>
  <si>
    <t>+64  0211239113</t>
  </si>
  <si>
    <t>Multilingual Kids</t>
  </si>
  <si>
    <t>09-4820914</t>
  </si>
  <si>
    <t>9 Altair Place</t>
  </si>
  <si>
    <t>Elena  Orlova</t>
  </si>
  <si>
    <t>BestStart Portage Road Kindy</t>
  </si>
  <si>
    <t>portage.kindy@best-start.org</t>
  </si>
  <si>
    <t>17-19 Portage Road</t>
  </si>
  <si>
    <t>Mount Wellington South West</t>
  </si>
  <si>
    <t>Cherry Grove Childcare and Family Centre</t>
  </si>
  <si>
    <t>06-8774488</t>
  </si>
  <si>
    <t>enquiries@cherrygrove.co.nz</t>
  </si>
  <si>
    <t>95 Napier Road</t>
  </si>
  <si>
    <t>Brendon Dawson</t>
  </si>
  <si>
    <t>P O Box 8212</t>
  </si>
  <si>
    <t>Havelock North 4130</t>
  </si>
  <si>
    <t>027-5646414</t>
  </si>
  <si>
    <t>Li'l Champs Educare 3</t>
  </si>
  <si>
    <t>09-2712273</t>
  </si>
  <si>
    <t>admin@lilchamps.co.nz</t>
  </si>
  <si>
    <t>479 B Ormiston Road</t>
  </si>
  <si>
    <t>Tuscany Heights</t>
  </si>
  <si>
    <t>Rupa Kaur</t>
  </si>
  <si>
    <t>479B Ormiston Road</t>
  </si>
  <si>
    <t>Mauri</t>
  </si>
  <si>
    <t>carol@mauri.net.nz</t>
  </si>
  <si>
    <t>2 Blencowe Street</t>
  </si>
  <si>
    <t>Carol Reti</t>
  </si>
  <si>
    <t>AhiKaa Childcare Charitable Trust</t>
  </si>
  <si>
    <t>09-408 3729</t>
  </si>
  <si>
    <t>365 Kumi Road, Awanui</t>
  </si>
  <si>
    <t>Teri Norman</t>
  </si>
  <si>
    <t>334 Pairatahi Road, RD 3</t>
  </si>
  <si>
    <t>Home Grown Education</t>
  </si>
  <si>
    <t>09-2166797</t>
  </si>
  <si>
    <t>admin@homegrowned.co.nz</t>
  </si>
  <si>
    <t>12 Rosella Rd</t>
  </si>
  <si>
    <t>Casey Smith</t>
  </si>
  <si>
    <t>P O Box 86012</t>
  </si>
  <si>
    <t>09-2747966</t>
  </si>
  <si>
    <t>Bright Beginnings Early Learning Centre - Panmure</t>
  </si>
  <si>
    <t>09-570 7427</t>
  </si>
  <si>
    <t>8 Kings Road</t>
  </si>
  <si>
    <t>Nikita Kohli</t>
  </si>
  <si>
    <t>09-5344 733</t>
  </si>
  <si>
    <t>Busy Bees Hastings</t>
  </si>
  <si>
    <t>06-8706950</t>
  </si>
  <si>
    <t>info@hastings.busybees.org.nz</t>
  </si>
  <si>
    <t>923 Southampton Street West</t>
  </si>
  <si>
    <t>Tracey  James</t>
  </si>
  <si>
    <t>Wonder Home-based ECE</t>
  </si>
  <si>
    <t>vetikailahi@gmail.com</t>
  </si>
  <si>
    <t>47 A Valiant Street</t>
  </si>
  <si>
    <t>Vaopina Kailahi</t>
  </si>
  <si>
    <t>manaiaece@gmail.com</t>
  </si>
  <si>
    <t>132 Wireless Road</t>
  </si>
  <si>
    <t>Brooke Lisle</t>
  </si>
  <si>
    <t>9 Tahetoka Lane</t>
  </si>
  <si>
    <t>BestStart Karaka</t>
  </si>
  <si>
    <t>09-2962937</t>
  </si>
  <si>
    <t>karaka@best-start.org</t>
  </si>
  <si>
    <t>71 Hingaia Rd</t>
  </si>
  <si>
    <t>Littlelees Preschool</t>
  </si>
  <si>
    <t>07-8556699</t>
  </si>
  <si>
    <t>littleleespreschool@gmail.com</t>
  </si>
  <si>
    <t>91 Thomas Road</t>
  </si>
  <si>
    <t>Yan Ma</t>
  </si>
  <si>
    <t>Good Beginnings Early Learning Centre</t>
  </si>
  <si>
    <t>06-3558501</t>
  </si>
  <si>
    <t>28 Shamrock Street</t>
  </si>
  <si>
    <t>Lynne Crosswell</t>
  </si>
  <si>
    <t>95 Willow Park Drive RD 11</t>
  </si>
  <si>
    <t>Masterton 5871</t>
  </si>
  <si>
    <t>06-3570613</t>
  </si>
  <si>
    <t>Evergreen Early Learning Centre</t>
  </si>
  <si>
    <t>07-4445051</t>
  </si>
  <si>
    <t>584B Ruakura Road</t>
  </si>
  <si>
    <t>Newstead</t>
  </si>
  <si>
    <t>Heidi Lewis</t>
  </si>
  <si>
    <t>Hamilton 3286</t>
  </si>
  <si>
    <t>Khandallah Nursery School</t>
  </si>
  <si>
    <t>027-399 4888</t>
  </si>
  <si>
    <t>enrolments@nurseryschool.co.nz</t>
  </si>
  <si>
    <t>3 Station Road</t>
  </si>
  <si>
    <t>Peter Reynolds</t>
  </si>
  <si>
    <t>Kelburn</t>
  </si>
  <si>
    <t>027-4776226</t>
  </si>
  <si>
    <t>Rockmybaby Hawke's Bay 2</t>
  </si>
  <si>
    <t>ursula@rockmybaby.co.nz</t>
  </si>
  <si>
    <t>BestStart Pyes Pa</t>
  </si>
  <si>
    <t>07-5621130</t>
  </si>
  <si>
    <t>83 Pyes Pa Road</t>
  </si>
  <si>
    <t>Pyes Pa North</t>
  </si>
  <si>
    <t>Kauri Learners, Early Education, Whitianga</t>
  </si>
  <si>
    <t>07-8665513</t>
  </si>
  <si>
    <t>office.kaurilearners@gmail.com</t>
  </si>
  <si>
    <t>16 South Highway</t>
  </si>
  <si>
    <t>Kelly McKinney</t>
  </si>
  <si>
    <t>PO Box 429</t>
  </si>
  <si>
    <t>07-8665002</t>
  </si>
  <si>
    <t>Peachgrove Road Educare Ltd</t>
  </si>
  <si>
    <t>07-8583552</t>
  </si>
  <si>
    <t>93a Peachgrove Road</t>
  </si>
  <si>
    <t>Paula Ruston</t>
  </si>
  <si>
    <t>027-2683406</t>
  </si>
  <si>
    <t>Fatamanu Aoga Niue Early Learning Centre</t>
  </si>
  <si>
    <t>09-2715502</t>
  </si>
  <si>
    <t>fatamanu@fatamanu.school.nz</t>
  </si>
  <si>
    <t>52S - E  Otara Road</t>
  </si>
  <si>
    <t>Einoliatama Poimatagi</t>
  </si>
  <si>
    <t>P O Box 61122</t>
  </si>
  <si>
    <t>09-238 2866</t>
  </si>
  <si>
    <t>Pukekohe Early Learning Centre</t>
  </si>
  <si>
    <t>09-2388 585</t>
  </si>
  <si>
    <t>hello@kohe.co.nz</t>
  </si>
  <si>
    <t>1 Harrington Avenue</t>
  </si>
  <si>
    <t>Amy Bethune</t>
  </si>
  <si>
    <t>38 Michaels Avenue</t>
  </si>
  <si>
    <t>Good Seeds Children's Centre (Mt Wellington)</t>
  </si>
  <si>
    <t>09- 275 1065</t>
  </si>
  <si>
    <t>11 Peace Avenue</t>
  </si>
  <si>
    <t>Mount Wellington South East</t>
  </si>
  <si>
    <t>Educare Totara Park</t>
  </si>
  <si>
    <t>09-971 7577</t>
  </si>
  <si>
    <t>11 Wairau Drive, Totara Parklands</t>
  </si>
  <si>
    <t>Stepping Stones @ Braebrook</t>
  </si>
  <si>
    <t>03-3072088</t>
  </si>
  <si>
    <t>makayla@steppingstones.net.nz</t>
  </si>
  <si>
    <t>1-3 Redhaven Rise</t>
  </si>
  <si>
    <t>Makayla Cromie</t>
  </si>
  <si>
    <t xml:space="preserve">1-3 Redhaven Rise </t>
  </si>
  <si>
    <t>027-372 9992</t>
  </si>
  <si>
    <t>Poimaino 2 Homebased Chidcare</t>
  </si>
  <si>
    <t>09-3022639</t>
  </si>
  <si>
    <t>asinate@poimaino.co.nz</t>
  </si>
  <si>
    <t>44 Chelburn Cres</t>
  </si>
  <si>
    <t>Asinate Akolo</t>
  </si>
  <si>
    <t>P O Box 86044</t>
  </si>
  <si>
    <t>09-2755251</t>
  </si>
  <si>
    <t>Little Settlers</t>
  </si>
  <si>
    <t>09-2360266</t>
  </si>
  <si>
    <t>sam@littlesettlers.co.nz</t>
  </si>
  <si>
    <t>127 Bombay Road</t>
  </si>
  <si>
    <t>Kids at Play Timaru</t>
  </si>
  <si>
    <t>03-9715194</t>
  </si>
  <si>
    <t>kidsatplaynz@outlook.com</t>
  </si>
  <si>
    <t>225 Selwyn Street</t>
  </si>
  <si>
    <t>Marchwiel</t>
  </si>
  <si>
    <t>Fiona  Frew</t>
  </si>
  <si>
    <t>Kids at Play 11 Dyson St</t>
  </si>
  <si>
    <t>Temuka 7920</t>
  </si>
  <si>
    <t>03-6974984</t>
  </si>
  <si>
    <t>Poimaino 1 Homebased Childcare</t>
  </si>
  <si>
    <t>44 Chelburn Cresent</t>
  </si>
  <si>
    <t>Bumblebees Childcare Centre</t>
  </si>
  <si>
    <t>09-9729406</t>
  </si>
  <si>
    <t>info@bumblebeeschildcare.co.nz</t>
  </si>
  <si>
    <t>4 Taniwha Street</t>
  </si>
  <si>
    <t>Matthew Aspin</t>
  </si>
  <si>
    <t>P O Box 251365</t>
  </si>
  <si>
    <t>09-5762487</t>
  </si>
  <si>
    <t>Molly's Preschool</t>
  </si>
  <si>
    <t>09-8450055</t>
  </si>
  <si>
    <t>info@mollyspreschool.com</t>
  </si>
  <si>
    <t>75 St Lukes Road</t>
  </si>
  <si>
    <t>Ying Lin</t>
  </si>
  <si>
    <t>Farmyard Preschool</t>
  </si>
  <si>
    <t>04-5285528</t>
  </si>
  <si>
    <t>gaylene@summerlea.co.nz</t>
  </si>
  <si>
    <t>44 Somme Road</t>
  </si>
  <si>
    <t>Trentham South</t>
  </si>
  <si>
    <t>Mountainside Educare Ltd</t>
  </si>
  <si>
    <t>admin@mountainsideeducare.co.nz</t>
  </si>
  <si>
    <t>47 Kingfisher Crescent</t>
  </si>
  <si>
    <t>Elizabeth Hale</t>
  </si>
  <si>
    <t>Moko Club Ngāruawāhia</t>
  </si>
  <si>
    <t>027-5566455</t>
  </si>
  <si>
    <t>26-28 George Street</t>
  </si>
  <si>
    <t>Madia Diamond</t>
  </si>
  <si>
    <t>14 Kent Street</t>
  </si>
  <si>
    <t>Ngaruawahia 3720</t>
  </si>
  <si>
    <t>Little One's Garden Early Education Centre</t>
  </si>
  <si>
    <t>09-2799486</t>
  </si>
  <si>
    <t>admin@littleoneschildcare.co.nz</t>
  </si>
  <si>
    <t>82 McLean Ave</t>
  </si>
  <si>
    <t>Aiqing (Carol) Guan</t>
  </si>
  <si>
    <t>82 McLean Avenue</t>
  </si>
  <si>
    <t>09-5253868</t>
  </si>
  <si>
    <t>Cute Kids</t>
  </si>
  <si>
    <t>09-3904578</t>
  </si>
  <si>
    <t>veronicanne@hotmail.com</t>
  </si>
  <si>
    <t>Level 1, Quad 7 Building  6 Leonard Isitt Drive</t>
  </si>
  <si>
    <t>Veronica Fulivai</t>
  </si>
  <si>
    <t>P O Box 53157</t>
  </si>
  <si>
    <t xml:space="preserve">Auckland 2022 </t>
  </si>
  <si>
    <t>027-249 6056</t>
  </si>
  <si>
    <t>Peacocks Early Learning Centre Epsom</t>
  </si>
  <si>
    <t>09-6300553 Ext 1</t>
  </si>
  <si>
    <t>203 Manukau Road</t>
  </si>
  <si>
    <t>Blessings for Life Kaitaia</t>
  </si>
  <si>
    <t>09-4080501</t>
  </si>
  <si>
    <t>21 Melba Street</t>
  </si>
  <si>
    <t>Mokopuna ki Roscommon</t>
  </si>
  <si>
    <t>39-41 Burundi Ave</t>
  </si>
  <si>
    <t>Fun Place Kindergarten</t>
  </si>
  <si>
    <t>07-8675513</t>
  </si>
  <si>
    <t>437 Hauraki Road</t>
  </si>
  <si>
    <t>Above and Beyond The Lakes Ltd</t>
  </si>
  <si>
    <t>250 Lakes Boulevard</t>
  </si>
  <si>
    <t>Pyes Pa West</t>
  </si>
  <si>
    <t>Colleen  Fryett</t>
  </si>
  <si>
    <t>Ako Adventures</t>
  </si>
  <si>
    <t>09-266 6285</t>
  </si>
  <si>
    <t>22 Russell Road</t>
  </si>
  <si>
    <t>Samara Strugnell</t>
  </si>
  <si>
    <t>18 Logan Way</t>
  </si>
  <si>
    <t>Enriching Otara Early Learning Centre</t>
  </si>
  <si>
    <t>09-2733492</t>
  </si>
  <si>
    <t>66 Lovegrove Cres</t>
  </si>
  <si>
    <t>Kalolaine Tautakitaki</t>
  </si>
  <si>
    <t>09-6223050</t>
  </si>
  <si>
    <t>Nurtured at Home Waikato 5</t>
  </si>
  <si>
    <t>Bridge Kids</t>
  </si>
  <si>
    <t>09-622 0963</t>
  </si>
  <si>
    <t>office@bridgekids.co.nz</t>
  </si>
  <si>
    <t>4 Rimu Road</t>
  </si>
  <si>
    <t>Paula Hawkings</t>
  </si>
  <si>
    <t>3/39 Arney Road</t>
  </si>
  <si>
    <t>'Api Fakakoloa Mangere Kakariki</t>
  </si>
  <si>
    <t>66 Lovegrove Cresent</t>
  </si>
  <si>
    <t>Lollipops  Paraparaumu</t>
  </si>
  <si>
    <t>04-9740720</t>
  </si>
  <si>
    <t>48 Ihakara Street</t>
  </si>
  <si>
    <t>Rebecca McLachlan</t>
  </si>
  <si>
    <t>Little Ants Childcare</t>
  </si>
  <si>
    <t>09-2350172</t>
  </si>
  <si>
    <t>18 Martyn St (Entrance 11 Domain St)</t>
  </si>
  <si>
    <t>Ranji Prakash</t>
  </si>
  <si>
    <t>7 Heritage Rise</t>
  </si>
  <si>
    <t>021-266 0987</t>
  </si>
  <si>
    <t>Love Kids Home Based ECE Service</t>
  </si>
  <si>
    <t>09-626 0590</t>
  </si>
  <si>
    <t>31 Quona Avenue</t>
  </si>
  <si>
    <t>Mount Roskill South East</t>
  </si>
  <si>
    <t>Yan Zeng</t>
  </si>
  <si>
    <t>09-3072968</t>
  </si>
  <si>
    <t>Kaliloa Home-based ECE 3</t>
  </si>
  <si>
    <t>Seedlings Education 3</t>
  </si>
  <si>
    <t>Tiny Turtles Educare</t>
  </si>
  <si>
    <t>09-2989887</t>
  </si>
  <si>
    <t>info@ececentres.co.nz</t>
  </si>
  <si>
    <t>80 Sutton Crescent</t>
  </si>
  <si>
    <t>Parul Gupta</t>
  </si>
  <si>
    <t>09-5705277</t>
  </si>
  <si>
    <t>Wonder Home-based ECE 2</t>
  </si>
  <si>
    <t>contact.anawonder@gmail.com</t>
  </si>
  <si>
    <t>Fountain City Montessori</t>
  </si>
  <si>
    <t>07-8552696</t>
  </si>
  <si>
    <t>2D Brooklyn Road</t>
  </si>
  <si>
    <t>Rowena Harper</t>
  </si>
  <si>
    <t>P O Box 24014</t>
  </si>
  <si>
    <t>Hamilton 3283</t>
  </si>
  <si>
    <t>Pukeko Treehouse</t>
  </si>
  <si>
    <t>07-8478978</t>
  </si>
  <si>
    <t>64 Avalon Drive</t>
  </si>
  <si>
    <t>Tiny Nation Christchurch</t>
  </si>
  <si>
    <t>209 Karamu Road</t>
  </si>
  <si>
    <t>Tegan Williams</t>
  </si>
  <si>
    <t>022-4550633</t>
  </si>
  <si>
    <t>Little Hands Childcare &amp; Early Learning Centre</t>
  </si>
  <si>
    <t>09-2799946</t>
  </si>
  <si>
    <t>Info@littlehands.co.nz</t>
  </si>
  <si>
    <t>20 Middlemore Crescent</t>
  </si>
  <si>
    <t>Sunaina Bhatia</t>
  </si>
  <si>
    <t>09-2714887</t>
  </si>
  <si>
    <t>09-2158334</t>
  </si>
  <si>
    <t>karyn@nestlingstauranga.co.nz</t>
  </si>
  <si>
    <t>4 Solomon Street</t>
  </si>
  <si>
    <t>Karyn Bradford</t>
  </si>
  <si>
    <t>07-9250311</t>
  </si>
  <si>
    <t>Poimaino 3 Homebased Childcare</t>
  </si>
  <si>
    <t>Poimaino 4 Homebased Childcare</t>
  </si>
  <si>
    <t>Educare Warkworth</t>
  </si>
  <si>
    <t>09-4259941</t>
  </si>
  <si>
    <t>warkworth.manager@educare.co.nz</t>
  </si>
  <si>
    <t>8 Fairwater Road, The Grange</t>
  </si>
  <si>
    <t>Nicola Bowyer</t>
  </si>
  <si>
    <t>Unit 17, Grange Business Park 67 - 69 Auckland Road</t>
  </si>
  <si>
    <t>Warkworth 0910</t>
  </si>
  <si>
    <t>09-425 9941</t>
  </si>
  <si>
    <t>Home2Grow Childcare 3</t>
  </si>
  <si>
    <t>0508-466324</t>
  </si>
  <si>
    <t>Royals Early Learning Centre</t>
  </si>
  <si>
    <t>06-2812703</t>
  </si>
  <si>
    <t>manager@royals.co.nz</t>
  </si>
  <si>
    <t>391 Te Mata Road</t>
  </si>
  <si>
    <t>New Life Churches of N.Z.</t>
  </si>
  <si>
    <t>Mangateretere</t>
  </si>
  <si>
    <t>Kim Campbell</t>
  </si>
  <si>
    <t>P O Box 8904</t>
  </si>
  <si>
    <t>Pukeko ELC</t>
  </si>
  <si>
    <t>09-4260950</t>
  </si>
  <si>
    <t>63 Kauri Road</t>
  </si>
  <si>
    <t>Stanmore Bay East</t>
  </si>
  <si>
    <t>Siew Mei Ou Yang</t>
  </si>
  <si>
    <t>14 Rakino Avenue</t>
  </si>
  <si>
    <t>Auckland 0930</t>
  </si>
  <si>
    <t>The Children's Garden</t>
  </si>
  <si>
    <t>03-5530665</t>
  </si>
  <si>
    <t>390 Main Road</t>
  </si>
  <si>
    <t>Natasha Kibble</t>
  </si>
  <si>
    <t>31 Waterhouse Street</t>
  </si>
  <si>
    <t>Enner Glynn</t>
  </si>
  <si>
    <t>Mt Wellies Childcare</t>
  </si>
  <si>
    <t>09-5731293</t>
  </si>
  <si>
    <t>info@mtwellies.co.nz</t>
  </si>
  <si>
    <t>Mt Wellies Childcare Centre 31-35 Carbine Road</t>
  </si>
  <si>
    <t>Matthew Richardson</t>
  </si>
  <si>
    <t>31/35 Carbine Road</t>
  </si>
  <si>
    <t>Auckland 1060</t>
  </si>
  <si>
    <t>Rockmybaby Homebased Auckland S1</t>
  </si>
  <si>
    <t>Unit F 4 Donnelly Street</t>
  </si>
  <si>
    <t>Amy Williamson</t>
  </si>
  <si>
    <t>Bella Montessori Preschool Limited</t>
  </si>
  <si>
    <t>03-3276066</t>
  </si>
  <si>
    <t>14 Carew Street</t>
  </si>
  <si>
    <t>Kaiapoi Central</t>
  </si>
  <si>
    <t>Christine Kirkeby</t>
  </si>
  <si>
    <t>Kaiapoi 7630</t>
  </si>
  <si>
    <t>BestStart Waikite Valley Kindy</t>
  </si>
  <si>
    <t>07-562 4623</t>
  </si>
  <si>
    <t>1080 Waikite Valley Road, RD</t>
  </si>
  <si>
    <t>Waikite Valley</t>
  </si>
  <si>
    <t>Harper Park Early learning Centre</t>
  </si>
  <si>
    <t>027-3596045</t>
  </si>
  <si>
    <t>240 Park street</t>
  </si>
  <si>
    <t>Ann-Marie Wall</t>
  </si>
  <si>
    <t>240 Park Street</t>
  </si>
  <si>
    <t>Hokitika 7810</t>
  </si>
  <si>
    <t>03-7556523</t>
  </si>
  <si>
    <t>Little Beans Preschool Limited</t>
  </si>
  <si>
    <t>03-3891691</t>
  </si>
  <si>
    <t>info@littlebeans.co.nz</t>
  </si>
  <si>
    <t>12 Slater Street</t>
  </si>
  <si>
    <t>Anthony Agrella</t>
  </si>
  <si>
    <t>Christchurch 8013</t>
  </si>
  <si>
    <t>03-9260014</t>
  </si>
  <si>
    <t>PAUA ECE 5</t>
  </si>
  <si>
    <t>06-344-7282</t>
  </si>
  <si>
    <t>185 Victoria Avenue</t>
  </si>
  <si>
    <t>Lea Gardner</t>
  </si>
  <si>
    <t>P O Box 4083</t>
  </si>
  <si>
    <t>Whanganui 4541</t>
  </si>
  <si>
    <t>Te Whare Whitinga o te Rā</t>
  </si>
  <si>
    <t>07-4601349</t>
  </si>
  <si>
    <t>34 Sunrise Avenue</t>
  </si>
  <si>
    <t>Bobbette Harrington</t>
  </si>
  <si>
    <t>P O Box 7044</t>
  </si>
  <si>
    <t>Dreamers Nest Montessori Early Learning Centre</t>
  </si>
  <si>
    <t>09-3200502</t>
  </si>
  <si>
    <t>maya@dreamersnest.org</t>
  </si>
  <si>
    <t>99 Centreway Road</t>
  </si>
  <si>
    <t>Zhaoyue Tan</t>
  </si>
  <si>
    <t>9 Harvard Street</t>
  </si>
  <si>
    <t>Auckland 0616</t>
  </si>
  <si>
    <t>021-619303</t>
  </si>
  <si>
    <t>Willows Early Learning Centre</t>
  </si>
  <si>
    <t>03-4458100</t>
  </si>
  <si>
    <t>willowsece@gmail.com</t>
  </si>
  <si>
    <t>20 Pinot Noir Drive</t>
  </si>
  <si>
    <t>James Westgate</t>
  </si>
  <si>
    <t>8 Amber Close</t>
  </si>
  <si>
    <t>Cromwell 9310</t>
  </si>
  <si>
    <t>Maheno Kindergarten</t>
  </si>
  <si>
    <t>03-434 2422</t>
  </si>
  <si>
    <t>ht.maheno@oamarukindergarten.co.nz</t>
  </si>
  <si>
    <t>13 Gifford Street</t>
  </si>
  <si>
    <t>Maheno</t>
  </si>
  <si>
    <t>Corriedale Ward</t>
  </si>
  <si>
    <t>Waitaki Ara Kāhui Ako</t>
  </si>
  <si>
    <t>BestStart Brooklyn</t>
  </si>
  <si>
    <t>07-858 3038</t>
  </si>
  <si>
    <t>1 Gillies Avenue</t>
  </si>
  <si>
    <t>Launch active early learning</t>
  </si>
  <si>
    <t>06-2112999</t>
  </si>
  <si>
    <t>hastings@launchactive.co.nz</t>
  </si>
  <si>
    <t>1305 Pakowhai Road</t>
  </si>
  <si>
    <t>Sophie Tabernacle</t>
  </si>
  <si>
    <t>Co Kids</t>
  </si>
  <si>
    <t>09-2167706</t>
  </si>
  <si>
    <t>mikeb@CoKids.co.nz</t>
  </si>
  <si>
    <t>301 Lincoln Road, 1</t>
  </si>
  <si>
    <t xml:space="preserve">Mike  Brown </t>
  </si>
  <si>
    <t>P O Box 9108</t>
  </si>
  <si>
    <t>09-8389484</t>
  </si>
  <si>
    <t>Luna Montessori Preschool</t>
  </si>
  <si>
    <t>021- 2810089</t>
  </si>
  <si>
    <t>admin@lunamontessori.com</t>
  </si>
  <si>
    <t>10 Blenheim Street</t>
  </si>
  <si>
    <t>Faye Luna Gronberg</t>
  </si>
  <si>
    <t>ASPIRE Learning L3</t>
  </si>
  <si>
    <t>09-2724273</t>
  </si>
  <si>
    <t>BestStart Richmond Kindy</t>
  </si>
  <si>
    <t>07-5626277</t>
  </si>
  <si>
    <t>98 Richmond Avenue</t>
  </si>
  <si>
    <t>New Shoots Children's Centre - Sandhurst</t>
  </si>
  <si>
    <t>07-2811859</t>
  </si>
  <si>
    <t>sandhurst@newshoots.co.nz</t>
  </si>
  <si>
    <t>520 Gloucester Road</t>
  </si>
  <si>
    <t>Pacific Lakes</t>
  </si>
  <si>
    <t>Blossoms Educare Mangere</t>
  </si>
  <si>
    <t>09-255 5263</t>
  </si>
  <si>
    <t>448 Massey Road</t>
  </si>
  <si>
    <t>MyKindy Onehunga</t>
  </si>
  <si>
    <t>09-218 8129</t>
  </si>
  <si>
    <t>manageronehunga@mykindy.nz</t>
  </si>
  <si>
    <t>204 - 206 Captain Springs Road</t>
  </si>
  <si>
    <t>Caring Kids Childcare</t>
  </si>
  <si>
    <t>07-9290209</t>
  </si>
  <si>
    <t>9 Newton Street</t>
  </si>
  <si>
    <t>Opal Higgins</t>
  </si>
  <si>
    <t>5 Westgate Street</t>
  </si>
  <si>
    <t>021-1830852</t>
  </si>
  <si>
    <t>Glorious Kids Homebased Childcare</t>
  </si>
  <si>
    <t>09-8364572</t>
  </si>
  <si>
    <t>2 Harvest Drive</t>
  </si>
  <si>
    <t>Ranjila Chand</t>
  </si>
  <si>
    <t>Endeavours Kindergarten</t>
  </si>
  <si>
    <t>07-8533044</t>
  </si>
  <si>
    <t>2 Halyard Close</t>
  </si>
  <si>
    <t>Patsy Paul</t>
  </si>
  <si>
    <t>13 Ramsey Street</t>
  </si>
  <si>
    <t>021-642777</t>
  </si>
  <si>
    <t>Seedlings Education 4</t>
  </si>
  <si>
    <t>Essence of the Pacific Early Learning Centre</t>
  </si>
  <si>
    <t>07-3479895</t>
  </si>
  <si>
    <t>130 Sunset Road</t>
  </si>
  <si>
    <t>Jacqueline Pointon</t>
  </si>
  <si>
    <t>1334 Hinemoa Street</t>
  </si>
  <si>
    <t>A Place to Grow</t>
  </si>
  <si>
    <t>06-323 2047</t>
  </si>
  <si>
    <t>32 Church Street</t>
  </si>
  <si>
    <t>Shelley Toki</t>
  </si>
  <si>
    <t>100 West Street</t>
  </si>
  <si>
    <t>Feilding 4702</t>
  </si>
  <si>
    <t>06-3232047</t>
  </si>
  <si>
    <t>Wanaexcel Education Hub</t>
  </si>
  <si>
    <t>03-4284258</t>
  </si>
  <si>
    <t>admin@wanaexcel.co.nz</t>
  </si>
  <si>
    <t>11 Cliff Wilson St</t>
  </si>
  <si>
    <t>Wānaka North</t>
  </si>
  <si>
    <t>Sharyn Thomas</t>
  </si>
  <si>
    <t>11 Cliff Wilson Street</t>
  </si>
  <si>
    <t>03-428 4258</t>
  </si>
  <si>
    <t>Little Hearts Childcare</t>
  </si>
  <si>
    <t>09-2757202</t>
  </si>
  <si>
    <t>anuthippa@gmail.com</t>
  </si>
  <si>
    <t>3 Imrie Ave</t>
  </si>
  <si>
    <t>Māngere Mascot</t>
  </si>
  <si>
    <t>Anuradha Thippabathini</t>
  </si>
  <si>
    <t>60 Crossandra Drive</t>
  </si>
  <si>
    <t>Lifewise ECE Glen Eden</t>
  </si>
  <si>
    <t>09-3025390</t>
  </si>
  <si>
    <t>kateew@lifewise.org.nz</t>
  </si>
  <si>
    <t>302 West Coast Road</t>
  </si>
  <si>
    <t>Galaxy Childcare - Pasifika Bilingual</t>
  </si>
  <si>
    <t>admin@galaxychildcare.co.nz</t>
  </si>
  <si>
    <t>26 Hunua Road</t>
  </si>
  <si>
    <t>No-1 Home Based Childcare &amp; Education Service 5</t>
  </si>
  <si>
    <t>Unit C 38 William Pickering Drive</t>
  </si>
  <si>
    <t>Starship Play Service: Greenlane Surgical Unit</t>
  </si>
  <si>
    <t>Greenlane Clinical Centre Reception K, Building 4, Level 2, 214 Greenlane West</t>
  </si>
  <si>
    <t>Busy Bees Westgate</t>
  </si>
  <si>
    <t>09-833 4440</t>
  </si>
  <si>
    <t>info@westgate.busybees.org.nz</t>
  </si>
  <si>
    <t>575 Don Buck Road</t>
  </si>
  <si>
    <t>Deborah Howard</t>
  </si>
  <si>
    <t>Busy Bees Apollo</t>
  </si>
  <si>
    <t>09-4866111</t>
  </si>
  <si>
    <t>info@apollo.busybees.org.nz</t>
  </si>
  <si>
    <t>56 Apollo Drive</t>
  </si>
  <si>
    <t>Shuling Chen</t>
  </si>
  <si>
    <t>09-486 6111</t>
  </si>
  <si>
    <t>The Rumpus Room Waterview</t>
  </si>
  <si>
    <t>09-8209204</t>
  </si>
  <si>
    <t>5 Alford Street</t>
  </si>
  <si>
    <t>Ficino Montessori Preschool</t>
  </si>
  <si>
    <t>09-8692098</t>
  </si>
  <si>
    <t>preschoolmgr@ficino.school.nz</t>
  </si>
  <si>
    <t>29 Esplanade Road</t>
  </si>
  <si>
    <t>Mt Eden</t>
  </si>
  <si>
    <t>Peter Crompton</t>
  </si>
  <si>
    <t>Finico Preschool, 29 Esplanade Road</t>
  </si>
  <si>
    <t>09-6233385</t>
  </si>
  <si>
    <t>Early Years - Rotokauri LTD</t>
  </si>
  <si>
    <t>021-735578</t>
  </si>
  <si>
    <t>29 Gilchrist Street</t>
  </si>
  <si>
    <t>Kylie Whibley</t>
  </si>
  <si>
    <t>Aurora Homebased Childcare Services</t>
  </si>
  <si>
    <t>09-2723253</t>
  </si>
  <si>
    <t>hulitatangitau@gmail.com</t>
  </si>
  <si>
    <t>3 Treviso Place</t>
  </si>
  <si>
    <t>Hulita Tangitau</t>
  </si>
  <si>
    <t>Kiddz Homebased Childcare</t>
  </si>
  <si>
    <t>03-3887287</t>
  </si>
  <si>
    <t>Busy Bees Dargaville</t>
  </si>
  <si>
    <t>09-439 0220</t>
  </si>
  <si>
    <t>90 Logan Street</t>
  </si>
  <si>
    <t>Aurora Tamariki Early Years Care and Kindergarten</t>
  </si>
  <si>
    <t>027-8288348</t>
  </si>
  <si>
    <t>351 Pine Hill Road</t>
  </si>
  <si>
    <t>Pine Hill</t>
  </si>
  <si>
    <t>Pine Hill-Dalmore</t>
  </si>
  <si>
    <t>Adrienne Easton</t>
  </si>
  <si>
    <t>Liberton</t>
  </si>
  <si>
    <t xml:space="preserve">Dunedin </t>
  </si>
  <si>
    <t>Little Vines Learning Centre</t>
  </si>
  <si>
    <t>09-2700378</t>
  </si>
  <si>
    <t>55 Vine Street</t>
  </si>
  <si>
    <t>Chao-Lin Chi</t>
  </si>
  <si>
    <t>55 Vines Street</t>
  </si>
  <si>
    <t>The Wishing Tree Early Learning Centre</t>
  </si>
  <si>
    <t>info@wishingtree.ac.nz</t>
  </si>
  <si>
    <t>21 Boundary Road</t>
  </si>
  <si>
    <t>Naveen Behal</t>
  </si>
  <si>
    <t>07-8849248</t>
  </si>
  <si>
    <t>teacher@hotmail.co.nz</t>
  </si>
  <si>
    <t>8 Ngutumanga Road</t>
  </si>
  <si>
    <t>Teresa Saunders</t>
  </si>
  <si>
    <t>Te Aroha 3393</t>
  </si>
  <si>
    <t>Kiwi Kids Childcare Limited</t>
  </si>
  <si>
    <t>09- 275 7271</t>
  </si>
  <si>
    <t>10 Robertson Road</t>
  </si>
  <si>
    <t>Mangere Central</t>
  </si>
  <si>
    <t>Mohammed Azaad</t>
  </si>
  <si>
    <t>42 Kautami Avenue</t>
  </si>
  <si>
    <t>Tadpoles Early Childhood Centre</t>
  </si>
  <si>
    <t>09-6361173</t>
  </si>
  <si>
    <t>admin@tadpoles.co.nz</t>
  </si>
  <si>
    <t>73 Mountain Road</t>
  </si>
  <si>
    <t>Lucinda Taylor</t>
  </si>
  <si>
    <t>12A Mona Avenue</t>
  </si>
  <si>
    <t>09-323878</t>
  </si>
  <si>
    <t>Te Kōhanga Reo o Te Awhina</t>
  </si>
  <si>
    <t>03-528 7517</t>
  </si>
  <si>
    <t>115 Pah Street</t>
  </si>
  <si>
    <t>Neemo Childcare Centre</t>
  </si>
  <si>
    <t>09-480 9655</t>
  </si>
  <si>
    <t>info@neemochildcare.co.nz</t>
  </si>
  <si>
    <t>51 Eban Avenue</t>
  </si>
  <si>
    <t>Nipul Girish</t>
  </si>
  <si>
    <t>Magic Sparks Cuba</t>
  </si>
  <si>
    <t>06-357 0744</t>
  </si>
  <si>
    <t>198 Cuba Street</t>
  </si>
  <si>
    <t>Marites Strange</t>
  </si>
  <si>
    <t>027-3464143</t>
  </si>
  <si>
    <t>The Children's House Greymouth</t>
  </si>
  <si>
    <t>03-7686221</t>
  </si>
  <si>
    <t>37 Alexander street</t>
  </si>
  <si>
    <t>Anthea Ferris</t>
  </si>
  <si>
    <t>88 Clifton Road</t>
  </si>
  <si>
    <t>03-7556221</t>
  </si>
  <si>
    <t>Te whare Manaaki</t>
  </si>
  <si>
    <t>craig.vercoe@ntk.org.nz</t>
  </si>
  <si>
    <t>Nelson hospital Tipahi street,</t>
  </si>
  <si>
    <t>Nelson South</t>
  </si>
  <si>
    <t>Victory</t>
  </si>
  <si>
    <t>Elm Tree Early Learning Centre</t>
  </si>
  <si>
    <t>07-5779053</t>
  </si>
  <si>
    <t>nicola@elmtree.co.nz</t>
  </si>
  <si>
    <t>16 Mission Street</t>
  </si>
  <si>
    <t>Nicola Brown</t>
  </si>
  <si>
    <t>P O Box 14238</t>
  </si>
  <si>
    <t>4woods Early Learning Centre</t>
  </si>
  <si>
    <t>07-5735788</t>
  </si>
  <si>
    <t>4woods@kinect.co.nz</t>
  </si>
  <si>
    <t>100 Cameron Road</t>
  </si>
  <si>
    <t>Te Puke South</t>
  </si>
  <si>
    <t>Nicole Ellwood</t>
  </si>
  <si>
    <t xml:space="preserve">Te Puke </t>
  </si>
  <si>
    <t>Te Pākārito</t>
  </si>
  <si>
    <t>07-2626006</t>
  </si>
  <si>
    <t>tepakaritoltd@gmail.com</t>
  </si>
  <si>
    <t>28 Railway Road</t>
  </si>
  <si>
    <t>Tiffy Te Moni</t>
  </si>
  <si>
    <t>07-3489764</t>
  </si>
  <si>
    <t>Thrive Early Learning Centre</t>
  </si>
  <si>
    <t>03-5778866</t>
  </si>
  <si>
    <t>gemma@thriveelc.com</t>
  </si>
  <si>
    <t>203 Howick Road</t>
  </si>
  <si>
    <t>Gemma Webster</t>
  </si>
  <si>
    <t>3 Safe Street</t>
  </si>
  <si>
    <t>027-376 0605</t>
  </si>
  <si>
    <t>Little Wonders Pegasus</t>
  </si>
  <si>
    <t>03-6629060</t>
  </si>
  <si>
    <t>cm.pegasus@littlewonders.nz</t>
  </si>
  <si>
    <t>154 Infinity Drive</t>
  </si>
  <si>
    <t>Pegasus</t>
  </si>
  <si>
    <t>Leigh Power</t>
  </si>
  <si>
    <t>Te Kōhanga Reo O Tika Tonu</t>
  </si>
  <si>
    <t>06-870 1619</t>
  </si>
  <si>
    <t>whanau@k08b117.kohanga.ac.nz</t>
  </si>
  <si>
    <t>Matahiwi Marae -Haumoana 345 Lawn Road</t>
  </si>
  <si>
    <t>BestStart East Tamaki Road</t>
  </si>
  <si>
    <t>09-972 4662</t>
  </si>
  <si>
    <t>botanyjunction@best-start.org</t>
  </si>
  <si>
    <t>38 East Tamaki Road</t>
  </si>
  <si>
    <t>Kaleidoscope Childcare Centre</t>
  </si>
  <si>
    <t>07-5786337</t>
  </si>
  <si>
    <t>106 Eleventh Avenue</t>
  </si>
  <si>
    <t>Marama Vryer</t>
  </si>
  <si>
    <t>07-975 0034</t>
  </si>
  <si>
    <t>New Shoots Children's Centre - Pakuranga</t>
  </si>
  <si>
    <t>09-2818218</t>
  </si>
  <si>
    <t>pakuranga@newshoots.co.nz</t>
  </si>
  <si>
    <t>149 Cascades Road</t>
  </si>
  <si>
    <t>Kelly Lambert</t>
  </si>
  <si>
    <t>09-3203479</t>
  </si>
  <si>
    <t>Seedlings Early Learning Centre Knights Stream Park</t>
  </si>
  <si>
    <t>03-2601435</t>
  </si>
  <si>
    <t>8 Killarney Avenue</t>
  </si>
  <si>
    <t>Nature's Wonder</t>
  </si>
  <si>
    <t>06-764 7006</t>
  </si>
  <si>
    <t>27 Stanners Street</t>
  </si>
  <si>
    <t>Mellanie Ogle</t>
  </si>
  <si>
    <t>289 High Street</t>
  </si>
  <si>
    <t>Eltham 4322</t>
  </si>
  <si>
    <t>06-764 8917</t>
  </si>
  <si>
    <t>House of Wonder Chartwell by Busy Bees</t>
  </si>
  <si>
    <t>07-2820986</t>
  </si>
  <si>
    <t>info@howchartwell.busybees.org.nz</t>
  </si>
  <si>
    <t>33-41 Rutherford Street</t>
  </si>
  <si>
    <t>Danielle Edwards</t>
  </si>
  <si>
    <t>06-2820986</t>
  </si>
  <si>
    <t>Little Waves Early Learning Centre</t>
  </si>
  <si>
    <t>04-299 6133</t>
  </si>
  <si>
    <t>sam@aboutkids.co.nz</t>
  </si>
  <si>
    <t>304 Kāpiti Road</t>
  </si>
  <si>
    <t>Paraparaumu Beach East</t>
  </si>
  <si>
    <t>Samantha Sando</t>
  </si>
  <si>
    <t>47 Old Haurere Road</t>
  </si>
  <si>
    <t>Ōtaki 5582</t>
  </si>
  <si>
    <t>04-2986163</t>
  </si>
  <si>
    <t>Happy Kids At Home Childcare</t>
  </si>
  <si>
    <t>happykidsathome01@gmail.com</t>
  </si>
  <si>
    <t>4 Kenmure Ave</t>
  </si>
  <si>
    <t>Xueling Qi</t>
  </si>
  <si>
    <t>Magicland Childcare</t>
  </si>
  <si>
    <t>09-6002003</t>
  </si>
  <si>
    <t>magiclandchildcare.albany@gmail.com</t>
  </si>
  <si>
    <t>287 Oteha Valley Road</t>
  </si>
  <si>
    <t>Ningning Li</t>
  </si>
  <si>
    <t>287 Oteha Valley Rd</t>
  </si>
  <si>
    <t>77 Mahunga Drive</t>
  </si>
  <si>
    <t>Favona</t>
  </si>
  <si>
    <t>Busy Bees Terrace End</t>
  </si>
  <si>
    <t>06-354 2624</t>
  </si>
  <si>
    <t>104 - 110 Napier Road</t>
  </si>
  <si>
    <t>Amanda Twigge</t>
  </si>
  <si>
    <t>Just Four Kids Southland - Otago</t>
  </si>
  <si>
    <t>Playtopia Educare</t>
  </si>
  <si>
    <t>07-3501341</t>
  </si>
  <si>
    <t>2 Ti Street</t>
  </si>
  <si>
    <t>Stems from Home 3</t>
  </si>
  <si>
    <t>Step Ahead</t>
  </si>
  <si>
    <t>09-435 2825</t>
  </si>
  <si>
    <t>13 Grant Street</t>
  </si>
  <si>
    <t>Vicky Brandso</t>
  </si>
  <si>
    <t>23 Moody Avenue</t>
  </si>
  <si>
    <t>Curious Cubs City Early Learning Centre</t>
  </si>
  <si>
    <t>07-8394130</t>
  </si>
  <si>
    <t>Jenni@curiouscubs.co.nz</t>
  </si>
  <si>
    <t>150 Tristram Street</t>
  </si>
  <si>
    <t>Jennifer Potter</t>
  </si>
  <si>
    <t>021-599875</t>
  </si>
  <si>
    <t>Gore Preschool</t>
  </si>
  <si>
    <t>03-208 4242</t>
  </si>
  <si>
    <t>15 Pomona Street</t>
  </si>
  <si>
    <t>Jacqueline Burns</t>
  </si>
  <si>
    <t>36D Kewa Road</t>
  </si>
  <si>
    <t>027-4447497</t>
  </si>
  <si>
    <t>Champion Kids Early Childhood Education</t>
  </si>
  <si>
    <t>03-5444378</t>
  </si>
  <si>
    <t>office@championkids.nz</t>
  </si>
  <si>
    <t>60 Champion Road</t>
  </si>
  <si>
    <t xml:space="preserve">Hana  Taylor </t>
  </si>
  <si>
    <t>Atamai Education &amp; Care</t>
  </si>
  <si>
    <t>09-2748818</t>
  </si>
  <si>
    <t>losa.pouli@atamaieducare.co.nz</t>
  </si>
  <si>
    <t>18H Polaris Place</t>
  </si>
  <si>
    <t>Losa Pouli</t>
  </si>
  <si>
    <t>P O Box 58605</t>
  </si>
  <si>
    <t>Vintage Kids One Tree Hill</t>
  </si>
  <si>
    <t>09-6222608</t>
  </si>
  <si>
    <t>sheree@vintagekids.nz</t>
  </si>
  <si>
    <t>70 Mariri Road</t>
  </si>
  <si>
    <t>BestStart Cranford Street</t>
  </si>
  <si>
    <t>03-926 3597</t>
  </si>
  <si>
    <t>137-139 Cranford Street</t>
  </si>
  <si>
    <t>Nga Taonga Aroha Early Childhood Centre</t>
  </si>
  <si>
    <t>09-2830480</t>
  </si>
  <si>
    <t>ngataongaaroha@taonga.org.nz</t>
  </si>
  <si>
    <t>183 Bairds Road</t>
  </si>
  <si>
    <t>Grow ECE</t>
  </si>
  <si>
    <t>07-9297718</t>
  </si>
  <si>
    <t>58 Ashley Place</t>
  </si>
  <si>
    <t>Wairakei West</t>
  </si>
  <si>
    <t>Nicola Thompson</t>
  </si>
  <si>
    <t>Educare Adventure</t>
  </si>
  <si>
    <t>04-2347931</t>
  </si>
  <si>
    <t>adventure@educare.co.nz</t>
  </si>
  <si>
    <t>34 Resolution Drive</t>
  </si>
  <si>
    <t>Endeavour West</t>
  </si>
  <si>
    <t>Aroha Te Rangi</t>
  </si>
  <si>
    <t>The Toy Maker's Cottage Preschool</t>
  </si>
  <si>
    <t>09-3784542</t>
  </si>
  <si>
    <t>caron@thetoymakerscottage.school.nz</t>
  </si>
  <si>
    <t>1 Partridge Street</t>
  </si>
  <si>
    <t>Caron Michael</t>
  </si>
  <si>
    <t>Pohutukawa Kindergarten Glendowie</t>
  </si>
  <si>
    <t>09-5287160</t>
  </si>
  <si>
    <t>151 West Tamaki Road</t>
  </si>
  <si>
    <t>Hillpark Preschool (2021) Limited</t>
  </si>
  <si>
    <t>09-2392577</t>
  </si>
  <si>
    <t>hillparkpreschool@gmail.com</t>
  </si>
  <si>
    <t>192 Helenslee Road</t>
  </si>
  <si>
    <t>Angelique Dervin</t>
  </si>
  <si>
    <t>13 Horomia Road</t>
  </si>
  <si>
    <t>09-2969339</t>
  </si>
  <si>
    <t>Star Kids Childcare</t>
  </si>
  <si>
    <t>17 Clayton Road</t>
  </si>
  <si>
    <t>79 Lynbrooke Ave</t>
  </si>
  <si>
    <t>Grow Early Education Ltd</t>
  </si>
  <si>
    <t>07-8274442</t>
  </si>
  <si>
    <t>manager@growcambridge.org</t>
  </si>
  <si>
    <t>Grow Early Education Kaniera Terrace</t>
  </si>
  <si>
    <t>Jayne Dahlberg</t>
  </si>
  <si>
    <t>Grow Early education Kaniera Terrace</t>
  </si>
  <si>
    <t>027-3838977</t>
  </si>
  <si>
    <t>Annabel's Educare - Arlington</t>
  </si>
  <si>
    <t>03-3136346</t>
  </si>
  <si>
    <t>ar@annabelseducare.co.nz</t>
  </si>
  <si>
    <t>26 Sandown Boulevard</t>
  </si>
  <si>
    <t>Rangiora North West</t>
  </si>
  <si>
    <t>Precious Years Learning Centre</t>
  </si>
  <si>
    <t>09-4191826</t>
  </si>
  <si>
    <t>info@preciousyears.co.nz</t>
  </si>
  <si>
    <t>213 Eskdale Road</t>
  </si>
  <si>
    <t>Raewyn Solomon</t>
  </si>
  <si>
    <t>2/171 Deep Creek Road</t>
  </si>
  <si>
    <t>Rainbow Kids Childcare</t>
  </si>
  <si>
    <t>07-9499204</t>
  </si>
  <si>
    <t>accounts@rainbowkids.co.nz</t>
  </si>
  <si>
    <t>191 Angelsea Street</t>
  </si>
  <si>
    <t>Nicole Turner</t>
  </si>
  <si>
    <t>P O Box 1056</t>
  </si>
  <si>
    <t>027-8280247</t>
  </si>
  <si>
    <t>Northcote Early Learning Centre</t>
  </si>
  <si>
    <t>09-8692400</t>
  </si>
  <si>
    <t>admin@northcote-elc.co.nz</t>
  </si>
  <si>
    <t>50 Lake Road</t>
  </si>
  <si>
    <t>Early Connections Childcare Centre</t>
  </si>
  <si>
    <t>09-5366099</t>
  </si>
  <si>
    <t>admin@earlyconnections.co.nz</t>
  </si>
  <si>
    <t>66 Seventh View Ave</t>
  </si>
  <si>
    <t>Loren Baldwin</t>
  </si>
  <si>
    <t>3 Te Makuru Lane</t>
  </si>
  <si>
    <t>Auckland 2018</t>
  </si>
  <si>
    <t>Village Kids Limited</t>
  </si>
  <si>
    <t>021-1309980</t>
  </si>
  <si>
    <t>team@villagekidsnz.co.nz</t>
  </si>
  <si>
    <t>198 Redvale Road</t>
  </si>
  <si>
    <t>Sarah Richards</t>
  </si>
  <si>
    <t>RD1 198 Redvale Road</t>
  </si>
  <si>
    <t>Richmond 7081</t>
  </si>
  <si>
    <t>Tendershoots Kindergarten Waitoa</t>
  </si>
  <si>
    <t>07-8871695</t>
  </si>
  <si>
    <t>3932 State Highway 26</t>
  </si>
  <si>
    <t>07-8848867</t>
  </si>
  <si>
    <t>All About Children - 51 Mahia</t>
  </si>
  <si>
    <t>51mahiaroad@allaboutchildren.co.nz</t>
  </si>
  <si>
    <t>51 Mahia Road</t>
  </si>
  <si>
    <t>The Owls Nest Preschool Limited</t>
  </si>
  <si>
    <t>03-3234144</t>
  </si>
  <si>
    <t>69 Englefield Road</t>
  </si>
  <si>
    <t>Reggio Emilia</t>
  </si>
  <si>
    <t>Graham Henderson</t>
  </si>
  <si>
    <t>Murchison Kindergarten</t>
  </si>
  <si>
    <t>03-5239398</t>
  </si>
  <si>
    <t>murchisonkindergarten@ntk.org.nz</t>
  </si>
  <si>
    <t>23 Hampton street</t>
  </si>
  <si>
    <t>Murchison</t>
  </si>
  <si>
    <t>Murchison-Nelson Lakes</t>
  </si>
  <si>
    <t>Lakes-Murchison Ward</t>
  </si>
  <si>
    <t>TOSI Area Schools Community of Learning</t>
  </si>
  <si>
    <t>Henderson Early Learning Centre</t>
  </si>
  <si>
    <t>09-88382288</t>
  </si>
  <si>
    <t>growwithmeeducation@gmail.com</t>
  </si>
  <si>
    <t>26 Longburn Road</t>
  </si>
  <si>
    <t>Yuening Wei</t>
  </si>
  <si>
    <t>401B Rosedale Road</t>
  </si>
  <si>
    <t>09-836 0896</t>
  </si>
  <si>
    <t>Scribbles Early Education Centre - Mt Roskill</t>
  </si>
  <si>
    <t>marina@scribbles.kiwi.nz</t>
  </si>
  <si>
    <t>941 Dominion Road</t>
  </si>
  <si>
    <t>Marina Grgicevich</t>
  </si>
  <si>
    <t>Wakari Hospital Early Childhood Centre</t>
  </si>
  <si>
    <t>03-4709198</t>
  </si>
  <si>
    <t>Wakari Hospital 371 Taieri Road</t>
  </si>
  <si>
    <t>Sally Ensor</t>
  </si>
  <si>
    <t>201 Great King Street</t>
  </si>
  <si>
    <t>03-470 9198</t>
  </si>
  <si>
    <t>Little House Montessori</t>
  </si>
  <si>
    <t>03-2600420</t>
  </si>
  <si>
    <t>info@littlehousemontessori.co.nz</t>
  </si>
  <si>
    <t>4 Little Gem Road</t>
  </si>
  <si>
    <t>Maria Guia</t>
  </si>
  <si>
    <t>Busy Bees Motueka</t>
  </si>
  <si>
    <t>03-5285299</t>
  </si>
  <si>
    <t>info@motueka.busybees.org.nz</t>
  </si>
  <si>
    <t>473 High street</t>
  </si>
  <si>
    <t>Holly Murray</t>
  </si>
  <si>
    <t>Fetu Aolele Multicultural ECE Service</t>
  </si>
  <si>
    <t>Canterbury Educare Prestons Preschool</t>
  </si>
  <si>
    <t>03-3838275</t>
  </si>
  <si>
    <t>admin@prestonspreschool.co.nz</t>
  </si>
  <si>
    <t>8 Te Rito Street</t>
  </si>
  <si>
    <t>Kristal Morgan</t>
  </si>
  <si>
    <t>6 Te Rito Street</t>
  </si>
  <si>
    <t>Blossoms Educare Rolleston Limited</t>
  </si>
  <si>
    <t>03-347 0562</t>
  </si>
  <si>
    <t>shona@blossomseducare.co.nz</t>
  </si>
  <si>
    <t>325 Dunns Crossing Road RD8</t>
  </si>
  <si>
    <t>Springston</t>
  </si>
  <si>
    <t>Shona Petersen</t>
  </si>
  <si>
    <t>P O Box 202199</t>
  </si>
  <si>
    <t>Southgate</t>
  </si>
  <si>
    <t>Takanini 2246</t>
  </si>
  <si>
    <t>021-246 8003</t>
  </si>
  <si>
    <t>Little Mascots Early Learning Centre</t>
  </si>
  <si>
    <t>09-2569695</t>
  </si>
  <si>
    <t>mangere@littlemascots.co.nz</t>
  </si>
  <si>
    <t>623 Massey Road</t>
  </si>
  <si>
    <t>Navzad  Cooverji</t>
  </si>
  <si>
    <t>29K Paparoa Road</t>
  </si>
  <si>
    <t>South Auckland 2014</t>
  </si>
  <si>
    <t>janine.bayley@educationangels.co.nz</t>
  </si>
  <si>
    <t>11 Buchanan Street</t>
  </si>
  <si>
    <t>Janine  Bayley</t>
  </si>
  <si>
    <t>027-8706413</t>
  </si>
  <si>
    <t>Tamariki Footsteps Christian Community Preschool</t>
  </si>
  <si>
    <t>09-2650316</t>
  </si>
  <si>
    <t>tamarikifootsteps@gmail.com</t>
  </si>
  <si>
    <t>86 Bairds Road</t>
  </si>
  <si>
    <t>Emma Tavai Brown</t>
  </si>
  <si>
    <t>45 Aronia Way</t>
  </si>
  <si>
    <t>Goodwood Heights</t>
  </si>
  <si>
    <t>Manukau 2105</t>
  </si>
  <si>
    <t>09-2637282</t>
  </si>
  <si>
    <t>Barnardos Hornby Pasifika Early Learning Centre</t>
  </si>
  <si>
    <t>PasifikaELC@Barnardos.org.nz</t>
  </si>
  <si>
    <t>190 A Waterloo Road</t>
  </si>
  <si>
    <t>Se'e Brewster</t>
  </si>
  <si>
    <t>03-344 0271</t>
  </si>
  <si>
    <t>Everest Learning Ltd</t>
  </si>
  <si>
    <t>021-2794803</t>
  </si>
  <si>
    <t>admin@everest.org.nz</t>
  </si>
  <si>
    <t>24 King Street</t>
  </si>
  <si>
    <t>Denise McCorry</t>
  </si>
  <si>
    <t>09-2981665</t>
  </si>
  <si>
    <t>2/199 Papamoa Beach Road</t>
  </si>
  <si>
    <t>Fiona Gordon</t>
  </si>
  <si>
    <t>027-2277744</t>
  </si>
  <si>
    <t>Kuddles In-Home Childcare &amp; Education - 5</t>
  </si>
  <si>
    <t>09-62556621</t>
  </si>
  <si>
    <t>Montessori Invercargill</t>
  </si>
  <si>
    <t>03-2166077</t>
  </si>
  <si>
    <t>375 Tweed Street</t>
  </si>
  <si>
    <t>Georgetown</t>
  </si>
  <si>
    <t>Rosemary Cardoso</t>
  </si>
  <si>
    <t>Invercargill 9812</t>
  </si>
  <si>
    <t>Trillium Montessori School Ltd.</t>
  </si>
  <si>
    <t>03-3446355</t>
  </si>
  <si>
    <t>info@trilliummontessori.co.nz</t>
  </si>
  <si>
    <t>132 Springs Road</t>
  </si>
  <si>
    <t>Maria Mendis</t>
  </si>
  <si>
    <t>132 Spring Road</t>
  </si>
  <si>
    <t>03-3428010</t>
  </si>
  <si>
    <t>Educare Orewa</t>
  </si>
  <si>
    <t>09-426 8909</t>
  </si>
  <si>
    <t>orewa@educare.co.nz</t>
  </si>
  <si>
    <t>46 Centreway Road</t>
  </si>
  <si>
    <t>Samantha Ranwell</t>
  </si>
  <si>
    <t>Building Blocks 2</t>
  </si>
  <si>
    <t>06-353 5222</t>
  </si>
  <si>
    <t>Kid Country St Johns</t>
  </si>
  <si>
    <t>09-2803153</t>
  </si>
  <si>
    <t>joe@kidcountrystjohns.co.nz</t>
  </si>
  <si>
    <t>40 Morrin Road</t>
  </si>
  <si>
    <t>Chiu Chun Lam</t>
  </si>
  <si>
    <t>P O Box 128520</t>
  </si>
  <si>
    <t>Te Puna O Te Aroha Puna Reo</t>
  </si>
  <si>
    <t>09-2326941</t>
  </si>
  <si>
    <t>25 Heather Green Ave</t>
  </si>
  <si>
    <t>Meremere</t>
  </si>
  <si>
    <t>Lauren Wismans</t>
  </si>
  <si>
    <t>Strawberry Garden Childcare</t>
  </si>
  <si>
    <t>06-8366614</t>
  </si>
  <si>
    <t>strawberrygardenchildcare@gmail.com</t>
  </si>
  <si>
    <t>1 Onehunga Road</t>
  </si>
  <si>
    <t>Bayview</t>
  </si>
  <si>
    <t>Vanessa Munford</t>
  </si>
  <si>
    <t>Owlets Forest Early Learning Centre</t>
  </si>
  <si>
    <t>07-8838665</t>
  </si>
  <si>
    <t>info@owlets.co.nz</t>
  </si>
  <si>
    <t>17 Neal Street</t>
  </si>
  <si>
    <t>Rachelle Colebrook</t>
  </si>
  <si>
    <t>Putaruru 3411</t>
  </si>
  <si>
    <t>Little Acorns Childcare Ltd</t>
  </si>
  <si>
    <t>06-3554444</t>
  </si>
  <si>
    <t>46A Bennett Street</t>
  </si>
  <si>
    <t>John Maher</t>
  </si>
  <si>
    <t>46a Bennett Street</t>
  </si>
  <si>
    <t>06-354 7023</t>
  </si>
  <si>
    <t>Pasifika Learning Centre</t>
  </si>
  <si>
    <t>06-3447471</t>
  </si>
  <si>
    <t>27 Totara Street</t>
  </si>
  <si>
    <t>Hellen Puhipuhi</t>
  </si>
  <si>
    <t>P O Box 5103</t>
  </si>
  <si>
    <t>06-3442705</t>
  </si>
  <si>
    <t>Apples Childcare and Learning Centre Onehunga</t>
  </si>
  <si>
    <t>info@appleschildcare.co.nz</t>
  </si>
  <si>
    <t>20 Cameron Street</t>
  </si>
  <si>
    <t>Central Hastings Early Learning Centre</t>
  </si>
  <si>
    <t>06-8789886</t>
  </si>
  <si>
    <t>office@chelc.co.nz</t>
  </si>
  <si>
    <t>511 Hastings Street  South</t>
  </si>
  <si>
    <t>Sarah Gray</t>
  </si>
  <si>
    <t>P O Box 410</t>
  </si>
  <si>
    <t xml:space="preserve">Hastings </t>
  </si>
  <si>
    <t>Poimaino 5 Homebased Childcare</t>
  </si>
  <si>
    <t>44 Chelburn Crescent</t>
  </si>
  <si>
    <t>Poimaino 6 Homebased Childcare</t>
  </si>
  <si>
    <t>KC Birkenhead Trust</t>
  </si>
  <si>
    <t>09-4800088</t>
  </si>
  <si>
    <t>office@kidsco.co.nz</t>
  </si>
  <si>
    <t>21 Parkhill Road</t>
  </si>
  <si>
    <t>Tracy Morton</t>
  </si>
  <si>
    <t>2 Fitzpatrick Place, Chatswood</t>
  </si>
  <si>
    <t>Town and Country Kids</t>
  </si>
  <si>
    <t>09-238 6640</t>
  </si>
  <si>
    <t>pukekohe@kidscount.co.nz</t>
  </si>
  <si>
    <t>25 Puriri Road</t>
  </si>
  <si>
    <t>The Blue Cottage</t>
  </si>
  <si>
    <t>07-3944262</t>
  </si>
  <si>
    <t>info@thebluecottage.co.nz</t>
  </si>
  <si>
    <t>2 Te Rito Way</t>
  </si>
  <si>
    <t>Joanna Cantlon</t>
  </si>
  <si>
    <t>101 Blake Boulevard</t>
  </si>
  <si>
    <t>No-1 Home Based Childcare &amp; Education Service 6</t>
  </si>
  <si>
    <t>6  Tarndale Grove</t>
  </si>
  <si>
    <t>Active Explorers - Kaiapoi</t>
  </si>
  <si>
    <t>03-6629067</t>
  </si>
  <si>
    <t>leonie.mcbride@eeg.co.nz</t>
  </si>
  <si>
    <t>306 Beach Road</t>
  </si>
  <si>
    <t>Leonie McBride</t>
  </si>
  <si>
    <t>027-5324740</t>
  </si>
  <si>
    <t>Gems Kōwhai</t>
  </si>
  <si>
    <t>03-4282116</t>
  </si>
  <si>
    <t>accounts@gems.net.nz</t>
  </si>
  <si>
    <t>55 Stalker Road</t>
  </si>
  <si>
    <t>Shotover Country</t>
  </si>
  <si>
    <t>Kim Begg</t>
  </si>
  <si>
    <t>027-3686242</t>
  </si>
  <si>
    <t>Blossoms Educare Glen Innes</t>
  </si>
  <si>
    <t>09-2838530</t>
  </si>
  <si>
    <t>171 Pilkington Road</t>
  </si>
  <si>
    <t>Blossoms Home Based Childcare</t>
  </si>
  <si>
    <t>027-4247540</t>
  </si>
  <si>
    <t>28a Mc Artney Street</t>
  </si>
  <si>
    <t xml:space="preserve">Janine  Collett </t>
  </si>
  <si>
    <t xml:space="preserve">4139 State Highway 63 RD 1 </t>
  </si>
  <si>
    <t xml:space="preserve">Blenheim 7271 </t>
  </si>
  <si>
    <t>Treasure Tree Home-Based Childcare</t>
  </si>
  <si>
    <t>09-4422086</t>
  </si>
  <si>
    <t>treasuretreeinhome@gmail.com</t>
  </si>
  <si>
    <t>50 Anzac Road</t>
  </si>
  <si>
    <t>Lili Wang</t>
  </si>
  <si>
    <t>P O Box 40830</t>
  </si>
  <si>
    <t>09-2751699</t>
  </si>
  <si>
    <t>134 McKenzie Road</t>
  </si>
  <si>
    <t>19B Aldersgarte Road</t>
  </si>
  <si>
    <t>Educare Tamahere</t>
  </si>
  <si>
    <t>0800-736 824</t>
  </si>
  <si>
    <t>tamahere@educare.co.nz</t>
  </si>
  <si>
    <t>25 Tamahere Drive</t>
  </si>
  <si>
    <t>Tamahere South</t>
  </si>
  <si>
    <t>Stefanie Wallis</t>
  </si>
  <si>
    <t>021-1092225</t>
  </si>
  <si>
    <t>Beach Kids Waihi</t>
  </si>
  <si>
    <t>07-8639022</t>
  </si>
  <si>
    <t>waihi@beachkids.co.nz</t>
  </si>
  <si>
    <t>4 Elliott Street</t>
  </si>
  <si>
    <t>Graham Coulter</t>
  </si>
  <si>
    <t>76 Dillon Street</t>
  </si>
  <si>
    <t>07-8635700</t>
  </si>
  <si>
    <t>Te Puna Reo o Te Kōhao</t>
  </si>
  <si>
    <t>62 Tennyson Road</t>
  </si>
  <si>
    <t>Nurtured at Home Waikato 3</t>
  </si>
  <si>
    <t>Our Kids Early Learning Centre - Onehunga</t>
  </si>
  <si>
    <t>09-636 1395</t>
  </si>
  <si>
    <t>onehunga@ourkidsearlylearning.co.nz</t>
  </si>
  <si>
    <t>208a Church Street</t>
  </si>
  <si>
    <t>Leaps &amp; Bounds</t>
  </si>
  <si>
    <t>09-2350201</t>
  </si>
  <si>
    <t>info@leapsandbounds.nz</t>
  </si>
  <si>
    <t>40 King Street</t>
  </si>
  <si>
    <t>Tamara Tarr</t>
  </si>
  <si>
    <t>76 Vandeleur Avenue</t>
  </si>
  <si>
    <t>Auckland 0623</t>
  </si>
  <si>
    <t>Bright Beginnings Early Learning Centre - Mt Roskill</t>
  </si>
  <si>
    <t>09- 627 7287</t>
  </si>
  <si>
    <t>143 White Swan Road</t>
  </si>
  <si>
    <t>19 Santa Ana Drive</t>
  </si>
  <si>
    <t>Avalon Childcare Centre</t>
  </si>
  <si>
    <t>30 Avalon Drive</t>
  </si>
  <si>
    <t>Ursula  Hafliger</t>
  </si>
  <si>
    <t>45 Cunningham Road</t>
  </si>
  <si>
    <t>Beerescourt</t>
  </si>
  <si>
    <t>022-0849 649</t>
  </si>
  <si>
    <t>The Willows</t>
  </si>
  <si>
    <t>03-3511904</t>
  </si>
  <si>
    <t>248 Wairakei Road</t>
  </si>
  <si>
    <t>Bryndwr</t>
  </si>
  <si>
    <t>Melissa Hempstalk</t>
  </si>
  <si>
    <t>03-3236292</t>
  </si>
  <si>
    <t>Wonder Kidz</t>
  </si>
  <si>
    <t>09-8891666</t>
  </si>
  <si>
    <t>wonderkidzece@gmail.com</t>
  </si>
  <si>
    <t>1 Glenalmond Road</t>
  </si>
  <si>
    <t>Qian Yang</t>
  </si>
  <si>
    <t>BestStart Mangere East 3</t>
  </si>
  <si>
    <t>mangereeast@best-start.org</t>
  </si>
  <si>
    <t>44 Tennessee Ave</t>
  </si>
  <si>
    <t>Kindercare Learning Centres - Flagstaff</t>
  </si>
  <si>
    <t>07-2620848</t>
  </si>
  <si>
    <t>flagstaff@kindercare.co.nz</t>
  </si>
  <si>
    <t>380 Borman Road</t>
  </si>
  <si>
    <t>Co Kids Christchurch Limited</t>
  </si>
  <si>
    <t>03-3650542</t>
  </si>
  <si>
    <t>felicity@cokids.co.nz</t>
  </si>
  <si>
    <t>Unit 3, 1 Pilgram Place</t>
  </si>
  <si>
    <t>Sydenham Central</t>
  </si>
  <si>
    <t>Felicity Rea</t>
  </si>
  <si>
    <t>022-5416202</t>
  </si>
  <si>
    <t>Mini Thinkers</t>
  </si>
  <si>
    <t>0800-2 84465</t>
  </si>
  <si>
    <t>hello@minithinkers.co.nz</t>
  </si>
  <si>
    <t>11 Musselburgh Rise</t>
  </si>
  <si>
    <t>Macaela van Aart</t>
  </si>
  <si>
    <t>11 Musseburgh Rise</t>
  </si>
  <si>
    <t>Dunedin 9013</t>
  </si>
  <si>
    <t>Kakapa Atu Home Base</t>
  </si>
  <si>
    <t>09-5764541</t>
  </si>
  <si>
    <t>kakapaatu@gmail.com</t>
  </si>
  <si>
    <t>28 Bukem Place</t>
  </si>
  <si>
    <t>Heleine Feki</t>
  </si>
  <si>
    <t>28 Bukem</t>
  </si>
  <si>
    <t>Future Kids Preschool Te Rapa</t>
  </si>
  <si>
    <t>07-8506191</t>
  </si>
  <si>
    <t>75 Church Road</t>
  </si>
  <si>
    <t>Shay Dixon</t>
  </si>
  <si>
    <t>P O Box 10615</t>
  </si>
  <si>
    <t>027-5994996</t>
  </si>
  <si>
    <t>BestStart Warrington</t>
  </si>
  <si>
    <t>03-3859340</t>
  </si>
  <si>
    <t>129-131 Warrington Street</t>
  </si>
  <si>
    <t>Homebased Childcare Ltd 2</t>
  </si>
  <si>
    <t>Immanuel Preschool (Favona Rd)</t>
  </si>
  <si>
    <t>09-9625237</t>
  </si>
  <si>
    <t>15 Favona Road</t>
  </si>
  <si>
    <t>Busy Bees Gladstone Road</t>
  </si>
  <si>
    <t>06-8673690</t>
  </si>
  <si>
    <t>info@gladstoneroad.busybees.org.nz</t>
  </si>
  <si>
    <t>481 Gladstone Road</t>
  </si>
  <si>
    <t>Te Hapara East</t>
  </si>
  <si>
    <t>Anahera Kent</t>
  </si>
  <si>
    <t>06-867 3690</t>
  </si>
  <si>
    <t>Explorers Early Learning Centre</t>
  </si>
  <si>
    <t>07-9747579</t>
  </si>
  <si>
    <t>office@explorerselc.co.nz</t>
  </si>
  <si>
    <t>34 George Street</t>
  </si>
  <si>
    <t>Ronelle Taylor</t>
  </si>
  <si>
    <t>Te Kuiti 3190</t>
  </si>
  <si>
    <t>07-8738446</t>
  </si>
  <si>
    <t>Busy Bees Te Kauwhata</t>
  </si>
  <si>
    <t>07-2801503</t>
  </si>
  <si>
    <t>18 Te Kauwhata Road</t>
  </si>
  <si>
    <t>Joanne Ranby</t>
  </si>
  <si>
    <t>The Wildlings In-Home Childcare</t>
  </si>
  <si>
    <t>admin@thewildlings.co.nz</t>
  </si>
  <si>
    <t>Larce Kippen</t>
  </si>
  <si>
    <t>Little Kiwi Explorers</t>
  </si>
  <si>
    <t>229 Ranzau Road</t>
  </si>
  <si>
    <t xml:space="preserve">Rebecca  Dudley </t>
  </si>
  <si>
    <t xml:space="preserve">03-5446963 </t>
  </si>
  <si>
    <t>Young World Childcare Centre</t>
  </si>
  <si>
    <t>09-8495669</t>
  </si>
  <si>
    <t>youngworldece@gmail.com</t>
  </si>
  <si>
    <t>2 Hallam Street</t>
  </si>
  <si>
    <t>Sukhwinder Kaur</t>
  </si>
  <si>
    <t>Peninsula Kids</t>
  </si>
  <si>
    <t>09-3909112</t>
  </si>
  <si>
    <t>168 Bayswater Avenue</t>
  </si>
  <si>
    <t>Lihan Liu</t>
  </si>
  <si>
    <t>36d Kewa Road</t>
  </si>
  <si>
    <t>021-688989</t>
  </si>
  <si>
    <t>Oakfields - Little Oaks Preschool Ltd</t>
  </si>
  <si>
    <t>03-3149686</t>
  </si>
  <si>
    <t>info@littleoakspreschool.co.nz</t>
  </si>
  <si>
    <t>1 Rosewood Drive</t>
  </si>
  <si>
    <t>Joanne Macfarlane</t>
  </si>
  <si>
    <t>P O Box 137</t>
  </si>
  <si>
    <t>Christchurch 7481</t>
  </si>
  <si>
    <t>03-319 2895</t>
  </si>
  <si>
    <t>Rockmybaby Q3</t>
  </si>
  <si>
    <t>info@rockmybaby.co.nz</t>
  </si>
  <si>
    <t>Anita Sharland</t>
  </si>
  <si>
    <t>Lightbulb ELC Childcare</t>
  </si>
  <si>
    <t>09- 5735049</t>
  </si>
  <si>
    <t>hello@lightbulblearning.co.nz</t>
  </si>
  <si>
    <t>3 Pacific Rise</t>
  </si>
  <si>
    <t>11A Seaview Road</t>
  </si>
  <si>
    <t>Little Monkeys At Home</t>
  </si>
  <si>
    <t>06-358 8262</t>
  </si>
  <si>
    <t>Palmerston North 4414</t>
  </si>
  <si>
    <t>Blossoms Educare Rangiora Limited</t>
  </si>
  <si>
    <t>03-3135812</t>
  </si>
  <si>
    <t>8-10 Johns Road</t>
  </si>
  <si>
    <t>Lilybrook</t>
  </si>
  <si>
    <t>22 Ryan Road RD RD4</t>
  </si>
  <si>
    <t>0800-102237</t>
  </si>
  <si>
    <t>Cosmo Kids</t>
  </si>
  <si>
    <t>09-5286481</t>
  </si>
  <si>
    <t>Lyn@cosmokids.co.nz</t>
  </si>
  <si>
    <t>Level 3 125 Queen Street</t>
  </si>
  <si>
    <t>Queen Street</t>
  </si>
  <si>
    <t>Lynette Creagh</t>
  </si>
  <si>
    <t>31A Awatea Road</t>
  </si>
  <si>
    <t>Auckland 1052</t>
  </si>
  <si>
    <t>021-189 6824</t>
  </si>
  <si>
    <t>angie@educationangels.co.nz</t>
  </si>
  <si>
    <t>Angela Stead</t>
  </si>
  <si>
    <t>Little Explorers Early Learning Centre</t>
  </si>
  <si>
    <t>07-8397297</t>
  </si>
  <si>
    <t>manager@littleexplorers.co.nz</t>
  </si>
  <si>
    <t>3 Rukuhia Road</t>
  </si>
  <si>
    <t>Rukuhia</t>
  </si>
  <si>
    <t>Alana Templeton</t>
  </si>
  <si>
    <t>P O Box 8</t>
  </si>
  <si>
    <t>Hamilton 3261</t>
  </si>
  <si>
    <t>07-8293363</t>
  </si>
  <si>
    <t>Pt Chevalier Kindergarten</t>
  </si>
  <si>
    <t>09-8460897</t>
  </si>
  <si>
    <t>ptchevalier@aka.org.nz</t>
  </si>
  <si>
    <t>90 - 94 Walmer Road</t>
  </si>
  <si>
    <t>Nurture and Bloom Early Learning Centre - Te Anau</t>
  </si>
  <si>
    <t>55 Pounamu Drive</t>
  </si>
  <si>
    <t>Katrina van der Gulik</t>
  </si>
  <si>
    <t>35 Pohewa Road</t>
  </si>
  <si>
    <t>Kanuka Corner Early Childhood Centre</t>
  </si>
  <si>
    <t>03-4437783</t>
  </si>
  <si>
    <t>Kanuka Corner Early Childhood Centre 2 Francis Lane</t>
  </si>
  <si>
    <t>Lake Hāwea</t>
  </si>
  <si>
    <t>Anique  Williams</t>
  </si>
  <si>
    <t>7 Ellie Street</t>
  </si>
  <si>
    <t>Wanaka 9382</t>
  </si>
  <si>
    <t>BestStart Kelvin Grove</t>
  </si>
  <si>
    <t>06-2800625</t>
  </si>
  <si>
    <t>2 Roberts Line</t>
  </si>
  <si>
    <t>Royal Oak (Palmerston North City)</t>
  </si>
  <si>
    <t>Barnardos Early Learning Centre Wellington Central</t>
  </si>
  <si>
    <t>04-3812302</t>
  </si>
  <si>
    <t>wellingtoncentralelc@barnardos.org.nz</t>
  </si>
  <si>
    <t>74 Webb Street</t>
  </si>
  <si>
    <t>Te Aro</t>
  </si>
  <si>
    <t>Vivian West</t>
  </si>
  <si>
    <t>Deirdre Fawcet</t>
  </si>
  <si>
    <t>027-4468647</t>
  </si>
  <si>
    <t>Purerehua Early Learning Centre</t>
  </si>
  <si>
    <t>07-3860332</t>
  </si>
  <si>
    <t>kylee@tuwharetoa-matauranga.iwi.nz</t>
  </si>
  <si>
    <t>22 Waipapa Road</t>
  </si>
  <si>
    <t>Kylee Hema</t>
  </si>
  <si>
    <t>Turangi 3334</t>
  </si>
  <si>
    <t>027-2440713</t>
  </si>
  <si>
    <t>Lollipops Lynfield</t>
  </si>
  <si>
    <t>09-8694054 Ext 2</t>
  </si>
  <si>
    <t>cm.lynfield@ledu.co.nz</t>
  </si>
  <si>
    <t>602 Hillsborough Road, Level 1</t>
  </si>
  <si>
    <t>Layla Esau</t>
  </si>
  <si>
    <t>09-869 4054</t>
  </si>
  <si>
    <t>Kindercare Learning Centres - Palmerston North</t>
  </si>
  <si>
    <t>06-2602090</t>
  </si>
  <si>
    <t>palmerstonnorth@kindercare.co.nz</t>
  </si>
  <si>
    <t>321 Featherston Street</t>
  </si>
  <si>
    <t>Palmerston North Hospital</t>
  </si>
  <si>
    <t>Samantha Perry</t>
  </si>
  <si>
    <t>Busy Bees Silverdale</t>
  </si>
  <si>
    <t>09-4261377</t>
  </si>
  <si>
    <t>manager@silverdale.busybees.co.nz</t>
  </si>
  <si>
    <t>2104 A East Coast Road, RD3</t>
  </si>
  <si>
    <t>Dana Henderson</t>
  </si>
  <si>
    <t>09-426 1377</t>
  </si>
  <si>
    <t>Kidsfirst Kindergartens West Rolleston</t>
  </si>
  <si>
    <t>03-7414620</t>
  </si>
  <si>
    <t>78 Granite Drive</t>
  </si>
  <si>
    <t>Lake Tekapo Kindergarten</t>
  </si>
  <si>
    <t>03-6806212</t>
  </si>
  <si>
    <t>laketekapo.kindergarten@sck.nz</t>
  </si>
  <si>
    <t>4-5 Aorangi Crescent</t>
  </si>
  <si>
    <t>Lake Tekapo</t>
  </si>
  <si>
    <t>Mackenzie Lakes</t>
  </si>
  <si>
    <t>Tekapo Ward</t>
  </si>
  <si>
    <t>Borman Village Kids</t>
  </si>
  <si>
    <t>07-9602125</t>
  </si>
  <si>
    <t>todd@bormanvillagekids.co.nz</t>
  </si>
  <si>
    <t>70 Hare Puke Drive</t>
  </si>
  <si>
    <t>Todd Painter</t>
  </si>
  <si>
    <t>021-361832</t>
  </si>
  <si>
    <t>Level 2. Suite 4 93 Dominion Road</t>
  </si>
  <si>
    <t>Lydia Ge</t>
  </si>
  <si>
    <t>Kimbolton Kindergarten</t>
  </si>
  <si>
    <t>06-280 3212</t>
  </si>
  <si>
    <t>kimbolton@wmkindergartens.org.nz</t>
  </si>
  <si>
    <t>4 Lind Street</t>
  </si>
  <si>
    <t>Kimbolton</t>
  </si>
  <si>
    <t>Kiwitea</t>
  </si>
  <si>
    <t>BestStart Silverstream</t>
  </si>
  <si>
    <t>03-9265892</t>
  </si>
  <si>
    <t>silverstream@best-start.org</t>
  </si>
  <si>
    <t>265 Island Road</t>
  </si>
  <si>
    <t>Silverstream (Waimakariri District)</t>
  </si>
  <si>
    <t>Kids Count Lenore Rd</t>
  </si>
  <si>
    <t>09-2751149</t>
  </si>
  <si>
    <t>lenore@kidscount.co.nz</t>
  </si>
  <si>
    <t>46 Lenore Road</t>
  </si>
  <si>
    <t>Kindercare Learning Centres - Christchurch CBD</t>
  </si>
  <si>
    <t>03-260 3290</t>
  </si>
  <si>
    <t>armagh@kindercare.co.nz</t>
  </si>
  <si>
    <t>227 Armagh Street</t>
  </si>
  <si>
    <t>Christchurch Central-East</t>
  </si>
  <si>
    <t>Little Wings Early Childhood Education &amp; Care Centre</t>
  </si>
  <si>
    <t>09-212 8559</t>
  </si>
  <si>
    <t>info@littlewingsece.co.nz</t>
  </si>
  <si>
    <t>88 Main Highway</t>
  </si>
  <si>
    <t>41 Koraha Street</t>
  </si>
  <si>
    <t>Just Kids Merrington</t>
  </si>
  <si>
    <t>03-3738032</t>
  </si>
  <si>
    <t>13 Merrington Crescent</t>
  </si>
  <si>
    <t>Bexley</t>
  </si>
  <si>
    <t>Kerry Rutherford</t>
  </si>
  <si>
    <t>81 Bickerton Street</t>
  </si>
  <si>
    <t>Christchurch 8061</t>
  </si>
  <si>
    <t>New Shoots Children's Centre - Westgate</t>
  </si>
  <si>
    <t>09-8693977</t>
  </si>
  <si>
    <t>Westgate@newshoots.co.nz</t>
  </si>
  <si>
    <t>1 Kawakawa Place</t>
  </si>
  <si>
    <t>Remarkable Start Early Learning</t>
  </si>
  <si>
    <t>03-4418985</t>
  </si>
  <si>
    <t>info@remarkablestart.co.nz</t>
  </si>
  <si>
    <t>Remarkable Start  4 Mountain Ash Drive</t>
  </si>
  <si>
    <t>Candice Stewart</t>
  </si>
  <si>
    <t>P O Box 91101</t>
  </si>
  <si>
    <t>Wakatipu</t>
  </si>
  <si>
    <t>Queenstown 9439</t>
  </si>
  <si>
    <t>Nurtured at Home Waikato 4</t>
  </si>
  <si>
    <t>Tiny Explorers Early Learning Centre</t>
  </si>
  <si>
    <t>09-4222360</t>
  </si>
  <si>
    <t>admin@tinyexplorers.co.nz</t>
  </si>
  <si>
    <t>56 Woodcocks Road</t>
  </si>
  <si>
    <t>Sonya Page</t>
  </si>
  <si>
    <t>Little Pohutukawa Preschool</t>
  </si>
  <si>
    <t>09-479 3387</t>
  </si>
  <si>
    <t>roslyn@littlepohutukawa.co.nz</t>
  </si>
  <si>
    <t>87 Apollo Drive</t>
  </si>
  <si>
    <t>Roslyn (47380) Jephson</t>
  </si>
  <si>
    <t>87 Riverhead Point Drive</t>
  </si>
  <si>
    <t>The Tree House Early Learning</t>
  </si>
  <si>
    <t>03-5475565</t>
  </si>
  <si>
    <t>9 Warren Kelly Street</t>
  </si>
  <si>
    <t xml:space="preserve">Jenna  Sigglekow </t>
  </si>
  <si>
    <t xml:space="preserve">9 Warren Kelly Street </t>
  </si>
  <si>
    <t>Little Climbers Homebased Education and Childcare</t>
  </si>
  <si>
    <t>Bloom Early Learning and Play</t>
  </si>
  <si>
    <t>07-5422866</t>
  </si>
  <si>
    <t>193A Parton Road</t>
  </si>
  <si>
    <t>Keri Maunder</t>
  </si>
  <si>
    <t>P O Box 13421</t>
  </si>
  <si>
    <t>Tauranga 3141</t>
  </si>
  <si>
    <t>All About Children - Reggio</t>
  </si>
  <si>
    <t>429 Great South Road</t>
  </si>
  <si>
    <t>The Learning Nest</t>
  </si>
  <si>
    <t>07-8706299</t>
  </si>
  <si>
    <t>info@thelearningnest.nz</t>
  </si>
  <si>
    <t>88b Teasdale Street</t>
  </si>
  <si>
    <t>Amy Strawbridge</t>
  </si>
  <si>
    <t>88 Teasdale Street</t>
  </si>
  <si>
    <t>Manaaki Childcare Limited</t>
  </si>
  <si>
    <t>09-4074121</t>
  </si>
  <si>
    <t>enquiries.manaaki@xtra.co.nz</t>
  </si>
  <si>
    <t>331C Waipapa Road</t>
  </si>
  <si>
    <t>Waipapa</t>
  </si>
  <si>
    <t>Alcyon Komene</t>
  </si>
  <si>
    <t>331C Waipapa Road RD 2</t>
  </si>
  <si>
    <t>Kerikeri 0295</t>
  </si>
  <si>
    <t>Imagine That Preschool</t>
  </si>
  <si>
    <t>07-9751222</t>
  </si>
  <si>
    <t>108 Lakes Boulevard</t>
  </si>
  <si>
    <t>Pyes Pa North West</t>
  </si>
  <si>
    <t>Anna MacNeill</t>
  </si>
  <si>
    <t>60 Tilby Drive</t>
  </si>
  <si>
    <t>Ngā Reo e Rua</t>
  </si>
  <si>
    <t>07-5739447</t>
  </si>
  <si>
    <t>20 Malcolm Avenue</t>
  </si>
  <si>
    <t>Geoffrey Rice</t>
  </si>
  <si>
    <t>C/o Nga Poutoko A Mua Ltd 1152A Eruera Street</t>
  </si>
  <si>
    <t>07-3481106</t>
  </si>
  <si>
    <t>Omanu Preschool</t>
  </si>
  <si>
    <t>07-5753625</t>
  </si>
  <si>
    <t>20 Tui Street</t>
  </si>
  <si>
    <t>Omanu</t>
  </si>
  <si>
    <t>Helena van der Merwe</t>
  </si>
  <si>
    <t>Rivercity Preschool</t>
  </si>
  <si>
    <t>06-3450680</t>
  </si>
  <si>
    <t>manager@rivercitypreschool.co.nz</t>
  </si>
  <si>
    <t>45 Campbell Street</t>
  </si>
  <si>
    <t>Cornmarket</t>
  </si>
  <si>
    <t>Christine Warren</t>
  </si>
  <si>
    <t>18 Lagoon Way</t>
  </si>
  <si>
    <t>027-3450680</t>
  </si>
  <si>
    <t>Millie's House Connolly Street</t>
  </si>
  <si>
    <t>04-5860545</t>
  </si>
  <si>
    <t>19 Connolly Street</t>
  </si>
  <si>
    <t>Rockmybaby Waikato</t>
  </si>
  <si>
    <t>Kylee Jhaveri</t>
  </si>
  <si>
    <t>Dreamcatchers Homebased Education and Care</t>
  </si>
  <si>
    <t>dreamcatcherschildcare@gmail.com</t>
  </si>
  <si>
    <t>16 Rongopai Place</t>
  </si>
  <si>
    <t>Mary-Ann Parrish</t>
  </si>
  <si>
    <t>Little Pearls Educare Centre - Mt Roskill</t>
  </si>
  <si>
    <t xml:space="preserve">09-216 7838 </t>
  </si>
  <si>
    <t>mtroskill@littlepearls.org.nz</t>
  </si>
  <si>
    <t>3 Radnor Rd</t>
  </si>
  <si>
    <t>Mount Roskill Central North</t>
  </si>
  <si>
    <t>Dominion Childcare Centre</t>
  </si>
  <si>
    <t>09-6294888</t>
  </si>
  <si>
    <t>murrayyee@xtra.co.nz</t>
  </si>
  <si>
    <t>825 Dominion Road</t>
  </si>
  <si>
    <t>Murray Yee</t>
  </si>
  <si>
    <t>P O Box 9800</t>
  </si>
  <si>
    <t>Little Sparrows Educare (Leamington)</t>
  </si>
  <si>
    <t>07-8234073</t>
  </si>
  <si>
    <t>nicole@littlesparrows.co.nz</t>
  </si>
  <si>
    <t>22 Froude Street</t>
  </si>
  <si>
    <t>Leamington South</t>
  </si>
  <si>
    <t>Nicole Honiss</t>
  </si>
  <si>
    <t>P O Box 13012</t>
  </si>
  <si>
    <t>ACG Tauranga Preschool</t>
  </si>
  <si>
    <t>07-2130130</t>
  </si>
  <si>
    <t>6 Keenan Road</t>
  </si>
  <si>
    <t>Keenan Road</t>
  </si>
  <si>
    <t>Sandeep Kaur</t>
  </si>
  <si>
    <t>027-8602497</t>
  </si>
  <si>
    <t>A Child's Place Early Learning Centre</t>
  </si>
  <si>
    <t>09-4128117</t>
  </si>
  <si>
    <t>info@achildsplace.co.nz</t>
  </si>
  <si>
    <t>1 A Tapu Road</t>
  </si>
  <si>
    <t>Megan Browne</t>
  </si>
  <si>
    <t>1 Walton Street</t>
  </si>
  <si>
    <t>Taeaofou I Puaseisei Preschool - Winthrop</t>
  </si>
  <si>
    <t>09-2757813</t>
  </si>
  <si>
    <t>37 Winthrop Way</t>
  </si>
  <si>
    <t>New Shoots Children's Centre - Hobsonville</t>
  </si>
  <si>
    <t>09-8693997</t>
  </si>
  <si>
    <t>hobsonville@newshoots.co.nz</t>
  </si>
  <si>
    <t>102 Hobsonville Road</t>
  </si>
  <si>
    <t>Magic Sparks Kāpiti Ltd</t>
  </si>
  <si>
    <t>04-2972680</t>
  </si>
  <si>
    <t>110 Amohia Street</t>
  </si>
  <si>
    <t>Jayden Forrest</t>
  </si>
  <si>
    <t>027-460 9329</t>
  </si>
  <si>
    <t>Beststart Melling</t>
  </si>
  <si>
    <t>04-566-5429</t>
  </si>
  <si>
    <t>melling@best-start.org</t>
  </si>
  <si>
    <t>2 Connolly Street</t>
  </si>
  <si>
    <t>North East Valley Baptist Community Centre</t>
  </si>
  <si>
    <t>03-473 9413</t>
  </si>
  <si>
    <t>270 North Road</t>
  </si>
  <si>
    <t>Amy Souquet</t>
  </si>
  <si>
    <t>Kindercare Learning Centres - Aidanfield</t>
  </si>
  <si>
    <t>03-2605076</t>
  </si>
  <si>
    <t>aidanfield@kindercare.co.nz</t>
  </si>
  <si>
    <t>1 Templetons Road</t>
  </si>
  <si>
    <t>Brainwaves Preschool</t>
  </si>
  <si>
    <t>09-4270001</t>
  </si>
  <si>
    <t>91 Small Road</t>
  </si>
  <si>
    <t xml:space="preserve">18 Forest Glen </t>
  </si>
  <si>
    <t>Hatchlings ECE Ltd</t>
  </si>
  <si>
    <t>07-8436911</t>
  </si>
  <si>
    <t>hatchlings.educare@gmail.com</t>
  </si>
  <si>
    <t>9 Homestead Place</t>
  </si>
  <si>
    <t>Champa James</t>
  </si>
  <si>
    <t>Little Climbers Homebased Education and Childcare Licence - 2</t>
  </si>
  <si>
    <t>ritu.jain@littleclimbers.co.nz</t>
  </si>
  <si>
    <t>East Tamaki Heights</t>
  </si>
  <si>
    <t>Nelson Park Kindergarten Toddler and Baby</t>
  </si>
  <si>
    <t>06-8355998</t>
  </si>
  <si>
    <t>41 Kennedy Road</t>
  </si>
  <si>
    <t>Hilary  Scott-Ker</t>
  </si>
  <si>
    <t>29 Hardington Street</t>
  </si>
  <si>
    <t>022-1099881</t>
  </si>
  <si>
    <t>Little Moments Child Care Ltd</t>
  </si>
  <si>
    <t>07-3124909</t>
  </si>
  <si>
    <t>littlemomentschildcare18@gmail.com</t>
  </si>
  <si>
    <t>60a West End Road</t>
  </si>
  <si>
    <t>Yvonne Porter</t>
  </si>
  <si>
    <t xml:space="preserve">Ohope </t>
  </si>
  <si>
    <t>Te Puna Manawa o Whakaue</t>
  </si>
  <si>
    <t>2B Ranolf Street</t>
  </si>
  <si>
    <t>Merehira Savage</t>
  </si>
  <si>
    <t>Rotorua South</t>
  </si>
  <si>
    <t>Rotorua 3045</t>
  </si>
  <si>
    <t>Annabel's Educare - West Melton</t>
  </si>
  <si>
    <t>03-3471603</t>
  </si>
  <si>
    <t>wm@annabelseducare.co.nz</t>
  </si>
  <si>
    <t>8 Kingsdowne Drive</t>
  </si>
  <si>
    <t>Busy Bees Hobsonville</t>
  </si>
  <si>
    <t>09-281 4202</t>
  </si>
  <si>
    <t>info@hobsonville.busybees.org.nz</t>
  </si>
  <si>
    <t>2 Workspace Drive</t>
  </si>
  <si>
    <t>Shelley Crook</t>
  </si>
  <si>
    <t>All About Children - Opaheke</t>
  </si>
  <si>
    <t>manager.opaheke@allaboutchildren.co.nz</t>
  </si>
  <si>
    <t>336 Great South Road</t>
  </si>
  <si>
    <t>Inspire Early Learning Centre</t>
  </si>
  <si>
    <t>preenika_singh@yahoo.com</t>
  </si>
  <si>
    <t>95 Dominion Road</t>
  </si>
  <si>
    <t>Preenika Singh</t>
  </si>
  <si>
    <t>13 Alluvial Street</t>
  </si>
  <si>
    <t>Nurtured at Home - Taranaki 1</t>
  </si>
  <si>
    <t>Te Ako o te Tui Early Childhood Centre - Grafton</t>
  </si>
  <si>
    <t>09-9236729</t>
  </si>
  <si>
    <t>9 Park Ave</t>
  </si>
  <si>
    <t>Just Kidz Flatbush</t>
  </si>
  <si>
    <t>09-2650033</t>
  </si>
  <si>
    <t>wei.luo@justkidz.co.nz</t>
  </si>
  <si>
    <t>64 Thomas Road</t>
  </si>
  <si>
    <t>Donegal Park East</t>
  </si>
  <si>
    <t>Wei Luo</t>
  </si>
  <si>
    <t>Atamai Education &amp; Care East</t>
  </si>
  <si>
    <t>Sugartree Lane Preschool</t>
  </si>
  <si>
    <t>09-216 4521</t>
  </si>
  <si>
    <t>info.sugartreelanepreschool@gmail.com</t>
  </si>
  <si>
    <t>Unit 1 145 Nelson St</t>
  </si>
  <si>
    <t>Victoria Park</t>
  </si>
  <si>
    <t>Malcolm Clarke</t>
  </si>
  <si>
    <t>1/27 Vine Street</t>
  </si>
  <si>
    <t>Active Explorers Papakura</t>
  </si>
  <si>
    <t>cm.papakura@activeexplorers.co.nz</t>
  </si>
  <si>
    <t>989 Papakura - Clevedon Road</t>
  </si>
  <si>
    <t>Twin Parks Rise</t>
  </si>
  <si>
    <t>Katie Quayle</t>
  </si>
  <si>
    <t>Little Doves Early Learning Centre</t>
  </si>
  <si>
    <t>sjones@littledoves.nz</t>
  </si>
  <si>
    <t>Sarah Jones</t>
  </si>
  <si>
    <t>Aspire Learning Home Based Childcare</t>
  </si>
  <si>
    <t>Te Puna Ako ki Tōtara Puku</t>
  </si>
  <si>
    <t>34 Patapu Street</t>
  </si>
  <si>
    <t>Magical Years Childcare Centre</t>
  </si>
  <si>
    <t>09-8181285</t>
  </si>
  <si>
    <t>info@magicalyears.co.nz</t>
  </si>
  <si>
    <t>4249 Great North Road</t>
  </si>
  <si>
    <t>Amindra Kumar</t>
  </si>
  <si>
    <t xml:space="preserve">4249 Great North Rd </t>
  </si>
  <si>
    <t>Busy Bees Ormiston Road</t>
  </si>
  <si>
    <t>09-952 9040</t>
  </si>
  <si>
    <t>manager@ormiston.busybees.org.nz</t>
  </si>
  <si>
    <t>58 Ormiston Road</t>
  </si>
  <si>
    <t>Hannah Ross</t>
  </si>
  <si>
    <t>Pt England KIDS Early Learning Centre</t>
  </si>
  <si>
    <t>office@teuilakids.co.nz</t>
  </si>
  <si>
    <t>2 Erima Ave</t>
  </si>
  <si>
    <t>Ria Tuala</t>
  </si>
  <si>
    <t>Jumpstart Nursery</t>
  </si>
  <si>
    <t>06-7570026</t>
  </si>
  <si>
    <t>info@jumpstartpreschool.co.nz</t>
  </si>
  <si>
    <t>11 Wallath Road</t>
  </si>
  <si>
    <t>Hurdon</t>
  </si>
  <si>
    <t>Little Explorers Early Learning Centre Waiuku</t>
  </si>
  <si>
    <t>09-947 9781</t>
  </si>
  <si>
    <t>8 Valley Road</t>
  </si>
  <si>
    <t>95c Highbrook Way RD9</t>
  </si>
  <si>
    <t xml:space="preserve">07-829 3363 </t>
  </si>
  <si>
    <t>Kai Kids Preschool</t>
  </si>
  <si>
    <t>022-1763470</t>
  </si>
  <si>
    <t>office@kaikidspreschool.co.nz</t>
  </si>
  <si>
    <t>46 Eddystone Street</t>
  </si>
  <si>
    <t>Kaitangata</t>
  </si>
  <si>
    <t>Kaitangata-Matau</t>
  </si>
  <si>
    <t>Kaitangata-Matau Ward</t>
  </si>
  <si>
    <t>Saskia Webber</t>
  </si>
  <si>
    <t>Kaitangata 9210</t>
  </si>
  <si>
    <t>Equippers Kids Early Learning Centre</t>
  </si>
  <si>
    <t>0800-375347</t>
  </si>
  <si>
    <t>info@equipperskids.com</t>
  </si>
  <si>
    <t>9 Gladding Place</t>
  </si>
  <si>
    <t>Susan Willis-Baker</t>
  </si>
  <si>
    <t>P O Box 97024</t>
  </si>
  <si>
    <t>0800-375 437</t>
  </si>
  <si>
    <t>Above &amp; Beyond Tauriko</t>
  </si>
  <si>
    <t>57 Taurikoura Drive</t>
  </si>
  <si>
    <t>Sweet Pea Early Learning Centre</t>
  </si>
  <si>
    <t>03-3120715</t>
  </si>
  <si>
    <t>admin@sweetpea.nz</t>
  </si>
  <si>
    <t>Unit 2 468 Mandeville Road</t>
  </si>
  <si>
    <t>Ohoka</t>
  </si>
  <si>
    <t>Mandeville</t>
  </si>
  <si>
    <t>Prabashini Pillay</t>
  </si>
  <si>
    <t>Christchurch 7692</t>
  </si>
  <si>
    <t>Kuddles In-Home Childcare &amp; Education - 6</t>
  </si>
  <si>
    <t>Li'l Champs Montessori Early Learning Centre</t>
  </si>
  <si>
    <t>43 Aviemore Drive</t>
  </si>
  <si>
    <t>19C Aldersgate Road</t>
  </si>
  <si>
    <t>Kowhai Corner Learning Centre</t>
  </si>
  <si>
    <t>kowhaicorner@gmail.com</t>
  </si>
  <si>
    <t>29a Purdy Street</t>
  </si>
  <si>
    <t>BestStart Oraha Road</t>
  </si>
  <si>
    <t>09-2828170</t>
  </si>
  <si>
    <t>oraha@best-start.org</t>
  </si>
  <si>
    <t>105 Oraha Road</t>
  </si>
  <si>
    <t>04-3899781 Ext 64402</t>
  </si>
  <si>
    <t>4 Normanby Street</t>
  </si>
  <si>
    <t>Salvation Army</t>
  </si>
  <si>
    <t>Emily Small</t>
  </si>
  <si>
    <t>Next Generation</t>
  </si>
  <si>
    <t>09-4893156</t>
  </si>
  <si>
    <t>15 Gatman Street</t>
  </si>
  <si>
    <t>BestStart Borman Road</t>
  </si>
  <si>
    <t>07-9742140</t>
  </si>
  <si>
    <t>272 Borman Road</t>
  </si>
  <si>
    <t>New Shoots Children's Centre - Matamata</t>
  </si>
  <si>
    <t>07-4443040</t>
  </si>
  <si>
    <t>6 Peria Road</t>
  </si>
  <si>
    <t>SUPERKIDZ Early Learning Centre</t>
  </si>
  <si>
    <t>09-6244004</t>
  </si>
  <si>
    <t>2 Turama Road</t>
  </si>
  <si>
    <t>68B Ayton Drive, Totara Vale</t>
  </si>
  <si>
    <t>Athenree Montessori</t>
  </si>
  <si>
    <t>07-2148251</t>
  </si>
  <si>
    <t>vanessa@athenreemontessori.co.nz</t>
  </si>
  <si>
    <t>101 Athenree Road</t>
  </si>
  <si>
    <t>Athenree</t>
  </si>
  <si>
    <t>Vanessa Burgess</t>
  </si>
  <si>
    <t xml:space="preserve">101 Athenree Road </t>
  </si>
  <si>
    <t>Waihi Beach 3177</t>
  </si>
  <si>
    <t>021-02878135</t>
  </si>
  <si>
    <t>Aurora Homebased childcare Services 2</t>
  </si>
  <si>
    <t>Little Ducklings</t>
  </si>
  <si>
    <t>09-2775712</t>
  </si>
  <si>
    <t>2 Hillside Road</t>
  </si>
  <si>
    <t>Vikas Bansal</t>
  </si>
  <si>
    <t>4 Sambrooke Crescent</t>
  </si>
  <si>
    <t>New Shoots Children's Centre - Whenuapai</t>
  </si>
  <si>
    <t>09-8696050</t>
  </si>
  <si>
    <t>whenuapai@newshoots.co.nz</t>
  </si>
  <si>
    <t>1-9 Maramara Road</t>
  </si>
  <si>
    <t>Rutherford Street Kindergarten</t>
  </si>
  <si>
    <t>021-02527025</t>
  </si>
  <si>
    <t>manager@rutherfordstkinder.co.nz</t>
  </si>
  <si>
    <t>233 Rutherford Street</t>
  </si>
  <si>
    <t>Rutherford</t>
  </si>
  <si>
    <t>Amber  Rae</t>
  </si>
  <si>
    <t>Nelson 7010</t>
  </si>
  <si>
    <t>House of Wonder Gisborne by Busy Bees</t>
  </si>
  <si>
    <t>06-777 0029</t>
  </si>
  <si>
    <t>info@howgisborne.busybees.org.nz</t>
  </si>
  <si>
    <t>11-19 Pitt Street</t>
  </si>
  <si>
    <t>Midway</t>
  </si>
  <si>
    <t>Gisborne Central</t>
  </si>
  <si>
    <t>Nikki Ellmers</t>
  </si>
  <si>
    <t>06-7770029</t>
  </si>
  <si>
    <t>Bumblebees Whitford Childcare Centre</t>
  </si>
  <si>
    <t>09-2189677</t>
  </si>
  <si>
    <t>whitford@bumblebeeschildcare.co.nz</t>
  </si>
  <si>
    <t>9 Whitford-Maraetai Road</t>
  </si>
  <si>
    <t>Anna Craigen</t>
  </si>
  <si>
    <t>40 Intrepid Crescent</t>
  </si>
  <si>
    <t>He Manu Hou Trust</t>
  </si>
  <si>
    <t>admin@hemanuhou.nz</t>
  </si>
  <si>
    <t>50 Bridge Street</t>
  </si>
  <si>
    <t>Washdyke</t>
  </si>
  <si>
    <t>Andrew Russell</t>
  </si>
  <si>
    <t>50 Bridge Road</t>
  </si>
  <si>
    <t>Timaru 7910</t>
  </si>
  <si>
    <t>022-626 0349</t>
  </si>
  <si>
    <t>Kids Cove Infant &amp; Toddlers Albany</t>
  </si>
  <si>
    <t>09-9749806</t>
  </si>
  <si>
    <t>2 Oracle Drive</t>
  </si>
  <si>
    <t>All About Children - Lower Hutt</t>
  </si>
  <si>
    <t>04-5770380</t>
  </si>
  <si>
    <t>22 Gregory Street</t>
  </si>
  <si>
    <t>Fisipuamanogi Taula</t>
  </si>
  <si>
    <t>62 Connell Street</t>
  </si>
  <si>
    <t>Gumboots &amp; Grasshoppers Childcare &amp; Learning Centre</t>
  </si>
  <si>
    <t>07-5950514</t>
  </si>
  <si>
    <t>info@gumbootsandgrasshoppers.co.nz</t>
  </si>
  <si>
    <t>708 Te Kowhai Road</t>
  </si>
  <si>
    <t>Lynette Tecofsky</t>
  </si>
  <si>
    <t>PO Box 29022 Te Kowhai</t>
  </si>
  <si>
    <t>Hamilton 3263</t>
  </si>
  <si>
    <t>07-8719294</t>
  </si>
  <si>
    <t>Havelock North Family Centre</t>
  </si>
  <si>
    <t>06-8758033</t>
  </si>
  <si>
    <t>info@hnfc.co.nz</t>
  </si>
  <si>
    <t>14 Middle Road</t>
  </si>
  <si>
    <t>Little Troopers Early Learning Centre</t>
  </si>
  <si>
    <t>07-3503369</t>
  </si>
  <si>
    <t>littletrooperselc@hotmail.com</t>
  </si>
  <si>
    <t>320 Malfroy Road</t>
  </si>
  <si>
    <t>Pomare</t>
  </si>
  <si>
    <t>Carol Amiri</t>
  </si>
  <si>
    <t>14A Hood Street</t>
  </si>
  <si>
    <t>Happy Valley Education &amp; Care</t>
  </si>
  <si>
    <t>09-884 3995</t>
  </si>
  <si>
    <t>Level 1, Unit 32 203 Kirkbride Road</t>
  </si>
  <si>
    <t>RuiQi Yang</t>
  </si>
  <si>
    <t>Reach Forward Early Learning Centre - Warkworth</t>
  </si>
  <si>
    <t>09-2833433</t>
  </si>
  <si>
    <t>linda.ward@reachforward.co.nz</t>
  </si>
  <si>
    <t>11 Falls Street</t>
  </si>
  <si>
    <t>Kia ora Kids at Home Childcare 2</t>
  </si>
  <si>
    <t>BestStart Taita</t>
  </si>
  <si>
    <t>04-2810009</t>
  </si>
  <si>
    <t>14 Tocker Street</t>
  </si>
  <si>
    <t>Educare Tawa</t>
  </si>
  <si>
    <t>04-4711984</t>
  </si>
  <si>
    <t>10 Surrey Street</t>
  </si>
  <si>
    <t>Fetu Ah Chan</t>
  </si>
  <si>
    <t>027-2269881</t>
  </si>
  <si>
    <t>Small Wonders Childcare Centre</t>
  </si>
  <si>
    <t>04-938 7969</t>
  </si>
  <si>
    <t>17 Alexander Road</t>
  </si>
  <si>
    <t>Raumati South</t>
  </si>
  <si>
    <t>Kapiti Coast</t>
  </si>
  <si>
    <t>Alice Third</t>
  </si>
  <si>
    <t>Raumati Beach 5032</t>
  </si>
  <si>
    <t>Junior Junction (St Jude)</t>
  </si>
  <si>
    <t>09-8283232</t>
  </si>
  <si>
    <t>stjude@juniorjunction.co.nz</t>
  </si>
  <si>
    <t>25 St Jude Street</t>
  </si>
  <si>
    <t>Alaina Olliver</t>
  </si>
  <si>
    <t>09-2185885</t>
  </si>
  <si>
    <t>Little Rose Home-based Childcare</t>
  </si>
  <si>
    <t>09-6306481</t>
  </si>
  <si>
    <t>jaliyan@kinect.co.nz</t>
  </si>
  <si>
    <t>19A Statesman Street</t>
  </si>
  <si>
    <t>Ekanayake Nugapitiya</t>
  </si>
  <si>
    <t>Little Feet Childcare Centre (Yates Rd)</t>
  </si>
  <si>
    <t>26 Yates Road</t>
  </si>
  <si>
    <t>Pohutukawa Kidz</t>
  </si>
  <si>
    <t>09-2187877</t>
  </si>
  <si>
    <t>44/1 Wakelin Road</t>
  </si>
  <si>
    <t>Seema Arora</t>
  </si>
  <si>
    <t>44/1  Wakelin Road</t>
  </si>
  <si>
    <t>09-2822464</t>
  </si>
  <si>
    <t>Blue Duck Early Learning Centre</t>
  </si>
  <si>
    <t>03-236 7117</t>
  </si>
  <si>
    <t>127 Dejoux Road</t>
  </si>
  <si>
    <t>Tina Hardie</t>
  </si>
  <si>
    <t>16 Broughton Place</t>
  </si>
  <si>
    <t>Te Anau 9600</t>
  </si>
  <si>
    <t>Nurtured at Home - Wellington 2</t>
  </si>
  <si>
    <t>Mar Addai Catholic Preschool</t>
  </si>
  <si>
    <t>09-2501434</t>
  </si>
  <si>
    <t>maraddai@xtra.co.nz</t>
  </si>
  <si>
    <t>505 Great South Road</t>
  </si>
  <si>
    <t>Manukau 2025</t>
  </si>
  <si>
    <t>Te Rito, Te Whare Reo</t>
  </si>
  <si>
    <t>09-4080 559</t>
  </si>
  <si>
    <t>terito.donni@gmail.com</t>
  </si>
  <si>
    <t>8 Church Road</t>
  </si>
  <si>
    <t>Grow Active Balfour Terrace</t>
  </si>
  <si>
    <t>03-3662260</t>
  </si>
  <si>
    <t>3 Balfour Terrace</t>
  </si>
  <si>
    <t>Christchurch Central-South</t>
  </si>
  <si>
    <t>Kim Grant</t>
  </si>
  <si>
    <t>BestStart Pinnacles</t>
  </si>
  <si>
    <t>03-4434650</t>
  </si>
  <si>
    <t>1 Northlake Drive</t>
  </si>
  <si>
    <t>Northlake</t>
  </si>
  <si>
    <t>Kiddie Garden Learning Corner</t>
  </si>
  <si>
    <t>09- 2830352</t>
  </si>
  <si>
    <t>2 Morrin Street</t>
  </si>
  <si>
    <t>Yiqian Jiang</t>
  </si>
  <si>
    <t>Piece of Cake Education</t>
  </si>
  <si>
    <t>louisefifteen@gmail.com</t>
  </si>
  <si>
    <t>51 Bannings Way</t>
  </si>
  <si>
    <t>Ding Cai</t>
  </si>
  <si>
    <t>09-8200736</t>
  </si>
  <si>
    <t>Willow Tree Early Learning Centre</t>
  </si>
  <si>
    <t>09-6220441</t>
  </si>
  <si>
    <t>dayna@willowtreelearning.co.nz</t>
  </si>
  <si>
    <t>93 Selwyn Street</t>
  </si>
  <si>
    <t>Dayna Aubrey</t>
  </si>
  <si>
    <t>77A Benson Road</t>
  </si>
  <si>
    <t>Pokeno Child Care Centre</t>
  </si>
  <si>
    <t>pokenochildcare@gmail.com</t>
  </si>
  <si>
    <t>17 Pokeno Road</t>
  </si>
  <si>
    <t>Pōkeno South</t>
  </si>
  <si>
    <t>Jasvir  Lall</t>
  </si>
  <si>
    <t>P O Box 2721225</t>
  </si>
  <si>
    <t>Little Blue Penguin Preschool and Nursery</t>
  </si>
  <si>
    <t>03-9259489</t>
  </si>
  <si>
    <t>office@littlebluepenguin.co.nz</t>
  </si>
  <si>
    <t>Bishopdale South</t>
  </si>
  <si>
    <t>Aranga Early Childhood Centre</t>
  </si>
  <si>
    <t>aranga@taonga.org.nz</t>
  </si>
  <si>
    <t>32 Riverton Drive, Riverton Reserve</t>
  </si>
  <si>
    <t>Randwick Park West</t>
  </si>
  <si>
    <t>Busy Bees Silverdale Central</t>
  </si>
  <si>
    <t>09-281 4303</t>
  </si>
  <si>
    <t>manager@silverdalecentral.busybees.org.nz</t>
  </si>
  <si>
    <t>2 Weir Lane</t>
  </si>
  <si>
    <t>Rebecca Clark</t>
  </si>
  <si>
    <t>Otamarakau Kindergarten</t>
  </si>
  <si>
    <t>06-5333340</t>
  </si>
  <si>
    <t>2244 Old Coach Road, RD 6</t>
  </si>
  <si>
    <t>Atawhai Kids</t>
  </si>
  <si>
    <t>03-5452233</t>
  </si>
  <si>
    <t>8 Hodgson Place</t>
  </si>
  <si>
    <t>Atawhai</t>
  </si>
  <si>
    <t>Robyn McQueen</t>
  </si>
  <si>
    <t>240 Wakapuaka Road RD 1</t>
  </si>
  <si>
    <t xml:space="preserve">Nelson </t>
  </si>
  <si>
    <t>Creative Garden Early Learning Centre - Papakura</t>
  </si>
  <si>
    <t>09-2724042</t>
  </si>
  <si>
    <t>papakura@creativegarden.nz</t>
  </si>
  <si>
    <t>166 Old Wairoa Road</t>
  </si>
  <si>
    <t>Karey Webber</t>
  </si>
  <si>
    <t>09-296 8166</t>
  </si>
  <si>
    <t>Learning Links Childcare Hector Drive</t>
  </si>
  <si>
    <t>07-595 0543</t>
  </si>
  <si>
    <t>manager.llhd@learninglinkschildcare.co.nz</t>
  </si>
  <si>
    <t>38 Hector Drive</t>
  </si>
  <si>
    <t>Co Kids Thorndon</t>
  </si>
  <si>
    <t>04-2122500</t>
  </si>
  <si>
    <t>gulnara@cokids.co.nz</t>
  </si>
  <si>
    <t>170 Thorndon Quay</t>
  </si>
  <si>
    <t>Stephen Piper</t>
  </si>
  <si>
    <t>04-801 9970</t>
  </si>
  <si>
    <t>Learning Bee Montessori</t>
  </si>
  <si>
    <t>52 Langdons Road</t>
  </si>
  <si>
    <t>Tai Ying Lin</t>
  </si>
  <si>
    <t>79A Middleton Road</t>
  </si>
  <si>
    <t>03-348 7068</t>
  </si>
  <si>
    <t>Seeds Early Learning Centre</t>
  </si>
  <si>
    <t>09-218 8333</t>
  </si>
  <si>
    <t>info@seedselc.co.nz</t>
  </si>
  <si>
    <t>Unit H  1-9 Red Hills Road</t>
  </si>
  <si>
    <t>51 James Laurie St</t>
  </si>
  <si>
    <t>Nurture Early Learning Red Beach</t>
  </si>
  <si>
    <t>09-283 7438</t>
  </si>
  <si>
    <t>145 Hibiscus Coast Highway</t>
  </si>
  <si>
    <t>Chasing Joy Early Learning</t>
  </si>
  <si>
    <t>09-2813615</t>
  </si>
  <si>
    <t>manager@chasingjoy.co.nz</t>
  </si>
  <si>
    <t>49 Mahutonga Avenue</t>
  </si>
  <si>
    <t>Stuart Thornell</t>
  </si>
  <si>
    <t>29 Greenhithe Road</t>
  </si>
  <si>
    <t>09-4137652</t>
  </si>
  <si>
    <t>Kind Hands Ltd</t>
  </si>
  <si>
    <t>19 Morningside Road</t>
  </si>
  <si>
    <t>Sharlene Clements</t>
  </si>
  <si>
    <t>19 Morningside Road, Morningside</t>
  </si>
  <si>
    <t>09-459 7383</t>
  </si>
  <si>
    <t>St Lukes Mokopuna Apii Punanga Reo Inc</t>
  </si>
  <si>
    <t>07-8861345</t>
  </si>
  <si>
    <t>10 Kelso Street</t>
  </si>
  <si>
    <t>Teokotai Tarai</t>
  </si>
  <si>
    <t>P O Box 384</t>
  </si>
  <si>
    <t>The Haven Early Learning - Belmont</t>
  </si>
  <si>
    <t>09-966 1005</t>
  </si>
  <si>
    <t>belmont@havenearlylearning.nz</t>
  </si>
  <si>
    <t>9 Preston Ave</t>
  </si>
  <si>
    <t>Lucy Pratt</t>
  </si>
  <si>
    <t>9 Preston Avenue</t>
  </si>
  <si>
    <t>Peacocks Early Learning - Stonefields</t>
  </si>
  <si>
    <t>31 Purchas Hill Drive</t>
  </si>
  <si>
    <t>Stonefields East</t>
  </si>
  <si>
    <t>Montessori Oamaru by Busy Bees</t>
  </si>
  <si>
    <t>03-9010500</t>
  </si>
  <si>
    <t>6 Regina Lane</t>
  </si>
  <si>
    <t>Oamaru North Milner Park</t>
  </si>
  <si>
    <t>Rebecca Koberstein</t>
  </si>
  <si>
    <t>BestStart Coast Boulevard</t>
  </si>
  <si>
    <t>07-2810618</t>
  </si>
  <si>
    <t>15 Coast Boulevard</t>
  </si>
  <si>
    <t>Little Coasties by Busy Bees</t>
  </si>
  <si>
    <t>09- 777 6017</t>
  </si>
  <si>
    <t>info@coasties.busybees.org.nz</t>
  </si>
  <si>
    <t>841 Whangaparaoa Rd</t>
  </si>
  <si>
    <t>Hibiscus Coast</t>
  </si>
  <si>
    <t>Donna Fribrant-Katz</t>
  </si>
  <si>
    <t>09-7776017</t>
  </si>
  <si>
    <t>Rotokauri Early Education Centre</t>
  </si>
  <si>
    <t>07-8495599</t>
  </si>
  <si>
    <t>681 Arthur Porter Drive</t>
  </si>
  <si>
    <t>My Kindy Kelston</t>
  </si>
  <si>
    <t>09-818 2000</t>
  </si>
  <si>
    <t>20 Sabulite Road</t>
  </si>
  <si>
    <t>Learning Links Te Awamutu</t>
  </si>
  <si>
    <t>07-280  7973</t>
  </si>
  <si>
    <t>jo@learninglinkschildcare.co.nz</t>
  </si>
  <si>
    <t>488 Alexandra Street</t>
  </si>
  <si>
    <t>Bloomfields Preschool Limited</t>
  </si>
  <si>
    <t>03-3147726</t>
  </si>
  <si>
    <t>145 Mt Brown Road</t>
  </si>
  <si>
    <t>Ashley Forest</t>
  </si>
  <si>
    <t>Gina Carr</t>
  </si>
  <si>
    <t>448 Mt Brown Road</t>
  </si>
  <si>
    <t>Amberley RD 2</t>
  </si>
  <si>
    <t>04-3147767</t>
  </si>
  <si>
    <t>The DEN: Discover Education in Nature</t>
  </si>
  <si>
    <t>06-281 2588</t>
  </si>
  <si>
    <t>sindy@discovertheden.co.nz</t>
  </si>
  <si>
    <t>1 Cato Road</t>
  </si>
  <si>
    <t>Poraiti Hills</t>
  </si>
  <si>
    <t>Sindy Cormack</t>
  </si>
  <si>
    <t>P O Box 7178</t>
  </si>
  <si>
    <t>Napier 4112</t>
  </si>
  <si>
    <t>027-3657689</t>
  </si>
  <si>
    <t>Busy Bees Te Rapa</t>
  </si>
  <si>
    <t>07-949 8335</t>
  </si>
  <si>
    <t>562  Te Rapa Road</t>
  </si>
  <si>
    <t>Sunita Kumar</t>
  </si>
  <si>
    <t>021-2050284</t>
  </si>
  <si>
    <t>Little Buddies Learning Centre 2</t>
  </si>
  <si>
    <t>09-6273119</t>
  </si>
  <si>
    <t>enacnz@gmail.com</t>
  </si>
  <si>
    <t>58 Somerset Road</t>
  </si>
  <si>
    <t>Ena  Chaudhry</t>
  </si>
  <si>
    <t>15 Erson Ave</t>
  </si>
  <si>
    <t>Future Focus - Papamoa Beach</t>
  </si>
  <si>
    <t>07-5725491</t>
  </si>
  <si>
    <t>2 Dickson Road</t>
  </si>
  <si>
    <t>Papamoa Beach North</t>
  </si>
  <si>
    <t>Brittany Fannin</t>
  </si>
  <si>
    <t>532 Gloucester Road</t>
  </si>
  <si>
    <t>Tauranga 3175</t>
  </si>
  <si>
    <t>027-9505687</t>
  </si>
  <si>
    <t>Just Kidz Albany</t>
  </si>
  <si>
    <t>09-4141014</t>
  </si>
  <si>
    <t>maggie.xu@justkidz.co.nz</t>
  </si>
  <si>
    <t>5 William Pickering Drive</t>
  </si>
  <si>
    <t>Maggie Xu</t>
  </si>
  <si>
    <t>021-1457955</t>
  </si>
  <si>
    <t>Discovery Junction</t>
  </si>
  <si>
    <t>03-3322211</t>
  </si>
  <si>
    <t>info@discoveryjunction.co.nz</t>
  </si>
  <si>
    <t>36 Cholmondeley Avenue</t>
  </si>
  <si>
    <t>Sandy Holmes</t>
  </si>
  <si>
    <t>36 Cholmondeley Avenue RD 0</t>
  </si>
  <si>
    <t>The Secret Garden Preschool</t>
  </si>
  <si>
    <t>09-5329175</t>
  </si>
  <si>
    <t>info@thesecretgardenpreschool.co.nz</t>
  </si>
  <si>
    <t>105 Moore Street</t>
  </si>
  <si>
    <t>Educare Pokeno</t>
  </si>
  <si>
    <t>09-232 6794</t>
  </si>
  <si>
    <t>pokeno@educare.co.nz</t>
  </si>
  <si>
    <t>66 Pokeno Road</t>
  </si>
  <si>
    <t>Diane Mitchell</t>
  </si>
  <si>
    <t>Educare Pukekohe</t>
  </si>
  <si>
    <t>09-2381840</t>
  </si>
  <si>
    <t>pukeko@educare.co.nz</t>
  </si>
  <si>
    <t>144 Kitchener Road</t>
  </si>
  <si>
    <t>Paula Hutching</t>
  </si>
  <si>
    <t>Laugh Observe Learn Early Childhood Educare</t>
  </si>
  <si>
    <t>06-6512837</t>
  </si>
  <si>
    <t>admin@lol4ece.nz</t>
  </si>
  <si>
    <t>400 St Aubyn Street East</t>
  </si>
  <si>
    <t>Wendy Greaves</t>
  </si>
  <si>
    <t>Parkvale</t>
  </si>
  <si>
    <t>021-682639</t>
  </si>
  <si>
    <t>Little Loves Early Learning Centre</t>
  </si>
  <si>
    <t>09-6662020</t>
  </si>
  <si>
    <t>32 Pooks Road</t>
  </si>
  <si>
    <t>Rānui South East</t>
  </si>
  <si>
    <t>Mandeep Kaur</t>
  </si>
  <si>
    <t>C/- 32 Pooks Road</t>
  </si>
  <si>
    <t>09-8168169</t>
  </si>
  <si>
    <t>Active Explorers Helensville</t>
  </si>
  <si>
    <t>cm.helensville@activeexplorers.co.nz</t>
  </si>
  <si>
    <t>14 Commercial Road</t>
  </si>
  <si>
    <t xml:space="preserve">Maria  Van Acker </t>
  </si>
  <si>
    <t>09-777 5001</t>
  </si>
  <si>
    <t>Mini Me In-Home Childcare Service</t>
  </si>
  <si>
    <t>09-.</t>
  </si>
  <si>
    <t>info@minimechildcare.com</t>
  </si>
  <si>
    <t>96 Oaktree Avenue</t>
  </si>
  <si>
    <t>Ying (Lynn) Lin</t>
  </si>
  <si>
    <t>96 OakTree Avenue</t>
  </si>
  <si>
    <t>09-4788863</t>
  </si>
  <si>
    <t>Three Trees Learning Centre</t>
  </si>
  <si>
    <t>03-4200786</t>
  </si>
  <si>
    <t>learning@threetreeslearningcentre.co.nz</t>
  </si>
  <si>
    <t>14 Learners Road</t>
  </si>
  <si>
    <t xml:space="preserve">7 Cameron Crescent </t>
  </si>
  <si>
    <t>Ruru House Limited</t>
  </si>
  <si>
    <t>anna@ruruhouse.co.nz</t>
  </si>
  <si>
    <t>246 Richmond Road</t>
  </si>
  <si>
    <t>Lepperton</t>
  </si>
  <si>
    <t>Lepperton-Brixton</t>
  </si>
  <si>
    <t>Anna Ryder</t>
  </si>
  <si>
    <t>246 Richmond Road RD 3</t>
  </si>
  <si>
    <t>New Plymouth 4373</t>
  </si>
  <si>
    <t>Campbells Bay Early Learning Centre</t>
  </si>
  <si>
    <t>kendall@campbellsbay-elc.co.nz</t>
  </si>
  <si>
    <t>218 - 220 Beach Road</t>
  </si>
  <si>
    <t>Kendall Botha</t>
  </si>
  <si>
    <t>Educare Kaiapoi</t>
  </si>
  <si>
    <t>03-327 0471</t>
  </si>
  <si>
    <t>Unit 3 1 Hakarau Road</t>
  </si>
  <si>
    <t>Vanessa Mahaki</t>
  </si>
  <si>
    <t>03-3135076</t>
  </si>
  <si>
    <t>Tui Art Early Learning Centre</t>
  </si>
  <si>
    <t>09-214 7724</t>
  </si>
  <si>
    <t>11A Aeroview Drive</t>
  </si>
  <si>
    <t>Xiuchun (Maggie) Yu</t>
  </si>
  <si>
    <t>11a Aeroview Drive</t>
  </si>
  <si>
    <t>The Blue Cottage Early Learning Otumoetai Road</t>
  </si>
  <si>
    <t>07-5700234</t>
  </si>
  <si>
    <t>157 Otumoetai Road</t>
  </si>
  <si>
    <t>BestStart Faringdon East</t>
  </si>
  <si>
    <t>03-9263562</t>
  </si>
  <si>
    <t>526 East Maddisons Road</t>
  </si>
  <si>
    <t>Montessori House Atelier de Bambini</t>
  </si>
  <si>
    <t>03-4640143</t>
  </si>
  <si>
    <t>31 Nairn Street</t>
  </si>
  <si>
    <t>Joan Marie Gepte</t>
  </si>
  <si>
    <t>Atelier de Bambini 31 Nairn Street</t>
  </si>
  <si>
    <t>03-453 4809</t>
  </si>
  <si>
    <t>Sancta Maria Montessori Preschool (Sherborne)</t>
  </si>
  <si>
    <t>021-0554566</t>
  </si>
  <si>
    <t>127 Sherborne Street</t>
  </si>
  <si>
    <t>Garden of Life</t>
  </si>
  <si>
    <t>07-2819616</t>
  </si>
  <si>
    <t>34 Geddes Road</t>
  </si>
  <si>
    <t>Seynia Watene-Kidwell</t>
  </si>
  <si>
    <t>38a Petrie Street</t>
  </si>
  <si>
    <t>Little Feet Childcare Centre (Yates Rd 2)</t>
  </si>
  <si>
    <t>07-2555526</t>
  </si>
  <si>
    <t>BestStart Omokoroa</t>
  </si>
  <si>
    <t>07-9751990</t>
  </si>
  <si>
    <t>2 Ridge Drive</t>
  </si>
  <si>
    <t>BestStart Botany Junction</t>
  </si>
  <si>
    <t>admin.support@best-start.org</t>
  </si>
  <si>
    <t>99 Michael Jones Drive</t>
  </si>
  <si>
    <t>Glorious Kids Homebased Childcare 1</t>
  </si>
  <si>
    <t>Pandas Home-Based Childcare</t>
  </si>
  <si>
    <t>pandashomecare@gmail.com</t>
  </si>
  <si>
    <t>Southern Cross Campus Preschool</t>
  </si>
  <si>
    <t>09-2754559</t>
  </si>
  <si>
    <t>fkeni@southerncross.school.nz</t>
  </si>
  <si>
    <t>253 Buckland Road</t>
  </si>
  <si>
    <t>Flrorrin  Keni</t>
  </si>
  <si>
    <t>PO Box 43242</t>
  </si>
  <si>
    <t>Dandy &amp; Lion House</t>
  </si>
  <si>
    <t>home@dandyandlion.co.nz</t>
  </si>
  <si>
    <t>3 School Road</t>
  </si>
  <si>
    <t>Catherine East</t>
  </si>
  <si>
    <t>P O Box 58827</t>
  </si>
  <si>
    <t>City Impact Church Childcare Balclutha</t>
  </si>
  <si>
    <t>03-4182818</t>
  </si>
  <si>
    <t>rebekah.ware@cityimpactchurch.com</t>
  </si>
  <si>
    <t>59 Clyde Street</t>
  </si>
  <si>
    <t>Rebekah Ware</t>
  </si>
  <si>
    <t>PO Box 35211</t>
  </si>
  <si>
    <t>Auckland 35211</t>
  </si>
  <si>
    <t>027-4620508</t>
  </si>
  <si>
    <t>Papakura Childcare</t>
  </si>
  <si>
    <t>09-217 1020</t>
  </si>
  <si>
    <t>info@papakurachildcare.co.nz</t>
  </si>
  <si>
    <t>10 Menary Street</t>
  </si>
  <si>
    <t>Whānau Tree House</t>
  </si>
  <si>
    <t>78 Lees Grove</t>
  </si>
  <si>
    <t>Monica Hakaraia</t>
  </si>
  <si>
    <t>59 Lees Grove</t>
  </si>
  <si>
    <t>022-062 1001</t>
  </si>
  <si>
    <t>Mini Miners</t>
  </si>
  <si>
    <t>lucy@miniminers.co.nz</t>
  </si>
  <si>
    <t>109 Sealey Street</t>
  </si>
  <si>
    <t>Lucy Faulkner</t>
  </si>
  <si>
    <t>217 Pinnacle Hill Road RD 1</t>
  </si>
  <si>
    <t>Bombay 2675</t>
  </si>
  <si>
    <t>021-0729476</t>
  </si>
  <si>
    <t>Eduplay Childcare Westgate</t>
  </si>
  <si>
    <t>0800-21539</t>
  </si>
  <si>
    <t>7 Northside Drive</t>
  </si>
  <si>
    <t>P O Box 29152</t>
  </si>
  <si>
    <t>Early Discoveries Waimahia</t>
  </si>
  <si>
    <t>47 Kaimoana Road</t>
  </si>
  <si>
    <t>Te Aroha o te Ngakau</t>
  </si>
  <si>
    <t>022-0352896</t>
  </si>
  <si>
    <t>84 Pine Drive</t>
  </si>
  <si>
    <t>Cyrus Hingston</t>
  </si>
  <si>
    <t>Blooming Buds Early Learning Centre</t>
  </si>
  <si>
    <t>09-818 1001</t>
  </si>
  <si>
    <t>manager@bloomingbuds.co.nz</t>
  </si>
  <si>
    <t>373 West Coast Road</t>
  </si>
  <si>
    <t>Reetu Passi</t>
  </si>
  <si>
    <t>09-8181001</t>
  </si>
  <si>
    <t>Te Puna Kindergarten</t>
  </si>
  <si>
    <t>07-5525736</t>
  </si>
  <si>
    <t>17C Minden Road, RD 6</t>
  </si>
  <si>
    <t>Minden</t>
  </si>
  <si>
    <t>Busy Bees Taupo</t>
  </si>
  <si>
    <t>06-5758955</t>
  </si>
  <si>
    <t>6 Opepe Street</t>
  </si>
  <si>
    <t>Te Kōhanga Reo Ki Puhinui</t>
  </si>
  <si>
    <t>09-250 1211</t>
  </si>
  <si>
    <t>218 Puhinui Road</t>
  </si>
  <si>
    <t>Happy Kiddy Huapai Early Learning Centre</t>
  </si>
  <si>
    <t>09-4122025</t>
  </si>
  <si>
    <t>huapai@justkidz.co.nz</t>
  </si>
  <si>
    <t>335 Main Road</t>
  </si>
  <si>
    <t>8 Taha Road</t>
  </si>
  <si>
    <t>Kids at Play Ranfurly</t>
  </si>
  <si>
    <t>03-4277291</t>
  </si>
  <si>
    <t>27 Bute Street</t>
  </si>
  <si>
    <t>Nicole Bungard</t>
  </si>
  <si>
    <t>027-465 1736</t>
  </si>
  <si>
    <t>Grow Active Welles St</t>
  </si>
  <si>
    <t>03-9259651</t>
  </si>
  <si>
    <t>12 Welles St</t>
  </si>
  <si>
    <t>Jennifer Fisher</t>
  </si>
  <si>
    <t>Future Focus - Terrace Views</t>
  </si>
  <si>
    <t>07-2424432</t>
  </si>
  <si>
    <t>20 Hills View Drive</t>
  </si>
  <si>
    <t>Danielle Holland</t>
  </si>
  <si>
    <t>26 Cornwall Road</t>
  </si>
  <si>
    <t>Papatoetoe East</t>
  </si>
  <si>
    <t>5 Barbarich Drive</t>
  </si>
  <si>
    <t>BestStart Glen Eden</t>
  </si>
  <si>
    <t>4155 Great North Road</t>
  </si>
  <si>
    <t>Woodlands Preschool Limited - Dallington</t>
  </si>
  <si>
    <t>21 Coopers Road</t>
  </si>
  <si>
    <t>Hand and Hand Early Learning Centre - Hobsonville</t>
  </si>
  <si>
    <t>021-960909</t>
  </si>
  <si>
    <t>44 Hobsonville Road</t>
  </si>
  <si>
    <t>Te Korowai Early Learning Centre</t>
  </si>
  <si>
    <t>13 Coles Place</t>
  </si>
  <si>
    <t>Aqsa Mohsan</t>
  </si>
  <si>
    <t>18 Castellina Drive</t>
  </si>
  <si>
    <t>Papakura 2113</t>
  </si>
  <si>
    <t>Childz Choice Preschool</t>
  </si>
  <si>
    <t>09-6009131</t>
  </si>
  <si>
    <t>childzchoice@gmail.com</t>
  </si>
  <si>
    <t>36 Reding Street</t>
  </si>
  <si>
    <t>Payal Gupra</t>
  </si>
  <si>
    <t>70 Takanini School Road</t>
  </si>
  <si>
    <t>Nurtured At Home - Taranaki 3</t>
  </si>
  <si>
    <t>207 Gill Street</t>
  </si>
  <si>
    <t>Cherry Grove @ 101</t>
  </si>
  <si>
    <t xml:space="preserve">06-8774488 </t>
  </si>
  <si>
    <t>101 Napier Road</t>
  </si>
  <si>
    <t xml:space="preserve">Havelock North </t>
  </si>
  <si>
    <t>Ellerton Preschool</t>
  </si>
  <si>
    <t>09-2813203</t>
  </si>
  <si>
    <t>ellertonps@outlook.com</t>
  </si>
  <si>
    <t>22 Ellerton Road</t>
  </si>
  <si>
    <t>Enu Chung</t>
  </si>
  <si>
    <t>2303/3 Northcroft Street</t>
  </si>
  <si>
    <t>Kindercare Learning Centres - Auckland CBD (Preschool)</t>
  </si>
  <si>
    <t>09-6005924</t>
  </si>
  <si>
    <t>customspreschool@kindercare.co.nz</t>
  </si>
  <si>
    <t>29 Customs Street - Level 2</t>
  </si>
  <si>
    <t>Magnolia Montessori Ltd</t>
  </si>
  <si>
    <t>027-5360492</t>
  </si>
  <si>
    <t>22A Taylor Street</t>
  </si>
  <si>
    <t>Star Educare</t>
  </si>
  <si>
    <t>lodha.rrajul@gmail.com</t>
  </si>
  <si>
    <t>98 East Tamaki Road</t>
  </si>
  <si>
    <t>BestStart Kauri Flats</t>
  </si>
  <si>
    <t>09-5582336</t>
  </si>
  <si>
    <t>kauriflats@best-start.org</t>
  </si>
  <si>
    <t>15 Castlepoint Avenue</t>
  </si>
  <si>
    <t>Discovery Junction Styx Mill Ltd</t>
  </si>
  <si>
    <t>03-3590091</t>
  </si>
  <si>
    <t>info.styx@discoveryjunction.co.nz</t>
  </si>
  <si>
    <t>139 Styx Mill Road</t>
  </si>
  <si>
    <t>Casebrook</t>
  </si>
  <si>
    <t>Regents Park</t>
  </si>
  <si>
    <t>Nadeine Manderson</t>
  </si>
  <si>
    <t>03-359 0091</t>
  </si>
  <si>
    <t>Tui Early Learners</t>
  </si>
  <si>
    <t>06-280 2622</t>
  </si>
  <si>
    <t>5 Lytton Street</t>
  </si>
  <si>
    <t>Kimbolton West</t>
  </si>
  <si>
    <t>16b Osborne Tce</t>
  </si>
  <si>
    <t>Trend Tots</t>
  </si>
  <si>
    <t>021-965 594</t>
  </si>
  <si>
    <t>info@trendtots.co.nz</t>
  </si>
  <si>
    <t>28A Royston Street</t>
  </si>
  <si>
    <t>Faizal Muhammad</t>
  </si>
  <si>
    <t>P O Box 76633</t>
  </si>
  <si>
    <t>Piccolo Park Mt Richmond</t>
  </si>
  <si>
    <t>09-2170665</t>
  </si>
  <si>
    <t>576 Mount Wellington Highway</t>
  </si>
  <si>
    <t>Narisa Daud</t>
  </si>
  <si>
    <t>Educare Albert St</t>
  </si>
  <si>
    <t>09-2380662</t>
  </si>
  <si>
    <t>albertst@educare.co.nz</t>
  </si>
  <si>
    <t>6-8 Albert Street</t>
  </si>
  <si>
    <t>Joanna Brown</t>
  </si>
  <si>
    <t>Millie's House - Armagh St</t>
  </si>
  <si>
    <t>03-3650095</t>
  </si>
  <si>
    <t>The Old Courthouse 85 Armagh Street</t>
  </si>
  <si>
    <t>Richard Blackwood</t>
  </si>
  <si>
    <t xml:space="preserve">The Old Courthouse 85 Armagh Street </t>
  </si>
  <si>
    <t>Omaka Early Learning Centre</t>
  </si>
  <si>
    <t>03-579 5629</t>
  </si>
  <si>
    <t>25 Spitfire Drive</t>
  </si>
  <si>
    <t>Burleigh</t>
  </si>
  <si>
    <t>Megan Stevens</t>
  </si>
  <si>
    <t>Omaka</t>
  </si>
  <si>
    <t>Greerton Early Learning Centre</t>
  </si>
  <si>
    <t>07-5776105</t>
  </si>
  <si>
    <t>1 Emmett Street</t>
  </si>
  <si>
    <t>Clara Sands</t>
  </si>
  <si>
    <t>74B Oliver Road RD 1</t>
  </si>
  <si>
    <t>Te Kōhanga Reo o Te Puawaitanga o Te Pito Mata</t>
  </si>
  <si>
    <t>06-8706005</t>
  </si>
  <si>
    <t>tkr116118@gmail.com</t>
  </si>
  <si>
    <t>904 Freyberg Street</t>
  </si>
  <si>
    <t>Raceway Park</t>
  </si>
  <si>
    <t>Red Robin Nanny Agency 2</t>
  </si>
  <si>
    <t>161A Point Chevalier Rd</t>
  </si>
  <si>
    <t>BestStart Cambridge</t>
  </si>
  <si>
    <t>07-2810819</t>
  </si>
  <si>
    <t>55-57 Shakespeare Street</t>
  </si>
  <si>
    <t>Penguins School of Early Learning 2</t>
  </si>
  <si>
    <t>Daisies Early Education and Care Centre</t>
  </si>
  <si>
    <t>06-461 6013</t>
  </si>
  <si>
    <t>3 Earp Street</t>
  </si>
  <si>
    <t>Johnsonville North</t>
  </si>
  <si>
    <t>Linda Meade</t>
  </si>
  <si>
    <t>5 Earp Street</t>
  </si>
  <si>
    <t>04-470 3783</t>
  </si>
  <si>
    <t>Bear Park Hobsonville Point</t>
  </si>
  <si>
    <t>172 - 190 Buckley Avenue</t>
  </si>
  <si>
    <t>Little Seed Early Learning Centre</t>
  </si>
  <si>
    <t>09-576 0795</t>
  </si>
  <si>
    <t>27 Ben Lomond Crescent</t>
  </si>
  <si>
    <t>Zhenfeng Zhao</t>
  </si>
  <si>
    <t>42 Reelick Avenue</t>
  </si>
  <si>
    <t>Marsden Childcare Centre</t>
  </si>
  <si>
    <t>5 Waiwarawara Drive East</t>
  </si>
  <si>
    <t>Leanne Berkers</t>
  </si>
  <si>
    <t>12 Kowi Lakes Drive</t>
  </si>
  <si>
    <t>One Tree Point 0118</t>
  </si>
  <si>
    <t>Our Kids Early Learning Centre - Mataki Way</t>
  </si>
  <si>
    <t>anita@ourkidsearlylearning.co.nz</t>
  </si>
  <si>
    <t>3 Mataki Way</t>
  </si>
  <si>
    <t>Nurtured at Home - Wellington 3</t>
  </si>
  <si>
    <t>Future Stars Early Learning Centre</t>
  </si>
  <si>
    <t>09-2000786</t>
  </si>
  <si>
    <t>info@futurestarselc.co.nz</t>
  </si>
  <si>
    <t>66 Archibald Road</t>
  </si>
  <si>
    <t>Fauziah Fauziah</t>
  </si>
  <si>
    <t>16 Kora Ave</t>
  </si>
  <si>
    <t>Mountaineers Childcare &amp; Education</t>
  </si>
  <si>
    <t>07-8719770</t>
  </si>
  <si>
    <t>1375 McClure Street</t>
  </si>
  <si>
    <t>Lorraine Phillips</t>
  </si>
  <si>
    <t>1375 McClure Street RD 6</t>
  </si>
  <si>
    <t>Pirongia 3876</t>
  </si>
  <si>
    <t>The Redwoods Country Kindergarten</t>
  </si>
  <si>
    <t>021-1939454</t>
  </si>
  <si>
    <t>admin@theredwoodskindergarten.co.nz</t>
  </si>
  <si>
    <t>346 Tukapa Street</t>
  </si>
  <si>
    <t>Janis Forsythe</t>
  </si>
  <si>
    <t>346 Tukapa Street RD 1</t>
  </si>
  <si>
    <t>BestStart Barrington</t>
  </si>
  <si>
    <t>03-9262948</t>
  </si>
  <si>
    <t>46 Bewdley Street</t>
  </si>
  <si>
    <t>Little Geckos Childcare Centre</t>
  </si>
  <si>
    <t>09-459 1860</t>
  </si>
  <si>
    <t>11 Deveron Street</t>
  </si>
  <si>
    <t>St Peter's Anglican Preschool</t>
  </si>
  <si>
    <t>03-3485608</t>
  </si>
  <si>
    <t>lizo@mcctrust.nz</t>
  </si>
  <si>
    <t>25 Yaldhurst Road</t>
  </si>
  <si>
    <t>Sockburn North</t>
  </si>
  <si>
    <t>Elizabeth Orr</t>
  </si>
  <si>
    <t>Tauriko Tots</t>
  </si>
  <si>
    <t>07-5433990</t>
  </si>
  <si>
    <t>204 Taurikura Drive</t>
  </si>
  <si>
    <t>Michelle Patrickson</t>
  </si>
  <si>
    <t>16 Galloway Crescent</t>
  </si>
  <si>
    <t>027-4336963</t>
  </si>
  <si>
    <t>Kindercare Learning Centres - Paraparaumu</t>
  </si>
  <si>
    <t>04-2604730</t>
  </si>
  <si>
    <t>paraparaumu@kindercare.co.nz</t>
  </si>
  <si>
    <t>1 Hudson Place</t>
  </si>
  <si>
    <t>Havelock North Early Learning Centre</t>
  </si>
  <si>
    <t>06-8774656</t>
  </si>
  <si>
    <t>lmeducation2019@gmail.com</t>
  </si>
  <si>
    <t>12 Campbell Street</t>
  </si>
  <si>
    <t>Iona</t>
  </si>
  <si>
    <t>Michelle Edwards</t>
  </si>
  <si>
    <t>818 Cook Place</t>
  </si>
  <si>
    <t>027-4767102</t>
  </si>
  <si>
    <t>Tamariki Ei Tiare Punanga Reo</t>
  </si>
  <si>
    <t>Rockmybaby Homebased</t>
  </si>
  <si>
    <t>021-582820</t>
  </si>
  <si>
    <t>sharni@rockmybaby.co.nz</t>
  </si>
  <si>
    <t>12a Russell St</t>
  </si>
  <si>
    <t>Claire Webb</t>
  </si>
  <si>
    <t>021-588818</t>
  </si>
  <si>
    <t>Central Kids Kindergartens - Kinloch</t>
  </si>
  <si>
    <t>C/o Kinloch Community Hall 14 Mata Place</t>
  </si>
  <si>
    <t>Kinloch-Taupo</t>
  </si>
  <si>
    <t>Kinloch</t>
  </si>
  <si>
    <t>Mauri Tupu</t>
  </si>
  <si>
    <t>021-547 299</t>
  </si>
  <si>
    <t>The Stables Montessori</t>
  </si>
  <si>
    <t>03-3221108</t>
  </si>
  <si>
    <t>office@stableshalswell.nz</t>
  </si>
  <si>
    <t>10 Franco Road</t>
  </si>
  <si>
    <t>Busy Bees Featherston Street</t>
  </si>
  <si>
    <t>06-929 4177</t>
  </si>
  <si>
    <t>617 Featherston Street</t>
  </si>
  <si>
    <t>Cassandra Katene</t>
  </si>
  <si>
    <t>027-5340647</t>
  </si>
  <si>
    <t>Stepping Stones Education &amp; Care</t>
  </si>
  <si>
    <t>021-311955</t>
  </si>
  <si>
    <t>shirley_sun@xtra.co.nz</t>
  </si>
  <si>
    <t>Stonefields West</t>
  </si>
  <si>
    <t>New Shoots Childrens Centre - The Lakes</t>
  </si>
  <si>
    <t>07-5431734</t>
  </si>
  <si>
    <t>2 Flack Street</t>
  </si>
  <si>
    <t>Cool Kids Montessori Early Learning Centre</t>
  </si>
  <si>
    <t>09-6262999</t>
  </si>
  <si>
    <t>hscheema100@yahoo.com</t>
  </si>
  <si>
    <t>43 Canberra Ave</t>
  </si>
  <si>
    <t>Harpal Cheema</t>
  </si>
  <si>
    <t>7 Formosa Court</t>
  </si>
  <si>
    <t>Miniwhais</t>
  </si>
  <si>
    <t>09-431 4747</t>
  </si>
  <si>
    <t>5 Robert Hastie Drive</t>
  </si>
  <si>
    <t>Mangawhai Rural</t>
  </si>
  <si>
    <t>Natasha Lee</t>
  </si>
  <si>
    <t>P O Box 228</t>
  </si>
  <si>
    <t>Mangawhai 0540</t>
  </si>
  <si>
    <t>Te Kōhanga Reo Te Taunga Mai o Nga Mokopuna</t>
  </si>
  <si>
    <t>07-949 4185</t>
  </si>
  <si>
    <t>Tauwhare Pa 780 Tauwhare Road</t>
  </si>
  <si>
    <t>Biggles @ The Mount</t>
  </si>
  <si>
    <t xml:space="preserve">07-282 8451 </t>
  </si>
  <si>
    <t>416 Maunganui Road</t>
  </si>
  <si>
    <t>BestStart Huntington</t>
  </si>
  <si>
    <t>28 Borman Road</t>
  </si>
  <si>
    <t>Montessori Children's House Kerikeri</t>
  </si>
  <si>
    <t>09-945 6479</t>
  </si>
  <si>
    <t>47 Hobson Avenue</t>
  </si>
  <si>
    <t>Aneshree Tikaram</t>
  </si>
  <si>
    <t>Te Kōhanga Reo o Taurangi</t>
  </si>
  <si>
    <t>140 Whakataha Road</t>
  </si>
  <si>
    <t>Waimate North</t>
  </si>
  <si>
    <t>Kiddie Academy Early Learning Centre</t>
  </si>
  <si>
    <t>93-97 Victoria Street</t>
  </si>
  <si>
    <t>Navpreet Talwar</t>
  </si>
  <si>
    <t>P O Box 41486</t>
  </si>
  <si>
    <t>Tapawera Kindergarten</t>
  </si>
  <si>
    <t>Tapawera Area School 40 Main Road</t>
  </si>
  <si>
    <t>Tapawera</t>
  </si>
  <si>
    <t>Golden Downs</t>
  </si>
  <si>
    <t>Fountain City Montessori Tawa Street</t>
  </si>
  <si>
    <t>103 Tawa Street</t>
  </si>
  <si>
    <t>Tiny Nation Hawkes Bay</t>
  </si>
  <si>
    <t>0800-8469628</t>
  </si>
  <si>
    <t>Tracy  Caldwell</t>
  </si>
  <si>
    <t>Toki Explorers</t>
  </si>
  <si>
    <t>09-4203278</t>
  </si>
  <si>
    <t>admin@tokiexplorers.co.nz</t>
  </si>
  <si>
    <t>1174 Kahikatea Flat Road</t>
  </si>
  <si>
    <t>Waitoki-Auckland</t>
  </si>
  <si>
    <t>Kaukapakapa Rural</t>
  </si>
  <si>
    <t>1174 Kahikatea Flat Road RD 1</t>
  </si>
  <si>
    <t>Auckland 0871</t>
  </si>
  <si>
    <t>BestStart Waiata Shores</t>
  </si>
  <si>
    <t>09-9745048</t>
  </si>
  <si>
    <t>waiatashores@best-start.org</t>
  </si>
  <si>
    <t>26 Gosper Road</t>
  </si>
  <si>
    <t>Gems Rata</t>
  </si>
  <si>
    <t>6 Thirteenth Avenue</t>
  </si>
  <si>
    <t>Marianne Beer</t>
  </si>
  <si>
    <t>021-666389</t>
  </si>
  <si>
    <t>Nature's Point Childcare</t>
  </si>
  <si>
    <t>0508-696288</t>
  </si>
  <si>
    <t>info@naturespoint.co.nz</t>
  </si>
  <si>
    <t>30 Beach Road</t>
  </si>
  <si>
    <t>Educare One Tree Point</t>
  </si>
  <si>
    <t>09-432 7924</t>
  </si>
  <si>
    <t>onetreepoint@educare.co.nz</t>
  </si>
  <si>
    <t>159 One Tree Point Road</t>
  </si>
  <si>
    <t>One Tree Point</t>
  </si>
  <si>
    <t>The Learning Barn</t>
  </si>
  <si>
    <t>93b Poplar Street</t>
  </si>
  <si>
    <t>Gleniti</t>
  </si>
  <si>
    <t>Josephine Russell</t>
  </si>
  <si>
    <t>93B Poplar Street</t>
  </si>
  <si>
    <t xml:space="preserve">Timaru </t>
  </si>
  <si>
    <t>027-8798735</t>
  </si>
  <si>
    <t>Oma Rapeti Early Learning Centre Kumeu</t>
  </si>
  <si>
    <t>09-213 4292</t>
  </si>
  <si>
    <t>kumeu@omarapeti.net.nz</t>
  </si>
  <si>
    <t>371 Main Road</t>
  </si>
  <si>
    <t>Shannon Docherty</t>
  </si>
  <si>
    <t>19B Masons Avenue</t>
  </si>
  <si>
    <t>Just Like Home Childcare</t>
  </si>
  <si>
    <t>027-574 5109</t>
  </si>
  <si>
    <t>Unit 12, Apartment 36 20 Studholme Road</t>
  </si>
  <si>
    <t>Wānaka West</t>
  </si>
  <si>
    <t>Jeanette Fotheringham</t>
  </si>
  <si>
    <t>03-4411230</t>
  </si>
  <si>
    <t>BestStart Shelly Bay Road</t>
  </si>
  <si>
    <t>09-5581765</t>
  </si>
  <si>
    <t>jane.burke@best-start.org</t>
  </si>
  <si>
    <t>27 Shelly Bay Road</t>
  </si>
  <si>
    <t>Treetops ELC Pukekohe</t>
  </si>
  <si>
    <t>021-1727454</t>
  </si>
  <si>
    <t>1246 Paerata Road</t>
  </si>
  <si>
    <t>P O Box 444</t>
  </si>
  <si>
    <t>South Auckland 2340</t>
  </si>
  <si>
    <t>Play and Learn - Karaka West</t>
  </si>
  <si>
    <t>59 McKenzie Road, Kingseat</t>
  </si>
  <si>
    <t>Merryland Childcare Centre</t>
  </si>
  <si>
    <t>09-6002352</t>
  </si>
  <si>
    <t>rahuldixit.nz@gmail.com</t>
  </si>
  <si>
    <t>74 Mt Albert Road</t>
  </si>
  <si>
    <t>Janice  D'Souza</t>
  </si>
  <si>
    <t>Pukehina Kidettes Early Education Centre</t>
  </si>
  <si>
    <t>1762 Old Coach Road</t>
  </si>
  <si>
    <t>Pukehina</t>
  </si>
  <si>
    <t>Bee's Garden Homebased Childcare</t>
  </si>
  <si>
    <t>021-08207277</t>
  </si>
  <si>
    <t>2/239 St Johns Road</t>
  </si>
  <si>
    <t>Xiyi Yuan</t>
  </si>
  <si>
    <t>34 Steward Road</t>
  </si>
  <si>
    <t>Fantails Childcare - Estate</t>
  </si>
  <si>
    <t>09-2229001</t>
  </si>
  <si>
    <t>estate@fantailschildcare.co.nz</t>
  </si>
  <si>
    <t>1669 Dairy Flat Highway, Silverdale</t>
  </si>
  <si>
    <t>Dairy Flat North</t>
  </si>
  <si>
    <t>Learning Links Rewi Street</t>
  </si>
  <si>
    <t>07-280 7973</t>
  </si>
  <si>
    <t>81 Rewi Street</t>
  </si>
  <si>
    <t>No</t>
  </si>
  <si>
    <t>Cozy Corner Educare</t>
  </si>
  <si>
    <t>09-5270966</t>
  </si>
  <si>
    <t>info@cozycorner.co.nz</t>
  </si>
  <si>
    <t>79 Pilkington Road</t>
  </si>
  <si>
    <t>Chaxiang (Irene) Zhao</t>
  </si>
  <si>
    <t>09-4766336</t>
  </si>
  <si>
    <t>Future Kids Preschool New Plymouth</t>
  </si>
  <si>
    <t>shay@futurekids.co.nz</t>
  </si>
  <si>
    <t>1 Swans Road</t>
  </si>
  <si>
    <t>Haylie Bocock</t>
  </si>
  <si>
    <t>06-753 4318</t>
  </si>
  <si>
    <t>Laugh and Learn</t>
  </si>
  <si>
    <t>09-6003180</t>
  </si>
  <si>
    <t>info@laughandlearn.co.nz</t>
  </si>
  <si>
    <t>60 Cascades Road</t>
  </si>
  <si>
    <t>Tania Hempleman</t>
  </si>
  <si>
    <t>Ilam Montessori Preschool</t>
  </si>
  <si>
    <t>03-9347079</t>
  </si>
  <si>
    <t>169 Ilam Road</t>
  </si>
  <si>
    <t>Ilam North</t>
  </si>
  <si>
    <t>Xianru Ou</t>
  </si>
  <si>
    <t>48 Oakhampton Street</t>
  </si>
  <si>
    <t>021-2524395</t>
  </si>
  <si>
    <t>The Meadows Early Learning Centre</t>
  </si>
  <si>
    <t>165c Matangi Road</t>
  </si>
  <si>
    <t>Tamahere North</t>
  </si>
  <si>
    <t>Joann Radford</t>
  </si>
  <si>
    <t>Hamilton 3284</t>
  </si>
  <si>
    <t>021-751676</t>
  </si>
  <si>
    <t>Just Kidz Kelston</t>
  </si>
  <si>
    <t>Kelston@justkidz.co.nz</t>
  </si>
  <si>
    <t>Unit 2-18, 16 West Coast Road</t>
  </si>
  <si>
    <t>P O Box 302177</t>
  </si>
  <si>
    <t>Nest Early Learning Centre</t>
  </si>
  <si>
    <t>07-3046161</t>
  </si>
  <si>
    <t>hello@nestonmatai.co.nz</t>
  </si>
  <si>
    <t>1 Matai Street</t>
  </si>
  <si>
    <t>Liane Davidson</t>
  </si>
  <si>
    <t>85D Mimiha Ridge Road, RD 4</t>
  </si>
  <si>
    <t>07-3222246</t>
  </si>
  <si>
    <t>Explore &amp; Flourish</t>
  </si>
  <si>
    <t>07-5712030</t>
  </si>
  <si>
    <t>251b Waihi Road</t>
  </si>
  <si>
    <t>Dion Mair</t>
  </si>
  <si>
    <t>BestStart Totara Park</t>
  </si>
  <si>
    <t>04-9747150</t>
  </si>
  <si>
    <t>totarapark@best-start.org</t>
  </si>
  <si>
    <t>1 - 15 Turon Crescent</t>
  </si>
  <si>
    <t>Little Minds Early Learning Centre</t>
  </si>
  <si>
    <t>0800-673825</t>
  </si>
  <si>
    <t>penny@littlemindselc.co.nz</t>
  </si>
  <si>
    <t>44 Barrett Road</t>
  </si>
  <si>
    <t>Whalers Gate</t>
  </si>
  <si>
    <t>Penelope Gore</t>
  </si>
  <si>
    <t>P O Box 691</t>
  </si>
  <si>
    <t>022-0946689</t>
  </si>
  <si>
    <t>Hatch Early Learning Centre</t>
  </si>
  <si>
    <t>03-2602356</t>
  </si>
  <si>
    <t>learning@hatchelc.co.nz</t>
  </si>
  <si>
    <t>15 Norris Street</t>
  </si>
  <si>
    <t>Meri Wynen</t>
  </si>
  <si>
    <t>15  Norris Street</t>
  </si>
  <si>
    <t>Prebbleton 7604</t>
  </si>
  <si>
    <t>Little Steps Early Childhood Education Centre Limited</t>
  </si>
  <si>
    <t>06-7650367</t>
  </si>
  <si>
    <t>littlesteps.ece@gmail.com</t>
  </si>
  <si>
    <t>145 Broadway</t>
  </si>
  <si>
    <t>Wendy Hinton</t>
  </si>
  <si>
    <t>Stratford 4332</t>
  </si>
  <si>
    <t>Scallywaggs Kindergarten &amp; Care Waipawa</t>
  </si>
  <si>
    <t>robyn@sprouts.co.nz</t>
  </si>
  <si>
    <t>40 Watts Street</t>
  </si>
  <si>
    <t>twinkle twinkle</t>
  </si>
  <si>
    <t>07-5715909</t>
  </si>
  <si>
    <t>413 Maunganui Road</t>
  </si>
  <si>
    <t>Roseanne Crombie</t>
  </si>
  <si>
    <t>45 Panorama Drive</t>
  </si>
  <si>
    <t>07-544 7221</t>
  </si>
  <si>
    <t>Busy Bees Hamilton East</t>
  </si>
  <si>
    <t>07-8562255</t>
  </si>
  <si>
    <t>48 Peachgrove Rd</t>
  </si>
  <si>
    <t>Leonie Martin</t>
  </si>
  <si>
    <t>Clendon Kids Early Learning Centre</t>
  </si>
  <si>
    <t>1 Balwyn Place</t>
  </si>
  <si>
    <t>Haywood Cottage Montessori (Nido)</t>
  </si>
  <si>
    <t>03-6936160</t>
  </si>
  <si>
    <t>cottagenurseryschool@xtra.co.nz</t>
  </si>
  <si>
    <t>107 Talbot Street</t>
  </si>
  <si>
    <t>House of Wonder Cambridge by Busy Bees</t>
  </si>
  <si>
    <t>07-9294070</t>
  </si>
  <si>
    <t>info@howcambridge.busybees.org.nz</t>
  </si>
  <si>
    <t>3/94 Queen Street, Lakewood</t>
  </si>
  <si>
    <t>Luana Karl</t>
  </si>
  <si>
    <t>09-9284070</t>
  </si>
  <si>
    <t>Your Place Childcare</t>
  </si>
  <si>
    <t>09-4210445</t>
  </si>
  <si>
    <t>mel@yourplacechildcare.co.nz</t>
  </si>
  <si>
    <t>165 Wainui Road</t>
  </si>
  <si>
    <t>Jalaine Armstrong</t>
  </si>
  <si>
    <t>Launch Waipukurau</t>
  </si>
  <si>
    <t>06-2114268</t>
  </si>
  <si>
    <t>50 Takapau Road</t>
  </si>
  <si>
    <t>Sarah  Martin</t>
  </si>
  <si>
    <t>Barnardos Early Learning Centre Te Rapa</t>
  </si>
  <si>
    <t>07-8491325</t>
  </si>
  <si>
    <t>1 Storey Avenue</t>
  </si>
  <si>
    <t>Paridhi Bohra</t>
  </si>
  <si>
    <t>Koru Homebased Childcare</t>
  </si>
  <si>
    <t>027-5181180</t>
  </si>
  <si>
    <t>admin@koruece.co.nz</t>
  </si>
  <si>
    <t>8A Derby Downs Place</t>
  </si>
  <si>
    <t>Zhen Xin</t>
  </si>
  <si>
    <t>ACG Parnell Early Learning School</t>
  </si>
  <si>
    <t>09-3081656</t>
  </si>
  <si>
    <t>Manu.Mahe@acgedu.com</t>
  </si>
  <si>
    <t>110 Park Road</t>
  </si>
  <si>
    <t>Shujing  Qi</t>
  </si>
  <si>
    <t>Happy Turtle Childcare</t>
  </si>
  <si>
    <t>09-2962764</t>
  </si>
  <si>
    <t>107 Old Wairoa Road</t>
  </si>
  <si>
    <t>Kashmira Sheth</t>
  </si>
  <si>
    <t>BestStart Papamoa Plaza</t>
  </si>
  <si>
    <t>07-2810914</t>
  </si>
  <si>
    <t>7 Gravatt Road</t>
  </si>
  <si>
    <t>Palm Beach South-Gravatt</t>
  </si>
  <si>
    <t>Remarkable Kids Learning Centre</t>
  </si>
  <si>
    <t>09-2185858</t>
  </si>
  <si>
    <t>michelle@remarkablekids.co.nz</t>
  </si>
  <si>
    <t>10 Kawakawa Place</t>
  </si>
  <si>
    <t>Rouyun Liao</t>
  </si>
  <si>
    <t>City Impact Church Childcare - North Shore</t>
  </si>
  <si>
    <t>09-4770309</t>
  </si>
  <si>
    <t>790-792 East Coast Rd</t>
  </si>
  <si>
    <t>Almira Malyn Remon</t>
  </si>
  <si>
    <t>Education Angels 2</t>
  </si>
  <si>
    <t>Level 2, Suite 4 93 Dominion Road</t>
  </si>
  <si>
    <t>Xing Ge</t>
  </si>
  <si>
    <t>Sunlight ECE Education</t>
  </si>
  <si>
    <t>09-9750611</t>
  </si>
  <si>
    <t>50 County Road</t>
  </si>
  <si>
    <t>Zheng Feng</t>
  </si>
  <si>
    <t>Tiny Nation Taranaki Whanganui</t>
  </si>
  <si>
    <t>027-4567800</t>
  </si>
  <si>
    <t>Jeanette Beard</t>
  </si>
  <si>
    <t>06-345 2600</t>
  </si>
  <si>
    <t>New Shoots Children's Centre - Bayfair</t>
  </si>
  <si>
    <t>07-5759351</t>
  </si>
  <si>
    <t>1E Salt Avenue</t>
  </si>
  <si>
    <t>Summerhill Early Learning</t>
  </si>
  <si>
    <t>06-2804535</t>
  </si>
  <si>
    <t>summerhill@rka.org.nz</t>
  </si>
  <si>
    <t>203 Ruapehu Drive</t>
  </si>
  <si>
    <t>Summerhill-Palmerston North</t>
  </si>
  <si>
    <t>Poutoa</t>
  </si>
  <si>
    <t>Junior Junction (Kumeu)</t>
  </si>
  <si>
    <t>kumeu@juniorjunction.co.nz</t>
  </si>
  <si>
    <t>21 Access Road, Kumeu</t>
  </si>
  <si>
    <t>Genius Kids Early Childhood Educational Centre</t>
  </si>
  <si>
    <t>09-826 8289</t>
  </si>
  <si>
    <t>admin@geniuskids.co.nz</t>
  </si>
  <si>
    <t>93 Golf Road</t>
  </si>
  <si>
    <t>Pingping Huang</t>
  </si>
  <si>
    <t>Childsteps Early Learning Centre</t>
  </si>
  <si>
    <t>09-5211186</t>
  </si>
  <si>
    <t>reception@childsteps.co.nz</t>
  </si>
  <si>
    <t>8 Merfield Street</t>
  </si>
  <si>
    <t>Anthony Major</t>
  </si>
  <si>
    <t>P O Box 25272</t>
  </si>
  <si>
    <t>09-5758818</t>
  </si>
  <si>
    <t>Gingerbread Cottage Network 3</t>
  </si>
  <si>
    <t>027-4728535</t>
  </si>
  <si>
    <t>First Years Baby Care</t>
  </si>
  <si>
    <t>44A Smithfield Road</t>
  </si>
  <si>
    <t>Kuddles In-Home Childcare &amp; Education - 7</t>
  </si>
  <si>
    <t>The Village Early Learning Centre</t>
  </si>
  <si>
    <t>09-6263511</t>
  </si>
  <si>
    <t>taniavv@xtra.co.nz</t>
  </si>
  <si>
    <t>7 Kinross Street</t>
  </si>
  <si>
    <t>Tania van Velzen</t>
  </si>
  <si>
    <t>28C Edmund Street</t>
  </si>
  <si>
    <t>09-444 7543</t>
  </si>
  <si>
    <t>Pacific Early Learning</t>
  </si>
  <si>
    <t>09-5519550</t>
  </si>
  <si>
    <t>pacificearlylearning@cmka.org.nz</t>
  </si>
  <si>
    <t>119 R Rowandale Avenue</t>
  </si>
  <si>
    <t>Tiny Voices Napier</t>
  </si>
  <si>
    <t>06-2117983</t>
  </si>
  <si>
    <t>esther@tinyvoices.co.nz</t>
  </si>
  <si>
    <t>147 Carlyle Street</t>
  </si>
  <si>
    <t>Hospital Hill</t>
  </si>
  <si>
    <t>Esther  Gonzalez</t>
  </si>
  <si>
    <t>P O Box 137030</t>
  </si>
  <si>
    <t>06-4779595</t>
  </si>
  <si>
    <t>Grow Active Essex Street</t>
  </si>
  <si>
    <t>03-9258381</t>
  </si>
  <si>
    <t>essex@growactive.nz</t>
  </si>
  <si>
    <t>29 Essex Street</t>
  </si>
  <si>
    <t>Philipstown</t>
  </si>
  <si>
    <t>Lancaster Park</t>
  </si>
  <si>
    <t>Nicola Perkins</t>
  </si>
  <si>
    <t>03-925 8381</t>
  </si>
  <si>
    <t>Tamariki Station Ainslie Ltd</t>
  </si>
  <si>
    <t>07-8627141</t>
  </si>
  <si>
    <t>ainslie@tamarikistation.co.nz</t>
  </si>
  <si>
    <t>25 Ainslie Road</t>
  </si>
  <si>
    <t>Kid Country Kumeu</t>
  </si>
  <si>
    <t>09-222 0758</t>
  </si>
  <si>
    <t>admin@kidcountrykumeu.co.nz</t>
  </si>
  <si>
    <t>455 Taupaki Road</t>
  </si>
  <si>
    <t>Jessica Cooper</t>
  </si>
  <si>
    <t>455 Taupaki Road RD 2</t>
  </si>
  <si>
    <t>Kumeu 0892</t>
  </si>
  <si>
    <t>Tiny Voices Hobsonville</t>
  </si>
  <si>
    <t>021-287 3567</t>
  </si>
  <si>
    <t>106 Hobsonville Road</t>
  </si>
  <si>
    <t>Tracy Bedford</t>
  </si>
  <si>
    <t>09-4154205</t>
  </si>
  <si>
    <t>Galaxy Childcare - Mahia</t>
  </si>
  <si>
    <t>09-2667412</t>
  </si>
  <si>
    <t>info@galaxychildcare.co.nz</t>
  </si>
  <si>
    <t>80 Mahia Road</t>
  </si>
  <si>
    <t>Busy Bees Feilding</t>
  </si>
  <si>
    <t>06-929 5423</t>
  </si>
  <si>
    <t>9 Gladstone Street</t>
  </si>
  <si>
    <t>Alexandra Riddy</t>
  </si>
  <si>
    <t>06-9295423</t>
  </si>
  <si>
    <t>Biggles Childcare (Henderson)</t>
  </si>
  <si>
    <t>marco_farmand@yahoo.com</t>
  </si>
  <si>
    <t>77 Rathgar Road</t>
  </si>
  <si>
    <t>Tiny Voices Silverdale</t>
  </si>
  <si>
    <t>09-9475151</t>
  </si>
  <si>
    <t>tracy@tinyvoices.co.nz</t>
  </si>
  <si>
    <t>3 Brian Smith Drive</t>
  </si>
  <si>
    <t>Nurture@Home Rua</t>
  </si>
  <si>
    <t>027-284 6630</t>
  </si>
  <si>
    <t>Parkside Playcentre</t>
  </si>
  <si>
    <t>35 Harper Street</t>
  </si>
  <si>
    <t>Parkside</t>
  </si>
  <si>
    <t>BestStart Dixon Heights</t>
  </si>
  <si>
    <t>07-9292578</t>
  </si>
  <si>
    <t>74-76 Cabourne Drive</t>
  </si>
  <si>
    <t>Te Kōhanga Reo o Ngā Pihi o Te Purapura Pai</t>
  </si>
  <si>
    <t>09-2792264</t>
  </si>
  <si>
    <t>Birkenhead College  140 Birkdale Road</t>
  </si>
  <si>
    <t>New Sprout In-Home</t>
  </si>
  <si>
    <t>021-0387628</t>
  </si>
  <si>
    <t>newsproutinhome@gmail.com</t>
  </si>
  <si>
    <t>30B Bracken Avenue</t>
  </si>
  <si>
    <t>Go Bananas Childcare Horotiu</t>
  </si>
  <si>
    <t>07-9499466</t>
  </si>
  <si>
    <t>15 Evolution Drive</t>
  </si>
  <si>
    <t>Tiny Nation Nelson, Marlborough, West Coast 2</t>
  </si>
  <si>
    <t>027-4443831</t>
  </si>
  <si>
    <t>trish@tinynation.co.nz</t>
  </si>
  <si>
    <t>Patricia Baird</t>
  </si>
  <si>
    <t>Above and Beyond In The City Ltd</t>
  </si>
  <si>
    <t>18 Selwyn Street</t>
  </si>
  <si>
    <t>Te Pūtahitanga o te Rukenga o Ngā Wai</t>
  </si>
  <si>
    <t>07-8668786</t>
  </si>
  <si>
    <t>22 Goldfields Road</t>
  </si>
  <si>
    <t>Lorraine Tuhoe</t>
  </si>
  <si>
    <t>Coromandel 3581</t>
  </si>
  <si>
    <t>Windsor Montessori Preschool</t>
  </si>
  <si>
    <t>03-213 0816</t>
  </si>
  <si>
    <t>Windsor Montessori Preschool 99 Wilton Street</t>
  </si>
  <si>
    <t>Cynthia  Copeland</t>
  </si>
  <si>
    <t>99 Wilton Street</t>
  </si>
  <si>
    <t>Farmhouse Preschool and Nursery</t>
  </si>
  <si>
    <t>06-3672471</t>
  </si>
  <si>
    <t>191 Roslyn Road</t>
  </si>
  <si>
    <t>Waitarere</t>
  </si>
  <si>
    <t>Mighty Minds Educare Mt Wellington</t>
  </si>
  <si>
    <t>509/517 Ellerslie Panmure Highway</t>
  </si>
  <si>
    <t>Chia-Chih (Cheryl) Cheng</t>
  </si>
  <si>
    <t xml:space="preserve">36 Sea Spray Drive </t>
  </si>
  <si>
    <t>AoKids|Naenae</t>
  </si>
  <si>
    <t>04-5670688</t>
  </si>
  <si>
    <t>35 Wheatley Street</t>
  </si>
  <si>
    <t>Malo Taeao</t>
  </si>
  <si>
    <t>022-6713060</t>
  </si>
  <si>
    <t>Te Kōhanga Reo o Te Rāhuitanga</t>
  </si>
  <si>
    <t>09-216 8043</t>
  </si>
  <si>
    <t>50 Settlement Road</t>
  </si>
  <si>
    <t>Go Bananas Childcare Mount Wellington</t>
  </si>
  <si>
    <t>200 Mt Wellington Highway</t>
  </si>
  <si>
    <t>Mount Wellington Central</t>
  </si>
  <si>
    <t xml:space="preserve">Manwinder (Bobby) Gill </t>
  </si>
  <si>
    <t>021-710378</t>
  </si>
  <si>
    <t>Growing Roots Early Learning Centre</t>
  </si>
  <si>
    <t>09-963 9387</t>
  </si>
  <si>
    <t>jyotsna.growingroots@gmail.com</t>
  </si>
  <si>
    <t>151 Lincoln Road</t>
  </si>
  <si>
    <t>Jyotsna Bhalla</t>
  </si>
  <si>
    <t>Go Bananas Childcare Highland Park</t>
  </si>
  <si>
    <t>20 Dun Robin Place</t>
  </si>
  <si>
    <t>Go Bananas Childcare Target Rd</t>
  </si>
  <si>
    <t>09-2158714</t>
  </si>
  <si>
    <t>126 Target Road</t>
  </si>
  <si>
    <t>Wairau Valley</t>
  </si>
  <si>
    <t>Go Bananas Childcare Te Atatu</t>
  </si>
  <si>
    <t>543 Te Atatu South Road</t>
  </si>
  <si>
    <t>Manwinder Gill</t>
  </si>
  <si>
    <t>021-710 378</t>
  </si>
  <si>
    <t>Go Bananas Childcare Kelston</t>
  </si>
  <si>
    <t>4038 Great North Road</t>
  </si>
  <si>
    <t>Go Bananas Childcare Papatoetoe</t>
  </si>
  <si>
    <t>79 Kolmar Road</t>
  </si>
  <si>
    <t>Go Bananas Childcare Rata Street</t>
  </si>
  <si>
    <t>15 Rata Street</t>
  </si>
  <si>
    <t>Blossoms Educare Otara</t>
  </si>
  <si>
    <t>09-2130855</t>
  </si>
  <si>
    <t>195 Bairds Road</t>
  </si>
  <si>
    <t>Ranui Christian Preschool</t>
  </si>
  <si>
    <t>09-8320844</t>
  </si>
  <si>
    <t>4 Ranui Station Road</t>
  </si>
  <si>
    <t>Janine Rahui</t>
  </si>
  <si>
    <t>09-8349049</t>
  </si>
  <si>
    <t>Bright Beginnings Early Learning Centre - Howick</t>
  </si>
  <si>
    <t>09-533 0022</t>
  </si>
  <si>
    <t>howick@bbelc.co.nz</t>
  </si>
  <si>
    <t>110 Ridge Road</t>
  </si>
  <si>
    <t>Tiny Nation Southland</t>
  </si>
  <si>
    <t>Genna Hayward</t>
  </si>
  <si>
    <t>Seven Oaks Preschool</t>
  </si>
  <si>
    <t>027-2078414</t>
  </si>
  <si>
    <t>office@sevenoakspreschool.co.nz</t>
  </si>
  <si>
    <t>77 Murphys Road</t>
  </si>
  <si>
    <t>Halswell South West</t>
  </si>
  <si>
    <t>Jessie Jones</t>
  </si>
  <si>
    <t>028-85142183</t>
  </si>
  <si>
    <t>Tiny Nation Q1 Wellington</t>
  </si>
  <si>
    <t>04-5664637</t>
  </si>
  <si>
    <t>Natalie Buckley</t>
  </si>
  <si>
    <t>0800-8469628466</t>
  </si>
  <si>
    <t>Halswell Quarry Preschool</t>
  </si>
  <si>
    <t>027-2401414</t>
  </si>
  <si>
    <t>discover@halswellquarrypreschool.nz</t>
  </si>
  <si>
    <t>2 Irvines Track</t>
  </si>
  <si>
    <t>Halswell South East</t>
  </si>
  <si>
    <t>Kathryn Palliser</t>
  </si>
  <si>
    <t>25 Kennedys Bush Road</t>
  </si>
  <si>
    <t>03-347 4910</t>
  </si>
  <si>
    <t>Happy Kids Parrs Park Early Learning Centre</t>
  </si>
  <si>
    <t>09-8130836</t>
  </si>
  <si>
    <t>115 Seymour Road</t>
  </si>
  <si>
    <t>2/459 Blockhouse Bay Road</t>
  </si>
  <si>
    <t>Newbies Birkdale Early Learning Centre</t>
  </si>
  <si>
    <t>09-2162935</t>
  </si>
  <si>
    <t>126 Birkdale Road</t>
  </si>
  <si>
    <t>Amanda Jones</t>
  </si>
  <si>
    <t>Nettie Riley Kindergarten</t>
  </si>
  <si>
    <t>04-567 0142</t>
  </si>
  <si>
    <t>135 Witako Street</t>
  </si>
  <si>
    <t>Epuni</t>
  </si>
  <si>
    <t>Barnardos Early Learning Lower Hutt</t>
  </si>
  <si>
    <t>04-5699877</t>
  </si>
  <si>
    <t>218 Waterloo Road</t>
  </si>
  <si>
    <t>Trisha Ward</t>
  </si>
  <si>
    <t>Tai O Fenua Kindergarten</t>
  </si>
  <si>
    <t>07-5782918</t>
  </si>
  <si>
    <t>40 Twenty Second Avenue</t>
  </si>
  <si>
    <t>New Shoots Childrens Centre - Kerikeri</t>
  </si>
  <si>
    <t>09-4016085</t>
  </si>
  <si>
    <t>2 Aranga Road</t>
  </si>
  <si>
    <t>Rachel Bolger</t>
  </si>
  <si>
    <t>027-351 7908</t>
  </si>
  <si>
    <t>Little Hands Childcare (Otara)</t>
  </si>
  <si>
    <t>09-2156998</t>
  </si>
  <si>
    <t>2 Tindall Crescent</t>
  </si>
  <si>
    <t>29 Carousel Crescent</t>
  </si>
  <si>
    <t>Manukau 2016</t>
  </si>
  <si>
    <t>'Alaha Manongi Home Based Childcare</t>
  </si>
  <si>
    <t>09-2146333</t>
  </si>
  <si>
    <t>sulietipauuvale@yahoo.co.nz</t>
  </si>
  <si>
    <t>47 Ferguson Street</t>
  </si>
  <si>
    <t>Sulieti Pauuvale Moa</t>
  </si>
  <si>
    <t>2/47 Ferguson Street</t>
  </si>
  <si>
    <t>Nurtured at Home - Wellington 4</t>
  </si>
  <si>
    <t>Te Kōhanga Reo o Waimamaku</t>
  </si>
  <si>
    <t>WHANAU@K01E047.kohanga.ac.nz</t>
  </si>
  <si>
    <t>14 Beach Road</t>
  </si>
  <si>
    <t>Tamarau Early Learning Centre</t>
  </si>
  <si>
    <t>06-8688152</t>
  </si>
  <si>
    <t>tamarauelc@outlook.com</t>
  </si>
  <si>
    <t>2 Newton St</t>
  </si>
  <si>
    <t>Tamarau</t>
  </si>
  <si>
    <t>Christine Taare</t>
  </si>
  <si>
    <t>30 DeLatour Rd</t>
  </si>
  <si>
    <t>022-0708958</t>
  </si>
  <si>
    <t>Little Flyers Early Learning</t>
  </si>
  <si>
    <t>06-3450121</t>
  </si>
  <si>
    <t>68A Harrison Street</t>
  </si>
  <si>
    <t>Katie Fitzgerald</t>
  </si>
  <si>
    <t>027-3256594</t>
  </si>
  <si>
    <t>Poupoutunoa Kindergarten</t>
  </si>
  <si>
    <t>03-976 6752</t>
  </si>
  <si>
    <t>6 Westra Street</t>
  </si>
  <si>
    <t>Clinton</t>
  </si>
  <si>
    <t>Clinton Ward</t>
  </si>
  <si>
    <t>BestStart Whangaparaoa</t>
  </si>
  <si>
    <t>09-4241877</t>
  </si>
  <si>
    <t>719 Whangaparaoa Road</t>
  </si>
  <si>
    <t>Arkles Bay</t>
  </si>
  <si>
    <t>The Children's Ark</t>
  </si>
  <si>
    <t>09-473 0242</t>
  </si>
  <si>
    <t>admin@childrensark.co.nz</t>
  </si>
  <si>
    <t>282 Glenvar Road</t>
  </si>
  <si>
    <t>Awaruku</t>
  </si>
  <si>
    <t>Susan Trace</t>
  </si>
  <si>
    <t>09-4794342</t>
  </si>
  <si>
    <t>Kiddz Homebased Childcare 1</t>
  </si>
  <si>
    <t>MiniDale Explorers</t>
  </si>
  <si>
    <t>09-4211474</t>
  </si>
  <si>
    <t>admin@minidaleexplorers.co.nz</t>
  </si>
  <si>
    <t>2 Archibald Drive, Milldale</t>
  </si>
  <si>
    <t>Old MacDonalds Childcare Morrinsville</t>
  </si>
  <si>
    <t>07-8890999</t>
  </si>
  <si>
    <t>morrinsville@oldmacdonalds.co.nz</t>
  </si>
  <si>
    <t>591 Kuranui Road</t>
  </si>
  <si>
    <t>Tracey Aubin</t>
  </si>
  <si>
    <t>593 Kuranui Road RD 2</t>
  </si>
  <si>
    <t>Morrinsville 3372</t>
  </si>
  <si>
    <t>Te Puna Reo o Hinemataroa Montessori</t>
  </si>
  <si>
    <t>07-2429004</t>
  </si>
  <si>
    <t>44a McKenzie Street</t>
  </si>
  <si>
    <t>Puna Reo, Montessori</t>
  </si>
  <si>
    <t>Te Ata-Ruahine Ruawai</t>
  </si>
  <si>
    <t>Taneatua 3123</t>
  </si>
  <si>
    <t>Lots of Hugs Broadway</t>
  </si>
  <si>
    <t>06-3550330</t>
  </si>
  <si>
    <t>broadway@lotsofhugschildcare.co.nz</t>
  </si>
  <si>
    <t>257 Broadway Ave</t>
  </si>
  <si>
    <t>BestStart Halswell Junction</t>
  </si>
  <si>
    <t>03-9749423</t>
  </si>
  <si>
    <t>halswelljunction@best-start.org</t>
  </si>
  <si>
    <t>386 Halswell Junction Road</t>
  </si>
  <si>
    <t>Oaklands West</t>
  </si>
  <si>
    <t>Freckles Early Learning Centre</t>
  </si>
  <si>
    <t>03-347 0291</t>
  </si>
  <si>
    <t>Freckles@best-start.org</t>
  </si>
  <si>
    <t>48 Branthwaite Drive</t>
  </si>
  <si>
    <t>Rolleston South East</t>
  </si>
  <si>
    <t>Awesome Kiwis Childcare Ltd</t>
  </si>
  <si>
    <t>09-2640306</t>
  </si>
  <si>
    <t>awesomekiwis2020@gmail.com</t>
  </si>
  <si>
    <t>222 Browns Road</t>
  </si>
  <si>
    <t>Burbank</t>
  </si>
  <si>
    <t xml:space="preserve">Ragni  Lata </t>
  </si>
  <si>
    <t>09-264 0306</t>
  </si>
  <si>
    <t>Love and Joy Early Learning Centre Limited</t>
  </si>
  <si>
    <t>09-626 0681</t>
  </si>
  <si>
    <t>loveandjoyece@gmail.com</t>
  </si>
  <si>
    <t>5 Denize Road</t>
  </si>
  <si>
    <t xml:space="preserve">Li  Zhang </t>
  </si>
  <si>
    <t>59B Heaphy Street</t>
  </si>
  <si>
    <t>09-6260681</t>
  </si>
  <si>
    <t>The Village Co - ELC</t>
  </si>
  <si>
    <t>021-281 2201</t>
  </si>
  <si>
    <t>info@thevillageco.co.nz</t>
  </si>
  <si>
    <t>49 Third View Avenue</t>
  </si>
  <si>
    <t>Vivien Bartley</t>
  </si>
  <si>
    <t>Beachlands 2018</t>
  </si>
  <si>
    <t>Aukilani Kids</t>
  </si>
  <si>
    <t>09-280 3893</t>
  </si>
  <si>
    <t>96 Lansford Crescent</t>
  </si>
  <si>
    <t xml:space="preserve">Lynette Reed </t>
  </si>
  <si>
    <t>New Shoots Children's Centre - Greenhithe</t>
  </si>
  <si>
    <t xml:space="preserve">09-307 0005 </t>
  </si>
  <si>
    <t>31 Chester Avenue</t>
  </si>
  <si>
    <t>Kelly  Lambert</t>
  </si>
  <si>
    <t>021-535844</t>
  </si>
  <si>
    <t>Flagstaff Childcare Ltd</t>
  </si>
  <si>
    <t>9 Halcione Close</t>
  </si>
  <si>
    <t>Creative Garden Early Learning Centre</t>
  </si>
  <si>
    <t>09-2590101</t>
  </si>
  <si>
    <t>otahuhu@creativegarden.nz</t>
  </si>
  <si>
    <t>25 Albert Street</t>
  </si>
  <si>
    <t>Ōtāhuhu North East</t>
  </si>
  <si>
    <t>Dongli (Suzy) Zhao</t>
  </si>
  <si>
    <t>Massey Child Care Centre - Albany</t>
  </si>
  <si>
    <t>09-212 7200</t>
  </si>
  <si>
    <t>533 Albany Highway</t>
  </si>
  <si>
    <t xml:space="preserve">Emma  Cunliffe </t>
  </si>
  <si>
    <t>Private Bag 11222</t>
  </si>
  <si>
    <t>Palmerston North 4442</t>
  </si>
  <si>
    <t>09-212 7201</t>
  </si>
  <si>
    <t>Kirwee Treehouse Early Learning Centre</t>
  </si>
  <si>
    <t>36 School Lane</t>
  </si>
  <si>
    <t>Kirwee</t>
  </si>
  <si>
    <t>Jessica Boyes</t>
  </si>
  <si>
    <t>Christchurch 7571</t>
  </si>
  <si>
    <t xml:space="preserve">Te Hū o Kākāpōtahi Kāhui Ako </t>
  </si>
  <si>
    <t>Te Kōhanga Reo o Ngati Kahu</t>
  </si>
  <si>
    <t>50 Adamson Road</t>
  </si>
  <si>
    <t>Dazzling Stars Early Learning Centre</t>
  </si>
  <si>
    <t>09-2152571</t>
  </si>
  <si>
    <t>contactpersondselc@gmail.com</t>
  </si>
  <si>
    <t>512 Swanson Road</t>
  </si>
  <si>
    <t>Barinder Kaur</t>
  </si>
  <si>
    <t>37 Wellfield Drive</t>
  </si>
  <si>
    <t>09-215 2571</t>
  </si>
  <si>
    <t>Little Sparrows Preschool</t>
  </si>
  <si>
    <t>07-8232921</t>
  </si>
  <si>
    <t>231 Lamb St</t>
  </si>
  <si>
    <t>House of Wonder Christchurch by Busy Bees</t>
  </si>
  <si>
    <t>03-5952369</t>
  </si>
  <si>
    <t>2 Bangor Street</t>
  </si>
  <si>
    <t>Nesa Iosua</t>
  </si>
  <si>
    <t>BestStart Pukekohe West</t>
  </si>
  <si>
    <t>09-2828378</t>
  </si>
  <si>
    <t>56 Jutland Road</t>
  </si>
  <si>
    <t xml:space="preserve">Jane  Burke </t>
  </si>
  <si>
    <t>New Shoots Children's Centre - Hillcrest</t>
  </si>
  <si>
    <t xml:space="preserve">09-307 0034 </t>
  </si>
  <si>
    <t>hillcrest@newshoots.co.nz</t>
  </si>
  <si>
    <t>7 Argus Place</t>
  </si>
  <si>
    <t>Giraffe Early Learning Center</t>
  </si>
  <si>
    <t>0800-309000</t>
  </si>
  <si>
    <t>info@gece.co.nz</t>
  </si>
  <si>
    <t>529 Mount Albert Road</t>
  </si>
  <si>
    <t xml:space="preserve">Steven  Xue </t>
  </si>
  <si>
    <t>PO Box 87481</t>
  </si>
  <si>
    <t>Starting Line Home Based Childcare</t>
  </si>
  <si>
    <t>027-6889998</t>
  </si>
  <si>
    <t>admin@startingline.org.nz</t>
  </si>
  <si>
    <t>22 Raumati Road</t>
  </si>
  <si>
    <t>Remuera Waiata</t>
  </si>
  <si>
    <t>Yan Chen</t>
  </si>
  <si>
    <t>Tiny Voices Wellington</t>
  </si>
  <si>
    <t>04-213 9791</t>
  </si>
  <si>
    <t>cmwellington@tinyvoices.co.nz</t>
  </si>
  <si>
    <t>The Grand Arcade 76 Boulcott Street</t>
  </si>
  <si>
    <t>Anne Marie Seremak</t>
  </si>
  <si>
    <t>Peekaboo Childcare Forrest Hill</t>
  </si>
  <si>
    <t>09-4101222</t>
  </si>
  <si>
    <t>2 Marsh Avenue</t>
  </si>
  <si>
    <t xml:space="preserve">297 Beach Road </t>
  </si>
  <si>
    <t>Park Estate Early Learning</t>
  </si>
  <si>
    <t>38 Park Estate Road</t>
  </si>
  <si>
    <t>Seven Stars Kindergarten</t>
  </si>
  <si>
    <t>027-8377827</t>
  </si>
  <si>
    <t>272 Don Buck Road</t>
  </si>
  <si>
    <t xml:space="preserve">15 Pendlebury Street </t>
  </si>
  <si>
    <t>Kids in the View Early Learning</t>
  </si>
  <si>
    <t>021-887534</t>
  </si>
  <si>
    <t>6 Boyack Drive</t>
  </si>
  <si>
    <t>Penni-Marie Harris</t>
  </si>
  <si>
    <t>6 Boyack Drive,Temple View</t>
  </si>
  <si>
    <t>Hamilton 3218</t>
  </si>
  <si>
    <t>BestStart Huntsbury</t>
  </si>
  <si>
    <t>03-9740692</t>
  </si>
  <si>
    <t>huntsbury@best-start.org</t>
  </si>
  <si>
    <t>3 Wilsons Road South</t>
  </si>
  <si>
    <t>Mighty Mind Kids Early Learning Centre</t>
  </si>
  <si>
    <t>32 Driver Road</t>
  </si>
  <si>
    <t>The Nest Limited</t>
  </si>
  <si>
    <t>027-9670708</t>
  </si>
  <si>
    <t>19 Cloten Road</t>
  </si>
  <si>
    <t>Nicola Briggs</t>
  </si>
  <si>
    <t>Little Thinkers Private Kindergarten</t>
  </si>
  <si>
    <t>07-8232555</t>
  </si>
  <si>
    <t>hello@littlethinkers.co.nz</t>
  </si>
  <si>
    <t>1896 Cambridge Road</t>
  </si>
  <si>
    <t>Ilonca  Raymond</t>
  </si>
  <si>
    <t>69 Grey Street</t>
  </si>
  <si>
    <t>027-2747332</t>
  </si>
  <si>
    <t>Dream Catchers Preschool</t>
  </si>
  <si>
    <t>106 Rhinevale Close</t>
  </si>
  <si>
    <t>Western Heights (Auckland)</t>
  </si>
  <si>
    <t>Congqiao Yang</t>
  </si>
  <si>
    <t xml:space="preserve">106 Rhinevale Close </t>
  </si>
  <si>
    <t>Khandallah Little School 2</t>
  </si>
  <si>
    <t>027-399 6996</t>
  </si>
  <si>
    <t>1 Baroda Street</t>
  </si>
  <si>
    <t>Khandallah Reserve</t>
  </si>
  <si>
    <t>Hand and Hand Early Learning Centre, Hamilton</t>
  </si>
  <si>
    <t>09-9497686</t>
  </si>
  <si>
    <t>281 Clarkin Road</t>
  </si>
  <si>
    <t>Porritt</t>
  </si>
  <si>
    <t>Jody Binnie</t>
  </si>
  <si>
    <t>P O Box 85050</t>
  </si>
  <si>
    <t>Auckland 1545</t>
  </si>
  <si>
    <t>Riselaw Road Playcentre</t>
  </si>
  <si>
    <t>027-4646722</t>
  </si>
  <si>
    <t>Education Hub 38 Riselaw Road</t>
  </si>
  <si>
    <t>Calton Hill</t>
  </si>
  <si>
    <t>Nikki Bolton</t>
  </si>
  <si>
    <t>Cuddles Early Learning Centre</t>
  </si>
  <si>
    <t>021-0766668</t>
  </si>
  <si>
    <t>cm@cuddleselc.co.nz</t>
  </si>
  <si>
    <t>12 Greendale Avenue</t>
  </si>
  <si>
    <t>Avonhead East</t>
  </si>
  <si>
    <t>Siân White</t>
  </si>
  <si>
    <t>30 Francis Ave</t>
  </si>
  <si>
    <t>03-3578900</t>
  </si>
  <si>
    <t>Go Bananas Childcare Takanini</t>
  </si>
  <si>
    <t>0800-462626</t>
  </si>
  <si>
    <t>20 Walters Road</t>
  </si>
  <si>
    <t>Takanini Central</t>
  </si>
  <si>
    <t>Twinkle Star Home-based Childcare Limited</t>
  </si>
  <si>
    <t>09-3203125</t>
  </si>
  <si>
    <t>info@twinklestars.co.nz</t>
  </si>
  <si>
    <t>8 Thyme Court</t>
  </si>
  <si>
    <t xml:space="preserve">Tanveer Cheema </t>
  </si>
  <si>
    <t xml:space="preserve">8 Thyme Court </t>
  </si>
  <si>
    <t>03-217 0771</t>
  </si>
  <si>
    <t>105 Racecourse Road</t>
  </si>
  <si>
    <t>117 Racecourse Road</t>
  </si>
  <si>
    <t>Pokeno Playcentre</t>
  </si>
  <si>
    <t>54 Pokeno Road, Pokeno</t>
  </si>
  <si>
    <t>Kiwi Iti Early Learning Centre Ltd</t>
  </si>
  <si>
    <t>07-5610508</t>
  </si>
  <si>
    <t>kiwiitiearlylearning@outlook.com</t>
  </si>
  <si>
    <t>19 Kennedy Drive</t>
  </si>
  <si>
    <t>Emma Clews</t>
  </si>
  <si>
    <t>Early Smiles Childcare &amp; Learning Centre</t>
  </si>
  <si>
    <t>021-129 5138</t>
  </si>
  <si>
    <t>7 Ainwick Road</t>
  </si>
  <si>
    <t xml:space="preserve">Basil  Taha </t>
  </si>
  <si>
    <t xml:space="preserve">7 Ainwick Road </t>
  </si>
  <si>
    <t>KiwiEd</t>
  </si>
  <si>
    <t>021-149 0204</t>
  </si>
  <si>
    <t>15 View Ridge Road</t>
  </si>
  <si>
    <t>Rānui South West</t>
  </si>
  <si>
    <t xml:space="preserve">Kirsty  Hall </t>
  </si>
  <si>
    <t>15 View Ridge Drive</t>
  </si>
  <si>
    <t>Ravenswood Stars Nursery &amp; Preschool</t>
  </si>
  <si>
    <t>03-6629991</t>
  </si>
  <si>
    <t>8 Clayton Place</t>
  </si>
  <si>
    <t>Ravenswood</t>
  </si>
  <si>
    <t>Woodend 7610</t>
  </si>
  <si>
    <t>Little Firefly Early Learning Centre</t>
  </si>
  <si>
    <t>021-2074147</t>
  </si>
  <si>
    <t>Samantha Harrison</t>
  </si>
  <si>
    <t>69 Commercial road</t>
  </si>
  <si>
    <t>Glengarry Early Learning Centre</t>
  </si>
  <si>
    <t>09-8131444</t>
  </si>
  <si>
    <t>glengarryelc@hotmail.com</t>
  </si>
  <si>
    <t>21 Glengarry Road</t>
  </si>
  <si>
    <t>Wild and Love Early Learning Village</t>
  </si>
  <si>
    <t>027-555 3595</t>
  </si>
  <si>
    <t>17 Catherine McLean Road</t>
  </si>
  <si>
    <t>Zhongyang Chen</t>
  </si>
  <si>
    <t>17 Catherine Mclean Road Pukekohe</t>
  </si>
  <si>
    <t>BestStart Silverdale</t>
  </si>
  <si>
    <t>09-9711149</t>
  </si>
  <si>
    <t>4 Alberto Lane</t>
  </si>
  <si>
    <t>Happy Learning Childcare</t>
  </si>
  <si>
    <t>09-2801588</t>
  </si>
  <si>
    <t>info@hlchildcare.co.nz</t>
  </si>
  <si>
    <t>4019 Great North Road</t>
  </si>
  <si>
    <t>Peter Jiang</t>
  </si>
  <si>
    <t xml:space="preserve">4019 Great North Road </t>
  </si>
  <si>
    <t>09-280 1588</t>
  </si>
  <si>
    <t>BestStart Birkdale</t>
  </si>
  <si>
    <t>09-2828395</t>
  </si>
  <si>
    <t>33 Salisbury Road</t>
  </si>
  <si>
    <t>Galaxy Childcare - East Tamaki</t>
  </si>
  <si>
    <t>148 East Tamaki Road</t>
  </si>
  <si>
    <t>Sunita Kant</t>
  </si>
  <si>
    <t>The Oaks Montessori</t>
  </si>
  <si>
    <t>danielle@randdeducation.nz</t>
  </si>
  <si>
    <t>1 Charles Upham Drive</t>
  </si>
  <si>
    <t>Wilde Meadow Limited</t>
  </si>
  <si>
    <t>09-8181432</t>
  </si>
  <si>
    <t>594 West Coast Road</t>
  </si>
  <si>
    <t xml:space="preserve">Kerry  Leonard </t>
  </si>
  <si>
    <t>027-446 3197</t>
  </si>
  <si>
    <t>Little House Montessori Preschool Central</t>
  </si>
  <si>
    <t>021-0510985</t>
  </si>
  <si>
    <t>404 Barbadoes Street</t>
  </si>
  <si>
    <t>Christchurch Central-North</t>
  </si>
  <si>
    <t>Mudpies and Butterflies</t>
  </si>
  <si>
    <t>09-9631772</t>
  </si>
  <si>
    <t>admin@mudpiesandbutterflies.co.nz</t>
  </si>
  <si>
    <t>89-91 Kingseat Road</t>
  </si>
  <si>
    <t xml:space="preserve">Hailee  Minty </t>
  </si>
  <si>
    <t>64 Edgewater Parade</t>
  </si>
  <si>
    <t>09-9731772</t>
  </si>
  <si>
    <t>BestStart Flat Bush School Road</t>
  </si>
  <si>
    <t>09-282 8409</t>
  </si>
  <si>
    <t>303 Flat Bush School Road</t>
  </si>
  <si>
    <t>Bremner Ridge</t>
  </si>
  <si>
    <t>Little Guys Early Learning Centre</t>
  </si>
  <si>
    <t>09-8697660</t>
  </si>
  <si>
    <t>hello@littleguyslearning.co.nz</t>
  </si>
  <si>
    <t>65 Blackbridge Road, Karaka</t>
  </si>
  <si>
    <t xml:space="preserve">Sally  Guy </t>
  </si>
  <si>
    <t>540 Karaka Road</t>
  </si>
  <si>
    <t>Auckland 2580</t>
  </si>
  <si>
    <t>022-3543693</t>
  </si>
  <si>
    <t>Young Learners Early Childhood Education Centre</t>
  </si>
  <si>
    <t>021-1068054</t>
  </si>
  <si>
    <t>2 Airdrie Road</t>
  </si>
  <si>
    <t xml:space="preserve">Chan Wang </t>
  </si>
  <si>
    <t xml:space="preserve">2 Airdrie Road, </t>
  </si>
  <si>
    <t>BestStart Ferry Road</t>
  </si>
  <si>
    <t>03-9308462</t>
  </si>
  <si>
    <t>533 Ferry Road</t>
  </si>
  <si>
    <t>Little Monkeys at Home</t>
  </si>
  <si>
    <t>office@littlemonkeys.nz</t>
  </si>
  <si>
    <t>Bernadette Dunstan</t>
  </si>
  <si>
    <t>022-4591361</t>
  </si>
  <si>
    <t>Piccolo Park Dannemora Limited</t>
  </si>
  <si>
    <t>09-394 3355</t>
  </si>
  <si>
    <t>508 Chapel Road</t>
  </si>
  <si>
    <t xml:space="preserve">Narisa Daud </t>
  </si>
  <si>
    <t>021-142 4436</t>
  </si>
  <si>
    <t>Acorns Homebased Education and Childcare</t>
  </si>
  <si>
    <t>namdeepsingh07@gmail.com</t>
  </si>
  <si>
    <t>20 Southridge Road</t>
  </si>
  <si>
    <t>Namdeep Singh</t>
  </si>
  <si>
    <t>021-10348192</t>
  </si>
  <si>
    <t>Kiddy Winkles Huapai</t>
  </si>
  <si>
    <t>53 Station Road</t>
  </si>
  <si>
    <t>Happy Hive Early Learning Centre</t>
  </si>
  <si>
    <t>09-2422420</t>
  </si>
  <si>
    <t>caththorpe@googlemail.com</t>
  </si>
  <si>
    <t>45 Greenhithe Road</t>
  </si>
  <si>
    <t>BestStart Te Whāriki</t>
  </si>
  <si>
    <t>03-9265778</t>
  </si>
  <si>
    <t>TeWhariki@best-start.org</t>
  </si>
  <si>
    <t>4 Te Raki Drive</t>
  </si>
  <si>
    <t>Lincoln South</t>
  </si>
  <si>
    <t>Little Ranges Early Learning Centre</t>
  </si>
  <si>
    <t>027-03944024</t>
  </si>
  <si>
    <t>info@littleranges.co.nz</t>
  </si>
  <si>
    <t>Unit 1/10 Woodford Avenue</t>
  </si>
  <si>
    <t>Sharlene  Waetford</t>
  </si>
  <si>
    <t xml:space="preserve">12 Arrow Road </t>
  </si>
  <si>
    <t>027-3944024</t>
  </si>
  <si>
    <t>Brightlands Childcare Centre, Airport Oaks</t>
  </si>
  <si>
    <t>09-2184993</t>
  </si>
  <si>
    <t>45 McKenzie Road</t>
  </si>
  <si>
    <t>Setaita Po'ese</t>
  </si>
  <si>
    <t xml:space="preserve">562 Te Rapa Road </t>
  </si>
  <si>
    <t>Future Focus - The Boulevard</t>
  </si>
  <si>
    <t>07-2424232</t>
  </si>
  <si>
    <t>183 The Boulevard</t>
  </si>
  <si>
    <t>Wairakei East-Te Tumu</t>
  </si>
  <si>
    <t>Rose McLiver</t>
  </si>
  <si>
    <t>Just Kidz Henderson</t>
  </si>
  <si>
    <t>021-155 5663</t>
  </si>
  <si>
    <t>131 Lincoln Road</t>
  </si>
  <si>
    <t>Hong Pan</t>
  </si>
  <si>
    <t xml:space="preserve">49 Myland Drive </t>
  </si>
  <si>
    <t>Jeanna Newton</t>
  </si>
  <si>
    <t>022-6513122</t>
  </si>
  <si>
    <t>Westpark Early Learning</t>
  </si>
  <si>
    <t>03-3107755</t>
  </si>
  <si>
    <t>libby@4es.nz</t>
  </si>
  <si>
    <t>59 Westpark Boulevard</t>
  </si>
  <si>
    <t>Olivia Cunniffe</t>
  </si>
  <si>
    <t>Christchurch 7471</t>
  </si>
  <si>
    <t>Kiddie Star ECE Homebased</t>
  </si>
  <si>
    <t>022-2746668</t>
  </si>
  <si>
    <t>1/2 Langford Street</t>
  </si>
  <si>
    <t>BestStart Murphys Park</t>
  </si>
  <si>
    <t>09-558-4639</t>
  </si>
  <si>
    <t>1 Picturesque Drive</t>
  </si>
  <si>
    <t>Ormiston South East</t>
  </si>
  <si>
    <t>Te Pito o te Puna Wai o Waipapa - Hagley Community Preschool</t>
  </si>
  <si>
    <t>03-364 5158</t>
  </si>
  <si>
    <t>preschool@hagley.school.nz</t>
  </si>
  <si>
    <t>510 Hagley Ave</t>
  </si>
  <si>
    <t>Tracy Summerton</t>
  </si>
  <si>
    <t>P O Box 3084</t>
  </si>
  <si>
    <t>Christchurch 8140</t>
  </si>
  <si>
    <t>Deb's Place Early Learning Centre</t>
  </si>
  <si>
    <t>03-3384470</t>
  </si>
  <si>
    <t>debbie@debsearlylearning.com</t>
  </si>
  <si>
    <t>29 Macaulay Street</t>
  </si>
  <si>
    <t>Addington</t>
  </si>
  <si>
    <t>Addington West</t>
  </si>
  <si>
    <t>Debra Watts</t>
  </si>
  <si>
    <t>Waipara 7474</t>
  </si>
  <si>
    <t>BestStart Kensington Crossing</t>
  </si>
  <si>
    <t>09-459 1442</t>
  </si>
  <si>
    <t>kensingtoncrossing@best-start.org</t>
  </si>
  <si>
    <t>8 Kensington Avenue</t>
  </si>
  <si>
    <t>BestStart Highfield</t>
  </si>
  <si>
    <t>03-9749457</t>
  </si>
  <si>
    <t>40 Douglas Street</t>
  </si>
  <si>
    <t>Highfield North</t>
  </si>
  <si>
    <t>Dandelions and Dragonflies</t>
  </si>
  <si>
    <t>09-2429100</t>
  </si>
  <si>
    <t>29 Hall Road, RD2</t>
  </si>
  <si>
    <t>Catherine Darby</t>
  </si>
  <si>
    <t>Co Star Early Learning Centre</t>
  </si>
  <si>
    <t>09-4409890</t>
  </si>
  <si>
    <t>79 Chivalry Road</t>
  </si>
  <si>
    <t xml:space="preserve">Lei  Lei </t>
  </si>
  <si>
    <t xml:space="preserve">79 Chivalry Road </t>
  </si>
  <si>
    <t>022-17562323</t>
  </si>
  <si>
    <t>Papatoetoe Kids Early Learning Centre</t>
  </si>
  <si>
    <t>021-144 0018</t>
  </si>
  <si>
    <t>68 Station Road</t>
  </si>
  <si>
    <t xml:space="preserve">Ria  Tuala </t>
  </si>
  <si>
    <t>021-1662017</t>
  </si>
  <si>
    <t>Wonder Kids Lower Hutt</t>
  </si>
  <si>
    <t>1122 High Street</t>
  </si>
  <si>
    <t>Karthikayan Palaniveloo</t>
  </si>
  <si>
    <t>Blessings for Life Riverside</t>
  </si>
  <si>
    <t>09-408 2001</t>
  </si>
  <si>
    <t>New Shoots Childrens' Centre - Miniland</t>
  </si>
  <si>
    <t>09-218 2997</t>
  </si>
  <si>
    <t>11 Sunnyview Road</t>
  </si>
  <si>
    <t>P O Box 101455</t>
  </si>
  <si>
    <t>Auckland 0745</t>
  </si>
  <si>
    <t>Just Kidz Ormiston</t>
  </si>
  <si>
    <t>021-08072108</t>
  </si>
  <si>
    <t>ormiston@justkidz.co.nz</t>
  </si>
  <si>
    <t>Shop C-80A &amp; C-80B Ormiston Town Centre, Ormiston &amp; Mahy Road</t>
  </si>
  <si>
    <t>Ormiston North</t>
  </si>
  <si>
    <t>Jie (Zoey)  Zhou</t>
  </si>
  <si>
    <t>20 Dilworth Avenue</t>
  </si>
  <si>
    <t>Nurtured at Home - Wellington 5</t>
  </si>
  <si>
    <t>The Forest ECE Ltd</t>
  </si>
  <si>
    <t>027-2333376</t>
  </si>
  <si>
    <t>59 Te Miro Road</t>
  </si>
  <si>
    <t>Te Miro</t>
  </si>
  <si>
    <t>Karapiro</t>
  </si>
  <si>
    <t>Maungatautari General Ward</t>
  </si>
  <si>
    <t>Joanna Maddison</t>
  </si>
  <si>
    <t>73 Te Miro Road</t>
  </si>
  <si>
    <t>Cambridge 3496</t>
  </si>
  <si>
    <t>Kidz Park Albany Child Care Centre</t>
  </si>
  <si>
    <t>09-3000696</t>
  </si>
  <si>
    <t>25 Corban Avenue</t>
  </si>
  <si>
    <t>Wendi Wang</t>
  </si>
  <si>
    <t>Tiny Nation Bay of Plenty</t>
  </si>
  <si>
    <t>0800-846 9628466</t>
  </si>
  <si>
    <t>Rebecca Hesson</t>
  </si>
  <si>
    <t>021-2044665</t>
  </si>
  <si>
    <t>Aniwaniwa - (The Rainbow) - Stars</t>
  </si>
  <si>
    <t>021-0255 0097</t>
  </si>
  <si>
    <t>43 Harley Street</t>
  </si>
  <si>
    <t>Varleen Kaur</t>
  </si>
  <si>
    <t>Kakapo Creek Children's Garden</t>
  </si>
  <si>
    <t xml:space="preserve">09-410 2181 </t>
  </si>
  <si>
    <t>409 Beach Road</t>
  </si>
  <si>
    <t>Mairangi Bay South</t>
  </si>
  <si>
    <t>Kaye McKean</t>
  </si>
  <si>
    <t xml:space="preserve">117 East Coast Road </t>
  </si>
  <si>
    <t>Footsteps Adventist Early Learning Centre</t>
  </si>
  <si>
    <t>06-3575827</t>
  </si>
  <si>
    <t>86/90 Pitt Street</t>
  </si>
  <si>
    <t>Joy Reye</t>
  </si>
  <si>
    <t>86-90 Pitt Street</t>
  </si>
  <si>
    <t>06-357 5827</t>
  </si>
  <si>
    <t>Lower North Island Christian Community of Learning</t>
  </si>
  <si>
    <t>The Bee Hive</t>
  </si>
  <si>
    <t>09-836 6271</t>
  </si>
  <si>
    <t>98 Glen Road</t>
  </si>
  <si>
    <t>Jo-Anne  Compton</t>
  </si>
  <si>
    <t xml:space="preserve">319 Henderson Valley Road </t>
  </si>
  <si>
    <t>Besthope Early Learning Centre</t>
  </si>
  <si>
    <t>022-066 2733</t>
  </si>
  <si>
    <t>117 Seddon Street</t>
  </si>
  <si>
    <t>Bing Qin Zhang</t>
  </si>
  <si>
    <t>Northern Southland Kindergarten</t>
  </si>
  <si>
    <t>03-2487870</t>
  </si>
  <si>
    <t>4 Helena Street</t>
  </si>
  <si>
    <t>Lumsden</t>
  </si>
  <si>
    <t>Lumsden-Balfour</t>
  </si>
  <si>
    <t>Kingdomcity Childcare</t>
  </si>
  <si>
    <t>09-4861655</t>
  </si>
  <si>
    <t>2/20 The Warehouse Way</t>
  </si>
  <si>
    <t>Caitlin Meadows</t>
  </si>
  <si>
    <t>Tiny Nation Otago</t>
  </si>
  <si>
    <t>Morgan Brieseman</t>
  </si>
  <si>
    <t>Settlement Road Early Learning</t>
  </si>
  <si>
    <t>104 Settlement Road</t>
  </si>
  <si>
    <t>Little Hoiho</t>
  </si>
  <si>
    <t>5 Ovenden Street</t>
  </si>
  <si>
    <t>Owaka</t>
  </si>
  <si>
    <t>Catlins</t>
  </si>
  <si>
    <t>Catlins Ward</t>
  </si>
  <si>
    <t>Lisa Foster</t>
  </si>
  <si>
    <t>9 Barrs Falls Road, RD2</t>
  </si>
  <si>
    <t>Owaka 9586</t>
  </si>
  <si>
    <t>020-40285758</t>
  </si>
  <si>
    <t>Divine Early Learning Centre</t>
  </si>
  <si>
    <t>022-648 8752</t>
  </si>
  <si>
    <t>124 Rathgar Road</t>
  </si>
  <si>
    <t xml:space="preserve">Tevita  Talakai </t>
  </si>
  <si>
    <t>245 Penrose Road</t>
  </si>
  <si>
    <t>027-676 7053</t>
  </si>
  <si>
    <t>Hands at Play Aotearoa</t>
  </si>
  <si>
    <t>022-426 8127</t>
  </si>
  <si>
    <t>43 Glass Rooad</t>
  </si>
  <si>
    <t>Marlo  Camacho</t>
  </si>
  <si>
    <t xml:space="preserve">43 Glass Road </t>
  </si>
  <si>
    <t>Happy Hearts Early Learning Centre - Red Beach Ltd</t>
  </si>
  <si>
    <t>09-972 7745</t>
  </si>
  <si>
    <t>6 Nga Wai Lane</t>
  </si>
  <si>
    <t>113 Riverhead Road RD 2</t>
  </si>
  <si>
    <t>Lighthouse Childcare</t>
  </si>
  <si>
    <t>027-5502776</t>
  </si>
  <si>
    <t>250 Nelson St</t>
  </si>
  <si>
    <t>Tanya Thom</t>
  </si>
  <si>
    <t>250 Nelson Street</t>
  </si>
  <si>
    <t>Invercargill 9012</t>
  </si>
  <si>
    <t>Little Learners Dinsdale Ltd</t>
  </si>
  <si>
    <t>07-8460404</t>
  </si>
  <si>
    <t>30 Tuhikaramea Road</t>
  </si>
  <si>
    <t>Samantha Broome</t>
  </si>
  <si>
    <t>BestStart Sir Tristram Avenue</t>
  </si>
  <si>
    <t>07-8502050</t>
  </si>
  <si>
    <t>sirtristram@best-start.org</t>
  </si>
  <si>
    <t>6 Sir Tristram Avenue</t>
  </si>
  <si>
    <t>Mangawhai Village Preschool</t>
  </si>
  <si>
    <t>021-225 5511</t>
  </si>
  <si>
    <t>admin@mvpreschool.co.nz</t>
  </si>
  <si>
    <t>1D Molesworth Drive</t>
  </si>
  <si>
    <t>Polina Korneva</t>
  </si>
  <si>
    <t>Unit 202, 168 Hobson Street</t>
  </si>
  <si>
    <t>09-945 3976</t>
  </si>
  <si>
    <t>Jigsaw Preschool Yaldhurst</t>
  </si>
  <si>
    <t>03-3411066</t>
  </si>
  <si>
    <t>trish@jigsawpreschools.co.nz</t>
  </si>
  <si>
    <t>120 Sir John McKenzie Ave</t>
  </si>
  <si>
    <t>Patricia Ireland</t>
  </si>
  <si>
    <t>P O Box 29297</t>
  </si>
  <si>
    <t>Christchurch 8014</t>
  </si>
  <si>
    <t>BestStart Delta Avenue</t>
  </si>
  <si>
    <t>09-8280866</t>
  </si>
  <si>
    <t>52 Delta Avenue</t>
  </si>
  <si>
    <t>New Lynn North</t>
  </si>
  <si>
    <t>Wild at Heart Homebased Education</t>
  </si>
  <si>
    <t>admin@wildathearteducation.co.nz</t>
  </si>
  <si>
    <t>335 Marshmans Rd</t>
  </si>
  <si>
    <t>Ashley</t>
  </si>
  <si>
    <t>Ashley-Sefton</t>
  </si>
  <si>
    <t>Jessica Kerr</t>
  </si>
  <si>
    <t>335 Marshmans Road</t>
  </si>
  <si>
    <t>Rangiora 7477</t>
  </si>
  <si>
    <t>03-3470490</t>
  </si>
  <si>
    <t>1 Rangatira Street</t>
  </si>
  <si>
    <t>Rolleston South Central</t>
  </si>
  <si>
    <t>Shannen Hawkins</t>
  </si>
  <si>
    <t>021-2757531</t>
  </si>
  <si>
    <t>Little Footsteps - Taylor Pass Road</t>
  </si>
  <si>
    <t>027-2510020</t>
  </si>
  <si>
    <t>info@littlefootsteps.co.nz</t>
  </si>
  <si>
    <t>49 Taylor Pass Road</t>
  </si>
  <si>
    <t>Witherlea West</t>
  </si>
  <si>
    <t>Victoria Templeton</t>
  </si>
  <si>
    <t>102 Scott Street</t>
  </si>
  <si>
    <t xml:space="preserve">Blenheim </t>
  </si>
  <si>
    <t>Launch Queen Street</t>
  </si>
  <si>
    <t>021-857055</t>
  </si>
  <si>
    <t>406 Queen Street East</t>
  </si>
  <si>
    <t>Adrie Henrico</t>
  </si>
  <si>
    <t>06-2117607</t>
  </si>
  <si>
    <t>Little Cubs Early Learning Centre</t>
  </si>
  <si>
    <t>03-5502776</t>
  </si>
  <si>
    <t>100 Ensors Road</t>
  </si>
  <si>
    <t>Ensors</t>
  </si>
  <si>
    <t>Jeslyn Yong</t>
  </si>
  <si>
    <t>10 Scott Avenue</t>
  </si>
  <si>
    <t>Little Village Preschool</t>
  </si>
  <si>
    <t>46 Ambler Avenue</t>
  </si>
  <si>
    <t>51 James Laurie Street</t>
  </si>
  <si>
    <t>Remarkable Start Jacks Point Ltd</t>
  </si>
  <si>
    <t>120 Māori Jack Road</t>
  </si>
  <si>
    <t>Jacks Point</t>
  </si>
  <si>
    <t>Remarkable Start Jacks Point 120 Maori Jack Road</t>
  </si>
  <si>
    <t>Queenstown 9371</t>
  </si>
  <si>
    <t>Kaleido Early Learning Centre</t>
  </si>
  <si>
    <t>09-2148336</t>
  </si>
  <si>
    <t>103 Clevedon Road</t>
  </si>
  <si>
    <t>Kizna Ren</t>
  </si>
  <si>
    <t>BestStart Beach Haven</t>
  </si>
  <si>
    <t>09-558 4463</t>
  </si>
  <si>
    <t>199 Beach Haven Road</t>
  </si>
  <si>
    <t>Vintage Kids - Point Chevalier</t>
  </si>
  <si>
    <t>09-242 1980</t>
  </si>
  <si>
    <t>10 Kiwi Road</t>
  </si>
  <si>
    <t>10 Kiwi Raod</t>
  </si>
  <si>
    <t>Ako Tahi</t>
  </si>
  <si>
    <t>021-02929206</t>
  </si>
  <si>
    <t>office@akotahi.co.nz</t>
  </si>
  <si>
    <t>29 Crosby Street</t>
  </si>
  <si>
    <t>Christine Reid</t>
  </si>
  <si>
    <t>Aroha 4 Kidz Home-Based Childcare</t>
  </si>
  <si>
    <t>022-0830913</t>
  </si>
  <si>
    <t>24 Moho Lane</t>
  </si>
  <si>
    <t>Takanini South</t>
  </si>
  <si>
    <t>Satbir Kaur</t>
  </si>
  <si>
    <t xml:space="preserve">24 Moho Lane </t>
  </si>
  <si>
    <t>oneCHILD Ta'i Tamati Turanga Rangatira</t>
  </si>
  <si>
    <t>09-256 0245</t>
  </si>
  <si>
    <t>291 Naylors Drive</t>
  </si>
  <si>
    <t>Heng Chen</t>
  </si>
  <si>
    <t>P O Box 43328</t>
  </si>
  <si>
    <t>Trend Tots Childcare</t>
  </si>
  <si>
    <t>28A Royston Street,  Rosehill</t>
  </si>
  <si>
    <t>The Treehouse Private Kindergarten and Nursery</t>
  </si>
  <si>
    <t>07-5786909</t>
  </si>
  <si>
    <t>282b Cambridge Road</t>
  </si>
  <si>
    <t>Kathryn Clout</t>
  </si>
  <si>
    <t>41 Westview Place</t>
  </si>
  <si>
    <t>Featherston Street Montessori by Busy Bees</t>
  </si>
  <si>
    <t>06-929 4176</t>
  </si>
  <si>
    <t>615A Featherston Street</t>
  </si>
  <si>
    <t>Little House Montessori Zinnia Way</t>
  </si>
  <si>
    <t>4 Zinnia Way</t>
  </si>
  <si>
    <t>8 Rich Terrace</t>
  </si>
  <si>
    <t>Little Climbers Early Learning Centre (Otara)</t>
  </si>
  <si>
    <t>6 Ashton Avenue</t>
  </si>
  <si>
    <t>Millidale Explorers</t>
  </si>
  <si>
    <t>09-421 0234</t>
  </si>
  <si>
    <t>139 Ahutoetoe Road, Milldale</t>
  </si>
  <si>
    <t>Tindalls Garden ECE</t>
  </si>
  <si>
    <t>09-4240637</t>
  </si>
  <si>
    <t>1121 Whangaparaoa Road</t>
  </si>
  <si>
    <t>Tindalls Beach</t>
  </si>
  <si>
    <t>Tindalls-Matakatia</t>
  </si>
  <si>
    <t>Roxanne Barker</t>
  </si>
  <si>
    <t>201 Whangaparaoa Road</t>
  </si>
  <si>
    <t>Red Beach 0932</t>
  </si>
  <si>
    <t>Te Kōhanga Reo o Tōmairangi 2</t>
  </si>
  <si>
    <t>021-1478255</t>
  </si>
  <si>
    <t>47 Mary St</t>
  </si>
  <si>
    <t>Mangapapa North</t>
  </si>
  <si>
    <t xml:space="preserve">Mihi  Tashkoff </t>
  </si>
  <si>
    <t>027-2830840</t>
  </si>
  <si>
    <t>Gaia (Earth) Forest Preschool</t>
  </si>
  <si>
    <t>09-2422154</t>
  </si>
  <si>
    <t>childcare@forestpreschool.co.nz</t>
  </si>
  <si>
    <t>49 Grande Vue Road</t>
  </si>
  <si>
    <t>BestStart Paerata Rise</t>
  </si>
  <si>
    <t>09-281 1094</t>
  </si>
  <si>
    <t>20 Jonah Lomu Drive</t>
  </si>
  <si>
    <t>Paerata</t>
  </si>
  <si>
    <t>Ramarama</t>
  </si>
  <si>
    <t>Muddy Toes ELC Stanmore Bay</t>
  </si>
  <si>
    <t>09-424 0622</t>
  </si>
  <si>
    <t>5a Poplar Road</t>
  </si>
  <si>
    <t>PO Box 152</t>
  </si>
  <si>
    <t>Matakana</t>
  </si>
  <si>
    <t>Rhyme and Reason - Early Learning Centre</t>
  </si>
  <si>
    <t>03-3650005</t>
  </si>
  <si>
    <t>info@rhyme.co.nz</t>
  </si>
  <si>
    <t>112 Opawa Road</t>
  </si>
  <si>
    <t>Jemma Smithson</t>
  </si>
  <si>
    <t>C/- 154a Fisher Avenue</t>
  </si>
  <si>
    <t>Little Bunny Childcare</t>
  </si>
  <si>
    <t>09-217 6669</t>
  </si>
  <si>
    <t>info@littlebunny.co.nz</t>
  </si>
  <si>
    <t>54 Browns Road</t>
  </si>
  <si>
    <t>17 Springcrest Drive</t>
  </si>
  <si>
    <t>Universal Kids</t>
  </si>
  <si>
    <t>09-835 1699</t>
  </si>
  <si>
    <t>Unit A7 192 Universal Drive</t>
  </si>
  <si>
    <t>022-0457736</t>
  </si>
  <si>
    <t>21 Francis Brown Avenue</t>
  </si>
  <si>
    <t>Maureen Ngaira</t>
  </si>
  <si>
    <t>New Shoots Children's Centre - Ramarama</t>
  </si>
  <si>
    <t>09-2948510</t>
  </si>
  <si>
    <t>10 Talus Drive</t>
  </si>
  <si>
    <t>Drury South Crossing</t>
  </si>
  <si>
    <t>Stella Maris Te Aho Tāhuhu o Te Matauranga Katorika</t>
  </si>
  <si>
    <t>06-8630428</t>
  </si>
  <si>
    <t>admin@stellamaris.cdh.nz</t>
  </si>
  <si>
    <t>44 Campion Rd</t>
  </si>
  <si>
    <t>Bridget Armstrong</t>
  </si>
  <si>
    <t>Nurture and Bloom Early Learning Centre-Te Rapa</t>
  </si>
  <si>
    <t>021-739318</t>
  </si>
  <si>
    <t>24 Brent Greig Lane</t>
  </si>
  <si>
    <t>Burbush</t>
  </si>
  <si>
    <t>Megan Locker</t>
  </si>
  <si>
    <t>60 Laxon Road</t>
  </si>
  <si>
    <t>Hamilton 3288</t>
  </si>
  <si>
    <t>07-2604119</t>
  </si>
  <si>
    <t>KiwiEd 2</t>
  </si>
  <si>
    <t>Kushla Ryan</t>
  </si>
  <si>
    <t>09-4784990</t>
  </si>
  <si>
    <t>Kidfirst Childcare Limited</t>
  </si>
  <si>
    <t>48A Oriana Avenue</t>
  </si>
  <si>
    <t>Jingying Wang</t>
  </si>
  <si>
    <t>Blossoms Educare Papatoetoe</t>
  </si>
  <si>
    <t>09-2176501</t>
  </si>
  <si>
    <t>papatoetoe@blossomseducare.co.nz</t>
  </si>
  <si>
    <t>159 Tui Road</t>
  </si>
  <si>
    <t>Auckland 2246</t>
  </si>
  <si>
    <t>The Wilderness</t>
  </si>
  <si>
    <t>03-3650200</t>
  </si>
  <si>
    <t>483a Yaldhurst Road</t>
  </si>
  <si>
    <t>Russley</t>
  </si>
  <si>
    <t>Amber James</t>
  </si>
  <si>
    <t>Christchurch 7676</t>
  </si>
  <si>
    <t>021-528905</t>
  </si>
  <si>
    <t>Te Kohanga Reo o Te Rangitaamiro</t>
  </si>
  <si>
    <t>021-0604102</t>
  </si>
  <si>
    <t>44 Moorhouse Street</t>
  </si>
  <si>
    <t>Beachlands Brilliant Minds Early Childhood Centre</t>
  </si>
  <si>
    <t>09-536 4635</t>
  </si>
  <si>
    <t>19 Wakelin Road</t>
  </si>
  <si>
    <t>Auckland 016</t>
  </si>
  <si>
    <t>Home Grown Kids – Canterbury</t>
  </si>
  <si>
    <t>027-2715429</t>
  </si>
  <si>
    <t>57a Spring Street</t>
  </si>
  <si>
    <t>Aotea Early Learning Centre</t>
  </si>
  <si>
    <t>09-4290600</t>
  </si>
  <si>
    <t>c/- Playcentre Building  50 Kaitoke Lane, Claris</t>
  </si>
  <si>
    <t>Nicola Watts</t>
  </si>
  <si>
    <t>c/- Playcentre Building Claris</t>
  </si>
  <si>
    <t>Auckland 0991</t>
  </si>
  <si>
    <t>Little Climbers Early Learning Centre - Pukekohe</t>
  </si>
  <si>
    <t>09-9631020</t>
  </si>
  <si>
    <t>122 Helvetia Road</t>
  </si>
  <si>
    <t>Growing Wings Early Learning Centre</t>
  </si>
  <si>
    <t>admin@growingwingselc.co.nz</t>
  </si>
  <si>
    <t>New Shoots Children's Centre - Coatesville</t>
  </si>
  <si>
    <t>09-3040030</t>
  </si>
  <si>
    <t>coatesville@newshoots.co.nz</t>
  </si>
  <si>
    <t>302 Coatesville Riverhead Highway</t>
  </si>
  <si>
    <t>Fonua 'Alaha Manongi Kindergarten</t>
  </si>
  <si>
    <t>09-2769009</t>
  </si>
  <si>
    <t>27 Fort Street</t>
  </si>
  <si>
    <t>09-3001807</t>
  </si>
  <si>
    <t>Kindercare Learning Centres - Warkworth</t>
  </si>
  <si>
    <t>027-7005300</t>
  </si>
  <si>
    <t>24 Mansel Drive</t>
  </si>
  <si>
    <t>Ponsonby Montessori Kindergarten II</t>
  </si>
  <si>
    <t>09-3600568</t>
  </si>
  <si>
    <t>136 Richmond Road</t>
  </si>
  <si>
    <t>Rose and Clive Early Learning Centre</t>
  </si>
  <si>
    <t>022-1879015</t>
  </si>
  <si>
    <t>7 Tetley Street</t>
  </si>
  <si>
    <t>Amy Hamihana</t>
  </si>
  <si>
    <t>197 Harris Road</t>
  </si>
  <si>
    <t>Whangarei 0175</t>
  </si>
  <si>
    <t>027-6304122</t>
  </si>
  <si>
    <t>Learning Curves Montessori Lincoln</t>
  </si>
  <si>
    <t>027-0274589959</t>
  </si>
  <si>
    <t>emily@lcmontessori.co.nz</t>
  </si>
  <si>
    <t>35 O'Reilly Road</t>
  </si>
  <si>
    <t xml:space="preserve">Emily  Street </t>
  </si>
  <si>
    <t xml:space="preserve">82 Warrington Street </t>
  </si>
  <si>
    <t>027-3489258</t>
  </si>
  <si>
    <t>BestStart Bremner Road</t>
  </si>
  <si>
    <t>09-2502659</t>
  </si>
  <si>
    <t>2 Tributary Parade</t>
  </si>
  <si>
    <t>Drury West</t>
  </si>
  <si>
    <t>Āwhina Pēpi</t>
  </si>
  <si>
    <t>0800-762 569</t>
  </si>
  <si>
    <t>34 Te Aute Road</t>
  </si>
  <si>
    <t>Saint Kentigern Preschool</t>
  </si>
  <si>
    <t>09-520 8814</t>
  </si>
  <si>
    <t>82 Shore Road</t>
  </si>
  <si>
    <t>Remuera North</t>
  </si>
  <si>
    <t>Megan Storey</t>
  </si>
  <si>
    <t>130 Pakuranga Road</t>
  </si>
  <si>
    <t>09-5208814</t>
  </si>
  <si>
    <t>Educare Porirua LTD</t>
  </si>
  <si>
    <t>04-2374899</t>
  </si>
  <si>
    <t>13-15 Awarua Street</t>
  </si>
  <si>
    <t>Tessa Drowley</t>
  </si>
  <si>
    <t>3 Gray Street</t>
  </si>
  <si>
    <t>Go Bananas Childcare Hari Centre</t>
  </si>
  <si>
    <t>47 Kolmar Road</t>
  </si>
  <si>
    <t>PO Box 82266</t>
  </si>
  <si>
    <t>Kadimah Preschool</t>
  </si>
  <si>
    <t>09-7777577 Ext 3</t>
  </si>
  <si>
    <t>514 Remuera Road</t>
  </si>
  <si>
    <t>Vinita White</t>
  </si>
  <si>
    <t>Te Rua Kopere Whare Kohungahunga</t>
  </si>
  <si>
    <t>021-2851967</t>
  </si>
  <si>
    <t>66 Morrison Road</t>
  </si>
  <si>
    <t>Vicki Biddle-Clarke</t>
  </si>
  <si>
    <t xml:space="preserve">Taneatua </t>
  </si>
  <si>
    <t>Backyard Kids Limited</t>
  </si>
  <si>
    <t>021-971313</t>
  </si>
  <si>
    <t>1 Ngāti Ngarongo Road</t>
  </si>
  <si>
    <t>Alice Pritchard</t>
  </si>
  <si>
    <t>15 Kauri Road</t>
  </si>
  <si>
    <t xml:space="preserve">Waikanae </t>
  </si>
  <si>
    <t>WanaExcel B4 School</t>
  </si>
  <si>
    <t>25 Reece Crescent</t>
  </si>
  <si>
    <t>Busy Bees Church Street</t>
  </si>
  <si>
    <t>06-9294175</t>
  </si>
  <si>
    <t>539 Church Street</t>
  </si>
  <si>
    <t>Papaioea South</t>
  </si>
  <si>
    <t>Natalie Martin</t>
  </si>
  <si>
    <t>Go Bananas Childcare Swanson</t>
  </si>
  <si>
    <t>41 Candia Road</t>
  </si>
  <si>
    <t>Tic Tac Toe Educare Little Sprouts Kindergarten</t>
  </si>
  <si>
    <t>50 Onslow Street</t>
  </si>
  <si>
    <t>Happy Sprouts Hamilton Limited</t>
  </si>
  <si>
    <t>7 Bains Ave</t>
  </si>
  <si>
    <t>P O Box 67</t>
  </si>
  <si>
    <t>Otorohanga 3900</t>
  </si>
  <si>
    <t>Tui's Corner ECE Centre</t>
  </si>
  <si>
    <t>3 &amp; 5 Moreton Drive</t>
  </si>
  <si>
    <t>Lesley Cox</t>
  </si>
  <si>
    <t>3 Moreton Drive</t>
  </si>
  <si>
    <t>020-419 03690</t>
  </si>
  <si>
    <t>Future Kids Preschool Hāwera</t>
  </si>
  <si>
    <t>06-2780050</t>
  </si>
  <si>
    <t>219 Glover Road Hawera</t>
  </si>
  <si>
    <t>Amanda Hovey</t>
  </si>
  <si>
    <t>219 Glover Road</t>
  </si>
  <si>
    <t>027-2665167</t>
  </si>
  <si>
    <t>BestStart Hanleys Farm</t>
  </si>
  <si>
    <t>03-9265563</t>
  </si>
  <si>
    <t>1 Spur Ridge Rise</t>
  </si>
  <si>
    <t>Pamela Thomas</t>
  </si>
  <si>
    <t>BestStart Berryfields Crossing</t>
  </si>
  <si>
    <t>03-9265561</t>
  </si>
  <si>
    <t>BestStart Berryfield Crossing 14 Berryfields Drive</t>
  </si>
  <si>
    <t>Richmond West (Tasman District)</t>
  </si>
  <si>
    <t>Elizabeth Kelly</t>
  </si>
  <si>
    <t>Magic Sparks Nature Preschool</t>
  </si>
  <si>
    <t>187 Ruahine Street</t>
  </si>
  <si>
    <t>Barnardos Early Learning Awhi Tairāwhiti</t>
  </si>
  <si>
    <t>06-8691341</t>
  </si>
  <si>
    <t>TairawhitiELC@barnardos.org.nz</t>
  </si>
  <si>
    <t>25 Ormond Road</t>
  </si>
  <si>
    <t>Quannah Nickerson</t>
  </si>
  <si>
    <t>Flora and Fauna Early Learning Centre</t>
  </si>
  <si>
    <t>027-8825002</t>
  </si>
  <si>
    <t>admin@floraandfaunaearlylearning.co.nz</t>
  </si>
  <si>
    <t>166 Hangawera Road</t>
  </si>
  <si>
    <t>Alesha Smith</t>
  </si>
  <si>
    <t>483 Scotsman Valley Road</t>
  </si>
  <si>
    <t>Hamilton 3371</t>
  </si>
  <si>
    <t>Kidsfirst Kindergartens East Rolleston</t>
  </si>
  <si>
    <t>03-4214879</t>
  </si>
  <si>
    <t>121 Shillingford Boulevard</t>
  </si>
  <si>
    <t>03-338 1303</t>
  </si>
  <si>
    <t>WildHeart - Makuru Mātā</t>
  </si>
  <si>
    <t>03-244 0486</t>
  </si>
  <si>
    <t>learning@wildheartece.co.nz</t>
  </si>
  <si>
    <t>27 Kate Sheppard Drive</t>
  </si>
  <si>
    <t>Rolleston 7615</t>
  </si>
  <si>
    <t>Selwyn Kids HB 2</t>
  </si>
  <si>
    <t>60-62 Rolleston Drive</t>
  </si>
  <si>
    <t>Manawa Children's Village</t>
  </si>
  <si>
    <t>021-587 213</t>
  </si>
  <si>
    <t>70 Ward Street</t>
  </si>
  <si>
    <t>Wallaceville</t>
  </si>
  <si>
    <t>Tessa McTaylor</t>
  </si>
  <si>
    <t>Ngaruawahia 3877</t>
  </si>
  <si>
    <t>BestStart Milson Line</t>
  </si>
  <si>
    <t>09-9278852</t>
  </si>
  <si>
    <t>61-63 Milson Line</t>
  </si>
  <si>
    <t>Milson South</t>
  </si>
  <si>
    <t>BestStart Lakeside Village</t>
  </si>
  <si>
    <t>07-2807253</t>
  </si>
  <si>
    <t>187 Rimu Street</t>
  </si>
  <si>
    <t>Te Kauwhata West</t>
  </si>
  <si>
    <t>Kaute Pasifika ECE Limited Partnership</t>
  </si>
  <si>
    <t>07-5950425</t>
  </si>
  <si>
    <t>100 Seddon Road</t>
  </si>
  <si>
    <t>Trisha (Annette) Tamaki</t>
  </si>
  <si>
    <t>The Pudney Hub</t>
  </si>
  <si>
    <t>glenn@pudneyhub.com</t>
  </si>
  <si>
    <t>46 Kennedy Road</t>
  </si>
  <si>
    <t>Glenn Bond</t>
  </si>
  <si>
    <t>291 State Highway 5</t>
  </si>
  <si>
    <t>Napier 4182</t>
  </si>
  <si>
    <t>Mamma Bear Whanganui</t>
  </si>
  <si>
    <t>027-3382122</t>
  </si>
  <si>
    <t>2 Koromiko Road</t>
  </si>
  <si>
    <t>Kylie McLean</t>
  </si>
  <si>
    <t>8 Shadbolt Drive</t>
  </si>
  <si>
    <t>Cambridge 3432</t>
  </si>
  <si>
    <t>Future Focus - Livingstone Drive</t>
  </si>
  <si>
    <t>41 Livingstone Drive</t>
  </si>
  <si>
    <t>Renee Pahuru</t>
  </si>
  <si>
    <t>021-2673513</t>
  </si>
  <si>
    <t>Te Puna Reo o Manga Tangaroa</t>
  </si>
  <si>
    <t>clara@teputahi.co.nz</t>
  </si>
  <si>
    <t>28 Windsor Road</t>
  </si>
  <si>
    <t>Clara Aperahama-Kopa</t>
  </si>
  <si>
    <t>P O Box 172</t>
  </si>
  <si>
    <t>Wildflowers ELC</t>
  </si>
  <si>
    <t>03-9275038</t>
  </si>
  <si>
    <t>info@wildflowerselc.co.nz</t>
  </si>
  <si>
    <t>8 Central Park Lane</t>
  </si>
  <si>
    <t>Hannah Burns</t>
  </si>
  <si>
    <t>Mountainview Montessori Preschool</t>
  </si>
  <si>
    <t>07-2815015</t>
  </si>
  <si>
    <t>111 Onslow Street</t>
  </si>
  <si>
    <t>Mohini Nath</t>
  </si>
  <si>
    <t xml:space="preserve">Kawerau </t>
  </si>
  <si>
    <t>09-8285440</t>
  </si>
  <si>
    <t>House of Wonder Forest Lake</t>
  </si>
  <si>
    <t>022-0706954</t>
  </si>
  <si>
    <t>83 Forest Lake Rd</t>
  </si>
  <si>
    <t>Parkview Preschool</t>
  </si>
  <si>
    <t>info@parkviewpreschool.nz</t>
  </si>
  <si>
    <t>173-175 Rautawhiri Road</t>
  </si>
  <si>
    <t>Kiddie Star Home-based 2</t>
  </si>
  <si>
    <t>021-710668</t>
  </si>
  <si>
    <t>Barnardos Early Learning Home Based Kāpiti/Horowhenua</t>
  </si>
  <si>
    <t>027-2213482</t>
  </si>
  <si>
    <t>100 Tory Street</t>
  </si>
  <si>
    <t>Vivian East</t>
  </si>
  <si>
    <t>Carleen  Whatford</t>
  </si>
  <si>
    <t>The Oaks Early Learning Centre</t>
  </si>
  <si>
    <t>03-307 1275</t>
  </si>
  <si>
    <t>475 &amp; 477 West Street</t>
  </si>
  <si>
    <t>Ashleigh May</t>
  </si>
  <si>
    <t>239 Springfield Road West</t>
  </si>
  <si>
    <t>Ashburton 7776</t>
  </si>
  <si>
    <t>027-779 1057</t>
  </si>
  <si>
    <t>Te Kōhanga Reo O Te Kaokaoroa o Patetere</t>
  </si>
  <si>
    <t>07-882 1233</t>
  </si>
  <si>
    <t>117 Buckland Street</t>
  </si>
  <si>
    <t>Dream Catchers Early Learning Service</t>
  </si>
  <si>
    <t>09-963 9183</t>
  </si>
  <si>
    <t>1-3 Taimana Place</t>
  </si>
  <si>
    <t>Greenhithe South</t>
  </si>
  <si>
    <t>1 Taimana Place</t>
  </si>
  <si>
    <t>The Harbour Haven</t>
  </si>
  <si>
    <t>130 Pinecrest Drive</t>
  </si>
  <si>
    <t>Gulf Harbour South</t>
  </si>
  <si>
    <t>Brianna Marsh</t>
  </si>
  <si>
    <t>Little Royals Montessori Preschool</t>
  </si>
  <si>
    <t>027-511 1333</t>
  </si>
  <si>
    <t>littleroyalsmontessori@gmail.com</t>
  </si>
  <si>
    <t>Unit 1-3 138 Royal Road, Royal Heights</t>
  </si>
  <si>
    <t>Royal Heights North</t>
  </si>
  <si>
    <t>Xinyue Wang</t>
  </si>
  <si>
    <t>2a Melrose Road East</t>
  </si>
  <si>
    <t>Little Oaks Montessori</t>
  </si>
  <si>
    <t>027-7417156</t>
  </si>
  <si>
    <t>155 South Street</t>
  </si>
  <si>
    <t>Alice Cook</t>
  </si>
  <si>
    <t>The Montessori Preschool - Mt Albert</t>
  </si>
  <si>
    <t>4 Sainsbury Road</t>
  </si>
  <si>
    <t>Candy Cuddles Early Childhood Centre</t>
  </si>
  <si>
    <t>09-296 0202</t>
  </si>
  <si>
    <t>candycuddles13@gmail.com</t>
  </si>
  <si>
    <t>13 Princess Street</t>
  </si>
  <si>
    <t>Pushbhinder Kaur</t>
  </si>
  <si>
    <t>36 Amaretto Avenue</t>
  </si>
  <si>
    <t xml:space="preserve">09-296 0202 </t>
  </si>
  <si>
    <t>Curious Minds Early Learning</t>
  </si>
  <si>
    <t>03-9744650</t>
  </si>
  <si>
    <t>Level 1, 5 Mile Retail 30 Grant Road</t>
  </si>
  <si>
    <t>Sinead Harrington</t>
  </si>
  <si>
    <t>Tiny Voices Herne Bay</t>
  </si>
  <si>
    <t>09-973 4091</t>
  </si>
  <si>
    <t>sophie@tinyvoices.co.nz</t>
  </si>
  <si>
    <t>1/272 Jervois Road</t>
  </si>
  <si>
    <t>Mayada Ali</t>
  </si>
  <si>
    <t>Stem Montessori</t>
  </si>
  <si>
    <t>022-0425661</t>
  </si>
  <si>
    <t>8 Lincoln Road</t>
  </si>
  <si>
    <t>Hillmorton</t>
  </si>
  <si>
    <t>79a Middleton Road</t>
  </si>
  <si>
    <t>Little Ferns Early Learning Centre</t>
  </si>
  <si>
    <t>03-3470050</t>
  </si>
  <si>
    <t>17 Broadlands Drive</t>
  </si>
  <si>
    <t>Kirwee 7571</t>
  </si>
  <si>
    <t>BestStart Orewa West</t>
  </si>
  <si>
    <t>orewa.manager@best-start.org</t>
  </si>
  <si>
    <t>2 Sunnyheights Road, Orewa</t>
  </si>
  <si>
    <t>Orewa West</t>
  </si>
  <si>
    <t>09-250 4136</t>
  </si>
  <si>
    <t>Go Bananas Childcare Alfriston</t>
  </si>
  <si>
    <t>0800-462 626</t>
  </si>
  <si>
    <t>120 Alfriston Road</t>
  </si>
  <si>
    <t>Smart Kids Educare</t>
  </si>
  <si>
    <t>227 Balmoral Road</t>
  </si>
  <si>
    <t>Balmoral</t>
  </si>
  <si>
    <t>Amit Jain</t>
  </si>
  <si>
    <t>Blue Duck Childcare (Waihopai) Limited</t>
  </si>
  <si>
    <t>167 Bill Richardson Drive</t>
  </si>
  <si>
    <t>56 Takitimu Drive</t>
  </si>
  <si>
    <t>027-7367117</t>
  </si>
  <si>
    <t>BestStart Bayfair</t>
  </si>
  <si>
    <t>07-5759045</t>
  </si>
  <si>
    <t>49 Farm Street</t>
  </si>
  <si>
    <t>Tamariki Ora Learning Centre Ltd</t>
  </si>
  <si>
    <t>albert.samuel@tamarikiora.org</t>
  </si>
  <si>
    <t>3 Pua Street</t>
  </si>
  <si>
    <t>Albert  Samuel</t>
  </si>
  <si>
    <t>P O Box 0</t>
  </si>
  <si>
    <t>027-8000994</t>
  </si>
  <si>
    <t>Te Puna Reo o Te Ahi Kaikōura a Tama ki Te Rangi</t>
  </si>
  <si>
    <t>021-0557278</t>
  </si>
  <si>
    <t>Hapuku School 596 Kincaid Road</t>
  </si>
  <si>
    <t>Hapuku</t>
  </si>
  <si>
    <t>Kaikoura</t>
  </si>
  <si>
    <t>Kaikoura District</t>
  </si>
  <si>
    <t>Kaikōura Ranges</t>
  </si>
  <si>
    <t>Kahurangi Stone</t>
  </si>
  <si>
    <t>596 Kincaid Road</t>
  </si>
  <si>
    <t>Kaikoura 7300</t>
  </si>
  <si>
    <t>Sunflowers ECE</t>
  </si>
  <si>
    <t>09-5588294</t>
  </si>
  <si>
    <t>200 Lakeside Drive</t>
  </si>
  <si>
    <t>Jennifer COOK</t>
  </si>
  <si>
    <t>200 Lakeside Drive, Orewa</t>
  </si>
  <si>
    <t>021-0490864</t>
  </si>
  <si>
    <t>Mornington Kindergarten</t>
  </si>
  <si>
    <t>03-4534489</t>
  </si>
  <si>
    <t>95 English Ave</t>
  </si>
  <si>
    <t>Maryhill</t>
  </si>
  <si>
    <t>Aplus ECE Service Limited</t>
  </si>
  <si>
    <t>2A Luke Place</t>
  </si>
  <si>
    <t>Nancy Li</t>
  </si>
  <si>
    <t xml:space="preserve">2A Luke Place </t>
  </si>
  <si>
    <t>Early Achievers Homebased Childcare</t>
  </si>
  <si>
    <t>1A Balfour Street</t>
  </si>
  <si>
    <t>Jiasi Wang</t>
  </si>
  <si>
    <t>022-509 1123</t>
  </si>
  <si>
    <t>Creative Garden Early learning Centre Mangere</t>
  </si>
  <si>
    <t>09-259 3000</t>
  </si>
  <si>
    <t>300 Massey Road</t>
  </si>
  <si>
    <t>Rachael Heron</t>
  </si>
  <si>
    <t>Busy Bees Stoke</t>
  </si>
  <si>
    <t>03-9295418</t>
  </si>
  <si>
    <t>441 Nayland Road</t>
  </si>
  <si>
    <t>Saxton</t>
  </si>
  <si>
    <t>Chloe Kemp</t>
  </si>
  <si>
    <t>Little Parrots</t>
  </si>
  <si>
    <t>020-4727768</t>
  </si>
  <si>
    <t>32 Gloucester Road</t>
  </si>
  <si>
    <t>BestStart Kotātā Heights</t>
  </si>
  <si>
    <t>09-5581079</t>
  </si>
  <si>
    <t>25 Kotātā Rise, Port Whangārei</t>
  </si>
  <si>
    <t>Motueka Steiner Kindergarten</t>
  </si>
  <si>
    <t>03-528 6453</t>
  </si>
  <si>
    <t>Motueka Steiner Kindergarten 165 Robinson Road</t>
  </si>
  <si>
    <t>Lower Moutere</t>
  </si>
  <si>
    <t>Amy Weber</t>
  </si>
  <si>
    <t>P O Box 224</t>
  </si>
  <si>
    <t>Motueka 7143</t>
  </si>
  <si>
    <t>Tōtara Kids Early Learning Centre</t>
  </si>
  <si>
    <t>027-7859207</t>
  </si>
  <si>
    <t>21 Titoki Street</t>
  </si>
  <si>
    <t>Elise Walton</t>
  </si>
  <si>
    <t>BestStart Hobsonville</t>
  </si>
  <si>
    <t>16 Clark Road</t>
  </si>
  <si>
    <t>Hobsonville Point</t>
  </si>
  <si>
    <t>Hobsonville Point Park</t>
  </si>
  <si>
    <t>Pūmanawa Papa Hou</t>
  </si>
  <si>
    <t>027-6752300</t>
  </si>
  <si>
    <t>4 Rolleston Avenue</t>
  </si>
  <si>
    <t>Christchurch CBD</t>
  </si>
  <si>
    <t>Christchurch Central-West</t>
  </si>
  <si>
    <t>Janene Prendergast</t>
  </si>
  <si>
    <t>P O Box 2004</t>
  </si>
  <si>
    <t>03-9632826</t>
  </si>
  <si>
    <t>BestStart Longbay</t>
  </si>
  <si>
    <t>31 Pennent Street</t>
  </si>
  <si>
    <t>Long Bay-Auckland</t>
  </si>
  <si>
    <t>Long Bay</t>
  </si>
  <si>
    <t>Happy Kiddy Warkworth Early Learning Centre</t>
  </si>
  <si>
    <t>2 Titapu Road</t>
  </si>
  <si>
    <t>Lena Li</t>
  </si>
  <si>
    <t>157 Westharbour Drive</t>
  </si>
  <si>
    <t>Te Puna Kōhungahunga Mana Motuhake</t>
  </si>
  <si>
    <t>022-5110618</t>
  </si>
  <si>
    <t>admin@tpkmm.nz</t>
  </si>
  <si>
    <t>78 Epsom Avenue</t>
  </si>
  <si>
    <t>Karen  Liley</t>
  </si>
  <si>
    <t>P O Box 67013</t>
  </si>
  <si>
    <t>Poetiare O Rongomai</t>
  </si>
  <si>
    <t>020-419 14902</t>
  </si>
  <si>
    <t>10A Birmingham Road</t>
  </si>
  <si>
    <t>Mangatawhiri Childcare</t>
  </si>
  <si>
    <t>252 Mangatawhiri Road</t>
  </si>
  <si>
    <t>Mangatangi</t>
  </si>
  <si>
    <t>Kuljit Kaur Ghuman</t>
  </si>
  <si>
    <t>Hibiscus Kindergarten &amp; Nursery</t>
  </si>
  <si>
    <t>09-9475709</t>
  </si>
  <si>
    <t>hibiscus.elc@gmail.com</t>
  </si>
  <si>
    <t>195 Brightside Road</t>
  </si>
  <si>
    <t>Susan Milnes</t>
  </si>
  <si>
    <t>2/12 Eltham Road</t>
  </si>
  <si>
    <t>Auckland 1070</t>
  </si>
  <si>
    <t>BestStart Parau Drive</t>
  </si>
  <si>
    <t>07-9751597</t>
  </si>
  <si>
    <t>21 Parau Drive</t>
  </si>
  <si>
    <t>Te Kōhanga Reo o Te Wānanga Whare Tāpere o Tākitimu</t>
  </si>
  <si>
    <t>06-8888584</t>
  </si>
  <si>
    <t>106 Bennett Road</t>
  </si>
  <si>
    <t>Waipatu</t>
  </si>
  <si>
    <t>Karamu</t>
  </si>
  <si>
    <t>Mōrena Kids Homebased</t>
  </si>
  <si>
    <t>021-1192975</t>
  </si>
  <si>
    <t>morenakidsece@gmail.com</t>
  </si>
  <si>
    <t>Flat 1, 5 Gordon Street</t>
  </si>
  <si>
    <t>Newtown West</t>
  </si>
  <si>
    <t>Yifang Cai</t>
  </si>
  <si>
    <t>1/5 Gordon street</t>
  </si>
  <si>
    <t>Wild Places Education</t>
  </si>
  <si>
    <t>022-5061526</t>
  </si>
  <si>
    <t>admin@wildplacesnz.com</t>
  </si>
  <si>
    <t>Paroa Playcentre 494 Main South Road</t>
  </si>
  <si>
    <t>Paroa-Greymouth</t>
  </si>
  <si>
    <t>Rutherglen-Camerons</t>
  </si>
  <si>
    <t>Timothy Eden-Calcott</t>
  </si>
  <si>
    <t>35 Kilgour Road</t>
  </si>
  <si>
    <t>Dazzling Stars Early Learning Centre, Glen Eden</t>
  </si>
  <si>
    <t>dazzlijngstarsnz@gmail.com</t>
  </si>
  <si>
    <t>4103 Great North road</t>
  </si>
  <si>
    <t>Barinder Sra</t>
  </si>
  <si>
    <t>4103 Great North Road</t>
  </si>
  <si>
    <t>Curious Little Explorers Limited</t>
  </si>
  <si>
    <t>021-799919</t>
  </si>
  <si>
    <t>4B 1135 Goulds Road</t>
  </si>
  <si>
    <t>Sarah Perkins</t>
  </si>
  <si>
    <t>Matakana Village Preschool</t>
  </si>
  <si>
    <t>987 Matakana Road</t>
  </si>
  <si>
    <t>Tania Weber</t>
  </si>
  <si>
    <t>2B Vernon Shaw Place</t>
  </si>
  <si>
    <t>021-110 2991</t>
  </si>
  <si>
    <t>Wonderkids Masterton</t>
  </si>
  <si>
    <t>022-5000733</t>
  </si>
  <si>
    <t>332 Ngaumutawa Road</t>
  </si>
  <si>
    <t xml:space="preserve">2 Oakmont </t>
  </si>
  <si>
    <t>Wellington 5018</t>
  </si>
  <si>
    <t>04-5638656</t>
  </si>
  <si>
    <t>Bumblebees and Buttercups</t>
  </si>
  <si>
    <t>07-2423040</t>
  </si>
  <si>
    <t>111 Fairway Drive</t>
  </si>
  <si>
    <t>Stephen Darby</t>
  </si>
  <si>
    <t xml:space="preserve">111 Fairway Drive </t>
  </si>
  <si>
    <t xml:space="preserve">Morrinsville </t>
  </si>
  <si>
    <t>Go Bananas Childcare Te Rapa</t>
  </si>
  <si>
    <t>41 Karewa Place</t>
  </si>
  <si>
    <t>BestStart Riccarton Park</t>
  </si>
  <si>
    <t>16 Grey Way Road</t>
  </si>
  <si>
    <t>Riccarton Racecourse</t>
  </si>
  <si>
    <t>Matangirau Kindergarten</t>
  </si>
  <si>
    <t>021-02345046</t>
  </si>
  <si>
    <t>104 Black Street</t>
  </si>
  <si>
    <t>TUITUI EDUCARE</t>
  </si>
  <si>
    <t>09-2189430</t>
  </si>
  <si>
    <t>417A East Tamaki Road</t>
  </si>
  <si>
    <t>20A Baird Street</t>
  </si>
  <si>
    <t>Millie's House Hopper St</t>
  </si>
  <si>
    <t>04-4711771</t>
  </si>
  <si>
    <t>19-21 Hopper Street</t>
  </si>
  <si>
    <t>Mount Cook West</t>
  </si>
  <si>
    <t>Te Kōhanga Reo o Te Ariki</t>
  </si>
  <si>
    <t>62 Mangakahia Road</t>
  </si>
  <si>
    <t>Future Kids Preschool Spotswood</t>
  </si>
  <si>
    <t>0800-023 483</t>
  </si>
  <si>
    <t>futurekidspreschoolspotswood@gmail.com</t>
  </si>
  <si>
    <t>16 Manakohi Street</t>
  </si>
  <si>
    <t>Lots of Hugs - Feilding</t>
  </si>
  <si>
    <t>06-777 5005</t>
  </si>
  <si>
    <t>101 East Street</t>
  </si>
  <si>
    <t>Our Tribe Limited</t>
  </si>
  <si>
    <t>027-6344333</t>
  </si>
  <si>
    <t>44 Church Road</t>
  </si>
  <si>
    <t>Amy Templeton</t>
  </si>
  <si>
    <t>44 Chruch Road</t>
  </si>
  <si>
    <t>Te Rito Mokopuna</t>
  </si>
  <si>
    <t>09-4080018</t>
  </si>
  <si>
    <t>32 Dominion Road</t>
  </si>
  <si>
    <t>Stables Montessori - Sparks Road</t>
  </si>
  <si>
    <t>03-3221420</t>
  </si>
  <si>
    <t>Preschool 119 Sutherlands Road</t>
  </si>
  <si>
    <t>027-2260809</t>
  </si>
  <si>
    <t>Millie's House Shirley Rd</t>
  </si>
  <si>
    <t>03-3851030</t>
  </si>
  <si>
    <t>56 Shirley Road</t>
  </si>
  <si>
    <t>Kōwhai Valley Crēche</t>
  </si>
  <si>
    <t>03-3954545</t>
  </si>
  <si>
    <t>Cnr Cantire St &amp; Argyle Street</t>
  </si>
  <si>
    <t>Glenorchy</t>
  </si>
  <si>
    <t>Leah Orman</t>
  </si>
  <si>
    <t>618 Glenorchy-Paradise Road, RD1</t>
  </si>
  <si>
    <t xml:space="preserve">Glenorchy </t>
  </si>
  <si>
    <t>Treasured Tamarki ECE and Childcare Centre</t>
  </si>
  <si>
    <t>027-4562060</t>
  </si>
  <si>
    <t>15 Millers Road</t>
  </si>
  <si>
    <t>Caroline Dafoe</t>
  </si>
  <si>
    <t>5 Sherwood Street</t>
  </si>
  <si>
    <t>Go Bananas Childcare Enderley</t>
  </si>
  <si>
    <t>18 Shakespeare Avenue</t>
  </si>
  <si>
    <t>Inspired Minds Spedding Road</t>
  </si>
  <si>
    <t>8 Spedding Road</t>
  </si>
  <si>
    <t>Daniel Williamson</t>
  </si>
  <si>
    <t>021-0240 3506</t>
  </si>
  <si>
    <t>Little Miners Kindy</t>
  </si>
  <si>
    <t>021-277 4338</t>
  </si>
  <si>
    <t>2A George Street</t>
  </si>
  <si>
    <t>Simone Belton</t>
  </si>
  <si>
    <t>21 George Street</t>
  </si>
  <si>
    <t>Hikurangi 0114</t>
  </si>
  <si>
    <t>Roscommon Learning Centre</t>
  </si>
  <si>
    <t>09-277 9730</t>
  </si>
  <si>
    <t>323 Roscommon Road</t>
  </si>
  <si>
    <t>Jitesh Patel</t>
  </si>
  <si>
    <t>Little Treasures Kaitaia</t>
  </si>
  <si>
    <t>little@treasureschildcare.com</t>
  </si>
  <si>
    <t>21 Dominion Road</t>
  </si>
  <si>
    <t>3 Vegar Street</t>
  </si>
  <si>
    <t>Aspire Nursery &amp; Preschool</t>
  </si>
  <si>
    <t>45 Connor Street</t>
  </si>
  <si>
    <t>Wānaka Central</t>
  </si>
  <si>
    <t>Anita Presbury</t>
  </si>
  <si>
    <t>HC Partners 39 George St</t>
  </si>
  <si>
    <t>027-2823050</t>
  </si>
  <si>
    <t>Welly Explorers</t>
  </si>
  <si>
    <t>09-4232360</t>
  </si>
  <si>
    <t>Clutha Valley Kindergarten</t>
  </si>
  <si>
    <t>2155 Clutha Valley Road</t>
  </si>
  <si>
    <t>Clutha Valley</t>
  </si>
  <si>
    <t>Clutha Valley Ward</t>
  </si>
  <si>
    <t>Titirangi Kindergarten</t>
  </si>
  <si>
    <t>09-817 6613</t>
  </si>
  <si>
    <t>Titirangi@aka.org.nz</t>
  </si>
  <si>
    <t>509 South Titirangi Road</t>
  </si>
  <si>
    <t>Sunnyside Early Learning Centre</t>
  </si>
  <si>
    <t>06-2117278</t>
  </si>
  <si>
    <t>926 Heretaunga Street West 926 Heretaunga Street West</t>
  </si>
  <si>
    <t>Jessica Sheppard</t>
  </si>
  <si>
    <t>524 East Coast Road</t>
  </si>
  <si>
    <t>022-0704316</t>
  </si>
  <si>
    <t>Baby Panda Home-based Childcare</t>
  </si>
  <si>
    <t>022-1558176</t>
  </si>
  <si>
    <t>686 Beach Road</t>
  </si>
  <si>
    <t>Yiqing Ding</t>
  </si>
  <si>
    <t>Just Four Kids Otago</t>
  </si>
  <si>
    <t>suzy@justfourkids.co.nz</t>
  </si>
  <si>
    <t>Serenity Montessori Ltd</t>
  </si>
  <si>
    <t>3 Kowhai Street</t>
  </si>
  <si>
    <t>56 Rexford Heights</t>
  </si>
  <si>
    <t>Te Reo o Tuariki Te Kōhanga Reo</t>
  </si>
  <si>
    <t>022-3134693</t>
  </si>
  <si>
    <t>tuarikitkr@outlook.com</t>
  </si>
  <si>
    <t>85 Henderson Line</t>
  </si>
  <si>
    <t>Mount Maunganui Playcentre</t>
  </si>
  <si>
    <t>027-7000218</t>
  </si>
  <si>
    <t>62 Golf Road</t>
  </si>
  <si>
    <t>Arataki North</t>
  </si>
  <si>
    <t>Stacey Parata</t>
  </si>
  <si>
    <t>027-8805364</t>
  </si>
  <si>
    <t>Te Kōhanga Reo o Toku Mapihi Maurea</t>
  </si>
  <si>
    <t>021-0488577</t>
  </si>
  <si>
    <t>66 Bader Street</t>
  </si>
  <si>
    <t>Twinkle Star Homebased Childcare 1 Ltd</t>
  </si>
  <si>
    <t>Glenavon Kindergarten</t>
  </si>
  <si>
    <t>340 Blockhouse Road</t>
  </si>
  <si>
    <t>Fetu Moana Aoga Amata (Moana Stars ECE)</t>
  </si>
  <si>
    <t>213 Weymouth Road</t>
  </si>
  <si>
    <t>P O Box 22760</t>
  </si>
  <si>
    <t>Little Acorns Academy Blenheim</t>
  </si>
  <si>
    <t>24a McCallum Street</t>
  </si>
  <si>
    <t>Emma McArtney</t>
  </si>
  <si>
    <t>Ngā Tamariki o Te Taiao</t>
  </si>
  <si>
    <t>021-118 4629</t>
  </si>
  <si>
    <t>pihemaeducationalservices@gmail.com</t>
  </si>
  <si>
    <t>2465 State Highway 12, Waima</t>
  </si>
  <si>
    <t>Clair Pihema</t>
  </si>
  <si>
    <t>2465 State Highway 12 RD 3</t>
  </si>
  <si>
    <t>Kaikohe 0473</t>
  </si>
  <si>
    <t>Sunlight Childcare Limited</t>
  </si>
  <si>
    <t>022-0174266</t>
  </si>
  <si>
    <t>sunlightchildcarenz@gmail.com</t>
  </si>
  <si>
    <t>379 Razorback Rd</t>
  </si>
  <si>
    <t>Pōkeno Rural</t>
  </si>
  <si>
    <t>Meenakshi Sharma</t>
  </si>
  <si>
    <t>Pokeno 2472</t>
  </si>
  <si>
    <t>Te Kōhanga Reo o Te Mata-paeroa</t>
  </si>
  <si>
    <t>022-341 9276</t>
  </si>
  <si>
    <t>187 Coxhead Road</t>
  </si>
  <si>
    <t>Lilliput Nest</t>
  </si>
  <si>
    <t>09-524 7474</t>
  </si>
  <si>
    <t>93 Thomas Road</t>
  </si>
  <si>
    <t>BestStart Wooing Tree</t>
  </si>
  <si>
    <t>03-9740813</t>
  </si>
  <si>
    <t>32 Blondie Drive</t>
  </si>
  <si>
    <t>Cromwell East</t>
  </si>
  <si>
    <t>King Street Kids</t>
  </si>
  <si>
    <t>022-4120136</t>
  </si>
  <si>
    <t>60 King Street</t>
  </si>
  <si>
    <t>Delwyn  McKennie</t>
  </si>
  <si>
    <t>39 Chester Street</t>
  </si>
  <si>
    <t>027-3582870</t>
  </si>
  <si>
    <t>AoKids|Porirua</t>
  </si>
  <si>
    <t>0800-AoKids</t>
  </si>
  <si>
    <t>porirua@aokids.co.nz</t>
  </si>
  <si>
    <t>60 Raiha Street</t>
  </si>
  <si>
    <t>Alofi Tautiaga</t>
  </si>
  <si>
    <t>54 Killarney Drive</t>
  </si>
  <si>
    <t>BestStart Park Green</t>
  </si>
  <si>
    <t>09- 2504136</t>
  </si>
  <si>
    <t>180 Park Estate Road</t>
  </si>
  <si>
    <t>Karaka Lakes</t>
  </si>
  <si>
    <t>Village Green Early Learning Centre</t>
  </si>
  <si>
    <t>09-304 7730</t>
  </si>
  <si>
    <t>33 Haast Street</t>
  </si>
  <si>
    <t>Rose Gowing</t>
  </si>
  <si>
    <t>Happy Learning Childcare Millwater</t>
  </si>
  <si>
    <t>09-4788286</t>
  </si>
  <si>
    <t>160 Kowhai Road</t>
  </si>
  <si>
    <t>Millwater North</t>
  </si>
  <si>
    <t>Silverdale 0931</t>
  </si>
  <si>
    <t>Killarney Kids Preschool</t>
  </si>
  <si>
    <t>09-4853873</t>
  </si>
  <si>
    <t>Killarney Kids Preschool 37 Killarney Street</t>
  </si>
  <si>
    <t>Te Tupu o Te Torea</t>
  </si>
  <si>
    <t>12 - 16 Nicholls Lane</t>
  </si>
  <si>
    <t>Parnell West</t>
  </si>
  <si>
    <t>Omokoroa Christian Preschool</t>
  </si>
  <si>
    <t>021-470833</t>
  </si>
  <si>
    <t>28 Kaylene Place</t>
  </si>
  <si>
    <t>Whanganui Montessori Preschool</t>
  </si>
  <si>
    <t>06-3478886</t>
  </si>
  <si>
    <t>info@whanganuimontessori.co.nz</t>
  </si>
  <si>
    <t>47 Raine Street</t>
  </si>
  <si>
    <t>Julie Hudson</t>
  </si>
  <si>
    <t>027-6972958</t>
  </si>
  <si>
    <t>Wildheart Belfast</t>
  </si>
  <si>
    <t>03-2818577</t>
  </si>
  <si>
    <t>belfast@wildheartece.co.nz</t>
  </si>
  <si>
    <t>2 Chrysolite Place</t>
  </si>
  <si>
    <t>Belfast West</t>
  </si>
  <si>
    <t>09-8698100</t>
  </si>
  <si>
    <t>3145 Great North Road</t>
  </si>
  <si>
    <t>Dream Sprouts Limited</t>
  </si>
  <si>
    <t>022-1603633</t>
  </si>
  <si>
    <t>44 Brigham Young Drive</t>
  </si>
  <si>
    <t>Albany South</t>
  </si>
  <si>
    <t>Fuyao (Freda) Hou</t>
  </si>
  <si>
    <t>Blossoms Educare Riverina</t>
  </si>
  <si>
    <t>09-9491103</t>
  </si>
  <si>
    <t>30 Millen Avenue</t>
  </si>
  <si>
    <t xml:space="preserve">22 Ryan Road RD4 </t>
  </si>
  <si>
    <t xml:space="preserve">Pukekohe </t>
  </si>
  <si>
    <t>Willowsong Kindergarten</t>
  </si>
  <si>
    <t>022-591397</t>
  </si>
  <si>
    <t>Willowsong Kindergarten 15 Lavenham Road</t>
  </si>
  <si>
    <t>Patutahi</t>
  </si>
  <si>
    <t>Chelsea Thorpe</t>
  </si>
  <si>
    <t>Little Wonders at Home Limited</t>
  </si>
  <si>
    <t>022-0708592</t>
  </si>
  <si>
    <t>littlewondersathome@gmail.com</t>
  </si>
  <si>
    <t>No.31 D'Oyly Drive</t>
  </si>
  <si>
    <t>Bin Li</t>
  </si>
  <si>
    <t>No 31. D'oyly Drive</t>
  </si>
  <si>
    <t>Urenui Playcentre</t>
  </si>
  <si>
    <t>06-7567570</t>
  </si>
  <si>
    <t>Urenui@playcentre.org.nz</t>
  </si>
  <si>
    <t>15b Takiroa Street</t>
  </si>
  <si>
    <t>Urenui</t>
  </si>
  <si>
    <t>Tikorangi</t>
  </si>
  <si>
    <t>Toko Playcentre</t>
  </si>
  <si>
    <t>Toko@playcentre.org.nz</t>
  </si>
  <si>
    <t>14 East Station Road</t>
  </si>
  <si>
    <t>Toko</t>
  </si>
  <si>
    <t>Stratford Rural General Ward</t>
  </si>
  <si>
    <t>Tikorangi Playcentre</t>
  </si>
  <si>
    <t>Tikorangi@playcentre.org.nz</t>
  </si>
  <si>
    <t>Ngatimaru Road, RD 43</t>
  </si>
  <si>
    <t>Stratford Playcentre</t>
  </si>
  <si>
    <t>Stratford@playcentre.org.nz</t>
  </si>
  <si>
    <t>8 Cloten Road</t>
  </si>
  <si>
    <t>Rahotu Playcentre</t>
  </si>
  <si>
    <t>Rahotu@playcentre.org.nz</t>
  </si>
  <si>
    <t>Rahotu</t>
  </si>
  <si>
    <t>Parihaka</t>
  </si>
  <si>
    <t>Opunake Playcentre</t>
  </si>
  <si>
    <t>Opunake@playcentre.org.nz</t>
  </si>
  <si>
    <t>Allison Street</t>
  </si>
  <si>
    <t>Opunake</t>
  </si>
  <si>
    <t>Ōpunake</t>
  </si>
  <si>
    <t>Okato Playcentre</t>
  </si>
  <si>
    <t>06-7524309</t>
  </si>
  <si>
    <t>Okato@playcentre.org.nz</t>
  </si>
  <si>
    <t>37 Carthew Street</t>
  </si>
  <si>
    <t>Normanby Playcentre</t>
  </si>
  <si>
    <t>Normanby@playcentre.org.nz</t>
  </si>
  <si>
    <t>Cnr Fitzroy and Chute Streets</t>
  </si>
  <si>
    <t>Normanby</t>
  </si>
  <si>
    <t>Normanby (South Taranaki District)</t>
  </si>
  <si>
    <t>New Plymouth Playcentre</t>
  </si>
  <si>
    <t>NewPlymouth@playcentre.org.nz</t>
  </si>
  <si>
    <t>15 Hori Street</t>
  </si>
  <si>
    <t>Lower Vogeltown</t>
  </si>
  <si>
    <t>Lepperton Playcentre</t>
  </si>
  <si>
    <t>lepperton@playcentre.org.nz</t>
  </si>
  <si>
    <t>540 Richmond Road</t>
  </si>
  <si>
    <t>Kaponga Playcentre</t>
  </si>
  <si>
    <t>Kaponga@playcentre.org.nz</t>
  </si>
  <si>
    <t>Swalding Street</t>
  </si>
  <si>
    <t>Kaponga</t>
  </si>
  <si>
    <t>Kaponga-Mangatoki</t>
  </si>
  <si>
    <t>Awatuna &amp; Districts Playcentre</t>
  </si>
  <si>
    <t>awatunaanddistricts@playcentre.org.nz</t>
  </si>
  <si>
    <t>Eltham Road</t>
  </si>
  <si>
    <t>Taungatara</t>
  </si>
  <si>
    <t>Hawera Playcentre</t>
  </si>
  <si>
    <t>Hawera@playcentre.org.nz</t>
  </si>
  <si>
    <t>89 Fairfeild Road</t>
  </si>
  <si>
    <t>Inglewood Playcentre</t>
  </si>
  <si>
    <t>Inglewood@playcentre.org.nz</t>
  </si>
  <si>
    <t>21 Brown Street</t>
  </si>
  <si>
    <t>Oakura Playcentre</t>
  </si>
  <si>
    <t>oakura@playcentre.org.nz</t>
  </si>
  <si>
    <t>14 Donnelly Street</t>
  </si>
  <si>
    <t>Funhouse Learning Centre</t>
  </si>
  <si>
    <t>06-3480026</t>
  </si>
  <si>
    <t>charity@funhouselearning.com</t>
  </si>
  <si>
    <t>254 St Hill Street</t>
  </si>
  <si>
    <t>Charity Brown</t>
  </si>
  <si>
    <t>P O Box 7315</t>
  </si>
  <si>
    <t>Te Kōhanga Reo o Ngāti Ruanui</t>
  </si>
  <si>
    <t>06-278 5224</t>
  </si>
  <si>
    <t>33 Morrissey Street</t>
  </si>
  <si>
    <t>Tara Bachop</t>
  </si>
  <si>
    <t>Haumoana Kindergarten</t>
  </si>
  <si>
    <t>06-8750224</t>
  </si>
  <si>
    <t>teawangakgtn@napierkindergartens.co.nz</t>
  </si>
  <si>
    <t>204 Parkhill Road</t>
  </si>
  <si>
    <t>Te Rawhiti Kindergarten</t>
  </si>
  <si>
    <t>04-2990812</t>
  </si>
  <si>
    <t>sylviam@tera.school.nz</t>
  </si>
  <si>
    <t>89 Poplar Avenue</t>
  </si>
  <si>
    <t>Sylvia Madden</t>
  </si>
  <si>
    <t>89 Poplar Ave</t>
  </si>
  <si>
    <t>Paraparaumu 5032</t>
  </si>
  <si>
    <t>04-9057224</t>
  </si>
  <si>
    <t>Lalanga Moui Tongan Early Childhood Centre</t>
  </si>
  <si>
    <t>06-3538308</t>
  </si>
  <si>
    <t>lalangamoui@yahoo.co.nz</t>
  </si>
  <si>
    <t>73 Vogel Street</t>
  </si>
  <si>
    <t>Ana Tuivai</t>
  </si>
  <si>
    <t>77 Vogal Street</t>
  </si>
  <si>
    <t>06-3549835</t>
  </si>
  <si>
    <t>Pākaraka Kindergarten</t>
  </si>
  <si>
    <t>06-342 3802</t>
  </si>
  <si>
    <t>pakaraka@wmkindergartens.org.nz</t>
  </si>
  <si>
    <t>1655 State Highway 3, RD 4</t>
  </si>
  <si>
    <t>Pākaraka</t>
  </si>
  <si>
    <t>Mowhanau</t>
  </si>
  <si>
    <t>Te Kōhanga Reo O Ngai Tāne</t>
  </si>
  <si>
    <t>06-837 6783</t>
  </si>
  <si>
    <t>whanau@k08a114.kohanga.ac.nz</t>
  </si>
  <si>
    <t>232 Putere Road</t>
  </si>
  <si>
    <t>Raupunga</t>
  </si>
  <si>
    <t>Learning Adventures Ashhurst</t>
  </si>
  <si>
    <t>06-3269906</t>
  </si>
  <si>
    <t>cm.ashhurst@learningadventures.co.nz</t>
  </si>
  <si>
    <t>1 Pembroke Street</t>
  </si>
  <si>
    <t>Tracey Nicholson</t>
  </si>
  <si>
    <t>06-326 9906</t>
  </si>
  <si>
    <t>Gr8 Kidz Childcare and Learning Centre</t>
  </si>
  <si>
    <t>06-7650401</t>
  </si>
  <si>
    <t>gr8.kidz@xtra.co.nz</t>
  </si>
  <si>
    <t>159 Orlando Street</t>
  </si>
  <si>
    <t>Corrina Sheed</t>
  </si>
  <si>
    <t>P O Box 313</t>
  </si>
  <si>
    <t>Stratford 4352</t>
  </si>
  <si>
    <t>06-7658651</t>
  </si>
  <si>
    <t>AoKids|Taita</t>
  </si>
  <si>
    <t>04-567-8595</t>
  </si>
  <si>
    <t>33A Churton Crescent</t>
  </si>
  <si>
    <t>Waitara Playcentre</t>
  </si>
  <si>
    <t>Waitara@playcentre.org.nz</t>
  </si>
  <si>
    <t>25 Carey Street</t>
  </si>
  <si>
    <t>Waitara East</t>
  </si>
  <si>
    <t>06-3484817</t>
  </si>
  <si>
    <t>info@brightbeginnings.co.nz</t>
  </si>
  <si>
    <t>17 Liverpool Street</t>
  </si>
  <si>
    <t>Imagine Childcare Alicetown Ltd</t>
  </si>
  <si>
    <t>04-5665234</t>
  </si>
  <si>
    <t>2 Burnham Street</t>
  </si>
  <si>
    <t>Julie Kydd</t>
  </si>
  <si>
    <t>04-9713330</t>
  </si>
  <si>
    <t>Learning Links Horowhenua</t>
  </si>
  <si>
    <t>06-3672628</t>
  </si>
  <si>
    <t>manager.llhoro@learninglinkschildcare.co.nz</t>
  </si>
  <si>
    <t>70 Queen Street</t>
  </si>
  <si>
    <t>Rochelle Sannazzaro</t>
  </si>
  <si>
    <t xml:space="preserve">70 Queen Street West </t>
  </si>
  <si>
    <t>Horowhenua 5510</t>
  </si>
  <si>
    <t>06-368 0359</t>
  </si>
  <si>
    <t>Born &amp; Raised Pasifika Early Childhood Centre</t>
  </si>
  <si>
    <t>06-3435441</t>
  </si>
  <si>
    <t>bornandraisedpasifika@xtra.co.nz</t>
  </si>
  <si>
    <t>2 Mitchell Street</t>
  </si>
  <si>
    <t>Khandallah Little School</t>
  </si>
  <si>
    <t>027-399 2333</t>
  </si>
  <si>
    <t>1 Station Road</t>
  </si>
  <si>
    <t>Queen Margaret College Pre-school</t>
  </si>
  <si>
    <t>04-4737160</t>
  </si>
  <si>
    <t>jayneann.young@qmc.school.nz</t>
  </si>
  <si>
    <t>13 Fitzherbert Terrace</t>
  </si>
  <si>
    <t>Thorndon South</t>
  </si>
  <si>
    <t>Jayne-Ann Young</t>
  </si>
  <si>
    <t>P O Box 12274</t>
  </si>
  <si>
    <t>Khandallah Community Creche</t>
  </si>
  <si>
    <t>04-4793939</t>
  </si>
  <si>
    <t>manager@khandallahcreche.co.nz</t>
  </si>
  <si>
    <t>33 Ganges Road</t>
  </si>
  <si>
    <t>Kelly Watson</t>
  </si>
  <si>
    <t>P O Box 22054</t>
  </si>
  <si>
    <t>BestStart Montessori Kilbirnie</t>
  </si>
  <si>
    <t>04-3871195</t>
  </si>
  <si>
    <t>mont.kilbirnie@best-start.org</t>
  </si>
  <si>
    <t>11 Vallance Street</t>
  </si>
  <si>
    <t>Kilbirnie</t>
  </si>
  <si>
    <t>Kilbirnie Central</t>
  </si>
  <si>
    <t>BestStart Kaiwharawhara</t>
  </si>
  <si>
    <t>04-4739151</t>
  </si>
  <si>
    <t>kaiwharawhara@best-start.org</t>
  </si>
  <si>
    <t>162-168 Hutt Road</t>
  </si>
  <si>
    <t>Busy Bees Martinborough</t>
  </si>
  <si>
    <t>06-3068884</t>
  </si>
  <si>
    <t>manager@martinborough.busybees.org.nz</t>
  </si>
  <si>
    <t>15 Broadway Street</t>
  </si>
  <si>
    <t>Emma Thompson</t>
  </si>
  <si>
    <t>06-306 8884</t>
  </si>
  <si>
    <t>Te Manawanui Kindergarten</t>
  </si>
  <si>
    <t>06-362 7096</t>
  </si>
  <si>
    <t>temanawanui@wmkindergartens.org.nz</t>
  </si>
  <si>
    <t>1 Grey Street</t>
  </si>
  <si>
    <t>Shannon</t>
  </si>
  <si>
    <t>Miranui General Ward</t>
  </si>
  <si>
    <t>PAUA ECE 1</t>
  </si>
  <si>
    <t>06-3447282</t>
  </si>
  <si>
    <t>info@paua.ac.nz</t>
  </si>
  <si>
    <t>Raewyn Overton-Stuart</t>
  </si>
  <si>
    <t>06-344 7282</t>
  </si>
  <si>
    <t>BestStart Paraparaumu</t>
  </si>
  <si>
    <t>04-2983790</t>
  </si>
  <si>
    <t>paraparaumu@best-start.org</t>
  </si>
  <si>
    <t>52 Percival Road</t>
  </si>
  <si>
    <t>Active Explorers Grey Street</t>
  </si>
  <si>
    <t>06-3530014</t>
  </si>
  <si>
    <t>vikki.gibbs@eeg.co.nz</t>
  </si>
  <si>
    <t>Cnr Grey &amp; Amesbury Streets</t>
  </si>
  <si>
    <t>Melissa Nicholas</t>
  </si>
  <si>
    <t>Tuatara Kids</t>
  </si>
  <si>
    <t>04-3883344</t>
  </si>
  <si>
    <t>95 Park Road</t>
  </si>
  <si>
    <t>Miramar Central</t>
  </si>
  <si>
    <t>Yanli Kapoor</t>
  </si>
  <si>
    <t>P O Box 26003</t>
  </si>
  <si>
    <t>Wellington 6442</t>
  </si>
  <si>
    <t>04-461 6262</t>
  </si>
  <si>
    <t>Te Aroha Noa Early Childhood Centre</t>
  </si>
  <si>
    <t>06-3582259</t>
  </si>
  <si>
    <t>ecc@tearohanoa.org.nz</t>
  </si>
  <si>
    <t>24 Brentwood Avenue</t>
  </si>
  <si>
    <t>Donna MacNicol</t>
  </si>
  <si>
    <t>P O Box 7141</t>
  </si>
  <si>
    <t>Pioneer Highway</t>
  </si>
  <si>
    <t>Manawatu 4443</t>
  </si>
  <si>
    <t>06-3582255</t>
  </si>
  <si>
    <t>He Iti Nā Mōtai</t>
  </si>
  <si>
    <t>06-3648585</t>
  </si>
  <si>
    <t>heitinaamootai@twor-otaki.ac.nz</t>
  </si>
  <si>
    <t>146 Tasman Road</t>
  </si>
  <si>
    <t>Denise Hapeta</t>
  </si>
  <si>
    <t>P O Box 119</t>
  </si>
  <si>
    <t>Manawatu 5542</t>
  </si>
  <si>
    <t>06-364 8585</t>
  </si>
  <si>
    <t>Nuanua Kindergarten</t>
  </si>
  <si>
    <t>04-238 2809</t>
  </si>
  <si>
    <t>nuanua@wmkindergartens.org.nz</t>
  </si>
  <si>
    <t>103 Hereford Street</t>
  </si>
  <si>
    <t>Cannons Creek North</t>
  </si>
  <si>
    <t>Peninsula Early Learning</t>
  </si>
  <si>
    <t>04-3808025</t>
  </si>
  <si>
    <t>preschool@peninsulaearlylearning.nz</t>
  </si>
  <si>
    <t>2A Kinghorne Street</t>
  </si>
  <si>
    <t>Strathmore</t>
  </si>
  <si>
    <t>Emma Chrysoulis</t>
  </si>
  <si>
    <t>Wellington 6022</t>
  </si>
  <si>
    <t>BestStart Russell Street</t>
  </si>
  <si>
    <t>06-3540941</t>
  </si>
  <si>
    <t>russell@best-start.org</t>
  </si>
  <si>
    <t>14 Russell Street</t>
  </si>
  <si>
    <t>Churton Park Little School &amp; Nursery</t>
  </si>
  <si>
    <t>027-399 4400</t>
  </si>
  <si>
    <t>6 Melksham Drive</t>
  </si>
  <si>
    <t>Churton Park North</t>
  </si>
  <si>
    <t>Te Kōhanga Reo o Matawera</t>
  </si>
  <si>
    <t>07-345 9046</t>
  </si>
  <si>
    <t>matawera-tkr@ruamata.school.nz</t>
  </si>
  <si>
    <t>1005 Te Ngae Road</t>
  </si>
  <si>
    <t>Waiohewa</t>
  </si>
  <si>
    <t>Cherie Marks</t>
  </si>
  <si>
    <t>BestStart Tawa South</t>
  </si>
  <si>
    <t>04-232 6370</t>
  </si>
  <si>
    <t>tawasouth@best-start.org</t>
  </si>
  <si>
    <t>52-62 Redwood Avenue</t>
  </si>
  <si>
    <t>Play School Early Learning Centre</t>
  </si>
  <si>
    <t>04-4784015</t>
  </si>
  <si>
    <t>playschool@xtra.co.nz</t>
  </si>
  <si>
    <t>46 Phillip Street</t>
  </si>
  <si>
    <t>Olivia Woud</t>
  </si>
  <si>
    <t>04-4785272</t>
  </si>
  <si>
    <t>Lots of Hugs Childcare 2</t>
  </si>
  <si>
    <t>06-3536563</t>
  </si>
  <si>
    <t>loh2@lotsofhugschildcare.co.nz</t>
  </si>
  <si>
    <t>174 Ferguson Street</t>
  </si>
  <si>
    <t>Nga Rito o Te Puawaitanga Early Childhood Centre</t>
  </si>
  <si>
    <t>06-3575526</t>
  </si>
  <si>
    <t>admin@ngarito.org.nz</t>
  </si>
  <si>
    <t>916a Tremaine Avenue</t>
  </si>
  <si>
    <t>Rachel Buckley</t>
  </si>
  <si>
    <t>P O Box 5510</t>
  </si>
  <si>
    <t>Manawatu 4441</t>
  </si>
  <si>
    <t>06-3567644</t>
  </si>
  <si>
    <t>PAUA ECE 2</t>
  </si>
  <si>
    <t>Lollipops Aubrey Street</t>
  </si>
  <si>
    <t>22 Aubrey Street</t>
  </si>
  <si>
    <t>Stacey King</t>
  </si>
  <si>
    <t>06-759 4366</t>
  </si>
  <si>
    <t>BestStart South Road 1</t>
  </si>
  <si>
    <t>06-2788366</t>
  </si>
  <si>
    <t>289 South Road</t>
  </si>
  <si>
    <t>PAUA ECE 3</t>
  </si>
  <si>
    <t>raewyn@paua.ac.nz</t>
  </si>
  <si>
    <t>Katie Mawson</t>
  </si>
  <si>
    <t>Te Kohanga Reo o Mana Tamariki</t>
  </si>
  <si>
    <t>06-356 4383</t>
  </si>
  <si>
    <t>WHANAU@K09E055.kohanga.ac.nz</t>
  </si>
  <si>
    <t>165 Grey Street</t>
  </si>
  <si>
    <t>KIDZ @ 303</t>
  </si>
  <si>
    <t>06-3453008</t>
  </si>
  <si>
    <t>lisa@cbk.org.nz</t>
  </si>
  <si>
    <t>303 Wicksteed Street</t>
  </si>
  <si>
    <t>Liza Iliffe</t>
  </si>
  <si>
    <t>285 Wicksteed Street</t>
  </si>
  <si>
    <t>06-345 3008</t>
  </si>
  <si>
    <t>Nancy Winter Early Childhood Centre</t>
  </si>
  <si>
    <t>06-3854455</t>
  </si>
  <si>
    <t>nancywintercentre@xtra.co.nz</t>
  </si>
  <si>
    <t>26 Grey Street</t>
  </si>
  <si>
    <t>Raetihi</t>
  </si>
  <si>
    <t>Brenda  Burnard</t>
  </si>
  <si>
    <t>Raetihi 4632</t>
  </si>
  <si>
    <t>06-3853370</t>
  </si>
  <si>
    <t>Tui Early Learners Nestlings/Fledglings</t>
  </si>
  <si>
    <t>06-3538590</t>
  </si>
  <si>
    <t>Wonder Kids, Whanganui</t>
  </si>
  <si>
    <t>06-3458568</t>
  </si>
  <si>
    <t>wonderkids.whanganui@gmail.com</t>
  </si>
  <si>
    <t>19 Purnell Street</t>
  </si>
  <si>
    <t>Little Monkeys Learning Centre</t>
  </si>
  <si>
    <t>35 Newbury Street</t>
  </si>
  <si>
    <t>Manawatu 4412</t>
  </si>
  <si>
    <t>Jumpstart Preschool</t>
  </si>
  <si>
    <t>Tiny Smiles Early Learning (New Plymouth)</t>
  </si>
  <si>
    <t>06-7572289</t>
  </si>
  <si>
    <t>160 Mangorei Road</t>
  </si>
  <si>
    <t>Kerryn Mitchell</t>
  </si>
  <si>
    <t>127 Caton Road</t>
  </si>
  <si>
    <t>Auckland 0782</t>
  </si>
  <si>
    <t>Te Kōhanga Reo o Mangawhero Te Whare Pōtiki</t>
  </si>
  <si>
    <t>06-345 4912</t>
  </si>
  <si>
    <t>Whanau@K07F036.kohanga.ac.nz</t>
  </si>
  <si>
    <t>21 Guyton Street</t>
  </si>
  <si>
    <t>BestStart Inglewood</t>
  </si>
  <si>
    <t>06-7569010</t>
  </si>
  <si>
    <t>44 Cutfield Street</t>
  </si>
  <si>
    <t>Lollipops Ruapehu Drive</t>
  </si>
  <si>
    <t>06-3543782</t>
  </si>
  <si>
    <t>peta@ledu.co.nz</t>
  </si>
  <si>
    <t>199-201 Ruapehu Drive</t>
  </si>
  <si>
    <t>Peta Southee</t>
  </si>
  <si>
    <t>Learn A Lot Kindy Kidz</t>
  </si>
  <si>
    <t>06-3569087</t>
  </si>
  <si>
    <t>22 Ngata Street</t>
  </si>
  <si>
    <t>Kellie Carr</t>
  </si>
  <si>
    <t>06-3547454</t>
  </si>
  <si>
    <t>Chelsea House Levin</t>
  </si>
  <si>
    <t>06-3685437</t>
  </si>
  <si>
    <t>levin@chelseahouse.co.nz</t>
  </si>
  <si>
    <t>51 Trafalgar Street</t>
  </si>
  <si>
    <t>Makomako</t>
  </si>
  <si>
    <t>Sarah Kidd</t>
  </si>
  <si>
    <t>P O Box 1193</t>
  </si>
  <si>
    <t>Levin 5510</t>
  </si>
  <si>
    <t>04-902 5437</t>
  </si>
  <si>
    <t>Jumpstart Preschool Rimu</t>
  </si>
  <si>
    <t>06-7695208</t>
  </si>
  <si>
    <t>55a Rimu Street</t>
  </si>
  <si>
    <t>Tiny Legends Early Learning Centre</t>
  </si>
  <si>
    <t>06-3544322</t>
  </si>
  <si>
    <t>manager@tinylegends.co.nz</t>
  </si>
  <si>
    <t>14 Galea Grove</t>
  </si>
  <si>
    <t>Kelvin Grove North</t>
  </si>
  <si>
    <t>Cerys Ellison</t>
  </si>
  <si>
    <t>2453 State High 1</t>
  </si>
  <si>
    <t>Rongotea 4476</t>
  </si>
  <si>
    <t>Busy Bees Manchester Street</t>
  </si>
  <si>
    <t>06-929 5422</t>
  </si>
  <si>
    <t>154 Manchester Street</t>
  </si>
  <si>
    <t>Naomi McCutcheon</t>
  </si>
  <si>
    <t>06-9295422</t>
  </si>
  <si>
    <t>Stratford Community Childcare Centre</t>
  </si>
  <si>
    <t>06-7658081</t>
  </si>
  <si>
    <t>stratfordcom.childcare@xtra.co.nz</t>
  </si>
  <si>
    <t>40 Orlando Street</t>
  </si>
  <si>
    <t>Hannah Gallyer</t>
  </si>
  <si>
    <t>027-8471682</t>
  </si>
  <si>
    <t>Bell Block Childcare</t>
  </si>
  <si>
    <t>06-7552519</t>
  </si>
  <si>
    <t>bbchildcare@xtra.co.nz</t>
  </si>
  <si>
    <t>32 Nugent Street</t>
  </si>
  <si>
    <t>Jennifer Bayly</t>
  </si>
  <si>
    <t>ABC Educare</t>
  </si>
  <si>
    <t>06-7588213</t>
  </si>
  <si>
    <t>info@abceducare.co.nz</t>
  </si>
  <si>
    <t>460-464 St Aubyn Street</t>
  </si>
  <si>
    <t>Belinda Morgan</t>
  </si>
  <si>
    <t>BestStart Lemon Street</t>
  </si>
  <si>
    <t>06-7586648</t>
  </si>
  <si>
    <t>lemon@best-start.org</t>
  </si>
  <si>
    <t>158 Lemon Street</t>
  </si>
  <si>
    <t>Piccolo Preschool</t>
  </si>
  <si>
    <t>06-7591125</t>
  </si>
  <si>
    <t>5 Cracroft Street</t>
  </si>
  <si>
    <t>Sara Greensill-van Prehn</t>
  </si>
  <si>
    <t>Inglewood Community Childcare Centre Inc</t>
  </si>
  <si>
    <t>06-7568882</t>
  </si>
  <si>
    <t>inglewoodchildcare@xtra.co.nz</t>
  </si>
  <si>
    <t>3 Rata Street</t>
  </si>
  <si>
    <t>Nicole Malyon</t>
  </si>
  <si>
    <t>Inglewood 4330</t>
  </si>
  <si>
    <t>New Plymouth Montessori Association</t>
  </si>
  <si>
    <t>06-7580944</t>
  </si>
  <si>
    <t>gillian.somers@npmontessori.co.nz</t>
  </si>
  <si>
    <t>77 Dorset Avenue</t>
  </si>
  <si>
    <t>Blagdon-Lynmouth</t>
  </si>
  <si>
    <t>Gillian Somers</t>
  </si>
  <si>
    <t>P O Box 392</t>
  </si>
  <si>
    <t>Waitara &amp; District Community Childcare Centre Inc.</t>
  </si>
  <si>
    <t>06-7546482</t>
  </si>
  <si>
    <t>waitarachildcare@xtra.co.nz</t>
  </si>
  <si>
    <t>Cnr Carey &amp; Harris Streets</t>
  </si>
  <si>
    <t>Wendy Yandle</t>
  </si>
  <si>
    <t>P O Box 274</t>
  </si>
  <si>
    <t>Taranaki 4346</t>
  </si>
  <si>
    <t>New Plymouth YMCA Childcare Centre</t>
  </si>
  <si>
    <t>06-7583666</t>
  </si>
  <si>
    <t>joanne.dusterhoft@ymcataranaki.org.nz</t>
  </si>
  <si>
    <t>83 Liardet Street</t>
  </si>
  <si>
    <t>Joanne Dusterhoft</t>
  </si>
  <si>
    <t>P O Box 474</t>
  </si>
  <si>
    <t>Manu Crescent Private Kindergarten</t>
  </si>
  <si>
    <t>020-40864001</t>
  </si>
  <si>
    <t>contact@manukindergarten.com</t>
  </si>
  <si>
    <t>4 Manu Crescent</t>
  </si>
  <si>
    <t>Vogeltown</t>
  </si>
  <si>
    <t>Scott Miller</t>
  </si>
  <si>
    <t>217 Huatoki Street</t>
  </si>
  <si>
    <t>Wonder Kids, Stratford</t>
  </si>
  <si>
    <t>06-7656701</t>
  </si>
  <si>
    <t>rose.wonderkids@gmail.com</t>
  </si>
  <si>
    <t>19 Miranda Street</t>
  </si>
  <si>
    <t>Roseanne Head</t>
  </si>
  <si>
    <t>021-02271439</t>
  </si>
  <si>
    <t>Marton Junction Community Pre-school</t>
  </si>
  <si>
    <t>06-3278844</t>
  </si>
  <si>
    <t>martonjunctionpreschool@gmail.com</t>
  </si>
  <si>
    <t>Alexander Street</t>
  </si>
  <si>
    <t>Gerard Pasco</t>
  </si>
  <si>
    <t>PO Box 78</t>
  </si>
  <si>
    <t>Manawatu 4741</t>
  </si>
  <si>
    <t>06-9270524</t>
  </si>
  <si>
    <t>Matapu Preschool</t>
  </si>
  <si>
    <t>06-2726600</t>
  </si>
  <si>
    <t>matapu.preschool@xtra.co.nz</t>
  </si>
  <si>
    <t>501 Hastings Road, RD 15</t>
  </si>
  <si>
    <t>Matapu</t>
  </si>
  <si>
    <t>Emma Hancock</t>
  </si>
  <si>
    <t>501 Hastings Rd RD 15</t>
  </si>
  <si>
    <t>Hāwera 4675</t>
  </si>
  <si>
    <t>Lollipops New Plymouth</t>
  </si>
  <si>
    <t>06-7572288</t>
  </si>
  <si>
    <t>75-77 Lorna Street</t>
  </si>
  <si>
    <t>Lynmouth</t>
  </si>
  <si>
    <t>Sonia Jordan</t>
  </si>
  <si>
    <t>Opunake Communities Kindergarten Incorporated</t>
  </si>
  <si>
    <t>06-761 7440</t>
  </si>
  <si>
    <t>opunakekindy@xtra.co.nz</t>
  </si>
  <si>
    <t>Whitcombe Road</t>
  </si>
  <si>
    <t>Dannielle Newsome</t>
  </si>
  <si>
    <t>Taranaki 4645</t>
  </si>
  <si>
    <t>06-7617440</t>
  </si>
  <si>
    <t>Waverley Playcentre</t>
  </si>
  <si>
    <t>027-700 1412</t>
  </si>
  <si>
    <t>28 Gloag Street</t>
  </si>
  <si>
    <t>Waverley</t>
  </si>
  <si>
    <t>Manutahi-Waitōtora</t>
  </si>
  <si>
    <t>Aramoho Playcentre</t>
  </si>
  <si>
    <t>027-880 2739</t>
  </si>
  <si>
    <t>aramoho@Playcentre.org.nz</t>
  </si>
  <si>
    <t>Burmah Street</t>
  </si>
  <si>
    <t>Upper Aramoho</t>
  </si>
  <si>
    <t>Springvale Playcentre</t>
  </si>
  <si>
    <t>027-700 1419</t>
  </si>
  <si>
    <t>Springvale@playcentre.org.nz</t>
  </si>
  <si>
    <t>39 Fox Road</t>
  </si>
  <si>
    <t>Springvale West</t>
  </si>
  <si>
    <t>Taihape Playcentre</t>
  </si>
  <si>
    <t>06-3881905</t>
  </si>
  <si>
    <t>15 Kokako Street</t>
  </si>
  <si>
    <t>Mangaweka Playcentre</t>
  </si>
  <si>
    <t>4 Broadway</t>
  </si>
  <si>
    <t>Mangaweka</t>
  </si>
  <si>
    <t>Mokai Patea</t>
  </si>
  <si>
    <t>Hunterville Playcentre</t>
  </si>
  <si>
    <t>027-700 1404</t>
  </si>
  <si>
    <t>hunterville@playcentre.org.nz</t>
  </si>
  <si>
    <t>17 Bruce Street</t>
  </si>
  <si>
    <t>Hunterville</t>
  </si>
  <si>
    <t>Otairi</t>
  </si>
  <si>
    <t>Rapanui Brunswick Playcentre</t>
  </si>
  <si>
    <t>027-880 2364</t>
  </si>
  <si>
    <t>rapanui-brunswick@playcentre.org.nz</t>
  </si>
  <si>
    <t>823 Rapanui Road</t>
  </si>
  <si>
    <t>Whanganui Central Baptist Kindergarten (CBK)</t>
  </si>
  <si>
    <t>manager@cbk.org.nz</t>
  </si>
  <si>
    <t>Marton Childcare Centre</t>
  </si>
  <si>
    <t>06-3277570</t>
  </si>
  <si>
    <t>428 Wellington Road</t>
  </si>
  <si>
    <t>Kelli-Ann McIlraith</t>
  </si>
  <si>
    <t>P O Box 179</t>
  </si>
  <si>
    <t>Marton 4741</t>
  </si>
  <si>
    <t>06-3487813</t>
  </si>
  <si>
    <t>Ohakea Childcare Centre</t>
  </si>
  <si>
    <t>06-3221283</t>
  </si>
  <si>
    <t>8 Holland Crescent</t>
  </si>
  <si>
    <t>Fordell Preschool</t>
  </si>
  <si>
    <t>06-3427878</t>
  </si>
  <si>
    <t>fordellpreschool@xtra.co.nz</t>
  </si>
  <si>
    <t>Budge Street, RD 2, Fordell</t>
  </si>
  <si>
    <t>Kaitoke-Fordell</t>
  </si>
  <si>
    <t>Simon Badger</t>
  </si>
  <si>
    <t>Budge Street RD 2</t>
  </si>
  <si>
    <t>Fordell Postcentre</t>
  </si>
  <si>
    <t>021-980930</t>
  </si>
  <si>
    <t>88 Virginia Road</t>
  </si>
  <si>
    <t>Otamatea (Whanganui District)</t>
  </si>
  <si>
    <t>BestStart Harrison Street</t>
  </si>
  <si>
    <t>06-3476583</t>
  </si>
  <si>
    <t>harrison@best-start.org</t>
  </si>
  <si>
    <t>55 Harrison Street</t>
  </si>
  <si>
    <t>Hundred Acre Pre-School Inc</t>
  </si>
  <si>
    <t>06-3476868</t>
  </si>
  <si>
    <t>hundredacrepreschool@xtra.co.nz</t>
  </si>
  <si>
    <t>98 Heads Road</t>
  </si>
  <si>
    <t>Lynda Wilson</t>
  </si>
  <si>
    <t>Milson Playcentre</t>
  </si>
  <si>
    <t>06-3569824</t>
  </si>
  <si>
    <t>1a Seaforth Avenue</t>
  </si>
  <si>
    <t>Levin Playcentre Incorporated</t>
  </si>
  <si>
    <t>06-3682050</t>
  </si>
  <si>
    <t>13a Paisley Street</t>
  </si>
  <si>
    <t>Ashhurst Playcentre</t>
  </si>
  <si>
    <t>06-3269270</t>
  </si>
  <si>
    <t>118 Stanford Street</t>
  </si>
  <si>
    <t>Feilding Playcentre</t>
  </si>
  <si>
    <t>06-3236100</t>
  </si>
  <si>
    <t>254a Kimbolton Road</t>
  </si>
  <si>
    <t>Halcombe Playcentre</t>
  </si>
  <si>
    <t>027-700 1409</t>
  </si>
  <si>
    <t>Willoughby Street</t>
  </si>
  <si>
    <t>Halcombe</t>
  </si>
  <si>
    <t>Tokorangi</t>
  </si>
  <si>
    <t>Waituna West Playcentre</t>
  </si>
  <si>
    <t>06-3286805</t>
  </si>
  <si>
    <t>Waituna Valley Road</t>
  </si>
  <si>
    <t>Terrace End Playcentre</t>
  </si>
  <si>
    <t>06-3569341</t>
  </si>
  <si>
    <t>77 Ruamahanga Crescent</t>
  </si>
  <si>
    <t>Te Kawau Playcentre</t>
  </si>
  <si>
    <t>06-3248246</t>
  </si>
  <si>
    <t>16 Medway Street</t>
  </si>
  <si>
    <t>Rongotea</t>
  </si>
  <si>
    <t>Awahuri</t>
  </si>
  <si>
    <t>Shannon &amp; Districts Playcentre</t>
  </si>
  <si>
    <t>06-362 7069</t>
  </si>
  <si>
    <t>C/O Counter Shannon Bookshop 49 Grey Street</t>
  </si>
  <si>
    <t>Park Road Playcentre</t>
  </si>
  <si>
    <t>027-700 1417</t>
  </si>
  <si>
    <t>parkroad@Playcentre.org.nz</t>
  </si>
  <si>
    <t>Huia Street Extension</t>
  </si>
  <si>
    <t>Esplanade</t>
  </si>
  <si>
    <t>Ohau Playcentre</t>
  </si>
  <si>
    <t>06-3675915</t>
  </si>
  <si>
    <t>Ohau@playcentre.org.nz</t>
  </si>
  <si>
    <t>12 Muhunoa East Road</t>
  </si>
  <si>
    <t>Ohau</t>
  </si>
  <si>
    <t>Tui Early Learners North St</t>
  </si>
  <si>
    <t>06-3239024</t>
  </si>
  <si>
    <t>132 North Street</t>
  </si>
  <si>
    <t>Kimbolton North</t>
  </si>
  <si>
    <t>16B Osborne Tce</t>
  </si>
  <si>
    <t>Te Timatanga Hou Kindergarten</t>
  </si>
  <si>
    <t>06-368 7047</t>
  </si>
  <si>
    <t>tetimatangahou@wmkindergartens.org.nz</t>
  </si>
  <si>
    <t>19 Wilton Street</t>
  </si>
  <si>
    <t>Barnardos Early Learning Home Based Manawatu</t>
  </si>
  <si>
    <t>04-589 7878</t>
  </si>
  <si>
    <t>160 Grey Street</t>
  </si>
  <si>
    <t>Palmerston North CBD</t>
  </si>
  <si>
    <t>Julie Griffin</t>
  </si>
  <si>
    <t>Levin Baptist Kindergarten</t>
  </si>
  <si>
    <t>06-3686233</t>
  </si>
  <si>
    <t>office@levinbaptistkindy.org.nz</t>
  </si>
  <si>
    <t>19 Rugby Street</t>
  </si>
  <si>
    <t>Melanie White</t>
  </si>
  <si>
    <t>P O Box 199</t>
  </si>
  <si>
    <t>Manawatu 5540</t>
  </si>
  <si>
    <t>027-3190587</t>
  </si>
  <si>
    <t>Eden Christian Kindergarten</t>
  </si>
  <si>
    <t>06-3238057</t>
  </si>
  <si>
    <t>admin@edenkindy.nz</t>
  </si>
  <si>
    <t>114 Derby Street</t>
  </si>
  <si>
    <t>Baptist, Non-denominational, Methodist</t>
  </si>
  <si>
    <t>Anna Dobbs</t>
  </si>
  <si>
    <t>Manawatu 4702</t>
  </si>
  <si>
    <t>Te Korio Children's Centre</t>
  </si>
  <si>
    <t>06-3567798</t>
  </si>
  <si>
    <t>Building 5 80 Tennent Drive</t>
  </si>
  <si>
    <t>Cindy Hammond</t>
  </si>
  <si>
    <t>P O Box 5008</t>
  </si>
  <si>
    <t>Palmerston North 4441</t>
  </si>
  <si>
    <t>Montessori Educare Limited</t>
  </si>
  <si>
    <t>06-3564697</t>
  </si>
  <si>
    <t>office@montessorieducare.co.nz</t>
  </si>
  <si>
    <t>75A Maxwells Line</t>
  </si>
  <si>
    <t>Christine Jones</t>
  </si>
  <si>
    <t>193 Polson Hill Drive, RD 1</t>
  </si>
  <si>
    <t>Palmerston North 4477</t>
  </si>
  <si>
    <t>Massey Child Care Centre Inc</t>
  </si>
  <si>
    <t>06-9519600</t>
  </si>
  <si>
    <t>admin@masseychildcare.ac.nz</t>
  </si>
  <si>
    <t>Bourke Road</t>
  </si>
  <si>
    <t>Alison Angel</t>
  </si>
  <si>
    <t>06-2802703</t>
  </si>
  <si>
    <t>Te Reanga Childcare Centre</t>
  </si>
  <si>
    <t>06-3553909</t>
  </si>
  <si>
    <t>Te_Reanga@xtra.co.nz</t>
  </si>
  <si>
    <t>115 Church Street</t>
  </si>
  <si>
    <t>Kelley Williams</t>
  </si>
  <si>
    <t>P O Box 7096</t>
  </si>
  <si>
    <t>Palmerston North 4443</t>
  </si>
  <si>
    <t>06-3556607</t>
  </si>
  <si>
    <t>Ruahine Linton Camp Early Learning</t>
  </si>
  <si>
    <t>027-4410855</t>
  </si>
  <si>
    <t>lintonel@rka.org.nz</t>
  </si>
  <si>
    <t>All About Children - Bulls</t>
  </si>
  <si>
    <t>06-3221744</t>
  </si>
  <si>
    <t>bulls@allaboutchildren.co.nz</t>
  </si>
  <si>
    <t>106 High Street</t>
  </si>
  <si>
    <t>BestStart Palmerston North 1</t>
  </si>
  <si>
    <t>06-3550553</t>
  </si>
  <si>
    <t>23 Ngata Street</t>
  </si>
  <si>
    <t>Tararua Educare</t>
  </si>
  <si>
    <t>06-3679867</t>
  </si>
  <si>
    <t>tararua.educare@xtra.co.nz</t>
  </si>
  <si>
    <t>7 Reeve Street</t>
  </si>
  <si>
    <t>Tararua</t>
  </si>
  <si>
    <t>Malamalama Moni Aoga Amata EFKS PN</t>
  </si>
  <si>
    <t>06-3548945</t>
  </si>
  <si>
    <t>malamalama@xtra.co.nz</t>
  </si>
  <si>
    <t>39 Havelock Avenue</t>
  </si>
  <si>
    <t>Epenesa Tavita Faaiuaso</t>
  </si>
  <si>
    <t>P O Box 4161</t>
  </si>
  <si>
    <t>06-35368284</t>
  </si>
  <si>
    <t>Cornerstone Christian Preschool</t>
  </si>
  <si>
    <t>06-3565452</t>
  </si>
  <si>
    <t>supervisor@ccp.ac.nz</t>
  </si>
  <si>
    <t>63 Roberts Line</t>
  </si>
  <si>
    <t>Louette van Deventer</t>
  </si>
  <si>
    <t>The Learning Garden</t>
  </si>
  <si>
    <t>027-9153939</t>
  </si>
  <si>
    <t>2a Haggit Street</t>
  </si>
  <si>
    <t>Sandon</t>
  </si>
  <si>
    <t>Hannah-lee Read</t>
  </si>
  <si>
    <t>2a Haggitt Street</t>
  </si>
  <si>
    <t>Alphabet Academy Roslyn</t>
  </si>
  <si>
    <t>06-3554162</t>
  </si>
  <si>
    <t>alphabetacademyroslyn@gmail.com</t>
  </si>
  <si>
    <t>525 Featherston Street</t>
  </si>
  <si>
    <t>Tokomaru Early Childhood Centre Inc.</t>
  </si>
  <si>
    <t>06-3298730</t>
  </si>
  <si>
    <t>Info@tokomaruecc.co.nz</t>
  </si>
  <si>
    <t>9 Tokomaru East Road</t>
  </si>
  <si>
    <t>Tokomaru</t>
  </si>
  <si>
    <t>Miranui</t>
  </si>
  <si>
    <t>Madeleine Ross-Morley</t>
  </si>
  <si>
    <t>P O Box 33</t>
  </si>
  <si>
    <t>Manawatu 4864</t>
  </si>
  <si>
    <t>022-5474075</t>
  </si>
  <si>
    <t>Te Kōhanga Reo o Ngā Pekanga</t>
  </si>
  <si>
    <t>06-754 4277</t>
  </si>
  <si>
    <t>35A Princess Street</t>
  </si>
  <si>
    <t>Te Kōhanga Reo o Waitara</t>
  </si>
  <si>
    <t>06-754 8660</t>
  </si>
  <si>
    <t>WHANAU@K07A001.kohanga.ac.nz</t>
  </si>
  <si>
    <t>Manukorihi Road</t>
  </si>
  <si>
    <t>Te Kōhanga Reo o Te Kōpae Tamariki Kia Ū Te Reo</t>
  </si>
  <si>
    <t>06-751 1350</t>
  </si>
  <si>
    <t>WHANAU@K07A043.kohanga.ac.nz</t>
  </si>
  <si>
    <t>147 South Road</t>
  </si>
  <si>
    <t>Toiana Oka</t>
  </si>
  <si>
    <t>Te Kōhanga Reo o Te Rangiora</t>
  </si>
  <si>
    <t>06-756 8858</t>
  </si>
  <si>
    <t>50 James Street</t>
  </si>
  <si>
    <t>Te Kōhanga Reo o Waiwhakaiho</t>
  </si>
  <si>
    <t>06-758 0018</t>
  </si>
  <si>
    <t>51-53 Record Street</t>
  </si>
  <si>
    <t>Te Kōhanga Reo o Manaia</t>
  </si>
  <si>
    <t>06-274 8371</t>
  </si>
  <si>
    <t>Winks Road</t>
  </si>
  <si>
    <t>Te Kōhanga Reo o Ngatiki</t>
  </si>
  <si>
    <t>06-278 5901</t>
  </si>
  <si>
    <t>Ngatiki Marae Ararata Road</t>
  </si>
  <si>
    <t>Ohangai</t>
  </si>
  <si>
    <t>Te Kōhanga Reo o Whakaahurangi</t>
  </si>
  <si>
    <t>06-765 8172</t>
  </si>
  <si>
    <t>Celia Street</t>
  </si>
  <si>
    <t>Te Kōhanga Reo o Ngāti Pātea</t>
  </si>
  <si>
    <t>06-273 8212</t>
  </si>
  <si>
    <t>12 Dorset Street</t>
  </si>
  <si>
    <t>Te Kōhanga Reo o Te Wai-o-Turi</t>
  </si>
  <si>
    <t>06-273 8685</t>
  </si>
  <si>
    <t>WHANAU@K07D040.kohanga.ac.nz</t>
  </si>
  <si>
    <t>Lower Kaharoa Road</t>
  </si>
  <si>
    <t>Te Kōhanga Reo o Te Hunga Ririki</t>
  </si>
  <si>
    <t>06-346 5470</t>
  </si>
  <si>
    <t>22 Brassey Street</t>
  </si>
  <si>
    <t>Te Kōhanga Reo o Kura Mahiao</t>
  </si>
  <si>
    <t>06-344 6348</t>
  </si>
  <si>
    <t>16 Tainui Street</t>
  </si>
  <si>
    <t>Castlecliff West</t>
  </si>
  <si>
    <t>Te Heti Te Kohanga Reo</t>
  </si>
  <si>
    <t>06-344 4874</t>
  </si>
  <si>
    <t>46 Hinau Street</t>
  </si>
  <si>
    <t>Balgownie</t>
  </si>
  <si>
    <t>Huia Reweti Henere</t>
  </si>
  <si>
    <t>06-3446298</t>
  </si>
  <si>
    <t>Te Kōhanga Reo o Te Puāwai o Te Aroha</t>
  </si>
  <si>
    <t>06-343 2840</t>
  </si>
  <si>
    <t>29 Poutini Street</t>
  </si>
  <si>
    <t>Te Kōhanga Reo o Kaiwhāiki</t>
  </si>
  <si>
    <t>06-342 5828</t>
  </si>
  <si>
    <t>Kaiwhāiki Marae, RD 5</t>
  </si>
  <si>
    <t>Upper Whanganui</t>
  </si>
  <si>
    <t>Te Kōhanga Reo o Mangawhero</t>
  </si>
  <si>
    <t>WHANAU@K07F036.kohanga.ac.nz</t>
  </si>
  <si>
    <t>Te Kōhanga Reo o Mere Te Aroha</t>
  </si>
  <si>
    <t>06-342 5849</t>
  </si>
  <si>
    <t>Kaiwhāiki Road</t>
  </si>
  <si>
    <t>Te Kōhanga Reo o Parikino</t>
  </si>
  <si>
    <t>06-342 5518</t>
  </si>
  <si>
    <t>R D 6 Parikino, River Road</t>
  </si>
  <si>
    <t>Te Kōhanga Reo o Pūtiki Wharanui</t>
  </si>
  <si>
    <t>06-3450653</t>
  </si>
  <si>
    <t>30 Takarangi Street</t>
  </si>
  <si>
    <t>Te Kōhanga Reo o Te Hunga Kāwitiwiti</t>
  </si>
  <si>
    <t>06-343 7662</t>
  </si>
  <si>
    <t>356 Somme Parade</t>
  </si>
  <si>
    <t>Te Kōhanga Reo o Te Reo Irirangi</t>
  </si>
  <si>
    <t>06-344 7267</t>
  </si>
  <si>
    <t>6 Rangiora Street</t>
  </si>
  <si>
    <t>Adrian Paul</t>
  </si>
  <si>
    <t>06-3447267</t>
  </si>
  <si>
    <t>Te Kōhanga Reo o Tūtaramoana</t>
  </si>
  <si>
    <t>06-345 5289</t>
  </si>
  <si>
    <t>33a Gonville Ave</t>
  </si>
  <si>
    <t>Te Kōhanga Reo o Paimārie</t>
  </si>
  <si>
    <t>06-327 7783</t>
  </si>
  <si>
    <t>31 Morris Road</t>
  </si>
  <si>
    <t>Te Kōhanga Reo o Wharemārama</t>
  </si>
  <si>
    <t>06-342 6601</t>
  </si>
  <si>
    <t>1 Kiatere Street</t>
  </si>
  <si>
    <t>Ratana Pa</t>
  </si>
  <si>
    <t>Turakina</t>
  </si>
  <si>
    <t>Te Kōhanga Reo o Mōkai Pātea o Taihape</t>
  </si>
  <si>
    <t>06-388 0292</t>
  </si>
  <si>
    <t>28 Huia Street</t>
  </si>
  <si>
    <t>Te Kōhanga Reo o Mō Te Whānau</t>
  </si>
  <si>
    <t>06-385 4305</t>
  </si>
  <si>
    <t>32 Queen Street</t>
  </si>
  <si>
    <t>Alysha Perkins</t>
  </si>
  <si>
    <t>Te Kōhanga Reo o Ngā Mōrehu o Uenuku</t>
  </si>
  <si>
    <t>06-385 3187</t>
  </si>
  <si>
    <t>2 Hukaroa Road</t>
  </si>
  <si>
    <t>Te Kōhanga Reo o Manu Kōrero</t>
  </si>
  <si>
    <t>06-385 8443</t>
  </si>
  <si>
    <t>36 Burns Street</t>
  </si>
  <si>
    <t>Te Kōhanga Reo o Te Puāwai o Te Kākano</t>
  </si>
  <si>
    <t>06-388 1306</t>
  </si>
  <si>
    <t>54 Goldfinch Street</t>
  </si>
  <si>
    <t>Pura Whale</t>
  </si>
  <si>
    <t>06-3880597</t>
  </si>
  <si>
    <t>Te Kōhanga Reo o Te Ao Mārama</t>
  </si>
  <si>
    <t>06-354 5674</t>
  </si>
  <si>
    <t>teaomaramakr@gmail.com</t>
  </si>
  <si>
    <t>103 Rangiora Avenue</t>
  </si>
  <si>
    <t>Te Kōhanga Reo o Te Āwhina</t>
  </si>
  <si>
    <t>06-356 7348</t>
  </si>
  <si>
    <t>WHANAU@K09E030.kohanga.ac.nz</t>
  </si>
  <si>
    <t>115 Vogel Street</t>
  </si>
  <si>
    <t>Te Kōhanga Reo o Hanana</t>
  </si>
  <si>
    <t>06-362 7475</t>
  </si>
  <si>
    <t>WHANAU@K09D034.kohanga.ac.nz</t>
  </si>
  <si>
    <t>89-95 Ballance Street</t>
  </si>
  <si>
    <t>Kereru Marae Kōhanga Reo</t>
  </si>
  <si>
    <t>06-367 8014</t>
  </si>
  <si>
    <t>kererumaraetkr@hotmail.com</t>
  </si>
  <si>
    <t>Kereru Marae Koputaroa Road</t>
  </si>
  <si>
    <t>Kere Kere</t>
  </si>
  <si>
    <t>Te Kōhanga Reo o Kautu Ki Te Rangi</t>
  </si>
  <si>
    <t>06-278 6887</t>
  </si>
  <si>
    <t>524 Ohangai Road</t>
  </si>
  <si>
    <t>Tawhiti</t>
  </si>
  <si>
    <t>Te Kōhanga Reo o Kaikaapo</t>
  </si>
  <si>
    <t>06-273 8451</t>
  </si>
  <si>
    <t>Pariroa Marae Wilson Road</t>
  </si>
  <si>
    <t>Kakaramea</t>
  </si>
  <si>
    <t>Billene Taueki</t>
  </si>
  <si>
    <t>Te Kōhanga Reo o Koriniti</t>
  </si>
  <si>
    <t>06-342 8019</t>
  </si>
  <si>
    <t>Whanganui River Road</t>
  </si>
  <si>
    <t>Te Kōhanga Reo o Te Namu</t>
  </si>
  <si>
    <t>06-761 8843</t>
  </si>
  <si>
    <t>169 Tasman Street</t>
  </si>
  <si>
    <t>Te Kōhanga Reo o Te Rangahaua</t>
  </si>
  <si>
    <t>06-345 1019</t>
  </si>
  <si>
    <t>91-93 Bell Street</t>
  </si>
  <si>
    <t>Te Kōhanga Reo o Hāpaitia</t>
  </si>
  <si>
    <t>06-323 8037</t>
  </si>
  <si>
    <t>hapaitiakohangareo@gmail.com</t>
  </si>
  <si>
    <t>23 Owen Street</t>
  </si>
  <si>
    <t>Te Kōhanga Reo o Tiehutia Te Waka</t>
  </si>
  <si>
    <t>06-342 6683</t>
  </si>
  <si>
    <t>Whangaehu Marae 66 Whangaehu Beach Road</t>
  </si>
  <si>
    <t>Te Kōhanga Reo o Te Whānau Mana Kākano</t>
  </si>
  <si>
    <t>06-354 2436</t>
  </si>
  <si>
    <t>WHANAU@K09E099.kohanga.ac.nz</t>
  </si>
  <si>
    <t>C/- Terrace End School Kauri Street</t>
  </si>
  <si>
    <t>Gisborne Montessori Preschool</t>
  </si>
  <si>
    <t>06-8689182</t>
  </si>
  <si>
    <t>manager@gisbornemontessori.org.nz</t>
  </si>
  <si>
    <t>207 Ormond Road</t>
  </si>
  <si>
    <t>Fiona Dawson</t>
  </si>
  <si>
    <t>Kids House</t>
  </si>
  <si>
    <t>06-8386195</t>
  </si>
  <si>
    <t>kidshouse@xtra.co.nz</t>
  </si>
  <si>
    <t>264 Marine Parade</t>
  </si>
  <si>
    <t>Eirlys Toothill</t>
  </si>
  <si>
    <t>Hawkes Bay 4108</t>
  </si>
  <si>
    <t>06-8383999</t>
  </si>
  <si>
    <t>Gisborne Central Childcare and Education Centre</t>
  </si>
  <si>
    <t>06-8685861</t>
  </si>
  <si>
    <t>centcc@xtra.co.nz</t>
  </si>
  <si>
    <t>237 Palmerston Road</t>
  </si>
  <si>
    <t>Miriam Swarbrick</t>
  </si>
  <si>
    <t>06-8685273</t>
  </si>
  <si>
    <t>Gisborne Community Early Education Centre Te Whare Tiaki Tamariki Inc</t>
  </si>
  <si>
    <t>06-8677565</t>
  </si>
  <si>
    <t>under5s@xtra.co.nz</t>
  </si>
  <si>
    <t>175 Palmerston Road</t>
  </si>
  <si>
    <t>Jay Worsnop</t>
  </si>
  <si>
    <t>P O Box 356</t>
  </si>
  <si>
    <t>021-2108361</t>
  </si>
  <si>
    <t>Gisborne Hospital Childcare &amp; Education Centre Inc</t>
  </si>
  <si>
    <t>06-8690543</t>
  </si>
  <si>
    <t>ghcec@xtra.co.nz</t>
  </si>
  <si>
    <t>423 Ormond Road</t>
  </si>
  <si>
    <t>Randeep Kaur</t>
  </si>
  <si>
    <t>021-02877865</t>
  </si>
  <si>
    <t>Victoria Early Learning Centre</t>
  </si>
  <si>
    <t>027-2221201</t>
  </si>
  <si>
    <t>office@victoriachildcare.co.nz</t>
  </si>
  <si>
    <t>17 Anzac Street</t>
  </si>
  <si>
    <t>Centennial Crescent</t>
  </si>
  <si>
    <t>Larraine Ball</t>
  </si>
  <si>
    <t>P O Box 1185</t>
  </si>
  <si>
    <t>06-8673853</t>
  </si>
  <si>
    <t>Busy Bees Wellington Street</t>
  </si>
  <si>
    <t>info@wellingtonstreet.busybees.org.nz</t>
  </si>
  <si>
    <t>22 and 24 Wellington Street</t>
  </si>
  <si>
    <t>Dianne Brooking</t>
  </si>
  <si>
    <t>Cornerstone Pre-School</t>
  </si>
  <si>
    <t>06-8688932</t>
  </si>
  <si>
    <t>kingdomkidstrust@outlook.com</t>
  </si>
  <si>
    <t>1 Ida Road</t>
  </si>
  <si>
    <t>Heather Alexander</t>
  </si>
  <si>
    <t>P O Box 3082</t>
  </si>
  <si>
    <t>Gisborne 4041</t>
  </si>
  <si>
    <t>027-4039011</t>
  </si>
  <si>
    <t>Kaiti Playcentre</t>
  </si>
  <si>
    <t>027-8631789</t>
  </si>
  <si>
    <t>kaiti@playcentre.org.nz</t>
  </si>
  <si>
    <t>230 Rutene Road</t>
  </si>
  <si>
    <t>Mary-Jane Dixon</t>
  </si>
  <si>
    <t>Mangapapa Playcentre</t>
  </si>
  <si>
    <t>mangapapa@playcentre.org.nz</t>
  </si>
  <si>
    <t>351 Ormond Road</t>
  </si>
  <si>
    <t>Matawai Playcentre</t>
  </si>
  <si>
    <t>matawai@playcentre.org.nz</t>
  </si>
  <si>
    <t>Raumati Street</t>
  </si>
  <si>
    <t>Matawai</t>
  </si>
  <si>
    <t>Waipaoa</t>
  </si>
  <si>
    <t>Wainui Playcentre</t>
  </si>
  <si>
    <t>wainui@playcentre.org.nz</t>
  </si>
  <si>
    <t>60 Wairere Road</t>
  </si>
  <si>
    <t>Wainui-Gisborne</t>
  </si>
  <si>
    <t>Wainui-Okitu</t>
  </si>
  <si>
    <t>Whataupoko Playcentre</t>
  </si>
  <si>
    <t>whataupoko@playcentre.org.nz</t>
  </si>
  <si>
    <t>Central Street</t>
  </si>
  <si>
    <t>Wairoa Playcentre</t>
  </si>
  <si>
    <t>wairoa@playcentre.org.nz</t>
  </si>
  <si>
    <t>22 Lahore Street</t>
  </si>
  <si>
    <t>Woodville Playcentre</t>
  </si>
  <si>
    <t>06-3764901</t>
  </si>
  <si>
    <t>45 Ross Street</t>
  </si>
  <si>
    <t>First Years Preschool</t>
  </si>
  <si>
    <t>06-3747436</t>
  </si>
  <si>
    <t>fyps@xtra.co.nz</t>
  </si>
  <si>
    <t>7 Allardice Street</t>
  </si>
  <si>
    <t>Leanne Teller</t>
  </si>
  <si>
    <t>Manawatu 4930</t>
  </si>
  <si>
    <t>06-374 7436</t>
  </si>
  <si>
    <t>Te Whare Aroha O Nga Mokopuna Early Childhood Centre</t>
  </si>
  <si>
    <t>06-8799018</t>
  </si>
  <si>
    <t>kimiora.ecc@xtra.co.nz</t>
  </si>
  <si>
    <t>1 Boston Cres</t>
  </si>
  <si>
    <t>Gaylene Moore</t>
  </si>
  <si>
    <t>P O Box 15006</t>
  </si>
  <si>
    <t>06-8357354</t>
  </si>
  <si>
    <t>Frimley Park Kindergarten</t>
  </si>
  <si>
    <t>06-8767896</t>
  </si>
  <si>
    <t>frimleypark@hfka.co.nz</t>
  </si>
  <si>
    <t>317 Hapuku Street</t>
  </si>
  <si>
    <t>Taikura Rudolf Steiner Kindergarten</t>
  </si>
  <si>
    <t>412-414 Nelson Street</t>
  </si>
  <si>
    <t>Cornwall Park</t>
  </si>
  <si>
    <t>Emma Fisher</t>
  </si>
  <si>
    <t>06-8704650</t>
  </si>
  <si>
    <t>Future Kids</t>
  </si>
  <si>
    <t>06-8795396</t>
  </si>
  <si>
    <t>director@futurekidspreschool.co.nz</t>
  </si>
  <si>
    <t>1200 Omahu Road</t>
  </si>
  <si>
    <t>Woolwich</t>
  </si>
  <si>
    <t>Omahu Strip</t>
  </si>
  <si>
    <t>Joelle  Pretorius</t>
  </si>
  <si>
    <t>P O Box 1307</t>
  </si>
  <si>
    <t>Waiapu Kids - St. Matthews Early Childhood Centre</t>
  </si>
  <si>
    <t>06-8786924</t>
  </si>
  <si>
    <t>rayna@acw.org.nz</t>
  </si>
  <si>
    <t>207 Lyndon Road West</t>
  </si>
  <si>
    <t>Joanne Hayes</t>
  </si>
  <si>
    <t>Scallywaggs Junior and Middle Kindergarten</t>
  </si>
  <si>
    <t>9 Russell Street</t>
  </si>
  <si>
    <t>Sunny Days</t>
  </si>
  <si>
    <t>06-8422101</t>
  </si>
  <si>
    <t>zonia.f@brightfutures.org.nz</t>
  </si>
  <si>
    <t>30 Barker Road</t>
  </si>
  <si>
    <t>Kerry Henderson</t>
  </si>
  <si>
    <t>06-8778188</t>
  </si>
  <si>
    <t>Lumsden Kindergarten</t>
  </si>
  <si>
    <t>06-8762006</t>
  </si>
  <si>
    <t>rakelle@lumsdenkindergarten.co.nz</t>
  </si>
  <si>
    <t>209 Lumsden Road</t>
  </si>
  <si>
    <t>Akina</t>
  </si>
  <si>
    <t>Rakelle Ru Bay</t>
  </si>
  <si>
    <t>217 Lumsden Place</t>
  </si>
  <si>
    <t>06-876 2006 Ext 2</t>
  </si>
  <si>
    <t>Ōtātara Children's Centre</t>
  </si>
  <si>
    <t>06-9748908</t>
  </si>
  <si>
    <t>sfraser@eit.ac.nz</t>
  </si>
  <si>
    <t>501 Glouchester Street</t>
  </si>
  <si>
    <t>Taradale South</t>
  </si>
  <si>
    <t>Saemone Fraser</t>
  </si>
  <si>
    <t>Port Ahuriri Children's Centre</t>
  </si>
  <si>
    <t>06-8350690</t>
  </si>
  <si>
    <t>port@portcitychildren.co.nz</t>
  </si>
  <si>
    <t>26 Campbell Street</t>
  </si>
  <si>
    <t>Renee Wiggins</t>
  </si>
  <si>
    <t>022-0932822</t>
  </si>
  <si>
    <t>Swinburn House</t>
  </si>
  <si>
    <t>06-8438714</t>
  </si>
  <si>
    <t>swinburnhouse@birthrighthb.org.nz</t>
  </si>
  <si>
    <t>3 Allen Berry Avenue</t>
  </si>
  <si>
    <t>Havelock North Playcentre</t>
  </si>
  <si>
    <t>06-877 5092</t>
  </si>
  <si>
    <t>havelocknorth@Playcentre.org.nz</t>
  </si>
  <si>
    <t>Porter Drive</t>
  </si>
  <si>
    <t>Otamauri Playcentre</t>
  </si>
  <si>
    <t>06-8768448</t>
  </si>
  <si>
    <t>otamauri@Playcentre.org.nz</t>
  </si>
  <si>
    <t>Cnr Taihape &amp; Otamauri Road</t>
  </si>
  <si>
    <t>Otamauri</t>
  </si>
  <si>
    <t>Sherenden-Crownthorpe</t>
  </si>
  <si>
    <t>Mohaka General Ward</t>
  </si>
  <si>
    <t>Ashridge Road Playcentre</t>
  </si>
  <si>
    <t>ashridgeroad@Playcentre.org.nz</t>
  </si>
  <si>
    <t>15 Ashridge Road</t>
  </si>
  <si>
    <t>Port Ahuriri Playcentre</t>
  </si>
  <si>
    <t>06-834 0072</t>
  </si>
  <si>
    <t>portahuriri@Playcentre.org.nz</t>
  </si>
  <si>
    <t>32 Ossian Street</t>
  </si>
  <si>
    <t>Tamatea Playcentre</t>
  </si>
  <si>
    <t>04-844 4421</t>
  </si>
  <si>
    <t>tamatea@Playcentre.org.nz</t>
  </si>
  <si>
    <t>23 Ranfurly Street</t>
  </si>
  <si>
    <t>Tamatea East</t>
  </si>
  <si>
    <t>Taradale Playcentre</t>
  </si>
  <si>
    <t>06-8447558</t>
  </si>
  <si>
    <t>taradale@Playcentre.org.nz</t>
  </si>
  <si>
    <t>13 Peddie Street</t>
  </si>
  <si>
    <t>Bledisloe Park</t>
  </si>
  <si>
    <t>Cornwall Park Playcentre</t>
  </si>
  <si>
    <t>cornwallpark@Playcentre.org.nz</t>
  </si>
  <si>
    <t>15 Holden Ave</t>
  </si>
  <si>
    <t>Haumoana</t>
  </si>
  <si>
    <t>Haumoana Playcentre</t>
  </si>
  <si>
    <t>haumoana@playcentre.org.nz</t>
  </si>
  <si>
    <t>Holden Street</t>
  </si>
  <si>
    <t>Onga Onga Playcentre</t>
  </si>
  <si>
    <t>06-856 6521 </t>
  </si>
  <si>
    <t>ongaonga@Playcentre.org.nz</t>
  </si>
  <si>
    <t>Bridge Street</t>
  </si>
  <si>
    <t>Ongaonga</t>
  </si>
  <si>
    <t>Porangahau Playcentre</t>
  </si>
  <si>
    <t xml:space="preserve">06-855 5459 </t>
  </si>
  <si>
    <t>porangahau@Playcentre.org.nz</t>
  </si>
  <si>
    <t>Keppel Street</t>
  </si>
  <si>
    <t>Porangahau</t>
  </si>
  <si>
    <t>Taurekaitai</t>
  </si>
  <si>
    <t>Tikokino Playcentre</t>
  </si>
  <si>
    <t xml:space="preserve">06-856 5539 </t>
  </si>
  <si>
    <t>tikokino@Playcentre.org.nz</t>
  </si>
  <si>
    <t>Owen Street R D 3</t>
  </si>
  <si>
    <t>Tikokino</t>
  </si>
  <si>
    <t>Mangaonuku</t>
  </si>
  <si>
    <t>Footsteps Adventist Preschool</t>
  </si>
  <si>
    <t>06-8440156</t>
  </si>
  <si>
    <t>rebecca@footstepspreschool.co.nz</t>
  </si>
  <si>
    <t>105 Tait Drive</t>
  </si>
  <si>
    <t>Rebecca Zajonskowski</t>
  </si>
  <si>
    <t>P O Box 5085</t>
  </si>
  <si>
    <t>022-3178062</t>
  </si>
  <si>
    <t>Waiapu Kids - Te Hapara Whanau Aroha</t>
  </si>
  <si>
    <t>06-8676770</t>
  </si>
  <si>
    <t>776 Childers Road</t>
  </si>
  <si>
    <t>Natasha Johnson</t>
  </si>
  <si>
    <t>021-1864929</t>
  </si>
  <si>
    <t>City Childrens Centre</t>
  </si>
  <si>
    <t>06-8351917</t>
  </si>
  <si>
    <t>christine@portcitychildren.co.nz</t>
  </si>
  <si>
    <t>52 Vautier Street</t>
  </si>
  <si>
    <t>Napier Central</t>
  </si>
  <si>
    <t xml:space="preserve">Christine  Downing </t>
  </si>
  <si>
    <t>06-8357272</t>
  </si>
  <si>
    <t>BestStart Mahora</t>
  </si>
  <si>
    <t>06-8765035</t>
  </si>
  <si>
    <t>mahora@best-start.org</t>
  </si>
  <si>
    <t>504 Frederick Street</t>
  </si>
  <si>
    <t>Tomoana Crossing</t>
  </si>
  <si>
    <t>Greendale Kids Nursery</t>
  </si>
  <si>
    <t>06-8444741</t>
  </si>
  <si>
    <t>55 Osier Road</t>
  </si>
  <si>
    <t>69 King Street</t>
  </si>
  <si>
    <t>Barnardos Early Learning Centre Hastings</t>
  </si>
  <si>
    <t>06-8769548</t>
  </si>
  <si>
    <t>hastings.elc@barnardos.org.nz</t>
  </si>
  <si>
    <t>1201 A Cunningham Crescent</t>
  </si>
  <si>
    <t>Diane Rudge</t>
  </si>
  <si>
    <t>06-8767542</t>
  </si>
  <si>
    <t>Te Kōhanga Reo o Taniwaka</t>
  </si>
  <si>
    <t>06-374 9263</t>
  </si>
  <si>
    <t>whanau@k08g015.kohanga.ac.nz</t>
  </si>
  <si>
    <t>16 Tennyson Street</t>
  </si>
  <si>
    <t>Te Kōhanga Reo o Te Kapua o te Rangi</t>
  </si>
  <si>
    <t>06-376 6036</t>
  </si>
  <si>
    <t>whanau@k08g019.kohanga.ac.nz</t>
  </si>
  <si>
    <t>Riccarton Road</t>
  </si>
  <si>
    <t>Heke Huata</t>
  </si>
  <si>
    <t>Te Kōhanga Reo o E Tipu E Rea Taraia</t>
  </si>
  <si>
    <t>06-843 3398</t>
  </si>
  <si>
    <t>whanau@k08b055.kohanga.ac.nz</t>
  </si>
  <si>
    <t>36 Shackleton Street</t>
  </si>
  <si>
    <t>Te Kōhanga Reo O Heretaunga</t>
  </si>
  <si>
    <t>06-878 7690</t>
  </si>
  <si>
    <t>whanau@k08c003.kohanga.ac.nz</t>
  </si>
  <si>
    <t>500 Kiwi Street</t>
  </si>
  <si>
    <t>Te Kōhanga Reo o Moteo</t>
  </si>
  <si>
    <t>06-844 3066</t>
  </si>
  <si>
    <t>WHANAU@K08B034.kohanga.ac.nz</t>
  </si>
  <si>
    <t>Moteo Pa Road</t>
  </si>
  <si>
    <t>Puketapu</t>
  </si>
  <si>
    <t>Puketapu-Eskdale</t>
  </si>
  <si>
    <t>Te Kōhanga Reo o Waipatu</t>
  </si>
  <si>
    <t>06-878 2903</t>
  </si>
  <si>
    <t>whanau@k08c031.kohanga.ac.nz</t>
  </si>
  <si>
    <t>Waipatu Marae 75 Karamu Road</t>
  </si>
  <si>
    <t>Tomoana</t>
  </si>
  <si>
    <t>Te Kōhanga Reo o Whakatū</t>
  </si>
  <si>
    <t>06-870 0580</t>
  </si>
  <si>
    <t>k08b022.whakatu.kohanga@gmail.com</t>
  </si>
  <si>
    <t>17 Essex Crescent</t>
  </si>
  <si>
    <t>Whakatu</t>
  </si>
  <si>
    <t>Mona Stewart</t>
  </si>
  <si>
    <t>06-8700580</t>
  </si>
  <si>
    <t>Te Kōhanga Reo o Waimarama</t>
  </si>
  <si>
    <t>06-874 6623</t>
  </si>
  <si>
    <t>whanau@k08c058.kohanga.ac.nz</t>
  </si>
  <si>
    <t>C/- Waimarama Store 6 Taupunga Road</t>
  </si>
  <si>
    <t>Waimarama</t>
  </si>
  <si>
    <t>Kahuranaki</t>
  </si>
  <si>
    <t>Te Kōhanga Reo o Waipawa</t>
  </si>
  <si>
    <t>06-857 8393</t>
  </si>
  <si>
    <t>whanau@k08f018.kohanga.ac.nz</t>
  </si>
  <si>
    <t>87 Abbotsford Road</t>
  </si>
  <si>
    <t>Te Kōhanga Reo o Te Kūpenga o Te Mātauranga</t>
  </si>
  <si>
    <t>06-843 2683</t>
  </si>
  <si>
    <t>whanau@k08b010.kohanga.ac.nz</t>
  </si>
  <si>
    <t>0 Dick Place</t>
  </si>
  <si>
    <t>Onekawa South</t>
  </si>
  <si>
    <t>Te Kōhanga Reo o Taihoa</t>
  </si>
  <si>
    <t>06-838 7233</t>
  </si>
  <si>
    <t>WHANAU@K06C004.kohanga.ac.nz</t>
  </si>
  <si>
    <t>Main Road North</t>
  </si>
  <si>
    <t>Te Kōhanga Reo o Pākōwhai</t>
  </si>
  <si>
    <t>06-862 7555</t>
  </si>
  <si>
    <t>WHANAU@K06B050.kohanga.ac.nz</t>
  </si>
  <si>
    <t>402 Lavenham Road</t>
  </si>
  <si>
    <t>Te Arai</t>
  </si>
  <si>
    <t>Te Kōhanga Reo o Rongowhakaata</t>
  </si>
  <si>
    <t>06-862 8730</t>
  </si>
  <si>
    <t>WHANAU@K06A006.kohanga.ac.nz</t>
  </si>
  <si>
    <t>Whakato Marae 33 Whakato Road</t>
  </si>
  <si>
    <t>Manutuke</t>
  </si>
  <si>
    <t>Ricky Tuari</t>
  </si>
  <si>
    <t>022-1642414</t>
  </si>
  <si>
    <t>Te Kōhanga Reo o Manutuke</t>
  </si>
  <si>
    <t>06-862 8871</t>
  </si>
  <si>
    <t>WHANAU@K06A038.kohanga.ac.nz</t>
  </si>
  <si>
    <t>73 Whakato Road</t>
  </si>
  <si>
    <t>Te Kōhanga Reo o E Tipu</t>
  </si>
  <si>
    <t>06-862 6756</t>
  </si>
  <si>
    <t>WHANAU@K06E013.kohanga.ac.nz</t>
  </si>
  <si>
    <t>29 Hauiti Road</t>
  </si>
  <si>
    <t>Tolaga Bay</t>
  </si>
  <si>
    <t>Wharekaka</t>
  </si>
  <si>
    <t>Te Kōhanga Reo o Hinerupe</t>
  </si>
  <si>
    <t>06-864 4658</t>
  </si>
  <si>
    <t>WHANAU@K06D012.kohanga.ac.nz</t>
  </si>
  <si>
    <t>3 Rimu Street</t>
  </si>
  <si>
    <t>Te Araroa</t>
  </si>
  <si>
    <t>Te Kōhanga Reo o Te Pāhou</t>
  </si>
  <si>
    <t>06-862 8725</t>
  </si>
  <si>
    <t>WHANAU@K06A051.kohanga.ac.nz</t>
  </si>
  <si>
    <t>34 Tuaraki Road</t>
  </si>
  <si>
    <t>Mihi Tashkoff</t>
  </si>
  <si>
    <t>06-8626181</t>
  </si>
  <si>
    <t>Te Kōhanga Reo o Marotiri</t>
  </si>
  <si>
    <t>06-864 5645</t>
  </si>
  <si>
    <t>WHANAU@K06E046.kohanga.ac.nz</t>
  </si>
  <si>
    <t>121 Beach Road</t>
  </si>
  <si>
    <t>Tokomaru Bay</t>
  </si>
  <si>
    <t>Te Kōhanga Reo o Waiapu</t>
  </si>
  <si>
    <t>06-8643825</t>
  </si>
  <si>
    <t>WHANAU@K06D014.kohanga.ac.nz</t>
  </si>
  <si>
    <t>c/o Rāhui Marae Main Road</t>
  </si>
  <si>
    <t>Tikitiki</t>
  </si>
  <si>
    <t>Te Kōhanga Reo o Te Rau O Te Oriwa</t>
  </si>
  <si>
    <t>06-837 6865</t>
  </si>
  <si>
    <t>whanau@k08a060.kohanga.ac.nz</t>
  </si>
  <si>
    <t>Putere Road</t>
  </si>
  <si>
    <t>Te Kōhanga Reo o Poukawa ki Kahuranaki</t>
  </si>
  <si>
    <t>06-874 8538</t>
  </si>
  <si>
    <t>whanau@k08c002.kohanga.ac.nz</t>
  </si>
  <si>
    <t>Main Road, R D 2</t>
  </si>
  <si>
    <t>Te Hauke</t>
  </si>
  <si>
    <t>Poukawa</t>
  </si>
  <si>
    <t>Te Kōhanga Reo o Te Reo Aroha</t>
  </si>
  <si>
    <t>06-876 2542</t>
  </si>
  <si>
    <t>WHANAU@K08E041.kohanga.ac.nz</t>
  </si>
  <si>
    <t>103 Alexandra Cres</t>
  </si>
  <si>
    <t>Te Kōhanga Reo o Waipukurau</t>
  </si>
  <si>
    <t>06-858 9648</t>
  </si>
  <si>
    <t>whanau@k08f013.kohanga.ac.nz</t>
  </si>
  <si>
    <t>2330 Takapau Road</t>
  </si>
  <si>
    <t>Te Kōhanga Reo o Te Kūpenga a Te Huki</t>
  </si>
  <si>
    <t>06-876 2906</t>
  </si>
  <si>
    <t>whanau@k08c027.kohanga.ac.nz</t>
  </si>
  <si>
    <t>76 Old Main Road</t>
  </si>
  <si>
    <t>Pakipaki</t>
  </si>
  <si>
    <t>Longlands-Pukahu</t>
  </si>
  <si>
    <t>Kellie Jessup</t>
  </si>
  <si>
    <t>06-8797345</t>
  </si>
  <si>
    <t>Te Kōhanga Reo o Te Manawanui ki Kimiora</t>
  </si>
  <si>
    <t>06-879 9602</t>
  </si>
  <si>
    <t>WHANAU@K08D050.kohanga.ac.nz</t>
  </si>
  <si>
    <t>58 Tarbet Street</t>
  </si>
  <si>
    <t>Te Kōhanga Reo o Te Whakaruruhau</t>
  </si>
  <si>
    <t>06-868 4342</t>
  </si>
  <si>
    <t>whanau@k06f023.kohanga.ac.nz</t>
  </si>
  <si>
    <t>170 Tyndall Road</t>
  </si>
  <si>
    <t>Te Kōhanga Reo o Tauparanui Ki Heretaunga</t>
  </si>
  <si>
    <t>06-879 9709</t>
  </si>
  <si>
    <t>whanau@k08c048.kohanga.ac.nz</t>
  </si>
  <si>
    <t>1 Maraekakaho Road</t>
  </si>
  <si>
    <t>Kahungunu Kāhui Ako</t>
  </si>
  <si>
    <t>Te Kōhanga Reo o Kaitoki</t>
  </si>
  <si>
    <t>06-374 8578</t>
  </si>
  <si>
    <t>whanau@k08g028.kohanga.ac.nz</t>
  </si>
  <si>
    <t>20 Kaitoke River Road</t>
  </si>
  <si>
    <t>Waitahora</t>
  </si>
  <si>
    <t>06-376 5069</t>
  </si>
  <si>
    <t>whanau@k08g030.kohanmga.ac.nz</t>
  </si>
  <si>
    <t>Cnr Vogel &amp; Tay Streets</t>
  </si>
  <si>
    <t>Te Kōhanga reo o Mangaroa</t>
  </si>
  <si>
    <t>06-879 9192</t>
  </si>
  <si>
    <t>whanau@k08c052.kohanga.ac.nz</t>
  </si>
  <si>
    <t>3 Raukawa Road</t>
  </si>
  <si>
    <t>Bridge Pa</t>
  </si>
  <si>
    <t>Te Kōhanga Reo o Te Maara a Tāwhao</t>
  </si>
  <si>
    <t>06-844 9787</t>
  </si>
  <si>
    <t>WHANAU@K08B035.kohanga.ac.nz</t>
  </si>
  <si>
    <t>68 King Street</t>
  </si>
  <si>
    <t>Te Kōhanga Reo o Kimihia te kupu</t>
  </si>
  <si>
    <t>06-868 1430</t>
  </si>
  <si>
    <t>WHANAU@K06F037.kohanga.ac.nz</t>
  </si>
  <si>
    <t>6 Jackson Street</t>
  </si>
  <si>
    <t>Te Kōhanga Reo o Te Ao Marama</t>
  </si>
  <si>
    <t>06-843 9116</t>
  </si>
  <si>
    <t>WHANAU@K08B016.kohanga.ac.nz</t>
  </si>
  <si>
    <t>2 A Bledisloe Road</t>
  </si>
  <si>
    <t>Jean Beamsley</t>
  </si>
  <si>
    <t>06-8433407</t>
  </si>
  <si>
    <t>Te Kōhanga Reo o Te Amorangi Hāpai o Rongokako</t>
  </si>
  <si>
    <t>06-876 6614</t>
  </si>
  <si>
    <t>WHANAU@K08C057.kohanga.ac.nz</t>
  </si>
  <si>
    <t>116 Duchess Crescent</t>
  </si>
  <si>
    <t>Te Kōhanga Reo o Waitakaro</t>
  </si>
  <si>
    <t>06-864 8114</t>
  </si>
  <si>
    <t>WHANAU@K06E008.kohanga.ac.nz</t>
  </si>
  <si>
    <t>6712 Waiapu Rd, Hiruharama</t>
  </si>
  <si>
    <t>Te Kōhanga Reo o Te Tihi O Tītīrangi</t>
  </si>
  <si>
    <t>06-8672021</t>
  </si>
  <si>
    <t>WHANAU@K06F065.kohanga.ac.nz</t>
  </si>
  <si>
    <t>Ranfurly, St</t>
  </si>
  <si>
    <t>Jordan Smith</t>
  </si>
  <si>
    <t>Patoka Rural Kindergarten</t>
  </si>
  <si>
    <t>06-8398817</t>
  </si>
  <si>
    <t>patoka.kindy@xtra.co.nz</t>
  </si>
  <si>
    <t>1 Hendley Road R D 4</t>
  </si>
  <si>
    <t>Patoka</t>
  </si>
  <si>
    <t>Puketitiri-Tutira</t>
  </si>
  <si>
    <t xml:space="preserve">Kelly  Dinneen </t>
  </si>
  <si>
    <t>1 Hendley Road RD 4</t>
  </si>
  <si>
    <t>Napier 4184</t>
  </si>
  <si>
    <t>06-839 3317</t>
  </si>
  <si>
    <t>Te Kōhanga Reo o Pūnanga Te Wao</t>
  </si>
  <si>
    <t>06-6502000</t>
  </si>
  <si>
    <t>whanau@K08B051.kohanga.ac.nz</t>
  </si>
  <si>
    <t>16A School Road</t>
  </si>
  <si>
    <t>Ngā Oho Mata Kamo Kamo Te Kōhanga Reo o Korongata</t>
  </si>
  <si>
    <t>06-879 8222</t>
  </si>
  <si>
    <t>whanau@k08e047.kohang.ac.nz</t>
  </si>
  <si>
    <t>Maraekakaho Road</t>
  </si>
  <si>
    <t>Te Kōhanga Reo o Awatea Hou</t>
  </si>
  <si>
    <t>06-879 4615</t>
  </si>
  <si>
    <t>WHANAU@K08E059.kohanga.ac.nz</t>
  </si>
  <si>
    <t>49 Cartier Crescent</t>
  </si>
  <si>
    <t>In Our Garden</t>
  </si>
  <si>
    <t>06-8767143</t>
  </si>
  <si>
    <t>inourgarden.info@gmail.com</t>
  </si>
  <si>
    <t>920 Francis Hicks Avenue</t>
  </si>
  <si>
    <t>Vicki Bentley</t>
  </si>
  <si>
    <t>40 Napier Street</t>
  </si>
  <si>
    <t>06-8453925</t>
  </si>
  <si>
    <t>Te Kōhanga Reo o Ngā Whānau Whānui</t>
  </si>
  <si>
    <t>06-8626517</t>
  </si>
  <si>
    <t>WHANAU@K06E060.kohanga.ac.nz</t>
  </si>
  <si>
    <t>1 Tauwhareparae Road</t>
  </si>
  <si>
    <t>Te Kōhanga Reo o Ruataniwha</t>
  </si>
  <si>
    <t>06-838 6162</t>
  </si>
  <si>
    <t>WHANAU@K06C052.kohanga.ac.nz</t>
  </si>
  <si>
    <t>Ruataniwha Road</t>
  </si>
  <si>
    <t>Whakaki</t>
  </si>
  <si>
    <t>Te Kōhanga Reo o Waiohiki</t>
  </si>
  <si>
    <t>06-844 4733</t>
  </si>
  <si>
    <t>WHANAU@K08B009.kohanga.ac.nz</t>
  </si>
  <si>
    <t>40 Waiohiki Road</t>
  </si>
  <si>
    <t>Omahu-Pakowhai</t>
  </si>
  <si>
    <t>Kahuroa Reihana</t>
  </si>
  <si>
    <t>06-8444733</t>
  </si>
  <si>
    <t>Te Kōhanga Reo o Te Ūpokoiri ki Ōmahu</t>
  </si>
  <si>
    <t>06-879 6022</t>
  </si>
  <si>
    <t>whanau@k08c001.kohnga.ac.nz</t>
  </si>
  <si>
    <t>16 Taihape Road</t>
  </si>
  <si>
    <t>Te Kōhanga Reo o Turi Pai Whenua</t>
  </si>
  <si>
    <t>06-877 8475</t>
  </si>
  <si>
    <t>whanau@k08c064.kohanga.ac.nz</t>
  </si>
  <si>
    <t>13 Sefton Street</t>
  </si>
  <si>
    <t xml:space="preserve">Owen Hapuku </t>
  </si>
  <si>
    <t>06-8778475</t>
  </si>
  <si>
    <t>Te Kōhanga Reo o Waihirere</t>
  </si>
  <si>
    <t>06-862 5866</t>
  </si>
  <si>
    <t>Whanau@k06b009.kohanga.ac.nz</t>
  </si>
  <si>
    <t>Domain Road</t>
  </si>
  <si>
    <t>Waihirere</t>
  </si>
  <si>
    <t>Hexton</t>
  </si>
  <si>
    <t>Te Kōhanga Reo o Te Ao Tawarirangi</t>
  </si>
  <si>
    <t>06-864 5756</t>
  </si>
  <si>
    <t>WHANAU@K06E036.kohanga.ac.nz</t>
  </si>
  <si>
    <t>Rapid # 3 Waima Road</t>
  </si>
  <si>
    <t>Te Kōhanga Reo o Ao Te Rangi</t>
  </si>
  <si>
    <t>06-879 7274</t>
  </si>
  <si>
    <t>WHANAU@K08D068.kohanga.ac.nz</t>
  </si>
  <si>
    <t>33 Ardrossan Avenue</t>
  </si>
  <si>
    <t>Te Kōhanga Reo o Te Whānau a Hinetāpora</t>
  </si>
  <si>
    <t>06-864 8131</t>
  </si>
  <si>
    <t>WHANAU@K06E034.kohanga.ac.nz</t>
  </si>
  <si>
    <t>227 Tuparoa Rd</t>
  </si>
  <si>
    <t>Te Kōhanga Reo o Te Whānau Pani ki Wharekāhika</t>
  </si>
  <si>
    <t>06-864 4555</t>
  </si>
  <si>
    <t>WHANAU@K06D011.kohanga.ac.nz</t>
  </si>
  <si>
    <t>Marae Road</t>
  </si>
  <si>
    <t>Havelock North Village Kids</t>
  </si>
  <si>
    <t>06-8775268</t>
  </si>
  <si>
    <t>marilyn@hnvillagekids.co.nz</t>
  </si>
  <si>
    <t>29 Napier Road</t>
  </si>
  <si>
    <t>Marilyn Van Asch</t>
  </si>
  <si>
    <t>06-8431031</t>
  </si>
  <si>
    <t>Ormond Kindergarten</t>
  </si>
  <si>
    <t>06-8625401</t>
  </si>
  <si>
    <t>ormondkgtn@xtra.co.nz</t>
  </si>
  <si>
    <t>45 Whitmore Road</t>
  </si>
  <si>
    <t>Ormond</t>
  </si>
  <si>
    <t>Awapuni Early Learners</t>
  </si>
  <si>
    <t>06-8687508</t>
  </si>
  <si>
    <t>awapuniearlylearners@gmail.com</t>
  </si>
  <si>
    <t>129 Awapuni Rd</t>
  </si>
  <si>
    <t>Makaraka-Awapuni</t>
  </si>
  <si>
    <t>Kylie Moore</t>
  </si>
  <si>
    <t>06-2810169</t>
  </si>
  <si>
    <t>Te Kōhanga Reo o Tūraki Ao</t>
  </si>
  <si>
    <t>06-868 7000</t>
  </si>
  <si>
    <t>WHANAU@K06F044.kohanga.ac.nz</t>
  </si>
  <si>
    <t>164 Lytton Road</t>
  </si>
  <si>
    <t>Makauri Rural Kindergarten</t>
  </si>
  <si>
    <t>06-8674728</t>
  </si>
  <si>
    <t>makauriruralkindergarten@xtra.co.nz</t>
  </si>
  <si>
    <t>120 Kings Road</t>
  </si>
  <si>
    <t>Te Kōhanga Reo o Te Whakakotahitanga</t>
  </si>
  <si>
    <t>06-870 1054</t>
  </si>
  <si>
    <t>WHANAU@K08B033.kohanga.ac.nz</t>
  </si>
  <si>
    <t>Te Kōhanga Reo o Te Whānau o Te Rākato</t>
  </si>
  <si>
    <t>06-837 5893</t>
  </si>
  <si>
    <t>WHANAU@K06C016.kohanga.ac.nz</t>
  </si>
  <si>
    <t>Kaiwaitau Road</t>
  </si>
  <si>
    <t>Mahia</t>
  </si>
  <si>
    <t>Te Kōhanga Reo o Iti Noa</t>
  </si>
  <si>
    <t>06-863 3233</t>
  </si>
  <si>
    <t>WHANAU@K06B073.kohanga.ac.nz</t>
  </si>
  <si>
    <t>432 Palmerstone Rd</t>
  </si>
  <si>
    <t>Te Kōhanga Reo o Whaakirangi</t>
  </si>
  <si>
    <t>06-838 6647</t>
  </si>
  <si>
    <t>whanau@k08a082.kohanga.ac.nz</t>
  </si>
  <si>
    <t>171 Frasertown Road</t>
  </si>
  <si>
    <t>Frasertown</t>
  </si>
  <si>
    <t>06-838 5001</t>
  </si>
  <si>
    <t>whanau@k08a075.kohanga.ac.nz</t>
  </si>
  <si>
    <t>74 Clyde Road</t>
  </si>
  <si>
    <t>Te Kōhanga Reo o Te Puāwaitanga o Te Reo</t>
  </si>
  <si>
    <t>06-838 6912</t>
  </si>
  <si>
    <t>whanau@k08a103.kohanga.ac.nz</t>
  </si>
  <si>
    <t>36 McLean Street</t>
  </si>
  <si>
    <t>Little Magpies Childcare Centre</t>
  </si>
  <si>
    <t>Te Kōhanga Reo o Te Waihīrere</t>
  </si>
  <si>
    <t>06-838 4839</t>
  </si>
  <si>
    <t>whanau@k06c015.kohanga.ac.nz</t>
  </si>
  <si>
    <t>Waihīrere Road</t>
  </si>
  <si>
    <t>Te Kōhanga Reo o Whanake te Kura</t>
  </si>
  <si>
    <t>06-879 4411</t>
  </si>
  <si>
    <t>whanau@k08e095.kohanga.ac.nz</t>
  </si>
  <si>
    <t>3 Swansea Road</t>
  </si>
  <si>
    <t>Te Kōhanga Reo o Te Pūtake Whakatupuranga</t>
  </si>
  <si>
    <t>06-868 4318</t>
  </si>
  <si>
    <t>WHANAU@K06F005.kohanga.ac.nz</t>
  </si>
  <si>
    <t>12 Northcote Road</t>
  </si>
  <si>
    <t>Te Kōhanga Reo o Nūhaka</t>
  </si>
  <si>
    <t>06-837 8518</t>
  </si>
  <si>
    <t>whanau@k08a115.kohanga.ac.nz</t>
  </si>
  <si>
    <t>Waikokopu Road</t>
  </si>
  <si>
    <t>Nuhaka</t>
  </si>
  <si>
    <t>Te Kōhanga Reo o Te Kōwhai</t>
  </si>
  <si>
    <t>06-879 5516</t>
  </si>
  <si>
    <t>WHANAU@K08D091.kohanga.ac.nz</t>
  </si>
  <si>
    <t>4 Fleetwood Crescent</t>
  </si>
  <si>
    <t>Te Kōhanga Reo o Te Pou Herenga Waka o Te Whakapono</t>
  </si>
  <si>
    <t>06-843 4630</t>
  </si>
  <si>
    <t>WHANAU@K08B087.kohanga.ac.nz</t>
  </si>
  <si>
    <t>149 Latham Street</t>
  </si>
  <si>
    <t>Te Kōhanga Reo o Te Ara Hou</t>
  </si>
  <si>
    <t>06-842 1509</t>
  </si>
  <si>
    <t>WHANAU@K08E090.kohanga.ac.nz</t>
  </si>
  <si>
    <t>22 Wycliffe Street</t>
  </si>
  <si>
    <t>Catherine McLean</t>
  </si>
  <si>
    <t>06-8421509</t>
  </si>
  <si>
    <t>Te Kōhanga Reo o Keita Pūriri raua ko Hana Cotter</t>
  </si>
  <si>
    <t>06-843 0572</t>
  </si>
  <si>
    <t>k.a.puriri.tkr@gmail.com</t>
  </si>
  <si>
    <t>10 Lowry Terrace</t>
  </si>
  <si>
    <t>Donna Hapuku</t>
  </si>
  <si>
    <t>06-8430572</t>
  </si>
  <si>
    <t>Premier Preschool Johnsonville</t>
  </si>
  <si>
    <t>04-9398247</t>
  </si>
  <si>
    <t>12 Morgan Street</t>
  </si>
  <si>
    <t>Jiana Lyu</t>
  </si>
  <si>
    <t xml:space="preserve">8 Lomita Road, </t>
  </si>
  <si>
    <t xml:space="preserve">Wellington </t>
  </si>
  <si>
    <t>04-939 8247</t>
  </si>
  <si>
    <t>Waiapu Kids - Abbotsford</t>
  </si>
  <si>
    <t>06-857 8965</t>
  </si>
  <si>
    <t>admin.abbotsford@acw.org.nz</t>
  </si>
  <si>
    <t>16 Kenilworth Street</t>
  </si>
  <si>
    <t>Happy Days Child Care Centre</t>
  </si>
  <si>
    <t>06-8450505</t>
  </si>
  <si>
    <t>18 White Street</t>
  </si>
  <si>
    <t>Meagan Frewin</t>
  </si>
  <si>
    <t>6 Hulme Place</t>
  </si>
  <si>
    <t>027-6646593</t>
  </si>
  <si>
    <t>Bay Buddies Preschool Tamatea</t>
  </si>
  <si>
    <t>06-8449124</t>
  </si>
  <si>
    <t>247 Westminster Avenue</t>
  </si>
  <si>
    <t>P O Box 133240</t>
  </si>
  <si>
    <t>Kiwi Kidz Community Early Education Centre</t>
  </si>
  <si>
    <t>06-8783721</t>
  </si>
  <si>
    <t>kiwikidz.hastings@xtra.co.nz</t>
  </si>
  <si>
    <t>508 Pakowhai Road</t>
  </si>
  <si>
    <t>Stortford Lodge</t>
  </si>
  <si>
    <t>Tania Bennett</t>
  </si>
  <si>
    <t>06-8799720</t>
  </si>
  <si>
    <t>Te Kōhanga Reo o Ngā Pāharakeke</t>
  </si>
  <si>
    <t>06-879 9937</t>
  </si>
  <si>
    <t>WHANAU@K08C025.kohanga.ac.nz</t>
  </si>
  <si>
    <t>97 Dundee Drive</t>
  </si>
  <si>
    <t>Te Kōhanga Reo o Ōtane</t>
  </si>
  <si>
    <t>06-856 8465</t>
  </si>
  <si>
    <t>whanau@k08f053.kohanga.ac.nz</t>
  </si>
  <si>
    <t>53 Higginson Street</t>
  </si>
  <si>
    <t>Otane</t>
  </si>
  <si>
    <t>Mangarara</t>
  </si>
  <si>
    <t>06-838 8130</t>
  </si>
  <si>
    <t>whanau@k08a089.kohanga.ac.nz</t>
  </si>
  <si>
    <t>94 Pakowhai Road</t>
  </si>
  <si>
    <t>Frasertown-Ruakituri</t>
  </si>
  <si>
    <t>Chuckles Learning Centre</t>
  </si>
  <si>
    <t>06-8700178</t>
  </si>
  <si>
    <t>angela.jarrett@xtra.co.nz</t>
  </si>
  <si>
    <t>127 Main Road</t>
  </si>
  <si>
    <t xml:space="preserve">Angela  Jarrett </t>
  </si>
  <si>
    <t>72 Shrimpton Road</t>
  </si>
  <si>
    <t>Hawkes Bay 4102</t>
  </si>
  <si>
    <t>06-8751124</t>
  </si>
  <si>
    <t>Rockmybaby ECE Napier</t>
  </si>
  <si>
    <t>info@rockmybabynapier.co.nz</t>
  </si>
  <si>
    <t>129 Latham Street</t>
  </si>
  <si>
    <t>Scallywaggs Senior Kindergarten</t>
  </si>
  <si>
    <t>7 Russell Street</t>
  </si>
  <si>
    <t>BestStart Raureka</t>
  </si>
  <si>
    <t>06-8760499</t>
  </si>
  <si>
    <t>raureka@best-start.org</t>
  </si>
  <si>
    <t>810 Oliphant Road</t>
  </si>
  <si>
    <t>BestStart Napier Central</t>
  </si>
  <si>
    <t>06-8431173</t>
  </si>
  <si>
    <t>napier@best-start.org</t>
  </si>
  <si>
    <t>152 - 154  Kennedy Road</t>
  </si>
  <si>
    <t>Manaaki Tamariki Childcare and Education Centre</t>
  </si>
  <si>
    <t>06-8690842</t>
  </si>
  <si>
    <t>childcare@eit.ac.nz</t>
  </si>
  <si>
    <t>77 Cobden Street</t>
  </si>
  <si>
    <t>Gillian Evenbly</t>
  </si>
  <si>
    <t>P O Box 640</t>
  </si>
  <si>
    <t>Te Kōhanga Reo o Te Awa o Te Atua</t>
  </si>
  <si>
    <t>06-879 8265</t>
  </si>
  <si>
    <t>whanau@k08e077.kohanga.ac.nz</t>
  </si>
  <si>
    <t>9 Burton Crescent</t>
  </si>
  <si>
    <t>Paikea Kindergarten</t>
  </si>
  <si>
    <t>06-8622928</t>
  </si>
  <si>
    <t>paikeakgtn@xtra.co.nz</t>
  </si>
  <si>
    <t>Whangara  School Pa Road</t>
  </si>
  <si>
    <t>Whangara</t>
  </si>
  <si>
    <t>Te Kōhanga Reo o Te Kāinga o Te Koraha</t>
  </si>
  <si>
    <t>06-838 3105</t>
  </si>
  <si>
    <t>whanau@k08a102.kohanga.ac.nz</t>
  </si>
  <si>
    <t>33 Mitchell Road</t>
  </si>
  <si>
    <t>Te Karaka Preschool</t>
  </si>
  <si>
    <t>06-8623865</t>
  </si>
  <si>
    <t>TKKpreschool@xtra.co.nz</t>
  </si>
  <si>
    <t>Kanakanakia Road</t>
  </si>
  <si>
    <t>Te Karaka-Gisborne</t>
  </si>
  <si>
    <t xml:space="preserve">DIANA TRAFFORD </t>
  </si>
  <si>
    <t>13 Kanakanaia Road</t>
  </si>
  <si>
    <t>Te Karaka</t>
  </si>
  <si>
    <t>Gisborne 4022</t>
  </si>
  <si>
    <t>Kereru Tots 'n' Dots Early Childhood Centre</t>
  </si>
  <si>
    <t>027-2321497</t>
  </si>
  <si>
    <t>Kereru Road</t>
  </si>
  <si>
    <t>Megan Linnell</t>
  </si>
  <si>
    <t>2296 Kereru Road RD 1</t>
  </si>
  <si>
    <t>Hastings 4171</t>
  </si>
  <si>
    <t>06-8749005</t>
  </si>
  <si>
    <t>Te Kōhanga Reo o Manawanui</t>
  </si>
  <si>
    <t>04-237 9814</t>
  </si>
  <si>
    <t>WHANAU@K09B095.kohanga.ac.nz</t>
  </si>
  <si>
    <t>146 Mungavin Avenue</t>
  </si>
  <si>
    <t>Childspace Early Learning Centre - Wilton</t>
  </si>
  <si>
    <t>04-4756252</t>
  </si>
  <si>
    <t>wilton@childspace.nz</t>
  </si>
  <si>
    <t>213 Wilton Road</t>
  </si>
  <si>
    <t>Rebecca Gray</t>
  </si>
  <si>
    <t>45 Helston Road</t>
  </si>
  <si>
    <t>Te Kāhui Ako o Te Whanganui-a-Tara</t>
  </si>
  <si>
    <t>Tutira Kindergarten</t>
  </si>
  <si>
    <t>06-8397818</t>
  </si>
  <si>
    <t>tutirakindergarten@gmail.com</t>
  </si>
  <si>
    <t>3847 State Highway 2</t>
  </si>
  <si>
    <t>Tutira</t>
  </si>
  <si>
    <t>Puketapu Community Early Childhood Education Centre</t>
  </si>
  <si>
    <t>06-8450937</t>
  </si>
  <si>
    <t>chairperson@puketapupreschool.co.nz</t>
  </si>
  <si>
    <t>693 Puketapu Road</t>
  </si>
  <si>
    <t>Virginia Wilson</t>
  </si>
  <si>
    <t>693 Puketapu Road RD RD 3</t>
  </si>
  <si>
    <t>Puketapu Postcentre</t>
  </si>
  <si>
    <t>Napier 4183</t>
  </si>
  <si>
    <t>027-44442584</t>
  </si>
  <si>
    <t>Cole Street Early Learning Centre</t>
  </si>
  <si>
    <t>06-3774822</t>
  </si>
  <si>
    <t>colestreetelc@gmail.com</t>
  </si>
  <si>
    <t>97 Cole Street</t>
  </si>
  <si>
    <t>Colette Clarkson</t>
  </si>
  <si>
    <t>Te Kōhanga Reo o Kahu o Te Rangi</t>
  </si>
  <si>
    <t>06-879 8650</t>
  </si>
  <si>
    <t>WHANAU@K08E098.kohanga.ac.nz</t>
  </si>
  <si>
    <t>3 Ramsey Place</t>
  </si>
  <si>
    <t>Houghton Valley Playcentre</t>
  </si>
  <si>
    <t>04-3877614</t>
  </si>
  <si>
    <t>houghtonvalley@playcentre.org.nz</t>
  </si>
  <si>
    <t>84 Houghton Valley Road</t>
  </si>
  <si>
    <t>Houghton Bay</t>
  </si>
  <si>
    <t>Louise Turnbull</t>
  </si>
  <si>
    <t>04-280 2410</t>
  </si>
  <si>
    <t>Conductive Education Wellington</t>
  </si>
  <si>
    <t>04-5773480</t>
  </si>
  <si>
    <t>cewt@xtra.co.nz</t>
  </si>
  <si>
    <t>35 Wheatley Steet</t>
  </si>
  <si>
    <t>Stephen Breayley</t>
  </si>
  <si>
    <t>P O Box 35078</t>
  </si>
  <si>
    <t>Wellington 5041</t>
  </si>
  <si>
    <t>Sagata Ana Childcare</t>
  </si>
  <si>
    <t>04-3891811</t>
  </si>
  <si>
    <t>sagataAna@outlook.co.nz</t>
  </si>
  <si>
    <t>21 Emmett Street</t>
  </si>
  <si>
    <t>Sophie Arps</t>
  </si>
  <si>
    <t>21 Emmett St</t>
  </si>
  <si>
    <t>Wellington 6021</t>
  </si>
  <si>
    <t>Rewanui Early Learning Centre</t>
  </si>
  <si>
    <t>06-8689867</t>
  </si>
  <si>
    <t>admin@rewanui.nz</t>
  </si>
  <si>
    <t>531 Gladstone Road</t>
  </si>
  <si>
    <t>Anna Rogers</t>
  </si>
  <si>
    <t>BestStart Montessori Rongotai</t>
  </si>
  <si>
    <t>04-3871192</t>
  </si>
  <si>
    <t>mont.rongotai@best-start.org</t>
  </si>
  <si>
    <t>192 Rongotai Road</t>
  </si>
  <si>
    <t>Kilbirnie East</t>
  </si>
  <si>
    <t>Little Sunbeams Mayfair</t>
  </si>
  <si>
    <t>06-8783055</t>
  </si>
  <si>
    <t>skluki@outlook.co.nz</t>
  </si>
  <si>
    <t>107 Duchess Crescent</t>
  </si>
  <si>
    <t>Kasey Luki</t>
  </si>
  <si>
    <t>303 Lascelles Street</t>
  </si>
  <si>
    <t>Saint Leonards</t>
  </si>
  <si>
    <t>06-8763441</t>
  </si>
  <si>
    <t>Busy Bees Educational CC-Dannevirke</t>
  </si>
  <si>
    <t>06-3746900</t>
  </si>
  <si>
    <t>busy.bees.dannevirke@xtra.co.nz</t>
  </si>
  <si>
    <t>241 High Street</t>
  </si>
  <si>
    <t>Shona Dean</t>
  </si>
  <si>
    <t>1370 Weber Road, RD10</t>
  </si>
  <si>
    <t>Dannevirke 4970</t>
  </si>
  <si>
    <t>Te Kōhanga Reo o Rēwai</t>
  </si>
  <si>
    <t>06-879 9149</t>
  </si>
  <si>
    <t>WHANAU@K08D062.kohanga.ac.nz</t>
  </si>
  <si>
    <t>75 Tarbet Street</t>
  </si>
  <si>
    <t>Wairarapa Montessori Ltd</t>
  </si>
  <si>
    <t>06-3701471</t>
  </si>
  <si>
    <t>wairarapa.montessori@gmail.com</t>
  </si>
  <si>
    <t>114 Lincoln Road</t>
  </si>
  <si>
    <t>Pauline Harter</t>
  </si>
  <si>
    <t>56 Renall Street</t>
  </si>
  <si>
    <t>06-3775457</t>
  </si>
  <si>
    <t>Wellington Early Intervention Centre</t>
  </si>
  <si>
    <t>04-5674082</t>
  </si>
  <si>
    <t>weit@xtra.co.nz</t>
  </si>
  <si>
    <t>79 A Copeland Street</t>
  </si>
  <si>
    <t>Lee Jones</t>
  </si>
  <si>
    <t>Wellington 5011</t>
  </si>
  <si>
    <t>04-567 4082</t>
  </si>
  <si>
    <t>A'oga Amata (Porirua) E F K S</t>
  </si>
  <si>
    <t>04-2359078</t>
  </si>
  <si>
    <t>aogaamata.aape@gmail.com</t>
  </si>
  <si>
    <t>11-17 Waihemo Street</t>
  </si>
  <si>
    <t>Eirenei Vailaau-Ah Kuoi</t>
  </si>
  <si>
    <t>11 - 17  Waihemo Street</t>
  </si>
  <si>
    <t>027-5292891</t>
  </si>
  <si>
    <t>Te Kōhanga Reo o Te Pārekereke o te reo</t>
  </si>
  <si>
    <t>06-862 1874</t>
  </si>
  <si>
    <t>WHANAU@K06B076.kohanga.ac.nz</t>
  </si>
  <si>
    <t>41 Te Whiwhi Street</t>
  </si>
  <si>
    <t>Whatatutu</t>
  </si>
  <si>
    <t>Just Us Kids</t>
  </si>
  <si>
    <t>06-3795375</t>
  </si>
  <si>
    <t>jukpreschool@gmail.com</t>
  </si>
  <si>
    <t>36 Victoria Street</t>
  </si>
  <si>
    <t>Kathy Monaghan</t>
  </si>
  <si>
    <t xml:space="preserve">Carterton </t>
  </si>
  <si>
    <t>Porirua Whānau Centre Childcare</t>
  </si>
  <si>
    <t>04-2377749</t>
  </si>
  <si>
    <t>liz@poriruawhanau.org.nz</t>
  </si>
  <si>
    <t>16 Bedford Court</t>
  </si>
  <si>
    <t>Elisabeth Kelly</t>
  </si>
  <si>
    <t>P O Box 53009</t>
  </si>
  <si>
    <t>BestStart Leeds Street</t>
  </si>
  <si>
    <t>04-8025998</t>
  </si>
  <si>
    <t>leeds@best-start.org</t>
  </si>
  <si>
    <t>8 Leed Street</t>
  </si>
  <si>
    <t>Wellington CBD</t>
  </si>
  <si>
    <t>Dixon Street East</t>
  </si>
  <si>
    <t>Childspace Ltd - Northland</t>
  </si>
  <si>
    <t>04-4756257</t>
  </si>
  <si>
    <t>northland@childspace.nz</t>
  </si>
  <si>
    <t>17 Albemarle Road</t>
  </si>
  <si>
    <t>Nature Preschool New Zealand</t>
  </si>
  <si>
    <t>06-8701000</t>
  </si>
  <si>
    <t>4 Hicks Lane</t>
  </si>
  <si>
    <t>Kim Bone</t>
  </si>
  <si>
    <t>42 Percy Berry Place</t>
  </si>
  <si>
    <t>027-4441058</t>
  </si>
  <si>
    <t>Otaki Early Learning Centre</t>
  </si>
  <si>
    <t>06-364 6620</t>
  </si>
  <si>
    <t>177 Mill Road</t>
  </si>
  <si>
    <t>Wa Ora Montessori Preschool</t>
  </si>
  <si>
    <t>04-5672377</t>
  </si>
  <si>
    <t>michela@waora.school.nz</t>
  </si>
  <si>
    <t>278 Waddington Drive</t>
  </si>
  <si>
    <t>Michela Homer</t>
  </si>
  <si>
    <t>278 Waddington Dr</t>
  </si>
  <si>
    <t>Lower Hutt 5011</t>
  </si>
  <si>
    <t>Āwhina Childcare</t>
  </si>
  <si>
    <t>06-8771401</t>
  </si>
  <si>
    <t>37 Duart Road</t>
  </si>
  <si>
    <t>Tawa Montessori Preschool</t>
  </si>
  <si>
    <t>04-2323738</t>
  </si>
  <si>
    <t>25 Hinau Street</t>
  </si>
  <si>
    <t>Stephen  Wood</t>
  </si>
  <si>
    <t>17 Fortunatus Street</t>
  </si>
  <si>
    <t>04-3801497</t>
  </si>
  <si>
    <t>Chelsea House</t>
  </si>
  <si>
    <t>04-9025437</t>
  </si>
  <si>
    <t>sarah@chelseahouse.co.nz</t>
  </si>
  <si>
    <t>9 Lorien Court</t>
  </si>
  <si>
    <t>Raumati-Wellington</t>
  </si>
  <si>
    <t>Te Kōhanga Reo o Te Rongopai o Takapau</t>
  </si>
  <si>
    <t>06-855 8493</t>
  </si>
  <si>
    <t>whanau@k08f017.kohanga.ac.nz</t>
  </si>
  <si>
    <t>18 Walter Street</t>
  </si>
  <si>
    <t>Happy Days Childcare Centre</t>
  </si>
  <si>
    <t>04-5280077</t>
  </si>
  <si>
    <t>happydaysonroyal@xtra.co.nz</t>
  </si>
  <si>
    <t>Unit 24B 44 Blenheim Street</t>
  </si>
  <si>
    <t>Joelle Gregorius</t>
  </si>
  <si>
    <t>8 Kingfisher Close</t>
  </si>
  <si>
    <t>04-5268982</t>
  </si>
  <si>
    <t>Uncle Lele's House</t>
  </si>
  <si>
    <t>04-232-0920</t>
  </si>
  <si>
    <t>lisa@kidscount.co.nz</t>
  </si>
  <si>
    <t>9a Matai Street</t>
  </si>
  <si>
    <t>Lisa  Jackaman</t>
  </si>
  <si>
    <t>17 Ecclesfield Grove</t>
  </si>
  <si>
    <t>Wellington 5019</t>
  </si>
  <si>
    <t>Discovery Preschool Ltd</t>
  </si>
  <si>
    <t>04-9799795</t>
  </si>
  <si>
    <t>3 Waldie Grove</t>
  </si>
  <si>
    <t>Avalon</t>
  </si>
  <si>
    <t>2 Oakmont Street</t>
  </si>
  <si>
    <t>Titiro Whakamua Kindergarten</t>
  </si>
  <si>
    <t>04-5298355</t>
  </si>
  <si>
    <t>Norma.roberts@huttkindergartens.org.nz</t>
  </si>
  <si>
    <t>34 Miro Street</t>
  </si>
  <si>
    <t>Te Kōhanga Reo o Paparākau Tuarua</t>
  </si>
  <si>
    <t>04-577 2108</t>
  </si>
  <si>
    <t>WHANAU@K09A102.kohanga.ac.nz</t>
  </si>
  <si>
    <t>2 Harrison Crescent</t>
  </si>
  <si>
    <t>Pelega O Matua Fanau</t>
  </si>
  <si>
    <t>06-8422287</t>
  </si>
  <si>
    <t>pelega@xtra.co.nz</t>
  </si>
  <si>
    <t>42 Riverbend Road</t>
  </si>
  <si>
    <t>Irene Fale</t>
  </si>
  <si>
    <t>P O Box 538</t>
  </si>
  <si>
    <t>Hawkes Bay 4140</t>
  </si>
  <si>
    <t>06-8435665</t>
  </si>
  <si>
    <t>High Five Care and Learning</t>
  </si>
  <si>
    <t>04-3862883</t>
  </si>
  <si>
    <t>highfive@outlook.co.nz</t>
  </si>
  <si>
    <t>298 &amp; 300 Evans Bay Parade</t>
  </si>
  <si>
    <t>Hataitai North East</t>
  </si>
  <si>
    <t>Stacey Clyde</t>
  </si>
  <si>
    <t>2 Damian Grove</t>
  </si>
  <si>
    <t>Waterloo</t>
  </si>
  <si>
    <t>04-9381998</t>
  </si>
  <si>
    <t>Waterloo Playcentre</t>
  </si>
  <si>
    <t>04-9398702</t>
  </si>
  <si>
    <t>waterloo@playcentre.org.nz</t>
  </si>
  <si>
    <t>103 Trafalgar Street</t>
  </si>
  <si>
    <t>KIDSPACE Quality Early Learning Centre</t>
  </si>
  <si>
    <t>06-8430960</t>
  </si>
  <si>
    <t>info@kidspace.co.nz</t>
  </si>
  <si>
    <t>261 Kennedy Road</t>
  </si>
  <si>
    <t>Babu Muthu</t>
  </si>
  <si>
    <t>7 Chester Street</t>
  </si>
  <si>
    <t>027-5305833</t>
  </si>
  <si>
    <t>Te Kōhanga Reo o Whakatupuranga Kotahi</t>
  </si>
  <si>
    <t>04-939 9860</t>
  </si>
  <si>
    <t>whakatupurangakotahi@gmail.com</t>
  </si>
  <si>
    <t>21 Elizabeth Street</t>
  </si>
  <si>
    <t>Te Kōhanga Reo o Ngā Uri o Ngā Hau e Whā</t>
  </si>
  <si>
    <t>06-843 7814</t>
  </si>
  <si>
    <t>WHANAU@K08B100.kohanga.ac.nz</t>
  </si>
  <si>
    <t>21 Masefield Avenue</t>
  </si>
  <si>
    <t>Chuckles Childcare</t>
  </si>
  <si>
    <t>06-8789947</t>
  </si>
  <si>
    <t>chuckleschildcare@xtra.co.nz</t>
  </si>
  <si>
    <t>104 Gallien Street</t>
  </si>
  <si>
    <t>Ngaire Coldicutt</t>
  </si>
  <si>
    <t>1 Waitaha Place</t>
  </si>
  <si>
    <t>027-6424733</t>
  </si>
  <si>
    <t>Colenso Early Childhood Centre</t>
  </si>
  <si>
    <t>06-8336757</t>
  </si>
  <si>
    <t>21 Arnold Street</t>
  </si>
  <si>
    <t>Kidz Planet Preschool Ltd</t>
  </si>
  <si>
    <t>04-563 6298</t>
  </si>
  <si>
    <t>2 Kennedy Grove</t>
  </si>
  <si>
    <t>Kayleigh Ross</t>
  </si>
  <si>
    <t>Martinborough Kindergarten</t>
  </si>
  <si>
    <t>06-306 8085</t>
  </si>
  <si>
    <t>martinborough@wmkindergartens.org.nz</t>
  </si>
  <si>
    <t>Roberts Street</t>
  </si>
  <si>
    <t>Childspace Ngaio</t>
  </si>
  <si>
    <t>04-4790324</t>
  </si>
  <si>
    <t>ngaio@childspace.nz</t>
  </si>
  <si>
    <t>9 - 11 Tarikaka Street</t>
  </si>
  <si>
    <t>Home Grown Kids Wellington 1</t>
  </si>
  <si>
    <t>stacy.wardlaw@hgk.co.nz</t>
  </si>
  <si>
    <t>23 Postgate Drive</t>
  </si>
  <si>
    <t>Postgate</t>
  </si>
  <si>
    <t>Amelia Hennrie</t>
  </si>
  <si>
    <t>Barnardos Early Learning Centre Wainuiomata</t>
  </si>
  <si>
    <t>04-5641080</t>
  </si>
  <si>
    <t>jo.cutting@barnardos.org.nz</t>
  </si>
  <si>
    <t>107 Wainuiomata Rd</t>
  </si>
  <si>
    <t>Lynda Lincoln</t>
  </si>
  <si>
    <t>BestStart Havelock North</t>
  </si>
  <si>
    <t>06-8773273</t>
  </si>
  <si>
    <t>havelocknorth@best-start.org</t>
  </si>
  <si>
    <t>18 Te Aute Road</t>
  </si>
  <si>
    <t>BestStart Omahu Road</t>
  </si>
  <si>
    <t>06-8704376</t>
  </si>
  <si>
    <t>omahu@best-start.org</t>
  </si>
  <si>
    <t>325 Omahu Road</t>
  </si>
  <si>
    <t>Scallywaggs SPROUTS In-Home Childcare Hawke's Bay 5</t>
  </si>
  <si>
    <t>lynda.b@sprouts.co.nz</t>
  </si>
  <si>
    <t>2 Maadi Road</t>
  </si>
  <si>
    <t>Lynda Bicknell</t>
  </si>
  <si>
    <t>Y Kids Community Early Childhood Centre</t>
  </si>
  <si>
    <t>06-8673010</t>
  </si>
  <si>
    <t>ykids@ymcagisborne.nz</t>
  </si>
  <si>
    <t>130 Roebuck Road</t>
  </si>
  <si>
    <t>Dianah Foley</t>
  </si>
  <si>
    <t>P O Box 1077</t>
  </si>
  <si>
    <t>027-4472909</t>
  </si>
  <si>
    <t>Te Kōhanga Reo o Tōmairangi</t>
  </si>
  <si>
    <t>06-8671290</t>
  </si>
  <si>
    <t>WHANAU@K06F078.kohanga.ac.nz</t>
  </si>
  <si>
    <t>8 Mary Street</t>
  </si>
  <si>
    <t>Little Wonders Greenmeadows</t>
  </si>
  <si>
    <t>cm.greenmeadows@littlewonders.nz</t>
  </si>
  <si>
    <t>39 Guppy Road</t>
  </si>
  <si>
    <t>First Footsteps Early Learning Centre</t>
  </si>
  <si>
    <t>06-8787484</t>
  </si>
  <si>
    <t>elysia@firstfootsteps.co.nz</t>
  </si>
  <si>
    <t>704 St Aubyn Street East</t>
  </si>
  <si>
    <t>Queens Square</t>
  </si>
  <si>
    <t>Tracy Field</t>
  </si>
  <si>
    <t>027-9291096</t>
  </si>
  <si>
    <t>BestStart Taradale</t>
  </si>
  <si>
    <t>06-844 8837</t>
  </si>
  <si>
    <t>taradale@best-start.org</t>
  </si>
  <si>
    <t>19 Peddie Street</t>
  </si>
  <si>
    <t>Greendale Kids Preschool</t>
  </si>
  <si>
    <t>06-845 1111</t>
  </si>
  <si>
    <t>82 Guppy Road</t>
  </si>
  <si>
    <t>Bright Futures Hawkes Bay 2</t>
  </si>
  <si>
    <t>06-843 7280</t>
  </si>
  <si>
    <t>23 Northumberland Street</t>
  </si>
  <si>
    <t>Taokotaianga Apii Kuki Airani Early Childhood Centre</t>
  </si>
  <si>
    <t>06-8788711</t>
  </si>
  <si>
    <t>takah@xtra.co.nz</t>
  </si>
  <si>
    <t>205 Murdoch Road</t>
  </si>
  <si>
    <t>Kimi Joel</t>
  </si>
  <si>
    <t>P O Box 1144</t>
  </si>
  <si>
    <t>Frederick Street Kindergarten</t>
  </si>
  <si>
    <t>06-8782277</t>
  </si>
  <si>
    <t>817 Frederick Street</t>
  </si>
  <si>
    <t>Little Sunbeams Central</t>
  </si>
  <si>
    <t>06-8765159</t>
  </si>
  <si>
    <t>502 Southhampton Street</t>
  </si>
  <si>
    <t>Te Whare Kohungahunga o Y Tamariki</t>
  </si>
  <si>
    <t>06-8679259</t>
  </si>
  <si>
    <t>gmeducation@ymcagisborne.nz</t>
  </si>
  <si>
    <t>224 Wainui Road</t>
  </si>
  <si>
    <t>BestStart Willowpark Road</t>
  </si>
  <si>
    <t>06-8710841</t>
  </si>
  <si>
    <t>willowpark@best-start.org</t>
  </si>
  <si>
    <t>513 Queen Street East</t>
  </si>
  <si>
    <t>Busy Bees Napier Road</t>
  </si>
  <si>
    <t>06-877 7125</t>
  </si>
  <si>
    <t>info@napierroad.busybees.org.nz</t>
  </si>
  <si>
    <t>176 Napier Road</t>
  </si>
  <si>
    <t>Brookvale</t>
  </si>
  <si>
    <t>Rebecca  Waugh</t>
  </si>
  <si>
    <t>Kids Corner</t>
  </si>
  <si>
    <t>kidscorner@xtra.co.nz</t>
  </si>
  <si>
    <t>8 Delhi Street</t>
  </si>
  <si>
    <t>BestStart Montessori Taradale</t>
  </si>
  <si>
    <t>06-8459380</t>
  </si>
  <si>
    <t>mont.taradale@best-start.org</t>
  </si>
  <si>
    <t>79 &amp; 81 Gloucester Street</t>
  </si>
  <si>
    <t>Childhood Concepts Birch Street</t>
  </si>
  <si>
    <t>04-9396477</t>
  </si>
  <si>
    <t>35birchst@childhoodconcepts.co.nz</t>
  </si>
  <si>
    <t>35-37 Birch Street</t>
  </si>
  <si>
    <t>Carterton Playcentre</t>
  </si>
  <si>
    <t>06-379 7875</t>
  </si>
  <si>
    <t>carterton@playcentre.org.nz</t>
  </si>
  <si>
    <t>Belvedere Road</t>
  </si>
  <si>
    <t>Martinborough Playcentre</t>
  </si>
  <si>
    <t>06-306 9068</t>
  </si>
  <si>
    <t>martinborough@playcentre.org.nz</t>
  </si>
  <si>
    <t>38 Venice Street</t>
  </si>
  <si>
    <t>Westside Playcentre</t>
  </si>
  <si>
    <t>06-378 2224</t>
  </si>
  <si>
    <t>westside@Playcentre.org.nz</t>
  </si>
  <si>
    <t>165 Renall Street</t>
  </si>
  <si>
    <t>Alicetown Playcentre</t>
  </si>
  <si>
    <t>04-5899078</t>
  </si>
  <si>
    <t>lowernorth.csc@playcentre.org.nz</t>
  </si>
  <si>
    <t>105 Victoria Street</t>
  </si>
  <si>
    <t>Belmont Playcentre</t>
  </si>
  <si>
    <t>04-5650004</t>
  </si>
  <si>
    <t>belmont@playcentre.org.nz</t>
  </si>
  <si>
    <t>Belmont (Lower Hutt City)</t>
  </si>
  <si>
    <t>Days Bay Playcentre</t>
  </si>
  <si>
    <t>04-280 2412</t>
  </si>
  <si>
    <t>daysbay@playcentre.org.nz</t>
  </si>
  <si>
    <t>2 Pitoitoi Street</t>
  </si>
  <si>
    <t>Days Bay</t>
  </si>
  <si>
    <t>Eastern Bays</t>
  </si>
  <si>
    <t>Lower Hutt Playcentre</t>
  </si>
  <si>
    <t>04-566 5289</t>
  </si>
  <si>
    <t>lowerhutt@playcentre.org.nz</t>
  </si>
  <si>
    <t>Glen Iris Grove</t>
  </si>
  <si>
    <t>Maungaraki Playcentre</t>
  </si>
  <si>
    <t>04-5898710</t>
  </si>
  <si>
    <t>maungaraki@playcentre.org.nz</t>
  </si>
  <si>
    <t>11 Cedar Street</t>
  </si>
  <si>
    <t>Naenae Playcentre</t>
  </si>
  <si>
    <t>04-9205716</t>
  </si>
  <si>
    <t>naenae@playcentre.org.nz</t>
  </si>
  <si>
    <t>C/- Rata Street School 73 Rata Street</t>
  </si>
  <si>
    <t>Normandale Playcentre</t>
  </si>
  <si>
    <t>04-5891227</t>
  </si>
  <si>
    <t>normandale@playcentre.org.nz</t>
  </si>
  <si>
    <t>165 Normandale Road</t>
  </si>
  <si>
    <t>Normandale</t>
  </si>
  <si>
    <t>Pinehaven Playcentre</t>
  </si>
  <si>
    <t>04-5289181</t>
  </si>
  <si>
    <t>pinehaven@playcentre.org.nz</t>
  </si>
  <si>
    <t>Forest Road</t>
  </si>
  <si>
    <t>Pinehaven</t>
  </si>
  <si>
    <t>Point Howard Playcentre</t>
  </si>
  <si>
    <t>pointhoward@playcentre.org.nz</t>
  </si>
  <si>
    <t>Ngaumatau Road</t>
  </si>
  <si>
    <t>Point Howard</t>
  </si>
  <si>
    <t>Stokes Valley Playcentre</t>
  </si>
  <si>
    <t>04-9205644</t>
  </si>
  <si>
    <t>stokesvalley@playcentre.org.nz</t>
  </si>
  <si>
    <t>155 Stokes Valley Road</t>
  </si>
  <si>
    <t>Stokes Valley North</t>
  </si>
  <si>
    <t>Te Marua Playcentre</t>
  </si>
  <si>
    <t>04-5264574</t>
  </si>
  <si>
    <t>te.marua@playcentre.org.nz</t>
  </si>
  <si>
    <t>7 Emerald Hill Drive</t>
  </si>
  <si>
    <t>Birchville</t>
  </si>
  <si>
    <t>Totara Park Playcentre</t>
  </si>
  <si>
    <t>04-5264538</t>
  </si>
  <si>
    <t>totarapark@playcentre.org.nz</t>
  </si>
  <si>
    <t>128 California Drive</t>
  </si>
  <si>
    <t>Wainuiomata Playcentre</t>
  </si>
  <si>
    <t>04-5643140</t>
  </si>
  <si>
    <t>wainuiomata@playcentre.org.nz</t>
  </si>
  <si>
    <t>Lees Grove</t>
  </si>
  <si>
    <t>Wallaceville Playcentre</t>
  </si>
  <si>
    <t>04-5287624</t>
  </si>
  <si>
    <t>wallaceville@playcentre.org.nz</t>
  </si>
  <si>
    <t>52 Ward Street</t>
  </si>
  <si>
    <t>Wood Hatton Playcentre</t>
  </si>
  <si>
    <t>04-9720734</t>
  </si>
  <si>
    <t>woodhatton@playcentre.org.nz</t>
  </si>
  <si>
    <t>64 Wood Street</t>
  </si>
  <si>
    <t>Homedale West</t>
  </si>
  <si>
    <t>Brooklyn Playcentre</t>
  </si>
  <si>
    <t>04-3856531</t>
  </si>
  <si>
    <t>brooklyn@playcentre.org.nz</t>
  </si>
  <si>
    <t>22 Harrison Street</t>
  </si>
  <si>
    <t>Hataitai Playcentre</t>
  </si>
  <si>
    <t>04-3862560</t>
  </si>
  <si>
    <t>hataitai@playcentre.org.nz</t>
  </si>
  <si>
    <t>72A Hamilton Road</t>
  </si>
  <si>
    <t>Hataitai South</t>
  </si>
  <si>
    <t>Island Bay Playcentre</t>
  </si>
  <si>
    <t>04-9348670</t>
  </si>
  <si>
    <t>islandbay@playcentre.org.nz</t>
  </si>
  <si>
    <t>158 The Parade</t>
  </si>
  <si>
    <t>Johnsonville Playcentre</t>
  </si>
  <si>
    <t>04-4783904</t>
  </si>
  <si>
    <t>johnsonville@playcentre.org.nz</t>
  </si>
  <si>
    <t>26 Ironside street</t>
  </si>
  <si>
    <t>Karori Playcentre</t>
  </si>
  <si>
    <t>04-4768652</t>
  </si>
  <si>
    <t>karori@playcentre.org.nz</t>
  </si>
  <si>
    <t>64 Campbell Street</t>
  </si>
  <si>
    <t>Karori South</t>
  </si>
  <si>
    <t>Kelburn Playcentre</t>
  </si>
  <si>
    <t>027-7001373</t>
  </si>
  <si>
    <t>kelburn@playcentre.org.nz</t>
  </si>
  <si>
    <t>17 Kowhai Road</t>
  </si>
  <si>
    <t>Miramar Playcentre</t>
  </si>
  <si>
    <t>04-3881498</t>
  </si>
  <si>
    <t>miramar@playcentre.org.nz</t>
  </si>
  <si>
    <t>23 Crawford Green</t>
  </si>
  <si>
    <t>Newlands Tamariki Playcentre</t>
  </si>
  <si>
    <t>04-9705381</t>
  </si>
  <si>
    <t>newlandstamariki@playcentre.org.nz</t>
  </si>
  <si>
    <t>134 Newlands Road</t>
  </si>
  <si>
    <t>Newlands South</t>
  </si>
  <si>
    <t>Newtown Playcentre</t>
  </si>
  <si>
    <t>04-3893475</t>
  </si>
  <si>
    <t>newtown@playcentre.org.nz</t>
  </si>
  <si>
    <t>3 Harper Street</t>
  </si>
  <si>
    <t>Ngaio Playcentre</t>
  </si>
  <si>
    <t>04-4797312</t>
  </si>
  <si>
    <t>ngaio@playcentre.org.nz</t>
  </si>
  <si>
    <t>50 Silverstream Road</t>
  </si>
  <si>
    <t>Crofton Downs</t>
  </si>
  <si>
    <t>Titahi Bay Playcentre</t>
  </si>
  <si>
    <t>04-2368522</t>
  </si>
  <si>
    <t>titahibay@playcentre.org.nz</t>
  </si>
  <si>
    <t>Kura Street</t>
  </si>
  <si>
    <t>Titahi Bay South</t>
  </si>
  <si>
    <t>Ōtaki Playcentre</t>
  </si>
  <si>
    <t>06-3645787</t>
  </si>
  <si>
    <t>otaki@playcentre.org.nz</t>
  </si>
  <si>
    <t>169 Mill Road</t>
  </si>
  <si>
    <t>Paekakariki Playcentre</t>
  </si>
  <si>
    <t>04-9058820</t>
  </si>
  <si>
    <t>paekakariki@playcentre.org.nz</t>
  </si>
  <si>
    <t>22 Wellington Road</t>
  </si>
  <si>
    <t>Paekākāriki</t>
  </si>
  <si>
    <t>Paraparaumu Playcentre</t>
  </si>
  <si>
    <t>04-9025885</t>
  </si>
  <si>
    <t>paraparaumu@playcentre.org.nz</t>
  </si>
  <si>
    <t>10 Hinemoa Street</t>
  </si>
  <si>
    <t>Paremata Playcentre</t>
  </si>
  <si>
    <t>04-2339633</t>
  </si>
  <si>
    <t>paremata@playcentre.org.nz</t>
  </si>
  <si>
    <t>Ngatitoa Domain</t>
  </si>
  <si>
    <t>Tawa/Linden Playcentre</t>
  </si>
  <si>
    <t>04-2324598</t>
  </si>
  <si>
    <t>tawalinden@playcentre.org.nz</t>
  </si>
  <si>
    <t>1 Ranui Terrace</t>
  </si>
  <si>
    <t>Waikanae Playcentre</t>
  </si>
  <si>
    <t>04-9053483</t>
  </si>
  <si>
    <t>waikanae@playcentre.org.nz</t>
  </si>
  <si>
    <t>2 Hira Street</t>
  </si>
  <si>
    <t>Waikanae East</t>
  </si>
  <si>
    <t>Wilton Playcentre</t>
  </si>
  <si>
    <t>04-4758361</t>
  </si>
  <si>
    <t>wilton@playcentre.org.nz</t>
  </si>
  <si>
    <t>3A Gloucester Street</t>
  </si>
  <si>
    <t>Korokoro Playcentre</t>
  </si>
  <si>
    <t>04-5667246</t>
  </si>
  <si>
    <t>korokoro@playcentre.org.nz</t>
  </si>
  <si>
    <t>38 Singers Road</t>
  </si>
  <si>
    <t>Korokoro</t>
  </si>
  <si>
    <t>Sand Dunes Quality Early learning Centre</t>
  </si>
  <si>
    <t>04-2338839</t>
  </si>
  <si>
    <t>sandduneselc@xtra.co.nz</t>
  </si>
  <si>
    <t>5 North Point Street</t>
  </si>
  <si>
    <t>Katharine Robinson</t>
  </si>
  <si>
    <t>P O Box 57200</t>
  </si>
  <si>
    <t>Wellington 5247</t>
  </si>
  <si>
    <t>04-2338869</t>
  </si>
  <si>
    <t>Kelburn Preschool and Nursery</t>
  </si>
  <si>
    <t>04-475 3599</t>
  </si>
  <si>
    <t>hello@kelburnpreschoolnursery.co.nz</t>
  </si>
  <si>
    <t>6 Ngaio Road</t>
  </si>
  <si>
    <t>Megan Watson</t>
  </si>
  <si>
    <t>79 Simla Crescent</t>
  </si>
  <si>
    <t>Wellington 6035</t>
  </si>
  <si>
    <t>Donald Street Preschool</t>
  </si>
  <si>
    <t>04-9705709</t>
  </si>
  <si>
    <t>admin@donaldstpreschool.co.nz</t>
  </si>
  <si>
    <t>37 Donald Street</t>
  </si>
  <si>
    <t>Miranda Major</t>
  </si>
  <si>
    <t>Premium Preschool</t>
  </si>
  <si>
    <t>04-528 8899</t>
  </si>
  <si>
    <t>premiumpreschool@xtra.co.nz</t>
  </si>
  <si>
    <t>31 Perry Street</t>
  </si>
  <si>
    <t>Nicola Birkett</t>
  </si>
  <si>
    <t>Steiner Cottage</t>
  </si>
  <si>
    <t>04-5861237</t>
  </si>
  <si>
    <t>centremanager@steinercottage.co.nz</t>
  </si>
  <si>
    <t>13 Laery Street</t>
  </si>
  <si>
    <t>Alicetown</t>
  </si>
  <si>
    <t>Jaci Gilbertson</t>
  </si>
  <si>
    <t>Koraunui Te Kōhanga Reo</t>
  </si>
  <si>
    <t>04-9396697</t>
  </si>
  <si>
    <t>142 - 146 Stokes Valley Road</t>
  </si>
  <si>
    <t>Tina Olsen-Ratana</t>
  </si>
  <si>
    <t>04-5687111</t>
  </si>
  <si>
    <t>Te Kōhanga Reo o Ngā Mokopuna</t>
  </si>
  <si>
    <t>04-387 8966</t>
  </si>
  <si>
    <t>whanau@k09c108.kohanga.ac.nz</t>
  </si>
  <si>
    <t>168 Coutts Street</t>
  </si>
  <si>
    <t>Heretaunga Park Early Learning Centre</t>
  </si>
  <si>
    <t>04-5284336</t>
  </si>
  <si>
    <t>office@heretaungapark.kiwi</t>
  </si>
  <si>
    <t>33 Kiwi Street</t>
  </si>
  <si>
    <t>Angela Tavite</t>
  </si>
  <si>
    <t>04-9760424</t>
  </si>
  <si>
    <t>Grow and Learn, Castle Kids ELC</t>
  </si>
  <si>
    <t>04-905 2543</t>
  </si>
  <si>
    <t>352 Te Moana Road</t>
  </si>
  <si>
    <t>Waikanae Park</t>
  </si>
  <si>
    <t>Nicole Carroll</t>
  </si>
  <si>
    <t>04-2358545</t>
  </si>
  <si>
    <t>Discovery Early Learning Centre</t>
  </si>
  <si>
    <t>04-5651133</t>
  </si>
  <si>
    <t>office@discoveryelim.org.nz</t>
  </si>
  <si>
    <t>148 Major Drive</t>
  </si>
  <si>
    <t>John Lewis</t>
  </si>
  <si>
    <t>Shine Montessori Educare Avalon</t>
  </si>
  <si>
    <t>04-5771464</t>
  </si>
  <si>
    <t>melanie@shinemontessori.org.nz</t>
  </si>
  <si>
    <t>870 High Street</t>
  </si>
  <si>
    <t>Melanie  Wester</t>
  </si>
  <si>
    <t>86 Park Road</t>
  </si>
  <si>
    <t>04-577 1464</t>
  </si>
  <si>
    <t>Busy Bees Whitby</t>
  </si>
  <si>
    <t>04-2347724</t>
  </si>
  <si>
    <t>info@whitby.busybees.org.nz</t>
  </si>
  <si>
    <t>49a Spinnaker Drive</t>
  </si>
  <si>
    <t>Katarina Alexopoulos</t>
  </si>
  <si>
    <t>04-234 7724</t>
  </si>
  <si>
    <t>Home Grown Kids Wellington 2</t>
  </si>
  <si>
    <t>Island Bay Kindergarten</t>
  </si>
  <si>
    <t>04-383 7136</t>
  </si>
  <si>
    <t>islandbay@wmkindergartens.org.nz</t>
  </si>
  <si>
    <t>100 Melbourne Road</t>
  </si>
  <si>
    <t>Island Bay East</t>
  </si>
  <si>
    <t>Millie's House Basin Reserve</t>
  </si>
  <si>
    <t>04-8019970</t>
  </si>
  <si>
    <t>79kenttce@millieshouse.co.nz</t>
  </si>
  <si>
    <t>79 Kent Terrace</t>
  </si>
  <si>
    <t>Active Explorers Greta Point</t>
  </si>
  <si>
    <t>04-3861400</t>
  </si>
  <si>
    <t>310 Evans Bay Parade</t>
  </si>
  <si>
    <t>Greta Point</t>
  </si>
  <si>
    <t>Evans Bay</t>
  </si>
  <si>
    <t>Amanda Shirley</t>
  </si>
  <si>
    <t>Kindercare Learning Centres - Lower Hutt</t>
  </si>
  <si>
    <t>04-5865769</t>
  </si>
  <si>
    <t>boulcott@kindercare.co.nz</t>
  </si>
  <si>
    <t>13 Connolly Street</t>
  </si>
  <si>
    <t>BestStart Stokes Valley</t>
  </si>
  <si>
    <t>04-8910105</t>
  </si>
  <si>
    <t>stokesvalley@best-start.org</t>
  </si>
  <si>
    <t>5 Young Grove</t>
  </si>
  <si>
    <t>Delaney</t>
  </si>
  <si>
    <t>Ko Te Aroha</t>
  </si>
  <si>
    <t>06-3773608</t>
  </si>
  <si>
    <t>manager@kotearoha.org.nz</t>
  </si>
  <si>
    <t>33 - 35 Johnstone Street</t>
  </si>
  <si>
    <t>McJorrow Park</t>
  </si>
  <si>
    <t>Terry Hodder</t>
  </si>
  <si>
    <t>P O Box 478</t>
  </si>
  <si>
    <t>Masterton 5840</t>
  </si>
  <si>
    <t>Kindercare Learning Centres Ltd (Kilbirnie)</t>
  </si>
  <si>
    <t>kilbirnie@kindercare.co.nz</t>
  </si>
  <si>
    <t>127 Rongotai Road</t>
  </si>
  <si>
    <t>Active Explorers Masterton</t>
  </si>
  <si>
    <t>06-3701037</t>
  </si>
  <si>
    <t>cm.masterton@activeexplorers.co.nz</t>
  </si>
  <si>
    <t>29 Albert Street</t>
  </si>
  <si>
    <t>Lansdowne-Masterton</t>
  </si>
  <si>
    <t>Shona Shields</t>
  </si>
  <si>
    <t>06-370 1037</t>
  </si>
  <si>
    <t>Elim International Kids Early Childhood Centre</t>
  </si>
  <si>
    <t>04-8016491</t>
  </si>
  <si>
    <t>info@elimkids.org.nz</t>
  </si>
  <si>
    <t>Level 1 11-15 Alpha Street</t>
  </si>
  <si>
    <t>Mt Cook-Wellington</t>
  </si>
  <si>
    <t>Sharon Foley</t>
  </si>
  <si>
    <t>P O Box 6410</t>
  </si>
  <si>
    <t>Mount Cook</t>
  </si>
  <si>
    <t>Wellington 6011</t>
  </si>
  <si>
    <t>Āniwaniwa - (The Rainbow) Superstars</t>
  </si>
  <si>
    <t>06-3702320</t>
  </si>
  <si>
    <t>varleenarora26@gmail.com</t>
  </si>
  <si>
    <t>50 Harley Street</t>
  </si>
  <si>
    <t>Daisies Early Education &amp; Care Centre</t>
  </si>
  <si>
    <t>04-4616013</t>
  </si>
  <si>
    <t>info@daisies.co.nz</t>
  </si>
  <si>
    <t>Carterton Preschool</t>
  </si>
  <si>
    <t>06-3797590</t>
  </si>
  <si>
    <t>admin@cartertonpreschool.co.nz</t>
  </si>
  <si>
    <t>Melissa Chapman</t>
  </si>
  <si>
    <t>Barnardos Early Learning Home Based Wellington Wha</t>
  </si>
  <si>
    <t>04-8011710</t>
  </si>
  <si>
    <t>shiree.ritchie@barnardos.org.nz</t>
  </si>
  <si>
    <t>Shiree Ritchie</t>
  </si>
  <si>
    <t>CountryLife Early Education</t>
  </si>
  <si>
    <t>04-2323245</t>
  </si>
  <si>
    <t>Manager@countrylife.co.nz</t>
  </si>
  <si>
    <t>83A Woodburn Drive</t>
  </si>
  <si>
    <t>Grenada North</t>
  </si>
  <si>
    <t>Danielle Holden</t>
  </si>
  <si>
    <t>10 Ngahue Crescent</t>
  </si>
  <si>
    <t>Shine Montessori Educare</t>
  </si>
  <si>
    <t>04-5699522</t>
  </si>
  <si>
    <t>149 Whites Line East</t>
  </si>
  <si>
    <t>Naliny Florida</t>
  </si>
  <si>
    <t>04 5651660</t>
  </si>
  <si>
    <t>Kidlywinks Childcare Centre</t>
  </si>
  <si>
    <t>04-9348868</t>
  </si>
  <si>
    <t>kidlywinkschildcare@gmail.com</t>
  </si>
  <si>
    <t>20 Islington Street</t>
  </si>
  <si>
    <t>Catherine McCaul</t>
  </si>
  <si>
    <t>04-527 7827</t>
  </si>
  <si>
    <t>Barnardos Early Learning Home Based Wellington Tahi</t>
  </si>
  <si>
    <t>peta.turner@barnardos.org.nz</t>
  </si>
  <si>
    <t>Peta Turner</t>
  </si>
  <si>
    <t>Barnardos Early Learning Home Based Wellington Rua</t>
  </si>
  <si>
    <t>Joanne Cutting</t>
  </si>
  <si>
    <t>Barnardos Early Learning Centre Petone</t>
  </si>
  <si>
    <t>04-5687902</t>
  </si>
  <si>
    <t>isabel.bates@barnardos.org.nz</t>
  </si>
  <si>
    <t>122 Richmond Street</t>
  </si>
  <si>
    <t>Isabel Bates</t>
  </si>
  <si>
    <t>022-042 1335</t>
  </si>
  <si>
    <t>Barnardos Early Learning Centre Porirua</t>
  </si>
  <si>
    <t>04-2377792</t>
  </si>
  <si>
    <t>24 Mungavin Avenue</t>
  </si>
  <si>
    <t>Hayley Vinten</t>
  </si>
  <si>
    <t>Kidz Corner Miramar</t>
  </si>
  <si>
    <t>04-3886556</t>
  </si>
  <si>
    <t>info@kidzcorner.org.nz</t>
  </si>
  <si>
    <t>39 Park Road</t>
  </si>
  <si>
    <t>Lesley Jenkin</t>
  </si>
  <si>
    <t>Ngā Tamariki Childcare Centre</t>
  </si>
  <si>
    <t>04-5891397</t>
  </si>
  <si>
    <t>supervisor@ngatamariki.co.nz</t>
  </si>
  <si>
    <t>67 Tama Street</t>
  </si>
  <si>
    <t>Braden Sloper</t>
  </si>
  <si>
    <t>Kahurangi All Day Kindergarten</t>
  </si>
  <si>
    <t>06-370 8853</t>
  </si>
  <si>
    <t>kahurangi@wmkindergartens.org.nz</t>
  </si>
  <si>
    <t>11 Surrey Street</t>
  </si>
  <si>
    <t>Crossways Community Creche</t>
  </si>
  <si>
    <t>04-3848201</t>
  </si>
  <si>
    <t>info@crosswayscreche.org.nz</t>
  </si>
  <si>
    <t>61 Majoribanks Street</t>
  </si>
  <si>
    <t>Hannah Chisnall</t>
  </si>
  <si>
    <t>6 Paeroa Street</t>
  </si>
  <si>
    <t>022-0172006</t>
  </si>
  <si>
    <t>Polyhigh Community Childcare Centre</t>
  </si>
  <si>
    <t>04-3851080</t>
  </si>
  <si>
    <t>polyhigh@xtra.co.nz</t>
  </si>
  <si>
    <t>Taranaki Street</t>
  </si>
  <si>
    <t>Mount Cook East</t>
  </si>
  <si>
    <t>Susan Ransfield</t>
  </si>
  <si>
    <t>P O Box 4035</t>
  </si>
  <si>
    <t>Wellington 6140</t>
  </si>
  <si>
    <t>04 3851080</t>
  </si>
  <si>
    <t>Early Impressions Childcare</t>
  </si>
  <si>
    <t>04-4787553</t>
  </si>
  <si>
    <t>earlyimpressionschildcare@xtra.co.nz</t>
  </si>
  <si>
    <t>3 Frankmoore Avenue</t>
  </si>
  <si>
    <t>Lyn Prorok</t>
  </si>
  <si>
    <t>P O Box 13250</t>
  </si>
  <si>
    <t>Wellington 6440</t>
  </si>
  <si>
    <t>Grafton Private Kindergarten</t>
  </si>
  <si>
    <t>04-9040372</t>
  </si>
  <si>
    <t>160 Arawhata Road</t>
  </si>
  <si>
    <t>Karen Davidson</t>
  </si>
  <si>
    <t>Wellington 5032</t>
  </si>
  <si>
    <t>Makoura Early Learning Centre</t>
  </si>
  <si>
    <t>06-3770224</t>
  </si>
  <si>
    <t>makouraelc@gmail.com</t>
  </si>
  <si>
    <t>29 Makora Road</t>
  </si>
  <si>
    <t>Janeen Bruce</t>
  </si>
  <si>
    <t>P O Box 553</t>
  </si>
  <si>
    <t>Matairangi Kindergarten</t>
  </si>
  <si>
    <t>04-386 3185</t>
  </si>
  <si>
    <t>112 Waipapa Road</t>
  </si>
  <si>
    <t>Waikanae Montessori Preschool</t>
  </si>
  <si>
    <t>04-9026135</t>
  </si>
  <si>
    <t>info@waikanaemontessori.school.nz</t>
  </si>
  <si>
    <t>3 B Seddon Street</t>
  </si>
  <si>
    <t>Bridget Grace</t>
  </si>
  <si>
    <t>3b Seddon St</t>
  </si>
  <si>
    <t>Waikanae 5391</t>
  </si>
  <si>
    <t>Hill Street Early Childhood Centre</t>
  </si>
  <si>
    <t>04-4735426</t>
  </si>
  <si>
    <t>hillstece@gmail.com</t>
  </si>
  <si>
    <t>66 Hill Street</t>
  </si>
  <si>
    <t>Gareth Richards</t>
  </si>
  <si>
    <t>Tiaki Mokopuna Porirua Whānau Centre</t>
  </si>
  <si>
    <t>04-237 7174</t>
  </si>
  <si>
    <t>Tutu Place Wi Neera Drive</t>
  </si>
  <si>
    <t>Elisabeth  Kelly</t>
  </si>
  <si>
    <t>021-882019</t>
  </si>
  <si>
    <t>Karori Childcare Centre</t>
  </si>
  <si>
    <t>04-4763621</t>
  </si>
  <si>
    <t>info@karorichildcare.org.nz</t>
  </si>
  <si>
    <t>47 Beauchamp Street</t>
  </si>
  <si>
    <t>Michael Asplet</t>
  </si>
  <si>
    <t>P O Box 17400</t>
  </si>
  <si>
    <t>Wellington 6147</t>
  </si>
  <si>
    <t>Pauatahanui Preschool Inc.</t>
  </si>
  <si>
    <t>04-2347372</t>
  </si>
  <si>
    <t>admin@pauatahanuipreschool.co.nz</t>
  </si>
  <si>
    <t>12 B Paekakariki Hill Road</t>
  </si>
  <si>
    <t>Pauatahanui</t>
  </si>
  <si>
    <t>Pāuatahanui</t>
  </si>
  <si>
    <t>Amanda Duguid</t>
  </si>
  <si>
    <t>12B Paekakariki Hill Road RD 1</t>
  </si>
  <si>
    <t>Porirua 5381</t>
  </si>
  <si>
    <t>04-234 7372</t>
  </si>
  <si>
    <t>Moriah (Private) Kindergarten Inc</t>
  </si>
  <si>
    <t>04-3847585</t>
  </si>
  <si>
    <t>office@moriahkindergarten.org.nz</t>
  </si>
  <si>
    <t>80 Webb Street</t>
  </si>
  <si>
    <t>Jewish</t>
  </si>
  <si>
    <t>Rosemary Swindells</t>
  </si>
  <si>
    <t>Newtown Early Learning Centre</t>
  </si>
  <si>
    <t>04-3893372</t>
  </si>
  <si>
    <t>73 Daniell Street</t>
  </si>
  <si>
    <t>Rebekah Neal</t>
  </si>
  <si>
    <t>Ngaio Childcare Centre Inc</t>
  </si>
  <si>
    <t>04-9392162</t>
  </si>
  <si>
    <t>ngaiochildcare@gmail.com</t>
  </si>
  <si>
    <t>1 Ottawa Road</t>
  </si>
  <si>
    <t>Philippa Butler</t>
  </si>
  <si>
    <t>04-939 2162</t>
  </si>
  <si>
    <t>Capital Kids Co-Operative</t>
  </si>
  <si>
    <t>04-389 9205</t>
  </si>
  <si>
    <t>manager@ckc.org.nz</t>
  </si>
  <si>
    <t>16 Hugh Street</t>
  </si>
  <si>
    <t>Megan White</t>
  </si>
  <si>
    <t>04-389  9205</t>
  </si>
  <si>
    <t>Smiley Faces Educare</t>
  </si>
  <si>
    <t>04-5285399</t>
  </si>
  <si>
    <t>1 Fraser Crescent</t>
  </si>
  <si>
    <t>Clare Kernot</t>
  </si>
  <si>
    <t>Gracefield Early Childhood Centre</t>
  </si>
  <si>
    <t>04-5696500</t>
  </si>
  <si>
    <t>gracefieldecc@gmail.com</t>
  </si>
  <si>
    <t>69 Gracefield Road</t>
  </si>
  <si>
    <t>Gracefield</t>
  </si>
  <si>
    <t>Antonia Crawford</t>
  </si>
  <si>
    <t>9 Rishworth Street</t>
  </si>
  <si>
    <t>04-5698263</t>
  </si>
  <si>
    <t>Paremata Creche</t>
  </si>
  <si>
    <t>04-232 1690</t>
  </si>
  <si>
    <t>parematacreche@wmkindergartens.org.nz</t>
  </si>
  <si>
    <t>C/- Whitby Civic Centre Discovery Drive</t>
  </si>
  <si>
    <t>Silverstream Early Learning Centre by Busy Bees</t>
  </si>
  <si>
    <t>04-5283678</t>
  </si>
  <si>
    <t>info@silverstream.busybees.org.nz</t>
  </si>
  <si>
    <t>254 Fergusson Drive</t>
  </si>
  <si>
    <t>Nicola Rumens</t>
  </si>
  <si>
    <t>04-528 3678</t>
  </si>
  <si>
    <t>Bowen Early Childhood Education Centre Inc.</t>
  </si>
  <si>
    <t>04-4753851</t>
  </si>
  <si>
    <t>info@bowenece.org.nz</t>
  </si>
  <si>
    <t>66 Albemarle Road</t>
  </si>
  <si>
    <t>Anna Lewis</t>
  </si>
  <si>
    <t>3/66 Albemarle Road</t>
  </si>
  <si>
    <t>04-475 3851</t>
  </si>
  <si>
    <t>Lower Hutt City Childcare Centre</t>
  </si>
  <si>
    <t>04-5662495</t>
  </si>
  <si>
    <t>lhchildcare@xtra.co.nz</t>
  </si>
  <si>
    <t>2 St Albans Grove</t>
  </si>
  <si>
    <t>Hutt Central South</t>
  </si>
  <si>
    <t>Paul McCorry</t>
  </si>
  <si>
    <t>Woburn</t>
  </si>
  <si>
    <t>A'oga Amata EFKS Newtown</t>
  </si>
  <si>
    <t>04-3892037</t>
  </si>
  <si>
    <t>efksaogaamata@xtra.co.nz</t>
  </si>
  <si>
    <t>180 Owen Street</t>
  </si>
  <si>
    <t>Saddie Fiti</t>
  </si>
  <si>
    <t>Wellington 6023</t>
  </si>
  <si>
    <t>04-389 2031</t>
  </si>
  <si>
    <t>Karori Kids Incorporated</t>
  </si>
  <si>
    <t>04-4766887</t>
  </si>
  <si>
    <t>karorikids@xtra.co.nz</t>
  </si>
  <si>
    <t>29 Campbell Street</t>
  </si>
  <si>
    <t>Ginalyn Yumul</t>
  </si>
  <si>
    <t>04-476 6887</t>
  </si>
  <si>
    <t>Raumati South Kindergarten</t>
  </si>
  <si>
    <t>04-902 9300</t>
  </si>
  <si>
    <t>raumatisouth@wmkindergartens.org.nz</t>
  </si>
  <si>
    <t>45 Tiromoana Road</t>
  </si>
  <si>
    <t>Stepping Stones Childcare Centre</t>
  </si>
  <si>
    <t>04-5287913</t>
  </si>
  <si>
    <t>admin@steppingstones.org.nz</t>
  </si>
  <si>
    <t>29 Seddon Street</t>
  </si>
  <si>
    <t>Baden Campbell</t>
  </si>
  <si>
    <t>Ōtaki Montessori Preschool</t>
  </si>
  <si>
    <t>06-3647500</t>
  </si>
  <si>
    <t>omppresident@gmail.com</t>
  </si>
  <si>
    <t>Mill Road</t>
  </si>
  <si>
    <t>Cameron Wislang</t>
  </si>
  <si>
    <t>P O Box 15024</t>
  </si>
  <si>
    <t>Otaki Railway</t>
  </si>
  <si>
    <t>Manawatu 5543</t>
  </si>
  <si>
    <t>Cloud Kids Educare</t>
  </si>
  <si>
    <t>06-3775476</t>
  </si>
  <si>
    <t>manager@mfesccloudkids.com</t>
  </si>
  <si>
    <t>St Luke's Church 2 Worksop Road</t>
  </si>
  <si>
    <t>Alison Woollard</t>
  </si>
  <si>
    <t>P O Box 789</t>
  </si>
  <si>
    <t>06-377 1379</t>
  </si>
  <si>
    <t>Montessori at Otari Preschool Inc.</t>
  </si>
  <si>
    <t>04-4759688</t>
  </si>
  <si>
    <t>166 Wilton Road</t>
  </si>
  <si>
    <t>Florence Coram-Lasnier</t>
  </si>
  <si>
    <t>04-475 9688</t>
  </si>
  <si>
    <t>Hadlow Preschool</t>
  </si>
  <si>
    <t>06-3786597</t>
  </si>
  <si>
    <t>preschool@hadlow.school.nz</t>
  </si>
  <si>
    <t>C/- Hadlow Preparatory School High Street</t>
  </si>
  <si>
    <t>Catherine Archer</t>
  </si>
  <si>
    <t>C/O Hadlow Prepatory School High Street</t>
  </si>
  <si>
    <t>BestStart Raumati</t>
  </si>
  <si>
    <t>04-2979042</t>
  </si>
  <si>
    <t>raumati@best-start.org</t>
  </si>
  <si>
    <t>174 Raumati Road</t>
  </si>
  <si>
    <t>Raumati Beach East</t>
  </si>
  <si>
    <t>Adelaide Early Childhood Centre</t>
  </si>
  <si>
    <t>04-3898238</t>
  </si>
  <si>
    <t>28 Colombo Street</t>
  </si>
  <si>
    <t>James Dunlop</t>
  </si>
  <si>
    <t>Aro Valley Community Preschool</t>
  </si>
  <si>
    <t>04-3845156</t>
  </si>
  <si>
    <t>info@arovalleypreschool.nz</t>
  </si>
  <si>
    <t>48 Aro Street</t>
  </si>
  <si>
    <t>Aro Valley</t>
  </si>
  <si>
    <t>Helen Baxter</t>
  </si>
  <si>
    <t>04-934 8516</t>
  </si>
  <si>
    <t>Pipitea Childcare Centre</t>
  </si>
  <si>
    <t>04-4732336</t>
  </si>
  <si>
    <t>office@pipiteachildcare.org.nz</t>
  </si>
  <si>
    <t>21 Hobson Crescent</t>
  </si>
  <si>
    <t>Joel Labes</t>
  </si>
  <si>
    <t>Victoria University of Wellington Fairlie Terrace Early Childhood Service</t>
  </si>
  <si>
    <t>04-4635182</t>
  </si>
  <si>
    <t>victoriakids@vuw.ac.nz</t>
  </si>
  <si>
    <t>67- 71 Fairlie Terrace</t>
  </si>
  <si>
    <t>Gillian Roberts</t>
  </si>
  <si>
    <t>P O Box 600</t>
  </si>
  <si>
    <t>04-463 5151</t>
  </si>
  <si>
    <t>Newlands Childcare Incorporated</t>
  </si>
  <si>
    <t>04-9731169</t>
  </si>
  <si>
    <t>newlandschildcare@gmail.com</t>
  </si>
  <si>
    <t>4 Padnell Crescent</t>
  </si>
  <si>
    <t>Christopher McCarty</t>
  </si>
  <si>
    <t>The Salvation Army William Booth Educare</t>
  </si>
  <si>
    <t>04-5276929</t>
  </si>
  <si>
    <t>lauren.stafford@salvationarmy.org.nz</t>
  </si>
  <si>
    <t>20 William Booth Grove</t>
  </si>
  <si>
    <t>Lauren Stafford</t>
  </si>
  <si>
    <t>City Kids Childcare Centre</t>
  </si>
  <si>
    <t>04-4731947</t>
  </si>
  <si>
    <t>centre.manager@citykids.org.nz</t>
  </si>
  <si>
    <t>21A Tinakori Road</t>
  </si>
  <si>
    <t>Benjamin Clayton</t>
  </si>
  <si>
    <t>21 A Tinakori Road</t>
  </si>
  <si>
    <t>Kāpiti Children's Centre</t>
  </si>
  <si>
    <t>04-9027130</t>
  </si>
  <si>
    <t>info@kapitichildcare.co.nz</t>
  </si>
  <si>
    <t>24 Raumati Road</t>
  </si>
  <si>
    <t>Rebecca Morley</t>
  </si>
  <si>
    <t>Kidzone Public Servants Childcare Centre</t>
  </si>
  <si>
    <t>04-9398532</t>
  </si>
  <si>
    <t>info@kidzone.org.nz</t>
  </si>
  <si>
    <t>113 Owen Street</t>
  </si>
  <si>
    <t>Rhedyn Law</t>
  </si>
  <si>
    <t>Millie's House Oxford St Kindy</t>
  </si>
  <si>
    <t>04-2327021</t>
  </si>
  <si>
    <t>57 Oxford Street</t>
  </si>
  <si>
    <t>Jack and Jill Early Learning Centre</t>
  </si>
  <si>
    <t>04-9705266</t>
  </si>
  <si>
    <t>yanli@jackandjill.school.nz</t>
  </si>
  <si>
    <t>54 Hine Road</t>
  </si>
  <si>
    <t>Curious Minds Early Learning Johnsonville</t>
  </si>
  <si>
    <t>04-4770661</t>
  </si>
  <si>
    <t>info@johnsonvillechildcare.co.nz</t>
  </si>
  <si>
    <t>34-36 Bannister Avenue</t>
  </si>
  <si>
    <t>Ko Aroha Kids</t>
  </si>
  <si>
    <t>04-2376532</t>
  </si>
  <si>
    <t>koaroha@xtra.co.nz</t>
  </si>
  <si>
    <t>48 Rangituhi Crescent</t>
  </si>
  <si>
    <t>Karen Warren</t>
  </si>
  <si>
    <t xml:space="preserve">21 Enereta Road, Otaki </t>
  </si>
  <si>
    <t>Kapiti Coast 5012</t>
  </si>
  <si>
    <t>Mana Montessori Preschool Inc</t>
  </si>
  <si>
    <t>04-2341489</t>
  </si>
  <si>
    <t>manager@manamontessori.school.nz</t>
  </si>
  <si>
    <t>Mana Montessori 1 Albatross Close</t>
  </si>
  <si>
    <t>Endeavour East</t>
  </si>
  <si>
    <t>Holly Cane</t>
  </si>
  <si>
    <t>P O Box 58036</t>
  </si>
  <si>
    <t>04-234 1489</t>
  </si>
  <si>
    <t>Matariki Kindergarten</t>
  </si>
  <si>
    <t>04-528 0643</t>
  </si>
  <si>
    <t>matariki@wmkindergartens.org.nz</t>
  </si>
  <si>
    <t>8 William Durrant Drive</t>
  </si>
  <si>
    <t>Victoria University of Wellington Clermont Terrace Early Childhood Services</t>
  </si>
  <si>
    <t>04-4635219</t>
  </si>
  <si>
    <t>2-4 Clermont Terrace</t>
  </si>
  <si>
    <t>Wellington Botanic Gardens</t>
  </si>
  <si>
    <t>Greytown Early Years Incorporated</t>
  </si>
  <si>
    <t>06-3048922</t>
  </si>
  <si>
    <t>manager.greytown.earlyyears@gmail.com</t>
  </si>
  <si>
    <t>61 Main Street</t>
  </si>
  <si>
    <t>Claire McDonald</t>
  </si>
  <si>
    <t>2 Jellicoe Street</t>
  </si>
  <si>
    <t>021-08358172</t>
  </si>
  <si>
    <t>Te Punanga O Te Reo Kuki Airani</t>
  </si>
  <si>
    <t>04-3892127</t>
  </si>
  <si>
    <t>tepunanga@gmail.com</t>
  </si>
  <si>
    <t>28 Herald Street</t>
  </si>
  <si>
    <t>Bridget Kauraka</t>
  </si>
  <si>
    <t>P O Box 7348</t>
  </si>
  <si>
    <t>Wellington South</t>
  </si>
  <si>
    <t>Wellington 6242</t>
  </si>
  <si>
    <t>04-3892125</t>
  </si>
  <si>
    <t>Barnardos Early Learning Centre Eastbourne</t>
  </si>
  <si>
    <t>04-5628234</t>
  </si>
  <si>
    <t>jocaughley@gmail.com</t>
  </si>
  <si>
    <t>199 Muritai Road</t>
  </si>
  <si>
    <t>Children First Early Childhood Centre</t>
  </si>
  <si>
    <t>04-5286059</t>
  </si>
  <si>
    <t>admin@childrenfirst.co.nz</t>
  </si>
  <si>
    <t>Corner 414 Fergusson Drive and 1A Sutherland Avenue</t>
  </si>
  <si>
    <t>Michēle  Bicknell</t>
  </si>
  <si>
    <t>Marlborough St Childcare Centre</t>
  </si>
  <si>
    <t>04-5277243</t>
  </si>
  <si>
    <t>info@mcentre.org</t>
  </si>
  <si>
    <t>11 Marlborough Street</t>
  </si>
  <si>
    <t>Michaela Stevens</t>
  </si>
  <si>
    <t>P O Box 48085</t>
  </si>
  <si>
    <t>Wellington 5142</t>
  </si>
  <si>
    <t>Raphael House Kindergarten</t>
  </si>
  <si>
    <t>04-5695161</t>
  </si>
  <si>
    <t>centremanager@rhkindergarten.org.nz</t>
  </si>
  <si>
    <t>27 Matuhi Street</t>
  </si>
  <si>
    <t>Tirohanga</t>
  </si>
  <si>
    <t>Chilton St James Preschool - Waterloo</t>
  </si>
  <si>
    <t>04-5664089</t>
  </si>
  <si>
    <t>ccanton@chilton.school.nz</t>
  </si>
  <si>
    <t>124 Waterloo Road</t>
  </si>
  <si>
    <t>Chris Canton</t>
  </si>
  <si>
    <t>P O Box 30090</t>
  </si>
  <si>
    <t>04-566 4089</t>
  </si>
  <si>
    <t>St Marks Preschool</t>
  </si>
  <si>
    <t>04-3859489</t>
  </si>
  <si>
    <t>11 Dufferin Street</t>
  </si>
  <si>
    <t>Mount Victoria South</t>
  </si>
  <si>
    <t>Shelley Catlin</t>
  </si>
  <si>
    <t>P O Box 7445</t>
  </si>
  <si>
    <t>04-385 9489</t>
  </si>
  <si>
    <t>All About Children - Titahi Bay</t>
  </si>
  <si>
    <t>04-2367227</t>
  </si>
  <si>
    <t>manager.titahibay@allaboutchildren.co.nz</t>
  </si>
  <si>
    <t>11 Dimock Street</t>
  </si>
  <si>
    <t>Catherine Gillatt</t>
  </si>
  <si>
    <t>Playhouse Childcare</t>
  </si>
  <si>
    <t>04-8179042</t>
  </si>
  <si>
    <t>playhouse.accounts@gmail.com</t>
  </si>
  <si>
    <t>C/- Parliament Building Ballantrae Place</t>
  </si>
  <si>
    <t>Amanda Thornton</t>
  </si>
  <si>
    <t>Private Bag 18041</t>
  </si>
  <si>
    <t>Parliament Buildings</t>
  </si>
  <si>
    <t>Wellington 6160</t>
  </si>
  <si>
    <t>Capital Montessori School</t>
  </si>
  <si>
    <t>04-3892395</t>
  </si>
  <si>
    <t>office@montessori.school.nz</t>
  </si>
  <si>
    <t>14 Camrose Grove</t>
  </si>
  <si>
    <t>Kingston-Wellington</t>
  </si>
  <si>
    <t>Kingston-Mornington-Vogeltown</t>
  </si>
  <si>
    <t>Ashwini Aluwihare</t>
  </si>
  <si>
    <t>P O Box 7480</t>
  </si>
  <si>
    <t>04-392 2395</t>
  </si>
  <si>
    <t>BestStart Rongotai</t>
  </si>
  <si>
    <t>04-3877348</t>
  </si>
  <si>
    <t>178 Rongotai Road</t>
  </si>
  <si>
    <t>Millie's House Waiwhetu</t>
  </si>
  <si>
    <t>04-5664567</t>
  </si>
  <si>
    <t>6 Wainui Road</t>
  </si>
  <si>
    <t>Samuel Marsden Preschool</t>
  </si>
  <si>
    <t>04-4768707</t>
  </si>
  <si>
    <t>helen.mcConnell@marsden.school.nz</t>
  </si>
  <si>
    <t>Marsden Avenue</t>
  </si>
  <si>
    <t>Paula Wells</t>
  </si>
  <si>
    <t>Private Bag 17000</t>
  </si>
  <si>
    <t>04-4642037</t>
  </si>
  <si>
    <t>Lansdowne Private Childcare Centre</t>
  </si>
  <si>
    <t>06-3772448</t>
  </si>
  <si>
    <t>admin@lansdowneprivatechildcare.co.nz</t>
  </si>
  <si>
    <t>27 First Street</t>
  </si>
  <si>
    <t>Lansdowne West</t>
  </si>
  <si>
    <t>Mike  De Lange</t>
  </si>
  <si>
    <t xml:space="preserve">Bellagio Apartments  Suite 11c, 39 Taranaki Street </t>
  </si>
  <si>
    <t>027-458 5886</t>
  </si>
  <si>
    <t>Kilbirnie Early Learners</t>
  </si>
  <si>
    <t>04-3879488</t>
  </si>
  <si>
    <t>info@kilbirnieearlylearners.co.nz</t>
  </si>
  <si>
    <t>58 Bay Road</t>
  </si>
  <si>
    <t>Mt Cook Preschool</t>
  </si>
  <si>
    <t>04-385 9432</t>
  </si>
  <si>
    <t>mtcook@wmkindergartens.org.nz</t>
  </si>
  <si>
    <t>160 Tory Street</t>
  </si>
  <si>
    <t>BestStart Tawa</t>
  </si>
  <si>
    <t>04-2326988</t>
  </si>
  <si>
    <t>tawa@best-start.org</t>
  </si>
  <si>
    <t>85 Main Road</t>
  </si>
  <si>
    <t>Kids Reserve</t>
  </si>
  <si>
    <t>04-4730494</t>
  </si>
  <si>
    <t>kidsreserve@xtra.co.nz</t>
  </si>
  <si>
    <t>12 Hawkestone Street</t>
  </si>
  <si>
    <t>Hannah McGee</t>
  </si>
  <si>
    <t>1 Portland Crescent</t>
  </si>
  <si>
    <t>Wonder Kids Kāpiti</t>
  </si>
  <si>
    <t>04-9055152</t>
  </si>
  <si>
    <t>28 Arawhata Road</t>
  </si>
  <si>
    <t>Aiga Paia A'oga Amata</t>
  </si>
  <si>
    <t>04-2379169</t>
  </si>
  <si>
    <t>aigapaiaam@hotmail.com</t>
  </si>
  <si>
    <t>169 Mungavin Avenue</t>
  </si>
  <si>
    <t>Imeleta Avei</t>
  </si>
  <si>
    <t>P O Box 53035</t>
  </si>
  <si>
    <t>Wellington 5243</t>
  </si>
  <si>
    <t>04-2370799</t>
  </si>
  <si>
    <t>BestStart Waikanae</t>
  </si>
  <si>
    <t>04-2935090</t>
  </si>
  <si>
    <t>waikanae@best-start.org</t>
  </si>
  <si>
    <t>32 Winara Avenue</t>
  </si>
  <si>
    <t>Good Beginnings Educare Centre</t>
  </si>
  <si>
    <t>06-3789969</t>
  </si>
  <si>
    <t>38 Worksop Road</t>
  </si>
  <si>
    <t>Southside Kids Childcare Centre</t>
  </si>
  <si>
    <t>04-3855911</t>
  </si>
  <si>
    <t>juliebarton@xtra.co.nz</t>
  </si>
  <si>
    <t>Coromandel Street</t>
  </si>
  <si>
    <t>Juliana Barton</t>
  </si>
  <si>
    <t>83 Fraser Ave</t>
  </si>
  <si>
    <t>04-4789294</t>
  </si>
  <si>
    <t>Capital City Preschool</t>
  </si>
  <si>
    <t>04-3846560</t>
  </si>
  <si>
    <t>preschool@capitalcitypreschool.co.nz</t>
  </si>
  <si>
    <t>3 McDonald Crescent</t>
  </si>
  <si>
    <t>Dixon Street West</t>
  </si>
  <si>
    <t>Lisa Marshall</t>
  </si>
  <si>
    <t>P O Box 27421</t>
  </si>
  <si>
    <t>027-2245152</t>
  </si>
  <si>
    <t>Grace Kindergarten</t>
  </si>
  <si>
    <t>04-4796377</t>
  </si>
  <si>
    <t>4 Ngatoto Street</t>
  </si>
  <si>
    <t>Charis Steinmann</t>
  </si>
  <si>
    <t>Busy Bees Greytown</t>
  </si>
  <si>
    <t>06-3048056</t>
  </si>
  <si>
    <t>manager@greytown.busybees.org.nz</t>
  </si>
  <si>
    <t>151 Main Street</t>
  </si>
  <si>
    <t>Karen Newton</t>
  </si>
  <si>
    <t>06-304 8056</t>
  </si>
  <si>
    <t>Waikanae Beach Kids</t>
  </si>
  <si>
    <t>04-902 8380</t>
  </si>
  <si>
    <t>12 Waimea Road</t>
  </si>
  <si>
    <t>Waikanae Beach</t>
  </si>
  <si>
    <t>BestStart Montessori Johnsonville</t>
  </si>
  <si>
    <t>04-478 6071</t>
  </si>
  <si>
    <t>mont.johnsonville@best-start.org</t>
  </si>
  <si>
    <t>23a Elliot Street</t>
  </si>
  <si>
    <t>Montessori Children's House - Wellington</t>
  </si>
  <si>
    <t>04-3883529</t>
  </si>
  <si>
    <t>qxeducare@gmail.com</t>
  </si>
  <si>
    <t>121 Darlington Road</t>
  </si>
  <si>
    <t>Xing Wang</t>
  </si>
  <si>
    <t>022-1346123</t>
  </si>
  <si>
    <t>Kids Castle Education and Care Centre</t>
  </si>
  <si>
    <t>06-3748198</t>
  </si>
  <si>
    <t>kidscastle37@gmail.com</t>
  </si>
  <si>
    <t>37 Burns Street</t>
  </si>
  <si>
    <t>Sheryl Pinfold</t>
  </si>
  <si>
    <t>77 Adelaide Road RD 8</t>
  </si>
  <si>
    <t>Dannevirke 4978</t>
  </si>
  <si>
    <t>06-3746879</t>
  </si>
  <si>
    <t>Wellington City Rudolf Steiner Kindergarten</t>
  </si>
  <si>
    <t>04-4997394</t>
  </si>
  <si>
    <t>wgtn_steiner_kindy@yahoo.co.nz</t>
  </si>
  <si>
    <t>10 Davis Street</t>
  </si>
  <si>
    <t>Vanessa Baker</t>
  </si>
  <si>
    <t>04-499 7394</t>
  </si>
  <si>
    <t>Discovery Nursery and Cottage</t>
  </si>
  <si>
    <t>04-5677328</t>
  </si>
  <si>
    <t>vanikarthik2019@gmail.com</t>
  </si>
  <si>
    <t>13A Guiness Street</t>
  </si>
  <si>
    <t>Elizabeth Avenue Childcare Centre</t>
  </si>
  <si>
    <t>04-528 4441</t>
  </si>
  <si>
    <t>298 Fergusson Drive</t>
  </si>
  <si>
    <t>South Wellington Montessori School</t>
  </si>
  <si>
    <t>04-8311470</t>
  </si>
  <si>
    <t>info@montessorieco.nz</t>
  </si>
  <si>
    <t>4 Duppa Street</t>
  </si>
  <si>
    <t>William McDonald</t>
  </si>
  <si>
    <t>P O Box 5310</t>
  </si>
  <si>
    <t>Wellington 6145</t>
  </si>
  <si>
    <t>Childspace Early Learning Ctr - Karori</t>
  </si>
  <si>
    <t>04-4760004</t>
  </si>
  <si>
    <t>karori@childspace.nz</t>
  </si>
  <si>
    <t>81 Old Karori Road</t>
  </si>
  <si>
    <t>Karori North</t>
  </si>
  <si>
    <t>Busy Beez Childcare Centre</t>
  </si>
  <si>
    <t>04-5270605</t>
  </si>
  <si>
    <t>626 Fergusson Drive</t>
  </si>
  <si>
    <t>Te Kōhanga Reo o Hinetearorangi</t>
  </si>
  <si>
    <t>06-378 8927</t>
  </si>
  <si>
    <t>whanau@k08h006.kohanga.ac.nz</t>
  </si>
  <si>
    <t>C/O Te Ore Ore Marae Bideford Road</t>
  </si>
  <si>
    <t>Te Kōhanga Reo o Te Ngahere o Te Rangimārie</t>
  </si>
  <si>
    <t>04-564 4278</t>
  </si>
  <si>
    <t>WHANAU@K09A028.kohanga.ac.nz</t>
  </si>
  <si>
    <t>1 A Fitzherbert Road</t>
  </si>
  <si>
    <t>Te Kōhanga Reo o Tītahi Bay</t>
  </si>
  <si>
    <t>04-236 8242</t>
  </si>
  <si>
    <t>WHANAU@K09B011.kohanga.ac.nz</t>
  </si>
  <si>
    <t>99 Dimock Street</t>
  </si>
  <si>
    <t>Te Kōhanga Reo o Te Kākano o Te Kura</t>
  </si>
  <si>
    <t>06-364 5599</t>
  </si>
  <si>
    <t>tekakanootekura@gmail.com</t>
  </si>
  <si>
    <t>Te Rauparaha Street</t>
  </si>
  <si>
    <t>Te Kōhanga Reo o Raukawa</t>
  </si>
  <si>
    <t>06-364 5364</t>
  </si>
  <si>
    <t>WHANAU@K09D032.kohanga.ac.nz</t>
  </si>
  <si>
    <t>5 Convent Road</t>
  </si>
  <si>
    <t>Te Kōhanga Reo o Awhina Te Kaahui Nohinohi</t>
  </si>
  <si>
    <t>04-567 0309</t>
  </si>
  <si>
    <t>WHANAU@K09A014.kohanga.ac.nz</t>
  </si>
  <si>
    <t>Naenae Primary School 35 Wheatley Street</t>
  </si>
  <si>
    <t>Paparakau Te Kōhanga Reo</t>
  </si>
  <si>
    <t>04-939 8158</t>
  </si>
  <si>
    <t>admin@kokirimarae.org.nz</t>
  </si>
  <si>
    <t>58 Moonshine Road</t>
  </si>
  <si>
    <t>Te Kōhanga Reo o Tū Roa</t>
  </si>
  <si>
    <t>06-364 7740</t>
  </si>
  <si>
    <t>WHANAU@K09D036.kohanga.ac.nz</t>
  </si>
  <si>
    <t>43 Te Rauparaha Street</t>
  </si>
  <si>
    <t>Te Kōhanga Reo O Ngāti Hāmua</t>
  </si>
  <si>
    <t>06-377 3846</t>
  </si>
  <si>
    <t>whanau@k08h011.kohanga.ac.nz</t>
  </si>
  <si>
    <t>127 Cole Street</t>
  </si>
  <si>
    <t>Lansdowne</t>
  </si>
  <si>
    <t>Te Kōhanga Reo o Ngā Puāwai</t>
  </si>
  <si>
    <t>04-567 1004</t>
  </si>
  <si>
    <t>WHANAU@K09A060.kohanga.ac.nz</t>
  </si>
  <si>
    <t>8 Partridge St</t>
  </si>
  <si>
    <t>Pomare-Wellington</t>
  </si>
  <si>
    <t>Taita North</t>
  </si>
  <si>
    <t>Te Kōhanga Reo o Horouta</t>
  </si>
  <si>
    <t>04-235 7126</t>
  </si>
  <si>
    <t>WHANAU@K09B046.kohanga.ac.nz</t>
  </si>
  <si>
    <t>Horouta Marae 8 Whitford Brown Avenue</t>
  </si>
  <si>
    <t>Te Kōhanga Reo o Ngaio</t>
  </si>
  <si>
    <t>04-479 2484</t>
  </si>
  <si>
    <t>admin@tkron.co.nz</t>
  </si>
  <si>
    <t>58 Tarikaka Street</t>
  </si>
  <si>
    <t>Te Kōhanga Reo o Te Kaahui</t>
  </si>
  <si>
    <t>04-389 6007</t>
  </si>
  <si>
    <t>135 - 137 Owen Street</t>
  </si>
  <si>
    <t>Te Kōhanga Reo o Arohanui ki Te Tangata Marae Trust</t>
  </si>
  <si>
    <t>04-566 3086</t>
  </si>
  <si>
    <t>Waiwhetu Marae Puketapu Grove</t>
  </si>
  <si>
    <t>Wirangi Luke</t>
  </si>
  <si>
    <t>04-5871643</t>
  </si>
  <si>
    <t>Te Kōhanga Reo o Wāhi Reka</t>
  </si>
  <si>
    <t>06-378 7278</t>
  </si>
  <si>
    <t>k08h066@xtra.co.nz</t>
  </si>
  <si>
    <t>13 A River Road</t>
  </si>
  <si>
    <t>Kōkiri Marae Te Kōhanga Reo</t>
  </si>
  <si>
    <t>04-939 7111</t>
  </si>
  <si>
    <t>Kōkiri Marae 22 Barnes Street</t>
  </si>
  <si>
    <t>Seaview-Wellington</t>
  </si>
  <si>
    <t>Te Hono ki Kōkiri Te Kōhanga Reo</t>
  </si>
  <si>
    <t>04-567 1146</t>
  </si>
  <si>
    <t>WHANAU@K09A066.kohanga.ac.nz</t>
  </si>
  <si>
    <t>6 Wicklow Grove</t>
  </si>
  <si>
    <t>Te Kōhanga Reo o Pūrehurehu</t>
  </si>
  <si>
    <t>04-526 8882</t>
  </si>
  <si>
    <t>WHANAU@K09A027.kohanga.ac.nz</t>
  </si>
  <si>
    <t>6 Prestige Place</t>
  </si>
  <si>
    <t>Hine Poa</t>
  </si>
  <si>
    <t>04-528 3746</t>
  </si>
  <si>
    <t>Te Kōhanga Reo o Te Toka Āhuru</t>
  </si>
  <si>
    <t>04-235 8940</t>
  </si>
  <si>
    <t>WHANAU@K09B064.kohanga.ac.nz</t>
  </si>
  <si>
    <t>197 Warspite Avenue</t>
  </si>
  <si>
    <t>Te Kōhanga Reo o Ngāhauranga</t>
  </si>
  <si>
    <t>04-232 8424</t>
  </si>
  <si>
    <t>WHANAU@K09C043.kohanga.ac.nz</t>
  </si>
  <si>
    <t>55 Victory Crescent</t>
  </si>
  <si>
    <t>Te Kōhanga Reo o Ngā Kāwai</t>
  </si>
  <si>
    <t>04-235 5015</t>
  </si>
  <si>
    <t>WHANAU@K09B012.kohanga.ac.nz</t>
  </si>
  <si>
    <t>164 Warspite Avenue</t>
  </si>
  <si>
    <t>Te Kōhanga Reo o Muturangi</t>
  </si>
  <si>
    <t>04-568 5349</t>
  </si>
  <si>
    <t>5 Randwick Crescent</t>
  </si>
  <si>
    <t>Te Kōhanga Reo o Waikato Tairāwhiti</t>
  </si>
  <si>
    <t>04-237 9739</t>
  </si>
  <si>
    <t>WHANAU@K09B049.kohanga.ac.nz</t>
  </si>
  <si>
    <t>106 Bedford Street</t>
  </si>
  <si>
    <t>Te Kōhanga Reo o Takapu</t>
  </si>
  <si>
    <t>04-232 8569</t>
  </si>
  <si>
    <t>WHANAU@K09B067.kohanga.ac.nz</t>
  </si>
  <si>
    <t>51A Coates  Street</t>
  </si>
  <si>
    <t>Te Kōhanga Reo o Kotahitanga</t>
  </si>
  <si>
    <t>06-362 6773</t>
  </si>
  <si>
    <t>WHANAU@K09D071.kohanga.ac.nz</t>
  </si>
  <si>
    <t>State Highway 1</t>
  </si>
  <si>
    <t>Manakau-Palmerston North</t>
  </si>
  <si>
    <t>Te Kōhanga Reo o Pukerau</t>
  </si>
  <si>
    <t>04-235 8254</t>
  </si>
  <si>
    <t>WHANAU@K09B015.kohanga.ac.nz</t>
  </si>
  <si>
    <t>C/- Russell School Fantame Street</t>
  </si>
  <si>
    <t>Te Kōhanga Reo o Te Awa Kairangi</t>
  </si>
  <si>
    <t>04-973 9831</t>
  </si>
  <si>
    <t>WHANAU@K09A023.kohanga.ac.nz</t>
  </si>
  <si>
    <t>1041 High Street</t>
  </si>
  <si>
    <t>Avalon West</t>
  </si>
  <si>
    <t>Te Kōhanga Reo o Upoko Ā Urunga</t>
  </si>
  <si>
    <t>04-564 4470</t>
  </si>
  <si>
    <t>WHANAU@k09A072.kohanga.ac.nz</t>
  </si>
  <si>
    <t>24 Wood street</t>
  </si>
  <si>
    <t>Te Kōhanga Reo o Tararua ki Paraparaumu</t>
  </si>
  <si>
    <t>04-902 8544</t>
  </si>
  <si>
    <t>tararuakiparaparaumu@gmail.com</t>
  </si>
  <si>
    <t>34 Tennis Court Road</t>
  </si>
  <si>
    <t>Awatere Playcentre</t>
  </si>
  <si>
    <t>027-575 7301</t>
  </si>
  <si>
    <t>leah.fairgrieve@playcentre.org.nz</t>
  </si>
  <si>
    <t>Awatere Playcentre 13A Redwood Streeet</t>
  </si>
  <si>
    <t>Leah  Fairgrieve</t>
  </si>
  <si>
    <t>Blenheim Playcentre</t>
  </si>
  <si>
    <t>03-577 5216</t>
  </si>
  <si>
    <t>17 Eltham Road</t>
  </si>
  <si>
    <t>Whitney West</t>
  </si>
  <si>
    <t>Picton Playcentre</t>
  </si>
  <si>
    <t>03-573 5665</t>
  </si>
  <si>
    <t>5 Waitohi Place</t>
  </si>
  <si>
    <t>Picton</t>
  </si>
  <si>
    <t>Waitohi (Marlborough District)</t>
  </si>
  <si>
    <t>Marlborough Sounds General Ward</t>
  </si>
  <si>
    <t>Renwick Playcentre</t>
  </si>
  <si>
    <t>03-572 8016</t>
  </si>
  <si>
    <t>26 Havelock Street</t>
  </si>
  <si>
    <t>Enner Glynn Playcentre</t>
  </si>
  <si>
    <t>027-8805248</t>
  </si>
  <si>
    <t>Vic.Jackson@playcentre.org.nz</t>
  </si>
  <si>
    <t>8 Enner Glynn Road</t>
  </si>
  <si>
    <t>Wakatu</t>
  </si>
  <si>
    <t>Victoria Jackson</t>
  </si>
  <si>
    <t>027-880 5248</t>
  </si>
  <si>
    <t>Creative Cubs</t>
  </si>
  <si>
    <t>03-3237500</t>
  </si>
  <si>
    <t>796 Main North Road</t>
  </si>
  <si>
    <t>Simon Gillian</t>
  </si>
  <si>
    <t>1/15a Wairarapa Terrace</t>
  </si>
  <si>
    <t>021-950723</t>
  </si>
  <si>
    <t>Riccarton Park Montessori Preschool</t>
  </si>
  <si>
    <t>03-3427595</t>
  </si>
  <si>
    <t>de_silva@xtra.co.nz</t>
  </si>
  <si>
    <t>108 Racecourse Road</t>
  </si>
  <si>
    <t>Bianca De Silva</t>
  </si>
  <si>
    <t>45 Kintyre Drive</t>
  </si>
  <si>
    <t>03-3424238</t>
  </si>
  <si>
    <t>BestStart Rolleston</t>
  </si>
  <si>
    <t>03-347 9850</t>
  </si>
  <si>
    <t>rolleston@best-start.org</t>
  </si>
  <si>
    <t>14 Cezanne Grove</t>
  </si>
  <si>
    <t>Leaps and Bounds Preschool</t>
  </si>
  <si>
    <t>03- 313 5020</t>
  </si>
  <si>
    <t>office@leapsandbounds.co.nz</t>
  </si>
  <si>
    <t>85 - 87 Johns Road</t>
  </si>
  <si>
    <t>Ryan Westgate</t>
  </si>
  <si>
    <t>10 Waitaki Ave</t>
  </si>
  <si>
    <t>Oamaru North</t>
  </si>
  <si>
    <t>027-3903864</t>
  </si>
  <si>
    <t>Mapusaga Aoga Amata</t>
  </si>
  <si>
    <t>03-384 3557</t>
  </si>
  <si>
    <t>91 Dyers Road</t>
  </si>
  <si>
    <t>Woolston East</t>
  </si>
  <si>
    <t>Havana Vili</t>
  </si>
  <si>
    <t>P O Box 24173</t>
  </si>
  <si>
    <t>Eastgate</t>
  </si>
  <si>
    <t>Christchurch 8642</t>
  </si>
  <si>
    <t>My Preschool Limited</t>
  </si>
  <si>
    <t>03-3139270</t>
  </si>
  <si>
    <t>office@mypreschool.co.nz</t>
  </si>
  <si>
    <t>14 B Wales Street</t>
  </si>
  <si>
    <t>Neill O'Reilly</t>
  </si>
  <si>
    <t>14B Wales Street</t>
  </si>
  <si>
    <t>Christchurch 7400</t>
  </si>
  <si>
    <t>Annabel's Private Kindergarten</t>
  </si>
  <si>
    <t>03-3188843</t>
  </si>
  <si>
    <t>4kgtn@annabelseducare.co.nz</t>
  </si>
  <si>
    <t>12 South Terrace</t>
  </si>
  <si>
    <t>Darfield</t>
  </si>
  <si>
    <t>16-18 South Terrace</t>
  </si>
  <si>
    <t>Christchurch 7510</t>
  </si>
  <si>
    <t>Pinegrove Kindergarten</t>
  </si>
  <si>
    <t>03-542 3447</t>
  </si>
  <si>
    <t>Pinegrovekindergarten@ntk.org.nz</t>
  </si>
  <si>
    <t>Charlotte Lane</t>
  </si>
  <si>
    <t>Brighwater</t>
  </si>
  <si>
    <t>Brightwater</t>
  </si>
  <si>
    <t>Horizons Montessori</t>
  </si>
  <si>
    <t>03-5289099</t>
  </si>
  <si>
    <t>424 Main Road</t>
  </si>
  <si>
    <t>Kaiteriteri-Rīwaka</t>
  </si>
  <si>
    <t xml:space="preserve">Liana  Drummond </t>
  </si>
  <si>
    <t xml:space="preserve">424 Main Road </t>
  </si>
  <si>
    <t>Riwaka</t>
  </si>
  <si>
    <t>Motueka 7198</t>
  </si>
  <si>
    <t>Busy Bees Woodend</t>
  </si>
  <si>
    <t>03-312 7654</t>
  </si>
  <si>
    <t>30 Main North Road</t>
  </si>
  <si>
    <t>Hannah Byrne-Webby</t>
  </si>
  <si>
    <t>03-3127654</t>
  </si>
  <si>
    <t>Garden Grove Montessori Preschool</t>
  </si>
  <si>
    <t>03-686 2636</t>
  </si>
  <si>
    <t>admin@gardengrove.co.nz</t>
  </si>
  <si>
    <t>20 Barnes Street</t>
  </si>
  <si>
    <t>101 Mt Buster Road</t>
  </si>
  <si>
    <t>St Andrews 7988</t>
  </si>
  <si>
    <t>Barnardos Early Learning Centre Kaikoura</t>
  </si>
  <si>
    <t>03-3197082</t>
  </si>
  <si>
    <t>Sarah.naqova@barnardos.org.nz</t>
  </si>
  <si>
    <t>50a Ludstone Road</t>
  </si>
  <si>
    <t>Sarah Naqova</t>
  </si>
  <si>
    <t>021-370297</t>
  </si>
  <si>
    <t>Kaikōura Community of Learning</t>
  </si>
  <si>
    <t>Montessori STARS</t>
  </si>
  <si>
    <t>03-3561193</t>
  </si>
  <si>
    <t>69 McFaddens Road</t>
  </si>
  <si>
    <t>Sharon Anderson</t>
  </si>
  <si>
    <t>BestStart Opihi</t>
  </si>
  <si>
    <t>03-6157330</t>
  </si>
  <si>
    <t>opihi@best-start.org</t>
  </si>
  <si>
    <t>8 Scott Terrace</t>
  </si>
  <si>
    <t>Ottawa Gardens Preschool and Nursery</t>
  </si>
  <si>
    <t>03-389 6237</t>
  </si>
  <si>
    <t>smmcfarlane@xtra.co.nz</t>
  </si>
  <si>
    <t>49 Ottawa Road</t>
  </si>
  <si>
    <t>Sharon McFarlane</t>
  </si>
  <si>
    <t>49 Ottawa Rd</t>
  </si>
  <si>
    <t>Airdmhor Montessori</t>
  </si>
  <si>
    <t>03-3398052</t>
  </si>
  <si>
    <t>e.low@xtra.co.nz</t>
  </si>
  <si>
    <t>74 Halswell Road</t>
  </si>
  <si>
    <t>Elaine Low</t>
  </si>
  <si>
    <t>03-339 8054</t>
  </si>
  <si>
    <t>Peel Forest Preschool</t>
  </si>
  <si>
    <t>03-696 3530</t>
  </si>
  <si>
    <t>1138 Peel Forest 22 RD</t>
  </si>
  <si>
    <t>Arundel</t>
  </si>
  <si>
    <t>Harrison Millar</t>
  </si>
  <si>
    <t>Peel Forest RD 22</t>
  </si>
  <si>
    <t>Timaru 7992</t>
  </si>
  <si>
    <t>027-774 7770</t>
  </si>
  <si>
    <t>Little Oaks Preschool Cheviot</t>
  </si>
  <si>
    <t>03-319 8333</t>
  </si>
  <si>
    <t>cheviot@littleoakspreschool.co.nz</t>
  </si>
  <si>
    <t>8 Rolleston Street</t>
  </si>
  <si>
    <t>Cheviot</t>
  </si>
  <si>
    <t>Parnassus</t>
  </si>
  <si>
    <t>East Ward</t>
  </si>
  <si>
    <t>Cheviot 7341</t>
  </si>
  <si>
    <t>Karanga Mai Early Learning Centre</t>
  </si>
  <si>
    <t>03-3278315</t>
  </si>
  <si>
    <t>karangamai@wellbeingnc.org.nz</t>
  </si>
  <si>
    <t>Robert Coup Road</t>
  </si>
  <si>
    <t>Deirdre Ryan</t>
  </si>
  <si>
    <t>PO Box 409</t>
  </si>
  <si>
    <t>North Canterbury 7440</t>
  </si>
  <si>
    <t>03-310 6374</t>
  </si>
  <si>
    <t>Busy Bees Burwood</t>
  </si>
  <si>
    <t>03-383 8352</t>
  </si>
  <si>
    <t>manager@burwood.busybees.org.nz</t>
  </si>
  <si>
    <t>141 Burwood Road</t>
  </si>
  <si>
    <t>Burwood North</t>
  </si>
  <si>
    <t>Chantelle Forster</t>
  </si>
  <si>
    <t>03-3838352</t>
  </si>
  <si>
    <t>Annabel's Educare</t>
  </si>
  <si>
    <t>03-3187943</t>
  </si>
  <si>
    <t>df@annabelseducare.co.nz</t>
  </si>
  <si>
    <t>16 South Terrace</t>
  </si>
  <si>
    <t>Prebbleton Childcare &amp; Education Centre</t>
  </si>
  <si>
    <t>Small World Preschool and Nursery</t>
  </si>
  <si>
    <t>03-3559887</t>
  </si>
  <si>
    <t>304 Cranford Street</t>
  </si>
  <si>
    <t>Susan Wayman</t>
  </si>
  <si>
    <t xml:space="preserve">304 Cranford Street </t>
  </si>
  <si>
    <t>03-319 2898</t>
  </si>
  <si>
    <t>St Andrews College Preschool</t>
  </si>
  <si>
    <t>03-940 2030</t>
  </si>
  <si>
    <t>preschool@stac.school.nz</t>
  </si>
  <si>
    <t>347 Papanui Road</t>
  </si>
  <si>
    <t>Strowan</t>
  </si>
  <si>
    <t>Jonathan Bierwirth</t>
  </si>
  <si>
    <t>03-9402030</t>
  </si>
  <si>
    <t>Learning Land</t>
  </si>
  <si>
    <t>03-5482552</t>
  </si>
  <si>
    <t>office@learningland.co.nz</t>
  </si>
  <si>
    <t>54 Tasman Street</t>
  </si>
  <si>
    <t>Maree Claridge</t>
  </si>
  <si>
    <t>8 Tasman Street</t>
  </si>
  <si>
    <t>03-5380005</t>
  </si>
  <si>
    <t>An Nur Childcare Centre</t>
  </si>
  <si>
    <t>03-3493223</t>
  </si>
  <si>
    <t>an_nur_childcare@hotmail.com</t>
  </si>
  <si>
    <t>48 Springs Road</t>
  </si>
  <si>
    <t>Maysoon Salama</t>
  </si>
  <si>
    <t>Kiddz Homebased Early Childhood Education Service</t>
  </si>
  <si>
    <t>03-388 7287</t>
  </si>
  <si>
    <t>Templeton Nursery and Preschool</t>
  </si>
  <si>
    <t>03-3441220</t>
  </si>
  <si>
    <t>manager@templetonpreschool.co.nz</t>
  </si>
  <si>
    <t>31 Kirk Road</t>
  </si>
  <si>
    <t>Racheal Judson</t>
  </si>
  <si>
    <t>8 Centaurus Road</t>
  </si>
  <si>
    <t>027-2070620</t>
  </si>
  <si>
    <t>Ako Rolleston</t>
  </si>
  <si>
    <t>03-347 4480</t>
  </si>
  <si>
    <t>rachael@akorollestonece.co.nz</t>
  </si>
  <si>
    <t>4 John Street</t>
  </si>
  <si>
    <t>Rachael Fearn</t>
  </si>
  <si>
    <t>2K Consulting Level 2, 270 Saint Asaph Street</t>
  </si>
  <si>
    <t>Christchurch 8011</t>
  </si>
  <si>
    <t>BestStart Beckenham</t>
  </si>
  <si>
    <t>03-337 3134</t>
  </si>
  <si>
    <t>112 Colombo Street</t>
  </si>
  <si>
    <t>Peppertree Preschool Ltd</t>
  </si>
  <si>
    <t>03-3130050</t>
  </si>
  <si>
    <t>peppertreepreschool@actrix.co.nz</t>
  </si>
  <si>
    <t>133 Kippenberger Avenue</t>
  </si>
  <si>
    <t>Rangiora South East</t>
  </si>
  <si>
    <t>Tree Bears Nursery and Preschool</t>
  </si>
  <si>
    <t>03-315 7749</t>
  </si>
  <si>
    <t>treebearshanmer@gmail.com</t>
  </si>
  <si>
    <t>6 B Fraser Close</t>
  </si>
  <si>
    <t>Yifan Jia</t>
  </si>
  <si>
    <t>PO Box 82</t>
  </si>
  <si>
    <t>Hanmer Springs 7334</t>
  </si>
  <si>
    <t>Oasis Education Centre</t>
  </si>
  <si>
    <t>03-5284656</t>
  </si>
  <si>
    <t>oasised@oasispreschools.co.nz</t>
  </si>
  <si>
    <t>12 Wilkinson Street</t>
  </si>
  <si>
    <t>Kidsfirst Kindergartens Niu</t>
  </si>
  <si>
    <t>03-3898462</t>
  </si>
  <si>
    <t>221 Woodham Road</t>
  </si>
  <si>
    <t>Avonside</t>
  </si>
  <si>
    <t>Busy Bees Aoraki</t>
  </si>
  <si>
    <t>03-6848215</t>
  </si>
  <si>
    <t>manager@aoraki.busybees.org.nz</t>
  </si>
  <si>
    <t>3 Stafford Street</t>
  </si>
  <si>
    <t>Timaru Central</t>
  </si>
  <si>
    <t>Fiona  Gray</t>
  </si>
  <si>
    <t>The Rainbow Early Learning Centre</t>
  </si>
  <si>
    <t>03-3273232</t>
  </si>
  <si>
    <t>admin@rainbowpreschool.net.nz</t>
  </si>
  <si>
    <t>6 Cosgrove Road</t>
  </si>
  <si>
    <t>Clarkville</t>
  </si>
  <si>
    <t>Janet Lefebvre</t>
  </si>
  <si>
    <t>67 Fuller Street</t>
  </si>
  <si>
    <t>027-7115918</t>
  </si>
  <si>
    <t>Tino E Tasi Preschool</t>
  </si>
  <si>
    <t>03-9815954</t>
  </si>
  <si>
    <t>tet.preschool@gmail.com</t>
  </si>
  <si>
    <t>120 Shortland Street</t>
  </si>
  <si>
    <t>Saul Luamanuvae-Su'a</t>
  </si>
  <si>
    <t>03-4877522</t>
  </si>
  <si>
    <t>Selwyn House Preschool</t>
  </si>
  <si>
    <t>03-3557248</t>
  </si>
  <si>
    <t>122 Merivale Lane</t>
  </si>
  <si>
    <t>P O Box 25049</t>
  </si>
  <si>
    <t>027-4266821</t>
  </si>
  <si>
    <t>Lalaga Preschool</t>
  </si>
  <si>
    <t>03-3666679</t>
  </si>
  <si>
    <t>office@lalaga.co.nz</t>
  </si>
  <si>
    <t>37 Brougham Street</t>
  </si>
  <si>
    <t>Samoan ECE Service, Seventh Day Adventist</t>
  </si>
  <si>
    <t>Lorna Joseph</t>
  </si>
  <si>
    <t>5 Grants Road</t>
  </si>
  <si>
    <t>027-4774395</t>
  </si>
  <si>
    <t>Jeffrey Giraffe Early Learning Centre</t>
  </si>
  <si>
    <t>03-351 4436</t>
  </si>
  <si>
    <t>stacey@jeffreygiraffe.co.nz</t>
  </si>
  <si>
    <t>94 Idris Road</t>
  </si>
  <si>
    <t>Juliette Handisides</t>
  </si>
  <si>
    <t>Kew Pacific Island Early Learning Centre</t>
  </si>
  <si>
    <t>03-2143237</t>
  </si>
  <si>
    <t>kewpiece@gmail.com</t>
  </si>
  <si>
    <t>117 Elizabeth Street</t>
  </si>
  <si>
    <t>Clifton-Kew</t>
  </si>
  <si>
    <t>Rebecca Fa'alologo</t>
  </si>
  <si>
    <t>PO Box 369</t>
  </si>
  <si>
    <t>03-214 3237</t>
  </si>
  <si>
    <t>BestStart Parklands</t>
  </si>
  <si>
    <t>03-383 8085</t>
  </si>
  <si>
    <t>parklands@best-start.org</t>
  </si>
  <si>
    <t>25 Chadbury Street</t>
  </si>
  <si>
    <t>BestStart Riccarton</t>
  </si>
  <si>
    <t>03-348 2242</t>
  </si>
  <si>
    <t>riccarton@best-start.org</t>
  </si>
  <si>
    <t>97 Wainui Street</t>
  </si>
  <si>
    <t>West Melton Nursery and Preschool Limited</t>
  </si>
  <si>
    <t>03-3474132</t>
  </si>
  <si>
    <t>info@westmeltonkindergarten.co.nz</t>
  </si>
  <si>
    <t>739 Weedons Ross Road</t>
  </si>
  <si>
    <t>746 Weedons Ross Road</t>
  </si>
  <si>
    <t>Christchurch 7618</t>
  </si>
  <si>
    <t>Appleby Playcentre</t>
  </si>
  <si>
    <t>Appleby Domain</t>
  </si>
  <si>
    <t>Waimea West</t>
  </si>
  <si>
    <t>Atawhai Playcentre</t>
  </si>
  <si>
    <t>vic.jackson@playcentre.org.nz</t>
  </si>
  <si>
    <t>655 Atawhai Drive</t>
  </si>
  <si>
    <t>Brightwater Playcentre</t>
  </si>
  <si>
    <t>021-1394106</t>
  </si>
  <si>
    <t>244 Lord Rutherford Road</t>
  </si>
  <si>
    <t>Wakefield Rural</t>
  </si>
  <si>
    <t>Aorere Playcentre</t>
  </si>
  <si>
    <t>Lewis Street</t>
  </si>
  <si>
    <t>Collingwood</t>
  </si>
  <si>
    <t>Golden Bay/Mohua</t>
  </si>
  <si>
    <t>Golden Bay Ward</t>
  </si>
  <si>
    <t>Kāhui Ako ki Mohua</t>
  </si>
  <si>
    <t>Māpua Playcentre</t>
  </si>
  <si>
    <t>84 Aranui Road</t>
  </si>
  <si>
    <t>Mapua</t>
  </si>
  <si>
    <t>Māpua</t>
  </si>
  <si>
    <t>Motueka Playcentre</t>
  </si>
  <si>
    <t>27 Talbot Street</t>
  </si>
  <si>
    <t>Richmond Playcentre</t>
  </si>
  <si>
    <t xml:space="preserve"> 46 Waverley Street</t>
  </si>
  <si>
    <t>Tākaka Playcentre</t>
  </si>
  <si>
    <t>Lake Crescent</t>
  </si>
  <si>
    <t>Takaka</t>
  </si>
  <si>
    <t>Tākaka</t>
  </si>
  <si>
    <t>Tapawera Playcentre</t>
  </si>
  <si>
    <t>Memorial Hall Main Road</t>
  </si>
  <si>
    <t>Victory Playcentre</t>
  </si>
  <si>
    <t>255 Vanguard Street</t>
  </si>
  <si>
    <t>Wakefield Playcentre</t>
  </si>
  <si>
    <t>Treeton Place</t>
  </si>
  <si>
    <t>Wakefield</t>
  </si>
  <si>
    <t>Kindercare Learning Centres - Spreydon</t>
  </si>
  <si>
    <t>03-3327331</t>
  </si>
  <si>
    <t>strickland@kindercare.co.nz</t>
  </si>
  <si>
    <t>144 Strickland Street</t>
  </si>
  <si>
    <t>Sydenham West</t>
  </si>
  <si>
    <t>Dunsandel Childcare and Preschool Ltd</t>
  </si>
  <si>
    <t>03-3254543</t>
  </si>
  <si>
    <t>admin@bluegoosepreschool.co.nz</t>
  </si>
  <si>
    <t>5 - 7 Dunsandel Hororata Road</t>
  </si>
  <si>
    <t>Dunsandel</t>
  </si>
  <si>
    <t>Bankside</t>
  </si>
  <si>
    <t>Susan McLean</t>
  </si>
  <si>
    <t>P O Box 114</t>
  </si>
  <si>
    <t>Christchurch 7657</t>
  </si>
  <si>
    <t>03-3187499</t>
  </si>
  <si>
    <t>Ngā Mātāpuna o te Waihora Kāhui Ako</t>
  </si>
  <si>
    <t>Banks Peninsula Early Learning Incorporated</t>
  </si>
  <si>
    <t>03-3047664</t>
  </si>
  <si>
    <t>admin@bpel.co.nz</t>
  </si>
  <si>
    <t>11 School Lane</t>
  </si>
  <si>
    <t>Duvauchelle</t>
  </si>
  <si>
    <t>Akaroa Harbour</t>
  </si>
  <si>
    <t>Stephanie Whitehouse</t>
  </si>
  <si>
    <t>Akaroa 7581</t>
  </si>
  <si>
    <t>BestStart Northwood</t>
  </si>
  <si>
    <t>03-323 7875</t>
  </si>
  <si>
    <t>northwood@best-start.org</t>
  </si>
  <si>
    <t>1 O'Neill Ave</t>
  </si>
  <si>
    <t>Abacus Montessori Preschool</t>
  </si>
  <si>
    <t>03-3812721</t>
  </si>
  <si>
    <t>70 Wildberry Street</t>
  </si>
  <si>
    <t>Deborah McCabe</t>
  </si>
  <si>
    <t>76 Hilton Drive</t>
  </si>
  <si>
    <t xml:space="preserve">Amberley </t>
  </si>
  <si>
    <t>021-06429363</t>
  </si>
  <si>
    <t>Renwick Preschool</t>
  </si>
  <si>
    <t>03-5729868</t>
  </si>
  <si>
    <t>37 Anglesea Street</t>
  </si>
  <si>
    <t>Colleen McGruddy</t>
  </si>
  <si>
    <t>Renwick 7243</t>
  </si>
  <si>
    <t xml:space="preserve">021-773181 </t>
  </si>
  <si>
    <t>Little Sunflowers</t>
  </si>
  <si>
    <t>03-5484014</t>
  </si>
  <si>
    <t>childcareco2@xtra.co.nz</t>
  </si>
  <si>
    <t>Little Ones Early Learning Centre</t>
  </si>
  <si>
    <t>03-2066216</t>
  </si>
  <si>
    <t>39 Ferry Rd</t>
  </si>
  <si>
    <t>Edendale</t>
  </si>
  <si>
    <t>Edendale-Woodlands</t>
  </si>
  <si>
    <t>Waihopai Toetoe Ward</t>
  </si>
  <si>
    <t>Lower Mataura Valley Community of Learning</t>
  </si>
  <si>
    <t>Noku te Ao</t>
  </si>
  <si>
    <t>nokuteao@xtra.co.nz</t>
  </si>
  <si>
    <t>BestStart Aidanfield</t>
  </si>
  <si>
    <t>03-339 2126</t>
  </si>
  <si>
    <t>aidanfield@best-start.org</t>
  </si>
  <si>
    <t>50 Kinsella Crescent</t>
  </si>
  <si>
    <t>Footsteps Christian Community Preschool</t>
  </si>
  <si>
    <t>03-354 6322</t>
  </si>
  <si>
    <t>footsteps@pre-school.co.nz</t>
  </si>
  <si>
    <t>Papanui East</t>
  </si>
  <si>
    <t>Jenny Uffindell</t>
  </si>
  <si>
    <t>03-3546322</t>
  </si>
  <si>
    <t>Oasis Preschool Mapua</t>
  </si>
  <si>
    <t>mapua@oasispreschools.co.nz</t>
  </si>
  <si>
    <t>2 Toru Street</t>
  </si>
  <si>
    <t>P O Box 299</t>
  </si>
  <si>
    <t>Busy Bees Lake Terrace</t>
  </si>
  <si>
    <t>03-383 4757</t>
  </si>
  <si>
    <t>manager@laketerrace.busybees.org.nz</t>
  </si>
  <si>
    <t>30 Lake Terrace Road</t>
  </si>
  <si>
    <t>Burwood South</t>
  </si>
  <si>
    <t>Verity Parkyn</t>
  </si>
  <si>
    <t>03-3834757</t>
  </si>
  <si>
    <t>Hira Rural Kindergarten</t>
  </si>
  <si>
    <t>03-545 0224</t>
  </si>
  <si>
    <t>HiraKindergarten@ntk.org.nz</t>
  </si>
  <si>
    <t>460 State Highway 6</t>
  </si>
  <si>
    <t>Wakapuaka</t>
  </si>
  <si>
    <t>Nelson Rural</t>
  </si>
  <si>
    <t>Paradise Early Learning Centre</t>
  </si>
  <si>
    <t>03-2175785</t>
  </si>
  <si>
    <t>kelly@pfk.nz</t>
  </si>
  <si>
    <t>394 Herbert St</t>
  </si>
  <si>
    <t>Kelly Dickens</t>
  </si>
  <si>
    <t>480 Bainfield Road</t>
  </si>
  <si>
    <t>Invercargill 9872</t>
  </si>
  <si>
    <t>027-3559596</t>
  </si>
  <si>
    <t>Te Waka Huruhurumanu ki Otautahi Early Learning Centre</t>
  </si>
  <si>
    <t>03-9408436</t>
  </si>
  <si>
    <t>administration@tewaka.org.nz</t>
  </si>
  <si>
    <t>Coventry Street</t>
  </si>
  <si>
    <t>Sara-Jane MacInnes</t>
  </si>
  <si>
    <t>P O Box 540</t>
  </si>
  <si>
    <t>Christchurch Mail Centre</t>
  </si>
  <si>
    <t>Active Explorers Rolleston</t>
  </si>
  <si>
    <t>03-3474400</t>
  </si>
  <si>
    <t>37 Tennyson Street</t>
  </si>
  <si>
    <t>Natasha Godinet-Howard</t>
  </si>
  <si>
    <t>Queens Park Early Childhood Education</t>
  </si>
  <si>
    <t>03-9310557</t>
  </si>
  <si>
    <t>queensparkece@gmail.com</t>
  </si>
  <si>
    <t>61 Gala St</t>
  </si>
  <si>
    <t>Yi-Ju Richard Lin</t>
  </si>
  <si>
    <t>61 Gala Street</t>
  </si>
  <si>
    <t>Weka Pre-School Ltd</t>
  </si>
  <si>
    <t>03-2367393</t>
  </si>
  <si>
    <t>wekapreschool@xtra.co.nz</t>
  </si>
  <si>
    <t>197 / 203 Park St</t>
  </si>
  <si>
    <t xml:space="preserve">Reggio Emilia, Nature Education </t>
  </si>
  <si>
    <t>Rochelle Robins</t>
  </si>
  <si>
    <t>104 Dunearn Road RD 3</t>
  </si>
  <si>
    <t xml:space="preserve">Winton </t>
  </si>
  <si>
    <t>03-2361990</t>
  </si>
  <si>
    <t>Active Explorers Hokitika</t>
  </si>
  <si>
    <t>180 Hampden St</t>
  </si>
  <si>
    <t>Little People on Gladstone</t>
  </si>
  <si>
    <t>03-5447555</t>
  </si>
  <si>
    <t>littlepeoplenelson@xtra.co.nz</t>
  </si>
  <si>
    <t>17 Gladstone Road</t>
  </si>
  <si>
    <t>Megan  Oliver</t>
  </si>
  <si>
    <t xml:space="preserve">34 Gladstone Road </t>
  </si>
  <si>
    <t>027-5442390</t>
  </si>
  <si>
    <t>Kiddies Campus Early Learning Centre</t>
  </si>
  <si>
    <t>021-374829</t>
  </si>
  <si>
    <t>52 York Place</t>
  </si>
  <si>
    <t>Anne Mechen</t>
  </si>
  <si>
    <t>P O Box 5484</t>
  </si>
  <si>
    <t>Dunedin 9058</t>
  </si>
  <si>
    <t>03-4719001</t>
  </si>
  <si>
    <t>Stewart Island EC Education Centre</t>
  </si>
  <si>
    <t>03-2191303</t>
  </si>
  <si>
    <t>6 Ayr Street</t>
  </si>
  <si>
    <t>Stewart Island</t>
  </si>
  <si>
    <t>Stewart Island/Rakiura Ward</t>
  </si>
  <si>
    <t>Rebecca Baxter</t>
  </si>
  <si>
    <t>P O Box 37</t>
  </si>
  <si>
    <t>Stewart Island 9846</t>
  </si>
  <si>
    <t>020-40751474</t>
  </si>
  <si>
    <t>Stoke Montessori</t>
  </si>
  <si>
    <t>03-5471022</t>
  </si>
  <si>
    <t>stoke.montessori@gmail.com</t>
  </si>
  <si>
    <t>61 Marlowe Street</t>
  </si>
  <si>
    <t>Aldinga</t>
  </si>
  <si>
    <t>Just Kids Community Preschool</t>
  </si>
  <si>
    <t>03-373 8277</t>
  </si>
  <si>
    <t>kerry@deepwaters.co.nz</t>
  </si>
  <si>
    <t>BestStart Queenstown</t>
  </si>
  <si>
    <t>03-4426822</t>
  </si>
  <si>
    <t>queenstown@best-start.org</t>
  </si>
  <si>
    <t>18 B Hamilton Road</t>
  </si>
  <si>
    <t>BestStart Wigram</t>
  </si>
  <si>
    <t>03-348 4616</t>
  </si>
  <si>
    <t>wigram@best-start.org</t>
  </si>
  <si>
    <t>Cnr Mustang Avenue &amp; Corsair Drive</t>
  </si>
  <si>
    <t>Early Childhood on Stafford</t>
  </si>
  <si>
    <t>03-4701029</t>
  </si>
  <si>
    <t>ecstafford@xtra.co.nz</t>
  </si>
  <si>
    <t>89 Stafford Street</t>
  </si>
  <si>
    <t>Russell Ballantyne</t>
  </si>
  <si>
    <t>Green Leaf Early Learning</t>
  </si>
  <si>
    <t>03-5441456</t>
  </si>
  <si>
    <t>admin@greenleafearlylearning.com</t>
  </si>
  <si>
    <t>42 Waverley Street</t>
  </si>
  <si>
    <t>Kevin Holder</t>
  </si>
  <si>
    <t>027-8426319</t>
  </si>
  <si>
    <t>Riverton Childcare</t>
  </si>
  <si>
    <t>03-2348234</t>
  </si>
  <si>
    <t>office@rivertonchildcare.co.nz</t>
  </si>
  <si>
    <t>10 Leader Street</t>
  </si>
  <si>
    <t>Marina Seager</t>
  </si>
  <si>
    <t>12 Leader Street</t>
  </si>
  <si>
    <t>Riverton 9822</t>
  </si>
  <si>
    <t>03-2349179</t>
  </si>
  <si>
    <t>Te Whare Rama | Light House Early Learning Centre Cobham Street</t>
  </si>
  <si>
    <t>03-3385466</t>
  </si>
  <si>
    <t>31 Cobham Street</t>
  </si>
  <si>
    <t>Picton Preschool</t>
  </si>
  <si>
    <t>03-5735530</t>
  </si>
  <si>
    <t>pictonpreschool@xtra.co.nz</t>
  </si>
  <si>
    <t>44 Kent Street</t>
  </si>
  <si>
    <t>William McGruddy</t>
  </si>
  <si>
    <t>P O Box 513</t>
  </si>
  <si>
    <t>Blenheim 7240</t>
  </si>
  <si>
    <t>03-5735527</t>
  </si>
  <si>
    <t>Te Wheke Akoranga Marlborough Sounds Kāhui Ako</t>
  </si>
  <si>
    <t>Maori Hill Montessori Preschool</t>
  </si>
  <si>
    <t>03-4667313</t>
  </si>
  <si>
    <t>sarah@mhmontessori.co.nz</t>
  </si>
  <si>
    <t>607A Highgate</t>
  </si>
  <si>
    <t>Maori Hill</t>
  </si>
  <si>
    <t>Sarah McMillan</t>
  </si>
  <si>
    <t>03-4534013</t>
  </si>
  <si>
    <t>Little Oaks by the Sea</t>
  </si>
  <si>
    <t>03-319 5858</t>
  </si>
  <si>
    <t>1 South Bay Parade</t>
  </si>
  <si>
    <t>Prebbleton Nursery &amp; Education Centre</t>
  </si>
  <si>
    <t>office@prebbletonchildcare.co.nz</t>
  </si>
  <si>
    <t>Gore Playcentre</t>
  </si>
  <si>
    <t>021-1817357</t>
  </si>
  <si>
    <t>gore@playcentre.org.nz</t>
  </si>
  <si>
    <t>13 Wayland Street</t>
  </si>
  <si>
    <t>03-5738889</t>
  </si>
  <si>
    <t>picton@mka.org.nz</t>
  </si>
  <si>
    <t>25 York Street</t>
  </si>
  <si>
    <t>Kindercare Learning Centres - Burwood (208)</t>
  </si>
  <si>
    <t>03-3870305</t>
  </si>
  <si>
    <t>burwood@kindercare.co.nz</t>
  </si>
  <si>
    <t>305 Burwood Road</t>
  </si>
  <si>
    <t>BestStart Rugby Park</t>
  </si>
  <si>
    <t>03-2140652</t>
  </si>
  <si>
    <t>rugbypark@best-start.org</t>
  </si>
  <si>
    <t>172 Eye St</t>
  </si>
  <si>
    <t>Te Kōhanga Reo o Te Aho Matua</t>
  </si>
  <si>
    <t>03-216 3207</t>
  </si>
  <si>
    <t>734 Tweed Street</t>
  </si>
  <si>
    <t>Rockdale</t>
  </si>
  <si>
    <t>Waverley Street Kindergarten</t>
  </si>
  <si>
    <t>03-544 4170</t>
  </si>
  <si>
    <t>waverleystkindergarten@ntk.org.nz</t>
  </si>
  <si>
    <t>58 Waverley Street</t>
  </si>
  <si>
    <t>Active Explorers Nelson Street</t>
  </si>
  <si>
    <t>03-7689099</t>
  </si>
  <si>
    <t>25 Nelson Street</t>
  </si>
  <si>
    <t>Greymouth South</t>
  </si>
  <si>
    <t>Greymouth Central</t>
  </si>
  <si>
    <t>Lynette Kioa</t>
  </si>
  <si>
    <t>The Children's House Hokitika</t>
  </si>
  <si>
    <t>kaiatakidshoki@gmail.com</t>
  </si>
  <si>
    <t>199 Stafford Street</t>
  </si>
  <si>
    <t>Wakefield Village Kindergarten Limited</t>
  </si>
  <si>
    <t>03-5418086</t>
  </si>
  <si>
    <t>wakefieldkindy@gmail.com</t>
  </si>
  <si>
    <t>20 Whitby Way</t>
  </si>
  <si>
    <t>Maretta Burbidge</t>
  </si>
  <si>
    <t>711 Wakefield Kohatu Highway</t>
  </si>
  <si>
    <t>Wakefield 7095</t>
  </si>
  <si>
    <t>027-3407280</t>
  </si>
  <si>
    <t>Little Tamariki Montessori Pre-school</t>
  </si>
  <si>
    <t>03-3196470</t>
  </si>
  <si>
    <t>littletamariki@xtra.co.nz</t>
  </si>
  <si>
    <t>47 Ludstone Road</t>
  </si>
  <si>
    <t>Lydia Boyd</t>
  </si>
  <si>
    <t>58 Cambria st</t>
  </si>
  <si>
    <t>027-3296074</t>
  </si>
  <si>
    <t>Grey Valley Playcentre</t>
  </si>
  <si>
    <t>027-8805238</t>
  </si>
  <si>
    <t>mandy.coleman@playcentre.org.nz</t>
  </si>
  <si>
    <t>20 Napoleon Street</t>
  </si>
  <si>
    <t>Ahaura</t>
  </si>
  <si>
    <t>Nelson Creek</t>
  </si>
  <si>
    <t>Amanda Coleman</t>
  </si>
  <si>
    <t>Kaniere Playcentre</t>
  </si>
  <si>
    <t>14 Camp Street</t>
  </si>
  <si>
    <t>Kaniere</t>
  </si>
  <si>
    <t>Hokitika Rural</t>
  </si>
  <si>
    <t>Murchison Playcentre</t>
  </si>
  <si>
    <t>021-2922060</t>
  </si>
  <si>
    <t>Waller Street</t>
  </si>
  <si>
    <t>Paroa Playcentre</t>
  </si>
  <si>
    <t>494 Main South Road</t>
  </si>
  <si>
    <t>Paroa</t>
  </si>
  <si>
    <t>Westport Playcentre</t>
  </si>
  <si>
    <t>36 A Fonblanque Street</t>
  </si>
  <si>
    <t>Blenheim Early Childhood Centres and Kindergartens Inc Te Kupenga Preschool</t>
  </si>
  <si>
    <t>03-5788571</t>
  </si>
  <si>
    <t>tekupenga@blenheimearlychildhood.co.nz</t>
  </si>
  <si>
    <t>120 Aerodrome Road</t>
  </si>
  <si>
    <t>Joanne Dewe</t>
  </si>
  <si>
    <t>P O Box 388</t>
  </si>
  <si>
    <t>027-306 4509</t>
  </si>
  <si>
    <t>BestStart Springlands</t>
  </si>
  <si>
    <t>03-579 6060</t>
  </si>
  <si>
    <t>springlands@best-start.org</t>
  </si>
  <si>
    <t>11 Colemans Road</t>
  </si>
  <si>
    <t>Te Kōhanga Reo o Waimeha</t>
  </si>
  <si>
    <t>03-539 4253</t>
  </si>
  <si>
    <t>214 Vanguard Street</t>
  </si>
  <si>
    <t>Reefton Early Learning Centre</t>
  </si>
  <si>
    <t>03-732 8585</t>
  </si>
  <si>
    <t>Reefton Early learning Centre 4 Victory Street</t>
  </si>
  <si>
    <t>Reefton</t>
  </si>
  <si>
    <t>Inangahua Ward</t>
  </si>
  <si>
    <t>Kate Andrews</t>
  </si>
  <si>
    <t>P O Box 9</t>
  </si>
  <si>
    <t>Christchurch 7830</t>
  </si>
  <si>
    <t>Kidz Kindy @49</t>
  </si>
  <si>
    <t>03-578 8984</t>
  </si>
  <si>
    <t>49 Budge Street</t>
  </si>
  <si>
    <t>Pelorus Community Preschool - Kōhungahunga o Te Hoiere</t>
  </si>
  <si>
    <t>03-5742096</t>
  </si>
  <si>
    <t>peloruscommunitypreschool@xtra.co.nz</t>
  </si>
  <si>
    <t>Pelorus Community Preschool 49 Main Road</t>
  </si>
  <si>
    <t>Havelock</t>
  </si>
  <si>
    <t>Marlborough Sounds West</t>
  </si>
  <si>
    <t>Bonneville Jones</t>
  </si>
  <si>
    <t>PO Box 96</t>
  </si>
  <si>
    <t>Havelock 7150</t>
  </si>
  <si>
    <t>Busy Bees Mapua</t>
  </si>
  <si>
    <t>03-5403330</t>
  </si>
  <si>
    <t>info@mapua.busybees.org.nz</t>
  </si>
  <si>
    <t>86 Aranui Road</t>
  </si>
  <si>
    <t>Tracey Taylor</t>
  </si>
  <si>
    <t>021-2414439</t>
  </si>
  <si>
    <t>Golden Bay Kindergarten</t>
  </si>
  <si>
    <t>03-5259686</t>
  </si>
  <si>
    <t>goldenbaykindergarten@ntk.org.nz</t>
  </si>
  <si>
    <t>Golden Bay Kindergarten 9 Wadsworth Street</t>
  </si>
  <si>
    <t>Y Kids Early Learning Centre</t>
  </si>
  <si>
    <t>03-5456760</t>
  </si>
  <si>
    <t>183 St Vincent Street</t>
  </si>
  <si>
    <t>Lisa Turner</t>
  </si>
  <si>
    <t>Toi Toi</t>
  </si>
  <si>
    <t>Active Explorers Richmond</t>
  </si>
  <si>
    <t>03-5447611</t>
  </si>
  <si>
    <t>cm.richmond@activeexplorers.co.nz</t>
  </si>
  <si>
    <t>6D Champion Road</t>
  </si>
  <si>
    <t>Karmin Marchbanks</t>
  </si>
  <si>
    <t>03-5442191</t>
  </si>
  <si>
    <t>Little Footsteps-John Street</t>
  </si>
  <si>
    <t>03-577 6008</t>
  </si>
  <si>
    <t>Little Footsteps-John Street 3 John Street</t>
  </si>
  <si>
    <t>Kaikoura Playcentre</t>
  </si>
  <si>
    <t>03-377 2540</t>
  </si>
  <si>
    <t>Kaikoura Playcentre The Esplanade</t>
  </si>
  <si>
    <t>Golden Kids Inc. Early Learning Centre</t>
  </si>
  <si>
    <t>03-5259059</t>
  </si>
  <si>
    <t>Katie.goldenkids@gmail.com</t>
  </si>
  <si>
    <t>88 Commerical Street</t>
  </si>
  <si>
    <t>Katie Cullen</t>
  </si>
  <si>
    <t>P O Box 184</t>
  </si>
  <si>
    <t>Takaka 7142</t>
  </si>
  <si>
    <t>027-5471770</t>
  </si>
  <si>
    <t>Country Kids Childcare Centre</t>
  </si>
  <si>
    <t>03-5432819</t>
  </si>
  <si>
    <t>nickie@countrykids.org.nz</t>
  </si>
  <si>
    <t>1519 Moutere Highway</t>
  </si>
  <si>
    <t>Nickie Hodgkinson</t>
  </si>
  <si>
    <t>Neudorf Road RD 2</t>
  </si>
  <si>
    <t>Nelson 7175</t>
  </si>
  <si>
    <t>027-8826909</t>
  </si>
  <si>
    <t>Bridge Street Kindergarten</t>
  </si>
  <si>
    <t>03-5481234</t>
  </si>
  <si>
    <t>199 Bridge Street</t>
  </si>
  <si>
    <t>Nelson Central-Trafalgar</t>
  </si>
  <si>
    <t>Nelson Montessori</t>
  </si>
  <si>
    <t>03-546 8768</t>
  </si>
  <si>
    <t>nelson.montessori@gmail.com</t>
  </si>
  <si>
    <t>87 Atawhai Drive</t>
  </si>
  <si>
    <t>Campus Corner Early Learning Centre Inc</t>
  </si>
  <si>
    <t>03-5480104</t>
  </si>
  <si>
    <t>office@campuscorner.co.nz</t>
  </si>
  <si>
    <t>55 Nile Street</t>
  </si>
  <si>
    <t>Charlotte-Jane Strange</t>
  </si>
  <si>
    <t>021-919401</t>
  </si>
  <si>
    <t>First Years Richmond</t>
  </si>
  <si>
    <t>03-5446667</t>
  </si>
  <si>
    <t>firstyears@xtra.co.nz</t>
  </si>
  <si>
    <t>61 A Salisbury Road</t>
  </si>
  <si>
    <t>Gwenyth Hodge</t>
  </si>
  <si>
    <t>408 Wakefield - Kohatu Highway</t>
  </si>
  <si>
    <t>Nelson 7095</t>
  </si>
  <si>
    <t>Richmond Preschool</t>
  </si>
  <si>
    <t>03-5440556</t>
  </si>
  <si>
    <t>67 Oxford Street</t>
  </si>
  <si>
    <t>Stacey Gallagher</t>
  </si>
  <si>
    <t>03-547 2599</t>
  </si>
  <si>
    <t>Te Kōhanga Reo o Kōpūāwai</t>
  </si>
  <si>
    <t>03-539 0692</t>
  </si>
  <si>
    <t>99 Atawhai Drive</t>
  </si>
  <si>
    <t>The Ark Preschool</t>
  </si>
  <si>
    <t>028-4573106</t>
  </si>
  <si>
    <t>office@thearkpreschool.co.nz</t>
  </si>
  <si>
    <t>123 Salisbury Street</t>
  </si>
  <si>
    <t>Rebecca  Lamborn</t>
  </si>
  <si>
    <t>P O Box 3242</t>
  </si>
  <si>
    <t>Nelson 7050</t>
  </si>
  <si>
    <t>03-5442951</t>
  </si>
  <si>
    <t>Blenheim Early Childhood Centres and Kindergartens Inc Uptown Preschool</t>
  </si>
  <si>
    <t>03-5788709</t>
  </si>
  <si>
    <t>uptown@blenheimearlychildhood.co.nz</t>
  </si>
  <si>
    <t>Uptown Preschool 59 Hospital Road</t>
  </si>
  <si>
    <t>Redwoodtown West</t>
  </si>
  <si>
    <t>Blenheim Early Childhood Centres and Kindergartens Inc. John Street  Preschool</t>
  </si>
  <si>
    <t>03-5781365</t>
  </si>
  <si>
    <t>johnst@blenheimearlychildhood.co.nz</t>
  </si>
  <si>
    <t>1 A Henry Street</t>
  </si>
  <si>
    <t>Little Footsteps - Scott Street</t>
  </si>
  <si>
    <t>03-578 1416</t>
  </si>
  <si>
    <t>St Marys Pre-School</t>
  </si>
  <si>
    <t>03-578 0678</t>
  </si>
  <si>
    <t>charlotte@stmaryspreschool.co.nz</t>
  </si>
  <si>
    <t>41 Maxwell Road</t>
  </si>
  <si>
    <t>Justin Hanrahan</t>
  </si>
  <si>
    <t>03-5705225</t>
  </si>
  <si>
    <t>Picton Community Early Learning Centre</t>
  </si>
  <si>
    <t>03-5737289</t>
  </si>
  <si>
    <t>info@pictonearlylearning.co.nz</t>
  </si>
  <si>
    <t>5 Wairau Road</t>
  </si>
  <si>
    <t>Maree Huntley</t>
  </si>
  <si>
    <t>P O Box 20</t>
  </si>
  <si>
    <t>Picton 7250</t>
  </si>
  <si>
    <t>03-578 1536</t>
  </si>
  <si>
    <t>Ballinger Drive</t>
  </si>
  <si>
    <t>BestStart Blenheim Central</t>
  </si>
  <si>
    <t>03-578 4214</t>
  </si>
  <si>
    <t>blenheimcentral@best-start.org</t>
  </si>
  <si>
    <t>129 High Street</t>
  </si>
  <si>
    <t>Yelverton</t>
  </si>
  <si>
    <t>Westport Early Learning Centre</t>
  </si>
  <si>
    <t>03-7896683</t>
  </si>
  <si>
    <t>welc@xtra.co.nz</t>
  </si>
  <si>
    <t>48 Pakington Street</t>
  </si>
  <si>
    <t>Kelsey Mundy</t>
  </si>
  <si>
    <t>P O Box 312</t>
  </si>
  <si>
    <t>Westport 7866</t>
  </si>
  <si>
    <t>Motueka Kindergarten</t>
  </si>
  <si>
    <t>03-528 7270</t>
  </si>
  <si>
    <t>motuekakindergarten@ntk.org.nz</t>
  </si>
  <si>
    <t>Renwick Preschool And Childcare Centre</t>
  </si>
  <si>
    <t>03-572 9868</t>
  </si>
  <si>
    <t>35 Anglesea Street</t>
  </si>
  <si>
    <t>Montessori Blenheim</t>
  </si>
  <si>
    <t>03-5778443</t>
  </si>
  <si>
    <t>office@montessoriblenheim.co.nz</t>
  </si>
  <si>
    <t>5 Francis Street</t>
  </si>
  <si>
    <t>Rachel Roundhill</t>
  </si>
  <si>
    <t>P O Box 1071</t>
  </si>
  <si>
    <t>03-5783382</t>
  </si>
  <si>
    <t>ElimKids Preschool</t>
  </si>
  <si>
    <t>03-5479003</t>
  </si>
  <si>
    <t>625 Main Road</t>
  </si>
  <si>
    <t>Richard Batchelar</t>
  </si>
  <si>
    <t>P O Box 2133</t>
  </si>
  <si>
    <t>03-5478297</t>
  </si>
  <si>
    <t>Kiwi Treasures Early Learning Centre</t>
  </si>
  <si>
    <t>03-5474703</t>
  </si>
  <si>
    <t>kiwi_treasures@yahoo.co.nz</t>
  </si>
  <si>
    <t>25 Ranui Road</t>
  </si>
  <si>
    <t>Sara Coleman</t>
  </si>
  <si>
    <t>03-5403375</t>
  </si>
  <si>
    <t>Te Kōhanga Reo o Kia Tau Te Rangimārie</t>
  </si>
  <si>
    <t>03-547 9386</t>
  </si>
  <si>
    <t>11 Karaka Street</t>
  </si>
  <si>
    <t>Active Explorers Leeston</t>
  </si>
  <si>
    <t>03-3244115</t>
  </si>
  <si>
    <t>20 Leeston-Lake Road</t>
  </si>
  <si>
    <t>Leeston</t>
  </si>
  <si>
    <t>Kimihia Early Learning Centre</t>
  </si>
  <si>
    <t>03-3891800</t>
  </si>
  <si>
    <t>viv.shearsby@kimihiapreschool.co.nz</t>
  </si>
  <si>
    <t>85 Aldwins Road</t>
  </si>
  <si>
    <t>Vivienne Shearsby</t>
  </si>
  <si>
    <t>P O Box 19528</t>
  </si>
  <si>
    <t>Christchurch 8241</t>
  </si>
  <si>
    <t>BestStart Hei Hei</t>
  </si>
  <si>
    <t>03-349 8180</t>
  </si>
  <si>
    <t>heihei@best-start.org</t>
  </si>
  <si>
    <t>16 Hei Hei Road</t>
  </si>
  <si>
    <t>Akaroa Playcentre</t>
  </si>
  <si>
    <t>rebecca.congalton@playcentre.org.nz</t>
  </si>
  <si>
    <t>Pavilion Recreation Grounds</t>
  </si>
  <si>
    <t>Akaroa</t>
  </si>
  <si>
    <t>BestStart Styx Mill</t>
  </si>
  <si>
    <t>03-323 7838</t>
  </si>
  <si>
    <t>styxmill@best-start.org</t>
  </si>
  <si>
    <t>109 Northwood Boulevard</t>
  </si>
  <si>
    <t>Amberley Playcentre</t>
  </si>
  <si>
    <t>Chamberlain Park</t>
  </si>
  <si>
    <t>Ashburton Playcentre</t>
  </si>
  <si>
    <t>45 Park Street</t>
  </si>
  <si>
    <t>Ashburton Central</t>
  </si>
  <si>
    <t>Ashley Playcentre</t>
  </si>
  <si>
    <t>43 Canterbury Street</t>
  </si>
  <si>
    <t>Montana Early Learning Centre</t>
  </si>
  <si>
    <t>03-3690207</t>
  </si>
  <si>
    <t>31 Montana Ave</t>
  </si>
  <si>
    <t>Ilam University</t>
  </si>
  <si>
    <t>Jeremy Hanna</t>
  </si>
  <si>
    <t>P O Box 31311</t>
  </si>
  <si>
    <t>Christchurch 8444</t>
  </si>
  <si>
    <t>Avonhead Playcentre</t>
  </si>
  <si>
    <t>166 Waimairi Road</t>
  </si>
  <si>
    <t>Belfast Playcentre</t>
  </si>
  <si>
    <t>710 Main North Road</t>
  </si>
  <si>
    <t>Spencerville Playcentre</t>
  </si>
  <si>
    <t>6a Heyders Road</t>
  </si>
  <si>
    <t>Brooklands-Spencerville</t>
  </si>
  <si>
    <t>Pūmanawa Bishopdale</t>
  </si>
  <si>
    <t>03-3299691</t>
  </si>
  <si>
    <t>josie@thekindfoundation.org.nz</t>
  </si>
  <si>
    <t>13 A Bishopdale Court</t>
  </si>
  <si>
    <t>Bishopdale West</t>
  </si>
  <si>
    <t>Josie Ogden-Schroeder</t>
  </si>
  <si>
    <t>Burwood Playcentre</t>
  </si>
  <si>
    <t>241 New Brighton Road</t>
  </si>
  <si>
    <t>Landsdowne Terrace Playcentre</t>
  </si>
  <si>
    <t>Community Centre Landsdowne Terrace</t>
  </si>
  <si>
    <t>Cashmere East</t>
  </si>
  <si>
    <t>Portobelo Avonhead</t>
  </si>
  <si>
    <t>03-3439943</t>
  </si>
  <si>
    <t>admin@portobelo.co.nz</t>
  </si>
  <si>
    <t>124 Yaldhurst Road</t>
  </si>
  <si>
    <t>Little Owls Preschool</t>
  </si>
  <si>
    <t>03-3862159</t>
  </si>
  <si>
    <t>349 Woodham Road</t>
  </si>
  <si>
    <t>Kathleen Prins</t>
  </si>
  <si>
    <t>116B Apsley Drive</t>
  </si>
  <si>
    <t>03-3738130</t>
  </si>
  <si>
    <t>Clarkville Playcentre</t>
  </si>
  <si>
    <t>Rice Park Heywards Road</t>
  </si>
  <si>
    <t>Ashburton Montessori Preschool</t>
  </si>
  <si>
    <t>03-3080380</t>
  </si>
  <si>
    <t>ashburtonmontessori@hotmail.co.nz</t>
  </si>
  <si>
    <t>176 Chalmers Avenue</t>
  </si>
  <si>
    <t>Tessa Skevington</t>
  </si>
  <si>
    <t>P O Box 348</t>
  </si>
  <si>
    <t>Ashburton 7740</t>
  </si>
  <si>
    <t>03-302 6026</t>
  </si>
  <si>
    <t>Culverden Playcentre</t>
  </si>
  <si>
    <t>43 Montrose Street</t>
  </si>
  <si>
    <t>Culverden</t>
  </si>
  <si>
    <t>Amuri</t>
  </si>
  <si>
    <t>Cust-West Eyreton Playcentre</t>
  </si>
  <si>
    <t>Kids at Play Temuka</t>
  </si>
  <si>
    <t>03-6157191</t>
  </si>
  <si>
    <t>11 Dyson Street</t>
  </si>
  <si>
    <t>Darfield Playcentre</t>
  </si>
  <si>
    <t>Ross Street</t>
  </si>
  <si>
    <t>Diamond Harbour Playcentre</t>
  </si>
  <si>
    <t>Purau Road</t>
  </si>
  <si>
    <t>Little Explorers Preschool</t>
  </si>
  <si>
    <t>03-3831418</t>
  </si>
  <si>
    <t>littleexplorers@xtra.co.nz</t>
  </si>
  <si>
    <t>71 Vivian Street</t>
  </si>
  <si>
    <t>Tracey Bentley</t>
  </si>
  <si>
    <t>Dunsandel Playcentre</t>
  </si>
  <si>
    <t>Irvines Road</t>
  </si>
  <si>
    <t>Longbeach Playcentre</t>
  </si>
  <si>
    <t>Eiffelton</t>
  </si>
  <si>
    <t>Busy Bees Southbrook</t>
  </si>
  <si>
    <t>03-3137489</t>
  </si>
  <si>
    <t>info@southbrook.busybees.org.nz</t>
  </si>
  <si>
    <t>89 Southbrook Road</t>
  </si>
  <si>
    <t>Julie Lewis</t>
  </si>
  <si>
    <t>Fendalton Playcentre</t>
  </si>
  <si>
    <t>170 A Clyde Road</t>
  </si>
  <si>
    <t>Gleniti Playcentre</t>
  </si>
  <si>
    <t>Pavilion Recreation Grounds 355 Wai Iti Road</t>
  </si>
  <si>
    <t>Nova Montessori Children's House</t>
  </si>
  <si>
    <t>03-3820503</t>
  </si>
  <si>
    <t>admin@novamontessori.school.nz</t>
  </si>
  <si>
    <t>53 Owles Terrace</t>
  </si>
  <si>
    <t>Shubha Narayan</t>
  </si>
  <si>
    <t>03-9600936</t>
  </si>
  <si>
    <t>Aynsley Street Preschool</t>
  </si>
  <si>
    <t>03-6885591</t>
  </si>
  <si>
    <t>admin@aynsleystpreschool.co.nz</t>
  </si>
  <si>
    <t>17 Aynsley Street</t>
  </si>
  <si>
    <t>Halswell Playcentre</t>
  </si>
  <si>
    <t>438 Halswell Road</t>
  </si>
  <si>
    <t>Busy Bees Bottle Lake</t>
  </si>
  <si>
    <t>03-387 0684</t>
  </si>
  <si>
    <t>manager@bottlelake.busybees.org.nz</t>
  </si>
  <si>
    <t>1 Pohutukawa Crescent</t>
  </si>
  <si>
    <t>Waitikiri</t>
  </si>
  <si>
    <t>Sheldon Templeton</t>
  </si>
  <si>
    <t>Harewood Playcentre</t>
  </si>
  <si>
    <t>709 Harewood Road</t>
  </si>
  <si>
    <t>BestStart Kaiapoi</t>
  </si>
  <si>
    <t>03-327 0733</t>
  </si>
  <si>
    <t>Cnr Williams St &amp; Courtenay Dr</t>
  </si>
  <si>
    <t>Papanui Preschool</t>
  </si>
  <si>
    <t>03-354 3437</t>
  </si>
  <si>
    <t>papanuipreschool@xtra.co.nz</t>
  </si>
  <si>
    <t>165 Langdons Road</t>
  </si>
  <si>
    <t>Hinds Playcentre</t>
  </si>
  <si>
    <t>Rhodes Street</t>
  </si>
  <si>
    <t>Hinds</t>
  </si>
  <si>
    <t>Ealing-Lowcliffe</t>
  </si>
  <si>
    <t>Kindercare learning Centres - Addington</t>
  </si>
  <si>
    <t>03-3481966</t>
  </si>
  <si>
    <t>towerjunction@kindercare.co.nz</t>
  </si>
  <si>
    <t>2 Barry Hogan Place</t>
  </si>
  <si>
    <t>Middleton</t>
  </si>
  <si>
    <t>Tower Junction</t>
  </si>
  <si>
    <t>Hororata Playcentre</t>
  </si>
  <si>
    <t>Community Hall Hororata Road</t>
  </si>
  <si>
    <t>Hororata</t>
  </si>
  <si>
    <t>Glenroy-Hororata</t>
  </si>
  <si>
    <t>Lincoln Playcentre</t>
  </si>
  <si>
    <t>158 North Belt</t>
  </si>
  <si>
    <t>Leeston Playcentre</t>
  </si>
  <si>
    <t>4 May Street</t>
  </si>
  <si>
    <t>Leithfield Playcentre</t>
  </si>
  <si>
    <t>Brighton Street</t>
  </si>
  <si>
    <t>Leithfield</t>
  </si>
  <si>
    <t>Balcairn</t>
  </si>
  <si>
    <t>Linwood Playcentre</t>
  </si>
  <si>
    <t>628 A Worcester Street</t>
  </si>
  <si>
    <t>Little Oaks Pre-School</t>
  </si>
  <si>
    <t>03-314 8040</t>
  </si>
  <si>
    <t>137 Carters Road</t>
  </si>
  <si>
    <t>Little River Playcentre</t>
  </si>
  <si>
    <t>Schools Grounds Western Valley Road</t>
  </si>
  <si>
    <t>Little River</t>
  </si>
  <si>
    <t>Banks Peninsula South</t>
  </si>
  <si>
    <t>Lyttelton Street Playcentre</t>
  </si>
  <si>
    <t>81 Lyttelton Street</t>
  </si>
  <si>
    <t>Somerfield West</t>
  </si>
  <si>
    <t>Mayfield Playcentre</t>
  </si>
  <si>
    <t>Mayfield Domain</t>
  </si>
  <si>
    <t>Mayfield-Ashburton</t>
  </si>
  <si>
    <t>Ashburton Forks</t>
  </si>
  <si>
    <t>Methven Playcentre</t>
  </si>
  <si>
    <t>Cnr South Belt &amp; Main Street</t>
  </si>
  <si>
    <t>Annabel's Educare - New Brighton</t>
  </si>
  <si>
    <t>03-3888056</t>
  </si>
  <si>
    <t>nb@annabelseducare.co.nz</t>
  </si>
  <si>
    <t>6 Pratt Street</t>
  </si>
  <si>
    <t>North Beach Playcentre</t>
  </si>
  <si>
    <t>North Beach Playcentre 100 Leaver Terrace</t>
  </si>
  <si>
    <t>North Beach</t>
  </si>
  <si>
    <t>BestStart Wairakei Road</t>
  </si>
  <si>
    <t>03-359 5274</t>
  </si>
  <si>
    <t>wairakei@best-start.org</t>
  </si>
  <si>
    <t>431 Wairakei Road</t>
  </si>
  <si>
    <t>Burnside West</t>
  </si>
  <si>
    <t>Oxford Playcentre</t>
  </si>
  <si>
    <t>Kidditech Early Learning Centre</t>
  </si>
  <si>
    <t>03-3396666</t>
  </si>
  <si>
    <t>lou@kidditech.co.nz</t>
  </si>
  <si>
    <t>21 Stourbridge Street</t>
  </si>
  <si>
    <t>Spreydon South</t>
  </si>
  <si>
    <t>Louise Fyfe</t>
  </si>
  <si>
    <t>P O Box 33299</t>
  </si>
  <si>
    <t>03-9421334</t>
  </si>
  <si>
    <t>106 Queenspark Drive</t>
  </si>
  <si>
    <t>Barnardos Early Learning Centre Te Puna Oraka</t>
  </si>
  <si>
    <t>03-3856148</t>
  </si>
  <si>
    <t>tepunaorakaelc@barnardos.org.nz</t>
  </si>
  <si>
    <t>69 B Briggs Road</t>
  </si>
  <si>
    <t>Hayley Kennard</t>
  </si>
  <si>
    <t>027-3756837</t>
  </si>
  <si>
    <t>Pleasant Point Playcentre</t>
  </si>
  <si>
    <t>8 Harris Street</t>
  </si>
  <si>
    <t>Selwyn Kids Limited</t>
  </si>
  <si>
    <t>rebecca.adams@selwynkids.co.nz</t>
  </si>
  <si>
    <t>Prebbleton Playcentre</t>
  </si>
  <si>
    <t>70 Tosswill Road</t>
  </si>
  <si>
    <t>Prebbleton South</t>
  </si>
  <si>
    <t>Annabel's Kindergarten - Darfield</t>
  </si>
  <si>
    <t>3kgtn@annabelseducare.co.nz</t>
  </si>
  <si>
    <t>Kindercare Learning Centres - Woolston</t>
  </si>
  <si>
    <t>03-3813696</t>
  </si>
  <si>
    <t>ferryroad@kindercare.co.nz</t>
  </si>
  <si>
    <t>611 Ferry Road</t>
  </si>
  <si>
    <t>Rangiora Playcentre</t>
  </si>
  <si>
    <t>35 White Street</t>
  </si>
  <si>
    <t>BestStart Rangiora</t>
  </si>
  <si>
    <t>03-313 5323</t>
  </si>
  <si>
    <t>rangiora@best-start.org</t>
  </si>
  <si>
    <t>62-64 Percival Street</t>
  </si>
  <si>
    <t>Redwood Playcentre</t>
  </si>
  <si>
    <t>40 Dunedin Street</t>
  </si>
  <si>
    <t>Kānuka Tāwharau/ Rolleston Playcentre</t>
  </si>
  <si>
    <t>Rolleston Reserve 11 Christensen Parade</t>
  </si>
  <si>
    <t>BestStart Allenton</t>
  </si>
  <si>
    <t>03-307 7407</t>
  </si>
  <si>
    <t>allenton@best-start.org</t>
  </si>
  <si>
    <t>122 - 124 Harrison Street</t>
  </si>
  <si>
    <t>Allenton North</t>
  </si>
  <si>
    <t>Russley Playcentre</t>
  </si>
  <si>
    <t>Apsley Drive</t>
  </si>
  <si>
    <t>Shirley Playcentre</t>
  </si>
  <si>
    <t>61 Chancellor Street</t>
  </si>
  <si>
    <t>Brynley Street Nursery &amp; Preschool</t>
  </si>
  <si>
    <t>03-3490555</t>
  </si>
  <si>
    <t>info@brynleystreet.co.nz</t>
  </si>
  <si>
    <t>68 Brynley Street</t>
  </si>
  <si>
    <t>Melissa Brain</t>
  </si>
  <si>
    <t>03-349 0555</t>
  </si>
  <si>
    <t>Somerfield Community Playcentre</t>
  </si>
  <si>
    <t>47 Studholme Street</t>
  </si>
  <si>
    <t>Leap Ahead Early Childhood Centre - Hinds</t>
  </si>
  <si>
    <t>03-303 7805</t>
  </si>
  <si>
    <t>leapahead@windowslive.com</t>
  </si>
  <si>
    <t>30 Rogers Street</t>
  </si>
  <si>
    <t>Southbridge Playcentre</t>
  </si>
  <si>
    <t>High Street</t>
  </si>
  <si>
    <t>Southbridge</t>
  </si>
  <si>
    <t>Active Explorers Tai Tapu</t>
  </si>
  <si>
    <t>03-3296507</t>
  </si>
  <si>
    <t>8 School Road</t>
  </si>
  <si>
    <t>Taitapu</t>
  </si>
  <si>
    <t>Tai Tapu</t>
  </si>
  <si>
    <t>Sue-Marie Birch</t>
  </si>
  <si>
    <t>South Brighton Playcentre</t>
  </si>
  <si>
    <t>72 Beatty Street</t>
  </si>
  <si>
    <t>Mt Somers/Staveley Playcentre</t>
  </si>
  <si>
    <t>Pattons Road</t>
  </si>
  <si>
    <t>Mount Somers</t>
  </si>
  <si>
    <t>St Albans Playcentre</t>
  </si>
  <si>
    <t>96 Philpotts Road</t>
  </si>
  <si>
    <t>Mairehau North</t>
  </si>
  <si>
    <t>Tai Tapu Playcentre</t>
  </si>
  <si>
    <t>815 Old Tai Tapu Road</t>
  </si>
  <si>
    <t>Waiau Playcentre</t>
  </si>
  <si>
    <t>18 Clarence Street</t>
  </si>
  <si>
    <t>Waiau</t>
  </si>
  <si>
    <t>Learning Curves Montessori Nursery Ltd</t>
  </si>
  <si>
    <t>82 Warrington Street</t>
  </si>
  <si>
    <t>Edgeware North</t>
  </si>
  <si>
    <t>Emily Street</t>
  </si>
  <si>
    <t>Lollipops Blighs Road</t>
  </si>
  <si>
    <t>03-3511030</t>
  </si>
  <si>
    <t>cm.blighs@ledu.co.nz</t>
  </si>
  <si>
    <t>40 Blighs Road</t>
  </si>
  <si>
    <t>Juliette Thompson</t>
  </si>
  <si>
    <t>03-351 1030</t>
  </si>
  <si>
    <t>The Walnut Tree Preschool</t>
  </si>
  <si>
    <t>03-3887633</t>
  </si>
  <si>
    <t>walnuttreepreschool@gmail.com</t>
  </si>
  <si>
    <t>313 Breezes Road</t>
  </si>
  <si>
    <t>Bexley-Christchurch</t>
  </si>
  <si>
    <t>Jillian Kaneen</t>
  </si>
  <si>
    <t>03-383 1548</t>
  </si>
  <si>
    <t>West Melton Playcentre</t>
  </si>
  <si>
    <t>Main West Coast Road</t>
  </si>
  <si>
    <t>Poppies Preschool St Martins</t>
  </si>
  <si>
    <t>03-3321330</t>
  </si>
  <si>
    <t>poppiespreschool@xtra.co.nz</t>
  </si>
  <si>
    <t>61 St Martins Road</t>
  </si>
  <si>
    <t>Woodend Playcentre</t>
  </si>
  <si>
    <t>6 School Road</t>
  </si>
  <si>
    <t>Rosy Cheeks Early Learning Centre</t>
  </si>
  <si>
    <t>03-3375252</t>
  </si>
  <si>
    <t>info@rosycheeks.co.nz</t>
  </si>
  <si>
    <t>188 Rose Street</t>
  </si>
  <si>
    <t xml:space="preserve">Megan  Wilson </t>
  </si>
  <si>
    <t>03-337 5252</t>
  </si>
  <si>
    <t>Woolston Playcentre</t>
  </si>
  <si>
    <t>29 Portman Street</t>
  </si>
  <si>
    <t>Polkadots Preschool</t>
  </si>
  <si>
    <t>03-315 8339</t>
  </si>
  <si>
    <t>admin@polkadotspreschool.co.nz</t>
  </si>
  <si>
    <t>6 Highfield Street</t>
  </si>
  <si>
    <t>Anna Armstrong</t>
  </si>
  <si>
    <t>2495 Inland Road</t>
  </si>
  <si>
    <t>Kaikoura 7373</t>
  </si>
  <si>
    <t>027-3279095</t>
  </si>
  <si>
    <t>The Cats Pyjamas Preschool</t>
  </si>
  <si>
    <t>03-3411096</t>
  </si>
  <si>
    <t>shanna.terrell@best-start.org</t>
  </si>
  <si>
    <t>10 Beaumont Drive</t>
  </si>
  <si>
    <t>Kindercare Learning Centres - Avonhead (211)</t>
  </si>
  <si>
    <t>03-3417400</t>
  </si>
  <si>
    <t>avonhead@kindercare.co.nz</t>
  </si>
  <si>
    <t>3 Avonhead Road</t>
  </si>
  <si>
    <t>Tiddlywinks Preschool Ltd</t>
  </si>
  <si>
    <t>03-3070420</t>
  </si>
  <si>
    <t>twpreschool@gmail.com</t>
  </si>
  <si>
    <t>7 Roxburgh Place</t>
  </si>
  <si>
    <t>Tinwald North</t>
  </si>
  <si>
    <t>Stephanie  Hansen</t>
  </si>
  <si>
    <t>03-3072472</t>
  </si>
  <si>
    <t>Fernside Preschool Limited</t>
  </si>
  <si>
    <t>03-313 6733</t>
  </si>
  <si>
    <t>info@fernsidepreschool.co.nz</t>
  </si>
  <si>
    <t>207 O'Roarkes Road</t>
  </si>
  <si>
    <t>Fernside</t>
  </si>
  <si>
    <t>Nicola Baynes</t>
  </si>
  <si>
    <t>P O Box 509</t>
  </si>
  <si>
    <t>Christchurch 7440</t>
  </si>
  <si>
    <t>03-3120465</t>
  </si>
  <si>
    <t>Burnham Country Montessori</t>
  </si>
  <si>
    <t>03-347 6161</t>
  </si>
  <si>
    <t>manager@burnham-montessori.co.nz</t>
  </si>
  <si>
    <t>643 Burnham School Road</t>
  </si>
  <si>
    <t>Sally Hart</t>
  </si>
  <si>
    <t>1/15a Wairarapa Tce</t>
  </si>
  <si>
    <t>027-3187377</t>
  </si>
  <si>
    <t>Rakaia Little Learners Preschool</t>
  </si>
  <si>
    <t>lisa@rakaialittlelearners.co.nz</t>
  </si>
  <si>
    <t>52 Dunford Street</t>
  </si>
  <si>
    <t>Rākaia</t>
  </si>
  <si>
    <t>Lisa Copland</t>
  </si>
  <si>
    <t>Rakaia 7710</t>
  </si>
  <si>
    <t>Rural Scholars Early Learning Centre</t>
  </si>
  <si>
    <t>03-6896103</t>
  </si>
  <si>
    <t>ruralscholars@xtra.co.nz</t>
  </si>
  <si>
    <t>13 Wall Street</t>
  </si>
  <si>
    <t>Paula Rogers</t>
  </si>
  <si>
    <t>Timaru 7924</t>
  </si>
  <si>
    <t>03-6897927</t>
  </si>
  <si>
    <t>BestStart Kilmarnock Street</t>
  </si>
  <si>
    <t>03-348 3461</t>
  </si>
  <si>
    <t>kilmarnock@best-start.org</t>
  </si>
  <si>
    <t>27 Kilmarnock Street</t>
  </si>
  <si>
    <t>Learning Curves Montessori Abberley Park Ltd</t>
  </si>
  <si>
    <t>03-3554614</t>
  </si>
  <si>
    <t>60 Ranfurly Street</t>
  </si>
  <si>
    <t>St Albans West</t>
  </si>
  <si>
    <t>94 Voss Road</t>
  </si>
  <si>
    <t>E Tipu e Rea Early Learning Centre</t>
  </si>
  <si>
    <t>03-3880813</t>
  </si>
  <si>
    <t>etipu.erea@xtra.co.nz</t>
  </si>
  <si>
    <t>240 Breezes Road</t>
  </si>
  <si>
    <t>Sarah Musson</t>
  </si>
  <si>
    <t>P O Box 15116</t>
  </si>
  <si>
    <t>Christchurch 8016</t>
  </si>
  <si>
    <t>Ashburton Baptist Preschool</t>
  </si>
  <si>
    <t>03-3082325</t>
  </si>
  <si>
    <t>vincent@ashburtonbaptistpreschool.co.nz</t>
  </si>
  <si>
    <t>8 Eton Street</t>
  </si>
  <si>
    <t>Vincent Brierly</t>
  </si>
  <si>
    <t>PO Box 446</t>
  </si>
  <si>
    <t>Phoenix Preschool</t>
  </si>
  <si>
    <t>03-3088461</t>
  </si>
  <si>
    <t>phoenixpreschool@xtra.co.nz</t>
  </si>
  <si>
    <t>35 Middle Road</t>
  </si>
  <si>
    <t>Angela Ross</t>
  </si>
  <si>
    <t>Avonside Early Childhood Centre</t>
  </si>
  <si>
    <t>03-3898473</t>
  </si>
  <si>
    <t>43 Woodham Road</t>
  </si>
  <si>
    <t>Claire Hedgman</t>
  </si>
  <si>
    <t>03-0389 8473</t>
  </si>
  <si>
    <t>Bishopdale Community  Preschool</t>
  </si>
  <si>
    <t>03-359 7606</t>
  </si>
  <si>
    <t>melissa.warwick@bishopdalepreschool.co.nz</t>
  </si>
  <si>
    <t>85 Breens Road</t>
  </si>
  <si>
    <t>Melissa Warwick</t>
  </si>
  <si>
    <t>91 Breens Road</t>
  </si>
  <si>
    <t>Christchurch 8543</t>
  </si>
  <si>
    <t>027-878 8000</t>
  </si>
  <si>
    <t>BestStart Cashmere</t>
  </si>
  <si>
    <t>03-332 8282</t>
  </si>
  <si>
    <t>cashmere@best-start.org</t>
  </si>
  <si>
    <t>95 Colombo Street</t>
  </si>
  <si>
    <t>Casa Dei Bambini Foundation School</t>
  </si>
  <si>
    <t>03-3852432</t>
  </si>
  <si>
    <t>admin@casadeibambini.school.nz</t>
  </si>
  <si>
    <t>333 River Road</t>
  </si>
  <si>
    <t>Maree Orland</t>
  </si>
  <si>
    <t>P O Box 26048</t>
  </si>
  <si>
    <t>North Avon</t>
  </si>
  <si>
    <t>Christchurch 8148</t>
  </si>
  <si>
    <t>Creative Corner Early Learning Centre</t>
  </si>
  <si>
    <t>03-6888359</t>
  </si>
  <si>
    <t>creative.corner@xtra.co.nz</t>
  </si>
  <si>
    <t>70 Cain Street</t>
  </si>
  <si>
    <t>Cheryl Young</t>
  </si>
  <si>
    <t>72 Cain Street</t>
  </si>
  <si>
    <t>Timaru 7190</t>
  </si>
  <si>
    <t>Pīwakawaka Early Learning Centre</t>
  </si>
  <si>
    <t>03-3661339</t>
  </si>
  <si>
    <t>40 Shakespeare Road</t>
  </si>
  <si>
    <t>Bobbie Warn</t>
  </si>
  <si>
    <t>2/101 Winchester Street</t>
  </si>
  <si>
    <t>The Champion Centre Tamariki Toiora</t>
  </si>
  <si>
    <t>03-3836867</t>
  </si>
  <si>
    <t>office@championcentre.org.nz</t>
  </si>
  <si>
    <t>Burwood Hospital Burwood Road</t>
  </si>
  <si>
    <t>Deborah Nind</t>
  </si>
  <si>
    <t>Private Bag 4708</t>
  </si>
  <si>
    <t>03-383 6867</t>
  </si>
  <si>
    <t>Ara Early Learning Centre</t>
  </si>
  <si>
    <t>03-9408075</t>
  </si>
  <si>
    <t>robyn.ellen@ara.ac.nz</t>
  </si>
  <si>
    <t>130 Madras Street</t>
  </si>
  <si>
    <t>Robyn Ellen</t>
  </si>
  <si>
    <t>Cherry's Early Learning Centre</t>
  </si>
  <si>
    <t>03-3324743</t>
  </si>
  <si>
    <t>45 Riverview Street</t>
  </si>
  <si>
    <t>Clandeboye Kindergarten</t>
  </si>
  <si>
    <t>03-6155499</t>
  </si>
  <si>
    <t>14 Kotuku Place</t>
  </si>
  <si>
    <t>Temuka East</t>
  </si>
  <si>
    <t>Craighead  Kindergarten Incorporated</t>
  </si>
  <si>
    <t>03-688 9654</t>
  </si>
  <si>
    <t>office@craigheadkindergarten.org.nz</t>
  </si>
  <si>
    <t>11 Craighead Street</t>
  </si>
  <si>
    <t>Amy Pateman</t>
  </si>
  <si>
    <t>176a Otipua Road</t>
  </si>
  <si>
    <t>Conductive Education Canterbury Inc</t>
  </si>
  <si>
    <t>03-3721399</t>
  </si>
  <si>
    <t>cecanterbury@xtra.co.nz</t>
  </si>
  <si>
    <t>22 Brougham Street</t>
  </si>
  <si>
    <t>Spreydon North</t>
  </si>
  <si>
    <t>Linda Leishman</t>
  </si>
  <si>
    <t>P O Box 9230</t>
  </si>
  <si>
    <t>Christchurch 8243</t>
  </si>
  <si>
    <t>027-5043694</t>
  </si>
  <si>
    <t>Educational Child Care Centre</t>
  </si>
  <si>
    <t>03-3853636</t>
  </si>
  <si>
    <t>eccc.inc@xtra.co.nz</t>
  </si>
  <si>
    <t>96 Gayhurst Road</t>
  </si>
  <si>
    <t>Sarah Matenga</t>
  </si>
  <si>
    <t>03-385 3636</t>
  </si>
  <si>
    <t>Children First Pre School</t>
  </si>
  <si>
    <t>03-3243396</t>
  </si>
  <si>
    <t>childrenfirstleeston@gmail.com</t>
  </si>
  <si>
    <t>138 High Street</t>
  </si>
  <si>
    <t>Lorraine Haffner</t>
  </si>
  <si>
    <t>11 Gordon Street</t>
  </si>
  <si>
    <t>Southbridge 7602</t>
  </si>
  <si>
    <t>03-3242629</t>
  </si>
  <si>
    <t>Fairleigh Kindergarten</t>
  </si>
  <si>
    <t>03-355 4502</t>
  </si>
  <si>
    <t>admin.fairleigh@kindergarten.co.nz</t>
  </si>
  <si>
    <t>27 A Garden Rd</t>
  </si>
  <si>
    <t>Rebecca Glithero</t>
  </si>
  <si>
    <t>27 A Garden Road</t>
  </si>
  <si>
    <t>Just Kids House</t>
  </si>
  <si>
    <t>03-3812141</t>
  </si>
  <si>
    <t>129 Pages Road</t>
  </si>
  <si>
    <t>Geraldine Preschool Incorporated</t>
  </si>
  <si>
    <t>03-6939133</t>
  </si>
  <si>
    <t>geraldinepreschool@xtra.co.nz</t>
  </si>
  <si>
    <t>6 High Street</t>
  </si>
  <si>
    <t>Jolenne Sowden</t>
  </si>
  <si>
    <t>03-6922899</t>
  </si>
  <si>
    <t>Forfar Nursery And Preschool</t>
  </si>
  <si>
    <t>03-3558512</t>
  </si>
  <si>
    <t>manager@forfarpreschool.org.nz</t>
  </si>
  <si>
    <t>82 Forfar Street</t>
  </si>
  <si>
    <t>Rebecca Hughes</t>
  </si>
  <si>
    <t>022-6454650</t>
  </si>
  <si>
    <t>Te Whare Rama | Light House Early Learning Centre Balcairn Street</t>
  </si>
  <si>
    <t>03-3228192</t>
  </si>
  <si>
    <t>6 Balcairn Street</t>
  </si>
  <si>
    <t>Hannah N Henry Early Childhood Centre</t>
  </si>
  <si>
    <t>03-3080223</t>
  </si>
  <si>
    <t>hannahnhenrys@yahoo.co.nz</t>
  </si>
  <si>
    <t>27 Elizabeth Street</t>
  </si>
  <si>
    <t>Ashburton West</t>
  </si>
  <si>
    <t>Louise Currie</t>
  </si>
  <si>
    <t>03-3081124</t>
  </si>
  <si>
    <t>Hoon Hay Community Pre-School</t>
  </si>
  <si>
    <t>03-3388504</t>
  </si>
  <si>
    <t>hoonhaypreschool@xtra.co.nz</t>
  </si>
  <si>
    <t>113 Mathers Road</t>
  </si>
  <si>
    <t>Cindy Cantin</t>
  </si>
  <si>
    <t>027-333 2690</t>
  </si>
  <si>
    <t>Amberley Community Preschool</t>
  </si>
  <si>
    <t>admin@amberleypreschool.co.nz</t>
  </si>
  <si>
    <t>Springs Community Early Learning Centre</t>
  </si>
  <si>
    <t>03-3435501</t>
  </si>
  <si>
    <t>office@springsearlylearning.co.nz</t>
  </si>
  <si>
    <t>10A Weaver Place</t>
  </si>
  <si>
    <t>Susan Hines</t>
  </si>
  <si>
    <t>18 Craven Street</t>
  </si>
  <si>
    <t>03-343 5501</t>
  </si>
  <si>
    <t>Huntsbury Preschool Incorporated</t>
  </si>
  <si>
    <t>licensee@huntsbury-preschool.org.nz</t>
  </si>
  <si>
    <t>Huntsbury Community Centre  30H Huntsbury Avenue</t>
  </si>
  <si>
    <t>Josie Tait-Jamieson</t>
  </si>
  <si>
    <t>P O Box 12136</t>
  </si>
  <si>
    <t>Busy Bees Avonhead</t>
  </si>
  <si>
    <t>03-3425421</t>
  </si>
  <si>
    <t>info@avonhead.busybees.org.nz</t>
  </si>
  <si>
    <t>188 - 190 Yaldhurst Road</t>
  </si>
  <si>
    <t>Shikha Sohal</t>
  </si>
  <si>
    <t>03-342 5421</t>
  </si>
  <si>
    <t>Cornerstone Christian Early Learning Centre Middleton</t>
  </si>
  <si>
    <t>03-343 6941</t>
  </si>
  <si>
    <t>office@cornerstonecelc.co.nz</t>
  </si>
  <si>
    <t>73 Suva Street</t>
  </si>
  <si>
    <t>Wharenui</t>
  </si>
  <si>
    <t>Amanda Caigou</t>
  </si>
  <si>
    <t>69 Suva Street</t>
  </si>
  <si>
    <t>027-3256906</t>
  </si>
  <si>
    <t>Haven ELC</t>
  </si>
  <si>
    <t>03-3892483</t>
  </si>
  <si>
    <t>tracy@havenelc.school.nz</t>
  </si>
  <si>
    <t>375 Worcester Street</t>
  </si>
  <si>
    <t>Stanmore</t>
  </si>
  <si>
    <t>Tracy Leigh</t>
  </si>
  <si>
    <t>New Beginnings Pre-School</t>
  </si>
  <si>
    <t>03-389 2367</t>
  </si>
  <si>
    <t>board@nbp.nz</t>
  </si>
  <si>
    <t>136 Aldwins Road</t>
  </si>
  <si>
    <t>Rod Millynn</t>
  </si>
  <si>
    <t>021-576514</t>
  </si>
  <si>
    <t>Darfield Preschool And Nursery</t>
  </si>
  <si>
    <t>03-3188836</t>
  </si>
  <si>
    <t>darfieldpreschool@xtra.co.nz</t>
  </si>
  <si>
    <t>1d Cardale Street</t>
  </si>
  <si>
    <t>Clare Clatworthy</t>
  </si>
  <si>
    <t>BestStart Marchwiel</t>
  </si>
  <si>
    <t>03-684 4450</t>
  </si>
  <si>
    <t>marchwiel@best-start.org</t>
  </si>
  <si>
    <t>48 Andrew Street</t>
  </si>
  <si>
    <t>BestStart Merivale</t>
  </si>
  <si>
    <t>03-352 9930</t>
  </si>
  <si>
    <t>merivale@best-start.org</t>
  </si>
  <si>
    <t>350 Papanui Road</t>
  </si>
  <si>
    <t>Aratupu Preschool and Whānau Hub</t>
  </si>
  <si>
    <t>027-7158201</t>
  </si>
  <si>
    <t>aratupu@mmsi.org.nz</t>
  </si>
  <si>
    <t>97 Harewood Road</t>
  </si>
  <si>
    <t>Andrea Wilson-Tukaki</t>
  </si>
  <si>
    <t>03-3603836</t>
  </si>
  <si>
    <t>Methven Pre-school Learning &amp; Child Care Centre</t>
  </si>
  <si>
    <t>03-302 8564</t>
  </si>
  <si>
    <t>methvenpre-school@xtra.co.nz</t>
  </si>
  <si>
    <t>21 Southbelt Street</t>
  </si>
  <si>
    <t>Rhea Booker</t>
  </si>
  <si>
    <t>21 Southbelt</t>
  </si>
  <si>
    <t>Ashburton 7730</t>
  </si>
  <si>
    <t>020-4097 7337</t>
  </si>
  <si>
    <t>Minnies Pre-School</t>
  </si>
  <si>
    <t>03-3557755</t>
  </si>
  <si>
    <t>office@minniespreschool.co.nz</t>
  </si>
  <si>
    <t>25 Strowan Road</t>
  </si>
  <si>
    <t>15 Petrie Street</t>
  </si>
  <si>
    <t>03-3557733</t>
  </si>
  <si>
    <t>New Brighton Community Preschool &amp; Nursery</t>
  </si>
  <si>
    <t>03-3887333</t>
  </si>
  <si>
    <t>newbrightonpreschool@xtra.co.nz</t>
  </si>
  <si>
    <t>109 Beresford Street</t>
  </si>
  <si>
    <t>Paula Robinson</t>
  </si>
  <si>
    <t>03-3887 333</t>
  </si>
  <si>
    <t>North Beach Community Preschool Inc</t>
  </si>
  <si>
    <t>03-3881733</t>
  </si>
  <si>
    <t>nbccc@xtra.co.nz</t>
  </si>
  <si>
    <t>150 Leaver Terrace</t>
  </si>
  <si>
    <t>Rachael Vincent</t>
  </si>
  <si>
    <t>150a Leaver Terrace</t>
  </si>
  <si>
    <t>03-3831784</t>
  </si>
  <si>
    <t>North Haven Child Care &amp; Education Centre</t>
  </si>
  <si>
    <t>03-6843801</t>
  </si>
  <si>
    <t>northhaven@northhaven.co.nz</t>
  </si>
  <si>
    <t>23 Arthur Street</t>
  </si>
  <si>
    <t>Lynette Katene</t>
  </si>
  <si>
    <t>P O Box 280</t>
  </si>
  <si>
    <t>Oxford Early Learning Centre</t>
  </si>
  <si>
    <t>03-3124757</t>
  </si>
  <si>
    <t>166 High Street</t>
  </si>
  <si>
    <t>Charlene Joslen</t>
  </si>
  <si>
    <t>P O Box 22</t>
  </si>
  <si>
    <t>Waka Huia Childcare</t>
  </si>
  <si>
    <t>03-3320362</t>
  </si>
  <si>
    <t>18 Cardiff Avenue</t>
  </si>
  <si>
    <t>Hayley Smith</t>
  </si>
  <si>
    <t>19 High Street</t>
  </si>
  <si>
    <t>021-1803325</t>
  </si>
  <si>
    <t>The Rabbit Patch Preschool</t>
  </si>
  <si>
    <t>03-3582549</t>
  </si>
  <si>
    <t>161 Greers Road</t>
  </si>
  <si>
    <t>BestStart Papanui</t>
  </si>
  <si>
    <t>03-352 3638</t>
  </si>
  <si>
    <t>papanui@best-start.org</t>
  </si>
  <si>
    <t>77 Blighs Road</t>
  </si>
  <si>
    <t>Bryndwr South</t>
  </si>
  <si>
    <t>BestStart Pioneer</t>
  </si>
  <si>
    <t>03-332 1395</t>
  </si>
  <si>
    <t>pioneer@best-start.org</t>
  </si>
  <si>
    <t>75 Lyttelton Street</t>
  </si>
  <si>
    <t>Alpha Early Childhood Educational Centre</t>
  </si>
  <si>
    <t>03-3856319</t>
  </si>
  <si>
    <t>cartercmj@xtra.co.nz</t>
  </si>
  <si>
    <t>45 A Randall Street</t>
  </si>
  <si>
    <t>Christopher Carter</t>
  </si>
  <si>
    <t>61 Birkdale Drive</t>
  </si>
  <si>
    <t>03-3856916</t>
  </si>
  <si>
    <t>Rangiora High School Nursery School</t>
  </si>
  <si>
    <t>03-3137734</t>
  </si>
  <si>
    <t>manager@rangioranurseryschool.co.nz</t>
  </si>
  <si>
    <t>4 Wales Street</t>
  </si>
  <si>
    <t>Vivienne Cumming</t>
  </si>
  <si>
    <t>Wales Street</t>
  </si>
  <si>
    <t>03-313 7734</t>
  </si>
  <si>
    <t>Rangi Ruru Pre-School</t>
  </si>
  <si>
    <t>03-9833757</t>
  </si>
  <si>
    <t>preschool@rangiruru.ac.nz</t>
  </si>
  <si>
    <t>46 Rhodes Street</t>
  </si>
  <si>
    <t>Keri Granger</t>
  </si>
  <si>
    <t>59 Hewitts Road</t>
  </si>
  <si>
    <t>Rakaia Playcentre</t>
  </si>
  <si>
    <t>Mackie Street</t>
  </si>
  <si>
    <t>Redwood Early Childhood Centre</t>
  </si>
  <si>
    <t>03-3525722</t>
  </si>
  <si>
    <t>recc@xtra.co.nz</t>
  </si>
  <si>
    <t>339 Main North Road</t>
  </si>
  <si>
    <t>Nadine Bashford</t>
  </si>
  <si>
    <t>03-388 2327</t>
  </si>
  <si>
    <t>Christchurch Rudolf Steiner Kindergarten</t>
  </si>
  <si>
    <t>03-3370514</t>
  </si>
  <si>
    <t>aoifed@ch.steiner.school.nz</t>
  </si>
  <si>
    <t>19 Ombersley Terrace</t>
  </si>
  <si>
    <t>Aoife Dunphy</t>
  </si>
  <si>
    <t>P O Box 19944</t>
  </si>
  <si>
    <t>03-337 0514</t>
  </si>
  <si>
    <t>BestStart Salisbury Street</t>
  </si>
  <si>
    <t>03-379 3570</t>
  </si>
  <si>
    <t>salisbury@best-start.org</t>
  </si>
  <si>
    <t>150 Salisbury Street</t>
  </si>
  <si>
    <t>Te Whare Rama | Light House Early Learning Centre Lyttelton Street</t>
  </si>
  <si>
    <t>03-3385468</t>
  </si>
  <si>
    <t>239 Lyttelton Street</t>
  </si>
  <si>
    <t>St Albans Community Preschool</t>
  </si>
  <si>
    <t>027-3559396</t>
  </si>
  <si>
    <t>office@stalbanspreschool.co.nz</t>
  </si>
  <si>
    <t>3 Thames Street</t>
  </si>
  <si>
    <t>Suzy Rogerson</t>
  </si>
  <si>
    <t>Cotswold Preschool and Nursery</t>
  </si>
  <si>
    <t>03-3597675</t>
  </si>
  <si>
    <t>office@cotswoldpreschool.co.nz</t>
  </si>
  <si>
    <t>37 Colesbury Street</t>
  </si>
  <si>
    <t>Della Dunnill</t>
  </si>
  <si>
    <t>P O Box 20172</t>
  </si>
  <si>
    <t>03-3323947</t>
  </si>
  <si>
    <t>Moa Kids Community Early Learning Centre Inc</t>
  </si>
  <si>
    <t>03-3841910</t>
  </si>
  <si>
    <t>admin@moakids.org.nz</t>
  </si>
  <si>
    <t>Barnett Park, Main Road</t>
  </si>
  <si>
    <t>Clifton Hill</t>
  </si>
  <si>
    <t>Hayley Flanagan</t>
  </si>
  <si>
    <t>P O Box 41011</t>
  </si>
  <si>
    <t>Christchurch 8247</t>
  </si>
  <si>
    <t>The Enchanted Garden</t>
  </si>
  <si>
    <t>03-3597944</t>
  </si>
  <si>
    <t>enchantedgardenecc@xtra.co.nz</t>
  </si>
  <si>
    <t>255 Greers Road</t>
  </si>
  <si>
    <t>Sydenham Community Preschool</t>
  </si>
  <si>
    <t>03-3749023</t>
  </si>
  <si>
    <t>admin@sydenhampreschool.co.nz</t>
  </si>
  <si>
    <t>Waltham School 130 Waltham Road</t>
  </si>
  <si>
    <t>Rhonda Duncraft</t>
  </si>
  <si>
    <t>P O Box 7236</t>
  </si>
  <si>
    <t>Christchurch 8240</t>
  </si>
  <si>
    <t>03-9800326</t>
  </si>
  <si>
    <t>Swannanoa Preschool</t>
  </si>
  <si>
    <t>03-312 6198</t>
  </si>
  <si>
    <t>swannanoapreschool@xtra.co.nz</t>
  </si>
  <si>
    <t>1303 Tram Road R D 6</t>
  </si>
  <si>
    <t>Swannanoa-Eyreton</t>
  </si>
  <si>
    <t>Joanne Dobson</t>
  </si>
  <si>
    <t>1303 Tram Road RD RD 6</t>
  </si>
  <si>
    <t>Rangiora 7476</t>
  </si>
  <si>
    <t>03-3120525</t>
  </si>
  <si>
    <t>The Cathedral Grammar School Pre-School</t>
  </si>
  <si>
    <t>03-3650385</t>
  </si>
  <si>
    <t>2 Chester Street West</t>
  </si>
  <si>
    <t>Scott Thelning</t>
  </si>
  <si>
    <t>P O Box 2244</t>
  </si>
  <si>
    <t>Montessori Courtyard Preschool</t>
  </si>
  <si>
    <t>03-3321444</t>
  </si>
  <si>
    <t>shelagh@courtyardpreschool.org.nz</t>
  </si>
  <si>
    <t>99 A Somerfield Street</t>
  </si>
  <si>
    <t>Shelagh Powell</t>
  </si>
  <si>
    <t>03-3321 444</t>
  </si>
  <si>
    <t>Tuahiwi Community Preschool</t>
  </si>
  <si>
    <t>03-3132141</t>
  </si>
  <si>
    <t>tuahiwipreschool@xtra.co.nz</t>
  </si>
  <si>
    <t>204 Tuahiwi Road R D 1</t>
  </si>
  <si>
    <t>Tuahiwi</t>
  </si>
  <si>
    <t>Adele Anderson</t>
  </si>
  <si>
    <t>204 Tuahiwi Road</t>
  </si>
  <si>
    <t>Christchurch 7691</t>
  </si>
  <si>
    <t>+64 033132141</t>
  </si>
  <si>
    <t>Kiwi Kids Preschool</t>
  </si>
  <si>
    <t>03-3385179</t>
  </si>
  <si>
    <t>32 Annex Road</t>
  </si>
  <si>
    <t>Li Li</t>
  </si>
  <si>
    <t>83 Greers Rd</t>
  </si>
  <si>
    <t>021-02732966</t>
  </si>
  <si>
    <t>Tiny Tots Preschool</t>
  </si>
  <si>
    <t>03-3896851</t>
  </si>
  <si>
    <t>148 England Street</t>
  </si>
  <si>
    <t>Linwood Central</t>
  </si>
  <si>
    <t>Harjot Grewal</t>
  </si>
  <si>
    <t>022-687 0531</t>
  </si>
  <si>
    <t>Twizel Early Learning Centre Inc</t>
  </si>
  <si>
    <t>03-4350640</t>
  </si>
  <si>
    <t>manager@telc.org.nz</t>
  </si>
  <si>
    <t>Market place</t>
  </si>
  <si>
    <t>Bridget Tiffen</t>
  </si>
  <si>
    <t>Market Place</t>
  </si>
  <si>
    <t>Twizel 7901</t>
  </si>
  <si>
    <t>Early Childhood Learning Centre</t>
  </si>
  <si>
    <t>03-369 4177</t>
  </si>
  <si>
    <t>vivienne.matthews@canterbury.ac.nz</t>
  </si>
  <si>
    <t>116 Ilam Road</t>
  </si>
  <si>
    <t>Vivienne Matthews</t>
  </si>
  <si>
    <t>University of Canterbury Private Bag 4800</t>
  </si>
  <si>
    <t>03-3522961</t>
  </si>
  <si>
    <t>Ilam Early Learning Centre</t>
  </si>
  <si>
    <t>03-348 4336</t>
  </si>
  <si>
    <t>Dovedale Campus Parkstone Avenue</t>
  </si>
  <si>
    <t>Waimate Childcare Centre Inc.</t>
  </si>
  <si>
    <t>03-6897336</t>
  </si>
  <si>
    <t>office@waimatechildcare.co.nz</t>
  </si>
  <si>
    <t>Heather  McIntyre</t>
  </si>
  <si>
    <t>18 John St</t>
  </si>
  <si>
    <t>027-255 0749</t>
  </si>
  <si>
    <t>Woolston Preschool Inc</t>
  </si>
  <si>
    <t>03-3845067</t>
  </si>
  <si>
    <t>52 Glenroy Street</t>
  </si>
  <si>
    <t>Letisha Seelen Derham</t>
  </si>
  <si>
    <t>P O Box 19928</t>
  </si>
  <si>
    <t>03-9819093</t>
  </si>
  <si>
    <t>Barnardos Early Learning Homebased Canterbury One</t>
  </si>
  <si>
    <t>03-3782730</t>
  </si>
  <si>
    <t>canterbury.amu@barnardos.org.nz</t>
  </si>
  <si>
    <t>322 Milford Clandeboye Road, RD26</t>
  </si>
  <si>
    <t>Waitohi (Timaru District)</t>
  </si>
  <si>
    <t>Michelle Macioce</t>
  </si>
  <si>
    <t>027-2933 0430</t>
  </si>
  <si>
    <t>BestStart St Albans</t>
  </si>
  <si>
    <t>03-365 1761</t>
  </si>
  <si>
    <t>stalbans@best-start.org</t>
  </si>
  <si>
    <t>60 Champion Street</t>
  </si>
  <si>
    <t>Edgeware South</t>
  </si>
  <si>
    <t>The Tree Hut Preschool Limited</t>
  </si>
  <si>
    <t>027-258947</t>
  </si>
  <si>
    <t>26 Rolleston Street</t>
  </si>
  <si>
    <t>Jennifer Norton</t>
  </si>
  <si>
    <t>29 Rolleston Street</t>
  </si>
  <si>
    <t>Cheviot 7310</t>
  </si>
  <si>
    <t>03-3198024</t>
  </si>
  <si>
    <t>The James Street Pre-School</t>
  </si>
  <si>
    <t>03-3819008</t>
  </si>
  <si>
    <t>saltm@xtra.co.nz</t>
  </si>
  <si>
    <t>5 James Street</t>
  </si>
  <si>
    <t>Murray Salt</t>
  </si>
  <si>
    <t>159 Richmond Hill Road</t>
  </si>
  <si>
    <t>Balmoral Hill</t>
  </si>
  <si>
    <t>03-3849553</t>
  </si>
  <si>
    <t>Kindercare Learning Centres - Fendalton</t>
  </si>
  <si>
    <t>03-3486712</t>
  </si>
  <si>
    <t>puriri@kindercare.co.nz</t>
  </si>
  <si>
    <t>126 Puriri Street</t>
  </si>
  <si>
    <t>Deans Bush</t>
  </si>
  <si>
    <t>The Activity Room</t>
  </si>
  <si>
    <t>03-3560325</t>
  </si>
  <si>
    <t>Michele.pringle@cdhb.health.nz</t>
  </si>
  <si>
    <t>Riccarton Avenue</t>
  </si>
  <si>
    <t>Hagley Park</t>
  </si>
  <si>
    <t>Michele Pringle</t>
  </si>
  <si>
    <t>. Private Bag 4710</t>
  </si>
  <si>
    <t>BestStart Burnside</t>
  </si>
  <si>
    <t>03-358 2917</t>
  </si>
  <si>
    <t>burnside@best-start.org</t>
  </si>
  <si>
    <t>11 Sir William Pickering Drive</t>
  </si>
  <si>
    <t>BestStart Nottingham Avenue</t>
  </si>
  <si>
    <t>03-322 8238</t>
  </si>
  <si>
    <t>nottingham@best-start.org</t>
  </si>
  <si>
    <t>32 Nottingham Avenue</t>
  </si>
  <si>
    <t>Tafesilafa'i Early Learning Centre (TELC)</t>
  </si>
  <si>
    <t>03-379 6400</t>
  </si>
  <si>
    <t>122 Barbadoes Street</t>
  </si>
  <si>
    <t>Palepa Letiu</t>
  </si>
  <si>
    <t>P O Box 32006</t>
  </si>
  <si>
    <t>Christchurch 8147</t>
  </si>
  <si>
    <t>03-3796400</t>
  </si>
  <si>
    <t>BestStart Parkside</t>
  </si>
  <si>
    <t>03-365 7606</t>
  </si>
  <si>
    <t>parkside@best-start.org</t>
  </si>
  <si>
    <t>438 Hagley Avenue</t>
  </si>
  <si>
    <t>Shirley First Learners</t>
  </si>
  <si>
    <t>03-3859577</t>
  </si>
  <si>
    <t>firstlearners@hotmail.com</t>
  </si>
  <si>
    <t>101 Slater Street</t>
  </si>
  <si>
    <t>Linda Broekman</t>
  </si>
  <si>
    <t>P O Box 569</t>
  </si>
  <si>
    <t>Rangiora 7440</t>
  </si>
  <si>
    <t>03-3131242</t>
  </si>
  <si>
    <t>Gloriavale Christian Preschool</t>
  </si>
  <si>
    <t>03-7380257</t>
  </si>
  <si>
    <t>ece@gloriavale.org.nz</t>
  </si>
  <si>
    <t>28 Heaphy Road</t>
  </si>
  <si>
    <t>Lake Haupiri</t>
  </si>
  <si>
    <t>Lake Brunner</t>
  </si>
  <si>
    <t>Stephen Standfast</t>
  </si>
  <si>
    <t>Private Bag 611</t>
  </si>
  <si>
    <t>Greymouth 7840</t>
  </si>
  <si>
    <t>028-255 80590</t>
  </si>
  <si>
    <t>Lincoln University Early Childhood Centre</t>
  </si>
  <si>
    <t>03-3252870</t>
  </si>
  <si>
    <t>prasanna.singh@lincoln.ac.nz</t>
  </si>
  <si>
    <t>29 The Crescent</t>
  </si>
  <si>
    <t>Prasanna Singh</t>
  </si>
  <si>
    <t>P O Box 85090</t>
  </si>
  <si>
    <t>Lincoln 7647</t>
  </si>
  <si>
    <t>Busy C's Preschool Lyttelton</t>
  </si>
  <si>
    <t>03-3288211</t>
  </si>
  <si>
    <t>BusyCs@xtra.co.nz</t>
  </si>
  <si>
    <t>16 Winchester Street</t>
  </si>
  <si>
    <t>Caro Davidson</t>
  </si>
  <si>
    <t>58 St Davids Street</t>
  </si>
  <si>
    <t>Lyttelton 8082</t>
  </si>
  <si>
    <t>03-328 7490</t>
  </si>
  <si>
    <t>BestStart Roydvale</t>
  </si>
  <si>
    <t>03-358 3000</t>
  </si>
  <si>
    <t>roydvale@best-start.org</t>
  </si>
  <si>
    <t>139-141 Roydvale Avenue</t>
  </si>
  <si>
    <t>Active Explorers Ashburton</t>
  </si>
  <si>
    <t>03-3082959</t>
  </si>
  <si>
    <t>23-25 Archibald Street</t>
  </si>
  <si>
    <t>Sonya MacKay</t>
  </si>
  <si>
    <t>03-308 2959</t>
  </si>
  <si>
    <t>Little Peppertree Preschool</t>
  </si>
  <si>
    <t>03-3133440</t>
  </si>
  <si>
    <t>74 East Belt</t>
  </si>
  <si>
    <t>Kindercare Learning Centres - Riccarton</t>
  </si>
  <si>
    <t>03-3432785</t>
  </si>
  <si>
    <t>clyde@kindercare.co.nz</t>
  </si>
  <si>
    <t>7 Clyde Road</t>
  </si>
  <si>
    <t>Bush Inn</t>
  </si>
  <si>
    <t>Kylee Tindall</t>
  </si>
  <si>
    <t>Estuary Road Preschool</t>
  </si>
  <si>
    <t>03-3885889</t>
  </si>
  <si>
    <t>manager@estuaryroadpreschool.co.nz</t>
  </si>
  <si>
    <t>148 Estuary Road</t>
  </si>
  <si>
    <t>Te Kōhanga Reo o Wharekauri</t>
  </si>
  <si>
    <t>03-305 0329</t>
  </si>
  <si>
    <t>North Road</t>
  </si>
  <si>
    <t>Chatham Islands</t>
  </si>
  <si>
    <t>Chatham Islands Territory</t>
  </si>
  <si>
    <t>Area Outside Region</t>
  </si>
  <si>
    <t>Te Kōhanga Reo o Ōterepo</t>
  </si>
  <si>
    <t>03-365 3846</t>
  </si>
  <si>
    <t>45 Hassals Lane</t>
  </si>
  <si>
    <t>Te Kōhanga Reo o Rangiora</t>
  </si>
  <si>
    <t>03-313 4370</t>
  </si>
  <si>
    <t>51 Ivory Street</t>
  </si>
  <si>
    <t>Te Kōhanga Reo o Te Hohepa</t>
  </si>
  <si>
    <t>03-365 3932</t>
  </si>
  <si>
    <t>34 Phillips Street</t>
  </si>
  <si>
    <t>Te Kōhanga Reo o Te Horomako o Te Huruhuru</t>
  </si>
  <si>
    <t>03-349 6879</t>
  </si>
  <si>
    <t>4 Gregory Avenue</t>
  </si>
  <si>
    <t>Islington-Christchurch</t>
  </si>
  <si>
    <t>Islington</t>
  </si>
  <si>
    <t>Te Kōhanga Reo o Te Whānau Tahi</t>
  </si>
  <si>
    <t>03-335 0185</t>
  </si>
  <si>
    <t>WHANAU@K10B006.kohanga.ac.nz</t>
  </si>
  <si>
    <t>48 Rowley Avenue</t>
  </si>
  <si>
    <t>Te Kōhanga Reo o Te Kotahitanga Ki Waitaha</t>
  </si>
  <si>
    <t>03-388 8118</t>
  </si>
  <si>
    <t>24 Ventor Crescent</t>
  </si>
  <si>
    <t>Pioneers Home Southern</t>
  </si>
  <si>
    <t>03-4563213</t>
  </si>
  <si>
    <t>info@pioneers.co.nz</t>
  </si>
  <si>
    <t>5 Cavell Street</t>
  </si>
  <si>
    <t>Katharine Heath-Collins</t>
  </si>
  <si>
    <t>Aspiring Beginnings Early Learning Centre</t>
  </si>
  <si>
    <t>03-4431181</t>
  </si>
  <si>
    <t>admin@aspiringbeginnings.co.nz</t>
  </si>
  <si>
    <t>120 Warren Street</t>
  </si>
  <si>
    <t>Kylie Cameron</t>
  </si>
  <si>
    <t>Family Ties Educare - Musselburgh</t>
  </si>
  <si>
    <t>03-4556045</t>
  </si>
  <si>
    <t>familytiespreschool@gmail.com</t>
  </si>
  <si>
    <t>122 Musselburgh Rise</t>
  </si>
  <si>
    <t>Melissa Henderson</t>
  </si>
  <si>
    <t>29 Pacific Street</t>
  </si>
  <si>
    <t>03-4675307</t>
  </si>
  <si>
    <t>Arthur Burns Preschool</t>
  </si>
  <si>
    <t>03-4890241</t>
  </si>
  <si>
    <t>office@arthurburns.nz</t>
  </si>
  <si>
    <t>4A Gretna Place</t>
  </si>
  <si>
    <t>Lynette Pool</t>
  </si>
  <si>
    <t>4a Gretna Place</t>
  </si>
  <si>
    <t>03-4847147</t>
  </si>
  <si>
    <t>Goldfields Kindergarten</t>
  </si>
  <si>
    <t>goldfields@wmkindergartens.org.nz</t>
  </si>
  <si>
    <t>62 Whitehaven Street</t>
  </si>
  <si>
    <t>Lawrence</t>
  </si>
  <si>
    <t>Tuapeka</t>
  </si>
  <si>
    <t>Lawrence-Tuapeka Ward</t>
  </si>
  <si>
    <t>Montessori Children's House Wanaka</t>
  </si>
  <si>
    <t>03-4438389</t>
  </si>
  <si>
    <t>annemarie.love@mchw.co.nz</t>
  </si>
  <si>
    <t>122 Kings Drive</t>
  </si>
  <si>
    <t>Anne-Marie Love</t>
  </si>
  <si>
    <t>03-443 8389</t>
  </si>
  <si>
    <t>Pioneers Koputai</t>
  </si>
  <si>
    <t>03-4727943</t>
  </si>
  <si>
    <t>katharine.heathcollins@pioneers.co.nz</t>
  </si>
  <si>
    <t>28 Albertson Ave</t>
  </si>
  <si>
    <t>Drummond Rural Kindergarten</t>
  </si>
  <si>
    <t>03-2362828</t>
  </si>
  <si>
    <t>drummondk@ska.co.nz</t>
  </si>
  <si>
    <t>Drummond</t>
  </si>
  <si>
    <t>Ōtautau</t>
  </si>
  <si>
    <t>Longbush Rural Kindergarten</t>
  </si>
  <si>
    <t>03-2313148</t>
  </si>
  <si>
    <t>longbush@ska.co.nz</t>
  </si>
  <si>
    <t>1069 Highway 1</t>
  </si>
  <si>
    <t>Longbush-Invercargill</t>
  </si>
  <si>
    <t>BestStart Mosgiel</t>
  </si>
  <si>
    <t>03-4891920</t>
  </si>
  <si>
    <t>mosgiel@best-start.org</t>
  </si>
  <si>
    <t>52 Bush Road</t>
  </si>
  <si>
    <t>Bush Road</t>
  </si>
  <si>
    <t>BestStart Montessori The Gardens</t>
  </si>
  <si>
    <t>03-4737630</t>
  </si>
  <si>
    <t>mont.gardens@best-start.org</t>
  </si>
  <si>
    <t>5 Chambers Street</t>
  </si>
  <si>
    <t>North East Valley Knox</t>
  </si>
  <si>
    <t>Waianiwa Kindergarten</t>
  </si>
  <si>
    <t>03-2352277</t>
  </si>
  <si>
    <t>waianiwacommunitykindergarten@gmail.com</t>
  </si>
  <si>
    <t>54 Weir Road</t>
  </si>
  <si>
    <t>Waianiwa</t>
  </si>
  <si>
    <t>City Heights Montessori</t>
  </si>
  <si>
    <t>03-4774532</t>
  </si>
  <si>
    <t>admin@cityheights.ac.nz</t>
  </si>
  <si>
    <t>254 York Place</t>
  </si>
  <si>
    <t>Arthur Street</t>
  </si>
  <si>
    <t>Maria del Rocio Cepero Vazquet</t>
  </si>
  <si>
    <t>15 Cawdor Place</t>
  </si>
  <si>
    <t>Teviot Valley Educare Centre Inc</t>
  </si>
  <si>
    <t>03-4468505</t>
  </si>
  <si>
    <t>tvec@xtra.co.nz</t>
  </si>
  <si>
    <t>2 Hawick Street</t>
  </si>
  <si>
    <t>Roxburgh</t>
  </si>
  <si>
    <t>Teviot Valley</t>
  </si>
  <si>
    <t>Teviot Valley Ward</t>
  </si>
  <si>
    <t>Connie Davidson</t>
  </si>
  <si>
    <t>Roxburgh 9500</t>
  </si>
  <si>
    <t>027-362 2157</t>
  </si>
  <si>
    <t>Cromwell Early Learning Centre Inc</t>
  </si>
  <si>
    <t>03-4450095</t>
  </si>
  <si>
    <t>celci@xtra.co.nz</t>
  </si>
  <si>
    <t>53 Monaghan Street</t>
  </si>
  <si>
    <t>Lisa Lowrey</t>
  </si>
  <si>
    <t>03-4451837</t>
  </si>
  <si>
    <t>BestStart Balclutha</t>
  </si>
  <si>
    <t>03-4180052</t>
  </si>
  <si>
    <t>balclutha@best-start.org</t>
  </si>
  <si>
    <t>83 Charlotte Street</t>
  </si>
  <si>
    <t>Busy Bodies Childcare Limited</t>
  </si>
  <si>
    <t>03-2147777</t>
  </si>
  <si>
    <t>gamblerobyn64@gmail.com</t>
  </si>
  <si>
    <t>11 Elizabeth Street</t>
  </si>
  <si>
    <t>Robyn  Gamble</t>
  </si>
  <si>
    <t>Appleby</t>
  </si>
  <si>
    <t>03-214 7777</t>
  </si>
  <si>
    <t>BestStart Waihopai Kindy</t>
  </si>
  <si>
    <t>03-9296109</t>
  </si>
  <si>
    <t>waihopai.kindy@best-start.org</t>
  </si>
  <si>
    <t>168 Kelvin Street</t>
  </si>
  <si>
    <t>Dunstan Educare</t>
  </si>
  <si>
    <t>03-4486164</t>
  </si>
  <si>
    <t>info@dunstaneducare.co.nz</t>
  </si>
  <si>
    <t>25 Ngapara Street</t>
  </si>
  <si>
    <t>Linley Hattrill</t>
  </si>
  <si>
    <t>Alexandra 9320</t>
  </si>
  <si>
    <t>Barnardos Early Learning Centre Cromwell</t>
  </si>
  <si>
    <t>03-4454728</t>
  </si>
  <si>
    <t>cromwell.elc@barnardos.org.nz</t>
  </si>
  <si>
    <t>25 A Gilling Place</t>
  </si>
  <si>
    <t>Jayne McInnes</t>
  </si>
  <si>
    <t>City Impact Church Queenstown Early Childhood Centre</t>
  </si>
  <si>
    <t>03-4423025</t>
  </si>
  <si>
    <t>3 Hansen Road</t>
  </si>
  <si>
    <t>Quail Rise</t>
  </si>
  <si>
    <t>Chloe Jacobs</t>
  </si>
  <si>
    <t>P O Box 875</t>
  </si>
  <si>
    <t>Queenstown 9304</t>
  </si>
  <si>
    <t>021-937535</t>
  </si>
  <si>
    <t>Edubase Otago/ Southland</t>
  </si>
  <si>
    <t>admin@edubase.co.nz</t>
  </si>
  <si>
    <t>31 Police Street</t>
  </si>
  <si>
    <t>Linda Varney</t>
  </si>
  <si>
    <t>027-270 2274</t>
  </si>
  <si>
    <t>City Heights Montessori 2</t>
  </si>
  <si>
    <t>St Clair Corner Infants and Toddlers Centre Ltd</t>
  </si>
  <si>
    <t>03-4556405</t>
  </si>
  <si>
    <t>melissa@stclaircorner.co.nz</t>
  </si>
  <si>
    <t>277 Macandrew Road</t>
  </si>
  <si>
    <t>Melissa Hobbs</t>
  </si>
  <si>
    <t>P O Box 2298</t>
  </si>
  <si>
    <t>Dunedin 9044</t>
  </si>
  <si>
    <t>Jade-Star Childcare and Learning Centre</t>
  </si>
  <si>
    <t>03-4562957</t>
  </si>
  <si>
    <t>jscc@xtra.co.nz</t>
  </si>
  <si>
    <t>214-216 South Road</t>
  </si>
  <si>
    <t>Andrena King</t>
  </si>
  <si>
    <t>214/216 South Road</t>
  </si>
  <si>
    <t>03-4898621</t>
  </si>
  <si>
    <t>Kidsfirst Kindergartens Hawea</t>
  </si>
  <si>
    <t>03-4436192</t>
  </si>
  <si>
    <t>hawea@kidsfirst.org.nz</t>
  </si>
  <si>
    <t>6 St. Ninnians Way</t>
  </si>
  <si>
    <t>Hawea Flat</t>
  </si>
  <si>
    <t>Upper Clutha Valley</t>
  </si>
  <si>
    <t>Learning Links Palmerston</t>
  </si>
  <si>
    <t>03-4651714</t>
  </si>
  <si>
    <t>manager.LLPM@learninglinkschildcare.co.nz</t>
  </si>
  <si>
    <t>15 Sanday Street</t>
  </si>
  <si>
    <t>Palmerston</t>
  </si>
  <si>
    <t>Waihemo Ward</t>
  </si>
  <si>
    <t>Debbie Nicholls</t>
  </si>
  <si>
    <t>PO Box 28113</t>
  </si>
  <si>
    <t>Oamaru Playcentre</t>
  </si>
  <si>
    <t>03-448 6903</t>
  </si>
  <si>
    <t>12 Trent Street</t>
  </si>
  <si>
    <t>KidzWay Early Learning Centre</t>
  </si>
  <si>
    <t>027-2321692</t>
  </si>
  <si>
    <t>admin@kidzway.co.nz</t>
  </si>
  <si>
    <t>22-26 Northumberland Street</t>
  </si>
  <si>
    <t>Tapanui</t>
  </si>
  <si>
    <t>West Otago</t>
  </si>
  <si>
    <t>West Otago Ward</t>
  </si>
  <si>
    <t>Michelle Nicol</t>
  </si>
  <si>
    <t>Tapanui 9522</t>
  </si>
  <si>
    <t>Pomahaka Kāhui Ako</t>
  </si>
  <si>
    <t>Cardrona Nursery &amp; Ski Kindy</t>
  </si>
  <si>
    <t>03-4199134 Ext 734</t>
  </si>
  <si>
    <t>liz.nelson@cardrona.com</t>
  </si>
  <si>
    <t>Cardrona Alpine Resort Ltd Cardrona Valley Road</t>
  </si>
  <si>
    <t>Cardrona</t>
  </si>
  <si>
    <t>Liz Nelson</t>
  </si>
  <si>
    <t>Wanaka 9343</t>
  </si>
  <si>
    <t>03-4437341 Ext 734</t>
  </si>
  <si>
    <t>Wild Things (Four)</t>
  </si>
  <si>
    <t>Little Wonders Cromwell</t>
  </si>
  <si>
    <t>03-4454550</t>
  </si>
  <si>
    <t>cm.cromwell@littlewonders.nz</t>
  </si>
  <si>
    <t>102 Barry Avenue</t>
  </si>
  <si>
    <t>Susan Wilson</t>
  </si>
  <si>
    <t>03-455 4550</t>
  </si>
  <si>
    <t>Little Wonders St Kilda</t>
  </si>
  <si>
    <t>03-455 3337</t>
  </si>
  <si>
    <t>146A Victoria Road</t>
  </si>
  <si>
    <t>St Kilda South</t>
  </si>
  <si>
    <t>Dale Neill</t>
  </si>
  <si>
    <t>BestStart Montessori Mosgiel</t>
  </si>
  <si>
    <t>03-489 0434</t>
  </si>
  <si>
    <t>mont.mosgiel@best-start.org</t>
  </si>
  <si>
    <t>65 Murray Street</t>
  </si>
  <si>
    <t>Little Wonders Oamaru</t>
  </si>
  <si>
    <t>28 Nen Street</t>
  </si>
  <si>
    <t>Angela Morgan</t>
  </si>
  <si>
    <t>Whitestone Kāhui Ako</t>
  </si>
  <si>
    <t>Balclutha Playcentre</t>
  </si>
  <si>
    <t>027-8805497</t>
  </si>
  <si>
    <t>nikki.gallagher@playcentre.org.nz</t>
  </si>
  <si>
    <t>35 Lowestoft Street</t>
  </si>
  <si>
    <t>Balclutha North</t>
  </si>
  <si>
    <t>Blueskin Playcentre</t>
  </si>
  <si>
    <t>Waitati School Old North Road</t>
  </si>
  <si>
    <t>Waitati</t>
  </si>
  <si>
    <t>Mount Cargill</t>
  </si>
  <si>
    <t>Clinton Playcentre</t>
  </si>
  <si>
    <t>11 Manse Street</t>
  </si>
  <si>
    <t>Clyde Playcentre</t>
  </si>
  <si>
    <t>027-8802427</t>
  </si>
  <si>
    <t>38 Fache Street</t>
  </si>
  <si>
    <t>Clyde</t>
  </si>
  <si>
    <t>Shannon Hewson</t>
  </si>
  <si>
    <t>027-8805253</t>
  </si>
  <si>
    <t>Lower Waitaki Playcentre</t>
  </si>
  <si>
    <t>15 KRD State Highway 83, Pukeu</t>
  </si>
  <si>
    <t>Ngapara</t>
  </si>
  <si>
    <t>Macandrew Bay Playcentre</t>
  </si>
  <si>
    <t>4 Conway Street</t>
  </si>
  <si>
    <t>Macandrew Bay</t>
  </si>
  <si>
    <t>Macandrew Bay-Company Bay</t>
  </si>
  <si>
    <t>Mornington Playcentre</t>
  </si>
  <si>
    <t>37 Durham Street</t>
  </si>
  <si>
    <t>Mosgiel Playcentre</t>
  </si>
  <si>
    <t>Nikki.Gallagher@playcentre.org.nz</t>
  </si>
  <si>
    <t>79 Argyle Street</t>
  </si>
  <si>
    <t>Omakau &amp; Districts Playcentre</t>
  </si>
  <si>
    <t>021-02759092</t>
  </si>
  <si>
    <t>Swindon Street</t>
  </si>
  <si>
    <t>Ophir</t>
  </si>
  <si>
    <t>Manuherikia-Ida Valleys</t>
  </si>
  <si>
    <t>Opoho Playcentre</t>
  </si>
  <si>
    <t>28 A Signal Hill Road</t>
  </si>
  <si>
    <t>Opoho</t>
  </si>
  <si>
    <t>Outram Playcentre</t>
  </si>
  <si>
    <t>9 Beaumaris Street</t>
  </si>
  <si>
    <t>Outram</t>
  </si>
  <si>
    <t>Momona</t>
  </si>
  <si>
    <t>Palmerston Playcentre</t>
  </si>
  <si>
    <t>27 Stour Street</t>
  </si>
  <si>
    <t>Roslyn/Maori Hill Playcentre</t>
  </si>
  <si>
    <t>Tyne Street</t>
  </si>
  <si>
    <t>Roslyn (Dunedin City)</t>
  </si>
  <si>
    <t>St Leonards Playcentre</t>
  </si>
  <si>
    <t>1 Pukeko Street</t>
  </si>
  <si>
    <t>St Leonards-Dunedin</t>
  </si>
  <si>
    <t>Ravensbourne-St Leonards</t>
  </si>
  <si>
    <t>Sawyers Bay Playcentre</t>
  </si>
  <si>
    <t>4 Station Road</t>
  </si>
  <si>
    <t>Sawyers Bay</t>
  </si>
  <si>
    <t>Roseneath-Sawyers Bay</t>
  </si>
  <si>
    <t>Waikouaiti Playcentre</t>
  </si>
  <si>
    <t>6 Mcgregor Street</t>
  </si>
  <si>
    <t>Waikouaiti</t>
  </si>
  <si>
    <t>Weston Playcentre</t>
  </si>
  <si>
    <t>03-4486903</t>
  </si>
  <si>
    <t>2 Airedale Road</t>
  </si>
  <si>
    <t>Weston</t>
  </si>
  <si>
    <t>Kopuwai Early Learning Centre</t>
  </si>
  <si>
    <t>021-1297994</t>
  </si>
  <si>
    <t>centremanager@kopuwai.co.nz</t>
  </si>
  <si>
    <t>32 Marslin Street</t>
  </si>
  <si>
    <t xml:space="preserve">NICOLA CLOUSTON </t>
  </si>
  <si>
    <t>32 Marslin Street Alexandra</t>
  </si>
  <si>
    <t>Central Otago 9320</t>
  </si>
  <si>
    <t>Andersons Bay Community Kindergarten</t>
  </si>
  <si>
    <t>03-454 2242</t>
  </si>
  <si>
    <t>info@andybaykindy.co.nz</t>
  </si>
  <si>
    <t>56 Jeffery Street</t>
  </si>
  <si>
    <t>03-4542242</t>
  </si>
  <si>
    <t>Little Citizens Early Learning Centre</t>
  </si>
  <si>
    <t>03-4663223</t>
  </si>
  <si>
    <t>laurab@mmsouth.org.nz</t>
  </si>
  <si>
    <t>158 Oxford Street</t>
  </si>
  <si>
    <t>Katee Thomas</t>
  </si>
  <si>
    <t>P O Box 2391</t>
  </si>
  <si>
    <t>Molyneux Educare Inc</t>
  </si>
  <si>
    <t>03-4450632</t>
  </si>
  <si>
    <t>admin@molyneuxeducare.co.nz</t>
  </si>
  <si>
    <t>17 Molyneux Avenue</t>
  </si>
  <si>
    <t>Nicole-Maree Shaw</t>
  </si>
  <si>
    <t>Dunedin 9310</t>
  </si>
  <si>
    <t>03-4420632</t>
  </si>
  <si>
    <t>Islington Early Childhood Centre Inc</t>
  </si>
  <si>
    <t>03-4737490</t>
  </si>
  <si>
    <t>islington.ecc@gmail.com</t>
  </si>
  <si>
    <t>16 A Islington Street</t>
  </si>
  <si>
    <t>Sarah Begg</t>
  </si>
  <si>
    <t>Dunedin Hospital Early Childhood Centre</t>
  </si>
  <si>
    <t>sally.ensor@southerndhb.govt.nz</t>
  </si>
  <si>
    <t>Ground Floor, Children's Pavilion Hanover Street</t>
  </si>
  <si>
    <t>Pioneers Russell Street &amp; Nursery</t>
  </si>
  <si>
    <t>03-4777902</t>
  </si>
  <si>
    <t>76 Russell Street</t>
  </si>
  <si>
    <t>East Taieri Preschool Inc</t>
  </si>
  <si>
    <t>03-489 6666</t>
  </si>
  <si>
    <t>office@easttaieripreschool.co.nz</t>
  </si>
  <si>
    <t>13 Cemetery Road</t>
  </si>
  <si>
    <t>Lynette Cameron</t>
  </si>
  <si>
    <t>P O Box 301</t>
  </si>
  <si>
    <t>027-6007387</t>
  </si>
  <si>
    <t>Pioneers Elm Row</t>
  </si>
  <si>
    <t>03-4770950</t>
  </si>
  <si>
    <t>86 Elm Row</t>
  </si>
  <si>
    <t>Dunedin Rudolf Steiner Kindergarten</t>
  </si>
  <si>
    <t>03-4712163</t>
  </si>
  <si>
    <t>office@dunedinsteiner.nz</t>
  </si>
  <si>
    <t>1 Fern Road</t>
  </si>
  <si>
    <t>Maia</t>
  </si>
  <si>
    <t>Hannah Reiher</t>
  </si>
  <si>
    <t>Dunedin 9022</t>
  </si>
  <si>
    <t>027-3732223</t>
  </si>
  <si>
    <t>Big Steps Educare Inc</t>
  </si>
  <si>
    <t>03-4657319</t>
  </si>
  <si>
    <t>bigsteps@xtra.co.nz</t>
  </si>
  <si>
    <t>5 Mcgregor Street</t>
  </si>
  <si>
    <t>Sheryl Ollerenshaw</t>
  </si>
  <si>
    <t>5 McGregor Street</t>
  </si>
  <si>
    <t>Dunedin 9510</t>
  </si>
  <si>
    <t>027-3189404</t>
  </si>
  <si>
    <t>Bunny Burrows Limited</t>
  </si>
  <si>
    <t>03-455 5066</t>
  </si>
  <si>
    <t>jason@bunnyburrows.co.nz</t>
  </si>
  <si>
    <t>39 Queens Drive</t>
  </si>
  <si>
    <t>Jason King</t>
  </si>
  <si>
    <t>24A Murray Street</t>
  </si>
  <si>
    <t>021-829768</t>
  </si>
  <si>
    <t>Otago Childcare Centre Inc</t>
  </si>
  <si>
    <t>03-4777684</t>
  </si>
  <si>
    <t>manager@otagochildcare.co.nz</t>
  </si>
  <si>
    <t>22 Ross Street</t>
  </si>
  <si>
    <t>Teresa Robertson</t>
  </si>
  <si>
    <t>Otago University Childcare Association - Te Pā</t>
  </si>
  <si>
    <t>03-7421080</t>
  </si>
  <si>
    <t>ouca.office@otago.ac.nz</t>
  </si>
  <si>
    <t>551 Castle Street</t>
  </si>
  <si>
    <t>Campus North</t>
  </si>
  <si>
    <t>Karen Hurst</t>
  </si>
  <si>
    <t>P O Box 6162</t>
  </si>
  <si>
    <t>Dunedin 9059</t>
  </si>
  <si>
    <t>Queens Preschool</t>
  </si>
  <si>
    <t>03-4558571</t>
  </si>
  <si>
    <t>queenspreschool@outlook.com</t>
  </si>
  <si>
    <t>195 Surrey Street</t>
  </si>
  <si>
    <t>Sandra Adams</t>
  </si>
  <si>
    <t>P O Box 2278</t>
  </si>
  <si>
    <t>Rainbow Preschool</t>
  </si>
  <si>
    <t>03-4556281</t>
  </si>
  <si>
    <t>rainbowpreschooldn@gmail.com</t>
  </si>
  <si>
    <t>414 King Edward Street</t>
  </si>
  <si>
    <t>Barbara Samson</t>
  </si>
  <si>
    <t>P O Box 4022</t>
  </si>
  <si>
    <t>Saint Kilda</t>
  </si>
  <si>
    <t>03-455 6281</t>
  </si>
  <si>
    <t>St Clair Kindergarten</t>
  </si>
  <si>
    <t>03-4558536</t>
  </si>
  <si>
    <t>51 Albert Street</t>
  </si>
  <si>
    <t>Green Street Early Learning Centre</t>
  </si>
  <si>
    <t>03-4895960</t>
  </si>
  <si>
    <t>greenstreet@greenst.co.nz</t>
  </si>
  <si>
    <t>Joanne Higgs</t>
  </si>
  <si>
    <t>03-489 5960</t>
  </si>
  <si>
    <t>York Place Preschool &amp; Nursery</t>
  </si>
  <si>
    <t>03-4771755</t>
  </si>
  <si>
    <t>admin@yorkplace.co.nz</t>
  </si>
  <si>
    <t>95 York Place</t>
  </si>
  <si>
    <t>Royal Terrace</t>
  </si>
  <si>
    <t>Sarah Pleace</t>
  </si>
  <si>
    <t>12 Mitchell Ave</t>
  </si>
  <si>
    <t>Dunedin 9011</t>
  </si>
  <si>
    <t>03-4531140</t>
  </si>
  <si>
    <t>Wanaka Pre-School Early Childhood Centre</t>
  </si>
  <si>
    <t>03-4437090</t>
  </si>
  <si>
    <t>info@wanakapre.school.nz</t>
  </si>
  <si>
    <t>106 Tenby Street</t>
  </si>
  <si>
    <t>Laurie Stevenson</t>
  </si>
  <si>
    <t>St Clair Corner Early Learning Centre</t>
  </si>
  <si>
    <t>283 Macandrew Road</t>
  </si>
  <si>
    <t>Montessori House Casa dei Bambini</t>
  </si>
  <si>
    <t>montessorihouse@xtra.co.nz</t>
  </si>
  <si>
    <t>23 Nairn Street</t>
  </si>
  <si>
    <t>Tokomairiro Early Learning Centre Inc</t>
  </si>
  <si>
    <t>03-4178180</t>
  </si>
  <si>
    <t>Te Kōhanga Reo O Whakaari</t>
  </si>
  <si>
    <t>03-476 4645</t>
  </si>
  <si>
    <t>263 A Brockville Road</t>
  </si>
  <si>
    <t>Polykids</t>
  </si>
  <si>
    <t>03-4796169</t>
  </si>
  <si>
    <t>Forth Street</t>
  </si>
  <si>
    <t>Myone Raynbird</t>
  </si>
  <si>
    <t>03-476 7721</t>
  </si>
  <si>
    <t>Barnardos Early Learning Home Based Southland One</t>
  </si>
  <si>
    <t>03-2147751 Ext 0</t>
  </si>
  <si>
    <t>rebecca.chatwin@barnardos.org.nz</t>
  </si>
  <si>
    <t>25A Gilling Place</t>
  </si>
  <si>
    <t>Shelley Cornish</t>
  </si>
  <si>
    <t>027-268 7617</t>
  </si>
  <si>
    <t>Play and Learn ECE - Fairfield</t>
  </si>
  <si>
    <t>03-4883121</t>
  </si>
  <si>
    <t>julz@playandlearn.net.nz</t>
  </si>
  <si>
    <t>23 Old Brighton Road</t>
  </si>
  <si>
    <t>Fairfield (Dunedin City)</t>
  </si>
  <si>
    <t>Juliet O'Neill</t>
  </si>
  <si>
    <t>021-805766</t>
  </si>
  <si>
    <t>Barnardos Early Learning Centre Oamaru</t>
  </si>
  <si>
    <t>03-4349440</t>
  </si>
  <si>
    <t>oamaru.elc@barnardos.org.nz</t>
  </si>
  <si>
    <t>25 Trent Street</t>
  </si>
  <si>
    <t>Janine Presnall</t>
  </si>
  <si>
    <t>Pioneers Home Northern</t>
  </si>
  <si>
    <t>Otago University Childcare Association - College Centre</t>
  </si>
  <si>
    <t>03-4772299</t>
  </si>
  <si>
    <t>ouca.director@otago.ac.nz</t>
  </si>
  <si>
    <t>Union Street East</t>
  </si>
  <si>
    <t>Harbourside</t>
  </si>
  <si>
    <t>Te Kōhanga Reo Manaaki Tamariki</t>
  </si>
  <si>
    <t>03-455 2899</t>
  </si>
  <si>
    <t>217 A South Road</t>
  </si>
  <si>
    <t>Children's Play and Recreation Centre</t>
  </si>
  <si>
    <t>03-4709292 Ext 8184</t>
  </si>
  <si>
    <t>Dunedin Hospital Great King Street</t>
  </si>
  <si>
    <t>Shirley Bell</t>
  </si>
  <si>
    <t>Dunedin Hospital, Children's Play &amp; Recreation Private Bag 1921</t>
  </si>
  <si>
    <t>Dunedin 9054</t>
  </si>
  <si>
    <t>03-474 0999</t>
  </si>
  <si>
    <t>Punavai o le Atamai Preschool</t>
  </si>
  <si>
    <t>03-4560270</t>
  </si>
  <si>
    <t>punavai.ole.atamai@xtra.co.nz</t>
  </si>
  <si>
    <t>41 Macandrew Road</t>
  </si>
  <si>
    <t>Flora Evile</t>
  </si>
  <si>
    <t>19 Quarry Road</t>
  </si>
  <si>
    <t>Dunedin 9018</t>
  </si>
  <si>
    <t>Gladstone Pre-School</t>
  </si>
  <si>
    <t>03-2149303</t>
  </si>
  <si>
    <t>gladstonepreschool@xtra.co.nz</t>
  </si>
  <si>
    <t>20 Lewis Street</t>
  </si>
  <si>
    <t>Gladstone-Invercargill</t>
  </si>
  <si>
    <t>Anna Stewart</t>
  </si>
  <si>
    <t>Big River Educare</t>
  </si>
  <si>
    <t>03-4180821</t>
  </si>
  <si>
    <t>bigrivereducare@xtra.co.nz</t>
  </si>
  <si>
    <t>19 Wilson Road</t>
  </si>
  <si>
    <t>Philippa Geary</t>
  </si>
  <si>
    <t>Rosebank</t>
  </si>
  <si>
    <t>Balclutha 9230</t>
  </si>
  <si>
    <t>03-418 2289</t>
  </si>
  <si>
    <t>Waitaki Valley Preschool</t>
  </si>
  <si>
    <t>03-4360999</t>
  </si>
  <si>
    <t>manager@wvp.kiwi</t>
  </si>
  <si>
    <t>Settlement Road</t>
  </si>
  <si>
    <t>Kurow</t>
  </si>
  <si>
    <t>Danseys Pass</t>
  </si>
  <si>
    <t>Edwina Ryan</t>
  </si>
  <si>
    <t>Kurow 9435</t>
  </si>
  <si>
    <t>03-4360939</t>
  </si>
  <si>
    <t>BestStart Oamaru Kindy</t>
  </si>
  <si>
    <t>03-4345960</t>
  </si>
  <si>
    <t>22 Torridge Street</t>
  </si>
  <si>
    <t>South Oamaru</t>
  </si>
  <si>
    <t>Montessori House Casita dei Bambini</t>
  </si>
  <si>
    <t>03-4675968</t>
  </si>
  <si>
    <t>10 Beresford Street</t>
  </si>
  <si>
    <t>Balfour Playcentre</t>
  </si>
  <si>
    <t>0800-4883932</t>
  </si>
  <si>
    <t>balfour@playcentre.org.nz</t>
  </si>
  <si>
    <t>131 Queen Street</t>
  </si>
  <si>
    <t>Balfour</t>
  </si>
  <si>
    <t>Makarewa Playcentre</t>
  </si>
  <si>
    <t>03-214 2033</t>
  </si>
  <si>
    <t>makarewaplaycentre@hotmail.com</t>
  </si>
  <si>
    <t>Flora Road East</t>
  </si>
  <si>
    <t>Makarewa</t>
  </si>
  <si>
    <t>West Plains-Makarewa</t>
  </si>
  <si>
    <t>128 McMaster Street</t>
  </si>
  <si>
    <t>Ohai Playcentre</t>
  </si>
  <si>
    <t>ohaiplaycentre@gmail.com</t>
  </si>
  <si>
    <t>115 Birchwood Road</t>
  </si>
  <si>
    <t>Ohai</t>
  </si>
  <si>
    <t>Ōhai-Nightcaps</t>
  </si>
  <si>
    <t>Otautau Playcentre</t>
  </si>
  <si>
    <t>otautau@playcentre.org.nz</t>
  </si>
  <si>
    <t>100 Main Road</t>
  </si>
  <si>
    <t>Otautau</t>
  </si>
  <si>
    <t>Roslyn Bush Playcentre</t>
  </si>
  <si>
    <t>roslynbush@playcentre.org.nz</t>
  </si>
  <si>
    <t>Cnr Lorneville/Dacre Rd and Kennington/Roslyn Bush Rd</t>
  </si>
  <si>
    <t>Grove Bush</t>
  </si>
  <si>
    <t>Judy  Hinton</t>
  </si>
  <si>
    <t>Waihopai Playcentre</t>
  </si>
  <si>
    <t>waihopaiplaycentre@gmail.com</t>
  </si>
  <si>
    <t>98 Layard Street</t>
  </si>
  <si>
    <t>Rosedale-Hargest</t>
  </si>
  <si>
    <t>Wyndham Playcentre</t>
  </si>
  <si>
    <t>021-1720565</t>
  </si>
  <si>
    <t>Wyndham</t>
  </si>
  <si>
    <t>Wyndham-Catlins</t>
  </si>
  <si>
    <t>Wakatipu Playcentre</t>
  </si>
  <si>
    <t>03-4423354</t>
  </si>
  <si>
    <t>49 Red Oaks Drive</t>
  </si>
  <si>
    <t>Queenstown Playcentre</t>
  </si>
  <si>
    <t>027-8803317</t>
  </si>
  <si>
    <t>Queenstown Primary School Robins Road</t>
  </si>
  <si>
    <t>Judith Hinton</t>
  </si>
  <si>
    <t>BestStart Kelvin Street</t>
  </si>
  <si>
    <t>03-2186255</t>
  </si>
  <si>
    <t>Kelvin@best-start.org</t>
  </si>
  <si>
    <t>174 Kelvin Street</t>
  </si>
  <si>
    <t>Te Rourou Whakatipuranga O Awarua</t>
  </si>
  <si>
    <t xml:space="preserve">03-212 8866 </t>
  </si>
  <si>
    <t>echmanager@awarua.org.nz</t>
  </si>
  <si>
    <t>Cnr Henderson &amp; Elizabeth Streets</t>
  </si>
  <si>
    <t>Andria Cross</t>
  </si>
  <si>
    <t>P O Box 122</t>
  </si>
  <si>
    <t>Invercargill 9842</t>
  </si>
  <si>
    <t>03-212 8866</t>
  </si>
  <si>
    <t>The Cottage Kindergarten</t>
  </si>
  <si>
    <t>03-2188269</t>
  </si>
  <si>
    <t>thecottage@ska.co.nz</t>
  </si>
  <si>
    <t>74 Bowmont Street</t>
  </si>
  <si>
    <t>Skiwiland Coronet Peak</t>
  </si>
  <si>
    <t>03-4424673</t>
  </si>
  <si>
    <t>sharon.cartman@coronetpeak.co.nz</t>
  </si>
  <si>
    <t>Coronet Peak Ski Area P O Box 359</t>
  </si>
  <si>
    <t>Fernhill-Queenstown</t>
  </si>
  <si>
    <t>Outer Wakatipu</t>
  </si>
  <si>
    <t>Christine Law</t>
  </si>
  <si>
    <t>Methven 7745</t>
  </si>
  <si>
    <t>021-0304239</t>
  </si>
  <si>
    <t>CAS Early Learning Centre</t>
  </si>
  <si>
    <t>03-2159944</t>
  </si>
  <si>
    <t>cas09@xtra.co.nz</t>
  </si>
  <si>
    <t>12 Renfrew Street</t>
  </si>
  <si>
    <t>Sharyn Cook</t>
  </si>
  <si>
    <t>03 2159944</t>
  </si>
  <si>
    <t>S I T Early Childhood Centre</t>
  </si>
  <si>
    <t>03-2183604</t>
  </si>
  <si>
    <t>nikki.ross@sit.ac.nz</t>
  </si>
  <si>
    <t>165 Eye Street</t>
  </si>
  <si>
    <t>Nikki Ross</t>
  </si>
  <si>
    <t>03-218 3604</t>
  </si>
  <si>
    <t>Queenstown Preschool and Nursery</t>
  </si>
  <si>
    <t>03-4429217</t>
  </si>
  <si>
    <t>office@qpn.co.nz</t>
  </si>
  <si>
    <t>45 Brecon Street</t>
  </si>
  <si>
    <t>Jasmine Singer</t>
  </si>
  <si>
    <t>Queenstown 9300</t>
  </si>
  <si>
    <t>Te Anau Childcare Centre Inc</t>
  </si>
  <si>
    <t>03-2497858</t>
  </si>
  <si>
    <t>info@southernstars.co.nz</t>
  </si>
  <si>
    <t>18 Luxmore Drive</t>
  </si>
  <si>
    <t>Rebecca Ashman</t>
  </si>
  <si>
    <t>Invercargill 9600</t>
  </si>
  <si>
    <t>028-4666478</t>
  </si>
  <si>
    <t>Waikiwi Childcare &amp; Preschool</t>
  </si>
  <si>
    <t>03-2159984</t>
  </si>
  <si>
    <t>waikiwipreschool@xtra.co.nz</t>
  </si>
  <si>
    <t>11 Ruru Street</t>
  </si>
  <si>
    <t>Katrina Anderson</t>
  </si>
  <si>
    <t>03-215 9984</t>
  </si>
  <si>
    <t>Arrowtown Preschool Durham Street</t>
  </si>
  <si>
    <t>03-4421416</t>
  </si>
  <si>
    <t>20 Durham Street</t>
  </si>
  <si>
    <t>BestStart Montessori Arrowtown</t>
  </si>
  <si>
    <t>03-4420032</t>
  </si>
  <si>
    <t>mont.arrowtown@best-start.org</t>
  </si>
  <si>
    <t>16 Wiltshire Street</t>
  </si>
  <si>
    <t>Children's Ward Playroom - Southland Hospital</t>
  </si>
  <si>
    <t>03-2181949</t>
  </si>
  <si>
    <t>Kew Road</t>
  </si>
  <si>
    <t>Marie Irvine</t>
  </si>
  <si>
    <t>P O Box 2541</t>
  </si>
  <si>
    <t>Kew</t>
  </si>
  <si>
    <t>03-2181949 Ext 6690</t>
  </si>
  <si>
    <t>Te Kōhanga Reo o Kimihia Te Mātauranga o Ngā Tūpuna</t>
  </si>
  <si>
    <t>03-217 3131</t>
  </si>
  <si>
    <t>93 Mary Street</t>
  </si>
  <si>
    <t>Te Kōhanga Reo o Te Ara Tika</t>
  </si>
  <si>
    <t>03-208 0343</t>
  </si>
  <si>
    <t>11 Hyde Street</t>
  </si>
  <si>
    <t>Gore South</t>
  </si>
  <si>
    <t>Te Kōhanga Reo Kia Ngāwari</t>
  </si>
  <si>
    <t>03-203 7460</t>
  </si>
  <si>
    <t>WHANAU@K10D054.kohanga.ac.nz</t>
  </si>
  <si>
    <t>106-108 Kana Street</t>
  </si>
  <si>
    <t>Te Kōhanga Reo o Ngā Hau e Whā</t>
  </si>
  <si>
    <t>03-218 8031</t>
  </si>
  <si>
    <t>98 Balmoral Drive</t>
  </si>
  <si>
    <t>Te Kōhanga Reo o Murihiku</t>
  </si>
  <si>
    <t>03-9730015</t>
  </si>
  <si>
    <t>Skye Street</t>
  </si>
  <si>
    <t>Te Kōhanga Reo o Tūmanako Rāwhiti</t>
  </si>
  <si>
    <t>03-216 1041</t>
  </si>
  <si>
    <t>28 Ottrey Street</t>
  </si>
  <si>
    <t>Te Kōhanga Reo o Te Rākau Kowhai o Ngā Tamariki</t>
  </si>
  <si>
    <t>03-215 8502</t>
  </si>
  <si>
    <t>18 Willis Street</t>
  </si>
  <si>
    <t>Aoga Amata Preschool 2020 Limited</t>
  </si>
  <si>
    <t>03-2164125</t>
  </si>
  <si>
    <t>aap2020limited@gmail.com</t>
  </si>
  <si>
    <t>87 Severn Street</t>
  </si>
  <si>
    <t>Clifton-Invercargill</t>
  </si>
  <si>
    <t>Sharlene Hamilton</t>
  </si>
  <si>
    <t>03-2140193</t>
  </si>
  <si>
    <t>Participation in licensed ECE services by Service Type, 2000-2024</t>
  </si>
  <si>
    <t/>
  </si>
  <si>
    <t>From education counts - ECE Participation Pivot Table 2006-2024 (Prioritised ethnicity)</t>
  </si>
  <si>
    <t>Participation in ECE 2006-2024</t>
  </si>
  <si>
    <t xml:space="preserve">See 'Getting Started' &amp; 'Technical Notes' tabs at bottom of page for instructions on how to use table. </t>
  </si>
  <si>
    <t>*Data collection method changes in 2014. See About these statistics tab for more information.</t>
  </si>
  <si>
    <t>Sector</t>
  </si>
  <si>
    <t>Licensed Services</t>
  </si>
  <si>
    <t>(Multiple Items)</t>
  </si>
  <si>
    <t>Sum of Participation</t>
  </si>
  <si>
    <t>Column Labels</t>
  </si>
  <si>
    <t>Age</t>
  </si>
  <si>
    <t>5+</t>
  </si>
  <si>
    <t>Unknown</t>
  </si>
  <si>
    <t>Number of teaching staff by Qualification Status and Service Type, 2011-2024</t>
  </si>
  <si>
    <t>*Due to un-resolvable data quality issues in 2015, this year has been removed</t>
  </si>
  <si>
    <t>Not
 Qualified</t>
  </si>
  <si>
    <t>Qualified</t>
  </si>
  <si>
    <t>Casual
 Education &amp;
 Care</t>
  </si>
  <si>
    <t>Education &amp;
 Care</t>
  </si>
  <si>
    <t>overall</t>
  </si>
  <si>
    <t>exc kindy</t>
  </si>
  <si>
    <t>E&amp;C</t>
  </si>
  <si>
    <t>Average qualified staff if calculated off annual proportions</t>
  </si>
  <si>
    <t>Average qualified staff if calculated off annual proportions (exc kindergartens)</t>
  </si>
  <si>
    <t>Mean qualified staff if calculated across all years in first instance</t>
  </si>
  <si>
    <t>Straight-line change in FTE from 2018-2023</t>
  </si>
  <si>
    <t>Exc kindy</t>
  </si>
  <si>
    <t>Difference</t>
  </si>
  <si>
    <t>Annual step</t>
  </si>
  <si>
    <t>Straight-line change into the future based on 2018-2023 change</t>
  </si>
  <si>
    <t>Participation in ECE 2021-2024</t>
  </si>
  <si>
    <t>From pivot table - set up to break market down by age and service type</t>
  </si>
  <si>
    <t>Copied into this file to support external review of methodology without requiring access to WDC sharepoint</t>
  </si>
  <si>
    <t>Correspondence School</t>
  </si>
  <si>
    <t>Correspondence School Total</t>
  </si>
  <si>
    <t>Education &amp; Care Total</t>
  </si>
  <si>
    <t>Home-based Total</t>
  </si>
  <si>
    <t>Kindergarten Total</t>
  </si>
  <si>
    <t>Kōhanga Reo Total</t>
  </si>
  <si>
    <t>Playcentre Total</t>
  </si>
  <si>
    <t>Grand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</si>
</sst>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0.00_-;\-* #,##0.00_-;_-* &quot;-&quot;??_-;_-@_-"/>
    <numFmt numFmtId="165" formatCode="_-* #,##0_-;\-* #,##0_-;_-* &quot;-&quot;??_-;_-@_-"/>
    <numFmt numFmtId="166" formatCode="###########0"/>
    <numFmt numFmtId="167" formatCode="#,###,###,###,###,###,###,##0"/>
    <numFmt numFmtId="168" formatCode="0.0%"/>
    <numFmt numFmtId="169" formatCode="0.000"/>
    <numFmt numFmtId="170" formatCode=";;"/>
    <numFmt numFmtId="171" formatCode="_-* #,##0.0_-;\-* #,##0.0_-;_-* &quot;-&quot;?_-;_-@_-"/>
  </numFmts>
  <fonts count="35">
    <font>
      <sz val="11"/>
      <color theme="1"/>
      <name val="Aptos Narrow"/>
      <family val="2"/>
      <scheme val="minor"/>
    </font>
    <font>
      <sz val="11"/>
      <color theme="1"/>
      <name val="Aptos Narrow"/>
      <family val="2"/>
      <scheme val="minor"/>
    </font>
    <font>
      <b/>
      <sz val="11"/>
      <color theme="1"/>
      <name val="Aptos Narrow"/>
      <family val="2"/>
      <scheme val="minor"/>
    </font>
    <font>
      <u/>
      <sz val="11"/>
      <color theme="10"/>
      <name val="Aptos Narrow"/>
      <family val="2"/>
      <scheme val="minor"/>
    </font>
    <font>
      <i/>
      <sz val="11"/>
      <color theme="1"/>
      <name val="Aptos Narrow"/>
      <family val="2"/>
      <scheme val="minor"/>
    </font>
    <font>
      <b/>
      <i/>
      <sz val="11"/>
      <color theme="1"/>
      <name val="Aptos Narrow"/>
      <family val="2"/>
      <scheme val="minor"/>
    </font>
    <font>
      <sz val="8"/>
      <name val="Aptos Narrow"/>
      <family val="2"/>
      <scheme val="minor"/>
    </font>
    <font>
      <b/>
      <sz val="10"/>
      <color theme="0"/>
      <name val="Arial"/>
      <family val="2"/>
    </font>
    <font>
      <b/>
      <sz val="9.5"/>
      <color theme="0"/>
      <name val="Albany AMT"/>
    </font>
    <font>
      <sz val="9.5"/>
      <color theme="1" tint="0.34998626667073579"/>
      <name val="Albany AMT"/>
    </font>
    <font>
      <b/>
      <sz val="9.5"/>
      <color theme="1" tint="0.34998626667073579"/>
      <name val="Albany AMT"/>
    </font>
    <font>
      <sz val="9.5"/>
      <color theme="1"/>
      <name val="Albany AMT"/>
    </font>
    <font>
      <b/>
      <sz val="9.5"/>
      <color theme="1"/>
      <name val="Albany AMT"/>
    </font>
    <font>
      <sz val="11"/>
      <name val="Aptos Narrow"/>
      <family val="2"/>
      <scheme val="minor"/>
    </font>
    <font>
      <sz val="9.5"/>
      <color rgb="FF000000"/>
      <name val="Albany AMT"/>
    </font>
    <font>
      <b/>
      <sz val="9.5"/>
      <name val="Albany AMT"/>
    </font>
    <font>
      <sz val="11"/>
      <color theme="1"/>
      <name val="Aptos Narrow"/>
      <family val="2"/>
    </font>
    <font>
      <i/>
      <vertAlign val="superscript"/>
      <sz val="11"/>
      <color theme="1"/>
      <name val="Aptos Narrow"/>
      <family val="2"/>
      <scheme val="minor"/>
    </font>
    <font>
      <b/>
      <u/>
      <sz val="11"/>
      <color theme="1"/>
      <name val="Aptos Narrow"/>
      <family val="2"/>
      <scheme val="minor"/>
    </font>
    <font>
      <sz val="11"/>
      <color rgb="FF000000"/>
      <name val="Aptos Narrow"/>
      <family val="2"/>
    </font>
    <font>
      <b/>
      <sz val="16"/>
      <color theme="1"/>
      <name val="Aptos Narrow"/>
      <family val="2"/>
      <scheme val="minor"/>
    </font>
    <font>
      <b/>
      <i/>
      <sz val="9.5"/>
      <name val="Albany AMT"/>
    </font>
    <font>
      <b/>
      <i/>
      <sz val="12"/>
      <color rgb="FF000000"/>
      <name val="Arial"/>
      <family val="2"/>
    </font>
    <font>
      <sz val="10"/>
      <color rgb="FF000000"/>
      <name val="Arial"/>
      <family val="2"/>
    </font>
    <font>
      <sz val="9"/>
      <color indexed="81"/>
      <name val="Tahoma"/>
      <family val="2"/>
    </font>
    <font>
      <b/>
      <sz val="9"/>
      <color indexed="81"/>
      <name val="Tahoma"/>
      <family val="2"/>
    </font>
    <font>
      <b/>
      <sz val="11"/>
      <color theme="0"/>
      <name val="Aptos Narrow"/>
      <family val="2"/>
      <scheme val="minor"/>
    </font>
    <font>
      <sz val="11"/>
      <color rgb="FFFF0000"/>
      <name val="Aptos Narrow"/>
      <family val="2"/>
      <scheme val="minor"/>
    </font>
    <font>
      <sz val="8"/>
      <color rgb="FF000000"/>
      <name val="Arial"/>
      <family val="2"/>
    </font>
    <font>
      <u/>
      <sz val="11"/>
      <color theme="10"/>
      <name val="Calibri"/>
      <family val="2"/>
    </font>
    <font>
      <sz val="9.5"/>
      <color theme="1" tint="4.9989318521683403E-2"/>
      <name val="Albany AMT"/>
    </font>
    <font>
      <b/>
      <sz val="9.5"/>
      <color theme="1" tint="4.9989318521683403E-2"/>
      <name val="Albany AMT"/>
    </font>
    <font>
      <b/>
      <sz val="9.5"/>
      <color rgb="FF000000"/>
      <name val="Albany AMT"/>
    </font>
    <font>
      <u/>
      <sz val="9.5"/>
      <color theme="10"/>
      <name val="Albany AMT"/>
    </font>
    <font>
      <i/>
      <sz val="9"/>
      <color rgb="FF333333"/>
      <name val="Arial"/>
      <family val="2"/>
    </font>
  </fonts>
  <fills count="13">
    <fill>
      <patternFill patternType="none"/>
    </fill>
    <fill>
      <patternFill patternType="gray125"/>
    </fill>
    <fill>
      <patternFill patternType="solid">
        <fgColor theme="9" tint="0.7999816888943144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CC"/>
        <bgColor indexed="64"/>
      </patternFill>
    </fill>
    <fill>
      <patternFill patternType="solid">
        <fgColor rgb="FF522953"/>
        <bgColor indexed="64"/>
      </patternFill>
    </fill>
    <fill>
      <patternFill patternType="solid">
        <fgColor rgb="FFFFFFFF"/>
        <bgColor indexed="64"/>
      </patternFill>
    </fill>
    <fill>
      <patternFill patternType="solid">
        <fgColor rgb="FFFAFBFE"/>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rgb="FFFFFF0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style="thin">
        <color indexed="64"/>
      </right>
      <top style="thin">
        <color indexed="64"/>
      </top>
      <bottom/>
      <diagonal/>
    </border>
    <border>
      <left style="thin">
        <color rgb="FFB0B7BB"/>
      </left>
      <right style="thin">
        <color rgb="FFB0B7BB"/>
      </right>
      <top style="thin">
        <color rgb="FFB0B7BB"/>
      </top>
      <bottom/>
      <diagonal/>
    </border>
    <border>
      <left style="thin">
        <color rgb="FFB0B7BB"/>
      </left>
      <right style="thin">
        <color rgb="FFB0B7BB"/>
      </right>
      <top style="thin">
        <color rgb="FFB0B7BB"/>
      </top>
      <bottom style="thin">
        <color rgb="FFB0B7BB"/>
      </bottom>
      <diagonal/>
    </border>
    <border>
      <left style="thin">
        <color rgb="FFB0B7BB"/>
      </left>
      <right style="thin">
        <color theme="1" tint="0.14999847407452621"/>
      </right>
      <top style="thin">
        <color rgb="FFB0B7BB"/>
      </top>
      <bottom style="thin">
        <color rgb="FFB0B7BB"/>
      </bottom>
      <diagonal/>
    </border>
    <border>
      <left/>
      <right style="thin">
        <color rgb="FFB0B7BB"/>
      </right>
      <top style="thin">
        <color rgb="FFB0B7BB"/>
      </top>
      <bottom style="thin">
        <color rgb="FFB0B7BB"/>
      </bottom>
      <diagonal/>
    </border>
    <border>
      <left style="thin">
        <color rgb="FFB0B7BB"/>
      </left>
      <right style="thin">
        <color rgb="FFB0B7BB"/>
      </right>
      <top/>
      <bottom style="thin">
        <color rgb="FFB0B7BB"/>
      </bottom>
      <diagonal/>
    </border>
    <border>
      <left style="thin">
        <color rgb="FFC1C1C1"/>
      </left>
      <right style="thin">
        <color rgb="FFC1C1C1"/>
      </right>
      <top style="thin">
        <color rgb="FFC1C1C1"/>
      </top>
      <bottom style="thin">
        <color rgb="FFC1C1C1"/>
      </bottom>
      <diagonal/>
    </border>
    <border>
      <left style="thin">
        <color rgb="FFC1C1C1"/>
      </left>
      <right style="thin">
        <color theme="1" tint="0.14999847407452621"/>
      </right>
      <top style="thin">
        <color rgb="FFC1C1C1"/>
      </top>
      <bottom style="thin">
        <color rgb="FFC1C1C1"/>
      </bottom>
      <diagonal/>
    </border>
    <border>
      <left/>
      <right style="thin">
        <color rgb="FFC1C1C1"/>
      </right>
      <top style="thin">
        <color rgb="FFC1C1C1"/>
      </top>
      <bottom style="thin">
        <color rgb="FFC1C1C1"/>
      </bottom>
      <diagonal/>
    </border>
    <border>
      <left style="thin">
        <color rgb="FFB0B7BB"/>
      </left>
      <right style="thin">
        <color rgb="FFB0B7BB"/>
      </right>
      <top/>
      <bottom/>
      <diagonal/>
    </border>
    <border>
      <left/>
      <right style="thin">
        <color indexed="64"/>
      </right>
      <top/>
      <bottom/>
      <diagonal/>
    </border>
    <border>
      <left style="thin">
        <color theme="4" tint="0.39997558519241921"/>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top style="thin">
        <color theme="9" tint="0.39997558519241921"/>
      </top>
      <bottom style="thin">
        <color theme="9" tint="0.39997558519241921"/>
      </bottom>
      <diagonal/>
    </border>
    <border>
      <left/>
      <right style="thin">
        <color rgb="FFB0B7BB"/>
      </right>
      <top/>
      <bottom style="thin">
        <color rgb="FFB0B7BB"/>
      </bottom>
      <diagonal/>
    </border>
  </borders>
  <cellStyleXfs count="8">
    <xf numFmtId="0" fontId="0" fillId="0" borderId="0"/>
    <xf numFmtId="164" fontId="1" fillId="0" borderId="0" applyFont="0" applyFill="0" applyBorder="0" applyAlignment="0" applyProtection="0"/>
    <xf numFmtId="9" fontId="1" fillId="0" borderId="0" applyFont="0" applyFill="0" applyBorder="0" applyAlignment="0" applyProtection="0"/>
    <xf numFmtId="0" fontId="3" fillId="0" borderId="0" applyNumberFormat="0" applyFill="0" applyBorder="0" applyAlignment="0" applyProtection="0"/>
    <xf numFmtId="0" fontId="14" fillId="0" borderId="0"/>
    <xf numFmtId="0" fontId="1" fillId="0" borderId="0"/>
    <xf numFmtId="0" fontId="29" fillId="0" borderId="0" applyNumberFormat="0" applyFill="0" applyBorder="0" applyAlignment="0" applyProtection="0">
      <alignment vertical="top"/>
      <protection locked="0"/>
    </xf>
    <xf numFmtId="0" fontId="33" fillId="0" borderId="0" applyNumberFormat="0" applyFill="0" applyBorder="0" applyAlignment="0" applyProtection="0"/>
  </cellStyleXfs>
  <cellXfs count="187">
    <xf numFmtId="0" fontId="0" fillId="0" borderId="0" xfId="0"/>
    <xf numFmtId="0" fontId="2" fillId="0" borderId="0" xfId="0" applyFont="1"/>
    <xf numFmtId="10" fontId="0" fillId="0" borderId="0" xfId="0" applyNumberFormat="1"/>
    <xf numFmtId="10" fontId="0" fillId="0" borderId="0" xfId="2" applyNumberFormat="1" applyFont="1"/>
    <xf numFmtId="0" fontId="0" fillId="2" borderId="0" xfId="0" applyFill="1"/>
    <xf numFmtId="0" fontId="4" fillId="0" borderId="0" xfId="0" applyFont="1"/>
    <xf numFmtId="0" fontId="5" fillId="0" borderId="0" xfId="0" applyFont="1"/>
    <xf numFmtId="165" fontId="0" fillId="0" borderId="0" xfId="1" applyNumberFormat="1" applyFont="1"/>
    <xf numFmtId="165" fontId="2" fillId="0" borderId="0" xfId="1" applyNumberFormat="1" applyFont="1"/>
    <xf numFmtId="165" fontId="0" fillId="2" borderId="0" xfId="1" applyNumberFormat="1" applyFont="1" applyFill="1"/>
    <xf numFmtId="0" fontId="0" fillId="0" borderId="0" xfId="0" applyAlignment="1">
      <alignment vertical="top"/>
    </xf>
    <xf numFmtId="0" fontId="0" fillId="0" borderId="0" xfId="0" applyAlignment="1">
      <alignment vertical="top" wrapText="1"/>
    </xf>
    <xf numFmtId="49" fontId="0" fillId="0" borderId="0" xfId="0" applyNumberFormat="1"/>
    <xf numFmtId="9" fontId="0" fillId="0" borderId="0" xfId="0" applyNumberFormat="1"/>
    <xf numFmtId="2" fontId="0" fillId="0" borderId="0" xfId="2" applyNumberFormat="1" applyFont="1"/>
    <xf numFmtId="0" fontId="2" fillId="0" borderId="0" xfId="0" applyFont="1" applyAlignment="1">
      <alignment horizontal="center" vertical="center" wrapText="1"/>
    </xf>
    <xf numFmtId="0" fontId="5" fillId="0" borderId="0" xfId="0" applyFont="1" applyAlignment="1">
      <alignment horizontal="left"/>
    </xf>
    <xf numFmtId="0" fontId="2" fillId="0" borderId="4" xfId="0" applyFont="1" applyBorder="1"/>
    <xf numFmtId="0" fontId="0" fillId="0" borderId="4" xfId="0" applyBorder="1"/>
    <xf numFmtId="0" fontId="0" fillId="0" borderId="5" xfId="0" applyBorder="1"/>
    <xf numFmtId="0" fontId="0" fillId="0" borderId="6" xfId="0" applyBorder="1"/>
    <xf numFmtId="0" fontId="2" fillId="0" borderId="3" xfId="0" applyFont="1" applyBorder="1"/>
    <xf numFmtId="165" fontId="0" fillId="0" borderId="0" xfId="0" applyNumberFormat="1"/>
    <xf numFmtId="0" fontId="2" fillId="0" borderId="0" xfId="0" applyFont="1" applyAlignment="1">
      <alignment horizontal="center"/>
    </xf>
    <xf numFmtId="167" fontId="0" fillId="0" borderId="0" xfId="0" applyNumberFormat="1"/>
    <xf numFmtId="0" fontId="8" fillId="0" borderId="0" xfId="0" applyFont="1" applyAlignment="1">
      <alignment horizontal="left" vertical="top"/>
    </xf>
    <xf numFmtId="0" fontId="7" fillId="0" borderId="0" xfId="0" applyFont="1" applyAlignment="1">
      <alignment horizontal="center"/>
    </xf>
    <xf numFmtId="167" fontId="9" fillId="0" borderId="0" xfId="0" applyNumberFormat="1" applyFont="1" applyAlignment="1">
      <alignment horizontal="right"/>
    </xf>
    <xf numFmtId="167" fontId="10" fillId="0" borderId="0" xfId="0" applyNumberFormat="1" applyFont="1" applyAlignment="1">
      <alignment horizontal="right"/>
    </xf>
    <xf numFmtId="167" fontId="11" fillId="0" borderId="0" xfId="0" applyNumberFormat="1" applyFont="1" applyAlignment="1">
      <alignment horizontal="right"/>
    </xf>
    <xf numFmtId="167" fontId="12" fillId="0" borderId="0" xfId="0" applyNumberFormat="1" applyFont="1" applyAlignment="1">
      <alignment horizontal="right"/>
    </xf>
    <xf numFmtId="167" fontId="11" fillId="0" borderId="0" xfId="0" applyNumberFormat="1" applyFont="1" applyAlignment="1">
      <alignment horizontal="right" wrapText="1"/>
    </xf>
    <xf numFmtId="167" fontId="12" fillId="0" borderId="0" xfId="0" applyNumberFormat="1" applyFont="1" applyAlignment="1">
      <alignment horizontal="right" wrapText="1"/>
    </xf>
    <xf numFmtId="166" fontId="7" fillId="0" borderId="0" xfId="0" applyNumberFormat="1" applyFont="1"/>
    <xf numFmtId="0" fontId="7" fillId="0" borderId="0" xfId="0" applyFont="1"/>
    <xf numFmtId="0" fontId="7" fillId="0" borderId="0" xfId="0" applyFont="1" applyAlignment="1">
      <alignment vertical="center"/>
    </xf>
    <xf numFmtId="168" fontId="0" fillId="0" borderId="0" xfId="2" applyNumberFormat="1" applyFont="1"/>
    <xf numFmtId="0" fontId="0" fillId="0" borderId="0" xfId="0" applyAlignment="1">
      <alignment horizontal="right"/>
    </xf>
    <xf numFmtId="0" fontId="0" fillId="3" borderId="0" xfId="0" applyFill="1"/>
    <xf numFmtId="0" fontId="0" fillId="4" borderId="0" xfId="0" applyFill="1"/>
    <xf numFmtId="0" fontId="0" fillId="5" borderId="0" xfId="0" applyFill="1"/>
    <xf numFmtId="0" fontId="13" fillId="4" borderId="0" xfId="0" applyFont="1" applyFill="1"/>
    <xf numFmtId="0" fontId="4" fillId="0" borderId="0" xfId="0" applyFont="1" applyAlignment="1">
      <alignment horizontal="right"/>
    </xf>
    <xf numFmtId="0" fontId="2" fillId="0" borderId="11" xfId="0" applyFont="1" applyBorder="1"/>
    <xf numFmtId="168" fontId="0" fillId="0" borderId="0" xfId="0" applyNumberFormat="1"/>
    <xf numFmtId="168" fontId="0" fillId="3" borderId="0" xfId="2" applyNumberFormat="1" applyFont="1" applyFill="1"/>
    <xf numFmtId="168" fontId="0" fillId="4" borderId="0" xfId="2" applyNumberFormat="1" applyFont="1" applyFill="1"/>
    <xf numFmtId="168" fontId="0" fillId="5" borderId="0" xfId="2" applyNumberFormat="1" applyFont="1" applyFill="1"/>
    <xf numFmtId="168" fontId="13" fillId="4" borderId="0" xfId="2" applyNumberFormat="1" applyFont="1" applyFill="1"/>
    <xf numFmtId="0" fontId="0" fillId="0" borderId="0" xfId="0" applyAlignment="1">
      <alignment horizontal="center" wrapText="1"/>
    </xf>
    <xf numFmtId="0" fontId="15" fillId="0" borderId="0" xfId="4" applyFont="1" applyAlignment="1">
      <alignment horizontal="left" vertical="top"/>
    </xf>
    <xf numFmtId="167" fontId="14" fillId="0" borderId="0" xfId="4" applyNumberFormat="1" applyAlignment="1">
      <alignment horizontal="right"/>
    </xf>
    <xf numFmtId="167" fontId="14" fillId="0" borderId="0" xfId="4" applyNumberFormat="1" applyAlignment="1">
      <alignment horizontal="right" wrapText="1"/>
    </xf>
    <xf numFmtId="168" fontId="14" fillId="0" borderId="0" xfId="2" applyNumberFormat="1" applyFont="1" applyFill="1" applyBorder="1" applyAlignment="1">
      <alignment horizontal="right"/>
    </xf>
    <xf numFmtId="0" fontId="2" fillId="0" borderId="0" xfId="0" applyFont="1" applyAlignment="1">
      <alignment horizontal="center" vertical="top"/>
    </xf>
    <xf numFmtId="0" fontId="15" fillId="0" borderId="0" xfId="4" applyFont="1" applyAlignment="1">
      <alignment horizontal="left" vertical="top" wrapText="1"/>
    </xf>
    <xf numFmtId="0" fontId="2" fillId="0" borderId="0" xfId="0" applyFont="1" applyAlignment="1">
      <alignment horizontal="center" wrapText="1"/>
    </xf>
    <xf numFmtId="0" fontId="15" fillId="0" borderId="0" xfId="4" applyFont="1" applyAlignment="1">
      <alignment horizontal="center" vertical="top" wrapText="1"/>
    </xf>
    <xf numFmtId="0" fontId="2" fillId="0" borderId="0" xfId="0" applyFont="1" applyAlignment="1">
      <alignment horizontal="left" vertical="center" wrapText="1"/>
    </xf>
    <xf numFmtId="0" fontId="2" fillId="0" borderId="0" xfId="0" applyFont="1" applyAlignment="1">
      <alignment vertical="center"/>
    </xf>
    <xf numFmtId="0" fontId="0" fillId="5" borderId="0" xfId="0" applyFill="1" applyAlignment="1">
      <alignment vertical="top"/>
    </xf>
    <xf numFmtId="0" fontId="0" fillId="5" borderId="0" xfId="0" applyFill="1" applyAlignment="1">
      <alignment horizontal="center" wrapText="1"/>
    </xf>
    <xf numFmtId="0" fontId="4" fillId="0" borderId="0" xfId="0" applyFont="1" applyAlignment="1">
      <alignment horizontal="center"/>
    </xf>
    <xf numFmtId="165" fontId="0" fillId="0" borderId="0" xfId="1" applyNumberFormat="1" applyFont="1" applyAlignment="1">
      <alignment horizontal="center" vertical="center" wrapText="1"/>
    </xf>
    <xf numFmtId="168" fontId="0" fillId="0" borderId="0" xfId="2" applyNumberFormat="1" applyFont="1" applyAlignment="1">
      <alignment horizontal="center"/>
    </xf>
    <xf numFmtId="3" fontId="1" fillId="0" borderId="0" xfId="1" applyNumberFormat="1" applyFont="1" applyAlignment="1">
      <alignment horizontal="center" vertical="center"/>
    </xf>
    <xf numFmtId="3" fontId="0" fillId="0" borderId="0" xfId="0" applyNumberFormat="1" applyAlignment="1">
      <alignment horizontal="center"/>
    </xf>
    <xf numFmtId="2" fontId="0" fillId="0" borderId="0" xfId="0" applyNumberFormat="1"/>
    <xf numFmtId="169" fontId="0" fillId="0" borderId="0" xfId="2" applyNumberFormat="1" applyFont="1"/>
    <xf numFmtId="0" fontId="2" fillId="0" borderId="0" xfId="0" applyFont="1" applyAlignment="1">
      <alignment horizontal="left"/>
    </xf>
    <xf numFmtId="0" fontId="2" fillId="0" borderId="0" xfId="0" applyFont="1" applyAlignment="1">
      <alignment horizontal="right"/>
    </xf>
    <xf numFmtId="0" fontId="0" fillId="0" borderId="0" xfId="0" applyAlignment="1">
      <alignment horizontal="center"/>
    </xf>
    <xf numFmtId="0" fontId="2" fillId="0" borderId="0" xfId="0" applyFont="1" applyAlignment="1">
      <alignment horizontal="center" vertical="center"/>
    </xf>
    <xf numFmtId="10" fontId="0" fillId="0" borderId="0" xfId="2" applyNumberFormat="1" applyFont="1" applyAlignment="1">
      <alignment horizontal="center"/>
    </xf>
    <xf numFmtId="10" fontId="2" fillId="0" borderId="0" xfId="2" applyNumberFormat="1" applyFont="1" applyAlignment="1">
      <alignment horizontal="center"/>
    </xf>
    <xf numFmtId="0" fontId="18" fillId="0" borderId="0" xfId="0" applyFont="1" applyAlignment="1">
      <alignment horizontal="left"/>
    </xf>
    <xf numFmtId="0" fontId="2" fillId="0" borderId="0" xfId="0" applyFont="1" applyAlignment="1">
      <alignment horizontal="right" vertical="center" wrapText="1"/>
    </xf>
    <xf numFmtId="0" fontId="18" fillId="0" borderId="0" xfId="0" applyFont="1"/>
    <xf numFmtId="4" fontId="0" fillId="0" borderId="0" xfId="0" applyNumberFormat="1"/>
    <xf numFmtId="4" fontId="2" fillId="0" borderId="0" xfId="0" applyNumberFormat="1" applyFont="1"/>
    <xf numFmtId="4" fontId="2" fillId="0" borderId="0" xfId="0" applyNumberFormat="1" applyFont="1" applyAlignment="1">
      <alignment horizontal="center"/>
    </xf>
    <xf numFmtId="4" fontId="0" fillId="0" borderId="0" xfId="2" applyNumberFormat="1" applyFont="1"/>
    <xf numFmtId="10" fontId="0" fillId="0" borderId="0" xfId="2" applyNumberFormat="1" applyFont="1" applyBorder="1" applyAlignment="1">
      <alignment horizontal="center"/>
    </xf>
    <xf numFmtId="3" fontId="0" fillId="0" borderId="0" xfId="2" applyNumberFormat="1" applyFont="1" applyBorder="1" applyAlignment="1">
      <alignment horizontal="center"/>
    </xf>
    <xf numFmtId="3" fontId="0" fillId="0" borderId="0" xfId="0" applyNumberFormat="1"/>
    <xf numFmtId="0" fontId="4" fillId="2" borderId="0" xfId="0" applyFont="1" applyFill="1"/>
    <xf numFmtId="0" fontId="4" fillId="6" borderId="0" xfId="0" applyFont="1" applyFill="1"/>
    <xf numFmtId="3" fontId="0" fillId="6" borderId="0" xfId="0" applyNumberFormat="1" applyFill="1" applyAlignment="1">
      <alignment horizontal="center"/>
    </xf>
    <xf numFmtId="3" fontId="0" fillId="2" borderId="0" xfId="0" applyNumberFormat="1" applyFill="1" applyAlignment="1">
      <alignment horizontal="center"/>
    </xf>
    <xf numFmtId="3" fontId="4" fillId="0" borderId="0" xfId="0" applyNumberFormat="1" applyFont="1" applyAlignment="1">
      <alignment horizontal="left"/>
    </xf>
    <xf numFmtId="4" fontId="0" fillId="0" borderId="0" xfId="1" applyNumberFormat="1" applyFont="1" applyFill="1" applyAlignment="1">
      <alignment horizontal="center"/>
    </xf>
    <xf numFmtId="4" fontId="0" fillId="0" borderId="0" xfId="0" applyNumberFormat="1" applyAlignment="1">
      <alignment horizontal="center"/>
    </xf>
    <xf numFmtId="10" fontId="2" fillId="0" borderId="0" xfId="2" applyNumberFormat="1" applyFont="1" applyAlignment="1">
      <alignment horizontal="left"/>
    </xf>
    <xf numFmtId="10" fontId="19" fillId="0" borderId="0" xfId="2" applyNumberFormat="1" applyFont="1" applyAlignment="1">
      <alignment horizontal="center"/>
    </xf>
    <xf numFmtId="4" fontId="19" fillId="0" borderId="0" xfId="2" applyNumberFormat="1" applyFont="1"/>
    <xf numFmtId="4" fontId="2" fillId="0" borderId="0" xfId="2" applyNumberFormat="1" applyFont="1" applyAlignment="1">
      <alignment horizontal="center"/>
    </xf>
    <xf numFmtId="4" fontId="2" fillId="0" borderId="0" xfId="2" applyNumberFormat="1" applyFont="1" applyAlignment="1">
      <alignment horizontal="center" vertical="center" wrapText="1"/>
    </xf>
    <xf numFmtId="0" fontId="2" fillId="0" borderId="7" xfId="0" applyFont="1" applyBorder="1"/>
    <xf numFmtId="0" fontId="2" fillId="0" borderId="10" xfId="0" applyFont="1" applyBorder="1" applyAlignment="1">
      <alignment horizontal="left"/>
    </xf>
    <xf numFmtId="10" fontId="2" fillId="0" borderId="10" xfId="2" applyNumberFormat="1" applyFont="1" applyBorder="1" applyAlignment="1">
      <alignment horizontal="left"/>
    </xf>
    <xf numFmtId="10" fontId="2" fillId="0" borderId="5" xfId="2" applyNumberFormat="1" applyFont="1" applyBorder="1" applyAlignment="1">
      <alignment horizontal="left"/>
    </xf>
    <xf numFmtId="0" fontId="2" fillId="0" borderId="9" xfId="0" applyFont="1" applyBorder="1"/>
    <xf numFmtId="170" fontId="0" fillId="0" borderId="1" xfId="2" applyNumberFormat="1" applyFont="1" applyBorder="1" applyAlignment="1">
      <alignment horizontal="center"/>
    </xf>
    <xf numFmtId="170" fontId="0" fillId="0" borderId="8" xfId="2" applyNumberFormat="1" applyFont="1" applyBorder="1" applyAlignment="1">
      <alignment horizontal="center"/>
    </xf>
    <xf numFmtId="170" fontId="0" fillId="0" borderId="12" xfId="2" applyNumberFormat="1" applyFont="1" applyBorder="1" applyAlignment="1">
      <alignment horizontal="center"/>
    </xf>
    <xf numFmtId="170" fontId="0" fillId="0" borderId="2" xfId="2" applyNumberFormat="1" applyFont="1" applyBorder="1" applyAlignment="1">
      <alignment horizontal="center"/>
    </xf>
    <xf numFmtId="0" fontId="5" fillId="0" borderId="6" xfId="0" applyFont="1" applyBorder="1"/>
    <xf numFmtId="10" fontId="0" fillId="0" borderId="6" xfId="2" applyNumberFormat="1" applyFont="1" applyBorder="1" applyAlignment="1">
      <alignment horizontal="center"/>
    </xf>
    <xf numFmtId="0" fontId="5" fillId="0" borderId="6" xfId="0" applyFont="1" applyBorder="1" applyAlignment="1">
      <alignment horizontal="left"/>
    </xf>
    <xf numFmtId="0" fontId="5" fillId="0" borderId="5" xfId="0" applyFont="1" applyBorder="1"/>
    <xf numFmtId="0" fontId="3" fillId="0" borderId="0" xfId="3" applyAlignment="1">
      <alignment vertical="top"/>
    </xf>
    <xf numFmtId="0" fontId="20" fillId="0" borderId="0" xfId="0" applyFont="1"/>
    <xf numFmtId="0" fontId="2" fillId="0" borderId="0" xfId="0" applyFont="1" applyAlignment="1">
      <alignment wrapText="1"/>
    </xf>
    <xf numFmtId="0" fontId="7" fillId="7" borderId="14" xfId="0" applyFont="1" applyFill="1" applyBorder="1" applyAlignment="1">
      <alignment horizontal="center"/>
    </xf>
    <xf numFmtId="0" fontId="8" fillId="7" borderId="14" xfId="0" applyFont="1" applyFill="1" applyBorder="1" applyAlignment="1">
      <alignment horizontal="left" vertical="top"/>
    </xf>
    <xf numFmtId="167" fontId="9" fillId="8" borderId="18" xfId="0" applyNumberFormat="1" applyFont="1" applyFill="1" applyBorder="1" applyAlignment="1">
      <alignment horizontal="right"/>
    </xf>
    <xf numFmtId="167" fontId="9" fillId="8" borderId="19" xfId="0" applyNumberFormat="1" applyFont="1" applyFill="1" applyBorder="1" applyAlignment="1">
      <alignment horizontal="right"/>
    </xf>
    <xf numFmtId="167" fontId="11" fillId="8" borderId="20" xfId="0" applyNumberFormat="1" applyFont="1" applyFill="1" applyBorder="1" applyAlignment="1">
      <alignment horizontal="right"/>
    </xf>
    <xf numFmtId="167" fontId="11" fillId="8" borderId="18" xfId="0" applyNumberFormat="1" applyFont="1" applyFill="1" applyBorder="1" applyAlignment="1">
      <alignment horizontal="right"/>
    </xf>
    <xf numFmtId="167" fontId="11" fillId="8" borderId="18" xfId="0" applyNumberFormat="1" applyFont="1" applyFill="1" applyBorder="1" applyAlignment="1">
      <alignment horizontal="right" wrapText="1"/>
    </xf>
    <xf numFmtId="167" fontId="10" fillId="8" borderId="18" xfId="0" applyNumberFormat="1" applyFont="1" applyFill="1" applyBorder="1" applyAlignment="1">
      <alignment horizontal="right"/>
    </xf>
    <xf numFmtId="167" fontId="10" fillId="8" borderId="19" xfId="0" applyNumberFormat="1" applyFont="1" applyFill="1" applyBorder="1" applyAlignment="1">
      <alignment horizontal="right"/>
    </xf>
    <xf numFmtId="167" fontId="12" fillId="8" borderId="20" xfId="0" applyNumberFormat="1" applyFont="1" applyFill="1" applyBorder="1" applyAlignment="1">
      <alignment horizontal="right"/>
    </xf>
    <xf numFmtId="167" fontId="12" fillId="8" borderId="18" xfId="0" applyNumberFormat="1" applyFont="1" applyFill="1" applyBorder="1" applyAlignment="1">
      <alignment horizontal="right"/>
    </xf>
    <xf numFmtId="167" fontId="12" fillId="8" borderId="18" xfId="0" applyNumberFormat="1" applyFont="1" applyFill="1" applyBorder="1" applyAlignment="1">
      <alignment horizontal="right" wrapText="1"/>
    </xf>
    <xf numFmtId="0" fontId="8" fillId="7" borderId="21" xfId="0" applyFont="1" applyFill="1" applyBorder="1" applyAlignment="1">
      <alignment horizontal="left" vertical="top"/>
    </xf>
    <xf numFmtId="0" fontId="8" fillId="7" borderId="0" xfId="0" applyFont="1" applyFill="1" applyAlignment="1">
      <alignment horizontal="left" vertical="top"/>
    </xf>
    <xf numFmtId="0" fontId="21" fillId="0" borderId="0" xfId="0" applyFont="1" applyAlignment="1">
      <alignment horizontal="left" vertical="top"/>
    </xf>
    <xf numFmtId="0" fontId="0" fillId="0" borderId="2" xfId="0" applyBorder="1"/>
    <xf numFmtId="9" fontId="0" fillId="0" borderId="3" xfId="2" applyFont="1" applyBorder="1"/>
    <xf numFmtId="9" fontId="0" fillId="0" borderId="7" xfId="2" applyFont="1" applyBorder="1"/>
    <xf numFmtId="9" fontId="0" fillId="0" borderId="0" xfId="2" applyFont="1"/>
    <xf numFmtId="9" fontId="0" fillId="0" borderId="1" xfId="2" applyFont="1" applyBorder="1"/>
    <xf numFmtId="0" fontId="0" fillId="0" borderId="3" xfId="0" applyBorder="1"/>
    <xf numFmtId="169" fontId="0" fillId="0" borderId="3" xfId="0" applyNumberFormat="1" applyBorder="1"/>
    <xf numFmtId="0" fontId="0" fillId="0" borderId="22" xfId="0" applyBorder="1"/>
    <xf numFmtId="169" fontId="0" fillId="0" borderId="22" xfId="0" applyNumberFormat="1" applyBorder="1"/>
    <xf numFmtId="0" fontId="0" fillId="0" borderId="7" xfId="0" applyBorder="1"/>
    <xf numFmtId="169" fontId="0" fillId="0" borderId="7" xfId="0" applyNumberFormat="1" applyBorder="1"/>
    <xf numFmtId="0" fontId="22" fillId="9" borderId="0" xfId="0" applyFont="1" applyFill="1" applyAlignment="1">
      <alignment horizontal="left"/>
    </xf>
    <xf numFmtId="0" fontId="23" fillId="9" borderId="0" xfId="0" applyFont="1" applyFill="1" applyAlignment="1">
      <alignment horizontal="left"/>
    </xf>
    <xf numFmtId="171" fontId="0" fillId="0" borderId="0" xfId="0" applyNumberFormat="1"/>
    <xf numFmtId="164" fontId="0" fillId="0" borderId="0" xfId="0" applyNumberFormat="1"/>
    <xf numFmtId="0" fontId="3" fillId="0" borderId="0" xfId="3"/>
    <xf numFmtId="0" fontId="0" fillId="9" borderId="0" xfId="0" applyFill="1" applyAlignment="1">
      <alignment horizontal="left"/>
    </xf>
    <xf numFmtId="0" fontId="7" fillId="7" borderId="14" xfId="0" applyFont="1" applyFill="1" applyBorder="1" applyAlignment="1">
      <alignment horizontal="center" vertical="center"/>
    </xf>
    <xf numFmtId="166" fontId="7" fillId="7" borderId="14" xfId="0" applyNumberFormat="1" applyFont="1" applyFill="1" applyBorder="1" applyAlignment="1">
      <alignment horizontal="left" vertical="top"/>
    </xf>
    <xf numFmtId="167" fontId="10" fillId="8" borderId="18" xfId="0" applyNumberFormat="1" applyFont="1" applyFill="1" applyBorder="1" applyAlignment="1">
      <alignment horizontal="right" wrapText="1"/>
    </xf>
    <xf numFmtId="0" fontId="26" fillId="10" borderId="23" xfId="0" applyFont="1" applyFill="1" applyBorder="1"/>
    <xf numFmtId="0" fontId="26" fillId="10" borderId="24" xfId="0" applyFont="1" applyFill="1" applyBorder="1"/>
    <xf numFmtId="0" fontId="0" fillId="12" borderId="0" xfId="0" applyFill="1" applyAlignment="1">
      <alignment vertical="top" wrapText="1"/>
    </xf>
    <xf numFmtId="0" fontId="26" fillId="10" borderId="25" xfId="0" applyFont="1" applyFill="1" applyBorder="1"/>
    <xf numFmtId="0" fontId="0" fillId="0" borderId="26" xfId="0" applyBorder="1"/>
    <xf numFmtId="49" fontId="8" fillId="7" borderId="16" xfId="4" applyNumberFormat="1" applyFont="1" applyFill="1" applyBorder="1" applyAlignment="1">
      <alignment horizontal="left" vertical="top"/>
    </xf>
    <xf numFmtId="0" fontId="14" fillId="9" borderId="0" xfId="4" applyFill="1" applyAlignment="1">
      <alignment horizontal="left"/>
    </xf>
    <xf numFmtId="0" fontId="22" fillId="9" borderId="0" xfId="4" applyFont="1" applyFill="1" applyAlignment="1">
      <alignment horizontal="left"/>
    </xf>
    <xf numFmtId="0" fontId="28" fillId="9" borderId="0" xfId="4" applyFont="1" applyFill="1" applyAlignment="1">
      <alignment horizontal="left"/>
    </xf>
    <xf numFmtId="167" fontId="9" fillId="8" borderId="18" xfId="4" applyNumberFormat="1" applyFont="1" applyFill="1" applyBorder="1" applyAlignment="1">
      <alignment horizontal="right" wrapText="1"/>
    </xf>
    <xf numFmtId="167" fontId="10" fillId="8" borderId="18" xfId="4" applyNumberFormat="1" applyFont="1" applyFill="1" applyBorder="1" applyAlignment="1">
      <alignment horizontal="right" wrapText="1"/>
    </xf>
    <xf numFmtId="167" fontId="30" fillId="8" borderId="18" xfId="4" applyNumberFormat="1" applyFont="1" applyFill="1" applyBorder="1" applyAlignment="1">
      <alignment horizontal="right" wrapText="1"/>
    </xf>
    <xf numFmtId="167" fontId="31" fillId="8" borderId="18" xfId="4" applyNumberFormat="1" applyFont="1" applyFill="1" applyBorder="1" applyAlignment="1">
      <alignment horizontal="right" wrapText="1"/>
    </xf>
    <xf numFmtId="167" fontId="14" fillId="8" borderId="18" xfId="4" applyNumberFormat="1" applyFill="1" applyBorder="1" applyAlignment="1">
      <alignment horizontal="right" wrapText="1"/>
    </xf>
    <xf numFmtId="167" fontId="32" fillId="8" borderId="18" xfId="4" applyNumberFormat="1" applyFont="1" applyFill="1" applyBorder="1" applyAlignment="1">
      <alignment horizontal="right" wrapText="1"/>
    </xf>
    <xf numFmtId="0" fontId="7" fillId="7" borderId="27" xfId="4" applyFont="1" applyFill="1" applyBorder="1" applyAlignment="1">
      <alignment horizontal="center" vertical="center"/>
    </xf>
    <xf numFmtId="166" fontId="8" fillId="7" borderId="17" xfId="4" applyNumberFormat="1" applyFont="1" applyFill="1" applyBorder="1" applyAlignment="1">
      <alignment horizontal="center"/>
    </xf>
    <xf numFmtId="0" fontId="34" fillId="0" borderId="0" xfId="0" applyFont="1"/>
    <xf numFmtId="0" fontId="27" fillId="0" borderId="0" xfId="0" applyFont="1"/>
    <xf numFmtId="0" fontId="0" fillId="0" borderId="0" xfId="0" applyAlignment="1">
      <alignment horizontal="left"/>
    </xf>
    <xf numFmtId="0" fontId="0" fillId="0" borderId="0" xfId="0" applyAlignment="1">
      <alignment horizontal="left" indent="1"/>
    </xf>
    <xf numFmtId="0" fontId="0" fillId="11" borderId="23" xfId="0" applyFill="1" applyBorder="1"/>
    <xf numFmtId="0" fontId="0" fillId="0" borderId="23" xfId="0" applyBorder="1"/>
    <xf numFmtId="0" fontId="0" fillId="11" borderId="25" xfId="0" applyFill="1" applyBorder="1"/>
    <xf numFmtId="0" fontId="0" fillId="0" borderId="25" xfId="0" applyBorder="1"/>
    <xf numFmtId="0" fontId="0" fillId="11" borderId="24" xfId="0" applyFill="1" applyBorder="1"/>
    <xf numFmtId="0" fontId="0" fillId="0" borderId="24" xfId="0" applyBorder="1"/>
    <xf numFmtId="1" fontId="0" fillId="0" borderId="0" xfId="0" applyNumberFormat="1"/>
    <xf numFmtId="0" fontId="0" fillId="0" borderId="0" xfId="0" applyAlignment="1">
      <alignment horizontal="left" vertical="top" wrapText="1"/>
    </xf>
    <xf numFmtId="0" fontId="2" fillId="0" borderId="0" xfId="0" applyFont="1" applyAlignment="1">
      <alignment horizontal="center"/>
    </xf>
    <xf numFmtId="0" fontId="5" fillId="0" borderId="0" xfId="0" applyFont="1" applyAlignment="1">
      <alignment horizontal="left" wrapText="1"/>
    </xf>
    <xf numFmtId="0" fontId="2" fillId="0" borderId="0" xfId="0" applyFont="1" applyAlignment="1">
      <alignment horizontal="center" vertical="top" wrapText="1"/>
    </xf>
    <xf numFmtId="0" fontId="2" fillId="0" borderId="0" xfId="0" applyFont="1" applyAlignment="1">
      <alignment horizontal="center" vertical="top"/>
    </xf>
    <xf numFmtId="166" fontId="7" fillId="7" borderId="14" xfId="0" applyNumberFormat="1" applyFont="1" applyFill="1" applyBorder="1" applyAlignment="1">
      <alignment horizontal="center"/>
    </xf>
    <xf numFmtId="0" fontId="7" fillId="7" borderId="14" xfId="0" applyFont="1" applyFill="1" applyBorder="1" applyAlignment="1">
      <alignment horizontal="center"/>
    </xf>
    <xf numFmtId="0" fontId="7" fillId="7" borderId="13" xfId="0" applyFont="1" applyFill="1" applyBorder="1" applyAlignment="1">
      <alignment horizontal="center" vertical="center"/>
    </xf>
    <xf numFmtId="0" fontId="7" fillId="7" borderId="17" xfId="0" applyFont="1" applyFill="1" applyBorder="1" applyAlignment="1">
      <alignment horizontal="center" vertical="center"/>
    </xf>
    <xf numFmtId="0" fontId="7" fillId="7" borderId="15" xfId="0" applyFont="1" applyFill="1" applyBorder="1" applyAlignment="1">
      <alignment horizontal="center"/>
    </xf>
    <xf numFmtId="166" fontId="7" fillId="7" borderId="16" xfId="0" applyNumberFormat="1" applyFont="1" applyFill="1" applyBorder="1" applyAlignment="1">
      <alignment horizontal="center"/>
    </xf>
  </cellXfs>
  <cellStyles count="8">
    <cellStyle name="Comma" xfId="1" builtinId="3"/>
    <cellStyle name="Hyperlink" xfId="3" builtinId="8"/>
    <cellStyle name="Hyperlink 2" xfId="6" xr:uid="{48346FF1-4F72-44C7-8F81-80D623AB4D46}"/>
    <cellStyle name="Hyperlink 3" xfId="7" xr:uid="{0A29CC50-97B9-4D93-A99C-550CC3F24670}"/>
    <cellStyle name="Normal" xfId="0" builtinId="0"/>
    <cellStyle name="Normal 2" xfId="5" xr:uid="{FC3E431E-DCAE-4E4F-A077-D0304674B149}"/>
    <cellStyle name="Normal 4" xfId="4" xr:uid="{0BDE5A77-C24D-4F96-A21E-C32829079C2A}"/>
    <cellStyle name="Percent" xfId="2" builtinId="5"/>
  </cellStyles>
  <dxfs count="359">
    <dxf>
      <alignment horizontal="left" vertical="bottom" textRotation="0" wrapText="0" indent="1" justifyLastLine="0" shrinkToFit="0" readingOrder="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4.9989318521683403E-2"/>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4.9989318521683403E-2"/>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4.9989318521683403E-2"/>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4.9989318521683403E-2"/>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4.9989318521683403E-2"/>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4.9989318521683403E-2"/>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4.9989318521683403E-2"/>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4.9989318521683403E-2"/>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4.9989318521683403E-2"/>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4.9989318521683403E-2"/>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0.34998626667073579"/>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0.34998626667073579"/>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0.34998626667073579"/>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0.34998626667073579"/>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0.34998626667073579"/>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0.34998626667073579"/>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0.34998626667073579"/>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0.34998626667073579"/>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0.34998626667073579"/>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0.34998626667073579"/>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0.34998626667073579"/>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0.34998626667073579"/>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0.34998626667073579"/>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val="0"/>
        <i val="0"/>
        <strike val="0"/>
        <condense val="0"/>
        <extend val="0"/>
        <outline val="0"/>
        <shadow val="0"/>
        <u val="none"/>
        <vertAlign val="baseline"/>
        <sz val="9.5"/>
        <color theme="1" tint="0.34998626667073579"/>
        <name val="Albany AMT"/>
        <scheme val="none"/>
      </font>
      <numFmt numFmtId="167" formatCode="#,###,###,###,###,###,###,##0"/>
      <fill>
        <patternFill patternType="solid">
          <fgColor indexed="64"/>
          <bgColor rgb="FFFFFFFF"/>
        </patternFill>
      </fill>
      <alignment horizontal="right" vertical="bottom" textRotation="0" wrapText="1" indent="0" justifyLastLine="0" shrinkToFit="0" readingOrder="0"/>
      <border diagonalUp="0" diagonalDown="0">
        <left style="thin">
          <color rgb="FFC1C1C1"/>
        </left>
        <right style="thin">
          <color rgb="FFC1C1C1"/>
        </right>
        <top style="thin">
          <color rgb="FFC1C1C1"/>
        </top>
        <bottom style="thin">
          <color rgb="FFC1C1C1"/>
        </bottom>
        <vertical/>
        <horizontal/>
      </border>
    </dxf>
    <dxf>
      <font>
        <b/>
        <i val="0"/>
        <strike val="0"/>
        <condense val="0"/>
        <extend val="0"/>
        <outline val="0"/>
        <shadow val="0"/>
        <u val="none"/>
        <vertAlign val="baseline"/>
        <sz val="9.5"/>
        <color theme="0"/>
        <name val="Albany AMT"/>
        <scheme val="none"/>
      </font>
      <numFmt numFmtId="30" formatCode="@"/>
      <fill>
        <patternFill patternType="solid">
          <fgColor indexed="64"/>
          <bgColor rgb="FF522953"/>
        </patternFill>
      </fill>
      <alignment horizontal="left" vertical="top" textRotation="0" wrapText="0" indent="0" justifyLastLine="0" shrinkToFit="0" readingOrder="0"/>
      <border diagonalUp="0" diagonalDown="0">
        <left/>
        <right style="thin">
          <color rgb="FFB0B7BB"/>
        </right>
        <top style="thin">
          <color rgb="FFB0B7BB"/>
        </top>
        <bottom style="thin">
          <color rgb="FFB0B7BB"/>
        </bottom>
        <vertical/>
        <horizontal/>
      </border>
    </dxf>
    <dxf>
      <border outline="0">
        <bottom style="thin">
          <color rgb="FFB0B7BB"/>
        </bottom>
      </border>
    </dxf>
    <dxf>
      <border outline="0">
        <left style="thin">
          <color rgb="FFB0B7BB"/>
        </left>
        <top style="thin">
          <color rgb="FFB0B7BB"/>
        </top>
      </border>
    </dxf>
    <dxf>
      <font>
        <b val="0"/>
        <i val="0"/>
        <strike val="0"/>
        <condense val="0"/>
        <extend val="0"/>
        <outline val="0"/>
        <shadow val="0"/>
        <u val="none"/>
        <vertAlign val="baseline"/>
        <sz val="9.5"/>
        <color theme="1" tint="4.9989318521683403E-2"/>
        <name val="Albany AMT"/>
        <scheme val="none"/>
      </font>
      <fill>
        <patternFill patternType="solid">
          <fgColor indexed="64"/>
          <bgColor rgb="FFFFFFFF"/>
        </patternFill>
      </fill>
      <alignment horizontal="right" vertical="bottom" textRotation="0" wrapText="1" indent="0" justifyLastLine="0" shrinkToFit="0" readingOrder="0"/>
    </dxf>
    <dxf>
      <font>
        <b/>
        <i val="0"/>
        <strike val="0"/>
        <condense val="0"/>
        <extend val="0"/>
        <outline val="0"/>
        <shadow val="0"/>
        <u val="none"/>
        <vertAlign val="baseline"/>
        <sz val="9.5"/>
        <color theme="0"/>
        <name val="Albany AMT"/>
        <scheme val="none"/>
      </font>
      <numFmt numFmtId="166" formatCode="###########0"/>
      <fill>
        <patternFill patternType="solid">
          <fgColor indexed="64"/>
          <bgColor rgb="FF522953"/>
        </patternFill>
      </fill>
      <alignment horizontal="center" vertical="bottom" textRotation="0" wrapText="0" indent="0" justifyLastLine="0" shrinkToFit="0" readingOrder="0"/>
      <border diagonalUp="0" diagonalDown="0" outline="0">
        <left style="thin">
          <color rgb="FFB0B7BB"/>
        </left>
        <right style="thin">
          <color rgb="FFB0B7BB"/>
        </right>
        <top/>
        <bottom/>
      </border>
    </dxf>
    <dxf>
      <numFmt numFmtId="14" formatCode="0.00%"/>
    </dxf>
    <dxf>
      <numFmt numFmtId="14" formatCode="0.00%"/>
    </dxf>
    <dxf>
      <numFmt numFmtId="14" formatCode="0.00%"/>
    </dxf>
    <dxf>
      <numFmt numFmtId="14" formatCode="0.00%"/>
    </dxf>
    <dxf>
      <font>
        <b val="0"/>
        <i val="0"/>
        <strike val="0"/>
        <condense val="0"/>
        <extend val="0"/>
        <outline val="0"/>
        <shadow val="0"/>
        <u val="none"/>
        <vertAlign val="baseline"/>
        <sz val="11"/>
        <color theme="1"/>
        <name val="Aptos Narrow"/>
        <family val="2"/>
        <scheme val="minor"/>
      </font>
      <numFmt numFmtId="0" formatCode="General"/>
      <fill>
        <patternFill patternType="none">
          <fgColor indexed="64"/>
          <bgColor auto="1"/>
        </patternFill>
      </fill>
      <border diagonalUp="0" diagonalDown="0" outline="0">
        <left/>
        <right/>
        <top style="thin">
          <color theme="9" tint="0.39997558519241921"/>
        </top>
        <bottom style="thin">
          <color theme="9" tint="0.39997558519241921"/>
        </bottom>
      </border>
    </dxf>
    <dxf>
      <numFmt numFmtId="14" formatCode="0.00%"/>
    </dxf>
    <dxf>
      <numFmt numFmtId="14" formatCode="0.00%"/>
    </dxf>
    <dxf>
      <numFmt numFmtId="0" formatCode="General"/>
    </dxf>
    <dxf>
      <numFmt numFmtId="0" formatCode="General"/>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13" formatCode="0%"/>
    </dxf>
    <dxf>
      <numFmt numFmtId="13" formatCode="0%"/>
    </dxf>
    <dxf>
      <numFmt numFmtId="13" formatCode="0%"/>
    </dxf>
    <dxf>
      <border diagonalUp="0" diagonalDown="0" outline="0">
        <left style="thin">
          <color indexed="64"/>
        </left>
        <right/>
      </border>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font>
        <b val="0"/>
        <i val="0"/>
        <strike val="0"/>
        <condense val="0"/>
        <extend val="0"/>
        <outline val="0"/>
        <shadow val="0"/>
        <u val="none"/>
        <vertAlign val="baseline"/>
        <sz val="11"/>
        <color rgb="FF000000"/>
        <name val="Aptos Narrow"/>
        <family val="2"/>
        <scheme val="none"/>
      </font>
      <numFmt numFmtId="4" formatCode="#,##0.00"/>
    </dxf>
    <dxf>
      <font>
        <b val="0"/>
        <i val="0"/>
        <strike val="0"/>
        <condense val="0"/>
        <extend val="0"/>
        <outline val="0"/>
        <shadow val="0"/>
        <u val="none"/>
        <vertAlign val="baseline"/>
        <sz val="11"/>
        <color rgb="FF000000"/>
        <name val="Aptos Narrow"/>
        <family val="2"/>
        <scheme val="none"/>
      </font>
      <numFmt numFmtId="4" formatCode="#,##0.00"/>
    </dxf>
    <dxf>
      <font>
        <b val="0"/>
        <i val="0"/>
        <strike val="0"/>
        <condense val="0"/>
        <extend val="0"/>
        <outline val="0"/>
        <shadow val="0"/>
        <u val="none"/>
        <vertAlign val="baseline"/>
        <sz val="11"/>
        <color theme="1"/>
        <name val="Aptos Narrow"/>
        <family val="2"/>
        <scheme val="minor"/>
      </font>
      <numFmt numFmtId="4" formatCode="#,##0.00"/>
    </dxf>
    <dxf>
      <font>
        <b val="0"/>
        <i val="0"/>
        <strike val="0"/>
        <condense val="0"/>
        <extend val="0"/>
        <outline val="0"/>
        <shadow val="0"/>
        <u val="none"/>
        <vertAlign val="baseline"/>
        <sz val="11"/>
        <color theme="1"/>
        <name val="Aptos Narrow"/>
        <family val="2"/>
        <scheme val="minor"/>
      </font>
      <numFmt numFmtId="4" formatCode="#,##0.00"/>
    </dxf>
    <dxf>
      <font>
        <b val="0"/>
        <i val="0"/>
        <strike val="0"/>
        <condense val="0"/>
        <extend val="0"/>
        <outline val="0"/>
        <shadow val="0"/>
        <u val="none"/>
        <vertAlign val="baseline"/>
        <sz val="11"/>
        <color theme="1"/>
        <name val="Aptos Narrow"/>
        <family val="2"/>
        <scheme val="minor"/>
      </font>
      <numFmt numFmtId="4" formatCode="#,##0.00"/>
    </dxf>
    <dxf>
      <numFmt numFmtId="4" formatCode="#,##0.00"/>
    </dxf>
    <dxf>
      <font>
        <b val="0"/>
        <i val="0"/>
        <strike val="0"/>
        <condense val="0"/>
        <extend val="0"/>
        <outline val="0"/>
        <shadow val="0"/>
        <u val="none"/>
        <vertAlign val="baseline"/>
        <sz val="11"/>
        <color rgb="FF000000"/>
        <name val="Aptos Narrow"/>
        <family val="2"/>
        <scheme val="none"/>
      </font>
      <numFmt numFmtId="4" formatCode="#,##0.00"/>
    </dxf>
    <dxf>
      <font>
        <b/>
        <i val="0"/>
        <strike val="0"/>
        <condense val="0"/>
        <extend val="0"/>
        <outline val="0"/>
        <shadow val="0"/>
        <u val="none"/>
        <vertAlign val="baseline"/>
        <sz val="11"/>
        <color theme="1"/>
        <name val="Aptos Narrow"/>
        <family val="2"/>
        <scheme val="minor"/>
      </font>
      <numFmt numFmtId="4" formatCode="#,##0.00"/>
      <alignment horizontal="center" vertical="bottom" textRotation="0" wrapText="0" indent="0" justifyLastLine="0" shrinkToFit="0" readingOrder="0"/>
    </dxf>
    <dxf>
      <numFmt numFmtId="4" formatCode="#,##0.00"/>
      <alignment horizontal="center" vertical="bottom" textRotation="0" wrapText="0" indent="0" justifyLastLine="0" shrinkToFit="0" readingOrder="0"/>
    </dxf>
    <dxf>
      <numFmt numFmtId="4" formatCode="#,##0.00"/>
    </dxf>
    <dxf>
      <numFmt numFmtId="4" formatCode="#,##0.00"/>
    </dxf>
    <dxf>
      <numFmt numFmtId="4" formatCode="#,##0.00"/>
    </dxf>
    <dxf>
      <numFmt numFmtId="4" formatCode="#,##0.00"/>
    </dxf>
    <dxf>
      <font>
        <b/>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rgb="FF000000"/>
        <name val="Aptos Narrow"/>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rgb="FF000000"/>
        <name val="Aptos Narrow"/>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font>
        <color rgb="FF000000"/>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rgb="FF000000"/>
        <name val="Aptos Narrow"/>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170" formatCode=";;"/>
      <alignment horizontal="center" vertical="bottom"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rgb="FF000000"/>
        <name val="Aptos Narrow"/>
        <family val="2"/>
        <scheme val="none"/>
      </font>
      <numFmt numFmtId="170" formatCode=";;"/>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Aptos Narrow"/>
        <family val="2"/>
        <scheme val="minor"/>
      </font>
      <numFmt numFmtId="170" formatCode=";;"/>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Aptos Narrow"/>
        <family val="2"/>
        <scheme val="minor"/>
      </font>
      <numFmt numFmtId="170" formatCode=";;"/>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Aptos Narrow"/>
        <family val="2"/>
        <scheme val="minor"/>
      </font>
      <numFmt numFmtId="170" formatCode=";;"/>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1"/>
        <color theme="1"/>
        <name val="Aptos Narrow"/>
        <family val="2"/>
        <scheme val="minor"/>
      </font>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Aptos Narrow"/>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rgb="FF000000"/>
        <name val="Aptos Narrow"/>
        <family val="2"/>
        <scheme val="none"/>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rgb="FF000000"/>
        <name val="Aptos Narrow"/>
        <family val="2"/>
        <scheme val="none"/>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font>
    </dxf>
    <dxf>
      <font>
        <b val="0"/>
        <i val="0"/>
        <strike val="0"/>
        <condense val="0"/>
        <extend val="0"/>
        <outline val="0"/>
        <shadow val="0"/>
        <u val="none"/>
        <vertAlign val="baseline"/>
        <sz val="11"/>
        <color rgb="FF000000"/>
        <name val="Aptos Narrow"/>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13" formatCode="0%"/>
    </dxf>
    <dxf>
      <numFmt numFmtId="13" formatCode="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font>
        <b val="0"/>
        <i val="0"/>
        <strike val="0"/>
        <condense val="0"/>
        <extend val="0"/>
        <outline val="0"/>
        <shadow val="0"/>
        <u val="none"/>
        <vertAlign val="baseline"/>
        <sz val="11"/>
        <color theme="1"/>
        <name val="Aptos Narrow"/>
        <family val="2"/>
        <scheme val="minor"/>
      </font>
      <numFmt numFmtId="4" formatCode="#,##0.00"/>
    </dxf>
    <dxf>
      <font>
        <b val="0"/>
        <i val="0"/>
        <strike val="0"/>
        <condense val="0"/>
        <extend val="0"/>
        <outline val="0"/>
        <shadow val="0"/>
        <u val="none"/>
        <vertAlign val="baseline"/>
        <sz val="11"/>
        <color theme="1"/>
        <name val="Aptos Narrow"/>
        <family val="2"/>
        <scheme val="minor"/>
      </font>
      <numFmt numFmtId="4" formatCode="#,##0.00"/>
    </dxf>
    <dxf>
      <font>
        <b val="0"/>
        <i val="0"/>
        <strike val="0"/>
        <condense val="0"/>
        <extend val="0"/>
        <outline val="0"/>
        <shadow val="0"/>
        <u val="none"/>
        <vertAlign val="baseline"/>
        <sz val="11"/>
        <color theme="1"/>
        <name val="Aptos Narrow"/>
        <family val="2"/>
        <scheme val="minor"/>
      </font>
      <numFmt numFmtId="4" formatCode="#,##0.00"/>
    </dxf>
    <dxf>
      <numFmt numFmtId="4" formatCode="#,##0.00"/>
    </dxf>
    <dxf>
      <font>
        <b val="0"/>
        <i val="0"/>
        <strike val="0"/>
        <condense val="0"/>
        <extend val="0"/>
        <outline val="0"/>
        <shadow val="0"/>
        <u val="none"/>
        <vertAlign val="baseline"/>
        <sz val="11"/>
        <color theme="1"/>
        <name val="Aptos Narrow"/>
        <family val="2"/>
        <scheme val="minor"/>
      </font>
      <numFmt numFmtId="4" formatCode="#,##0.00"/>
    </dxf>
    <dxf>
      <font>
        <b/>
        <i val="0"/>
        <strike val="0"/>
        <condense val="0"/>
        <extend val="0"/>
        <outline val="0"/>
        <shadow val="0"/>
        <u val="none"/>
        <vertAlign val="baseline"/>
        <sz val="11"/>
        <color theme="1"/>
        <name val="Aptos Narrow"/>
        <family val="2"/>
        <scheme val="minor"/>
      </font>
      <numFmt numFmtId="4" formatCode="#,##0.00"/>
      <alignment horizontal="center" vertical="bottom" textRotation="0" wrapText="0" indent="0" justifyLastLine="0" shrinkToFit="0" readingOrder="0"/>
    </dxf>
    <dxf>
      <numFmt numFmtId="4" formatCode="#,##0.00"/>
    </dxf>
    <dxf>
      <numFmt numFmtId="4" formatCode="#,##0.00"/>
    </dxf>
    <dxf>
      <numFmt numFmtId="4" formatCode="#,##0.00"/>
    </dxf>
    <dxf>
      <font>
        <b/>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3" formatCode="#,##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left"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val="0"/>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font>
        <b/>
      </font>
    </dxf>
    <dxf>
      <font>
        <b val="0"/>
        <i val="0"/>
        <strike val="0"/>
        <condense val="0"/>
        <extend val="0"/>
        <outline val="0"/>
        <shadow val="0"/>
        <u val="none"/>
        <vertAlign val="baseline"/>
        <sz val="11"/>
        <color theme="1"/>
        <name val="Aptos Narrow"/>
        <family val="2"/>
        <scheme val="minor"/>
      </font>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numFmt numFmtId="14" formatCode="0.00%"/>
      <alignment horizontal="center" vertical="bottom" textRotation="0" wrapText="0" indent="0" justifyLastLine="0" shrinkToFit="0" readingOrder="0"/>
    </dxf>
    <dxf>
      <numFmt numFmtId="13" formatCode="0%"/>
    </dxf>
    <dxf>
      <numFmt numFmtId="2" formatCode="0.00"/>
    </dxf>
    <dxf>
      <numFmt numFmtId="2" formatCode="0.00"/>
    </dxf>
    <dxf>
      <numFmt numFmtId="30" formatCode="@"/>
    </dxf>
    <dxf>
      <font>
        <b/>
        <i val="0"/>
        <strike val="0"/>
        <condense val="0"/>
        <extend val="0"/>
        <outline val="0"/>
        <shadow val="0"/>
        <u val="none"/>
        <vertAlign val="baseline"/>
        <sz val="11"/>
        <color theme="1"/>
        <name val="Aptos Narrow"/>
        <family val="2"/>
        <scheme val="minor"/>
      </font>
    </dxf>
    <dxf>
      <alignment horizontal="left"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dxf>
    <dxf>
      <font>
        <b/>
        <i val="0"/>
        <strike val="0"/>
        <condense val="0"/>
        <extend val="0"/>
        <outline val="0"/>
        <shadow val="0"/>
        <u val="none"/>
        <vertAlign val="baseline"/>
        <sz val="11"/>
        <color theme="1"/>
        <name val="Aptos Narrow"/>
        <family val="2"/>
        <scheme val="minor"/>
      </font>
    </dxf>
    <dxf>
      <alignment horizontal="general" vertical="top" textRotation="0" wrapText="1"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wrapText="1"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font>
        <b/>
        <i val="0"/>
        <strike val="0"/>
        <condense val="0"/>
        <extend val="0"/>
        <outline val="0"/>
        <shadow val="0"/>
        <u val="none"/>
        <vertAlign val="baseline"/>
        <sz val="11"/>
        <color theme="1"/>
        <name val="Aptos Narrow"/>
        <family val="2"/>
        <scheme val="minor"/>
      </font>
    </dxf>
    <dxf>
      <alignment horizontal="general" vertical="top" textRotation="0" wrapText="1"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font>
        <b/>
        <i val="0"/>
        <strike val="0"/>
        <condense val="0"/>
        <extend val="0"/>
        <outline val="0"/>
        <shadow val="0"/>
        <u val="none"/>
        <vertAlign val="baseline"/>
        <sz val="11"/>
        <color theme="1"/>
        <name val="Aptos Narrow"/>
        <family val="2"/>
        <scheme val="minor"/>
      </font>
    </dxf>
  </dxfs>
  <tableStyles count="0" defaultTableStyle="TableStyleMedium2" defaultPivotStyle="PivotStyleLight16"/>
  <colors>
    <mruColors>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hartsheet" Target="chartsheets/sheet3.xml"/><Relationship Id="rId39" Type="http://schemas.openxmlformats.org/officeDocument/2006/relationships/worksheet" Target="worksheets/sheet32.xml"/><Relationship Id="rId21" Type="http://schemas.openxmlformats.org/officeDocument/2006/relationships/worksheet" Target="worksheets/sheet21.xml"/><Relationship Id="rId34" Type="http://schemas.openxmlformats.org/officeDocument/2006/relationships/worksheet" Target="worksheets/sheet27.xml"/><Relationship Id="rId42" Type="http://schemas.openxmlformats.org/officeDocument/2006/relationships/theme" Target="theme/theme1.xml"/><Relationship Id="rId47" Type="http://schemas.openxmlformats.org/officeDocument/2006/relationships/calcChain" Target="calcChain.xml"/><Relationship Id="rId50"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chartsheet" Target="chartsheets/sheet6.xml"/><Relationship Id="rId11" Type="http://schemas.openxmlformats.org/officeDocument/2006/relationships/worksheet" Target="worksheets/sheet11.xml"/><Relationship Id="rId24" Type="http://schemas.openxmlformats.org/officeDocument/2006/relationships/chartsheet" Target="chartsheets/sheet1.xml"/><Relationship Id="rId32" Type="http://schemas.openxmlformats.org/officeDocument/2006/relationships/worksheet" Target="worksheets/sheet25.xml"/><Relationship Id="rId37" Type="http://schemas.openxmlformats.org/officeDocument/2006/relationships/worksheet" Target="worksheets/sheet30.xml"/><Relationship Id="rId40" Type="http://schemas.openxmlformats.org/officeDocument/2006/relationships/worksheet" Target="worksheets/sheet33.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hartsheet" Target="chartsheets/sheet5.xml"/><Relationship Id="rId36" Type="http://schemas.openxmlformats.org/officeDocument/2006/relationships/worksheet" Target="worksheets/sheet29.xml"/><Relationship Id="rId49"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24.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hartsheet" Target="chartsheets/sheet4.xml"/><Relationship Id="rId30" Type="http://schemas.openxmlformats.org/officeDocument/2006/relationships/chartsheet" Target="chartsheets/sheet7.xml"/><Relationship Id="rId35" Type="http://schemas.openxmlformats.org/officeDocument/2006/relationships/worksheet" Target="worksheets/sheet28.xml"/><Relationship Id="rId43" Type="http://schemas.openxmlformats.org/officeDocument/2006/relationships/connections" Target="connections.xml"/><Relationship Id="rId48"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customXml" Target="../customXml/item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hartsheet" Target="chartsheets/sheet2.xml"/><Relationship Id="rId33" Type="http://schemas.openxmlformats.org/officeDocument/2006/relationships/worksheet" Target="worksheets/sheet26.xml"/><Relationship Id="rId38" Type="http://schemas.openxmlformats.org/officeDocument/2006/relationships/worksheet" Target="worksheets/sheet31.xml"/><Relationship Id="rId46" Type="http://schemas.openxmlformats.org/officeDocument/2006/relationships/sheetMetadata" Target="metadata.xml"/><Relationship Id="rId20" Type="http://schemas.openxmlformats.org/officeDocument/2006/relationships/worksheet" Target="worksheets/sheet20.xml"/><Relationship Id="rId41" Type="http://schemas.openxmlformats.org/officeDocument/2006/relationships/worksheet" Target="worksheets/sheet34.xml"/><Relationship Id="rId1" Type="http://schemas.openxmlformats.org/officeDocument/2006/relationships/worksheet" Target="worksheets/sheet1.xml"/><Relationship Id="rId6" Type="http://schemas.openxmlformats.org/officeDocument/2006/relationships/worksheet" Target="worksheets/sheet6.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11.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Population aged 5 and under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1"/>
          <c:order val="0"/>
          <c:tx>
            <c:v>Population</c:v>
          </c:tx>
          <c:spPr>
            <a:ln w="28575" cap="rnd">
              <a:solidFill>
                <a:schemeClr val="accent2"/>
              </a:solidFill>
              <a:round/>
            </a:ln>
            <a:effectLst/>
          </c:spPr>
          <c:marker>
            <c:symbol val="none"/>
          </c:marker>
          <c:cat>
            <c:numRef>
              <c:f>'T1'!$A$3:$A$12</c:f>
              <c:numCache>
                <c:formatCode>General</c:formatCode>
                <c:ptCount val="10"/>
                <c:pt idx="0">
                  <c:v>2015</c:v>
                </c:pt>
                <c:pt idx="1">
                  <c:v>2016</c:v>
                </c:pt>
                <c:pt idx="2">
                  <c:v>2017</c:v>
                </c:pt>
                <c:pt idx="3">
                  <c:v>2018</c:v>
                </c:pt>
                <c:pt idx="4">
                  <c:v>2019</c:v>
                </c:pt>
                <c:pt idx="5">
                  <c:v>2020</c:v>
                </c:pt>
                <c:pt idx="6">
                  <c:v>2021</c:v>
                </c:pt>
                <c:pt idx="7">
                  <c:v>2022</c:v>
                </c:pt>
                <c:pt idx="8">
                  <c:v>2023</c:v>
                </c:pt>
                <c:pt idx="9">
                  <c:v>2024</c:v>
                </c:pt>
              </c:numCache>
            </c:numRef>
          </c:cat>
          <c:val>
            <c:numRef>
              <c:f>'T1'!$H$3:$H$12</c:f>
              <c:numCache>
                <c:formatCode>General</c:formatCode>
                <c:ptCount val="10"/>
                <c:pt idx="0">
                  <c:v>370290</c:v>
                </c:pt>
                <c:pt idx="1">
                  <c:v>369110</c:v>
                </c:pt>
                <c:pt idx="2">
                  <c:v>369870</c:v>
                </c:pt>
                <c:pt idx="3">
                  <c:v>369460</c:v>
                </c:pt>
                <c:pt idx="4">
                  <c:v>368600</c:v>
                </c:pt>
                <c:pt idx="5">
                  <c:v>369100</c:v>
                </c:pt>
                <c:pt idx="6">
                  <c:v>367360</c:v>
                </c:pt>
                <c:pt idx="7">
                  <c:v>365440</c:v>
                </c:pt>
                <c:pt idx="8">
                  <c:v>364930</c:v>
                </c:pt>
                <c:pt idx="9">
                  <c:v>364630</c:v>
                </c:pt>
              </c:numCache>
            </c:numRef>
          </c:val>
          <c:smooth val="0"/>
          <c:extLst>
            <c:ext xmlns:c16="http://schemas.microsoft.com/office/drawing/2014/chart" uri="{C3380CC4-5D6E-409C-BE32-E72D297353CC}">
              <c16:uniqueId val="{00000000-A687-4007-A872-2C3187B23E51}"/>
            </c:ext>
          </c:extLst>
        </c:ser>
        <c:dLbls>
          <c:showLegendKey val="0"/>
          <c:showVal val="0"/>
          <c:showCatName val="0"/>
          <c:showSerName val="0"/>
          <c:showPercent val="0"/>
          <c:showBubbleSize val="0"/>
        </c:dLbls>
        <c:smooth val="0"/>
        <c:axId val="120980704"/>
        <c:axId val="120981664"/>
        <c:extLst/>
      </c:lineChart>
      <c:catAx>
        <c:axId val="1209807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0981664"/>
        <c:crosses val="autoZero"/>
        <c:auto val="1"/>
        <c:lblAlgn val="ctr"/>
        <c:lblOffset val="100"/>
        <c:noMultiLvlLbl val="0"/>
      </c:catAx>
      <c:valAx>
        <c:axId val="120981664"/>
        <c:scaling>
          <c:orientation val="minMax"/>
          <c:min val="30000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09807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NZ"/>
              <a:t>Population aged under 5</a:t>
            </a:r>
          </a:p>
          <a:p>
            <a:pPr>
              <a:defRPr/>
            </a:pPr>
            <a:r>
              <a:rPr lang="en-NZ" sz="1100"/>
              <a:t>Stats NZ projections</a:t>
            </a:r>
            <a:endParaRPr lang="en-NZ" sz="1100" baseline="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2"/>
          <c:order val="0"/>
          <c:tx>
            <c:strRef>
              <c:f>'T2'!$T$4</c:f>
              <c:strCache>
                <c:ptCount val="1"/>
                <c:pt idx="0">
                  <c:v>High</c:v>
                </c:pt>
              </c:strCache>
            </c:strRef>
          </c:tx>
          <c:spPr>
            <a:ln w="28575" cap="rnd">
              <a:solidFill>
                <a:schemeClr val="accent5">
                  <a:lumMod val="20000"/>
                  <a:lumOff val="80000"/>
                </a:schemeClr>
              </a:solidFill>
              <a:prstDash val="dash"/>
              <a:round/>
            </a:ln>
            <a:effectLst/>
          </c:spPr>
          <c:marker>
            <c:symbol val="none"/>
          </c:marker>
          <c:cat>
            <c:numRef>
              <c:f>'T2'!$A$5:$A$28</c:f>
              <c:numCache>
                <c:formatCode>General</c:formatCode>
                <c:ptCount val="24"/>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numCache>
            </c:numRef>
          </c:cat>
          <c:val>
            <c:numRef>
              <c:f>'T2'!$T$5:$T$28</c:f>
              <c:numCache>
                <c:formatCode>_-* #,##0_-;\-* #,##0_-;_-* "-"??_-;_-@_-</c:formatCode>
                <c:ptCount val="24"/>
                <c:pt idx="9">
                  <c:v>300700</c:v>
                </c:pt>
                <c:pt idx="10">
                  <c:v>299350</c:v>
                </c:pt>
                <c:pt idx="11">
                  <c:v>296740</c:v>
                </c:pt>
                <c:pt idx="12">
                  <c:v>296010</c:v>
                </c:pt>
                <c:pt idx="13">
                  <c:v>300170</c:v>
                </c:pt>
                <c:pt idx="14">
                  <c:v>304820</c:v>
                </c:pt>
                <c:pt idx="15">
                  <c:v>307260</c:v>
                </c:pt>
                <c:pt idx="16">
                  <c:v>308890</c:v>
                </c:pt>
                <c:pt idx="17">
                  <c:v>310870</c:v>
                </c:pt>
                <c:pt idx="18">
                  <c:v>312680</c:v>
                </c:pt>
                <c:pt idx="19">
                  <c:v>314280</c:v>
                </c:pt>
                <c:pt idx="20">
                  <c:v>316090</c:v>
                </c:pt>
                <c:pt idx="21">
                  <c:v>318280</c:v>
                </c:pt>
                <c:pt idx="22">
                  <c:v>320660</c:v>
                </c:pt>
                <c:pt idx="23">
                  <c:v>323380</c:v>
                </c:pt>
              </c:numCache>
            </c:numRef>
          </c:val>
          <c:smooth val="1"/>
          <c:extLst>
            <c:ext xmlns:c16="http://schemas.microsoft.com/office/drawing/2014/chart" uri="{C3380CC4-5D6E-409C-BE32-E72D297353CC}">
              <c16:uniqueId val="{00000001-AF36-471D-9DE5-4E8E18956FF4}"/>
            </c:ext>
          </c:extLst>
        </c:ser>
        <c:ser>
          <c:idx val="0"/>
          <c:order val="1"/>
          <c:tx>
            <c:strRef>
              <c:f>'T2'!$Q$4</c:f>
              <c:strCache>
                <c:ptCount val="1"/>
                <c:pt idx="0">
                  <c:v>Low</c:v>
                </c:pt>
              </c:strCache>
            </c:strRef>
          </c:tx>
          <c:spPr>
            <a:ln w="28575" cap="rnd">
              <a:solidFill>
                <a:schemeClr val="tx2"/>
              </a:solidFill>
              <a:prstDash val="dash"/>
              <a:round/>
            </a:ln>
            <a:effectLst/>
          </c:spPr>
          <c:marker>
            <c:symbol val="none"/>
          </c:marker>
          <c:cat>
            <c:numRef>
              <c:f>'T2'!$A$5:$A$28</c:f>
              <c:numCache>
                <c:formatCode>General</c:formatCode>
                <c:ptCount val="24"/>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numCache>
            </c:numRef>
          </c:cat>
          <c:val>
            <c:numRef>
              <c:f>'T2'!$Q$5:$Q$28</c:f>
              <c:numCache>
                <c:formatCode>_-* #,##0_-;\-* #,##0_-;_-* "-"??_-;_-@_-</c:formatCode>
                <c:ptCount val="24"/>
                <c:pt idx="9">
                  <c:v>300700</c:v>
                </c:pt>
                <c:pt idx="10">
                  <c:v>295110</c:v>
                </c:pt>
                <c:pt idx="11">
                  <c:v>288730</c:v>
                </c:pt>
                <c:pt idx="12">
                  <c:v>282940</c:v>
                </c:pt>
                <c:pt idx="13">
                  <c:v>281370</c:v>
                </c:pt>
                <c:pt idx="14">
                  <c:v>279900</c:v>
                </c:pt>
                <c:pt idx="15">
                  <c:v>277990</c:v>
                </c:pt>
                <c:pt idx="16">
                  <c:v>276090</c:v>
                </c:pt>
                <c:pt idx="17">
                  <c:v>274340</c:v>
                </c:pt>
                <c:pt idx="18">
                  <c:v>272920</c:v>
                </c:pt>
                <c:pt idx="19">
                  <c:v>271940</c:v>
                </c:pt>
                <c:pt idx="20">
                  <c:v>271220</c:v>
                </c:pt>
                <c:pt idx="21">
                  <c:v>270840</c:v>
                </c:pt>
                <c:pt idx="22">
                  <c:v>270710</c:v>
                </c:pt>
                <c:pt idx="23">
                  <c:v>271240</c:v>
                </c:pt>
              </c:numCache>
            </c:numRef>
          </c:val>
          <c:smooth val="1"/>
          <c:extLst>
            <c:ext xmlns:c16="http://schemas.microsoft.com/office/drawing/2014/chart" uri="{C3380CC4-5D6E-409C-BE32-E72D297353CC}">
              <c16:uniqueId val="{00000000-6D3E-4C9B-B2F9-0D99251E6B6B}"/>
            </c:ext>
          </c:extLst>
        </c:ser>
        <c:ser>
          <c:idx val="1"/>
          <c:order val="2"/>
          <c:tx>
            <c:strRef>
              <c:f>'T2'!$S$4</c:f>
              <c:strCache>
                <c:ptCount val="1"/>
                <c:pt idx="0">
                  <c:v>Median</c:v>
                </c:pt>
              </c:strCache>
            </c:strRef>
          </c:tx>
          <c:spPr>
            <a:ln w="28575" cap="rnd">
              <a:solidFill>
                <a:schemeClr val="accent5"/>
              </a:solidFill>
              <a:prstDash val="dash"/>
              <a:round/>
            </a:ln>
            <a:effectLst/>
          </c:spPr>
          <c:marker>
            <c:symbol val="none"/>
          </c:marker>
          <c:cat>
            <c:numRef>
              <c:f>'T2'!$A$5:$A$28</c:f>
              <c:numCache>
                <c:formatCode>General</c:formatCode>
                <c:ptCount val="24"/>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numCache>
            </c:numRef>
          </c:cat>
          <c:val>
            <c:numRef>
              <c:f>'T2'!$S$5:$S$28</c:f>
              <c:numCache>
                <c:formatCode>_-* #,##0_-;\-* #,##0_-;_-* "-"??_-;_-@_-</c:formatCode>
                <c:ptCount val="24"/>
                <c:pt idx="9">
                  <c:v>300700</c:v>
                </c:pt>
                <c:pt idx="10">
                  <c:v>297410</c:v>
                </c:pt>
                <c:pt idx="11">
                  <c:v>293620</c:v>
                </c:pt>
                <c:pt idx="12">
                  <c:v>290450</c:v>
                </c:pt>
                <c:pt idx="13">
                  <c:v>291600</c:v>
                </c:pt>
                <c:pt idx="14">
                  <c:v>292850</c:v>
                </c:pt>
                <c:pt idx="15">
                  <c:v>292960</c:v>
                </c:pt>
                <c:pt idx="16">
                  <c:v>293000</c:v>
                </c:pt>
                <c:pt idx="17">
                  <c:v>293040</c:v>
                </c:pt>
                <c:pt idx="18">
                  <c:v>293200</c:v>
                </c:pt>
                <c:pt idx="19">
                  <c:v>293550</c:v>
                </c:pt>
                <c:pt idx="20">
                  <c:v>294150</c:v>
                </c:pt>
                <c:pt idx="21">
                  <c:v>295080</c:v>
                </c:pt>
                <c:pt idx="22">
                  <c:v>296340</c:v>
                </c:pt>
                <c:pt idx="23">
                  <c:v>297920</c:v>
                </c:pt>
              </c:numCache>
            </c:numRef>
          </c:val>
          <c:smooth val="1"/>
          <c:extLst>
            <c:ext xmlns:c16="http://schemas.microsoft.com/office/drawing/2014/chart" uri="{C3380CC4-5D6E-409C-BE32-E72D297353CC}">
              <c16:uniqueId val="{00000002-6D3E-4C9B-B2F9-0D99251E6B6B}"/>
            </c:ext>
          </c:extLst>
        </c:ser>
        <c:ser>
          <c:idx val="3"/>
          <c:order val="3"/>
          <c:tx>
            <c:strRef>
              <c:f>'T2'!$R$4</c:f>
              <c:strCache>
                <c:ptCount val="1"/>
                <c:pt idx="0">
                  <c:v>Actual</c:v>
                </c:pt>
              </c:strCache>
            </c:strRef>
          </c:tx>
          <c:spPr>
            <a:ln w="28575" cap="rnd">
              <a:solidFill>
                <a:schemeClr val="accent5"/>
              </a:solidFill>
              <a:round/>
            </a:ln>
            <a:effectLst/>
          </c:spPr>
          <c:marker>
            <c:symbol val="none"/>
          </c:marker>
          <c:cat>
            <c:numRef>
              <c:f>'T2'!$A$5:$A$28</c:f>
              <c:numCache>
                <c:formatCode>General</c:formatCode>
                <c:ptCount val="24"/>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numCache>
            </c:numRef>
          </c:cat>
          <c:val>
            <c:numRef>
              <c:f>'T2'!$R$5:$R$28</c:f>
              <c:numCache>
                <c:formatCode>_-* #,##0_-;\-* #,##0_-;_-* "-"??_-;_-@_-</c:formatCode>
                <c:ptCount val="24"/>
                <c:pt idx="0">
                  <c:v>305210</c:v>
                </c:pt>
                <c:pt idx="1">
                  <c:v>304710</c:v>
                </c:pt>
                <c:pt idx="2">
                  <c:v>305520</c:v>
                </c:pt>
                <c:pt idx="3">
                  <c:v>305030</c:v>
                </c:pt>
                <c:pt idx="4">
                  <c:v>305330</c:v>
                </c:pt>
                <c:pt idx="5">
                  <c:v>305200</c:v>
                </c:pt>
                <c:pt idx="6">
                  <c:v>304370</c:v>
                </c:pt>
                <c:pt idx="7">
                  <c:v>302730</c:v>
                </c:pt>
                <c:pt idx="8">
                  <c:v>302310</c:v>
                </c:pt>
                <c:pt idx="9">
                  <c:v>300700</c:v>
                </c:pt>
              </c:numCache>
            </c:numRef>
          </c:val>
          <c:smooth val="1"/>
          <c:extLst>
            <c:ext xmlns:c16="http://schemas.microsoft.com/office/drawing/2014/chart" uri="{C3380CC4-5D6E-409C-BE32-E72D297353CC}">
              <c16:uniqueId val="{00000003-6D3E-4C9B-B2F9-0D99251E6B6B}"/>
            </c:ext>
          </c:extLst>
        </c:ser>
        <c:dLbls>
          <c:showLegendKey val="0"/>
          <c:showVal val="0"/>
          <c:showCatName val="0"/>
          <c:showSerName val="0"/>
          <c:showPercent val="0"/>
          <c:showBubbleSize val="0"/>
        </c:dLbls>
        <c:smooth val="0"/>
        <c:axId val="1401455840"/>
        <c:axId val="1401457280"/>
      </c:lineChart>
      <c:catAx>
        <c:axId val="14014558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1457280"/>
        <c:crosses val="autoZero"/>
        <c:auto val="1"/>
        <c:lblAlgn val="ctr"/>
        <c:lblOffset val="100"/>
        <c:noMultiLvlLbl val="0"/>
      </c:catAx>
      <c:valAx>
        <c:axId val="1401457280"/>
        <c:scaling>
          <c:orientation val="minMax"/>
          <c:max val="400000"/>
        </c:scaling>
        <c:delete val="0"/>
        <c:axPos val="l"/>
        <c:majorGridlines>
          <c:spPr>
            <a:ln w="9525" cap="flat" cmpd="sng" algn="ctr">
              <a:solidFill>
                <a:schemeClr val="tx1">
                  <a:lumMod val="15000"/>
                  <a:lumOff val="85000"/>
                </a:schemeClr>
              </a:solidFill>
              <a:round/>
            </a:ln>
            <a:effectLst/>
          </c:spPr>
        </c:majorGridlines>
        <c:numFmt formatCode="_-* #,##0_-;\-* #,##0_-;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14558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NZ"/>
              <a:t>Full-range forecast</a:t>
            </a:r>
            <a:r>
              <a:rPr lang="en-NZ" baseline="0"/>
              <a:t> ECE place demand</a:t>
            </a:r>
            <a:endParaRPr lang="en-NZ"/>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NZ"/>
        </a:p>
      </c:txPr>
    </c:title>
    <c:autoTitleDeleted val="0"/>
    <c:plotArea>
      <c:layout/>
      <c:lineChart>
        <c:grouping val="standard"/>
        <c:varyColors val="0"/>
        <c:ser>
          <c:idx val="1"/>
          <c:order val="0"/>
          <c:tx>
            <c:strRef>
              <c:f>'T15'!$R$4</c:f>
              <c:strCache>
                <c:ptCount val="1"/>
                <c:pt idx="0">
                  <c:v>Actual</c:v>
                </c:pt>
              </c:strCache>
            </c:strRef>
          </c:tx>
          <c:spPr>
            <a:ln w="28575" cap="rnd">
              <a:solidFill>
                <a:schemeClr val="accent5"/>
              </a:solidFill>
              <a:round/>
            </a:ln>
            <a:effectLst/>
          </c:spPr>
          <c:marker>
            <c:symbol val="none"/>
          </c:marker>
          <c:trendline>
            <c:spPr>
              <a:ln w="19050" cap="rnd">
                <a:solidFill>
                  <a:schemeClr val="accent2"/>
                </a:solidFill>
                <a:prstDash val="sysDot"/>
              </a:ln>
              <a:effectLst/>
            </c:spPr>
            <c:trendlineType val="linear"/>
            <c:dispRSqr val="0"/>
            <c:dispEq val="0"/>
          </c:trendline>
          <c:cat>
            <c:numRef>
              <c:extLst>
                <c:ext xmlns:c15="http://schemas.microsoft.com/office/drawing/2012/chart" uri="{02D57815-91ED-43cb-92C2-25804820EDAC}">
                  <c15:fullRef>
                    <c15:sqref>'T15'!$A$5:$A$28</c15:sqref>
                  </c15:fullRef>
                </c:ext>
              </c:extLst>
              <c:f>'T15'!$A$5:$A$25</c:f>
              <c:numCache>
                <c:formatCode>General</c:formatCode>
                <c:ptCount val="21"/>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numCache>
            </c:numRef>
          </c:cat>
          <c:val>
            <c:numRef>
              <c:extLst>
                <c:ext xmlns:c15="http://schemas.microsoft.com/office/drawing/2012/chart" uri="{02D57815-91ED-43cb-92C2-25804820EDAC}">
                  <c15:fullRef>
                    <c15:sqref>'T15'!$R$5:$R$28</c15:sqref>
                  </c15:fullRef>
                </c:ext>
              </c:extLst>
              <c:f>'T15'!$R$5:$R$25</c:f>
              <c:numCache>
                <c:formatCode>_-* #,##0_-;\-* #,##0_-;_-* "-"??_-;_-@_-</c:formatCode>
                <c:ptCount val="21"/>
                <c:pt idx="0">
                  <c:v>65949</c:v>
                </c:pt>
                <c:pt idx="1">
                  <c:v>67343</c:v>
                </c:pt>
                <c:pt idx="2">
                  <c:v>67958</c:v>
                </c:pt>
                <c:pt idx="3">
                  <c:v>67510</c:v>
                </c:pt>
                <c:pt idx="4">
                  <c:v>67313</c:v>
                </c:pt>
                <c:pt idx="5">
                  <c:v>62645</c:v>
                </c:pt>
                <c:pt idx="6">
                  <c:v>64171</c:v>
                </c:pt>
                <c:pt idx="7">
                  <c:v>58936</c:v>
                </c:pt>
                <c:pt idx="8">
                  <c:v>63854</c:v>
                </c:pt>
                <c:pt idx="9">
                  <c:v>66055</c:v>
                </c:pt>
              </c:numCache>
            </c:numRef>
          </c:val>
          <c:smooth val="1"/>
          <c:extLst>
            <c:ext xmlns:c16="http://schemas.microsoft.com/office/drawing/2014/chart" uri="{C3380CC4-5D6E-409C-BE32-E72D297353CC}">
              <c16:uniqueId val="{00000001-14F6-4DE2-9FBA-FD6753B80FE7}"/>
            </c:ext>
          </c:extLst>
        </c:ser>
        <c:ser>
          <c:idx val="0"/>
          <c:order val="1"/>
          <c:tx>
            <c:strRef>
              <c:f>'T15'!$Q$4</c:f>
              <c:strCache>
                <c:ptCount val="1"/>
                <c:pt idx="0">
                  <c:v>Low</c:v>
                </c:pt>
              </c:strCache>
            </c:strRef>
          </c:tx>
          <c:spPr>
            <a:ln w="28575" cap="rnd">
              <a:solidFill>
                <a:schemeClr val="accent5">
                  <a:lumMod val="50000"/>
                </a:schemeClr>
              </a:solidFill>
              <a:prstDash val="dash"/>
              <a:round/>
            </a:ln>
            <a:effectLst/>
          </c:spPr>
          <c:marker>
            <c:symbol val="none"/>
          </c:marker>
          <c:cat>
            <c:numRef>
              <c:extLst>
                <c:ext xmlns:c15="http://schemas.microsoft.com/office/drawing/2012/chart" uri="{02D57815-91ED-43cb-92C2-25804820EDAC}">
                  <c15:fullRef>
                    <c15:sqref>'T15'!$A$5:$A$28</c15:sqref>
                  </c15:fullRef>
                </c:ext>
              </c:extLst>
              <c:f>'T15'!$A$5:$A$25</c:f>
              <c:numCache>
                <c:formatCode>General</c:formatCode>
                <c:ptCount val="21"/>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numCache>
            </c:numRef>
          </c:cat>
          <c:val>
            <c:numRef>
              <c:extLst>
                <c:ext xmlns:c15="http://schemas.microsoft.com/office/drawing/2012/chart" uri="{02D57815-91ED-43cb-92C2-25804820EDAC}">
                  <c15:fullRef>
                    <c15:sqref>'T15'!$Q$5:$Q$28</c15:sqref>
                  </c15:fullRef>
                </c:ext>
              </c:extLst>
              <c:f>'T15'!$Q$5:$Q$25</c:f>
              <c:numCache>
                <c:formatCode>_-* #,##0_-;\-* #,##0_-;_-* "-"??_-;_-@_-</c:formatCode>
                <c:ptCount val="21"/>
                <c:pt idx="9">
                  <c:v>66055</c:v>
                </c:pt>
                <c:pt idx="10">
                  <c:v>54570</c:v>
                </c:pt>
                <c:pt idx="11">
                  <c:v>53140</c:v>
                </c:pt>
                <c:pt idx="12">
                  <c:v>51765</c:v>
                </c:pt>
                <c:pt idx="13">
                  <c:v>51545</c:v>
                </c:pt>
                <c:pt idx="14">
                  <c:v>51325</c:v>
                </c:pt>
                <c:pt idx="15">
                  <c:v>50965</c:v>
                </c:pt>
                <c:pt idx="16">
                  <c:v>50615</c:v>
                </c:pt>
                <c:pt idx="17">
                  <c:v>50275</c:v>
                </c:pt>
                <c:pt idx="18">
                  <c:v>49985</c:v>
                </c:pt>
                <c:pt idx="19">
                  <c:v>49750</c:v>
                </c:pt>
                <c:pt idx="20">
                  <c:v>49595</c:v>
                </c:pt>
              </c:numCache>
            </c:numRef>
          </c:val>
          <c:smooth val="1"/>
          <c:extLst>
            <c:ext xmlns:c16="http://schemas.microsoft.com/office/drawing/2014/chart" uri="{C3380CC4-5D6E-409C-BE32-E72D297353CC}">
              <c16:uniqueId val="{00000000-14F6-4DE2-9FBA-FD6753B80FE7}"/>
            </c:ext>
          </c:extLst>
        </c:ser>
        <c:ser>
          <c:idx val="2"/>
          <c:order val="2"/>
          <c:tx>
            <c:strRef>
              <c:f>'T15'!$S$4</c:f>
              <c:strCache>
                <c:ptCount val="1"/>
                <c:pt idx="0">
                  <c:v>Medium</c:v>
                </c:pt>
              </c:strCache>
            </c:strRef>
          </c:tx>
          <c:spPr>
            <a:ln w="28575" cap="rnd">
              <a:solidFill>
                <a:schemeClr val="accent5"/>
              </a:solidFill>
              <a:prstDash val="dash"/>
              <a:round/>
            </a:ln>
            <a:effectLst/>
          </c:spPr>
          <c:marker>
            <c:symbol val="none"/>
          </c:marker>
          <c:cat>
            <c:numRef>
              <c:extLst>
                <c:ext xmlns:c15="http://schemas.microsoft.com/office/drawing/2012/chart" uri="{02D57815-91ED-43cb-92C2-25804820EDAC}">
                  <c15:fullRef>
                    <c15:sqref>'T15'!$A$5:$A$28</c15:sqref>
                  </c15:fullRef>
                </c:ext>
              </c:extLst>
              <c:f>'T15'!$A$5:$A$25</c:f>
              <c:numCache>
                <c:formatCode>General</c:formatCode>
                <c:ptCount val="21"/>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numCache>
            </c:numRef>
          </c:cat>
          <c:val>
            <c:numRef>
              <c:extLst>
                <c:ext xmlns:c15="http://schemas.microsoft.com/office/drawing/2012/chart" uri="{02D57815-91ED-43cb-92C2-25804820EDAC}">
                  <c15:fullRef>
                    <c15:sqref>'T15'!$S$5:$S$28</c15:sqref>
                  </c15:fullRef>
                </c:ext>
              </c:extLst>
              <c:f>'T15'!$S$5:$S$25</c:f>
              <c:numCache>
                <c:formatCode>_-* #,##0_-;\-* #,##0_-;_-* "-"??_-;_-@_-</c:formatCode>
                <c:ptCount val="21"/>
                <c:pt idx="9">
                  <c:v>66055</c:v>
                </c:pt>
                <c:pt idx="10">
                  <c:v>61430</c:v>
                </c:pt>
                <c:pt idx="11">
                  <c:v>60185</c:v>
                </c:pt>
                <c:pt idx="12">
                  <c:v>59115</c:v>
                </c:pt>
                <c:pt idx="13">
                  <c:v>59450</c:v>
                </c:pt>
                <c:pt idx="14">
                  <c:v>59840</c:v>
                </c:pt>
                <c:pt idx="15">
                  <c:v>59875</c:v>
                </c:pt>
                <c:pt idx="16">
                  <c:v>59890</c:v>
                </c:pt>
                <c:pt idx="17">
                  <c:v>59890</c:v>
                </c:pt>
                <c:pt idx="18">
                  <c:v>59905</c:v>
                </c:pt>
                <c:pt idx="19">
                  <c:v>59950</c:v>
                </c:pt>
                <c:pt idx="20">
                  <c:v>60030</c:v>
                </c:pt>
              </c:numCache>
            </c:numRef>
          </c:val>
          <c:smooth val="1"/>
          <c:extLst>
            <c:ext xmlns:c16="http://schemas.microsoft.com/office/drawing/2014/chart" uri="{C3380CC4-5D6E-409C-BE32-E72D297353CC}">
              <c16:uniqueId val="{00000002-14F6-4DE2-9FBA-FD6753B80FE7}"/>
            </c:ext>
          </c:extLst>
        </c:ser>
        <c:ser>
          <c:idx val="3"/>
          <c:order val="3"/>
          <c:tx>
            <c:strRef>
              <c:f>'T15'!$T$4</c:f>
              <c:strCache>
                <c:ptCount val="1"/>
                <c:pt idx="0">
                  <c:v>High</c:v>
                </c:pt>
              </c:strCache>
            </c:strRef>
          </c:tx>
          <c:spPr>
            <a:ln w="28575" cap="rnd">
              <a:solidFill>
                <a:schemeClr val="accent5">
                  <a:lumMod val="40000"/>
                  <a:lumOff val="60000"/>
                </a:schemeClr>
              </a:solidFill>
              <a:prstDash val="dash"/>
              <a:round/>
            </a:ln>
            <a:effectLst/>
          </c:spPr>
          <c:marker>
            <c:symbol val="none"/>
          </c:marker>
          <c:cat>
            <c:numRef>
              <c:extLst>
                <c:ext xmlns:c15="http://schemas.microsoft.com/office/drawing/2012/chart" uri="{02D57815-91ED-43cb-92C2-25804820EDAC}">
                  <c15:fullRef>
                    <c15:sqref>'T15'!$A$5:$A$28</c15:sqref>
                  </c15:fullRef>
                </c:ext>
              </c:extLst>
              <c:f>'T15'!$A$5:$A$25</c:f>
              <c:numCache>
                <c:formatCode>General</c:formatCode>
                <c:ptCount val="21"/>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numCache>
            </c:numRef>
          </c:cat>
          <c:val>
            <c:numRef>
              <c:extLst>
                <c:ext xmlns:c15="http://schemas.microsoft.com/office/drawing/2012/chart" uri="{02D57815-91ED-43cb-92C2-25804820EDAC}">
                  <c15:fullRef>
                    <c15:sqref>'T15'!$T$5:$T$28</c15:sqref>
                  </c15:fullRef>
                </c:ext>
              </c:extLst>
              <c:f>'T15'!$T$5:$T$25</c:f>
              <c:numCache>
                <c:formatCode>_-* #,##0_-;\-* #,##0_-;_-* "-"??_-;_-@_-</c:formatCode>
                <c:ptCount val="21"/>
                <c:pt idx="9">
                  <c:v>66055</c:v>
                </c:pt>
                <c:pt idx="10">
                  <c:v>66245</c:v>
                </c:pt>
                <c:pt idx="11">
                  <c:v>64910</c:v>
                </c:pt>
                <c:pt idx="12">
                  <c:v>63790</c:v>
                </c:pt>
                <c:pt idx="13">
                  <c:v>64150</c:v>
                </c:pt>
                <c:pt idx="14">
                  <c:v>64560</c:v>
                </c:pt>
                <c:pt idx="15">
                  <c:v>64605</c:v>
                </c:pt>
                <c:pt idx="16">
                  <c:v>64615</c:v>
                </c:pt>
                <c:pt idx="17">
                  <c:v>64620</c:v>
                </c:pt>
                <c:pt idx="18">
                  <c:v>64630</c:v>
                </c:pt>
                <c:pt idx="19">
                  <c:v>64675</c:v>
                </c:pt>
                <c:pt idx="20">
                  <c:v>64765</c:v>
                </c:pt>
              </c:numCache>
            </c:numRef>
          </c:val>
          <c:smooth val="1"/>
          <c:extLst>
            <c:ext xmlns:c16="http://schemas.microsoft.com/office/drawing/2014/chart" uri="{C3380CC4-5D6E-409C-BE32-E72D297353CC}">
              <c16:uniqueId val="{00000003-14F6-4DE2-9FBA-FD6753B80FE7}"/>
            </c:ext>
          </c:extLst>
        </c:ser>
        <c:dLbls>
          <c:showLegendKey val="0"/>
          <c:showVal val="0"/>
          <c:showCatName val="0"/>
          <c:showSerName val="0"/>
          <c:showPercent val="0"/>
          <c:showBubbleSize val="0"/>
        </c:dLbls>
        <c:smooth val="0"/>
        <c:axId val="450114480"/>
        <c:axId val="450113520"/>
      </c:lineChart>
      <c:catAx>
        <c:axId val="4501144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450113520"/>
        <c:crosses val="autoZero"/>
        <c:auto val="1"/>
        <c:lblAlgn val="ctr"/>
        <c:lblOffset val="100"/>
        <c:noMultiLvlLbl val="0"/>
      </c:catAx>
      <c:valAx>
        <c:axId val="450113520"/>
        <c:scaling>
          <c:orientation val="minMax"/>
        </c:scaling>
        <c:delete val="0"/>
        <c:axPos val="l"/>
        <c:majorGridlines>
          <c:spPr>
            <a:ln w="9525" cap="flat" cmpd="sng" algn="ctr">
              <a:solidFill>
                <a:schemeClr val="tx1">
                  <a:lumMod val="15000"/>
                  <a:lumOff val="85000"/>
                </a:schemeClr>
              </a:solidFill>
              <a:round/>
            </a:ln>
            <a:effectLst/>
          </c:spPr>
        </c:majorGridlines>
        <c:numFmt formatCode="_-* #,##0_-;\-* #,##0_-;_-* &quot;-&quot;??_-;_-@_-"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4501144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NZ"/>
              <a:t>Total teachers - Centre-based, teacher led</a:t>
            </a:r>
            <a:r>
              <a:rPr lang="en-NZ" baseline="0"/>
              <a:t> services</a:t>
            </a:r>
          </a:p>
          <a:p>
            <a:pPr marL="0" marR="0" lvl="0" indent="0" algn="ctr" defTabSz="914400" rtl="0" eaLnBrk="1" fontAlgn="auto" latinLnBrk="0" hangingPunct="1">
              <a:lnSpc>
                <a:spcPct val="100000"/>
              </a:lnSpc>
              <a:spcBef>
                <a:spcPts val="0"/>
              </a:spcBef>
              <a:spcAft>
                <a:spcPts val="0"/>
              </a:spcAft>
              <a:buClrTx/>
              <a:buSzTx/>
              <a:buFontTx/>
              <a:buNone/>
              <a:tabLst/>
              <a:defRPr>
                <a:solidFill>
                  <a:sysClr val="windowText" lastClr="000000">
                    <a:lumMod val="65000"/>
                    <a:lumOff val="35000"/>
                  </a:sysClr>
                </a:solidFill>
              </a:defRPr>
            </a:pPr>
            <a:r>
              <a:rPr lang="en-NZ" i="1" baseline="0"/>
              <a:t>with straight-line supply trendline</a:t>
            </a:r>
          </a:p>
          <a:p>
            <a:pPr marL="0" marR="0" lvl="0" indent="0" algn="ctr" defTabSz="914400" rtl="0" eaLnBrk="1" fontAlgn="auto" latinLnBrk="0" hangingPunct="1">
              <a:lnSpc>
                <a:spcPct val="100000"/>
              </a:lnSpc>
              <a:spcBef>
                <a:spcPts val="0"/>
              </a:spcBef>
              <a:spcAft>
                <a:spcPts val="0"/>
              </a:spcAft>
              <a:buClrTx/>
              <a:buSzTx/>
              <a:buFontTx/>
              <a:buNone/>
              <a:tabLst/>
              <a:defRPr>
                <a:solidFill>
                  <a:sysClr val="windowText" lastClr="000000">
                    <a:lumMod val="65000"/>
                    <a:lumOff val="35000"/>
                  </a:sysClr>
                </a:solidFill>
              </a:defRPr>
            </a:pPr>
            <a:r>
              <a:rPr lang="en-NZ" sz="1200" b="0" i="0" u="none" strike="noStrike" kern="1200" spc="0" baseline="0">
                <a:solidFill>
                  <a:sysClr val="windowText" lastClr="000000">
                    <a:lumMod val="65000"/>
                    <a:lumOff val="35000"/>
                  </a:sysClr>
                </a:solidFill>
              </a:rPr>
              <a:t>assumes that work pattern changes will follow 2018-2023 direction</a:t>
            </a:r>
          </a:p>
        </c:rich>
      </c:tx>
      <c:layout>
        <c:manualLayout>
          <c:xMode val="edge"/>
          <c:yMode val="edge"/>
          <c:x val="0.31735231599571179"/>
          <c:y val="7.2239635094156918E-3"/>
        </c:manualLayout>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lineChart>
        <c:grouping val="standard"/>
        <c:varyColors val="0"/>
        <c:ser>
          <c:idx val="1"/>
          <c:order val="0"/>
          <c:tx>
            <c:strRef>
              <c:f>'T19'!$B$4</c:f>
              <c:strCache>
                <c:ptCount val="1"/>
                <c:pt idx="0">
                  <c:v>Teachers needed  (Low)</c:v>
                </c:pt>
              </c:strCache>
            </c:strRef>
          </c:tx>
          <c:spPr>
            <a:ln w="28575" cap="rnd">
              <a:solidFill>
                <a:schemeClr val="tx1"/>
              </a:solidFill>
              <a:prstDash val="lgDash"/>
              <a:round/>
            </a:ln>
            <a:effectLst/>
          </c:spPr>
          <c:marker>
            <c:symbol val="none"/>
          </c:marker>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'T19'!$B$5:$B$24</c:f>
              <c:numCache>
                <c:formatCode>#,##0</c:formatCode>
                <c:ptCount val="20"/>
                <c:pt idx="8">
                  <c:v>9787.8510000000006</c:v>
                </c:pt>
                <c:pt idx="9">
                  <c:v>7430</c:v>
                </c:pt>
                <c:pt idx="10">
                  <c:v>7270</c:v>
                </c:pt>
                <c:pt idx="11">
                  <c:v>7110</c:v>
                </c:pt>
                <c:pt idx="12">
                  <c:v>7115</c:v>
                </c:pt>
                <c:pt idx="13">
                  <c:v>7115</c:v>
                </c:pt>
                <c:pt idx="14">
                  <c:v>7090</c:v>
                </c:pt>
                <c:pt idx="15">
                  <c:v>7080</c:v>
                </c:pt>
                <c:pt idx="16">
                  <c:v>7055</c:v>
                </c:pt>
                <c:pt idx="17">
                  <c:v>7050</c:v>
                </c:pt>
                <c:pt idx="18">
                  <c:v>7045</c:v>
                </c:pt>
                <c:pt idx="19">
                  <c:v>7055</c:v>
                </c:pt>
              </c:numCache>
            </c:numRef>
          </c:val>
          <c:smooth val="1"/>
          <c:extLst>
            <c:ext xmlns:c16="http://schemas.microsoft.com/office/drawing/2014/chart" uri="{C3380CC4-5D6E-409C-BE32-E72D297353CC}">
              <c16:uniqueId val="{00000000-9E0C-4261-81E2-90B106C895E0}"/>
            </c:ext>
          </c:extLst>
        </c:ser>
        <c:ser>
          <c:idx val="3"/>
          <c:order val="1"/>
          <c:tx>
            <c:strRef>
              <c:f>'T19'!$E$4</c:f>
              <c:strCache>
                <c:ptCount val="1"/>
                <c:pt idx="0">
                  <c:v>Teachers needed (Medium)</c:v>
                </c:pt>
              </c:strCache>
            </c:strRef>
          </c:tx>
          <c:spPr>
            <a:ln w="28575" cap="rnd">
              <a:solidFill>
                <a:schemeClr val="accent5"/>
              </a:solidFill>
              <a:prstDash val="lgDash"/>
              <a:round/>
            </a:ln>
            <a:effectLst/>
          </c:spPr>
          <c:marker>
            <c:symbol val="none"/>
          </c:marker>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'T19'!$E$5:$E$24</c:f>
              <c:numCache>
                <c:formatCode>#,##0</c:formatCode>
                <c:ptCount val="20"/>
                <c:pt idx="8">
                  <c:v>9787.8510000000006</c:v>
                </c:pt>
                <c:pt idx="9">
                  <c:v>8365</c:v>
                </c:pt>
                <c:pt idx="10">
                  <c:v>8240</c:v>
                </c:pt>
                <c:pt idx="11">
                  <c:v>8130</c:v>
                </c:pt>
                <c:pt idx="12">
                  <c:v>8210</c:v>
                </c:pt>
                <c:pt idx="13">
                  <c:v>8300</c:v>
                </c:pt>
                <c:pt idx="14">
                  <c:v>8340</c:v>
                </c:pt>
                <c:pt idx="15">
                  <c:v>8380</c:v>
                </c:pt>
                <c:pt idx="16">
                  <c:v>8415</c:v>
                </c:pt>
                <c:pt idx="17">
                  <c:v>8460</c:v>
                </c:pt>
                <c:pt idx="18">
                  <c:v>8505</c:v>
                </c:pt>
                <c:pt idx="19">
                  <c:v>8545</c:v>
                </c:pt>
              </c:numCache>
            </c:numRef>
          </c:val>
          <c:smooth val="1"/>
          <c:extLst>
            <c:ext xmlns:c16="http://schemas.microsoft.com/office/drawing/2014/chart" uri="{C3380CC4-5D6E-409C-BE32-E72D297353CC}">
              <c16:uniqueId val="{00000002-9E0C-4261-81E2-90B106C895E0}"/>
            </c:ext>
          </c:extLst>
        </c:ser>
        <c:ser>
          <c:idx val="4"/>
          <c:order val="2"/>
          <c:tx>
            <c:strRef>
              <c:f>'T19'!$F$4</c:f>
              <c:strCache>
                <c:ptCount val="1"/>
                <c:pt idx="0">
                  <c:v>Teachers needed (High)</c:v>
                </c:pt>
              </c:strCache>
            </c:strRef>
          </c:tx>
          <c:spPr>
            <a:ln w="28575" cap="rnd">
              <a:solidFill>
                <a:schemeClr val="accent5">
                  <a:lumMod val="40000"/>
                  <a:lumOff val="60000"/>
                </a:schemeClr>
              </a:solidFill>
              <a:prstDash val="lgDash"/>
              <a:round/>
            </a:ln>
            <a:effectLst/>
          </c:spPr>
          <c:marker>
            <c:symbol val="none"/>
          </c:marker>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'T19'!$F$5:$F$24</c:f>
              <c:numCache>
                <c:formatCode>#,##0</c:formatCode>
                <c:ptCount val="20"/>
                <c:pt idx="8">
                  <c:v>9787.8510000000006</c:v>
                </c:pt>
                <c:pt idx="9">
                  <c:v>9025</c:v>
                </c:pt>
                <c:pt idx="10">
                  <c:v>8885</c:v>
                </c:pt>
                <c:pt idx="11">
                  <c:v>8765</c:v>
                </c:pt>
                <c:pt idx="12">
                  <c:v>8860</c:v>
                </c:pt>
                <c:pt idx="13">
                  <c:v>8955</c:v>
                </c:pt>
                <c:pt idx="14">
                  <c:v>8995</c:v>
                </c:pt>
                <c:pt idx="15">
                  <c:v>9035</c:v>
                </c:pt>
                <c:pt idx="16">
                  <c:v>9075</c:v>
                </c:pt>
                <c:pt idx="17">
                  <c:v>9120</c:v>
                </c:pt>
                <c:pt idx="18">
                  <c:v>9170</c:v>
                </c:pt>
                <c:pt idx="19">
                  <c:v>9220</c:v>
                </c:pt>
              </c:numCache>
            </c:numRef>
          </c:val>
          <c:smooth val="1"/>
          <c:extLst>
            <c:ext xmlns:c16="http://schemas.microsoft.com/office/drawing/2014/chart" uri="{C3380CC4-5D6E-409C-BE32-E72D297353CC}">
              <c16:uniqueId val="{00000003-9E0C-4261-81E2-90B106C895E0}"/>
            </c:ext>
          </c:extLst>
        </c:ser>
        <c:ser>
          <c:idx val="0"/>
          <c:order val="3"/>
          <c:tx>
            <c:strRef>
              <c:f>'T19'!$C$4</c:f>
              <c:strCache>
                <c:ptCount val="1"/>
                <c:pt idx="0">
                  <c:v>Teachers needed  (Regulated ratio)</c:v>
                </c:pt>
              </c:strCache>
            </c:strRef>
          </c:tx>
          <c:spPr>
            <a:ln w="28575" cap="rnd">
              <a:solidFill>
                <a:schemeClr val="accent6"/>
              </a:solidFill>
              <a:prstDash val="dash"/>
              <a:round/>
            </a:ln>
            <a:effectLst/>
          </c:spPr>
          <c:marker>
            <c:symbol val="none"/>
          </c:marker>
          <c:dPt>
            <c:idx val="10"/>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1-9984-4484-BF3D-2EB3787E109D}"/>
              </c:ext>
            </c:extLst>
          </c:dPt>
          <c:dPt>
            <c:idx val="11"/>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2-9984-4484-BF3D-2EB3787E109D}"/>
              </c:ext>
            </c:extLst>
          </c:dPt>
          <c:dPt>
            <c:idx val="12"/>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3-9984-4484-BF3D-2EB3787E109D}"/>
              </c:ext>
            </c:extLst>
          </c:dPt>
          <c:dPt>
            <c:idx val="13"/>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4-9984-4484-BF3D-2EB3787E109D}"/>
              </c:ext>
            </c:extLst>
          </c:dPt>
          <c:dPt>
            <c:idx val="14"/>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5-9984-4484-BF3D-2EB3787E109D}"/>
              </c:ext>
            </c:extLst>
          </c:dPt>
          <c:dPt>
            <c:idx val="15"/>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6-9984-4484-BF3D-2EB3787E109D}"/>
              </c:ext>
            </c:extLst>
          </c:dPt>
          <c:dPt>
            <c:idx val="16"/>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7-9984-4484-BF3D-2EB3787E109D}"/>
              </c:ext>
            </c:extLst>
          </c:dPt>
          <c:dPt>
            <c:idx val="17"/>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8-9984-4484-BF3D-2EB3787E109D}"/>
              </c:ext>
            </c:extLst>
          </c:dPt>
          <c:dPt>
            <c:idx val="18"/>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9-9984-4484-BF3D-2EB3787E109D}"/>
              </c:ext>
            </c:extLst>
          </c:dPt>
          <c:dPt>
            <c:idx val="19"/>
            <c:marker>
              <c:symbol val="none"/>
            </c:marker>
            <c:bubble3D val="0"/>
            <c:spPr>
              <a:ln w="28575" cap="rnd">
                <a:solidFill>
                  <a:schemeClr val="accent6"/>
                </a:solidFill>
                <a:prstDash val="sysDot"/>
                <a:round/>
              </a:ln>
              <a:effectLst/>
            </c:spPr>
            <c:extLst>
              <c:ext xmlns:c16="http://schemas.microsoft.com/office/drawing/2014/chart" uri="{C3380CC4-5D6E-409C-BE32-E72D297353CC}">
                <c16:uniqueId val="{0000000A-9984-4484-BF3D-2EB3787E109D}"/>
              </c:ext>
            </c:extLst>
          </c:dPt>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'T19'!$C$5:$C$24</c:f>
              <c:numCache>
                <c:formatCode>#,##0</c:formatCode>
                <c:ptCount val="20"/>
                <c:pt idx="0">
                  <c:v>6325</c:v>
                </c:pt>
                <c:pt idx="1">
                  <c:v>6380</c:v>
                </c:pt>
                <c:pt idx="2">
                  <c:v>6450</c:v>
                </c:pt>
                <c:pt idx="3">
                  <c:v>6470</c:v>
                </c:pt>
                <c:pt idx="4">
                  <c:v>6125</c:v>
                </c:pt>
                <c:pt idx="5">
                  <c:v>6255</c:v>
                </c:pt>
                <c:pt idx="6">
                  <c:v>5825</c:v>
                </c:pt>
                <c:pt idx="7">
                  <c:v>6425</c:v>
                </c:pt>
                <c:pt idx="8">
                  <c:v>6650</c:v>
                </c:pt>
              </c:numCache>
            </c:numRef>
          </c:val>
          <c:smooth val="1"/>
          <c:extLst>
            <c:ext xmlns:c16="http://schemas.microsoft.com/office/drawing/2014/chart" uri="{C3380CC4-5D6E-409C-BE32-E72D297353CC}">
              <c16:uniqueId val="{00000009-9E0C-4261-81E2-90B106C895E0}"/>
            </c:ext>
          </c:extLst>
        </c:ser>
        <c:ser>
          <c:idx val="2"/>
          <c:order val="4"/>
          <c:tx>
            <c:strRef>
              <c:f>'T19'!$D$4</c:f>
              <c:strCache>
                <c:ptCount val="1"/>
                <c:pt idx="0">
                  <c:v>Teachers working (Actual)</c:v>
                </c:pt>
              </c:strCache>
            </c:strRef>
          </c:tx>
          <c:spPr>
            <a:ln w="28575" cap="rnd">
              <a:solidFill>
                <a:schemeClr val="accent5"/>
              </a:solidFill>
              <a:round/>
            </a:ln>
            <a:effectLst/>
          </c:spPr>
          <c:marker>
            <c:symbol val="none"/>
          </c:marker>
          <c:trendline>
            <c:spPr>
              <a:ln w="25400" cap="rnd">
                <a:solidFill>
                  <a:schemeClr val="accent5"/>
                </a:solidFill>
                <a:prstDash val="sysDot"/>
              </a:ln>
              <a:effectLst/>
            </c:spPr>
            <c:trendlineType val="linear"/>
            <c:dispRSqr val="0"/>
            <c:dispEq val="0"/>
          </c:trendline>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'T19'!$D$5:$D$24</c:f>
              <c:numCache>
                <c:formatCode>#,##0</c:formatCode>
                <c:ptCount val="20"/>
                <c:pt idx="0">
                  <c:v>8118.8249999999998</c:v>
                </c:pt>
                <c:pt idx="1">
                  <c:v>8504.1</c:v>
                </c:pt>
                <c:pt idx="2">
                  <c:v>8716.9499999999989</c:v>
                </c:pt>
                <c:pt idx="3">
                  <c:v>8911.257599999999</c:v>
                </c:pt>
                <c:pt idx="4">
                  <c:v>8599.0928000000004</c:v>
                </c:pt>
                <c:pt idx="5">
                  <c:v>9522.4140000000007</c:v>
                </c:pt>
                <c:pt idx="6">
                  <c:v>9050.6344000000008</c:v>
                </c:pt>
                <c:pt idx="7">
                  <c:v>9845.26</c:v>
                </c:pt>
                <c:pt idx="8">
                  <c:v>9787.8510000000006</c:v>
                </c:pt>
              </c:numCache>
            </c:numRef>
          </c:val>
          <c:smooth val="1"/>
          <c:extLst>
            <c:ext xmlns:c16="http://schemas.microsoft.com/office/drawing/2014/chart" uri="{C3380CC4-5D6E-409C-BE32-E72D297353CC}">
              <c16:uniqueId val="{00000001-9E0C-4261-81E2-90B106C895E0}"/>
            </c:ext>
          </c:extLst>
        </c:ser>
        <c:dLbls>
          <c:showLegendKey val="0"/>
          <c:showVal val="0"/>
          <c:showCatName val="0"/>
          <c:showSerName val="0"/>
          <c:showPercent val="0"/>
          <c:showBubbleSize val="0"/>
        </c:dLbls>
        <c:smooth val="0"/>
        <c:axId val="110934112"/>
        <c:axId val="110934592"/>
      </c:lineChart>
      <c:catAx>
        <c:axId val="1109341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10934592"/>
        <c:crosses val="autoZero"/>
        <c:auto val="1"/>
        <c:lblAlgn val="ctr"/>
        <c:lblOffset val="100"/>
        <c:noMultiLvlLbl val="0"/>
      </c:catAx>
      <c:valAx>
        <c:axId val="1109345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10934112"/>
        <c:crosses val="autoZero"/>
        <c:crossBetween val="between"/>
      </c:valAx>
      <c:spPr>
        <a:noFill/>
        <a:ln>
          <a:noFill/>
        </a:ln>
        <a:effectLst/>
      </c:spPr>
    </c:plotArea>
    <c:legend>
      <c:legendPos val="b"/>
      <c:layout>
        <c:manualLayout>
          <c:xMode val="edge"/>
          <c:yMode val="edge"/>
          <c:x val="4.4383202099737541E-2"/>
          <c:y val="0.95682955459713281"/>
          <c:w val="0.9399221203906889"/>
          <c:h val="3.061818277740407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NZ" sz="2000"/>
              <a:t>Total FTE required</a:t>
            </a:r>
          </a:p>
          <a:p>
            <a:pPr>
              <a:defRPr/>
            </a:pPr>
            <a:r>
              <a:rPr lang="en-NZ" sz="1200"/>
              <a:t>Education &amp; Care services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2"/>
          <c:order val="1"/>
          <c:tx>
            <c:strRef>
              <c:f>'T19.1'!$D$4</c:f>
              <c:strCache>
                <c:ptCount val="1"/>
                <c:pt idx="0">
                  <c:v>Supply (Actual)</c:v>
                </c:pt>
              </c:strCache>
            </c:strRef>
          </c:tx>
          <c:spPr>
            <a:ln w="28575" cap="rnd">
              <a:solidFill>
                <a:schemeClr val="accent3"/>
              </a:solidFill>
              <a:round/>
            </a:ln>
            <a:effectLst/>
          </c:spPr>
          <c:marker>
            <c:symbol val="none"/>
          </c:marker>
          <c:trendline>
            <c:spPr>
              <a:ln w="19050" cap="rnd">
                <a:solidFill>
                  <a:schemeClr val="accent3"/>
                </a:solidFill>
                <a:prstDash val="sysDot"/>
              </a:ln>
              <a:effectLst/>
            </c:spPr>
            <c:trendlineType val="linear"/>
            <c:dispRSqr val="0"/>
            <c:dispEq val="0"/>
          </c:trendline>
          <c:cat>
            <c:numRef>
              <c:f>'T19.1'!$A$5:$A$24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'T19.1'!$D$5:$D$24</c:f>
              <c:numCache>
                <c:formatCode>#,##0</c:formatCode>
                <c:ptCount val="20"/>
                <c:pt idx="0">
                  <c:v>7344.9749999999995</c:v>
                </c:pt>
                <c:pt idx="1">
                  <c:v>7710.45</c:v>
                </c:pt>
                <c:pt idx="2">
                  <c:v>7918.3499999999995</c:v>
                </c:pt>
                <c:pt idx="3">
                  <c:v>8265.6224000000002</c:v>
                </c:pt>
                <c:pt idx="4">
                  <c:v>7895.5457999999999</c:v>
                </c:pt>
                <c:pt idx="5">
                  <c:v>8837.4024000000009</c:v>
                </c:pt>
                <c:pt idx="6">
                  <c:v>8375.9538000000011</c:v>
                </c:pt>
                <c:pt idx="7">
                  <c:v>9144.74</c:v>
                </c:pt>
                <c:pt idx="8">
                  <c:v>8918.8559999999998</c:v>
                </c:pt>
              </c:numCache>
            </c:numRef>
          </c:val>
          <c:smooth val="1"/>
          <c:extLst>
            <c:ext xmlns:c16="http://schemas.microsoft.com/office/drawing/2014/chart" uri="{C3380CC4-5D6E-409C-BE32-E72D297353CC}">
              <c16:uniqueId val="{00000002-1FC6-442C-9B00-A46FD5B6B7FE}"/>
            </c:ext>
          </c:extLst>
        </c:ser>
        <c:ser>
          <c:idx val="0"/>
          <c:order val="2"/>
          <c:tx>
            <c:strRef>
              <c:f>'T19.1'!$B$4</c:f>
              <c:strCache>
                <c:ptCount val="1"/>
                <c:pt idx="0">
                  <c:v>Total Demand (Low)</c:v>
                </c:pt>
              </c:strCache>
            </c:strRef>
          </c:tx>
          <c:spPr>
            <a:ln w="28575" cap="rnd">
              <a:solidFill>
                <a:schemeClr val="accent1"/>
              </a:solidFill>
              <a:prstDash val="dash"/>
              <a:round/>
            </a:ln>
            <a:effectLst/>
          </c:spPr>
          <c:marker>
            <c:symbol val="none"/>
          </c:marker>
          <c:cat>
            <c:numRef>
              <c:f>'T19.1'!$A$5:$A$24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'T19.1'!$B$5:$B$24</c:f>
              <c:numCache>
                <c:formatCode>#,##0</c:formatCode>
                <c:ptCount val="20"/>
                <c:pt idx="8">
                  <c:v>8918.8559999999998</c:v>
                </c:pt>
                <c:pt idx="9">
                  <c:v>6785</c:v>
                </c:pt>
                <c:pt idx="10">
                  <c:v>6640</c:v>
                </c:pt>
                <c:pt idx="11">
                  <c:v>6495</c:v>
                </c:pt>
                <c:pt idx="12">
                  <c:v>6495</c:v>
                </c:pt>
                <c:pt idx="13">
                  <c:v>6495</c:v>
                </c:pt>
                <c:pt idx="14">
                  <c:v>6475</c:v>
                </c:pt>
                <c:pt idx="15">
                  <c:v>6465</c:v>
                </c:pt>
                <c:pt idx="16">
                  <c:v>6445</c:v>
                </c:pt>
                <c:pt idx="17">
                  <c:v>6440</c:v>
                </c:pt>
                <c:pt idx="18">
                  <c:v>6435</c:v>
                </c:pt>
                <c:pt idx="19">
                  <c:v>6445</c:v>
                </c:pt>
              </c:numCache>
            </c:numRef>
          </c:val>
          <c:smooth val="1"/>
          <c:extLst>
            <c:ext xmlns:c16="http://schemas.microsoft.com/office/drawing/2014/chart" uri="{C3380CC4-5D6E-409C-BE32-E72D297353CC}">
              <c16:uniqueId val="{00000000-1FC6-442C-9B00-A46FD5B6B7FE}"/>
            </c:ext>
          </c:extLst>
        </c:ser>
        <c:ser>
          <c:idx val="3"/>
          <c:order val="3"/>
          <c:tx>
            <c:strRef>
              <c:f>'T19.1'!$E$4</c:f>
              <c:strCache>
                <c:ptCount val="1"/>
                <c:pt idx="0">
                  <c:v>Total Demand (Medium)</c:v>
                </c:pt>
              </c:strCache>
            </c:strRef>
          </c:tx>
          <c:spPr>
            <a:ln w="28575" cap="rnd">
              <a:solidFill>
                <a:schemeClr val="accent3"/>
              </a:solidFill>
              <a:prstDash val="dash"/>
              <a:round/>
            </a:ln>
            <a:effectLst/>
          </c:spPr>
          <c:marker>
            <c:symbol val="none"/>
          </c:marker>
          <c:cat>
            <c:numRef>
              <c:f>'T19.1'!$A$5:$A$24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'T19.1'!$E$5:$E$24</c:f>
              <c:numCache>
                <c:formatCode>#,##0</c:formatCode>
                <c:ptCount val="20"/>
                <c:pt idx="8">
                  <c:v>8918.8559999999998</c:v>
                </c:pt>
                <c:pt idx="9">
                  <c:v>7635</c:v>
                </c:pt>
                <c:pt idx="10">
                  <c:v>7520</c:v>
                </c:pt>
                <c:pt idx="11">
                  <c:v>7420</c:v>
                </c:pt>
                <c:pt idx="12">
                  <c:v>7490</c:v>
                </c:pt>
                <c:pt idx="13">
                  <c:v>7575</c:v>
                </c:pt>
                <c:pt idx="14">
                  <c:v>7615</c:v>
                </c:pt>
                <c:pt idx="15">
                  <c:v>7650</c:v>
                </c:pt>
                <c:pt idx="16">
                  <c:v>7680</c:v>
                </c:pt>
                <c:pt idx="17">
                  <c:v>7720</c:v>
                </c:pt>
                <c:pt idx="18">
                  <c:v>7760</c:v>
                </c:pt>
                <c:pt idx="19">
                  <c:v>7800</c:v>
                </c:pt>
              </c:numCache>
            </c:numRef>
          </c:val>
          <c:smooth val="1"/>
          <c:extLst>
            <c:ext xmlns:c16="http://schemas.microsoft.com/office/drawing/2014/chart" uri="{C3380CC4-5D6E-409C-BE32-E72D297353CC}">
              <c16:uniqueId val="{00000003-1FC6-442C-9B00-A46FD5B6B7FE}"/>
            </c:ext>
          </c:extLst>
        </c:ser>
        <c:ser>
          <c:idx val="4"/>
          <c:order val="4"/>
          <c:tx>
            <c:strRef>
              <c:f>'T19.1'!$F$4</c:f>
              <c:strCache>
                <c:ptCount val="1"/>
                <c:pt idx="0">
                  <c:v>Total Demand (High)</c:v>
                </c:pt>
              </c:strCache>
            </c:strRef>
          </c:tx>
          <c:spPr>
            <a:ln w="28575" cap="rnd">
              <a:solidFill>
                <a:schemeClr val="accent6"/>
              </a:solidFill>
              <a:prstDash val="dash"/>
              <a:round/>
            </a:ln>
            <a:effectLst/>
          </c:spPr>
          <c:marker>
            <c:symbol val="none"/>
          </c:marker>
          <c:cat>
            <c:numRef>
              <c:f>'T19.1'!$A$5:$A$24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'T19.1'!$F$5:$F$24</c:f>
              <c:numCache>
                <c:formatCode>#,##0</c:formatCode>
                <c:ptCount val="20"/>
                <c:pt idx="8">
                  <c:v>8918.8559999999998</c:v>
                </c:pt>
                <c:pt idx="9">
                  <c:v>8240</c:v>
                </c:pt>
                <c:pt idx="10">
                  <c:v>8110</c:v>
                </c:pt>
                <c:pt idx="11">
                  <c:v>8005</c:v>
                </c:pt>
                <c:pt idx="12">
                  <c:v>8085</c:v>
                </c:pt>
                <c:pt idx="13">
                  <c:v>8175</c:v>
                </c:pt>
                <c:pt idx="14">
                  <c:v>8210</c:v>
                </c:pt>
                <c:pt idx="15">
                  <c:v>8250</c:v>
                </c:pt>
                <c:pt idx="16">
                  <c:v>8285</c:v>
                </c:pt>
                <c:pt idx="17">
                  <c:v>8325</c:v>
                </c:pt>
                <c:pt idx="18">
                  <c:v>8370</c:v>
                </c:pt>
                <c:pt idx="19">
                  <c:v>8415</c:v>
                </c:pt>
              </c:numCache>
            </c:numRef>
          </c:val>
          <c:smooth val="1"/>
          <c:extLst>
            <c:ext xmlns:c16="http://schemas.microsoft.com/office/drawing/2014/chart" uri="{C3380CC4-5D6E-409C-BE32-E72D297353CC}">
              <c16:uniqueId val="{00000004-1FC6-442C-9B00-A46FD5B6B7FE}"/>
            </c:ext>
          </c:extLst>
        </c:ser>
        <c:dLbls>
          <c:showLegendKey val="0"/>
          <c:showVal val="0"/>
          <c:showCatName val="0"/>
          <c:showSerName val="0"/>
          <c:showPercent val="0"/>
          <c:showBubbleSize val="0"/>
        </c:dLbls>
        <c:marker val="1"/>
        <c:smooth val="0"/>
        <c:axId val="154039360"/>
        <c:axId val="154051360"/>
      </c:lineChart>
      <c:lineChart>
        <c:grouping val="standard"/>
        <c:varyColors val="0"/>
        <c:ser>
          <c:idx val="5"/>
          <c:order val="0"/>
          <c:tx>
            <c:v>Population</c:v>
          </c:tx>
          <c:spPr>
            <a:ln w="28575" cap="rnd">
              <a:solidFill>
                <a:srgbClr val="C00000"/>
              </a:solidFill>
              <a:round/>
            </a:ln>
            <a:effectLst/>
          </c:spPr>
          <c:marker>
            <c:symbol val="none"/>
          </c:marker>
          <c:val>
            <c:numRef>
              <c:f>'T2'!$R$6:$R$25</c:f>
              <c:numCache>
                <c:formatCode>_-* #,##0_-;\-* #,##0_-;_-* "-"??_-;_-@_-</c:formatCode>
                <c:ptCount val="20"/>
                <c:pt idx="0">
                  <c:v>304710</c:v>
                </c:pt>
                <c:pt idx="1">
                  <c:v>305520</c:v>
                </c:pt>
                <c:pt idx="2">
                  <c:v>305030</c:v>
                </c:pt>
                <c:pt idx="3">
                  <c:v>305330</c:v>
                </c:pt>
                <c:pt idx="4">
                  <c:v>305200</c:v>
                </c:pt>
                <c:pt idx="5">
                  <c:v>304370</c:v>
                </c:pt>
                <c:pt idx="6">
                  <c:v>302730</c:v>
                </c:pt>
                <c:pt idx="7">
                  <c:v>302310</c:v>
                </c:pt>
                <c:pt idx="8">
                  <c:v>300700</c:v>
                </c:pt>
              </c:numCache>
            </c:numRef>
          </c:val>
          <c:smooth val="1"/>
          <c:extLst>
            <c:ext xmlns:c16="http://schemas.microsoft.com/office/drawing/2014/chart" uri="{C3380CC4-5D6E-409C-BE32-E72D297353CC}">
              <c16:uniqueId val="{0000000C-1FC6-442C-9B00-A46FD5B6B7FE}"/>
            </c:ext>
          </c:extLst>
        </c:ser>
        <c:ser>
          <c:idx val="6"/>
          <c:order val="5"/>
          <c:tx>
            <c:v>Population (forecast)</c:v>
          </c:tx>
          <c:spPr>
            <a:ln w="28575" cap="rnd">
              <a:solidFill>
                <a:srgbClr val="C00000"/>
              </a:solidFill>
              <a:prstDash val="dash"/>
              <a:round/>
            </a:ln>
            <a:effectLst/>
          </c:spPr>
          <c:marker>
            <c:symbol val="none"/>
          </c:marker>
          <c:val>
            <c:numRef>
              <c:f>'T2'!$S$6:$S$25</c:f>
              <c:numCache>
                <c:formatCode>_-* #,##0_-;\-* #,##0_-;_-* "-"??_-;_-@_-</c:formatCode>
                <c:ptCount val="20"/>
                <c:pt idx="8">
                  <c:v>300700</c:v>
                </c:pt>
                <c:pt idx="9">
                  <c:v>297410</c:v>
                </c:pt>
                <c:pt idx="10">
                  <c:v>293620</c:v>
                </c:pt>
                <c:pt idx="11">
                  <c:v>290450</c:v>
                </c:pt>
                <c:pt idx="12">
                  <c:v>291600</c:v>
                </c:pt>
                <c:pt idx="13">
                  <c:v>292850</c:v>
                </c:pt>
                <c:pt idx="14">
                  <c:v>292960</c:v>
                </c:pt>
                <c:pt idx="15">
                  <c:v>293000</c:v>
                </c:pt>
                <c:pt idx="16">
                  <c:v>293040</c:v>
                </c:pt>
                <c:pt idx="17">
                  <c:v>293200</c:v>
                </c:pt>
                <c:pt idx="18">
                  <c:v>293550</c:v>
                </c:pt>
                <c:pt idx="19">
                  <c:v>294150</c:v>
                </c:pt>
              </c:numCache>
            </c:numRef>
          </c:val>
          <c:smooth val="1"/>
          <c:extLst>
            <c:ext xmlns:c16="http://schemas.microsoft.com/office/drawing/2014/chart" uri="{C3380CC4-5D6E-409C-BE32-E72D297353CC}">
              <c16:uniqueId val="{0000000D-1FC6-442C-9B00-A46FD5B6B7FE}"/>
            </c:ext>
          </c:extLst>
        </c:ser>
        <c:dLbls>
          <c:showLegendKey val="0"/>
          <c:showVal val="0"/>
          <c:showCatName val="0"/>
          <c:showSerName val="0"/>
          <c:showPercent val="0"/>
          <c:showBubbleSize val="0"/>
        </c:dLbls>
        <c:marker val="1"/>
        <c:smooth val="0"/>
        <c:axId val="778123840"/>
        <c:axId val="778116160"/>
      </c:lineChart>
      <c:catAx>
        <c:axId val="1540393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54051360"/>
        <c:crosses val="autoZero"/>
        <c:auto val="1"/>
        <c:lblAlgn val="ctr"/>
        <c:lblOffset val="100"/>
        <c:noMultiLvlLbl val="0"/>
      </c:catAx>
      <c:valAx>
        <c:axId val="1540513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NZ" sz="1600"/>
                  <a:t> ECE teachers needed</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54039360"/>
        <c:crosses val="autoZero"/>
        <c:crossBetween val="between"/>
      </c:valAx>
      <c:valAx>
        <c:axId val="778116160"/>
        <c:scaling>
          <c:orientation val="minMax"/>
          <c:max val="400000"/>
          <c:min val="50000"/>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NZ" sz="1600"/>
                  <a:t>Population aged under 5</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 #,##0_-;\-* #,##0_-;_-* &quot;-&quot;??_-;_-@_-" sourceLinked="1"/>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778123840"/>
        <c:crosses val="max"/>
        <c:crossBetween val="between"/>
      </c:valAx>
      <c:catAx>
        <c:axId val="778123840"/>
        <c:scaling>
          <c:orientation val="minMax"/>
        </c:scaling>
        <c:delete val="1"/>
        <c:axPos val="b"/>
        <c:numFmt formatCode="General" sourceLinked="1"/>
        <c:majorTickMark val="out"/>
        <c:minorTickMark val="none"/>
        <c:tickLblPos val="nextTo"/>
        <c:crossAx val="778116160"/>
        <c:crosses val="autoZero"/>
        <c:auto val="1"/>
        <c:lblAlgn val="ctr"/>
        <c:lblOffset val="100"/>
        <c:noMultiLvlLbl val="0"/>
      </c:catAx>
      <c:spPr>
        <a:noFill/>
        <a:ln>
          <a:noFill/>
        </a:ln>
        <a:effectLst/>
      </c:spPr>
    </c:plotArea>
    <c:legend>
      <c:legendPos val="b"/>
      <c:legendEntry>
        <c:idx val="5"/>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NZ"/>
              <a:t>Qualified Teacher demand </a:t>
            </a:r>
            <a:r>
              <a:rPr lang="en-NZ" sz="1400" b="0" i="0" u="none" strike="noStrike" kern="1200" spc="0" baseline="0">
                <a:solidFill>
                  <a:sysClr val="windowText" lastClr="000000">
                    <a:lumMod val="65000"/>
                    <a:lumOff val="35000"/>
                  </a:sysClr>
                </a:solidFill>
                <a:latin typeface="+mn-lt"/>
                <a:ea typeface="+mn-ea"/>
                <a:cs typeface="+mn-cs"/>
              </a:rPr>
              <a:t>- Centre-based, teacher-led services</a:t>
            </a:r>
          </a:p>
          <a:p>
            <a:pPr marL="0" marR="0" lvl="0" indent="0" algn="ctr" defTabSz="914400" rtl="0" eaLnBrk="1" fontAlgn="auto" latinLnBrk="0" hangingPunct="1">
              <a:lnSpc>
                <a:spcPct val="100000"/>
              </a:lnSpc>
              <a:spcBef>
                <a:spcPts val="0"/>
              </a:spcBef>
              <a:spcAft>
                <a:spcPts val="0"/>
              </a:spcAft>
              <a:buClrTx/>
              <a:buSzTx/>
              <a:buFontTx/>
              <a:buNone/>
              <a:tabLst/>
              <a:defRPr>
                <a:solidFill>
                  <a:sysClr val="windowText" lastClr="000000">
                    <a:lumMod val="65000"/>
                    <a:lumOff val="35000"/>
                  </a:sysClr>
                </a:solidFill>
              </a:defRPr>
            </a:pPr>
            <a:r>
              <a:rPr lang="en-NZ" sz="1200" i="1"/>
              <a:t>with straight-line supply trend</a:t>
            </a:r>
          </a:p>
          <a:p>
            <a:pPr marL="0" marR="0" lvl="0" indent="0" algn="ctr" defTabSz="914400" rtl="0" eaLnBrk="1" fontAlgn="auto" latinLnBrk="0" hangingPunct="1">
              <a:lnSpc>
                <a:spcPct val="100000"/>
              </a:lnSpc>
              <a:spcBef>
                <a:spcPts val="0"/>
              </a:spcBef>
              <a:spcAft>
                <a:spcPts val="0"/>
              </a:spcAft>
              <a:buClrTx/>
              <a:buSzTx/>
              <a:buFontTx/>
              <a:buNone/>
              <a:tabLst/>
              <a:defRPr>
                <a:solidFill>
                  <a:sysClr val="windowText" lastClr="000000">
                    <a:lumMod val="65000"/>
                    <a:lumOff val="35000"/>
                  </a:sysClr>
                </a:solidFill>
              </a:defRPr>
            </a:pPr>
            <a:r>
              <a:rPr lang="en-NZ" sz="1200" b="0" i="0" u="none" strike="noStrike" kern="1200" spc="0" baseline="0">
                <a:solidFill>
                  <a:sysClr val="windowText" lastClr="000000">
                    <a:lumMod val="65000"/>
                    <a:lumOff val="35000"/>
                  </a:sysClr>
                </a:solidFill>
              </a:rPr>
              <a:t>assumes that work pattern changes will follow 2018-2023 direction</a:t>
            </a:r>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lineChart>
        <c:grouping val="standard"/>
        <c:varyColors val="0"/>
        <c:ser>
          <c:idx val="1"/>
          <c:order val="0"/>
          <c:tx>
            <c:strRef>
              <c:f>'T19'!$I$4</c:f>
              <c:strCache>
                <c:ptCount val="1"/>
                <c:pt idx="0">
                  <c:v>Supply (Actual)</c:v>
                </c:pt>
              </c:strCache>
            </c:strRef>
          </c:tx>
          <c:spPr>
            <a:ln w="28575" cap="rnd">
              <a:solidFill>
                <a:schemeClr val="accent2"/>
              </a:solidFill>
              <a:round/>
            </a:ln>
            <a:effectLst/>
          </c:spPr>
          <c:marker>
            <c:symbol val="none"/>
          </c:marker>
          <c:trendline>
            <c:spPr>
              <a:ln w="19050" cap="rnd">
                <a:solidFill>
                  <a:schemeClr val="accent2"/>
                </a:solidFill>
                <a:prstDash val="sysDot"/>
              </a:ln>
              <a:effectLst/>
            </c:spPr>
            <c:trendlineType val="linear"/>
            <c:dispRSqr val="0"/>
            <c:dispEq val="0"/>
          </c:trendline>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'T19'!$I$5:$I$24</c:f>
              <c:numCache>
                <c:formatCode>#,##0</c:formatCode>
                <c:ptCount val="20"/>
                <c:pt idx="0">
                  <c:v>5506.0499999999993</c:v>
                </c:pt>
                <c:pt idx="1">
                  <c:v>5586.0749999999998</c:v>
                </c:pt>
                <c:pt idx="2">
                  <c:v>5603.4</c:v>
                </c:pt>
                <c:pt idx="3">
                  <c:v>5736.9535999999998</c:v>
                </c:pt>
                <c:pt idx="4">
                  <c:v>5739.1117999999997</c:v>
                </c:pt>
                <c:pt idx="5">
                  <c:v>6149.2128000000002</c:v>
                </c:pt>
                <c:pt idx="6">
                  <c:v>6014.9918000000007</c:v>
                </c:pt>
                <c:pt idx="7">
                  <c:v>6484.4520000000002</c:v>
                </c:pt>
                <c:pt idx="8">
                  <c:v>6701.0111999999999</c:v>
                </c:pt>
              </c:numCache>
            </c:numRef>
          </c:val>
          <c:smooth val="1"/>
          <c:extLst>
            <c:ext xmlns:c16="http://schemas.microsoft.com/office/drawing/2014/chart" uri="{C3380CC4-5D6E-409C-BE32-E72D297353CC}">
              <c16:uniqueId val="{00000001-B7E4-4F55-B8C1-24CFB5EBC7C5}"/>
            </c:ext>
          </c:extLst>
        </c:ser>
        <c:ser>
          <c:idx val="0"/>
          <c:order val="1"/>
          <c:tx>
            <c:strRef>
              <c:f>'T19'!$H$4</c:f>
              <c:strCache>
                <c:ptCount val="1"/>
                <c:pt idx="0">
                  <c:v>Teachers needed (50% qualified)</c:v>
                </c:pt>
              </c:strCache>
            </c:strRef>
          </c:tx>
          <c:spPr>
            <a:ln w="28575" cap="rnd">
              <a:solidFill>
                <a:schemeClr val="accent1"/>
              </a:solidFill>
              <a:prstDash val="lgDash"/>
              <a:round/>
            </a:ln>
            <a:effectLst/>
          </c:spPr>
          <c:marker>
            <c:symbol val="none"/>
          </c:marker>
          <c:dPt>
            <c:idx val="0"/>
            <c:marker>
              <c:symbol val="none"/>
            </c:marker>
            <c:bubble3D val="0"/>
            <c:spPr>
              <a:ln w="28575" cap="rnd">
                <a:solidFill>
                  <a:schemeClr val="accent1"/>
                </a:solidFill>
                <a:prstDash val="lgDash"/>
                <a:round/>
              </a:ln>
              <a:effectLst/>
            </c:spPr>
            <c:extLst>
              <c:ext xmlns:c16="http://schemas.microsoft.com/office/drawing/2014/chart" uri="{C3380CC4-5D6E-409C-BE32-E72D297353CC}">
                <c16:uniqueId val="{0000001C-2B51-41D2-9021-3F0BD87C3704}"/>
              </c:ext>
            </c:extLst>
          </c:dPt>
          <c:dPt>
            <c:idx val="1"/>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1D-2B51-41D2-9021-3F0BD87C3704}"/>
              </c:ext>
            </c:extLst>
          </c:dPt>
          <c:dPt>
            <c:idx val="2"/>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1E-2B51-41D2-9021-3F0BD87C3704}"/>
              </c:ext>
            </c:extLst>
          </c:dPt>
          <c:dPt>
            <c:idx val="3"/>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1F-2B51-41D2-9021-3F0BD87C3704}"/>
              </c:ext>
            </c:extLst>
          </c:dPt>
          <c:dPt>
            <c:idx val="4"/>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20-2B51-41D2-9021-3F0BD87C3704}"/>
              </c:ext>
            </c:extLst>
          </c:dPt>
          <c:dPt>
            <c:idx val="5"/>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21-2B51-41D2-9021-3F0BD87C3704}"/>
              </c:ext>
            </c:extLst>
          </c:dPt>
          <c:dPt>
            <c:idx val="6"/>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22-2B51-41D2-9021-3F0BD87C3704}"/>
              </c:ext>
            </c:extLst>
          </c:dPt>
          <c:dPt>
            <c:idx val="7"/>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23-2B51-41D2-9021-3F0BD87C3704}"/>
              </c:ext>
            </c:extLst>
          </c:dPt>
          <c:dPt>
            <c:idx val="8"/>
            <c:marker>
              <c:symbol val="none"/>
            </c:marker>
            <c:bubble3D val="0"/>
            <c:spPr>
              <a:ln w="28575" cap="rnd">
                <a:solidFill>
                  <a:schemeClr val="accent1"/>
                </a:solidFill>
                <a:prstDash val="solid"/>
                <a:round/>
              </a:ln>
              <a:effectLst/>
            </c:spPr>
            <c:extLst>
              <c:ext xmlns:c16="http://schemas.microsoft.com/office/drawing/2014/chart" uri="{C3380CC4-5D6E-409C-BE32-E72D297353CC}">
                <c16:uniqueId val="{00000024-2B51-41D2-9021-3F0BD87C3704}"/>
              </c:ext>
            </c:extLst>
          </c:dPt>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'T19'!$H$5:$H$24</c:f>
              <c:numCache>
                <c:formatCode>#,##0</c:formatCode>
                <c:ptCount val="20"/>
                <c:pt idx="0">
                  <c:v>3162.5</c:v>
                </c:pt>
                <c:pt idx="1">
                  <c:v>3190</c:v>
                </c:pt>
                <c:pt idx="2">
                  <c:v>3225</c:v>
                </c:pt>
                <c:pt idx="3">
                  <c:v>3235</c:v>
                </c:pt>
                <c:pt idx="4">
                  <c:v>3062.5</c:v>
                </c:pt>
                <c:pt idx="5">
                  <c:v>3127.5</c:v>
                </c:pt>
                <c:pt idx="6">
                  <c:v>2912.5</c:v>
                </c:pt>
                <c:pt idx="7">
                  <c:v>3212.5</c:v>
                </c:pt>
                <c:pt idx="8">
                  <c:v>3325</c:v>
                </c:pt>
                <c:pt idx="9">
                  <c:v>4040</c:v>
                </c:pt>
                <c:pt idx="10">
                  <c:v>3950</c:v>
                </c:pt>
                <c:pt idx="11">
                  <c:v>3865</c:v>
                </c:pt>
                <c:pt idx="12">
                  <c:v>3870</c:v>
                </c:pt>
                <c:pt idx="13">
                  <c:v>3870</c:v>
                </c:pt>
                <c:pt idx="14">
                  <c:v>3855</c:v>
                </c:pt>
                <c:pt idx="15">
                  <c:v>3850</c:v>
                </c:pt>
                <c:pt idx="16">
                  <c:v>3835</c:v>
                </c:pt>
                <c:pt idx="17">
                  <c:v>3830</c:v>
                </c:pt>
                <c:pt idx="18">
                  <c:v>3830</c:v>
                </c:pt>
                <c:pt idx="19">
                  <c:v>3835</c:v>
                </c:pt>
              </c:numCache>
            </c:numRef>
          </c:val>
          <c:smooth val="1"/>
          <c:extLst>
            <c:ext xmlns:c16="http://schemas.microsoft.com/office/drawing/2014/chart" uri="{C3380CC4-5D6E-409C-BE32-E72D297353CC}">
              <c16:uniqueId val="{00000000-B7E4-4F55-B8C1-24CFB5EBC7C5}"/>
            </c:ext>
          </c:extLst>
        </c:ser>
        <c:ser>
          <c:idx val="2"/>
          <c:order val="2"/>
          <c:tx>
            <c:strRef>
              <c:f>'T19'!$J$4</c:f>
              <c:strCache>
                <c:ptCount val="1"/>
                <c:pt idx="0">
                  <c:v>Teachers needed (80% qualified)</c:v>
                </c:pt>
              </c:strCache>
            </c:strRef>
          </c:tx>
          <c:spPr>
            <a:ln w="28575" cap="rnd">
              <a:solidFill>
                <a:schemeClr val="accent3">
                  <a:lumMod val="40000"/>
                  <a:lumOff val="60000"/>
                </a:schemeClr>
              </a:solidFill>
              <a:prstDash val="lgDash"/>
              <a:round/>
            </a:ln>
            <a:effectLst/>
          </c:spPr>
          <c:marker>
            <c:symbol val="none"/>
          </c:marker>
          <c:dPt>
            <c:idx val="0"/>
            <c:marker>
              <c:symbol val="none"/>
            </c:marker>
            <c:bubble3D val="0"/>
            <c:spPr>
              <a:ln w="28575" cap="rnd">
                <a:solidFill>
                  <a:schemeClr val="accent3">
                    <a:lumMod val="40000"/>
                    <a:lumOff val="60000"/>
                  </a:schemeClr>
                </a:solidFill>
                <a:prstDash val="lgDash"/>
                <a:round/>
              </a:ln>
              <a:effectLst/>
            </c:spPr>
            <c:extLst>
              <c:ext xmlns:c16="http://schemas.microsoft.com/office/drawing/2014/chart" uri="{C3380CC4-5D6E-409C-BE32-E72D297353CC}">
                <c16:uniqueId val="{00000001-2B51-41D2-9021-3F0BD87C3704}"/>
              </c:ext>
            </c:extLst>
          </c:dPt>
          <c:dPt>
            <c:idx val="1"/>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2-2B51-41D2-9021-3F0BD87C3704}"/>
              </c:ext>
            </c:extLst>
          </c:dPt>
          <c:dPt>
            <c:idx val="2"/>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3-2B51-41D2-9021-3F0BD87C3704}"/>
              </c:ext>
            </c:extLst>
          </c:dPt>
          <c:dPt>
            <c:idx val="3"/>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4-2B51-41D2-9021-3F0BD87C3704}"/>
              </c:ext>
            </c:extLst>
          </c:dPt>
          <c:dPt>
            <c:idx val="4"/>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5-2B51-41D2-9021-3F0BD87C3704}"/>
              </c:ext>
            </c:extLst>
          </c:dPt>
          <c:dPt>
            <c:idx val="5"/>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6-2B51-41D2-9021-3F0BD87C3704}"/>
              </c:ext>
            </c:extLst>
          </c:dPt>
          <c:dPt>
            <c:idx val="6"/>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7-2B51-41D2-9021-3F0BD87C3704}"/>
              </c:ext>
            </c:extLst>
          </c:dPt>
          <c:dPt>
            <c:idx val="7"/>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8-2B51-41D2-9021-3F0BD87C3704}"/>
              </c:ext>
            </c:extLst>
          </c:dPt>
          <c:dPt>
            <c:idx val="8"/>
            <c:marker>
              <c:symbol val="none"/>
            </c:marker>
            <c:bubble3D val="0"/>
            <c:spPr>
              <a:ln w="28575" cap="rnd">
                <a:solidFill>
                  <a:schemeClr val="accent3">
                    <a:lumMod val="40000"/>
                    <a:lumOff val="60000"/>
                  </a:schemeClr>
                </a:solidFill>
                <a:prstDash val="solid"/>
                <a:round/>
              </a:ln>
              <a:effectLst/>
            </c:spPr>
            <c:extLst>
              <c:ext xmlns:c16="http://schemas.microsoft.com/office/drawing/2014/chart" uri="{C3380CC4-5D6E-409C-BE32-E72D297353CC}">
                <c16:uniqueId val="{00000009-2B51-41D2-9021-3F0BD87C3704}"/>
              </c:ext>
            </c:extLst>
          </c:dPt>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'T19'!$J$5:$J$24</c:f>
              <c:numCache>
                <c:formatCode>#,##0</c:formatCode>
                <c:ptCount val="20"/>
                <c:pt idx="0">
                  <c:v>5060</c:v>
                </c:pt>
                <c:pt idx="1">
                  <c:v>5104</c:v>
                </c:pt>
                <c:pt idx="2">
                  <c:v>5160</c:v>
                </c:pt>
                <c:pt idx="3">
                  <c:v>5176</c:v>
                </c:pt>
                <c:pt idx="4">
                  <c:v>4900</c:v>
                </c:pt>
                <c:pt idx="5">
                  <c:v>5004</c:v>
                </c:pt>
                <c:pt idx="6">
                  <c:v>4660</c:v>
                </c:pt>
                <c:pt idx="7">
                  <c:v>5140</c:v>
                </c:pt>
                <c:pt idx="8">
                  <c:v>5320</c:v>
                </c:pt>
                <c:pt idx="9">
                  <c:v>5625</c:v>
                </c:pt>
                <c:pt idx="10">
                  <c:v>5540</c:v>
                </c:pt>
                <c:pt idx="11">
                  <c:v>5465</c:v>
                </c:pt>
                <c:pt idx="12">
                  <c:v>5520</c:v>
                </c:pt>
                <c:pt idx="13">
                  <c:v>5580</c:v>
                </c:pt>
                <c:pt idx="14">
                  <c:v>5605</c:v>
                </c:pt>
                <c:pt idx="15">
                  <c:v>5630</c:v>
                </c:pt>
                <c:pt idx="16">
                  <c:v>5655</c:v>
                </c:pt>
                <c:pt idx="17">
                  <c:v>5685</c:v>
                </c:pt>
                <c:pt idx="18">
                  <c:v>5720</c:v>
                </c:pt>
                <c:pt idx="19">
                  <c:v>5745</c:v>
                </c:pt>
              </c:numCache>
            </c:numRef>
          </c:val>
          <c:smooth val="1"/>
          <c:extLst>
            <c:ext xmlns:c16="http://schemas.microsoft.com/office/drawing/2014/chart" uri="{C3380CC4-5D6E-409C-BE32-E72D297353CC}">
              <c16:uniqueId val="{00000002-B7E4-4F55-B8C1-24CFB5EBC7C5}"/>
            </c:ext>
          </c:extLst>
        </c:ser>
        <c:ser>
          <c:idx val="3"/>
          <c:order val="3"/>
          <c:tx>
            <c:strRef>
              <c:f>'T19'!$K$4</c:f>
              <c:strCache>
                <c:ptCount val="1"/>
                <c:pt idx="0">
                  <c:v>Teachers needed (100% qualified)</c:v>
                </c:pt>
              </c:strCache>
            </c:strRef>
          </c:tx>
          <c:spPr>
            <a:ln w="28575" cap="rnd">
              <a:solidFill>
                <a:schemeClr val="accent4"/>
              </a:solidFill>
              <a:prstDash val="lgDash"/>
              <a:round/>
            </a:ln>
            <a:effectLst/>
          </c:spPr>
          <c:marker>
            <c:symbol val="none"/>
          </c:marker>
          <c:dPt>
            <c:idx val="0"/>
            <c:marker>
              <c:symbol val="none"/>
            </c:marker>
            <c:bubble3D val="0"/>
            <c:spPr>
              <a:ln w="28575" cap="rnd">
                <a:solidFill>
                  <a:schemeClr val="accent4"/>
                </a:solidFill>
                <a:prstDash val="lgDash"/>
                <a:round/>
              </a:ln>
              <a:effectLst/>
            </c:spPr>
            <c:extLst>
              <c:ext xmlns:c16="http://schemas.microsoft.com/office/drawing/2014/chart" uri="{C3380CC4-5D6E-409C-BE32-E72D297353CC}">
                <c16:uniqueId val="{00000013-2B51-41D2-9021-3F0BD87C3704}"/>
              </c:ext>
            </c:extLst>
          </c:dPt>
          <c:dPt>
            <c:idx val="1"/>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4-2B51-41D2-9021-3F0BD87C3704}"/>
              </c:ext>
            </c:extLst>
          </c:dPt>
          <c:dPt>
            <c:idx val="2"/>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5-2B51-41D2-9021-3F0BD87C3704}"/>
              </c:ext>
            </c:extLst>
          </c:dPt>
          <c:dPt>
            <c:idx val="3"/>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6-2B51-41D2-9021-3F0BD87C3704}"/>
              </c:ext>
            </c:extLst>
          </c:dPt>
          <c:dPt>
            <c:idx val="4"/>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7-2B51-41D2-9021-3F0BD87C3704}"/>
              </c:ext>
            </c:extLst>
          </c:dPt>
          <c:dPt>
            <c:idx val="5"/>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8-2B51-41D2-9021-3F0BD87C3704}"/>
              </c:ext>
            </c:extLst>
          </c:dPt>
          <c:dPt>
            <c:idx val="6"/>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9-2B51-41D2-9021-3F0BD87C3704}"/>
              </c:ext>
            </c:extLst>
          </c:dPt>
          <c:dPt>
            <c:idx val="7"/>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A-2B51-41D2-9021-3F0BD87C3704}"/>
              </c:ext>
            </c:extLst>
          </c:dPt>
          <c:dPt>
            <c:idx val="8"/>
            <c:marker>
              <c:symbol val="none"/>
            </c:marker>
            <c:bubble3D val="0"/>
            <c:spPr>
              <a:ln w="28575" cap="rnd">
                <a:solidFill>
                  <a:schemeClr val="accent4"/>
                </a:solidFill>
                <a:prstDash val="solid"/>
                <a:round/>
              </a:ln>
              <a:effectLst/>
            </c:spPr>
            <c:extLst>
              <c:ext xmlns:c16="http://schemas.microsoft.com/office/drawing/2014/chart" uri="{C3380CC4-5D6E-409C-BE32-E72D297353CC}">
                <c16:uniqueId val="{0000001B-2B51-41D2-9021-3F0BD87C3704}"/>
              </c:ext>
            </c:extLst>
          </c:dPt>
          <c:cat>
            <c:numRef>
              <c:f>'T19'!$A$5:$A$24</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'T19'!$K$5:$K$24</c:f>
              <c:numCache>
                <c:formatCode>#,##0</c:formatCode>
                <c:ptCount val="20"/>
                <c:pt idx="0">
                  <c:v>6325</c:v>
                </c:pt>
                <c:pt idx="1">
                  <c:v>6380</c:v>
                </c:pt>
                <c:pt idx="2">
                  <c:v>6450</c:v>
                </c:pt>
                <c:pt idx="3">
                  <c:v>6470</c:v>
                </c:pt>
                <c:pt idx="4">
                  <c:v>6125</c:v>
                </c:pt>
                <c:pt idx="5">
                  <c:v>6255</c:v>
                </c:pt>
                <c:pt idx="6">
                  <c:v>5825</c:v>
                </c:pt>
                <c:pt idx="7">
                  <c:v>6425</c:v>
                </c:pt>
                <c:pt idx="8">
                  <c:v>6650</c:v>
                </c:pt>
                <c:pt idx="9">
                  <c:v>9025</c:v>
                </c:pt>
                <c:pt idx="10">
                  <c:v>8885</c:v>
                </c:pt>
                <c:pt idx="11">
                  <c:v>8765</c:v>
                </c:pt>
                <c:pt idx="12">
                  <c:v>8860</c:v>
                </c:pt>
                <c:pt idx="13">
                  <c:v>8955</c:v>
                </c:pt>
                <c:pt idx="14">
                  <c:v>8995</c:v>
                </c:pt>
                <c:pt idx="15">
                  <c:v>9035</c:v>
                </c:pt>
                <c:pt idx="16">
                  <c:v>9075</c:v>
                </c:pt>
                <c:pt idx="17">
                  <c:v>9120</c:v>
                </c:pt>
                <c:pt idx="18">
                  <c:v>9170</c:v>
                </c:pt>
                <c:pt idx="19">
                  <c:v>9220</c:v>
                </c:pt>
              </c:numCache>
            </c:numRef>
          </c:val>
          <c:smooth val="1"/>
          <c:extLst>
            <c:ext xmlns:c16="http://schemas.microsoft.com/office/drawing/2014/chart" uri="{C3380CC4-5D6E-409C-BE32-E72D297353CC}">
              <c16:uniqueId val="{00000003-B7E4-4F55-B8C1-24CFB5EBC7C5}"/>
            </c:ext>
          </c:extLst>
        </c:ser>
        <c:dLbls>
          <c:showLegendKey val="0"/>
          <c:showVal val="0"/>
          <c:showCatName val="0"/>
          <c:showSerName val="0"/>
          <c:showPercent val="0"/>
          <c:showBubbleSize val="0"/>
        </c:dLbls>
        <c:smooth val="0"/>
        <c:axId val="102038415"/>
        <c:axId val="102030735"/>
      </c:lineChart>
      <c:catAx>
        <c:axId val="1020384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02030735"/>
        <c:crosses val="autoZero"/>
        <c:auto val="1"/>
        <c:lblAlgn val="ctr"/>
        <c:lblOffset val="100"/>
        <c:noMultiLvlLbl val="0"/>
      </c:catAx>
      <c:valAx>
        <c:axId val="102030735"/>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0203841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NZ"/>
              <a:t>Total FTE workforce demand</a:t>
            </a:r>
            <a:r>
              <a:rPr lang="en-NZ" baseline="0"/>
              <a:t> for </a:t>
            </a:r>
            <a:r>
              <a:rPr lang="en-NZ"/>
              <a:t>all</a:t>
            </a:r>
            <a:r>
              <a:rPr lang="en-NZ" baseline="0"/>
              <a:t> enrollable service types</a:t>
            </a:r>
          </a:p>
          <a:p>
            <a:pPr>
              <a:defRPr/>
            </a:pPr>
            <a:r>
              <a:rPr lang="en-NZ" i="1" baseline="0"/>
              <a:t>with straight-line supply trend</a:t>
            </a:r>
          </a:p>
          <a:p>
            <a:pPr>
              <a:defRPr/>
            </a:pPr>
            <a:r>
              <a:rPr lang="en-NZ" sz="1200" i="0" baseline="0"/>
              <a:t>assumes that work pattern changes will follow 2018-2023 direction</a:t>
            </a:r>
            <a:endParaRPr lang="en-NZ" sz="1200" i="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5.1234004014492962E-2"/>
          <c:y val="0.10309990591571416"/>
          <c:w val="0.92231094036746042"/>
          <c:h val="0.78343128289326314"/>
        </c:manualLayout>
      </c:layout>
      <c:lineChart>
        <c:grouping val="standard"/>
        <c:varyColors val="0"/>
        <c:ser>
          <c:idx val="2"/>
          <c:order val="0"/>
          <c:tx>
            <c:strRef>
              <c:f>'T23'!$D$5</c:f>
              <c:strCache>
                <c:ptCount val="1"/>
                <c:pt idx="0">
                  <c:v>Supply</c:v>
                </c:pt>
              </c:strCache>
            </c:strRef>
          </c:tx>
          <c:spPr>
            <a:ln w="28575" cap="rnd">
              <a:solidFill>
                <a:schemeClr val="accent3"/>
              </a:solidFill>
              <a:round/>
            </a:ln>
            <a:effectLst/>
          </c:spPr>
          <c:marker>
            <c:symbol val="none"/>
          </c:marker>
          <c:trendline>
            <c:spPr>
              <a:ln w="19050" cap="rnd">
                <a:solidFill>
                  <a:schemeClr val="accent3"/>
                </a:solidFill>
                <a:prstDash val="sysDot"/>
              </a:ln>
              <a:effectLst/>
            </c:spPr>
            <c:trendlineType val="linear"/>
            <c:dispRSqr val="0"/>
            <c:dispEq val="0"/>
          </c:trendline>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'T23'!$D$6:$D$25</c:f>
              <c:numCache>
                <c:formatCode>#,##0</c:formatCode>
                <c:ptCount val="20"/>
                <c:pt idx="0">
                  <c:v>9013.125</c:v>
                </c:pt>
                <c:pt idx="1">
                  <c:v>9374.4750000000004</c:v>
                </c:pt>
                <c:pt idx="2">
                  <c:v>9522.9750000000004</c:v>
                </c:pt>
                <c:pt idx="3">
                  <c:v>9704.4192000000003</c:v>
                </c:pt>
                <c:pt idx="4">
                  <c:v>9310.9657999999999</c:v>
                </c:pt>
                <c:pt idx="5">
                  <c:v>10301.1024</c:v>
                </c:pt>
                <c:pt idx="6">
                  <c:v>9787.4898000000012</c:v>
                </c:pt>
                <c:pt idx="7">
                  <c:v>10544.092000000001</c:v>
                </c:pt>
                <c:pt idx="8">
                  <c:v>10459.691999999999</c:v>
                </c:pt>
              </c:numCache>
            </c:numRef>
          </c:val>
          <c:smooth val="1"/>
          <c:extLst>
            <c:ext xmlns:c16="http://schemas.microsoft.com/office/drawing/2014/chart" uri="{C3380CC4-5D6E-409C-BE32-E72D297353CC}">
              <c16:uniqueId val="{00000002-8BE4-4E49-A511-ACE65724F9F4}"/>
            </c:ext>
          </c:extLst>
        </c:ser>
        <c:ser>
          <c:idx val="0"/>
          <c:order val="1"/>
          <c:tx>
            <c:strRef>
              <c:f>'T23'!$B$5</c:f>
              <c:strCache>
                <c:ptCount val="1"/>
                <c:pt idx="0">
                  <c:v>Total Demand (Low)</c:v>
                </c:pt>
              </c:strCache>
            </c:strRef>
          </c:tx>
          <c:spPr>
            <a:ln w="28575" cap="rnd">
              <a:solidFill>
                <a:schemeClr val="accent1"/>
              </a:solidFill>
              <a:prstDash val="dash"/>
              <a:round/>
            </a:ln>
            <a:effectLst/>
          </c:spPr>
          <c:marker>
            <c:symbol val="none"/>
          </c:marker>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'T23'!$B$6:$B$25</c:f>
              <c:numCache>
                <c:formatCode>#,##0</c:formatCode>
                <c:ptCount val="20"/>
                <c:pt idx="8">
                  <c:v>10459.691999999999</c:v>
                </c:pt>
                <c:pt idx="9">
                  <c:v>8515</c:v>
                </c:pt>
                <c:pt idx="10">
                  <c:v>8330</c:v>
                </c:pt>
                <c:pt idx="11">
                  <c:v>8155</c:v>
                </c:pt>
                <c:pt idx="12">
                  <c:v>8160</c:v>
                </c:pt>
                <c:pt idx="13">
                  <c:v>8160</c:v>
                </c:pt>
                <c:pt idx="14">
                  <c:v>8125</c:v>
                </c:pt>
                <c:pt idx="15">
                  <c:v>8105</c:v>
                </c:pt>
                <c:pt idx="16">
                  <c:v>8080</c:v>
                </c:pt>
                <c:pt idx="17">
                  <c:v>8060</c:v>
                </c:pt>
                <c:pt idx="18">
                  <c:v>8060</c:v>
                </c:pt>
                <c:pt idx="19">
                  <c:v>8060</c:v>
                </c:pt>
              </c:numCache>
            </c:numRef>
          </c:val>
          <c:smooth val="1"/>
          <c:extLst>
            <c:ext xmlns:c16="http://schemas.microsoft.com/office/drawing/2014/chart" uri="{C3380CC4-5D6E-409C-BE32-E72D297353CC}">
              <c16:uniqueId val="{00000000-8BE4-4E49-A511-ACE65724F9F4}"/>
            </c:ext>
          </c:extLst>
        </c:ser>
        <c:ser>
          <c:idx val="3"/>
          <c:order val="2"/>
          <c:tx>
            <c:strRef>
              <c:f>'T23'!$E$5</c:f>
              <c:strCache>
                <c:ptCount val="1"/>
                <c:pt idx="0">
                  <c:v>Total Demand (Medium)</c:v>
                </c:pt>
              </c:strCache>
            </c:strRef>
          </c:tx>
          <c:spPr>
            <a:ln w="28575" cap="rnd">
              <a:solidFill>
                <a:schemeClr val="accent3"/>
              </a:solidFill>
              <a:prstDash val="dash"/>
              <a:round/>
            </a:ln>
            <a:effectLst/>
          </c:spPr>
          <c:marker>
            <c:symbol val="none"/>
          </c:marker>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'T23'!$E$6:$E$25</c:f>
              <c:numCache>
                <c:formatCode>#,##0</c:formatCode>
                <c:ptCount val="20"/>
                <c:pt idx="8">
                  <c:v>10459.691999999999</c:v>
                </c:pt>
                <c:pt idx="9">
                  <c:v>9580</c:v>
                </c:pt>
                <c:pt idx="10">
                  <c:v>9435</c:v>
                </c:pt>
                <c:pt idx="11">
                  <c:v>9300</c:v>
                </c:pt>
                <c:pt idx="12">
                  <c:v>9400</c:v>
                </c:pt>
                <c:pt idx="13">
                  <c:v>9495</c:v>
                </c:pt>
                <c:pt idx="14">
                  <c:v>9550</c:v>
                </c:pt>
                <c:pt idx="15">
                  <c:v>9590</c:v>
                </c:pt>
                <c:pt idx="16">
                  <c:v>9630</c:v>
                </c:pt>
                <c:pt idx="17">
                  <c:v>9675</c:v>
                </c:pt>
                <c:pt idx="18">
                  <c:v>9715</c:v>
                </c:pt>
                <c:pt idx="19">
                  <c:v>9765</c:v>
                </c:pt>
              </c:numCache>
            </c:numRef>
          </c:val>
          <c:smooth val="1"/>
          <c:extLst>
            <c:ext xmlns:c16="http://schemas.microsoft.com/office/drawing/2014/chart" uri="{C3380CC4-5D6E-409C-BE32-E72D297353CC}">
              <c16:uniqueId val="{00000003-8BE4-4E49-A511-ACE65724F9F4}"/>
            </c:ext>
          </c:extLst>
        </c:ser>
        <c:ser>
          <c:idx val="4"/>
          <c:order val="3"/>
          <c:tx>
            <c:strRef>
              <c:f>'T23'!$F$5</c:f>
              <c:strCache>
                <c:ptCount val="1"/>
                <c:pt idx="0">
                  <c:v>Total Demand (High)</c:v>
                </c:pt>
              </c:strCache>
            </c:strRef>
          </c:tx>
          <c:spPr>
            <a:ln w="28575" cap="rnd">
              <a:solidFill>
                <a:schemeClr val="accent4"/>
              </a:solidFill>
              <a:prstDash val="dash"/>
              <a:round/>
            </a:ln>
            <a:effectLst/>
          </c:spPr>
          <c:marker>
            <c:symbol val="none"/>
          </c:marker>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'T23'!$F$6:$F$25</c:f>
              <c:numCache>
                <c:formatCode>#,##0</c:formatCode>
                <c:ptCount val="20"/>
                <c:pt idx="8">
                  <c:v>10459.691999999999</c:v>
                </c:pt>
                <c:pt idx="9">
                  <c:v>10330</c:v>
                </c:pt>
                <c:pt idx="10">
                  <c:v>10165</c:v>
                </c:pt>
                <c:pt idx="11">
                  <c:v>10040</c:v>
                </c:pt>
                <c:pt idx="12">
                  <c:v>10140</c:v>
                </c:pt>
                <c:pt idx="13">
                  <c:v>10250</c:v>
                </c:pt>
                <c:pt idx="14">
                  <c:v>10295</c:v>
                </c:pt>
                <c:pt idx="15">
                  <c:v>10345</c:v>
                </c:pt>
                <c:pt idx="16">
                  <c:v>10390</c:v>
                </c:pt>
                <c:pt idx="17">
                  <c:v>10435</c:v>
                </c:pt>
                <c:pt idx="18">
                  <c:v>10480</c:v>
                </c:pt>
                <c:pt idx="19">
                  <c:v>10550</c:v>
                </c:pt>
              </c:numCache>
            </c:numRef>
          </c:val>
          <c:smooth val="1"/>
          <c:extLst>
            <c:ext xmlns:c16="http://schemas.microsoft.com/office/drawing/2014/chart" uri="{C3380CC4-5D6E-409C-BE32-E72D297353CC}">
              <c16:uniqueId val="{00000004-8BE4-4E49-A511-ACE65724F9F4}"/>
            </c:ext>
          </c:extLst>
        </c:ser>
        <c:ser>
          <c:idx val="1"/>
          <c:order val="4"/>
          <c:tx>
            <c:strRef>
              <c:f>'T23'!$C$5</c:f>
              <c:strCache>
                <c:ptCount val="1"/>
                <c:pt idx="0">
                  <c:v>Demand (Realised Minimum)</c:v>
                </c:pt>
              </c:strCache>
            </c:strRef>
          </c:tx>
          <c:spPr>
            <a:ln w="28575" cap="rnd">
              <a:solidFill>
                <a:schemeClr val="accent2"/>
              </a:solidFill>
              <a:prstDash val="dash"/>
              <a:round/>
            </a:ln>
            <a:effectLst/>
          </c:spPr>
          <c:marker>
            <c:symbol val="none"/>
          </c:marker>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'T23'!$C$6:$C$25</c:f>
              <c:numCache>
                <c:formatCode>#,##0</c:formatCode>
                <c:ptCount val="20"/>
                <c:pt idx="0">
                  <c:v>7560</c:v>
                </c:pt>
                <c:pt idx="1">
                  <c:v>7690</c:v>
                </c:pt>
                <c:pt idx="2">
                  <c:v>7655</c:v>
                </c:pt>
                <c:pt idx="3">
                  <c:v>7625</c:v>
                </c:pt>
                <c:pt idx="4">
                  <c:v>7100</c:v>
                </c:pt>
                <c:pt idx="5">
                  <c:v>7145</c:v>
                </c:pt>
                <c:pt idx="6">
                  <c:v>6505</c:v>
                </c:pt>
                <c:pt idx="7">
                  <c:v>6990</c:v>
                </c:pt>
                <c:pt idx="8">
                  <c:v>7180</c:v>
                </c:pt>
              </c:numCache>
            </c:numRef>
          </c:val>
          <c:smooth val="1"/>
          <c:extLst>
            <c:ext xmlns:c16="http://schemas.microsoft.com/office/drawing/2014/chart" uri="{C3380CC4-5D6E-409C-BE32-E72D297353CC}">
              <c16:uniqueId val="{00000001-7AD0-4F97-A3B9-BCEC8B47428C}"/>
            </c:ext>
          </c:extLst>
        </c:ser>
        <c:dLbls>
          <c:showLegendKey val="0"/>
          <c:showVal val="0"/>
          <c:showCatName val="0"/>
          <c:showSerName val="0"/>
          <c:showPercent val="0"/>
          <c:showBubbleSize val="0"/>
        </c:dLbls>
        <c:smooth val="0"/>
        <c:axId val="835934176"/>
        <c:axId val="835940416"/>
      </c:lineChart>
      <c:catAx>
        <c:axId val="8359341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35940416"/>
        <c:crosses val="autoZero"/>
        <c:auto val="1"/>
        <c:lblAlgn val="ctr"/>
        <c:lblOffset val="100"/>
        <c:noMultiLvlLbl val="0"/>
      </c:catAx>
      <c:valAx>
        <c:axId val="835940416"/>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35934176"/>
        <c:crosses val="autoZero"/>
        <c:crossBetween val="between"/>
        <c:majorUnit val="5000"/>
      </c:valAx>
      <c:spPr>
        <a:noFill/>
        <a:ln>
          <a:noFill/>
        </a:ln>
        <a:effectLst/>
      </c:spPr>
    </c:plotArea>
    <c:legend>
      <c:legendPos val="b"/>
      <c:layout>
        <c:manualLayout>
          <c:xMode val="edge"/>
          <c:yMode val="edge"/>
          <c:x val="1.0039677286921359E-2"/>
          <c:y val="0.93535338893199327"/>
          <c:w val="0.85251549140003458"/>
          <c:h val="2.7324029065869945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NZ"/>
              <a:t>Qualified FTE demand</a:t>
            </a:r>
            <a:r>
              <a:rPr lang="en-NZ" baseline="0"/>
              <a:t> </a:t>
            </a:r>
            <a:r>
              <a:rPr lang="en-NZ"/>
              <a:t>all enrollable service types</a:t>
            </a:r>
          </a:p>
          <a:p>
            <a:pPr>
              <a:defRPr/>
            </a:pPr>
            <a:r>
              <a:rPr lang="en-NZ" i="1"/>
              <a:t>with straight-line</a:t>
            </a:r>
            <a:r>
              <a:rPr lang="en-NZ" i="1" baseline="0"/>
              <a:t> supply trend</a:t>
            </a:r>
            <a:endParaRPr lang="en-NZ" i="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1"/>
          <c:order val="0"/>
          <c:tx>
            <c:strRef>
              <c:f>'T23'!$I$5</c:f>
              <c:strCache>
                <c:ptCount val="1"/>
                <c:pt idx="0">
                  <c:v>Supply</c:v>
                </c:pt>
              </c:strCache>
            </c:strRef>
          </c:tx>
          <c:spPr>
            <a:ln w="28575" cap="rnd">
              <a:solidFill>
                <a:schemeClr val="accent3"/>
              </a:solidFill>
              <a:round/>
            </a:ln>
            <a:effectLst/>
          </c:spPr>
          <c:marker>
            <c:symbol val="none"/>
          </c:marker>
          <c:trendline>
            <c:spPr>
              <a:ln w="19050" cap="rnd">
                <a:solidFill>
                  <a:schemeClr val="accent2"/>
                </a:solidFill>
                <a:prstDash val="sysDot"/>
              </a:ln>
              <a:effectLst/>
            </c:spPr>
            <c:trendlineType val="linear"/>
            <c:dispRSqr val="0"/>
            <c:dispEq val="0"/>
          </c:trendline>
          <c:trendline>
            <c:spPr>
              <a:ln w="19050" cap="rnd">
                <a:solidFill>
                  <a:schemeClr val="accent3"/>
                </a:solidFill>
                <a:prstDash val="sysDot"/>
              </a:ln>
              <a:effectLst/>
            </c:spPr>
            <c:trendlineType val="linear"/>
            <c:dispRSqr val="0"/>
            <c:dispEq val="0"/>
          </c:trendline>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'T23'!$I$6:$I$25</c:f>
              <c:numCache>
                <c:formatCode>#,##0</c:formatCode>
                <c:ptCount val="20"/>
                <c:pt idx="0">
                  <c:v>6198.6374999999998</c:v>
                </c:pt>
                <c:pt idx="1">
                  <c:v>6260.0999999999995</c:v>
                </c:pt>
                <c:pt idx="2">
                  <c:v>6245.25</c:v>
                </c:pt>
                <c:pt idx="3">
                  <c:v>6372.2287999999999</c:v>
                </c:pt>
                <c:pt idx="4">
                  <c:v>6307.7776000000003</c:v>
                </c:pt>
                <c:pt idx="5">
                  <c:v>6771.0762000000004</c:v>
                </c:pt>
                <c:pt idx="6">
                  <c:v>6614.4745000000003</c:v>
                </c:pt>
                <c:pt idx="7">
                  <c:v>7033.8959999999997</c:v>
                </c:pt>
                <c:pt idx="8">
                  <c:v>7223.3739999999998</c:v>
                </c:pt>
              </c:numCache>
            </c:numRef>
          </c:val>
          <c:smooth val="1"/>
          <c:extLst>
            <c:ext xmlns:c16="http://schemas.microsoft.com/office/drawing/2014/chart" uri="{C3380CC4-5D6E-409C-BE32-E72D297353CC}">
              <c16:uniqueId val="{00000002-76A8-4ECE-8216-70FFABDDA793}"/>
            </c:ext>
          </c:extLst>
        </c:ser>
        <c:ser>
          <c:idx val="0"/>
          <c:order val="1"/>
          <c:tx>
            <c:strRef>
              <c:f>'T23'!$H$5</c:f>
              <c:strCache>
                <c:ptCount val="1"/>
                <c:pt idx="0">
                  <c:v>Demand (Low)</c:v>
                </c:pt>
              </c:strCache>
            </c:strRef>
          </c:tx>
          <c:spPr>
            <a:ln w="28575" cap="rnd">
              <a:solidFill>
                <a:schemeClr val="accent1"/>
              </a:solidFill>
              <a:prstDash val="dash"/>
              <a:round/>
            </a:ln>
            <a:effectLst/>
          </c:spPr>
          <c:marker>
            <c:symbol val="none"/>
          </c:marker>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'T23'!$H$6:$H$25</c:f>
              <c:numCache>
                <c:formatCode>#,##0</c:formatCode>
                <c:ptCount val="20"/>
                <c:pt idx="8">
                  <c:v>7223.3739999999998</c:v>
                </c:pt>
                <c:pt idx="9">
                  <c:v>5995</c:v>
                </c:pt>
                <c:pt idx="10">
                  <c:v>5865</c:v>
                </c:pt>
                <c:pt idx="11">
                  <c:v>5740</c:v>
                </c:pt>
                <c:pt idx="12">
                  <c:v>5745</c:v>
                </c:pt>
                <c:pt idx="13">
                  <c:v>5745</c:v>
                </c:pt>
                <c:pt idx="14">
                  <c:v>5720</c:v>
                </c:pt>
                <c:pt idx="15">
                  <c:v>5710</c:v>
                </c:pt>
                <c:pt idx="16">
                  <c:v>5685</c:v>
                </c:pt>
                <c:pt idx="17">
                  <c:v>5670</c:v>
                </c:pt>
                <c:pt idx="18">
                  <c:v>5670</c:v>
                </c:pt>
                <c:pt idx="19">
                  <c:v>5670</c:v>
                </c:pt>
              </c:numCache>
            </c:numRef>
          </c:val>
          <c:smooth val="1"/>
          <c:extLst>
            <c:ext xmlns:c16="http://schemas.microsoft.com/office/drawing/2014/chart" uri="{C3380CC4-5D6E-409C-BE32-E72D297353CC}">
              <c16:uniqueId val="{00000003-76A8-4ECE-8216-70FFABDDA793}"/>
            </c:ext>
          </c:extLst>
        </c:ser>
        <c:ser>
          <c:idx val="2"/>
          <c:order val="2"/>
          <c:tx>
            <c:strRef>
              <c:f>'T23'!$J$5</c:f>
              <c:strCache>
                <c:ptCount val="1"/>
                <c:pt idx="0">
                  <c:v>Demand (Medium)</c:v>
                </c:pt>
              </c:strCache>
            </c:strRef>
          </c:tx>
          <c:spPr>
            <a:ln w="28575" cap="rnd">
              <a:solidFill>
                <a:schemeClr val="accent3"/>
              </a:solidFill>
              <a:prstDash val="dash"/>
              <a:round/>
            </a:ln>
            <a:effectLst/>
          </c:spPr>
          <c:marker>
            <c:symbol val="none"/>
          </c:marker>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'T23'!$J$6:$J$25</c:f>
              <c:numCache>
                <c:formatCode>#,##0</c:formatCode>
                <c:ptCount val="20"/>
                <c:pt idx="8">
                  <c:v>7223.3739999999998</c:v>
                </c:pt>
                <c:pt idx="9">
                  <c:v>6740</c:v>
                </c:pt>
                <c:pt idx="10">
                  <c:v>6645</c:v>
                </c:pt>
                <c:pt idx="11">
                  <c:v>6550</c:v>
                </c:pt>
                <c:pt idx="12">
                  <c:v>6615</c:v>
                </c:pt>
                <c:pt idx="13">
                  <c:v>6685</c:v>
                </c:pt>
                <c:pt idx="14">
                  <c:v>6725</c:v>
                </c:pt>
                <c:pt idx="15">
                  <c:v>6755</c:v>
                </c:pt>
                <c:pt idx="16">
                  <c:v>6785</c:v>
                </c:pt>
                <c:pt idx="17">
                  <c:v>6815</c:v>
                </c:pt>
                <c:pt idx="18">
                  <c:v>6840</c:v>
                </c:pt>
                <c:pt idx="19">
                  <c:v>6875</c:v>
                </c:pt>
              </c:numCache>
            </c:numRef>
          </c:val>
          <c:smooth val="1"/>
          <c:extLst>
            <c:ext xmlns:c16="http://schemas.microsoft.com/office/drawing/2014/chart" uri="{C3380CC4-5D6E-409C-BE32-E72D297353CC}">
              <c16:uniqueId val="{00000004-76A8-4ECE-8216-70FFABDDA793}"/>
            </c:ext>
          </c:extLst>
        </c:ser>
        <c:ser>
          <c:idx val="3"/>
          <c:order val="3"/>
          <c:tx>
            <c:strRef>
              <c:f>'T23'!$K$5</c:f>
              <c:strCache>
                <c:ptCount val="1"/>
                <c:pt idx="0">
                  <c:v>Demand (High)</c:v>
                </c:pt>
              </c:strCache>
            </c:strRef>
          </c:tx>
          <c:spPr>
            <a:ln w="28575" cap="rnd">
              <a:solidFill>
                <a:schemeClr val="accent4"/>
              </a:solidFill>
              <a:prstDash val="dash"/>
              <a:round/>
            </a:ln>
            <a:effectLst/>
          </c:spPr>
          <c:marker>
            <c:symbol val="none"/>
          </c:marker>
          <c:cat>
            <c:numRef>
              <c:f>'T23'!$A$6:$A$25</c:f>
              <c:numCache>
                <c:formatCode>General</c:formatCode>
                <c:ptCount val="20"/>
                <c:pt idx="0">
                  <c:v>2016</c:v>
                </c:pt>
                <c:pt idx="1">
                  <c:v>2017</c:v>
                </c:pt>
                <c:pt idx="2">
                  <c:v>2018</c:v>
                </c:pt>
                <c:pt idx="3">
                  <c:v>2019</c:v>
                </c:pt>
                <c:pt idx="4">
                  <c:v>2020</c:v>
                </c:pt>
                <c:pt idx="5">
                  <c:v>2021</c:v>
                </c:pt>
                <c:pt idx="6">
                  <c:v>2022</c:v>
                </c:pt>
                <c:pt idx="7">
                  <c:v>2023</c:v>
                </c:pt>
                <c:pt idx="8">
                  <c:v>2024</c:v>
                </c:pt>
                <c:pt idx="9">
                  <c:v>2025</c:v>
                </c:pt>
                <c:pt idx="10">
                  <c:v>2026</c:v>
                </c:pt>
                <c:pt idx="11">
                  <c:v>2027</c:v>
                </c:pt>
                <c:pt idx="12">
                  <c:v>2028</c:v>
                </c:pt>
                <c:pt idx="13">
                  <c:v>2029</c:v>
                </c:pt>
                <c:pt idx="14">
                  <c:v>2030</c:v>
                </c:pt>
                <c:pt idx="15">
                  <c:v>2031</c:v>
                </c:pt>
                <c:pt idx="16">
                  <c:v>2032</c:v>
                </c:pt>
                <c:pt idx="17">
                  <c:v>2033</c:v>
                </c:pt>
                <c:pt idx="18">
                  <c:v>2034</c:v>
                </c:pt>
                <c:pt idx="19">
                  <c:v>2035</c:v>
                </c:pt>
              </c:numCache>
            </c:numRef>
          </c:cat>
          <c:val>
            <c:numRef>
              <c:f>'T23'!$K$6:$K$25</c:f>
              <c:numCache>
                <c:formatCode>#,##0</c:formatCode>
                <c:ptCount val="20"/>
                <c:pt idx="8">
                  <c:v>7223.3739999999998</c:v>
                </c:pt>
                <c:pt idx="9">
                  <c:v>7275</c:v>
                </c:pt>
                <c:pt idx="10">
                  <c:v>7155</c:v>
                </c:pt>
                <c:pt idx="11">
                  <c:v>7065</c:v>
                </c:pt>
                <c:pt idx="12">
                  <c:v>7135</c:v>
                </c:pt>
                <c:pt idx="13">
                  <c:v>7220</c:v>
                </c:pt>
                <c:pt idx="14">
                  <c:v>7245</c:v>
                </c:pt>
                <c:pt idx="15">
                  <c:v>7285</c:v>
                </c:pt>
                <c:pt idx="16">
                  <c:v>7315</c:v>
                </c:pt>
                <c:pt idx="17">
                  <c:v>7345</c:v>
                </c:pt>
                <c:pt idx="18">
                  <c:v>7375</c:v>
                </c:pt>
                <c:pt idx="19">
                  <c:v>7430</c:v>
                </c:pt>
              </c:numCache>
            </c:numRef>
          </c:val>
          <c:smooth val="1"/>
          <c:extLst>
            <c:ext xmlns:c16="http://schemas.microsoft.com/office/drawing/2014/chart" uri="{C3380CC4-5D6E-409C-BE32-E72D297353CC}">
              <c16:uniqueId val="{00000005-76A8-4ECE-8216-70FFABDDA793}"/>
            </c:ext>
          </c:extLst>
        </c:ser>
        <c:dLbls>
          <c:showLegendKey val="0"/>
          <c:showVal val="0"/>
          <c:showCatName val="0"/>
          <c:showSerName val="0"/>
          <c:showPercent val="0"/>
          <c:showBubbleSize val="0"/>
        </c:dLbls>
        <c:smooth val="0"/>
        <c:axId val="858936208"/>
        <c:axId val="858937168"/>
      </c:lineChart>
      <c:catAx>
        <c:axId val="858936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58937168"/>
        <c:crosses val="autoZero"/>
        <c:auto val="1"/>
        <c:lblAlgn val="ctr"/>
        <c:lblOffset val="100"/>
        <c:noMultiLvlLbl val="0"/>
      </c:catAx>
      <c:valAx>
        <c:axId val="858937168"/>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58936208"/>
        <c:crosses val="autoZero"/>
        <c:crossBetween val="between"/>
      </c:valAx>
      <c:spPr>
        <a:noFill/>
        <a:ln>
          <a:noFill/>
        </a:ln>
        <a:effectLst/>
      </c:spPr>
    </c:plotArea>
    <c:legend>
      <c:legendPos val="b"/>
      <c:legendEntry>
        <c:idx val="4"/>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7.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9.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10.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12.xml"/></Relationships>
</file>

<file path=xl/chartsheets/_rels/sheet7.xml.rels><?xml version="1.0" encoding="UTF-8" standalone="yes"?>
<Relationships xmlns="http://schemas.openxmlformats.org/package/2006/relationships"><Relationship Id="rId1" Type="http://schemas.openxmlformats.org/officeDocument/2006/relationships/drawing" Target="../drawings/drawing1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1C974F0C-FE20-4886-9C7A-B45FDB5594A0}">
  <sheetPr/>
  <sheetViews>
    <sheetView zoomScale="81"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8A9A0B0C-CA79-4682-A09F-7AACC9ADE4D6}">
  <sheetPr/>
  <sheetViews>
    <sheetView zoomScale="81"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BFB29C13-8569-45BA-9425-716696E9A7CE}">
  <sheetPr/>
  <sheetViews>
    <sheetView zoomScale="70" workbookViewId="0"/>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F41DD71B-691C-4CDA-885B-7030440836E9}">
  <sheetPr>
    <tabColor theme="6" tint="0.79998168889431442"/>
  </sheetPr>
  <sheetViews>
    <sheetView zoomScale="85" workbookViewId="0"/>
  </sheetViews>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126E65B6-1C4E-4FA5-A290-3C8461AF79EA}">
  <sheetPr/>
  <sheetViews>
    <sheetView zoomScale="81" workbookViewId="0" zoomToFit="1"/>
  </sheetViews>
  <pageMargins left="0.7" right="0.7" top="0.75" bottom="0.75" header="0.3" footer="0.3"/>
  <drawing r:id="rId1"/>
</chartsheet>
</file>

<file path=xl/chartsheets/sheet6.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C0ACCB84-250E-4BA2-A080-F7497ED6109F}">
  <sheetPr/>
  <sheetViews>
    <sheetView zoomScale="81" workbookViewId="0" zoomToFit="1"/>
  </sheetViews>
  <pageMargins left="0.7" right="0.7" top="0.75" bottom="0.75" header="0.3" footer="0.3"/>
  <drawing r:id="rId1"/>
</chartsheet>
</file>

<file path=xl/chartsheets/sheet7.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6B16AD0E-2AA1-4FB5-AE01-562AD0036E51}">
  <sheetPr/>
  <sheetViews>
    <sheetView zoomScale="29"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9.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3</xdr:col>
      <xdr:colOff>51434</xdr:colOff>
      <xdr:row>19</xdr:row>
      <xdr:rowOff>53340</xdr:rowOff>
    </xdr:from>
    <xdr:to>
      <xdr:col>3</xdr:col>
      <xdr:colOff>3598544</xdr:colOff>
      <xdr:row>27</xdr:row>
      <xdr:rowOff>0</xdr:rowOff>
    </xdr:to>
    <xdr:sp macro="" textlink="">
      <xdr:nvSpPr>
        <xdr:cNvPr id="2" name="Rectangle 1">
          <a:extLst>
            <a:ext uri="{FF2B5EF4-FFF2-40B4-BE49-F238E27FC236}">
              <a16:creationId xmlns:a16="http://schemas.microsoft.com/office/drawing/2014/main" id="{40614CB2-9326-2BDE-8252-5BE46E08EB53}"/>
            </a:ext>
          </a:extLst>
        </xdr:cNvPr>
        <xdr:cNvSpPr/>
      </xdr:nvSpPr>
      <xdr:spPr>
        <a:xfrm>
          <a:off x="8776334" y="3310890"/>
          <a:ext cx="3547110" cy="2089785"/>
        </a:xfrm>
        <a:prstGeom prst="rect">
          <a:avLst/>
        </a:prstGeom>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r>
            <a:rPr lang="en-NZ" sz="1100" b="1"/>
            <a:t>NOTE</a:t>
          </a:r>
          <a:r>
            <a:rPr lang="en-NZ" sz="1100"/>
            <a:t>:</a:t>
          </a:r>
        </a:p>
        <a:p>
          <a:pPr algn="l"/>
          <a:r>
            <a:rPr lang="en-NZ" sz="1100"/>
            <a:t>The</a:t>
          </a:r>
          <a:r>
            <a:rPr lang="en-NZ" sz="1100" baseline="0"/>
            <a:t> original working version of this file referenced some of the source material from its own files in our Sharepoint. To ensure that you can review this fully, I have copied the datasets (in all their messy glory where I've done working calcs in them) into hidden sheets in this file, and updated the references to point at those sheets.</a:t>
          </a:r>
        </a:p>
        <a:p>
          <a:pPr algn="l"/>
          <a:endParaRPr lang="en-NZ" sz="1100" baseline="0"/>
        </a:p>
        <a:p>
          <a:pPr algn="l"/>
          <a:r>
            <a:rPr lang="en-NZ" sz="1100" baseline="0"/>
            <a:t>I THINK I have  captured all the datasets used to inform this model in the Sources list, but I could have missed some. If you spot something I haven't got in there, let me know.</a:t>
          </a:r>
          <a:endParaRPr lang="en-NZ"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3048000</xdr:colOff>
      <xdr:row>2</xdr:row>
      <xdr:rowOff>1490869</xdr:rowOff>
    </xdr:from>
    <xdr:to>
      <xdr:col>1</xdr:col>
      <xdr:colOff>3048000</xdr:colOff>
      <xdr:row>2</xdr:row>
      <xdr:rowOff>1630017</xdr:rowOff>
    </xdr:to>
    <xdr:cxnSp macro="">
      <xdr:nvCxnSpPr>
        <xdr:cNvPr id="4" name="Straight Arrow Connector 3">
          <a:extLst>
            <a:ext uri="{FF2B5EF4-FFF2-40B4-BE49-F238E27FC236}">
              <a16:creationId xmlns:a16="http://schemas.microsoft.com/office/drawing/2014/main" id="{F6DAF295-7E65-51C7-8F00-8DAABBC1C3FB}"/>
            </a:ext>
          </a:extLst>
        </xdr:cNvPr>
        <xdr:cNvCxnSpPr/>
      </xdr:nvCxnSpPr>
      <xdr:spPr>
        <a:xfrm flipV="1">
          <a:off x="3551583" y="1861930"/>
          <a:ext cx="0" cy="13914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editAs="oneCell">
    <xdr:from>
      <xdr:col>1</xdr:col>
      <xdr:colOff>0</xdr:colOff>
      <xdr:row>2</xdr:row>
      <xdr:rowOff>0</xdr:rowOff>
    </xdr:from>
    <xdr:to>
      <xdr:col>4</xdr:col>
      <xdr:colOff>306369</xdr:colOff>
      <xdr:row>2</xdr:row>
      <xdr:rowOff>4613413</xdr:rowOff>
    </xdr:to>
    <xdr:pic>
      <xdr:nvPicPr>
        <xdr:cNvPr id="2" name="Picture 1">
          <a:extLst>
            <a:ext uri="{FF2B5EF4-FFF2-40B4-BE49-F238E27FC236}">
              <a16:creationId xmlns:a16="http://schemas.microsoft.com/office/drawing/2014/main" id="{113EBCC0-3DF2-5485-0909-25C32B7D0526}"/>
            </a:ext>
          </a:extLst>
        </xdr:cNvPr>
        <xdr:cNvPicPr>
          <a:picLocks noChangeAspect="1"/>
        </xdr:cNvPicPr>
      </xdr:nvPicPr>
      <xdr:blipFill>
        <a:blip xmlns:r="http://schemas.openxmlformats.org/officeDocument/2006/relationships" r:embed="rId1"/>
        <a:stretch>
          <a:fillRect/>
        </a:stretch>
      </xdr:blipFill>
      <xdr:spPr>
        <a:xfrm>
          <a:off x="505239" y="364435"/>
          <a:ext cx="10386304" cy="461341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8</xdr:col>
      <xdr:colOff>113964</xdr:colOff>
      <xdr:row>13</xdr:row>
      <xdr:rowOff>46392</xdr:rowOff>
    </xdr:from>
    <xdr:to>
      <xdr:col>14</xdr:col>
      <xdr:colOff>526677</xdr:colOff>
      <xdr:row>27</xdr:row>
      <xdr:rowOff>107352</xdr:rowOff>
    </xdr:to>
    <xdr:graphicFrame macro="">
      <xdr:nvGraphicFramePr>
        <xdr:cNvPr id="2" name="Chart 1">
          <a:extLst>
            <a:ext uri="{FF2B5EF4-FFF2-40B4-BE49-F238E27FC236}">
              <a16:creationId xmlns:a16="http://schemas.microsoft.com/office/drawing/2014/main" id="{F67953F6-FD35-40EA-9A1D-305E4E1148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absoluteAnchor>
    <xdr:pos x="0" y="0"/>
    <xdr:ext cx="10783241" cy="7843426"/>
    <xdr:graphicFrame macro="">
      <xdr:nvGraphicFramePr>
        <xdr:cNvPr id="2" name="Chart 1">
          <a:extLst>
            <a:ext uri="{FF2B5EF4-FFF2-40B4-BE49-F238E27FC236}">
              <a16:creationId xmlns:a16="http://schemas.microsoft.com/office/drawing/2014/main" id="{40612EFB-3BC6-EAFD-DD50-50BCF6BC2EBB}"/>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10783241" cy="7843426"/>
    <xdr:graphicFrame macro="">
      <xdr:nvGraphicFramePr>
        <xdr:cNvPr id="2" name="Chart 1">
          <a:extLst>
            <a:ext uri="{FF2B5EF4-FFF2-40B4-BE49-F238E27FC236}">
              <a16:creationId xmlns:a16="http://schemas.microsoft.com/office/drawing/2014/main" id="{59729D94-D65A-0A77-4342-1F262C8DD228}"/>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c:userShapes xmlns:c="http://schemas.openxmlformats.org/drawingml/2006/chart">
  <cdr:relSizeAnchor xmlns:cdr="http://schemas.openxmlformats.org/drawingml/2006/chartDrawing">
    <cdr:from>
      <cdr:x>0.27119</cdr:x>
      <cdr:y>0.06426</cdr:y>
    </cdr:from>
    <cdr:to>
      <cdr:x>0.3957</cdr:x>
      <cdr:y>0.91299</cdr:y>
    </cdr:to>
    <cdr:sp macro="" textlink="">
      <cdr:nvSpPr>
        <cdr:cNvPr id="3" name="Rectangle 2">
          <a:extLst xmlns:a="http://schemas.openxmlformats.org/drawingml/2006/main">
            <a:ext uri="{FF2B5EF4-FFF2-40B4-BE49-F238E27FC236}">
              <a16:creationId xmlns:a16="http://schemas.microsoft.com/office/drawing/2014/main" id="{DED87992-1735-F825-2EE9-DC0CB6B3F5A5}"/>
            </a:ext>
          </a:extLst>
        </cdr:cNvPr>
        <cdr:cNvSpPr/>
      </cdr:nvSpPr>
      <cdr:spPr>
        <a:xfrm xmlns:a="http://schemas.openxmlformats.org/drawingml/2006/main">
          <a:off x="3146373" y="486383"/>
          <a:ext cx="1444597" cy="6424308"/>
        </a:xfrm>
        <a:prstGeom xmlns:a="http://schemas.openxmlformats.org/drawingml/2006/main" prst="rect">
          <a:avLst/>
        </a:prstGeom>
        <a:solidFill xmlns:a="http://schemas.openxmlformats.org/drawingml/2006/main">
          <a:schemeClr val="accent2">
            <a:alpha val="20000"/>
          </a:schemeClr>
        </a:solidFill>
        <a:ln xmlns:a="http://schemas.openxmlformats.org/drawingml/2006/main">
          <a:no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vert="vert270" tIns="180000" bIns="180000" anchor="ctr"/>
        <a:lstStyle xmlns:a="http://schemas.openxmlformats.org/drawingml/2006/main"/>
        <a:p xmlns:a="http://schemas.openxmlformats.org/drawingml/2006/main">
          <a:pPr algn="l"/>
          <a:r>
            <a:rPr lang="en-NZ" sz="1400" kern="1200">
              <a:solidFill>
                <a:sysClr val="windowText" lastClr="000000"/>
              </a:solidFill>
            </a:rPr>
            <a:t>Pandemic instability</a:t>
          </a:r>
        </a:p>
      </cdr:txBody>
    </cdr:sp>
  </cdr:relSizeAnchor>
  <cdr:relSizeAnchor xmlns:cdr="http://schemas.openxmlformats.org/drawingml/2006/chartDrawing">
    <cdr:from>
      <cdr:x>0.39529</cdr:x>
      <cdr:y>0.06548</cdr:y>
    </cdr:from>
    <cdr:to>
      <cdr:x>0.48528</cdr:x>
      <cdr:y>0.91364</cdr:y>
    </cdr:to>
    <cdr:sp macro="" textlink="">
      <cdr:nvSpPr>
        <cdr:cNvPr id="4" name="Rectangle 3">
          <a:extLst xmlns:a="http://schemas.openxmlformats.org/drawingml/2006/main">
            <a:ext uri="{FF2B5EF4-FFF2-40B4-BE49-F238E27FC236}">
              <a16:creationId xmlns:a16="http://schemas.microsoft.com/office/drawing/2014/main" id="{F1A54607-ED25-D3E4-BE71-B8BE83B0B374}"/>
            </a:ext>
          </a:extLst>
        </cdr:cNvPr>
        <cdr:cNvSpPr/>
      </cdr:nvSpPr>
      <cdr:spPr>
        <a:xfrm xmlns:a="http://schemas.openxmlformats.org/drawingml/2006/main">
          <a:off x="4586291" y="495630"/>
          <a:ext cx="1044000" cy="6420007"/>
        </a:xfrm>
        <a:prstGeom xmlns:a="http://schemas.openxmlformats.org/drawingml/2006/main" prst="rect">
          <a:avLst/>
        </a:prstGeom>
        <a:solidFill xmlns:a="http://schemas.openxmlformats.org/drawingml/2006/main">
          <a:schemeClr val="accent3">
            <a:alpha val="20000"/>
          </a:schemeClr>
        </a:solidFill>
        <a:ln xmlns:a="http://schemas.openxmlformats.org/drawingml/2006/main">
          <a:no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vert="vert270" tIns="180000" bIns="180000" anchor="ctr"/>
        <a:lstStyle xmlns:a="http://schemas.openxmlformats.org/drawingml/2006/main"/>
        <a:p xmlns:a="http://schemas.openxmlformats.org/drawingml/2006/main">
          <a:pPr algn="l"/>
          <a:r>
            <a:rPr lang="en-NZ" sz="1400" kern="1200">
              <a:solidFill>
                <a:sysClr val="windowText" lastClr="000000"/>
              </a:solidFill>
            </a:rPr>
            <a:t>Market correction</a:t>
          </a:r>
        </a:p>
      </cdr:txBody>
    </cdr:sp>
  </cdr:relSizeAnchor>
  <cdr:relSizeAnchor xmlns:cdr="http://schemas.openxmlformats.org/drawingml/2006/chartDrawing">
    <cdr:from>
      <cdr:x>0.5314</cdr:x>
      <cdr:y>0.10617</cdr:y>
    </cdr:from>
    <cdr:to>
      <cdr:x>0.61495</cdr:x>
      <cdr:y>0.23968</cdr:y>
    </cdr:to>
    <cdr:cxnSp macro="">
      <cdr:nvCxnSpPr>
        <cdr:cNvPr id="5" name="Straight Arrow Connector 4">
          <a:extLst xmlns:a="http://schemas.openxmlformats.org/drawingml/2006/main">
            <a:ext uri="{FF2B5EF4-FFF2-40B4-BE49-F238E27FC236}">
              <a16:creationId xmlns:a16="http://schemas.microsoft.com/office/drawing/2014/main" id="{90A25F4D-9446-BED9-E5E9-96741DB70D64}"/>
            </a:ext>
          </a:extLst>
        </cdr:cNvPr>
        <cdr:cNvCxnSpPr>
          <a:endCxn xmlns:a="http://schemas.openxmlformats.org/drawingml/2006/main" id="6" idx="1"/>
        </cdr:cNvCxnSpPr>
      </cdr:nvCxnSpPr>
      <cdr:spPr>
        <a:xfrm xmlns:a="http://schemas.openxmlformats.org/drawingml/2006/main" flipV="1">
          <a:off x="5756868" y="834536"/>
          <a:ext cx="905118" cy="1049530"/>
        </a:xfrm>
        <a:prstGeom xmlns:a="http://schemas.openxmlformats.org/drawingml/2006/main" prst="straightConnector1">
          <a:avLst/>
        </a:prstGeom>
        <a:ln xmlns:a="http://schemas.openxmlformats.org/drawingml/2006/main">
          <a:tailEnd type="triangle"/>
        </a:ln>
      </cdr:spPr>
      <cdr:style>
        <a:lnRef xmlns:a="http://schemas.openxmlformats.org/drawingml/2006/main" idx="2">
          <a:schemeClr val="accent1"/>
        </a:lnRef>
        <a:fillRef xmlns:a="http://schemas.openxmlformats.org/drawingml/2006/main" idx="0">
          <a:schemeClr val="accent1"/>
        </a:fillRef>
        <a:effectRef xmlns:a="http://schemas.openxmlformats.org/drawingml/2006/main" idx="1">
          <a:schemeClr val="accent1"/>
        </a:effectRef>
        <a:fontRef xmlns:a="http://schemas.openxmlformats.org/drawingml/2006/main" idx="minor">
          <a:schemeClr val="tx1"/>
        </a:fontRef>
      </cdr:style>
    </cdr:cxnSp>
  </cdr:relSizeAnchor>
  <cdr:relSizeAnchor xmlns:cdr="http://schemas.openxmlformats.org/drawingml/2006/chartDrawing">
    <cdr:from>
      <cdr:x>0.61495</cdr:x>
      <cdr:y>0.08433</cdr:y>
    </cdr:from>
    <cdr:to>
      <cdr:x>0.7448</cdr:x>
      <cdr:y>0.128</cdr:y>
    </cdr:to>
    <cdr:sp macro="" textlink="">
      <cdr:nvSpPr>
        <cdr:cNvPr id="6" name="Rectangle 5">
          <a:extLst xmlns:a="http://schemas.openxmlformats.org/drawingml/2006/main">
            <a:ext uri="{FF2B5EF4-FFF2-40B4-BE49-F238E27FC236}">
              <a16:creationId xmlns:a16="http://schemas.microsoft.com/office/drawing/2014/main" id="{26820614-7BC6-C298-259A-6917CC7B4606}"/>
            </a:ext>
          </a:extLst>
        </cdr:cNvPr>
        <cdr:cNvSpPr/>
      </cdr:nvSpPr>
      <cdr:spPr>
        <a:xfrm xmlns:a="http://schemas.openxmlformats.org/drawingml/2006/main">
          <a:off x="7134802" y="638308"/>
          <a:ext cx="1506553" cy="330553"/>
        </a:xfrm>
        <a:prstGeom xmlns:a="http://schemas.openxmlformats.org/drawingml/2006/main" prst="rect">
          <a:avLst/>
        </a:prstGeom>
        <a:solidFill xmlns:a="http://schemas.openxmlformats.org/drawingml/2006/main">
          <a:schemeClr val="accent1">
            <a:alpha val="90000"/>
          </a:schemeClr>
        </a:solidFill>
        <a:ln xmlns:a="http://schemas.openxmlformats.org/drawingml/2006/main">
          <a:no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r>
            <a:rPr lang="en-NZ" kern="1200"/>
            <a:t>1.6%</a:t>
          </a:r>
          <a:r>
            <a:rPr lang="en-NZ" kern="1200" baseline="0"/>
            <a:t> above actual</a:t>
          </a:r>
          <a:endParaRPr lang="en-NZ" kern="1200"/>
        </a:p>
      </cdr:txBody>
    </cdr:sp>
  </cdr:relSizeAnchor>
  <cdr:relSizeAnchor xmlns:cdr="http://schemas.openxmlformats.org/drawingml/2006/chartDrawing">
    <cdr:from>
      <cdr:x>0.08734</cdr:x>
      <cdr:y>0.2423</cdr:y>
    </cdr:from>
    <cdr:to>
      <cdr:x>0.96594</cdr:x>
      <cdr:y>0.28648</cdr:y>
    </cdr:to>
    <cdr:cxnSp macro="">
      <cdr:nvCxnSpPr>
        <cdr:cNvPr id="7" name="Straight Arrow Connector 6">
          <a:extLst xmlns:a="http://schemas.openxmlformats.org/drawingml/2006/main">
            <a:ext uri="{FF2B5EF4-FFF2-40B4-BE49-F238E27FC236}">
              <a16:creationId xmlns:a16="http://schemas.microsoft.com/office/drawing/2014/main" id="{3D4D5364-4205-888D-304C-8A1D4E30C207}"/>
            </a:ext>
          </a:extLst>
        </cdr:cNvPr>
        <cdr:cNvCxnSpPr/>
      </cdr:nvCxnSpPr>
      <cdr:spPr>
        <a:xfrm xmlns:a="http://schemas.openxmlformats.org/drawingml/2006/main">
          <a:off x="1013298" y="1834069"/>
          <a:ext cx="10193776" cy="334388"/>
        </a:xfrm>
        <a:prstGeom xmlns:a="http://schemas.openxmlformats.org/drawingml/2006/main" prst="straightConnector1">
          <a:avLst/>
        </a:prstGeom>
        <a:ln xmlns:a="http://schemas.openxmlformats.org/drawingml/2006/main">
          <a:prstDash val="sysDash"/>
          <a:tailEnd type="none"/>
        </a:ln>
      </cdr:spPr>
      <cdr:style>
        <a:lnRef xmlns:a="http://schemas.openxmlformats.org/drawingml/2006/main" idx="2">
          <a:schemeClr val="accent1"/>
        </a:lnRef>
        <a:fillRef xmlns:a="http://schemas.openxmlformats.org/drawingml/2006/main" idx="0">
          <a:schemeClr val="accent1"/>
        </a:fillRef>
        <a:effectRef xmlns:a="http://schemas.openxmlformats.org/drawingml/2006/main" idx="1">
          <a:schemeClr val="accent1"/>
        </a:effectRef>
        <a:fontRef xmlns:a="http://schemas.openxmlformats.org/drawingml/2006/main" idx="minor">
          <a:schemeClr val="tx1"/>
        </a:fontRef>
      </cdr:style>
    </cdr:cxnSp>
  </cdr:relSizeAnchor>
  <cdr:relSizeAnchor xmlns:cdr="http://schemas.openxmlformats.org/drawingml/2006/chartDrawing">
    <cdr:from>
      <cdr:x>0.87481</cdr:x>
      <cdr:y>0.31191</cdr:y>
    </cdr:from>
    <cdr:to>
      <cdr:x>0.8917</cdr:x>
      <cdr:y>0.47388</cdr:y>
    </cdr:to>
    <cdr:cxnSp macro="">
      <cdr:nvCxnSpPr>
        <cdr:cNvPr id="9" name="Straight Arrow Connector 8">
          <a:extLst xmlns:a="http://schemas.openxmlformats.org/drawingml/2006/main">
            <a:ext uri="{FF2B5EF4-FFF2-40B4-BE49-F238E27FC236}">
              <a16:creationId xmlns:a16="http://schemas.microsoft.com/office/drawing/2014/main" id="{37871B1F-DA84-7FD2-2203-F00EE42FDA49}"/>
            </a:ext>
          </a:extLst>
        </cdr:cNvPr>
        <cdr:cNvCxnSpPr>
          <a:endCxn xmlns:a="http://schemas.openxmlformats.org/drawingml/2006/main" id="10" idx="0"/>
        </cdr:cNvCxnSpPr>
      </cdr:nvCxnSpPr>
      <cdr:spPr>
        <a:xfrm xmlns:a="http://schemas.openxmlformats.org/drawingml/2006/main" flipH="1">
          <a:off x="10149755" y="2360984"/>
          <a:ext cx="196016" cy="1225976"/>
        </a:xfrm>
        <a:prstGeom xmlns:a="http://schemas.openxmlformats.org/drawingml/2006/main" prst="straightConnector1">
          <a:avLst/>
        </a:prstGeom>
        <a:ln xmlns:a="http://schemas.openxmlformats.org/drawingml/2006/main">
          <a:tailEnd type="triangle"/>
        </a:ln>
      </cdr:spPr>
      <cdr:style>
        <a:lnRef xmlns:a="http://schemas.openxmlformats.org/drawingml/2006/main" idx="2">
          <a:schemeClr val="accent2"/>
        </a:lnRef>
        <a:fillRef xmlns:a="http://schemas.openxmlformats.org/drawingml/2006/main" idx="0">
          <a:schemeClr val="accent2"/>
        </a:fillRef>
        <a:effectRef xmlns:a="http://schemas.openxmlformats.org/drawingml/2006/main" idx="1">
          <a:schemeClr val="accent2"/>
        </a:effectRef>
        <a:fontRef xmlns:a="http://schemas.openxmlformats.org/drawingml/2006/main" idx="minor">
          <a:schemeClr val="tx1"/>
        </a:fontRef>
      </cdr:style>
    </cdr:cxnSp>
  </cdr:relSizeAnchor>
  <cdr:relSizeAnchor xmlns:cdr="http://schemas.openxmlformats.org/drawingml/2006/chartDrawing">
    <cdr:from>
      <cdr:x>0.82053</cdr:x>
      <cdr:y>0.47388</cdr:y>
    </cdr:from>
    <cdr:to>
      <cdr:x>0.92908</cdr:x>
      <cdr:y>0.5066</cdr:y>
    </cdr:to>
    <cdr:sp macro="" textlink="">
      <cdr:nvSpPr>
        <cdr:cNvPr id="10" name="Rectangle 9">
          <a:extLst xmlns:a="http://schemas.openxmlformats.org/drawingml/2006/main">
            <a:ext uri="{FF2B5EF4-FFF2-40B4-BE49-F238E27FC236}">
              <a16:creationId xmlns:a16="http://schemas.microsoft.com/office/drawing/2014/main" id="{103806D9-DBFC-8793-662F-4C132AD74635}"/>
            </a:ext>
          </a:extLst>
        </cdr:cNvPr>
        <cdr:cNvSpPr/>
      </cdr:nvSpPr>
      <cdr:spPr>
        <a:xfrm xmlns:a="http://schemas.openxmlformats.org/drawingml/2006/main">
          <a:off x="9520042" y="3586960"/>
          <a:ext cx="1259426" cy="247668"/>
        </a:xfrm>
        <a:prstGeom xmlns:a="http://schemas.openxmlformats.org/drawingml/2006/main" prst="rect">
          <a:avLst/>
        </a:prstGeom>
        <a:solidFill xmlns:a="http://schemas.openxmlformats.org/drawingml/2006/main">
          <a:schemeClr val="accent2"/>
        </a:solidFill>
        <a:ln xmlns:a="http://schemas.openxmlformats.org/drawingml/2006/main">
          <a:no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pPr algn="ctr"/>
          <a:r>
            <a:rPr lang="en-NZ" kern="1200"/>
            <a:t>Trend with covid</a:t>
          </a:r>
        </a:p>
      </cdr:txBody>
    </cdr:sp>
  </cdr:relSizeAnchor>
  <cdr:relSizeAnchor xmlns:cdr="http://schemas.openxmlformats.org/drawingml/2006/chartDrawing">
    <cdr:from>
      <cdr:x>0.85153</cdr:x>
      <cdr:y>0.13053</cdr:y>
    </cdr:from>
    <cdr:to>
      <cdr:x>0.88342</cdr:x>
      <cdr:y>0.27979</cdr:y>
    </cdr:to>
    <cdr:cxnSp macro="">
      <cdr:nvCxnSpPr>
        <cdr:cNvPr id="12" name="Straight Arrow Connector 11">
          <a:extLst xmlns:a="http://schemas.openxmlformats.org/drawingml/2006/main">
            <a:ext uri="{FF2B5EF4-FFF2-40B4-BE49-F238E27FC236}">
              <a16:creationId xmlns:a16="http://schemas.microsoft.com/office/drawing/2014/main" id="{A5E7B6EF-0A1F-6366-A8A8-005938667132}"/>
            </a:ext>
          </a:extLst>
        </cdr:cNvPr>
        <cdr:cNvCxnSpPr>
          <a:endCxn xmlns:a="http://schemas.openxmlformats.org/drawingml/2006/main" id="13" idx="2"/>
        </cdr:cNvCxnSpPr>
      </cdr:nvCxnSpPr>
      <cdr:spPr>
        <a:xfrm xmlns:a="http://schemas.openxmlformats.org/drawingml/2006/main" flipV="1">
          <a:off x="9879654" y="988034"/>
          <a:ext cx="370040" cy="1129759"/>
        </a:xfrm>
        <a:prstGeom xmlns:a="http://schemas.openxmlformats.org/drawingml/2006/main" prst="straightConnector1">
          <a:avLst/>
        </a:prstGeom>
        <a:ln xmlns:a="http://schemas.openxmlformats.org/drawingml/2006/main">
          <a:tailEnd type="triangle"/>
        </a:ln>
      </cdr:spPr>
      <cdr:style>
        <a:lnRef xmlns:a="http://schemas.openxmlformats.org/drawingml/2006/main" idx="2">
          <a:schemeClr val="accent1"/>
        </a:lnRef>
        <a:fillRef xmlns:a="http://schemas.openxmlformats.org/drawingml/2006/main" idx="0">
          <a:schemeClr val="accent1"/>
        </a:fillRef>
        <a:effectRef xmlns:a="http://schemas.openxmlformats.org/drawingml/2006/main" idx="1">
          <a:schemeClr val="accent1"/>
        </a:effectRef>
        <a:fontRef xmlns:a="http://schemas.openxmlformats.org/drawingml/2006/main" idx="minor">
          <a:schemeClr val="tx1"/>
        </a:fontRef>
      </cdr:style>
    </cdr:cxnSp>
  </cdr:relSizeAnchor>
  <cdr:relSizeAnchor xmlns:cdr="http://schemas.openxmlformats.org/drawingml/2006/chartDrawing">
    <cdr:from>
      <cdr:x>0.83342</cdr:x>
      <cdr:y>0.07294</cdr:y>
    </cdr:from>
    <cdr:to>
      <cdr:x>0.93342</cdr:x>
      <cdr:y>0.13053</cdr:y>
    </cdr:to>
    <cdr:sp macro="" textlink="">
      <cdr:nvSpPr>
        <cdr:cNvPr id="13" name="Rectangle 12">
          <a:extLst xmlns:a="http://schemas.openxmlformats.org/drawingml/2006/main">
            <a:ext uri="{FF2B5EF4-FFF2-40B4-BE49-F238E27FC236}">
              <a16:creationId xmlns:a16="http://schemas.microsoft.com/office/drawing/2014/main" id="{0749DA53-34DC-5636-0C55-165DDD060170}"/>
            </a:ext>
          </a:extLst>
        </cdr:cNvPr>
        <cdr:cNvSpPr/>
      </cdr:nvSpPr>
      <cdr:spPr>
        <a:xfrm xmlns:a="http://schemas.openxmlformats.org/drawingml/2006/main">
          <a:off x="9669581" y="552116"/>
          <a:ext cx="1160226" cy="435918"/>
        </a:xfrm>
        <a:prstGeom xmlns:a="http://schemas.openxmlformats.org/drawingml/2006/main" prst="rect">
          <a:avLst/>
        </a:prstGeom>
        <a:ln xmlns:a="http://schemas.openxmlformats.org/drawingml/2006/main">
          <a:no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r>
            <a:rPr lang="en-NZ" kern="1200"/>
            <a:t>Trend ignoring covid</a:t>
          </a:r>
          <a:r>
            <a:rPr lang="en-NZ" kern="1200" baseline="0"/>
            <a:t> years</a:t>
          </a:r>
          <a:endParaRPr lang="en-NZ" kern="1200"/>
        </a:p>
      </cdr:txBody>
    </cdr:sp>
  </cdr:relSizeAnchor>
</c:userShapes>
</file>

<file path=xl/drawings/drawing7.xml><?xml version="1.0" encoding="utf-8"?>
<xdr:wsDr xmlns:xdr="http://schemas.openxmlformats.org/drawingml/2006/spreadsheetDrawing" xmlns:a="http://schemas.openxmlformats.org/drawingml/2006/main">
  <xdr:absoluteAnchor>
    <xdr:pos x="0" y="0"/>
    <xdr:ext cx="9307286" cy="6059714"/>
    <xdr:graphicFrame macro="">
      <xdr:nvGraphicFramePr>
        <xdr:cNvPr id="2" name="Chart 1">
          <a:extLst>
            <a:ext uri="{FF2B5EF4-FFF2-40B4-BE49-F238E27FC236}">
              <a16:creationId xmlns:a16="http://schemas.microsoft.com/office/drawing/2014/main" id="{E14E830F-744C-4B25-4BCE-DF3E106D2D51}"/>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8.xml><?xml version="1.0" encoding="utf-8"?>
<c:userShapes xmlns:c="http://schemas.openxmlformats.org/drawingml/2006/chart">
  <cdr:relSizeAnchor xmlns:cdr="http://schemas.openxmlformats.org/drawingml/2006/chartDrawing">
    <cdr:from>
      <cdr:x>0.24461</cdr:x>
      <cdr:y>0.11221</cdr:y>
    </cdr:from>
    <cdr:to>
      <cdr:x>0.38031</cdr:x>
      <cdr:y>0.93679</cdr:y>
    </cdr:to>
    <cdr:sp macro="" textlink="">
      <cdr:nvSpPr>
        <cdr:cNvPr id="2" name="Rectangle 1">
          <a:extLst xmlns:a="http://schemas.openxmlformats.org/drawingml/2006/main">
            <a:ext uri="{FF2B5EF4-FFF2-40B4-BE49-F238E27FC236}">
              <a16:creationId xmlns:a16="http://schemas.microsoft.com/office/drawing/2014/main" id="{6A0E6C10-CE04-7431-7331-28ED8B0347FF}"/>
            </a:ext>
          </a:extLst>
        </cdr:cNvPr>
        <cdr:cNvSpPr/>
      </cdr:nvSpPr>
      <cdr:spPr>
        <a:xfrm xmlns:a="http://schemas.openxmlformats.org/drawingml/2006/main">
          <a:off x="2639785" y="880706"/>
          <a:ext cx="1464451" cy="6471798"/>
        </a:xfrm>
        <a:prstGeom xmlns:a="http://schemas.openxmlformats.org/drawingml/2006/main" prst="rect">
          <a:avLst/>
        </a:prstGeom>
        <a:solidFill xmlns:a="http://schemas.openxmlformats.org/drawingml/2006/main">
          <a:schemeClr val="accent2">
            <a:alpha val="20000"/>
          </a:schemeClr>
        </a:solidFill>
        <a:ln xmlns:a="http://schemas.openxmlformats.org/drawingml/2006/main">
          <a:no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vert270" tIns="180000" bIns="180000" anchor="ctr"/>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r"/>
          <a:r>
            <a:rPr lang="en-NZ" sz="1400" kern="1200">
              <a:solidFill>
                <a:sysClr val="windowText" lastClr="000000"/>
              </a:solidFill>
            </a:rPr>
            <a:t>Pandemic</a:t>
          </a:r>
          <a:r>
            <a:rPr lang="en-NZ" sz="1400" kern="1200" baseline="0">
              <a:solidFill>
                <a:sysClr val="windowText" lastClr="000000"/>
              </a:solidFill>
            </a:rPr>
            <a:t> instability</a:t>
          </a:r>
          <a:endParaRPr lang="en-NZ" sz="1400" kern="1200">
            <a:solidFill>
              <a:sysClr val="windowText" lastClr="000000"/>
            </a:solidFill>
          </a:endParaRPr>
        </a:p>
      </cdr:txBody>
    </cdr:sp>
  </cdr:relSizeAnchor>
  <cdr:relSizeAnchor xmlns:cdr="http://schemas.openxmlformats.org/drawingml/2006/chartDrawing">
    <cdr:from>
      <cdr:x>0.01236</cdr:x>
      <cdr:y>0.01578</cdr:y>
    </cdr:from>
    <cdr:to>
      <cdr:x>0.14387</cdr:x>
      <cdr:y>0.05704</cdr:y>
    </cdr:to>
    <cdr:sp macro="" textlink="">
      <cdr:nvSpPr>
        <cdr:cNvPr id="3" name="Rectangle 2">
          <a:extLst xmlns:a="http://schemas.openxmlformats.org/drawingml/2006/main">
            <a:ext uri="{FF2B5EF4-FFF2-40B4-BE49-F238E27FC236}">
              <a16:creationId xmlns:a16="http://schemas.microsoft.com/office/drawing/2014/main" id="{7CDD3AC9-A438-D559-6F8A-E80AC7205A48}"/>
            </a:ext>
          </a:extLst>
        </cdr:cNvPr>
        <cdr:cNvSpPr/>
      </cdr:nvSpPr>
      <cdr:spPr>
        <a:xfrm xmlns:a="http://schemas.openxmlformats.org/drawingml/2006/main">
          <a:off x="106680" y="99060"/>
          <a:ext cx="1135380" cy="259080"/>
        </a:xfrm>
        <a:prstGeom xmlns:a="http://schemas.openxmlformats.org/drawingml/2006/main" prst="rect">
          <a:avLst/>
        </a:prstGeom>
        <a:solidFill xmlns:a="http://schemas.openxmlformats.org/drawingml/2006/main">
          <a:schemeClr val="accent4"/>
        </a:solidFill>
        <a:ln xmlns:a="http://schemas.openxmlformats.org/drawingml/2006/main">
          <a:solidFill>
            <a:schemeClr val="accent4"/>
          </a:solid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r>
            <a:rPr lang="en-US" kern="1200"/>
            <a:t>Auckland Region</a:t>
          </a:r>
        </a:p>
      </cdr:txBody>
    </cdr:sp>
  </cdr:relSizeAnchor>
</c:userShapes>
</file>

<file path=xl/drawings/drawing9.xml><?xml version="1.0" encoding="utf-8"?>
<xdr:wsDr xmlns:xdr="http://schemas.openxmlformats.org/drawingml/2006/spreadsheetDrawing" xmlns:a="http://schemas.openxmlformats.org/drawingml/2006/main">
  <xdr:absoluteAnchor>
    <xdr:pos x="0" y="0"/>
    <xdr:ext cx="10791265" cy="7855324"/>
    <xdr:graphicFrame macro="">
      <xdr:nvGraphicFramePr>
        <xdr:cNvPr id="2" name="Chart 1">
          <a:extLst>
            <a:ext uri="{FF2B5EF4-FFF2-40B4-BE49-F238E27FC236}">
              <a16:creationId xmlns:a16="http://schemas.microsoft.com/office/drawing/2014/main" id="{0B4BD382-285F-597D-7379-6D500E964ECA}"/>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xdr:wsDr xmlns:xdr="http://schemas.openxmlformats.org/drawingml/2006/spreadsheetDrawing" xmlns:a="http://schemas.openxmlformats.org/drawingml/2006/main">
  <xdr:absoluteAnchor>
    <xdr:pos x="0" y="0"/>
    <xdr:ext cx="10783241" cy="7843426"/>
    <xdr:graphicFrame macro="">
      <xdr:nvGraphicFramePr>
        <xdr:cNvPr id="2" name="Chart 1">
          <a:extLst>
            <a:ext uri="{FF2B5EF4-FFF2-40B4-BE49-F238E27FC236}">
              <a16:creationId xmlns:a16="http://schemas.microsoft.com/office/drawing/2014/main" id="{2F9F8EC1-B6FD-E3F7-61E7-5DD327FF75BA}"/>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1.xml><?xml version="1.0" encoding="utf-8"?>
<c:userShapes xmlns:c="http://schemas.openxmlformats.org/drawingml/2006/chart">
  <cdr:relSizeAnchor xmlns:cdr="http://schemas.openxmlformats.org/drawingml/2006/chartDrawing">
    <cdr:from>
      <cdr:x>0.2504</cdr:x>
      <cdr:y>0.1105</cdr:y>
    </cdr:from>
    <cdr:to>
      <cdr:x>0.39121</cdr:x>
      <cdr:y>0.94719</cdr:y>
    </cdr:to>
    <cdr:sp macro="" textlink="">
      <cdr:nvSpPr>
        <cdr:cNvPr id="3" name="Rectangle 2">
          <a:extLst xmlns:a="http://schemas.openxmlformats.org/drawingml/2006/main">
            <a:ext uri="{FF2B5EF4-FFF2-40B4-BE49-F238E27FC236}">
              <a16:creationId xmlns:a16="http://schemas.microsoft.com/office/drawing/2014/main" id="{DB4564F2-6E7C-DDC6-9E8D-D2113EA35B6B}"/>
            </a:ext>
          </a:extLst>
        </cdr:cNvPr>
        <cdr:cNvSpPr/>
      </cdr:nvSpPr>
      <cdr:spPr>
        <a:xfrm xmlns:a="http://schemas.openxmlformats.org/drawingml/2006/main">
          <a:off x="2326240" y="670216"/>
          <a:ext cx="1308159" cy="5074702"/>
        </a:xfrm>
        <a:prstGeom xmlns:a="http://schemas.openxmlformats.org/drawingml/2006/main" prst="rect">
          <a:avLst/>
        </a:prstGeom>
        <a:solidFill xmlns:a="http://schemas.openxmlformats.org/drawingml/2006/main">
          <a:schemeClr val="accent2">
            <a:alpha val="20000"/>
          </a:schemeClr>
        </a:solidFill>
        <a:ln xmlns:a="http://schemas.openxmlformats.org/drawingml/2006/main">
          <a:no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vert270" tIns="180000" anchor="ctr"/>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pPr algn="r"/>
          <a:r>
            <a:rPr lang="en-NZ" sz="1400" kern="1200">
              <a:solidFill>
                <a:sysClr val="windowText" lastClr="000000"/>
              </a:solidFill>
            </a:rPr>
            <a:t>Pandemic</a:t>
          </a:r>
          <a:r>
            <a:rPr lang="en-NZ" sz="1400" kern="1200" baseline="0">
              <a:solidFill>
                <a:sysClr val="windowText" lastClr="000000"/>
              </a:solidFill>
            </a:rPr>
            <a:t> instability</a:t>
          </a:r>
          <a:endParaRPr lang="en-NZ" sz="1400" kern="1200">
            <a:solidFill>
              <a:sysClr val="windowText" lastClr="000000"/>
            </a:solidFill>
          </a:endParaRPr>
        </a:p>
      </cdr:txBody>
    </cdr:sp>
  </cdr:relSizeAnchor>
</c:userShapes>
</file>

<file path=xl/drawings/drawing12.xml><?xml version="1.0" encoding="utf-8"?>
<xdr:wsDr xmlns:xdr="http://schemas.openxmlformats.org/drawingml/2006/spreadsheetDrawing" xmlns:a="http://schemas.openxmlformats.org/drawingml/2006/main">
  <xdr:absoluteAnchor>
    <xdr:pos x="0" y="0"/>
    <xdr:ext cx="10783241" cy="7843426"/>
    <xdr:graphicFrame macro="">
      <xdr:nvGraphicFramePr>
        <xdr:cNvPr id="2" name="Chart 1">
          <a:extLst>
            <a:ext uri="{FF2B5EF4-FFF2-40B4-BE49-F238E27FC236}">
              <a16:creationId xmlns:a16="http://schemas.microsoft.com/office/drawing/2014/main" id="{25609789-F79C-2454-45BE-1B6CBE87FC2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3.xml><?xml version="1.0" encoding="utf-8"?>
<xdr:wsDr xmlns:xdr="http://schemas.openxmlformats.org/drawingml/2006/spreadsheetDrawing" xmlns:a="http://schemas.openxmlformats.org/drawingml/2006/main">
  <xdr:absoluteAnchor>
    <xdr:pos x="0" y="0"/>
    <xdr:ext cx="10805948" cy="7849914"/>
    <xdr:graphicFrame macro="">
      <xdr:nvGraphicFramePr>
        <xdr:cNvPr id="2" name="Chart 1">
          <a:extLst>
            <a:ext uri="{FF2B5EF4-FFF2-40B4-BE49-F238E27FC236}">
              <a16:creationId xmlns:a16="http://schemas.microsoft.com/office/drawing/2014/main" id="{C7D47474-06F8-F411-0B87-A2DA219FB32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AFBF8127-EB54-49AD-AD5A-FC3B0FA45585}" autoFormatId="16" applyNumberFormats="0" applyBorderFormats="0" applyFontFormats="0" applyPatternFormats="0" applyAlignmentFormats="0" applyWidthHeightFormats="0">
  <queryTableRefresh nextId="10" unboundColumnsRight="4">
    <queryTableFields count="9">
      <queryTableField id="1" name="Year" tableColumnId="1"/>
      <queryTableField id="2" name="Region" tableColumnId="2"/>
      <queryTableField id="3" name="Estimated Population" tableColumnId="3"/>
      <queryTableField id="4" name="New Zealand Estimated Population" tableColumnId="4"/>
      <queryTableField id="5" name="% of national population" tableColumnId="5"/>
      <queryTableField id="6" dataBound="0" tableColumnId="6"/>
      <queryTableField id="7" dataBound="0" tableColumnId="7"/>
      <queryTableField id="8" dataBound="0" tableColumnId="8"/>
      <queryTableField id="9" dataBound="0" tableColumnId="9"/>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2" xr16:uid="{42F6A49A-4035-4E53-A799-7A726ED0F3A4}" autoFormatId="16" applyNumberFormats="0" applyBorderFormats="0" applyFontFormats="0" applyPatternFormats="0" applyAlignmentFormats="0" applyWidthHeightFormats="0">
  <queryTableRefresh nextId="21">
    <queryTableFields count="20">
      <queryTableField id="1" name="Year" tableColumnId="1"/>
      <queryTableField id="2" name="Auckland Region" tableColumnId="2"/>
      <queryTableField id="3" name="Bay of Plenty Region" tableColumnId="3"/>
      <queryTableField id="4" name="Canterbury Region" tableColumnId="4"/>
      <queryTableField id="5" name="Gisborne Region" tableColumnId="5"/>
      <queryTableField id="6" name="Hawke's Bay Region" tableColumnId="6"/>
      <queryTableField id="7" name="Manawatū-Whanganui Region" tableColumnId="7"/>
      <queryTableField id="8" name="Marlborough Region" tableColumnId="8"/>
      <queryTableField id="9" name="Nelson Region" tableColumnId="9"/>
      <queryTableField id="10" name="Northland Region" tableColumnId="10"/>
      <queryTableField id="11" name="Otago Region" tableColumnId="11"/>
      <queryTableField id="12" name="Southland Region" tableColumnId="12"/>
      <queryTableField id="13" name="Taranaki Region" tableColumnId="13"/>
      <queryTableField id="14" name="Tasman Region" tableColumnId="14"/>
      <queryTableField id="15" name="Waikato Region" tableColumnId="15"/>
      <queryTableField id="16" name="Wellington Region" tableColumnId="16"/>
      <queryTableField id="17" name="West Coast Region" tableColumnId="17"/>
      <queryTableField id="18" name="Not applicable / Unknown" tableColumnId="18"/>
      <queryTableField id="19" name="Total" tableColumnId="19"/>
      <queryTableField id="20" name="Auckland % of total" tableColumnId="20"/>
    </queryTableFields>
  </queryTableRefresh>
</queryTable>
</file>

<file path=xl/tables/_rels/table44.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47.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4E7772A-F93B-4C91-A4E0-96256575B625}" name="workbook_contents" displayName="workbook_contents" ref="A20:C46" totalsRowShown="0" headerRowDxfId="358" dataDxfId="357">
  <autoFilter ref="A20:C46" xr:uid="{74E7772A-F93B-4C91-A4E0-96256575B625}"/>
  <tableColumns count="3">
    <tableColumn id="1" xr3:uid="{962A3815-7696-4C7D-8616-78AB75D61C80}" name="Sheet label" dataDxfId="356"/>
    <tableColumn id="2" xr3:uid="{05ECEE4C-2267-4889-B881-9B5C2C647D0D}" name="Type" dataDxfId="355"/>
    <tableColumn id="3" xr3:uid="{9076264D-CAC4-4A50-AD19-D25A1A2A7B74}" name="Description" dataDxfId="354"/>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43C6998-0B39-4453-8A67-08519BC27972}" name="externally_sourced_inputs" displayName="externally_sourced_inputs" ref="A1:D17" totalsRowShown="0" headerRowDxfId="353" dataDxfId="352">
  <autoFilter ref="A1:D17" xr:uid="{F43C6998-0B39-4453-8A67-08519BC27972}"/>
  <tableColumns count="4">
    <tableColumn id="1" xr3:uid="{43907819-4329-4792-9845-1E303FC1A315}" name="Item" dataDxfId="351"/>
    <tableColumn id="2" xr3:uid="{72CB6029-96F0-4B65-8122-6188E0E053C8}" name="Source" dataDxfId="350"/>
    <tableColumn id="3" xr3:uid="{76EB3A2C-1622-4A07-A283-C78F667BDB1B}" name="File link (internal) or URL (external)" dataDxfId="349" dataCellStyle="Hyperlink"/>
    <tableColumn id="4" xr3:uid="{488C0AE5-283E-473B-8C85-D95DD454B6B7}" name="Notes" dataDxfId="348"/>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774BAE6-F4FB-4647-AFC3-A7B13DF25C84}" name="assumptions" displayName="assumptions" ref="A1:B15" totalsRowShown="0" dataDxfId="347">
  <autoFilter ref="A1:B15" xr:uid="{1774BAE6-F4FB-4647-AFC3-A7B13DF25C84}"/>
  <tableColumns count="2">
    <tableColumn id="1" xr3:uid="{A3DF1A97-F86B-43BE-B098-0D30D2FE63E0}" name="Assumption" dataDxfId="346"/>
    <tableColumn id="2" xr3:uid="{E2A1F1DD-BE08-479C-AFC7-9DAE7EF26CC7}" name="Assumption details" dataDxfId="345"/>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6EC4152-B371-4C1A-87D9-B0BA4998DD75}" name="Table1" displayName="Table1" ref="A1:B9" totalsRowShown="0" headerRowDxfId="344" dataDxfId="343">
  <autoFilter ref="A1:B9" xr:uid="{C6EC4152-B371-4C1A-87D9-B0BA4998DD75}"/>
  <tableColumns count="2">
    <tableColumn id="1" xr3:uid="{6C203D63-BFC0-4413-AD1B-0BD23BFEBAAE}" name="Limitation" dataDxfId="342"/>
    <tableColumn id="2" xr3:uid="{D97C75ED-70BE-4F5A-89F8-64DD80988745}" name="Description" dataDxfId="341"/>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DA14D8C-D003-4D05-B678-F850E70F1609}" name="data_dictionary" displayName="data_dictionary" ref="A1:B14" totalsRowShown="0" dataDxfId="340">
  <autoFilter ref="A1:B14" xr:uid="{2DA14D8C-D003-4D05-B678-F850E70F1609}"/>
  <tableColumns count="2">
    <tableColumn id="1" xr3:uid="{CF67590E-C731-4C1F-9A70-DB6A727657D6}" name="Term" dataDxfId="339"/>
    <tableColumn id="2" xr3:uid="{D25A4979-F591-424F-AEC2-1C0EEDCAB004}" name="Description" dataDxfId="338"/>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92CEA2B4-9E20-4E1D-97E0-A2DFC10D00EE}" name="NationalU5Proportions" displayName="NationalU5Proportions" ref="L2:P12" totalsRowShown="0" headerRowDxfId="337">
  <autoFilter ref="L2:P12" xr:uid="{92CEA2B4-9E20-4E1D-97E0-A2DFC10D00EE}"/>
  <tableColumns count="5">
    <tableColumn id="1" xr3:uid="{CBA2E52B-DEFA-4F7D-98AC-7F5555BB196D}" name="0"/>
    <tableColumn id="2" xr3:uid="{E116B3ED-D756-41C8-B34E-6835C77BFEA7}" name="1"/>
    <tableColumn id="3" xr3:uid="{E6F828B6-68FE-4671-9BFE-798898AC5323}" name="2"/>
    <tableColumn id="4" xr3:uid="{990D6450-2A1D-4B7B-AF1E-DD66F6F5F940}" name="3"/>
    <tableColumn id="5" xr3:uid="{D8EE0756-5388-4666-83CB-CA46F6D218E9}" name="4"/>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A9F870BC-6E51-4AA1-9504-096210631A92}" name="FigureNZAKLU5PopEstimates" displayName="FigureNZAKLU5PopEstimates" ref="H2:I12" totalsRowShown="0" headerRowDxfId="336">
  <autoFilter ref="H2:I12" xr:uid="{A9F870BC-6E51-4AA1-9504-096210631A92}"/>
  <tableColumns count="2">
    <tableColumn id="1" xr3:uid="{99EA3F52-C1CE-435B-8F86-7AD31E03E035}" name="Year" dataDxfId="335"/>
    <tableColumn id="2" xr3:uid="{1E08DBE7-4D04-49C9-A440-8BD91A3759F6}" name="Total"/>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D9FCB75-5DAD-4DB2-AEF2-56D812FA29DE}" name="Table7" displayName="Table7" ref="A2:G13" totalsRowShown="0" headerRowDxfId="334">
  <autoFilter ref="A2:G13" xr:uid="{4D9FCB75-5DAD-4DB2-AEF2-56D812FA29DE}"/>
  <tableColumns count="7">
    <tableColumn id="1" xr3:uid="{7FCCABAF-33FB-45C4-8414-0390BA68DB3A}" name="Service Type"/>
    <tableColumn id="2" xr3:uid="{D7E98175-EF50-4A59-B46F-3B77DDBE1CE1}" name="Age Group"/>
    <tableColumn id="3" xr3:uid="{681F08CD-4326-4D55-A750-65D841A3D467}" name="Required Adult:Child Ratio" dataDxfId="333"/>
    <tableColumn id="4" xr3:uid="{7FCAB79A-531B-4DEF-BA66-035833B839E8}" name="min" dataDxfId="332"/>
    <tableColumn id="7" xr3:uid="{FFDEBF42-95C4-4F80-816F-96B53D1D048B}" name="mean" dataDxfId="331">
      <calculatedColumnFormula>1/4.38</calculatedColumnFormula>
    </tableColumn>
    <tableColumn id="5" xr3:uid="{A4DC51CA-7D27-4B51-84A8-FFE2C323B732}" name="% qualified teachers (min)" dataDxfId="330"/>
    <tableColumn id="6" xr3:uid="{4FC2B648-1A4D-47CE-94F8-0197C4F6A78E}" name="Min. qualified teachers"/>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E46E10AF-3F70-4568-A9EC-EA01A79A943C}" name="MarketShare" displayName="MarketShare" ref="A3:D30" totalsRowShown="0" headerRowDxfId="329" dataDxfId="328">
  <autoFilter ref="A3:D30" xr:uid="{126FC4FB-C39A-43F6-BA93-D92CAADC04E2}"/>
  <tableColumns count="4">
    <tableColumn id="1" xr3:uid="{DE811014-4427-4018-A29C-5C70E5338A55}" name="Year" dataDxfId="327"/>
    <tableColumn id="2" xr3:uid="{A56AF288-FC20-4E13-B928-792F49A91FF2}" name="Education &amp; Care" dataDxfId="326"/>
    <tableColumn id="3" xr3:uid="{F821B91C-D0A7-4A3B-B407-99C76084A1CE}" name="Kindergarten" dataDxfId="325"/>
    <tableColumn id="4" xr3:uid="{AFB49F83-3DFC-4A88-90EC-8CCB96028E2A}" name="Te Kōhanga Reo*" dataDxfId="324"/>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BAB14E0F-92F0-4AF9-9E98-A6D83DE4E42E}" name="YearOnYearChange" displayName="YearOnYearChange" ref="A32:D57" totalsRowShown="0" headerRowDxfId="323" dataDxfId="322">
  <autoFilter ref="A32:D57" xr:uid="{7F02730F-1CC0-4262-A793-D0B927905EE1}"/>
  <tableColumns count="4">
    <tableColumn id="1" xr3:uid="{099100BE-8393-413D-BEDD-B57E9292BA64}" name="Year" dataDxfId="321"/>
    <tableColumn id="2" xr3:uid="{484B4F6A-462E-411D-BCA3-C25942BEA103}" name="Education &amp; Care" dataDxfId="320">
      <calculatedColumnFormula>B5-B4</calculatedColumnFormula>
    </tableColumn>
    <tableColumn id="3" xr3:uid="{85D7F4C9-8C29-4F2D-8A26-5C30D18E96C0}" name="Kindergarten" dataDxfId="319">
      <calculatedColumnFormula>C5-C4</calculatedColumnFormula>
    </tableColumn>
    <tableColumn id="4" xr3:uid="{BDD3DB3B-04CD-4A37-8D66-137A25173FBF}" name="Te Kōhanga Reo*" dataDxfId="318">
      <calculatedColumnFormula>D5-D4</calculatedColumnFormula>
    </tableColumn>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ED74CEBC-6AD9-44A6-9CCB-9CE9F6236059}" name="AttendanceLevels" displayName="AttendanceLevels" ref="F60:I62" totalsRowShown="0" headerRowDxfId="317">
  <autoFilter ref="F60:I62" xr:uid="{62E739C1-687A-4682-84D9-8493BC1E0D86}"/>
  <tableColumns count="4">
    <tableColumn id="1" xr3:uid="{974FAB17-F043-4073-B3CE-584332DD501B}" name="Measure"/>
    <tableColumn id="2" xr3:uid="{E36CE2EE-B756-45D8-886B-A91AD142D6D0}" name="Education &amp; Care" dataDxfId="316">
      <calculatedColumnFormula>G60/40</calculatedColumnFormula>
    </tableColumn>
    <tableColumn id="3" xr3:uid="{60A50524-3CEF-4D8E-A80C-D94A8FFE7DA6}" name="Kindergarten" dataDxfId="315">
      <calculatedColumnFormula>H60/40</calculatedColumnFormula>
    </tableColumn>
    <tableColumn id="4" xr3:uid="{F2D181FE-97A7-45D8-A058-1C25D56D166D}" name="Te Kōhanga Reo*" dataDxfId="314">
      <calculatedColumnFormula>I60/40</calculatedColumnFormula>
    </tableColumn>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560914A7-5835-4DFD-82CB-9CA5A27424E3}" name="CentreBasedHeadcountEnrolmentsLow" displayName="CentreBasedHeadcountEnrolmentsLow" ref="A83:D94" totalsRowShown="0" headerRowDxfId="313" dataDxfId="312">
  <autoFilter ref="A83:D94" xr:uid="{E0C3EA6A-4DF3-4CA3-8680-3DF2335DE5F6}"/>
  <tableColumns count="4">
    <tableColumn id="1" xr3:uid="{C7DAF487-9D6C-4588-B11A-1044BE9ABA5B}" name="Year" dataDxfId="311"/>
    <tableColumn id="2" xr3:uid="{36DEAD7C-52F0-4B41-B6F7-970E1A77EA1B}" name="Education &amp; Care" dataDxfId="310">
      <calculatedColumnFormula>MROUND(('T15'!$Q15*B$75),5)</calculatedColumnFormula>
    </tableColumn>
    <tableColumn id="3" xr3:uid="{DD8F40FF-0C98-4586-A4FB-B27562B8ABC5}" name="Kindergarten" dataDxfId="309">
      <calculatedColumnFormula>MROUND(('T15'!$Q15*C$75),5)</calculatedColumnFormula>
    </tableColumn>
    <tableColumn id="5" xr3:uid="{4FA247BE-E6E6-4C22-8824-4C9836A3029E}" name="Total" dataDxfId="308">
      <calculatedColumnFormula>SUM(B84:C84)</calculatedColumnFormula>
    </tableColumn>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A2353D63-DC9D-4413-B786-0E03C6FC4D20}" name="CentreBasedHeadcountEnrolmentsMedium" displayName="CentreBasedHeadcountEnrolmentsMedium" ref="A97:D108" totalsRowShown="0" headerRowDxfId="307" dataDxfId="306">
  <autoFilter ref="A97:D108" xr:uid="{BFE79344-D4C2-4D94-ABDE-513FD4A5E93E}"/>
  <tableColumns count="4">
    <tableColumn id="1" xr3:uid="{40C0AE64-61C8-4B04-A2D5-5ED26F1C283C}" name="Year" dataDxfId="305"/>
    <tableColumn id="2" xr3:uid="{B2553972-2616-4EE7-9F95-6814240F1E3F}" name="Education &amp; Care" dataDxfId="304">
      <calculatedColumnFormula>MROUND(('T15'!$S15*B$75),5)</calculatedColumnFormula>
    </tableColumn>
    <tableColumn id="3" xr3:uid="{3EA33AD2-5457-4C73-937C-528BA15207FA}" name="Kindergarten" dataDxfId="303">
      <calculatedColumnFormula>MROUND(('T15'!$S15*C$75),5)</calculatedColumnFormula>
    </tableColumn>
    <tableColumn id="5" xr3:uid="{91E65121-D3BF-4817-B1A0-EE18193D8651}" name="Total" dataDxfId="302">
      <calculatedColumnFormula>SUM(B98:C98)</calculatedColumnFormula>
    </tableColumn>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7BA9869D-2765-44C0-BA51-87E5E089B08F}" name="CentreBasedHeadcountEnrolmentsHigh" displayName="CentreBasedHeadcountEnrolmentsHigh" ref="A111:D122" totalsRowShown="0" headerRowDxfId="301" dataDxfId="300">
  <autoFilter ref="A111:D122" xr:uid="{1C058F11-B8BD-4742-A8CB-54D9A2CD0908}"/>
  <tableColumns count="4">
    <tableColumn id="1" xr3:uid="{23E6B7AB-1D71-4391-AD98-0CF67732E3A9}" name="Year" dataDxfId="299"/>
    <tableColumn id="2" xr3:uid="{45DC7B55-ABE9-4F20-A6C2-B2897550B23A}" name="Education &amp; Care" dataDxfId="298">
      <calculatedColumnFormula>MROUND(('T15'!$T15*B$69),5)</calculatedColumnFormula>
    </tableColumn>
    <tableColumn id="3" xr3:uid="{297B1ABC-921C-4DAE-A40D-5F70903612F6}" name="Kindergarten" dataDxfId="297">
      <calculatedColumnFormula>MROUND(('T15'!$T15*C$75),5)</calculatedColumnFormula>
    </tableColumn>
    <tableColumn id="5" xr3:uid="{2EEA6083-03DD-487C-8AE8-57CF572F790E}" name="Total" dataDxfId="296">
      <calculatedColumnFormula>SUM(B112:C112)</calculatedColumnFormula>
    </tableColumn>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574D5ED0-AD4B-4B70-AC8B-EA2BF585EA34}" name="RatioMultipliers" displayName="RatioMultipliers" ref="F65:I70" totalsRowShown="0" headerRowDxfId="295">
  <autoFilter ref="F65:I70" xr:uid="{430246C1-3734-4FAE-996D-5BA2EA3ACD7C}"/>
  <tableColumns count="4">
    <tableColumn id="1" xr3:uid="{3458C697-17AA-4E2C-A1ED-E9D4BC478283}" name="Group"/>
    <tableColumn id="2" xr3:uid="{4678584A-B53F-4F12-9062-5932E4F21DBE}" name="Education &amp; Care" dataDxfId="294"/>
    <tableColumn id="3" xr3:uid="{5DCF7258-1E73-4615-AFF7-280732EA672B}" name="Kindergarten" dataDxfId="293"/>
    <tableColumn id="4" xr3:uid="{22386595-06C3-4286-816A-48CBDE973AB2}" name="Te Kōhanga Reo" dataDxfId="292"/>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45EE925F-C705-40B5-8DD5-B0967E754CF6}" name="MarketBreakdown" displayName="MarketBreakdown" ref="F73:I77" totalsRowShown="0" headerRowDxfId="291" dataDxfId="290">
  <autoFilter ref="F73:I77" xr:uid="{FC584478-A257-4DFB-80A5-AFE19D9245FA}"/>
  <tableColumns count="4">
    <tableColumn id="1" xr3:uid="{40F60B53-A1B5-4861-BDA7-D0171EC2F31E}" name="Group" dataDxfId="289"/>
    <tableColumn id="2" xr3:uid="{DDA22E98-B361-4CA5-8545-A1924E782162}" name="Education &amp; Care" dataDxfId="288"/>
    <tableColumn id="3" xr3:uid="{7D535D71-4342-46AC-9674-26104B42CD56}" name="Kindergarten" dataDxfId="287"/>
    <tableColumn id="4" xr3:uid="{A2D37179-EA83-4864-B5D4-F4CE8CD6A7C1}" name="Te Kōhanga Reo" dataDxfId="286"/>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84AEFCBF-0D59-4AD7-8CD0-04B6A8A34C83}" name="LowScenarioCentreBasedFTEDemand" displayName="LowScenarioCentreBasedFTEDemand" ref="F83:M94" totalsRowShown="0" headerRowDxfId="285" dataDxfId="284">
  <autoFilter ref="F83:M94" xr:uid="{77E00049-BA17-467E-9B02-CEDB596E41E2}"/>
  <tableColumns count="8">
    <tableColumn id="1" xr3:uid="{14712942-528A-4EDB-9154-19A3D1BDB2D5}" name="Year" dataDxfId="283"/>
    <tableColumn id="2" xr3:uid="{8BE94D4D-CBA1-4870-8E58-6CEE98F0731D}" name="Education &amp; Care (under 2s)" dataDxfId="282">
      <calculatedColumnFormula>MROUND(((CentreBasedHeadcountEnrolmentsLow[[#This Row],[Education &amp; Care]]*G$74)*G$68)*'Source-fte_qualstus_x_servtype'!J31,5)</calculatedColumnFormula>
    </tableColumn>
    <tableColumn id="3" xr3:uid="{D6CC12D2-9066-4399-9BCE-454709B1E370}" name="Education &amp; Care (2s)" dataDxfId="281">
      <calculatedColumnFormula>MROUND(((CentreBasedHeadcountEnrolmentsLow[[#This Row],[Education &amp; Care]]*G$75)*G$69)*'Source-fte_qualstus_x_servtype'!J31,5)</calculatedColumnFormula>
    </tableColumn>
    <tableColumn id="4" xr3:uid="{194FD553-54DE-45E3-9E19-D3FB69F66BEF}" name="Education &amp; Care (3+)" dataDxfId="280">
      <calculatedColumnFormula>MROUND(((CentreBasedHeadcountEnrolmentsLow[[#This Row],[Education &amp; Care]]*SUM(G$76:G$77))*G$70)*'Source-fte_qualstus_x_servtype'!J31,5)</calculatedColumnFormula>
    </tableColumn>
    <tableColumn id="5" xr3:uid="{24DE3AB9-9ACE-4050-97A2-39D7F46F767E}" name="Kindergarten (Under 2s)" dataDxfId="279">
      <calculatedColumnFormula>MROUND(((CentreBasedHeadcountEnrolmentsLow[[#This Row],[Kindergarten]]*H$74)*H$68)*'Source-fte_qualstus_x_servtype'!J31,5)</calculatedColumnFormula>
    </tableColumn>
    <tableColumn id="6" xr3:uid="{249850D6-16DF-4FB9-92E4-8A32BB17169B}" name="Kindergarten (2s)" dataDxfId="278">
      <calculatedColumnFormula>MROUND(((CentreBasedHeadcountEnrolmentsLow[[#This Row],[Kindergarten]]*H$75)*H$69)*'Source-fte_qualstus_x_servtype'!J31,5)</calculatedColumnFormula>
    </tableColumn>
    <tableColumn id="7" xr3:uid="{8E7510DC-DE6A-4076-9735-B187D515C597}" name="Kindergarten (3+)" dataDxfId="277">
      <calculatedColumnFormula>MROUND(((CentreBasedHeadcountEnrolmentsLow[[#This Row],[Kindergarten]]*SUM(H$76:H$77))*H$70)*'Source-fte_qualstus_x_servtype'!J31,5)</calculatedColumnFormula>
    </tableColumn>
    <tableColumn id="10" xr3:uid="{8C79FB7B-6597-4C16-B634-41D44DDFC671}" name="Total FTE" dataDxfId="276">
      <calculatedColumnFormula>SUM(G84:L84)</calculatedColumnFormula>
    </tableColumn>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EB563C43-DB99-4756-9CAE-3FB1283948F7}" name="MediumScenarioCentreBasedFTEDemand" displayName="MediumScenarioCentreBasedFTEDemand" ref="F97:M108" totalsRowShown="0" headerRowDxfId="275" dataDxfId="274">
  <autoFilter ref="F97:M108" xr:uid="{EB431A8A-26C6-4D67-9292-D08165CA0D51}"/>
  <tableColumns count="8">
    <tableColumn id="1" xr3:uid="{0F0CCC32-79C6-497E-AC95-735B6A4AFAA9}" name="Year" dataDxfId="273"/>
    <tableColumn id="2" xr3:uid="{E62D5AE1-3E16-43B4-BD7A-876764CED48B}" name="Education &amp; Care (under 2s)" dataDxfId="272">
      <calculatedColumnFormula>MROUND(((CentreBasedHeadcountEnrolmentsMedium[[#This Row],[Education &amp; Care]]*G$74)*G$68)*'Source-fte_qualstus_x_servtype'!J31,5)</calculatedColumnFormula>
    </tableColumn>
    <tableColumn id="3" xr3:uid="{2369C36D-690A-47D0-818B-FA3F0E29C33A}" name="Education &amp; Care (2s)" dataDxfId="271">
      <calculatedColumnFormula>MROUND(((CentreBasedHeadcountEnrolmentsMedium[[#This Row],[Education &amp; Care]]*G$75)*G$69)*'Source-fte_qualstus_x_servtype'!J31,5)</calculatedColumnFormula>
    </tableColumn>
    <tableColumn id="4" xr3:uid="{F84A418A-04C2-4ED9-A3F3-CAFD42E30E22}" name="Education &amp; Care (3+)" dataDxfId="270">
      <calculatedColumnFormula>MROUND(((CentreBasedHeadcountEnrolmentsMedium[[#This Row],[Education &amp; Care]]*SUM(G$76:G$77))*G$70)*'Source-fte_qualstus_x_servtype'!J31,5)</calculatedColumnFormula>
    </tableColumn>
    <tableColumn id="5" xr3:uid="{31AE42E0-B0E6-4F3B-935A-B5E45C2DA002}" name="Kindergarten (Under 2s)" dataDxfId="269">
      <calculatedColumnFormula>MROUND(((CentreBasedHeadcountEnrolmentsMedium[[#This Row],[Kindergarten]]*H$74)*H$68)*'Source-fte_qualstus_x_servtype'!J31,5)</calculatedColumnFormula>
    </tableColumn>
    <tableColumn id="6" xr3:uid="{090C3FB0-C7BC-4674-98B0-404B7D071C00}" name="Kindergarten (2s)" dataDxfId="268">
      <calculatedColumnFormula>MROUND(((CentreBasedHeadcountEnrolmentsMedium[[#This Row],[Kindergarten]]*H$75)*H$69)*'Source-fte_qualstus_x_servtype'!J31,5)</calculatedColumnFormula>
    </tableColumn>
    <tableColumn id="7" xr3:uid="{9D011C69-69B0-477A-A619-9606E6F9D59C}" name="Kindergarten (3+)" dataDxfId="267">
      <calculatedColumnFormula>MROUND(((CentreBasedHeadcountEnrolmentsMedium[[#This Row],[Kindergarten]]*SUM(H$76:H$77))*H$70)*'Source-fte_qualstus_x_servtype'!J31,5)</calculatedColumnFormula>
    </tableColumn>
    <tableColumn id="10" xr3:uid="{B81995A8-C8F8-4A72-962D-127CA776AE08}" name="Total FTE" dataDxfId="266">
      <calculatedColumnFormula>SUM(G98:L98)</calculatedColumnFormula>
    </tableColumn>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FC7E43AC-A99C-46E2-AE56-C996463041B9}" name="HighScenarioCentreBasedFTEDemand" displayName="HighScenarioCentreBasedFTEDemand" ref="F111:M122" totalsRowShown="0" headerRowDxfId="265" dataDxfId="264">
  <autoFilter ref="F111:M122" xr:uid="{9E73CA19-3477-4DD9-8DC1-F7697AB3BA5D}"/>
  <tableColumns count="8">
    <tableColumn id="1" xr3:uid="{BB800893-ED86-4C9C-9630-D6F1BD7C4516}" name="Year" dataDxfId="263"/>
    <tableColumn id="2" xr3:uid="{3748FA27-CB75-4974-8B41-07A3DEFE85EF}" name="Education &amp; Care (under 2s)" dataDxfId="262">
      <calculatedColumnFormula>MROUND(((CentreBasedHeadcountEnrolmentsHigh[[#This Row],[Education &amp; Care]]*G$74)*G$68)*'Source-fte_qualstus_x_servtype'!J31,5)</calculatedColumnFormula>
    </tableColumn>
    <tableColumn id="3" xr3:uid="{D275A9CE-C491-40EB-A15A-FD7545B6B5F7}" name="Education &amp; Care (2s)" dataDxfId="261">
      <calculatedColumnFormula>MROUND(((CentreBasedHeadcountEnrolmentsHigh[[#This Row],[Education &amp; Care]]*G$75)*G$69)*'Source-fte_qualstus_x_servtype'!J31,5)</calculatedColumnFormula>
    </tableColumn>
    <tableColumn id="4" xr3:uid="{20BFE2C0-61D3-45C1-9D42-BA1B223355BF}" name="Education &amp; Care (3+)" dataDxfId="260">
      <calculatedColumnFormula>MROUND(((CentreBasedHeadcountEnrolmentsHigh[[#This Row],[Education &amp; Care]]*SUM(G$76:G$77))*G$70)*'Source-fte_qualstus_x_servtype'!J31,5)</calculatedColumnFormula>
    </tableColumn>
    <tableColumn id="5" xr3:uid="{4EDF55DA-B0B6-416A-B318-89C62485B40C}" name="Kindergarten (Under 2s)" dataDxfId="259">
      <calculatedColumnFormula>MROUND(((CentreBasedHeadcountEnrolmentsHigh[[#This Row],[Kindergarten]]*H$74)*H$68)*'Source-fte_qualstus_x_servtype'!J31,5)</calculatedColumnFormula>
    </tableColumn>
    <tableColumn id="6" xr3:uid="{48F95056-B2A7-4552-9AB7-DE89780DA17E}" name="Kindergarten (2s)" dataDxfId="258">
      <calculatedColumnFormula>MROUND(((CentreBasedHeadcountEnrolmentsHigh[[#This Row],[Kindergarten]]*H$75)*H$69)*'Source-fte_qualstus_x_servtype'!J31,5)</calculatedColumnFormula>
    </tableColumn>
    <tableColumn id="7" xr3:uid="{A7A2C5B9-15FC-4034-A99A-4202BE736C94}" name="Kindergarten (3+)" dataDxfId="257">
      <calculatedColumnFormula>MROUND(((CentreBasedHeadcountEnrolmentsHigh[[#This Row],[Kindergarten]]*SUM(H$76:H$77))*H$70)*'Source-fte_qualstus_x_servtype'!J31,5)</calculatedColumnFormula>
    </tableColumn>
    <tableColumn id="10" xr3:uid="{59A97276-4E67-43F9-B661-ED3D74CAEF69}" name="Total FTE" dataDxfId="256">
      <calculatedColumnFormula>SUM(G112:L112)</calculatedColumnFormula>
    </tableColumn>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DD495F3A-FF2F-4E72-86CF-73E7D4CCE913}" name="QualifiedStaffMultipliers" displayName="QualifiedStaffMultipliers" ref="K60:M63" totalsRowShown="0">
  <autoFilter ref="K60:M63" xr:uid="{B3123DB6-65B5-46FD-9A67-F8918E74BCA6}"/>
  <tableColumns count="3">
    <tableColumn id="1" xr3:uid="{684C3BDF-7838-457D-9379-57113094207F}" name="Target"/>
    <tableColumn id="2" xr3:uid="{439E58EB-F4FE-4535-9F14-55553E449BE0}" name="Education &amp; Care" dataDxfId="255"/>
    <tableColumn id="3" xr3:uid="{5F6F347E-26FA-40DD-B510-28B791372C12}" name="Kindergarten" dataDxfId="254"/>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BF6FB621-7ABD-44ED-A9F0-C300BD5192A8}" name="LowScenarioQualifedFTE" displayName="LowScenarioQualifedFTE" ref="O83:R94" totalsRowShown="0" headerRowDxfId="253" dataDxfId="252">
  <autoFilter ref="O83:R94" xr:uid="{DC844FC6-BF33-49A5-827F-B3F667C2444F}"/>
  <tableColumns count="4">
    <tableColumn id="1" xr3:uid="{BC1C291A-6FDD-4EBC-8276-543960E5070A}" name="Year" dataDxfId="251"/>
    <tableColumn id="2" xr3:uid="{FDAF8E4E-A41B-4CA1-AAEF-A4527B63108B}" name="Education &amp; Care" dataDxfId="250">
      <calculatedColumnFormula>MROUND(SUM(LowScenarioCentreBasedFTEDemand[[#This Row],[Education &amp; Care (under 2s)]:[Education &amp; Care (3+)]])*L$61,5)</calculatedColumnFormula>
    </tableColumn>
    <tableColumn id="3" xr3:uid="{E142A528-6AB4-4EAD-A722-9C43E148E742}" name="Kindergarten" dataDxfId="249">
      <calculatedColumnFormula>MROUND(SUM(LowScenarioCentreBasedFTEDemand[[#This Row],[Kindergarten (Under 2s)]:[Kindergarten (3+)]])*M$61,5)</calculatedColumnFormula>
    </tableColumn>
    <tableColumn id="4" xr3:uid="{CD66A6BC-7E5C-42AE-BFB7-3453E2868A42}" name="Total FTE" dataDxfId="248">
      <calculatedColumnFormula>SUM(P84:Q84)</calculatedColumnFormula>
    </tableColumn>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671DF3B2-2EF9-47C7-949F-E64A424486AA}" name="MediumScenarioQualifiedFTE" displayName="MediumScenarioQualifiedFTE" ref="O97:R108" totalsRowShown="0" headerRowDxfId="247" dataDxfId="246">
  <autoFilter ref="O97:R108" xr:uid="{AEA6D796-B0B4-4EA0-8027-78A0C0F54834}"/>
  <tableColumns count="4">
    <tableColumn id="1" xr3:uid="{6EA897BB-9E19-4DA2-95ED-F1E1F76CF507}" name="Year" dataDxfId="245"/>
    <tableColumn id="2" xr3:uid="{1A68613E-FED1-4AC3-9639-266FB6E1108A}" name="Education &amp; Care" dataDxfId="244">
      <calculatedColumnFormula>MROUND(SUM(MediumScenarioCentreBasedFTEDemand[[#This Row],[Education &amp; Care (under 2s)]:[Education &amp; Care (3+)]])*L$62,5)</calculatedColumnFormula>
    </tableColumn>
    <tableColumn id="3" xr3:uid="{D3E4DF1F-4ED9-46CA-8B1F-70DD320B8979}" name="Kindergarten" dataDxfId="243">
      <calculatedColumnFormula>MROUND(SUM(MediumScenarioCentreBasedFTEDemand[[#This Row],[Kindergarten (Under 2s)]:[Kindergarten (3+)]])*M$62,5)</calculatedColumnFormula>
    </tableColumn>
    <tableColumn id="4" xr3:uid="{EEE0ADC5-0828-4D44-87B3-6E29F2D3DBC6}" name="Total FTE" dataDxfId="242">
      <calculatedColumnFormula>SUM(P98:Q98)</calculatedColumnFormula>
    </tableColumn>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C3AAB056-C12E-4EF1-91B9-C509083530F7}" name="HighScenarioQualifiedFTE" displayName="HighScenarioQualifiedFTE" ref="O111:R122" totalsRowShown="0" headerRowDxfId="241" dataDxfId="240">
  <autoFilter ref="O111:R122" xr:uid="{CFC42DBC-43CD-4E74-807E-8EA881D52194}"/>
  <tableColumns count="4">
    <tableColumn id="1" xr3:uid="{D6FEF889-D51A-419C-9CAE-FE3D0196CFA5}" name="Year" dataDxfId="239"/>
    <tableColumn id="2" xr3:uid="{11AAD4CD-30C7-46A6-A7C9-25372DB934D3}" name="Education &amp; Care" dataDxfId="238">
      <calculatedColumnFormula>MROUND(SUM(HighScenarioCentreBasedFTEDemand[[#This Row],[Education &amp; Care (under 2s)]:[Education &amp; Care (3+)]])*L$63,5)</calculatedColumnFormula>
    </tableColumn>
    <tableColumn id="3" xr3:uid="{66540453-E916-47A3-9450-2E85BC8279DB}" name="Kindergarten" dataDxfId="237">
      <calculatedColumnFormula>MROUND(SUM(HighScenarioCentreBasedFTEDemand[[#This Row],[Kindergarten (Under 2s)]:[Kindergarten (3+)]])*M$61,5)</calculatedColumnFormula>
    </tableColumn>
    <tableColumn id="4" xr3:uid="{0B8F3E98-4AA2-4A13-9033-2E858E580C10}" name="Total FTE" dataDxfId="236">
      <calculatedColumnFormula>SUM(P112:Q112)</calculatedColumnFormula>
    </tableColumn>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18956DD2-7E39-4D6C-B855-27F0FA73D8F0}" name="ComplianceScenarioCentreBasedFTEDemand" displayName="ComplianceScenarioCentreBasedFTEDemand" ref="F127:M138" totalsRowShown="0" headerRowDxfId="235" dataDxfId="234">
  <autoFilter ref="F127:M138" xr:uid="{18956DD2-7E39-4D6C-B855-27F0FA73D8F0}"/>
  <tableColumns count="8">
    <tableColumn id="1" xr3:uid="{E6DE8C0F-6D55-4915-AA75-662849302E41}" name="Year" dataDxfId="233"/>
    <tableColumn id="2" xr3:uid="{60532914-8DF8-464E-BDA2-11B01FB3E7C1}" name="Education &amp; Care (under 2s)" dataDxfId="232">
      <calculatedColumnFormula>MROUND(((Table51[[#This Row],[Education &amp; Care]]*G$74)*G$66)*'Source-fte_qualstus_x_servtype'!J31,5)</calculatedColumnFormula>
    </tableColumn>
    <tableColumn id="3" xr3:uid="{88D143A8-0126-4D7D-8909-4FBF63EAE6D1}" name="Education &amp; Care (2s)" dataDxfId="231">
      <calculatedColumnFormula>MROUND(((Table51[[#This Row],[Education &amp; Care]]*G$75)*G$67)*'Source-fte_qualstus_x_servtype'!J31,5)</calculatedColumnFormula>
    </tableColumn>
    <tableColumn id="4" xr3:uid="{3F317D95-DAD1-42E2-A446-7EB82D226CD6}" name="Education &amp; Care (3+)" dataDxfId="230">
      <calculatedColumnFormula>MROUND(((Table51[[#This Row],[Education &amp; Care]]*SUM(G$76:G$77))*G$67)*'Source-fte_qualstus_x_servtype'!J31,5)</calculatedColumnFormula>
    </tableColumn>
    <tableColumn id="5" xr3:uid="{E40CC624-191F-4F99-8DFF-61469F37D1A4}" name="Kindergarten (Under 2s)" dataDxfId="229">
      <calculatedColumnFormula>MROUND(((Table51[[#This Row],[Kindergarten]]*H$74)*H$66)*'Source-fte_qualstus_x_servtype'!J31,5)</calculatedColumnFormula>
    </tableColumn>
    <tableColumn id="6" xr3:uid="{10595EF6-EE5D-411A-8C6F-6B4568F88B10}" name="Kindergarten (2s)" dataDxfId="228">
      <calculatedColumnFormula>MROUND(((Table51[[#This Row],[Kindergarten]]*H$75)*H$67)*'Source-fte_qualstus_x_servtype'!J31,5)</calculatedColumnFormula>
    </tableColumn>
    <tableColumn id="7" xr3:uid="{C5F1AAB2-D4D5-4DE5-8198-EFEACAE69E7D}" name="Kindergarten (3+)" dataDxfId="227">
      <calculatedColumnFormula>MROUND(((Table51[[#This Row],[Kindergarten]]*SUM(H$76:H$77))*H$67)*'Source-fte_qualstus_x_servtype'!J31,5)</calculatedColumnFormula>
    </tableColumn>
    <tableColumn id="10" xr3:uid="{CE282B05-8BC9-4AF3-8BF5-2E586C58DC24}" name="Total FTE" dataDxfId="226">
      <calculatedColumnFormula>SUM(G128:L128)</calculatedColumnFormula>
    </tableColumn>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46AC5918-FA5D-4973-B37E-E1FD10752FFC}" name="Table51" displayName="Table51" ref="A127:D138" totalsRowShown="0" headerRowDxfId="225">
  <autoFilter ref="A127:D138" xr:uid="{46AC5918-FA5D-4973-B37E-E1FD10752FFC}"/>
  <tableColumns count="4">
    <tableColumn id="1" xr3:uid="{E1EE21BF-EA02-4DCD-BA11-7FFB25980DA9}" name="Year"/>
    <tableColumn id="2" xr3:uid="{55C17D5F-9444-44C4-B6F2-088F7B9C9446}" name="Education &amp; Care" dataDxfId="224"/>
    <tableColumn id="3" xr3:uid="{09244304-47B6-4EA0-BF1B-02EB54EB701E}" name="Kindergarten" dataDxfId="223"/>
    <tableColumn id="4" xr3:uid="{D65AADB3-1BA4-4C9B-AB65-6F1A3B8192D7}" name="Total" dataDxfId="222"/>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FC3D3133-CC88-4FCE-B617-0C6708541006}" name="HighScenarioQualifiedFTE53" displayName="HighScenarioQualifiedFTE53" ref="O127:R138" totalsRowShown="0" headerRowDxfId="221" dataDxfId="220">
  <autoFilter ref="O127:R138" xr:uid="{FC3D3133-CC88-4FCE-B617-0C6708541006}"/>
  <tableColumns count="4">
    <tableColumn id="1" xr3:uid="{71F4373D-D140-4536-8BD1-4FF070FCC320}" name="Year" dataDxfId="219"/>
    <tableColumn id="2" xr3:uid="{DA65BAFF-7513-4622-B210-A4E18413B7FB}" name="Education &amp; Care" dataDxfId="218">
      <calculatedColumnFormula>MROUND(SUM(ComplianceScenarioCentreBasedFTEDemand[[#This Row],[Education &amp; Care (under 2s)]:[Education &amp; Care (3+)]])*L$63,5)</calculatedColumnFormula>
    </tableColumn>
    <tableColumn id="3" xr3:uid="{B51604B5-455B-4733-AB86-BB07C5400F88}" name="Kindergarten" dataDxfId="217">
      <calculatedColumnFormula>MROUND(SUM(ComplianceScenarioCentreBasedFTEDemand[[#This Row],[Kindergarten (Under 2s)]:[Kindergarten (3+)]])*M$61,5)</calculatedColumnFormula>
    </tableColumn>
    <tableColumn id="4" xr3:uid="{8745BCF4-BBB0-4462-867F-B544AC8CEE4F}" name="Total FTE" dataDxfId="216">
      <calculatedColumnFormula>SUM(P128:Q128)</calculatedColumnFormula>
    </tableColumn>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188EACAE-5CD7-46B7-9D73-0E2915B4EC8A}" name="MarketShare29" displayName="MarketShare29" ref="B3:G29" totalsRowShown="0" headerRowDxfId="215" dataDxfId="214">
  <autoFilter ref="B3:G29" xr:uid="{126FC4FB-C39A-43F6-BA93-D92CAADC04E2}"/>
  <tableColumns count="6">
    <tableColumn id="1" xr3:uid="{0FFBAE87-0432-450E-8B2D-972A440727D6}" name="Year" dataDxfId="213"/>
    <tableColumn id="2" xr3:uid="{BFD35A49-A6F5-4EF0-ACF4-C08C57F5B589}" name="Education &amp; Care" dataDxfId="212"/>
    <tableColumn id="3" xr3:uid="{6FA8BCF3-CBE1-41B3-9B23-99ABF34E811E}" name="Kindergarten" dataDxfId="211"/>
    <tableColumn id="4" xr3:uid="{A4C1784B-1E11-467E-A60C-CF2BE99A62F3}" name="Te Kōhanga Reo*" dataDxfId="210"/>
    <tableColumn id="5" xr3:uid="{093A404E-9779-490E-A8E0-150539C33AB1}" name="Home-based" dataDxfId="209"/>
    <tableColumn id="6" xr3:uid="{A291C23B-5106-4AA3-8EB7-5BC34B8E06B3}" name="Playcentre" dataDxfId="208"/>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A20525CD-F6C5-469D-A333-751D4AD1506E}" name="YearOnYearChange30" displayName="YearOnYearChange30" ref="B32:G57" totalsRowShown="0" headerRowDxfId="207" dataDxfId="206" headerRowBorderDxfId="204" tableBorderDxfId="205" totalsRowBorderDxfId="203">
  <autoFilter ref="B32:G57" xr:uid="{7F02730F-1CC0-4262-A793-D0B927905EE1}"/>
  <tableColumns count="6">
    <tableColumn id="1" xr3:uid="{4EE674CA-9A9F-43E6-B9F1-93CBC1F92C87}" name="Year" dataDxfId="202"/>
    <tableColumn id="2" xr3:uid="{271A8744-CE40-4532-B58F-B911A5B8EDDC}" name="Education &amp; Care" dataDxfId="201">
      <calculatedColumnFormula>C5-C4</calculatedColumnFormula>
    </tableColumn>
    <tableColumn id="3" xr3:uid="{C0760562-6387-4B5E-97DD-A88F263B9201}" name="Kindergarten" dataDxfId="200">
      <calculatedColumnFormula>D5-D4</calculatedColumnFormula>
    </tableColumn>
    <tableColumn id="4" xr3:uid="{EF562897-A4FE-41A7-95A8-25363C500D55}" name="Te Kōhanga Reo*" dataDxfId="199">
      <calculatedColumnFormula>E5-E4</calculatedColumnFormula>
    </tableColumn>
    <tableColumn id="5" xr3:uid="{AAE83A8A-58B3-46F5-BCA1-3F4B80207D7B}" name="Home-based" dataDxfId="198">
      <calculatedColumnFormula>F5-F4</calculatedColumnFormula>
    </tableColumn>
    <tableColumn id="6" xr3:uid="{30FAEB23-80B5-4A93-9332-C6F5A5FF1A7D}" name="Playcentre" dataDxfId="197">
      <calculatedColumnFormula>G5-G4</calculatedColumnFormula>
    </tableColumn>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1FC82FCC-A182-4278-AE26-F4AFD85F4C01}" name="AttendanceLevels31" displayName="AttendanceLevels31" ref="K60:P62" totalsRowShown="0" headerRowDxfId="196">
  <autoFilter ref="K60:P62" xr:uid="{62E739C1-687A-4682-84D9-8493BC1E0D86}"/>
  <tableColumns count="6">
    <tableColumn id="1" xr3:uid="{330642D6-8A8A-493E-8D8F-B3EC12685B1F}" name="Measure"/>
    <tableColumn id="2" xr3:uid="{09FA378E-B9C1-4EAB-AA73-B8347A03EDA6}" name="Education &amp; Care" dataDxfId="195">
      <calculatedColumnFormula>L60/40</calculatedColumnFormula>
    </tableColumn>
    <tableColumn id="3" xr3:uid="{EBAF6240-9184-4851-BD49-1D0E11244A66}" name="Kindergarten" dataDxfId="194">
      <calculatedColumnFormula>M60/40</calculatedColumnFormula>
    </tableColumn>
    <tableColumn id="4" xr3:uid="{FED69BCD-9A8A-49B1-8DF9-EFA4AE299D4C}" name="Te Kōhanga Reo*" dataDxfId="193">
      <calculatedColumnFormula>N60/40</calculatedColumnFormula>
    </tableColumn>
    <tableColumn id="5" xr3:uid="{8AD5FE30-CE61-4D9D-8911-F7FB04AAA8A3}" name="Home-based" dataDxfId="192"/>
    <tableColumn id="6" xr3:uid="{9B822DE0-F6F2-424C-801A-2E9A9C50510C}" name="Playcentre" dataDxfId="191"/>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D808A537-B0CC-4EAA-A10E-2F428F7B0ACE}" name="CentreBasedHeadcountEnrolmentsLow32" displayName="CentreBasedHeadcountEnrolmentsLow32" ref="B83:H94" totalsRowShown="0" headerRowDxfId="190" dataDxfId="189">
  <autoFilter ref="B83:H94" xr:uid="{E0C3EA6A-4DF3-4CA3-8680-3DF2335DE5F6}"/>
  <tableColumns count="7">
    <tableColumn id="1" xr3:uid="{485E1CF1-6D39-4148-AC5F-F88BCE56A037}" name="Year" dataDxfId="188"/>
    <tableColumn id="2" xr3:uid="{EA88FC68-5C27-4906-8208-72C896045C88}" name="Education &amp; Care" dataDxfId="187">
      <calculatedColumnFormula>MROUND(('T15'!$Q15*C$75),5)</calculatedColumnFormula>
    </tableColumn>
    <tableColumn id="3" xr3:uid="{DBB8853E-0BEF-4EC3-B3D3-831FADDB8E7A}" name="Kindergarten" dataDxfId="186">
      <calculatedColumnFormula>MROUND(('T15'!$Q15*D$75),5)</calculatedColumnFormula>
    </tableColumn>
    <tableColumn id="6" xr3:uid="{8864BE01-9AB9-4632-8515-688FDD9CA99B}" name="Kōhanga Reo" dataDxfId="185">
      <calculatedColumnFormula>MROUND(('T15'!$Q15*E$75),5)</calculatedColumnFormula>
    </tableColumn>
    <tableColumn id="7" xr3:uid="{251EF483-65BD-40F0-9199-B5DB85B93632}" name="Home-based" dataDxfId="184">
      <calculatedColumnFormula>MROUND(('T15'!$Q15*F$75),5)</calculatedColumnFormula>
    </tableColumn>
    <tableColumn id="8" xr3:uid="{25B5108A-874D-4136-BBF0-334887B2080F}" name="Playcentre" dataDxfId="183">
      <calculatedColumnFormula>MROUND(('T15'!$Q15*G$75),5)</calculatedColumnFormula>
    </tableColumn>
    <tableColumn id="5" xr3:uid="{959CF81F-AEFE-4155-ADB5-3666A626D1E1}" name="Total" dataDxfId="182">
      <calculatedColumnFormula>SUM(C84:E84)</calculatedColumnFormula>
    </tableColumn>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5094DAFD-F715-4E89-B510-E710DB47187F}" name="CentreBasedHeadcountEnrolmentsMedium33" displayName="CentreBasedHeadcountEnrolmentsMedium33" ref="B97:H108" totalsRowShown="0" headerRowDxfId="181" dataDxfId="180">
  <autoFilter ref="B97:H108" xr:uid="{BFE79344-D4C2-4D94-ABDE-513FD4A5E93E}"/>
  <tableColumns count="7">
    <tableColumn id="1" xr3:uid="{3EB67A7A-5403-407A-A2B4-69C431E5C710}" name="Year" dataDxfId="179"/>
    <tableColumn id="2" xr3:uid="{02451691-3355-42D1-936F-487B0475158F}" name="Education &amp; Care" dataDxfId="178">
      <calculatedColumnFormula>MROUND(('T15'!$S15*C$75),5)</calculatedColumnFormula>
    </tableColumn>
    <tableColumn id="3" xr3:uid="{FB0744CF-8E0F-4691-86FD-1C0EBA4E8D93}" name="Kindergarten" dataDxfId="177">
      <calculatedColumnFormula>MROUND(('T15'!$S15*D$75),5)</calculatedColumnFormula>
    </tableColumn>
    <tableColumn id="4" xr3:uid="{80B7FA6F-2CE2-45BF-954A-330C036AC51D}" name="Kōhanga Reo" dataDxfId="176">
      <calculatedColumnFormula>MROUND(('T15'!$S15*E$75),5)</calculatedColumnFormula>
    </tableColumn>
    <tableColumn id="6" xr3:uid="{4B2929DD-4E41-4E82-ABD8-E8C9805DE534}" name="Home-based" dataDxfId="175">
      <calculatedColumnFormula>MROUND(('T15'!$S15*F$75),5)</calculatedColumnFormula>
    </tableColumn>
    <tableColumn id="7" xr3:uid="{DDE7B6C2-C9FD-443D-9F68-874BFB45D5B1}" name="Playcentre" dataDxfId="174">
      <calculatedColumnFormula>MROUND(('T15'!$S15*G$75),5)</calculatedColumnFormula>
    </tableColumn>
    <tableColumn id="5" xr3:uid="{7192A084-ED23-4A73-A272-89C60FAD5C05}" name="Total" dataDxfId="173">
      <calculatedColumnFormula>SUM(C98:G98)</calculatedColumnFormula>
    </tableColumn>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6DD56B1F-986F-432B-AA6E-3CFCEE3D69BD}" name="CentreBasedHeadcountEnrolmentsHigh34" displayName="CentreBasedHeadcountEnrolmentsHigh34" ref="B111:H122" totalsRowShown="0" headerRowDxfId="172" dataDxfId="171">
  <autoFilter ref="B111:H122" xr:uid="{1C058F11-B8BD-4742-A8CB-54D9A2CD0908}"/>
  <tableColumns count="7">
    <tableColumn id="1" xr3:uid="{28C1429E-EA95-496E-A41C-25884E230907}" name="Year" dataDxfId="170"/>
    <tableColumn id="2" xr3:uid="{44D355BA-A8BC-493F-850F-B4BCC4A71B17}" name="Education &amp; Care" dataDxfId="169">
      <calculatedColumnFormula>MROUND(('T15'!$T15*C$75),5)</calculatedColumnFormula>
    </tableColumn>
    <tableColumn id="3" xr3:uid="{0761242D-1CFF-44F9-BB88-DD0B91E04CBE}" name="Kindergarten" dataDxfId="168">
      <calculatedColumnFormula>MROUND(('T15'!$T15*D$75),5)</calculatedColumnFormula>
    </tableColumn>
    <tableColumn id="4" xr3:uid="{921CBB97-E5D0-43C5-899D-89DA5116878E}" name="Kōhanga Reo" dataDxfId="167">
      <calculatedColumnFormula>MROUND(('T15'!$T15*E$75),5)</calculatedColumnFormula>
    </tableColumn>
    <tableColumn id="6" xr3:uid="{6861196A-BC10-4786-89DF-A6E279939F83}" name="Home-based" dataDxfId="166">
      <calculatedColumnFormula>MROUND(('T15'!$T15*F$75),5)</calculatedColumnFormula>
    </tableColumn>
    <tableColumn id="7" xr3:uid="{5EA6622B-65D1-4FFF-AF74-52B3FA8FC511}" name="Playcentre" dataDxfId="165">
      <calculatedColumnFormula>MROUND(('T15'!$T15*G$75),5)</calculatedColumnFormula>
    </tableColumn>
    <tableColumn id="5" xr3:uid="{74C26B52-EFB6-4C38-956E-A776077DFF6E}" name="Total" dataDxfId="164">
      <calculatedColumnFormula>SUM(C112:G112)</calculatedColumnFormula>
    </tableColumn>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48BF9980-B083-4972-9EB4-77D11839EB5D}" name="RatioMultipliers35" displayName="RatioMultipliers35" ref="K65:P70" totalsRowShown="0" headerRowDxfId="163">
  <autoFilter ref="K65:P70" xr:uid="{430246C1-3734-4FAE-996D-5BA2EA3ACD7C}"/>
  <tableColumns count="6">
    <tableColumn id="1" xr3:uid="{E4E2E108-9B00-4126-9BB0-297C9E7634CF}" name="Group"/>
    <tableColumn id="2" xr3:uid="{2795DD8C-01D4-4713-9406-B3DD5F516B7E}" name="Education &amp; Care" dataDxfId="162"/>
    <tableColumn id="3" xr3:uid="{4D070505-7002-4010-BF36-0E0615175FEA}" name="Kindergarten" dataDxfId="161"/>
    <tableColumn id="4" xr3:uid="{029FD225-9657-4EFE-8C18-F117DBAE02BA}" name="Te Kōhanga Reo" dataDxfId="160"/>
    <tableColumn id="5" xr3:uid="{C1FA5E5B-93B5-4ABA-B509-8EF6A4FEF517}" name="Home-based" dataDxfId="159"/>
    <tableColumn id="6" xr3:uid="{8DF86D26-8C26-42F9-8AB9-9C45F5BEB6DD}" name="Playcentre" dataDxfId="158"/>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B7049828-492A-4A88-8EC8-C0670D4955B8}" name="MarketBreakdown36" displayName="MarketBreakdown36" ref="K73:P78" totalsRowShown="0" headerRowDxfId="157" dataDxfId="156">
  <autoFilter ref="K73:P78" xr:uid="{FC584478-A257-4DFB-80A5-AFE19D9245FA}"/>
  <tableColumns count="6">
    <tableColumn id="1" xr3:uid="{D35F35BA-E81C-42B7-950D-1C2524D69C53}" name="Group" dataDxfId="155"/>
    <tableColumn id="2" xr3:uid="{ECC6FF95-CBA7-4EEA-A63D-15345C8AF3C9}" name="Education &amp; Care" dataDxfId="154"/>
    <tableColumn id="3" xr3:uid="{3BE92D72-1DE7-459A-86BD-C9C0E585541C}" name="Kindergarten" dataDxfId="153"/>
    <tableColumn id="4" xr3:uid="{C7C934BA-BA69-4831-B5CD-36CDEF28BA41}" name="Te Kōhanga Reo" dataDxfId="152"/>
    <tableColumn id="5" xr3:uid="{937A0AE7-66C7-4814-8DE2-E2EE1E1989D5}" name="Home-based" dataDxfId="151"/>
    <tableColumn id="6" xr3:uid="{D1EAA025-6FEB-4BDD-95D8-0227AE71C515}" name="Playcentre" dataDxfId="150"/>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66A2F8BF-6C9E-4EE0-9F6D-C77B72F6DEB7}" name="LowScenarioCentreBasedFTEDemand37" displayName="LowScenarioCentreBasedFTEDemand37" ref="K83:V94" totalsRowShown="0" headerRowDxfId="149" dataDxfId="148">
  <autoFilter ref="K83:V94" xr:uid="{77E00049-BA17-467E-9B02-CEDB596E41E2}"/>
  <tableColumns count="12">
    <tableColumn id="1" xr3:uid="{41EEE6E8-72F3-4750-82CB-E5CF161CAB2F}" name="Year" dataDxfId="147"/>
    <tableColumn id="2" xr3:uid="{BE694BB2-B23A-4B7E-A589-DDD942E12009}" name="Education &amp; Care (under 2s)" dataDxfId="146">
      <calculatedColumnFormula>MROUND(((CentreBasedHeadcountEnrolmentsLow32[[#This Row],[Education &amp; Care]]*L$74)*L$68)*'Source-fte_qualstus_x_servtype'!J31,5)</calculatedColumnFormula>
    </tableColumn>
    <tableColumn id="3" xr3:uid="{7DFDB3CC-B038-4F3C-81F3-8439335DF051}" name="Education &amp; Care (2s)" dataDxfId="145">
      <calculatedColumnFormula>MROUND(((CentreBasedHeadcountEnrolmentsLow32[[#This Row],[Education &amp; Care]]*L$75)*L$69)*'Source-fte_qualstus_x_servtype'!J31,5)</calculatedColumnFormula>
    </tableColumn>
    <tableColumn id="4" xr3:uid="{E32B270E-BE40-4A9B-A03D-5C637E963E66}" name="Education &amp; Care (3+)" dataDxfId="144">
      <calculatedColumnFormula>MROUND(((CentreBasedHeadcountEnrolmentsLow32[[#This Row],[Education &amp; Care]]*SUM(L$76:L$77))*L$70)*'Source-fte_qualstus_x_servtype'!J31,5)</calculatedColumnFormula>
    </tableColumn>
    <tableColumn id="5" xr3:uid="{1430CDCB-F899-40AB-9F24-5F4F6CFF7E8A}" name="Kindergarten (Under 2s)" dataDxfId="143">
      <calculatedColumnFormula>MROUND(((CentreBasedHeadcountEnrolmentsLow32[[#This Row],[Kindergarten]]*M$74)*M$68)*'Source-fte_qualstus_x_servtype'!J31,5)</calculatedColumnFormula>
    </tableColumn>
    <tableColumn id="6" xr3:uid="{81E53DDA-AFEB-480A-802D-2AF66B83F5F7}" name="Kindergarten (2s)" dataDxfId="142">
      <calculatedColumnFormula>MROUND(((CentreBasedHeadcountEnrolmentsLow32[[#This Row],[Kindergarten]]*M$75)*M$69)*'Source-fte_qualstus_x_servtype'!J31,5)</calculatedColumnFormula>
    </tableColumn>
    <tableColumn id="7" xr3:uid="{2DA2059B-3088-4AC9-986E-D0E4A43824ED}" name="Kindergarten (3+)" dataDxfId="141">
      <calculatedColumnFormula>MROUND(((CentreBasedHeadcountEnrolmentsLow32[[#This Row],[Kindergarten]]*SUM(M$76:M$77))*M$70)*'Source-fte_qualstus_x_servtype'!J31,5)</calculatedColumnFormula>
    </tableColumn>
    <tableColumn id="8" xr3:uid="{8446E19D-39AA-4B4C-852E-094849EBBBE0}" name="Kōhanga Reo (Under 2s)" dataDxfId="140">
      <calculatedColumnFormula>MROUND(((CentreBasedHeadcountEnrolmentsLow32[[#This Row],[Kōhanga Reo]]*SUM(N$74))*N$66)*'Source-fte_qualstus_x_servtype'!J31,5)</calculatedColumnFormula>
    </tableColumn>
    <tableColumn id="9" xr3:uid="{153E447A-8ABF-41F5-87D6-CD2BAFBF7784}" name="Kōhanga Reo (2+)" dataDxfId="139">
      <calculatedColumnFormula>MROUND(((CentreBasedHeadcountEnrolmentsLow32[[#This Row],[Kōhanga Reo]]*SUM(N$75:N$77))*N$67)*'Source-fte_qualstus_x_servtype'!J31,5)</calculatedColumnFormula>
    </tableColumn>
    <tableColumn id="11" xr3:uid="{307D4164-6100-46EF-8D64-634DEBC5E7FC}" name="Home-based" dataDxfId="138">
      <calculatedColumnFormula>MROUND(((CentreBasedHeadcountEnrolmentsLow32[[#This Row],[Home-based]]*SUM(O$78))*O$67)*'Source-fte_qualstus_x_servtype'!J31,5)</calculatedColumnFormula>
    </tableColumn>
    <tableColumn id="12" xr3:uid="{18CA56B5-B0F6-4E39-B568-FBC9BFB63B1E}" name="Playcentre" dataDxfId="137">
      <calculatedColumnFormula>MROUND(((CentreBasedHeadcountEnrolmentsLow32[[#This Row],[Playcentre]])*P$67)*0.5,5)</calculatedColumnFormula>
    </tableColumn>
    <tableColumn id="10" xr3:uid="{68B975D8-614D-40BF-B7E9-8B928F2E33A6}" name="Total FTE" dataDxfId="136">
      <calculatedColumnFormula>SUM(L84:U84)</calculatedColumnFormula>
    </tableColumn>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BD7BEC52-1870-4364-B5AD-58ACB559FD79}" name="MediumScenarioCentreBasedFTEDemand38" displayName="MediumScenarioCentreBasedFTEDemand38" ref="K97:V108" totalsRowShown="0" headerRowDxfId="135" dataDxfId="134">
  <autoFilter ref="K97:V108" xr:uid="{EB431A8A-26C6-4D67-9292-D08165CA0D51}"/>
  <tableColumns count="12">
    <tableColumn id="1" xr3:uid="{14291B7B-5AA7-4E61-94BF-35727521635D}" name="Year" dataDxfId="133"/>
    <tableColumn id="2" xr3:uid="{FDF112FF-3430-4C74-90A9-47EB15CF2F6D}" name="Education &amp; Care (under 2s)" dataDxfId="132">
      <calculatedColumnFormula>MROUND(((CentreBasedHeadcountEnrolmentsMedium33[[#This Row],[Education &amp; Care]]*L$74)*L$68)*'Source-fte_qualstus_x_servtype'!J31,5)</calculatedColumnFormula>
    </tableColumn>
    <tableColumn id="3" xr3:uid="{493561F2-1B20-4899-9402-E44F66205AF9}" name="Education &amp; Care (2s)" dataDxfId="131">
      <calculatedColumnFormula>MROUND(((CentreBasedHeadcountEnrolmentsMedium33[[#This Row],[Education &amp; Care]]*L$75)*L$69)*'Source-fte_qualstus_x_servtype'!J31,5)</calculatedColumnFormula>
    </tableColumn>
    <tableColumn id="4" xr3:uid="{8661EFE5-7199-4AFD-97AA-5373500D51C9}" name="Education &amp; Care (3+)" dataDxfId="130">
      <calculatedColumnFormula>MROUND(((CentreBasedHeadcountEnrolmentsMedium33[[#This Row],[Education &amp; Care]]*SUM(L$76:L$77))*L$70)*'Source-fte_qualstus_x_servtype'!J31,5)</calculatedColumnFormula>
    </tableColumn>
    <tableColumn id="5" xr3:uid="{CB469519-CDA1-4615-85B3-02574E65FE92}" name="Kindergarten (Under 2s)" dataDxfId="129">
      <calculatedColumnFormula>MROUND(((CentreBasedHeadcountEnrolmentsMedium33[[#This Row],[Kindergarten]]*M$74)*M$68)*'Source-fte_qualstus_x_servtype'!J31,5)</calculatedColumnFormula>
    </tableColumn>
    <tableColumn id="6" xr3:uid="{4CAB570C-59C9-4349-8D9C-82D1561714C7}" name="Kindergarten (2s)" dataDxfId="128">
      <calculatedColumnFormula>MROUND(((CentreBasedHeadcountEnrolmentsMedium33[[#This Row],[Kindergarten]]*M$75)*M$69)*'Source-fte_qualstus_x_servtype'!J31,5)</calculatedColumnFormula>
    </tableColumn>
    <tableColumn id="7" xr3:uid="{3BE92A4F-7FCD-49BE-8A78-BD3BD9EF3154}" name="Kindergarten (3+)" dataDxfId="127">
      <calculatedColumnFormula>MROUND(((CentreBasedHeadcountEnrolmentsMedium33[[#This Row],[Kindergarten]]*SUM(M$76:M$77))*M$70)*'Source-fte_qualstus_x_servtype'!J31,5)</calculatedColumnFormula>
    </tableColumn>
    <tableColumn id="8" xr3:uid="{791F4F25-7A04-4999-A173-C04205B5F189}" name="Kōhanga Reo (Under 2s)" dataDxfId="126">
      <calculatedColumnFormula>MROUND(((CentreBasedHeadcountEnrolmentsMedium33[[#This Row],[Kōhanga Reo]]*SUM(N$74))*N$66)*'Source-fte_qualstus_x_servtype'!J31,5)</calculatedColumnFormula>
    </tableColumn>
    <tableColumn id="9" xr3:uid="{0B33BBE0-5B7D-4367-93C2-AB4CBD7F2273}" name="Kōhanga Reo (2+)" dataDxfId="125">
      <calculatedColumnFormula>MROUND(((CentreBasedHeadcountEnrolmentsMedium33[[#This Row],[Kōhanga Reo]]*SUM(N$75:N$77))*N$67)*'Source-fte_qualstus_x_servtype'!J31,5)</calculatedColumnFormula>
    </tableColumn>
    <tableColumn id="11" xr3:uid="{203DEA89-AF95-4F48-A880-F3373E59415A}" name="Home-based" dataDxfId="124">
      <calculatedColumnFormula>MROUND(((CentreBasedHeadcountEnrolmentsMedium33[[#This Row],[Home-based]]*SUM(O$78))*O$67)*'Source-fte_qualstus_x_servtype'!J31,5)</calculatedColumnFormula>
    </tableColumn>
    <tableColumn id="12" xr3:uid="{F0976962-75F5-4C0B-A7A7-A4428C04CCB4}" name="Playcentre" dataDxfId="123">
      <calculatedColumnFormula>MROUND(((CentreBasedHeadcountEnrolmentsMedium33[[#This Row],[Playcentre]]*SUM(P$78))*P$67)*0.5,5)</calculatedColumnFormula>
    </tableColumn>
    <tableColumn id="10" xr3:uid="{AF85A084-CE3A-4714-AC99-BC6A06A093C5}" name="Total FTE" dataDxfId="122">
      <calculatedColumnFormula>SUM(L98:U98)</calculatedColumnFormula>
    </tableColumn>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B4ADEF27-5021-4216-A0D8-CF2F7737BF4F}" name="HighScenarioCentreBasedFTEDemand39" displayName="HighScenarioCentreBasedFTEDemand39" ref="K111:V122" totalsRowShown="0" headerRowDxfId="121" dataDxfId="120">
  <autoFilter ref="K111:V122" xr:uid="{9E73CA19-3477-4DD9-8DC1-F7697AB3BA5D}"/>
  <tableColumns count="12">
    <tableColumn id="1" xr3:uid="{E0C2F014-806F-410E-A35A-B22AA1B277AB}" name="Year" dataDxfId="119"/>
    <tableColumn id="2" xr3:uid="{54EC25F6-90B8-4A4F-AE36-187576AD1252}" name="Education &amp; Care (under 2s)" dataDxfId="118">
      <calculatedColumnFormula>MROUND(((CentreBasedHeadcountEnrolmentsHigh34[[#This Row],[Education &amp; Care]]*L$74)*L$68)*'Source-fte_qualstus_x_servtype'!J31,5)</calculatedColumnFormula>
    </tableColumn>
    <tableColumn id="3" xr3:uid="{3177EA23-69C1-40D2-8BC4-44C693613B50}" name="Education &amp; Care (2s)" dataDxfId="117">
      <calculatedColumnFormula>MROUND(((CentreBasedHeadcountEnrolmentsHigh34[[#This Row],[Education &amp; Care]]*L$75)*L$69)*'Source-fte_qualstus_x_servtype'!J31,5)</calculatedColumnFormula>
    </tableColumn>
    <tableColumn id="4" xr3:uid="{CD2EB1B1-B68C-4B72-B5D1-C3C79BE1BF7D}" name="Education &amp; Care (3+)" dataDxfId="116">
      <calculatedColumnFormula>MROUND(((CentreBasedHeadcountEnrolmentsHigh34[[#This Row],[Education &amp; Care]]*SUM(L$76:L$77))*L$70)*'Source-fte_qualstus_x_servtype'!J31,5)</calculatedColumnFormula>
    </tableColumn>
    <tableColumn id="5" xr3:uid="{B37AAF59-76CB-47D9-829E-7768BC816F0D}" name="Kindergarten (Under 2s)" dataDxfId="115">
      <calculatedColumnFormula>MROUND(((CentreBasedHeadcountEnrolmentsHigh34[[#This Row],[Kindergarten]]*M$74)*M$68)*'Source-fte_qualstus_x_servtype'!J31,5)</calculatedColumnFormula>
    </tableColumn>
    <tableColumn id="6" xr3:uid="{6E7BCD1D-AD58-4EA4-9823-D3BBFC2F1CC4}" name="Kindergarten (2s)" dataDxfId="114">
      <calculatedColumnFormula>MROUND(((CentreBasedHeadcountEnrolmentsHigh34[[#This Row],[Kindergarten]]*M$75)*M$69)*'Source-fte_qualstus_x_servtype'!J31,5)</calculatedColumnFormula>
    </tableColumn>
    <tableColumn id="7" xr3:uid="{6B6608F7-B9E4-4902-9212-BFCCE4C866D5}" name="Kindergarten (3+)" dataDxfId="113">
      <calculatedColumnFormula>MROUND(((CentreBasedHeadcountEnrolmentsHigh34[[#This Row],[Kindergarten]]*SUM(M$76:M$77))*M$70)*'Source-fte_qualstus_x_servtype'!J31,5)</calculatedColumnFormula>
    </tableColumn>
    <tableColumn id="8" xr3:uid="{CDB521BD-2F28-4363-B40A-CF59CE8C076E}" name="Kōhanga Reo (Under 2s)" dataDxfId="112">
      <calculatedColumnFormula>MROUND(((CentreBasedHeadcountEnrolmentsHigh34[[#This Row],[Kōhanga Reo]]*SUM(N$74))*N$66)*'Source-fte_qualstus_x_servtype'!J31,5)</calculatedColumnFormula>
    </tableColumn>
    <tableColumn id="9" xr3:uid="{762EC745-5E7E-4912-8FCE-AAD68A7E2D36}" name="Kōhanga Reo (2+)" dataDxfId="111">
      <calculatedColumnFormula>MROUND(((CentreBasedHeadcountEnrolmentsHigh34[[#This Row],[Kōhanga Reo]]*SUM(N$75:N$77))*N$67)*'Source-fte_qualstus_x_servtype'!J31,5)</calculatedColumnFormula>
    </tableColumn>
    <tableColumn id="11" xr3:uid="{51FFF1FC-5ADB-4F36-B2AF-5C8DF0C9634B}" name="Home-based" dataDxfId="110">
      <calculatedColumnFormula>MROUND(((CentreBasedHeadcountEnrolmentsHigh34[[#This Row],[Home-based]]*SUM(O$78))*O$67)*'Source-fte_qualstus_x_servtype'!J31,5)</calculatedColumnFormula>
    </tableColumn>
    <tableColumn id="12" xr3:uid="{8C490443-62E0-4079-872A-CCCF97DADB75}" name="Playcentre" dataDxfId="109">
      <calculatedColumnFormula>MROUND(((CentreBasedHeadcountEnrolmentsHigh34[[#This Row],[Playcentre]]*SUM(P$78))*P$67)*0.5,5)</calculatedColumnFormula>
    </tableColumn>
    <tableColumn id="10" xr3:uid="{35B42473-45CB-4AB3-91CE-29832C33D09C}" name="Total FTE" dataDxfId="108">
      <calculatedColumnFormula>SUM(L112:U112)</calculatedColumnFormula>
    </tableColumn>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65F9178-A345-4DC3-BA19-E04F1A0734BF}" name="QualifiedStaffMultipliers40" displayName="QualifiedStaffMultipliers40" ref="R60:U63" totalsRowShown="0">
  <autoFilter ref="R60:U63" xr:uid="{B3123DB6-65B5-46FD-9A67-F8918E74BCA6}"/>
  <tableColumns count="4">
    <tableColumn id="1" xr3:uid="{FD0865AA-58A4-4B95-914F-F7757C16C522}" name="Target" dataDxfId="107"/>
    <tableColumn id="4" xr3:uid="{014E7A66-273A-482D-9EBF-1221A4201910}" name="Education &amp; Care" dataDxfId="106"/>
    <tableColumn id="3" xr3:uid="{861ABF8A-5929-47E3-9377-9474D7BC7FDC}" name="Kindergarten" dataDxfId="105"/>
    <tableColumn id="2" xr3:uid="{0E9ECD9E-2D3D-4007-9244-0822FD669227}" name="Other" dataDxfId="104"/>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7F7B66A5-447D-44D8-AE2E-3BE294605B92}" name="LowScenarioQualifedFTE41" displayName="LowScenarioQualifedFTE41" ref="Y83:AE94" totalsRowShown="0" headerRowDxfId="103" dataDxfId="102">
  <autoFilter ref="Y83:AE94" xr:uid="{DC844FC6-BF33-49A5-827F-B3F667C2444F}"/>
  <tableColumns count="7">
    <tableColumn id="1" xr3:uid="{C2E37BD8-50B3-4ECF-8AEA-6EEA4220D85A}" name="Year" dataDxfId="101"/>
    <tableColumn id="2" xr3:uid="{2CC4EC1F-8CE5-418B-A849-1856463CACA8}" name="Education &amp; Care" dataDxfId="100">
      <calculatedColumnFormula>MROUND(SUM(LowScenarioCentreBasedFTEDemand37[[#This Row],[Education &amp; Care (under 2s)]:[Education &amp; Care (3+)]])*U$62,5)</calculatedColumnFormula>
    </tableColumn>
    <tableColumn id="3" xr3:uid="{06B0CADC-0C6F-4CE2-9502-DE174A8FAD2D}" name="Kindergarten" dataDxfId="99">
      <calculatedColumnFormula>MROUND(SUM(LowScenarioCentreBasedFTEDemand37[[#This Row],[Kindergarten (Under 2s)]:[Kindergarten (3+)]])*T$61,5)</calculatedColumnFormula>
    </tableColumn>
    <tableColumn id="5" xr3:uid="{2FB14B02-FB3D-428F-975A-5D13FEFC772B}" name="Kōhanga Reo" dataDxfId="98">
      <calculatedColumnFormula>MROUND(SUM(LowScenarioCentreBasedFTEDemand37[[#This Row],[Kōhanga Reo (Under 2s)]:[Kōhanga Reo (2+)]])*U$62,5)</calculatedColumnFormula>
    </tableColumn>
    <tableColumn id="6" xr3:uid="{6E8EC1E7-B4E5-4242-8847-73EDA4CBDAAA}" name="Home-based" dataDxfId="97">
      <calculatedColumnFormula>MROUND(LowScenarioCentreBasedFTEDemand37[[#This Row],[Home-based]]*U$62,5)</calculatedColumnFormula>
    </tableColumn>
    <tableColumn id="7" xr3:uid="{CE5546D8-6B7E-4CCF-A8F1-2D470EBAE488}" name="Playcentre" dataDxfId="96">
      <calculatedColumnFormula>MROUND(LowScenarioCentreBasedFTEDemand37[[#This Row],[Playcentre]]*U$62,5)</calculatedColumnFormula>
    </tableColumn>
    <tableColumn id="4" xr3:uid="{5650E03B-7FD7-436E-9330-EEF639C7A8AE}" name="Total FTE" dataDxfId="95">
      <calculatedColumnFormula>SUM(Z84:AD84)</calculatedColumnFormula>
    </tableColumn>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7F9906E3-E766-487A-BACA-E9077BCA8B10}" name="MediumScenarioQualifiedFTE42" displayName="MediumScenarioQualifiedFTE42" ref="Y97:AE108" totalsRowShown="0" headerRowDxfId="94" dataDxfId="93">
  <autoFilter ref="Y97:AE108" xr:uid="{AEA6D796-B0B4-4EA0-8027-78A0C0F54834}"/>
  <tableColumns count="7">
    <tableColumn id="1" xr3:uid="{DE71EFD3-8595-4B79-9BBD-2434675EE2FE}" name="Year" dataDxfId="92"/>
    <tableColumn id="2" xr3:uid="{7A6C5137-F091-4FAF-BC87-1C89D2573FB1}" name="Education &amp; Care" dataDxfId="91">
      <calculatedColumnFormula>MROUND(SUM(MediumScenarioCentreBasedFTEDemand38[[#This Row],[Education &amp; Care (under 2s)]:[Education &amp; Care (3+)]])*U$62,5)</calculatedColumnFormula>
    </tableColumn>
    <tableColumn id="3" xr3:uid="{6DD43ED3-3E84-4F8A-9AB2-ED570255BC08}" name="Kindergarten" dataDxfId="90">
      <calculatedColumnFormula>MROUND(SUM(MediumScenarioCentreBasedFTEDemand38[[#This Row],[Kindergarten (Under 2s)]:[Kindergarten (3+)]])*T$62,5)</calculatedColumnFormula>
    </tableColumn>
    <tableColumn id="4" xr3:uid="{D3AC7E35-8EDC-4C2A-92B9-7CAAB8208D56}" name="Kōhanga Reo" dataDxfId="89">
      <calculatedColumnFormula>MROUND(SUM(MediumScenarioCentreBasedFTEDemand38[[#This Row],[Kōhanga Reo (Under 2s)]:[Kōhanga Reo (2+)]])*U$62,5)</calculatedColumnFormula>
    </tableColumn>
    <tableColumn id="6" xr3:uid="{4FFAC3EB-ACCB-4EEB-B26F-07880E43E951}" name="Home-based" dataDxfId="88">
      <calculatedColumnFormula>MROUND(MediumScenarioCentreBasedFTEDemand38[[#This Row],[Home-based]]*U$62,5)</calculatedColumnFormula>
    </tableColumn>
    <tableColumn id="7" xr3:uid="{C0FD8FC3-E09E-4FAA-A6C4-A663D25D4047}" name="Playcentre" dataDxfId="87">
      <calculatedColumnFormula>MROUND(MediumScenarioCentreBasedFTEDemand38[[#This Row],[Playcentre]]*U$62,5)</calculatedColumnFormula>
    </tableColumn>
    <tableColumn id="5" xr3:uid="{C0C3D4F1-433D-414A-9298-1BCAB8941566}" name="Total FTE" dataDxfId="86">
      <calculatedColumnFormula>SUM(Z98:AD98)</calculatedColumnFormula>
    </tableColumn>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CDB5E48F-F011-495C-B95B-C895047D9AFD}" name="HighScenarioQualifiedFTE43" displayName="HighScenarioQualifiedFTE43" ref="Y111:AE122" totalsRowShown="0" headerRowDxfId="85" dataDxfId="84">
  <autoFilter ref="Y111:AE122" xr:uid="{CFC42DBC-43CD-4E74-807E-8EA881D52194}"/>
  <tableColumns count="7">
    <tableColumn id="1" xr3:uid="{6AF15E8E-2E08-4753-A7BB-7BD9D16AE24E}" name="Year" dataDxfId="83"/>
    <tableColumn id="2" xr3:uid="{4E40988E-BA77-4B92-9C4E-D30BFAC0A8F8}" name="Education &amp; Care" dataDxfId="82">
      <calculatedColumnFormula>MROUND(SUM(HighScenarioCentreBasedFTEDemand39[[#This Row],[Education &amp; Care (under 2s)]:[Education &amp; Care (3+)]])*U$62,5)</calculatedColumnFormula>
    </tableColumn>
    <tableColumn id="3" xr3:uid="{09799FFF-696A-4675-8E05-E319031ABF57}" name="Kindergarten" dataDxfId="81">
      <calculatedColumnFormula>MROUND(SUM(HighScenarioCentreBasedFTEDemand39[[#This Row],[Kindergarten (Under 2s)]:[Kindergarten (3+)]])*T$61,5)</calculatedColumnFormula>
    </tableColumn>
    <tableColumn id="5" xr3:uid="{0B144ED3-BDC8-484D-A198-B91D93AA1C63}" name="Kōhanga Reo" dataDxfId="80">
      <calculatedColumnFormula>MROUND(SUM(HighScenarioCentreBasedFTEDemand39[[#This Row],[Kōhanga Reo (Under 2s)]:[Kōhanga Reo (2+)]])*U$62,5)</calculatedColumnFormula>
    </tableColumn>
    <tableColumn id="6" xr3:uid="{6970EB81-98C9-44E3-9E2C-ED68661BD4AA}" name="Home-based" dataDxfId="79">
      <calculatedColumnFormula>MROUND(HighScenarioCentreBasedFTEDemand39[[#This Row],[Home-based]]*U$62,5)</calculatedColumnFormula>
    </tableColumn>
    <tableColumn id="7" xr3:uid="{828DE48C-46E0-4CB2-833B-9C67A12DF68A}" name="Playcentre" dataDxfId="78">
      <calculatedColumnFormula>MROUND(HighScenarioCentreBasedFTEDemand39[[#This Row],[Playcentre]]*U$62,5)</calculatedColumnFormula>
    </tableColumn>
    <tableColumn id="4" xr3:uid="{3AB38D31-0E31-4B05-B364-7BE6F35EB53E}" name="Total FTE" dataDxfId="77">
      <calculatedColumnFormula>SUM(Z112:AD112)</calculatedColumnFormula>
    </tableColumn>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EC0D1055-9489-4954-88C0-583327BEBEAE}" name="HighScenarioCentreBasedFTEDemand3947" displayName="HighScenarioCentreBasedFTEDemand3947" ref="K125:V136" totalsRowShown="0" headerRowDxfId="76" dataDxfId="75">
  <autoFilter ref="K125:V136" xr:uid="{EC0D1055-9489-4954-88C0-583327BEBEAE}"/>
  <tableColumns count="12">
    <tableColumn id="1" xr3:uid="{37A84807-81B3-4F84-BC63-589193CD6C37}" name="Year" dataDxfId="74"/>
    <tableColumn id="2" xr3:uid="{418FC9D6-BEE6-4512-BE0B-2C78BE1E328C}" name="Education &amp; Care (under 2s)" dataDxfId="73">
      <calculatedColumnFormula>MROUND(((ComplianceScenarioHeadcountEnrolments[[#This Row],[Education &amp; Care]]*L$74)*L$66)*'Source-fte_qualstus_x_servtype'!J31,1)</calculatedColumnFormula>
    </tableColumn>
    <tableColumn id="3" xr3:uid="{045A527F-EF37-4924-8230-2D8A60D5CC5F}" name="Education &amp; Care (2s)" dataDxfId="72">
      <calculatedColumnFormula>MROUND(((ComplianceScenarioHeadcountEnrolments[[#This Row],[Education &amp; Care]]*L$75)*L$67)*'Source-fte_qualstus_x_servtype'!J31,5)</calculatedColumnFormula>
    </tableColumn>
    <tableColumn id="4" xr3:uid="{3D5B532A-CCF0-47A8-A94D-19A5C849ABA4}" name="Education &amp; Care (3+)" dataDxfId="71">
      <calculatedColumnFormula>MROUND(((ComplianceScenarioHeadcountEnrolments[[#This Row],[Education &amp; Care]]*SUM(L$76:L$77))*L$67)*'Source-fte_qualstus_x_servtype'!J31,5)</calculatedColumnFormula>
    </tableColumn>
    <tableColumn id="5" xr3:uid="{2CE4A160-96A8-4326-8CA0-64195779FB7D}" name="Kindergarten (Under 2s)" dataDxfId="70">
      <calculatedColumnFormula>MROUND(((ComplianceScenarioHeadcountEnrolments[[#This Row],[Kindergarten]]*M$74)*M$66)*'Source-fte_qualstus_x_servtype'!J31,5)</calculatedColumnFormula>
    </tableColumn>
    <tableColumn id="6" xr3:uid="{6316DF1B-9994-491E-8AAA-7AE86F0BA817}" name="Kindergarten (2s)" dataDxfId="69">
      <calculatedColumnFormula>MROUND(((ComplianceScenarioHeadcountEnrolments[[#This Row],[Kindergarten]]*M$75)*M$67)*'Source-fte_qualstus_x_servtype'!J31,5)</calculatedColumnFormula>
    </tableColumn>
    <tableColumn id="7" xr3:uid="{244508D5-8904-4CC0-AB8A-F247CB98A86E}" name="Kindergarten (3+)" dataDxfId="68">
      <calculatedColumnFormula>MROUND(((ComplianceScenarioHeadcountEnrolments[[#This Row],[Kindergarten]]*SUM(M$76:M$77))*M$67)*'Source-fte_qualstus_x_servtype'!J31,5)</calculatedColumnFormula>
    </tableColumn>
    <tableColumn id="8" xr3:uid="{225668AB-E361-40F1-882A-16DF5FA15544}" name="Kōhanga Reo (Under 2s)" dataDxfId="67">
      <calculatedColumnFormula>MROUND(((ComplianceScenarioHeadcountEnrolments[[#This Row],[Kōhanga Reo]]*SUM(N$74))*N$66)*'Source-fte_qualstus_x_servtype'!J31,5)</calculatedColumnFormula>
    </tableColumn>
    <tableColumn id="9" xr3:uid="{5E1004F9-B584-4A66-9C8C-34A0265092F1}" name="Kōhanga Reo (2+)" dataDxfId="66">
      <calculatedColumnFormula>MROUND(((ComplianceScenarioHeadcountEnrolments[[#This Row],[Kōhanga Reo]]*SUM(N$75:N$77))*N$67)*'Source-fte_qualstus_x_servtype'!J31,5)</calculatedColumnFormula>
    </tableColumn>
    <tableColumn id="11" xr3:uid="{B768DBD7-1106-4CCC-A332-61B3FA76BF76}" name="Home-based" dataDxfId="65">
      <calculatedColumnFormula>MROUND(((ComplianceScenarioHeadcountEnrolments[[#This Row],[Home-based]]*SUM(O$78))*O$67)*'Source-fte_qualstus_x_servtype'!J31,5)</calculatedColumnFormula>
    </tableColumn>
    <tableColumn id="12" xr3:uid="{6322440F-45F8-445F-85F5-E5C6A5EA2EBD}" name="Playcentre" dataDxfId="64">
      <calculatedColumnFormula>MROUND(((ComplianceScenarioHeadcountEnrolments[[#This Row],[Playcentre]]*SUM(P$78))*P$67)*0.5,5)</calculatedColumnFormula>
    </tableColumn>
    <tableColumn id="10" xr3:uid="{F62E73DC-0CEC-48CA-917B-46D6FC32AC0F}" name="Total FTE" dataDxfId="63">
      <calculatedColumnFormula>SUM(L126:U126)</calculatedColumnFormula>
    </tableColumn>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9E51F6F0-B219-4559-9A22-E8BA47383EAC}" name="ComplianceScenarioHeadcountEnrolments" displayName="ComplianceScenarioHeadcountEnrolments" ref="B125:H136" totalsRowShown="0" headerRowDxfId="62" dataDxfId="61">
  <autoFilter ref="B125:H136" xr:uid="{9E51F6F0-B219-4559-9A22-E8BA47383EAC}"/>
  <tableColumns count="7">
    <tableColumn id="1" xr3:uid="{F5D7F828-FBA5-43A0-86AB-C927B0CC03EE}" name="Year" dataDxfId="60"/>
    <tableColumn id="2" xr3:uid="{E0301AB6-BF27-48AE-9264-B4D25E690590}" name="Education &amp; Care" dataDxfId="59"/>
    <tableColumn id="3" xr3:uid="{1EFCDA65-1BEB-4EB3-B631-68CE08956B1C}" name="Kindergarten" dataDxfId="58"/>
    <tableColumn id="4" xr3:uid="{BDE5DF07-F1BD-404A-9CA6-B5E20A03B2F3}" name="Kōhanga Reo" dataDxfId="57"/>
    <tableColumn id="5" xr3:uid="{3561F7F6-3ED1-4E3A-A609-4F581998EFE4}" name="Home-based" dataDxfId="56"/>
    <tableColumn id="6" xr3:uid="{1B7E19E3-EAD8-4821-93DE-5360B48DBA2B}" name="Playcentre" dataDxfId="55"/>
    <tableColumn id="7" xr3:uid="{601D1AE8-4500-4D77-940A-7C6F5D866939}" name="Total" dataDxfId="54"/>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308AA938-F1B5-4F56-AB21-232A64641EF9}" name="Table6_1" displayName="Table6_1" ref="A1:I181" tableType="queryTable" totalsRowShown="0">
  <autoFilter ref="A1:I181" xr:uid="{308AA938-F1B5-4F56-AB21-232A64641EF9}"/>
  <sortState xmlns:xlrd2="http://schemas.microsoft.com/office/spreadsheetml/2017/richdata2" ref="A2:E181">
    <sortCondition ref="B2:B181"/>
    <sortCondition ref="A2:A181"/>
  </sortState>
  <tableColumns count="9">
    <tableColumn id="1" xr3:uid="{8E273341-96B4-498C-BB52-F2E0180F9029}" uniqueName="1" name="Year" queryTableFieldId="1"/>
    <tableColumn id="2" xr3:uid="{5C6FA457-2EA3-4ECE-9E43-BDAD6B3B4ED3}" uniqueName="2" name="Region" queryTableFieldId="2" dataDxfId="53"/>
    <tableColumn id="3" xr3:uid="{0F7B49A3-E828-449E-ACD8-6276F32C4E1B}" uniqueName="3" name="Estimated Population" queryTableFieldId="3"/>
    <tableColumn id="4" xr3:uid="{59C5814C-2195-4435-BF0C-45198E862C22}" uniqueName="4" name="New Zealand Estimated Population" queryTableFieldId="4"/>
    <tableColumn id="5" xr3:uid="{FB421402-EBCF-4A26-8A74-1775B24D7B5B}" uniqueName="5" name="% of national population" queryTableFieldId="5"/>
    <tableColumn id="6" xr3:uid="{FE87E6D6-65E0-4E1D-BCFC-31022B44DAE8}" uniqueName="6" name="Movement year on year" queryTableFieldId="6" dataDxfId="52">
      <calculatedColumnFormula>IF(Table6_1[[#This Row],[% of national population]]&gt;E1,"Up","Down")</calculatedColumnFormula>
    </tableColumn>
    <tableColumn id="7" xr3:uid="{8347B68B-2082-4218-A8A7-72FFC02AE26A}" uniqueName="7" name="Movement Periodic" queryTableFieldId="7"/>
    <tableColumn id="8" xr3:uid="{1B420D9F-63B9-4494-8AFA-EA6A2F953D7A}" uniqueName="8" name="Growth YOY" queryTableFieldId="8" dataDxfId="51">
      <calculatedColumnFormula>IF(Table6_1[[#This Row],[Region]]=B1,Table6_1[[#This Row],[% of national population]]-E1,"")</calculatedColumnFormula>
    </tableColumn>
    <tableColumn id="9" xr3:uid="{43EF5938-D0A4-48B6-92A7-19D036431A5C}" uniqueName="9" name="Growth Periodic" queryTableFieldId="9" dataDxfId="50"/>
  </tableColumns>
  <tableStyleInfo name="TableStyleMedium7"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72DF6097-91AF-4970-B0B6-7EDAF86E223C}" name="Table9" displayName="Table9" ref="K2:O20" totalsRowShown="0">
  <autoFilter ref="K2:O20" xr:uid="{72DF6097-91AF-4970-B0B6-7EDAF86E223C}"/>
  <tableColumns count="5">
    <tableColumn id="1" xr3:uid="{91D66E10-54A0-4683-9C20-11D568E2AD01}" name="Region" dataDxfId="49"/>
    <tableColumn id="2" xr3:uid="{A5229246-39D7-4661-85D1-D3983F988D63}" name="Min" dataDxfId="48">
      <calculatedColumnFormula>_xlfn.MINIFS(Table6_1[% of national population],Table6_1[Region],Table9[[#This Row],[Region]])</calculatedColumnFormula>
    </tableColumn>
    <tableColumn id="3" xr3:uid="{88A7ED63-236C-4B37-BB77-F6624CFF98A0}" name="Mean" dataDxfId="47">
      <calculatedColumnFormula>AVERAGEIF(Table6_1[Region],Table9[[#This Row],[Region]],Table6_1[% of national population])</calculatedColumnFormula>
    </tableColumn>
    <tableColumn id="4" xr3:uid="{E0E9D891-7937-4BDB-93F5-609371EBB371}" name="Median" dataDxfId="46">
      <calculatedColumnFormula array="1">MEDIAN(IF(Table6_1[Region]=Table9[[#This Row],[Region]],Table6_1[% of national population]))</calculatedColumnFormula>
    </tableColumn>
    <tableColumn id="5" xr3:uid="{10EE70E6-3306-4FF6-B7AB-811CA36086F3}" name="Max" dataDxfId="45">
      <calculatedColumnFormula>_xlfn.MAXIFS(Table6_1[% of national population],Table6_1[Region],Table9[[#This Row],[Region]])</calculatedColumnFormula>
    </tableColumn>
  </tableColumns>
  <tableStyleInfo name="TableStyleMedium4"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5A05A5A-0FCF-43F3-8330-5E81BBA1579E}" name="Table6" displayName="Table6" ref="A2:T12" totalsRowShown="0">
  <autoFilter ref="A2:T12" xr:uid="{E5A05A5A-0FCF-43F3-8330-5E81BBA1579E}"/>
  <tableColumns count="20">
    <tableColumn id="1" xr3:uid="{D83AB84B-A361-48BB-B8B5-B7B22C53CF26}" name="Year"/>
    <tableColumn id="2" xr3:uid="{DD8F6B11-745C-4425-BC34-1902FE80A2D1}" name="Northland Region"/>
    <tableColumn id="3" xr3:uid="{C413B49D-F2E7-4055-A5EE-3BE9EB442088}" name="Auckland Region"/>
    <tableColumn id="4" xr3:uid="{56262565-628C-42A2-8718-C930BAB3427B}" name="Waikato Region"/>
    <tableColumn id="5" xr3:uid="{E8C99F26-F485-4140-804A-FAED7EB57EB7}" name="Bay of Plenty Region"/>
    <tableColumn id="6" xr3:uid="{5666A514-FA5A-4390-91DA-7369434A617C}" name="Gisborne Region"/>
    <tableColumn id="7" xr3:uid="{882264DD-358F-4C49-B2EC-C5E46ED8935F}" name="Hawke's Bay Region"/>
    <tableColumn id="8" xr3:uid="{898AA2BF-ECF3-4888-8AAD-4B3212143A01}" name="Taranaki Region"/>
    <tableColumn id="9" xr3:uid="{2C8D7D63-C5CF-47CD-9E0F-7BBCB59825EC}" name="Manawatu-Wanganui Region"/>
    <tableColumn id="10" xr3:uid="{E84D6EB5-492A-4004-8916-4C16617B54DA}" name="Wellington Region"/>
    <tableColumn id="11" xr3:uid="{A678875C-4B67-4B77-A5FA-65618E281537}" name="Tasman Region"/>
    <tableColumn id="12" xr3:uid="{6AF07F8E-B029-4D26-8EA9-6908D7ED651E}" name="Nelson Region"/>
    <tableColumn id="13" xr3:uid="{D27912C8-13FF-4CB6-B267-DCA25A60E977}" name="Marlborough Region"/>
    <tableColumn id="14" xr3:uid="{D5371AF6-9EC1-4503-A712-A5527276C0E3}" name="West Coast Region"/>
    <tableColumn id="15" xr3:uid="{4BB04987-4078-49A5-B250-52D523815D4A}" name="Canterbury Region"/>
    <tableColumn id="16" xr3:uid="{C3C41E83-4AA4-4D02-A6B6-6186ABF28851}" name="Otago Region"/>
    <tableColumn id="17" xr3:uid="{5E714047-0306-413F-B992-04CE7934EF95}" name="Southland Region"/>
    <tableColumn id="18" xr3:uid="{92D10089-09E0-4174-A86C-67680C4E0308}" name="North Island"/>
    <tableColumn id="19" xr3:uid="{33DC2B53-7715-4314-89B3-3F99F35ED3CB}" name="South Island"/>
    <tableColumn id="20" xr3:uid="{0983B929-C1C9-426E-810D-0AE126388B95}" name="New Zealand"/>
  </tableColumns>
  <tableStyleInfo name="TableStyleMedium2"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9C4DA3F2-1E71-4104-884D-03C627B7E461}" name="Transformed_participation_x_region" displayName="Transformed_participation_x_region" ref="A1:T26" tableType="queryTable" totalsRowShown="0">
  <autoFilter ref="A1:T26" xr:uid="{9C4DA3F2-1E71-4104-884D-03C627B7E461}"/>
  <tableColumns count="20">
    <tableColumn id="1" xr3:uid="{BA675FF8-ED9A-41D3-952A-A93CC38E0FEB}" uniqueName="1" name="Year" queryTableFieldId="1"/>
    <tableColumn id="2" xr3:uid="{4E1B8460-5E97-40CF-BA40-96DD794A0679}" uniqueName="2" name="Auckland Region" queryTableFieldId="2"/>
    <tableColumn id="3" xr3:uid="{65F6345D-D320-426F-A3BA-FD12B080EDDF}" uniqueName="3" name="Bay of Plenty Region" queryTableFieldId="3"/>
    <tableColumn id="4" xr3:uid="{64D684FD-05A9-4A78-B10E-C92041B98F13}" uniqueName="4" name="Canterbury Region" queryTableFieldId="4"/>
    <tableColumn id="5" xr3:uid="{4342A861-0325-4CE0-A144-31018A305D85}" uniqueName="5" name="Gisborne Region" queryTableFieldId="5"/>
    <tableColumn id="6" xr3:uid="{A575BE8B-7918-4526-962E-8F622B6CC770}" uniqueName="6" name="Hawke's Bay Region" queryTableFieldId="6"/>
    <tableColumn id="7" xr3:uid="{277E235B-F1E0-4D1D-94FF-041EC1C8A2FF}" uniqueName="7" name="Manawatū-Whanganui Region" queryTableFieldId="7"/>
    <tableColumn id="8" xr3:uid="{BC8AC468-0C4C-481C-839B-34D19A368CA1}" uniqueName="8" name="Marlborough Region" queryTableFieldId="8"/>
    <tableColumn id="9" xr3:uid="{9A63D15B-BDBE-4AD5-9E49-CA8B025DE5D3}" uniqueName="9" name="Nelson Region" queryTableFieldId="9"/>
    <tableColumn id="10" xr3:uid="{37134531-3254-4B2B-B3E3-07E7495D9258}" uniqueName="10" name="Northland Region" queryTableFieldId="10"/>
    <tableColumn id="11" xr3:uid="{3C2A9431-B915-4EFC-B0EB-3F8326428A64}" uniqueName="11" name="Otago Region" queryTableFieldId="11"/>
    <tableColumn id="12" xr3:uid="{2A4EB063-774A-4895-B0EC-068A27299A99}" uniqueName="12" name="Southland Region" queryTableFieldId="12"/>
    <tableColumn id="13" xr3:uid="{9237075C-E884-4985-8394-3937605E335E}" uniqueName="13" name="Taranaki Region" queryTableFieldId="13"/>
    <tableColumn id="14" xr3:uid="{16E2345A-B02E-4F5E-AFA7-D3B104BFB4C6}" uniqueName="14" name="Tasman Region" queryTableFieldId="14"/>
    <tableColumn id="15" xr3:uid="{3AF1E99E-920C-47BB-8490-7F24E6297982}" uniqueName="15" name="Waikato Region" queryTableFieldId="15"/>
    <tableColumn id="16" xr3:uid="{795E1FFF-BAAE-41F2-8DD6-A4C5787BC865}" uniqueName="16" name="Wellington Region" queryTableFieldId="16"/>
    <tableColumn id="17" xr3:uid="{3ADD5C64-24E5-4A4A-B8F5-73B0838D8CDD}" uniqueName="17" name="West Coast Region" queryTableFieldId="17"/>
    <tableColumn id="18" xr3:uid="{DE505F60-3657-4C57-8D0B-EFDF7A995331}" uniqueName="18" name="Not applicable / Unknown" queryTableFieldId="18"/>
    <tableColumn id="19" xr3:uid="{25983892-8CC0-497A-B175-C439B867BCEA}" uniqueName="19" name="Total" queryTableFieldId="19"/>
    <tableColumn id="20" xr3:uid="{0D4386BE-BD5C-4FF5-9EAA-8FAEBDC86A1A}" uniqueName="20" name="Auckland % of total" queryTableFieldId="20"/>
  </tableColumns>
  <tableStyleInfo name="TableStyleMedium7"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EBA28229-7E22-4EBA-86A4-29F1FD393685}" name="Table10" displayName="Table10" ref="B3:AA21" totalsRowShown="0" headerRowDxfId="44" dataDxfId="43" headerRowBorderDxfId="41" tableBorderDxfId="42" headerRowCellStyle="Normal 4" dataCellStyle="Normal 4">
  <autoFilter ref="B3:AA21" xr:uid="{EBA28229-7E22-4EBA-86A4-29F1FD393685}"/>
  <tableColumns count="26">
    <tableColumn id="1" xr3:uid="{83F5AC6C-BEBC-4745-B524-F3AFD6E8D143}" name="Column1" dataDxfId="40" dataCellStyle="Normal 4"/>
    <tableColumn id="2" xr3:uid="{8F6FB276-1BC8-4072-8B16-455E863DB0FA}" name="2000" dataDxfId="39" dataCellStyle="Normal 4"/>
    <tableColumn id="3" xr3:uid="{584AAB07-B565-4D1A-BCF3-BCF472E50743}" name="2001" dataDxfId="38" dataCellStyle="Normal 4"/>
    <tableColumn id="4" xr3:uid="{FE4B2FFB-5140-49DF-BA95-91F1927C9B37}" name="2002" dataDxfId="37" dataCellStyle="Normal 4"/>
    <tableColumn id="5" xr3:uid="{EBED31D1-822A-4094-935C-28B1165B9306}" name="2003" dataDxfId="36" dataCellStyle="Normal 4"/>
    <tableColumn id="6" xr3:uid="{BBFE864A-827F-4F48-BF3B-31C1746F268E}" name="2004" dataDxfId="35" dataCellStyle="Normal 4"/>
    <tableColumn id="7" xr3:uid="{9DB1537B-542D-4917-9C4E-19EA39E97DCA}" name="2005" dataDxfId="34" dataCellStyle="Normal 4"/>
    <tableColumn id="8" xr3:uid="{F08F8C35-7F10-40F7-A145-F364997DB9A8}" name="2006" dataDxfId="33" dataCellStyle="Normal 4"/>
    <tableColumn id="9" xr3:uid="{70CD7C62-5CED-449B-9BB7-BF583E2C614A}" name="2007" dataDxfId="32" dataCellStyle="Normal 4"/>
    <tableColumn id="10" xr3:uid="{F6D36866-5203-483E-8D06-010924521776}" name="2008" dataDxfId="31" dataCellStyle="Normal 4"/>
    <tableColumn id="11" xr3:uid="{C022514E-1C4F-41DD-BA1F-0C555BCC7777}" name="2009" dataDxfId="30" dataCellStyle="Normal 4"/>
    <tableColumn id="12" xr3:uid="{C9FA62F4-CF15-4446-A3FB-DE7FEE2EBC69}" name="2010" dataDxfId="29" dataCellStyle="Normal 4"/>
    <tableColumn id="13" xr3:uid="{8CCED097-BE31-421A-A4C8-0E70DBCE339B}" name="2011" dataDxfId="28" dataCellStyle="Normal 4"/>
    <tableColumn id="14" xr3:uid="{CC091DC2-B4F1-4A58-B2DA-BD0EE8CBC9BF}" name="2012" dataDxfId="27" dataCellStyle="Normal 4"/>
    <tableColumn id="15" xr3:uid="{F07B462B-835D-497D-95AC-4B47D1046597}" name="2013" dataDxfId="26" dataCellStyle="Normal 4"/>
    <tableColumn id="16" xr3:uid="{48CE2207-1D9A-449D-90E8-6B22A3E684D9}" name="2014" dataDxfId="25" dataCellStyle="Normal 4"/>
    <tableColumn id="17" xr3:uid="{5E16EA1B-04DF-482A-AD85-CC2A02245969}" name="2015" dataDxfId="24" dataCellStyle="Normal 4"/>
    <tableColumn id="18" xr3:uid="{C2A6031D-8609-4CEC-9825-E0B6447A45F0}" name="2016" dataDxfId="23" dataCellStyle="Normal 4"/>
    <tableColumn id="19" xr3:uid="{A87A6709-4949-40B9-84D6-D8CBB9D95061}" name="2017" dataDxfId="22" dataCellStyle="Normal 4"/>
    <tableColumn id="20" xr3:uid="{FED0E076-807D-469D-ABA3-CA8497FDAD18}" name="2018" dataDxfId="21" dataCellStyle="Normal 4"/>
    <tableColumn id="21" xr3:uid="{0A06D563-88FD-4AE8-A37D-FA842B241D67}" name="2019" dataDxfId="20" dataCellStyle="Normal 4"/>
    <tableColumn id="22" xr3:uid="{6B3542B1-C674-4F82-A73C-FCEFED7A861F}" name="2020" dataDxfId="19" dataCellStyle="Normal 4"/>
    <tableColumn id="23" xr3:uid="{227016E3-B644-4146-8E46-050D1B0DFEF0}" name="2021" dataDxfId="18" dataCellStyle="Normal 4"/>
    <tableColumn id="24" xr3:uid="{4D1B3A81-E77E-4372-802E-FDD7466F7412}" name="2022" dataDxfId="17" dataCellStyle="Normal 4"/>
    <tableColumn id="25" xr3:uid="{200B0E7A-E625-4492-8094-35A6BEA74BC0}" name="2023" dataDxfId="16" dataCellStyle="Normal 4"/>
    <tableColumn id="26" xr3:uid="{D83EA82F-4A89-43F7-B9D7-68D84E3F0A34}" name="2024" dataDxfId="15" dataCellStyle="Normal 4"/>
  </tableColumns>
  <tableStyleInfo name="TableStyleMedium2"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46A3F2F1-42BD-4699-99A0-B28677BFA0A4}" name="Table44" displayName="Table44" ref="A17:AT4418" totalsRowShown="0">
  <autoFilter ref="A17:AT4418" xr:uid="{46A3F2F1-42BD-4699-99A0-B28677BFA0A4}"/>
  <tableColumns count="46">
    <tableColumn id="1" xr3:uid="{A402CFED-8547-4E04-9BD0-1BE1D06AEEA6}" name="Service Number"/>
    <tableColumn id="2" xr3:uid="{843D714C-6B46-41EB-90AC-FA0414B532FF}" name="Service Name"/>
    <tableColumn id="3" xr3:uid="{97D901AE-1537-4BA8-B48F-509F0A40C646}" name="Telephone"/>
    <tableColumn id="4" xr3:uid="{54031A0F-2329-4184-9DE9-D42E99E951F2}" name="Email^"/>
    <tableColumn id="5" xr3:uid="{6E876DC5-BFB6-4A44-A32E-B5203068C585}" name="Street"/>
    <tableColumn id="6" xr3:uid="{BAE2E639-9DE9-4886-9CCE-955B87AA77B2}" name="Suburb"/>
    <tableColumn id="7" xr3:uid="{602EEBE1-442B-4937-A918-5E553ACD5A27}" name="Town / City"/>
    <tableColumn id="8" xr3:uid="{211572C1-CEAD-4362-9A4F-2141D3752A32}" name="Service Type"/>
    <tableColumn id="9" xr3:uid="{F5A6C637-8585-4822-AF9A-FB37EE382EBD}" name="Definition"/>
    <tableColumn id="10" xr3:uid="{F5A777CB-0D64-436B-BA36-2DEF9B1E6A0D}" name="Authority"/>
    <tableColumn id="11" xr3:uid="{05A10C2A-DA0D-4B28-AD92-8F8AF059FEFE}" name="20 Hours ECE"/>
    <tableColumn id="12" xr3:uid="{620CE80C-594D-4D12-91E1-8EBC1574C916}" name="KME Peak Body"/>
    <tableColumn id="13" xr3:uid="{BCCE0B83-3072-494C-8B5E-9349FC3AA23A}" name="Takiwā"/>
    <tableColumn id="14" xr3:uid="{BF918F52-0217-4F69-95C2-4B0E3105A834}" name="Equity Index (EQI)"/>
    <tableColumn id="15" xr3:uid="{BB76FEB1-D045-4847-A360-B7045C6D5CE5}" name="Territorial Authority"/>
    <tableColumn id="16" xr3:uid="{5C967E14-315B-4CB8-86F8-FC76BB48C7D3}" name="Urban/Rural"/>
    <tableColumn id="17" xr3:uid="{A7BEE8CD-80D2-40AE-8F94-CA493886BF40}" name="Regional Council"/>
    <tableColumn id="18" xr3:uid="{A22F3D3C-4698-4DB5-93C0-21D422AF9A0A}" name="Education Region"/>
    <tableColumn id="19" xr3:uid="{AA5E6F8E-9EEA-4062-A9A9-B6643E2C6665}" name="General Electorate"/>
    <tableColumn id="20" xr3:uid="{3C16AE04-B38B-4740-B957-D867738C463A}" name="Māori Electorate"/>
    <tableColumn id="21" xr3:uid="{A472F041-3EF0-4E69-98AB-7B474343F347}" name="Neighbourhood (SA2 code)"/>
    <tableColumn id="22" xr3:uid="{8899C86D-B9DD-4464-81E1-EFB8975CBA88}" name="Neighbourhood (SA2)"/>
    <tableColumn id="23" xr3:uid="{7F9432AA-856E-4806-9954-B99293129C60}" name="Ward"/>
    <tableColumn id="24" xr3:uid="{CDC11BB7-5F53-4587-A875-D554781FF10C}" name="Management Contact Name"/>
    <tableColumn id="25" xr3:uid="{F9F1259C-A06D-40D5-90A5-47C601C6CB22}" name="Management Postal Address"/>
    <tableColumn id="26" xr3:uid="{4E009CCA-8B4B-4837-86C9-251B4AB65668}" name="Management Postal Suburb"/>
    <tableColumn id="27" xr3:uid="{F11BF046-5B80-47CD-9E97-6CD8745D67C8}" name="Management Postal City"/>
    <tableColumn id="28" xr3:uid="{FBFE51F5-E246-45B4-A87F-E1451FF263F8}" name="Management Contact Phone"/>
    <tableColumn id="29" xr3:uid="{C0C96DBF-8912-455F-9DC1-A11B8AADF742}" name="Community of Learning ID"/>
    <tableColumn id="30" xr3:uid="{C83016BB-2D8A-411D-80D2-E4B4AD259FFC}" name="Community of Learning Name"/>
    <tableColumn id="31" xr3:uid="{688E4C33-639C-4683-B361-C52E3A9F8BAE}" name="Latitude"/>
    <tableColumn id="32" xr3:uid="{7A97ECD5-F79C-4018-BF10-25630940FC2B}" name="Longitude"/>
    <tableColumn id="33" xr3:uid="{B20F039E-1C2E-4E13-9DEA-E004FD57F35D}" name="Max. Licenced Positions" dataDxfId="14"/>
    <tableColumn id="34" xr3:uid="{F1D4D5A9-E73C-4672-9734-7CC180CBFBFE}" name="Max. Under 2’s" dataDxfId="13"/>
    <tableColumn id="35" xr3:uid="{C42F262E-DA07-45E5-BB28-4A254FE43072}" name="Age 0" dataDxfId="12"/>
    <tableColumn id="36" xr3:uid="{90095E49-69A5-4E95-B8C7-2B60BB5A9B42}" name="Age 1" dataDxfId="11"/>
    <tableColumn id="37" xr3:uid="{4AD29E53-F4C6-42A9-808B-17844B932609}" name="Age 2" dataDxfId="10"/>
    <tableColumn id="38" xr3:uid="{52A85365-7324-4C2F-A629-3DB2B33CBB2F}" name="Age 3" dataDxfId="9"/>
    <tableColumn id="39" xr3:uid="{9BDEA6AC-8506-4176-8494-14D1A148AFB6}" name="Age 4" dataDxfId="8"/>
    <tableColumn id="40" xr3:uid="{FD138E9E-D2F2-4ED9-82DB-D73DCD9681DE}" name="Age 5" dataDxfId="7"/>
    <tableColumn id="41" xr3:uid="{393F1616-2543-4AFE-BB8D-F4740BB4FE40}" name="Total" dataDxfId="6"/>
    <tableColumn id="42" xr3:uid="{CDEBE1E5-3657-4A8C-A768-B940A1A24272}" name="European / Pākehā" dataDxfId="5"/>
    <tableColumn id="43" xr3:uid="{52DB289C-66CE-4C53-B939-C136D74C53FE}" name="Māori" dataDxfId="4"/>
    <tableColumn id="44" xr3:uid="{BEDDB502-6F37-4192-8A5A-F428AE379276}" name="Pacific" dataDxfId="3"/>
    <tableColumn id="45" xr3:uid="{DCA4DE8C-4D61-4FFF-9089-19FA14619105}" name="Asian" dataDxfId="2"/>
    <tableColumn id="46" xr3:uid="{3FCB3B01-EF1E-4513-BBC3-DD2BAA8F4E4C}" name="Other" dataDxfId="1"/>
  </tableColumns>
  <tableStyleInfo name="TableStyleMedium2"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9BDEAC5C-0864-48D1-938B-6037CE55A8EF}" name="Table43" displayName="Table43" ref="A10:T18" totalsRowShown="0">
  <autoFilter ref="A10:T18" xr:uid="{9BDEAC5C-0864-48D1-938B-6037CE55A8EF}"/>
  <tableColumns count="20">
    <tableColumn id="1" xr3:uid="{0D3F7D3A-902C-43F8-8250-AF8FA222F199}" name="Age" dataDxfId="0"/>
    <tableColumn id="2" xr3:uid="{0B75E2F9-E84F-4C64-A934-AB14A8633EB1}" name="2006"/>
    <tableColumn id="3" xr3:uid="{20EC253F-345D-42BB-BA27-510425452D56}" name="2007"/>
    <tableColumn id="4" xr3:uid="{E0C246DC-82FB-49F9-ADE6-0E890D3186C9}" name="2008"/>
    <tableColumn id="5" xr3:uid="{7FD93690-7C16-4D59-AE1B-7026C168EDDD}" name="2009"/>
    <tableColumn id="6" xr3:uid="{65D25989-194C-47D9-9178-68A94785023A}" name="2010"/>
    <tableColumn id="7" xr3:uid="{F41D9918-9D05-4027-81AC-3641C68E7225}" name="2011"/>
    <tableColumn id="8" xr3:uid="{94DEA3B7-A43E-431D-B6C7-43F7F6A5A8BC}" name="2012"/>
    <tableColumn id="9" xr3:uid="{82BBCE71-B414-451A-9831-7BCCB804C0CD}" name="2013"/>
    <tableColumn id="10" xr3:uid="{1BC0DA23-B669-4251-9D2F-C508D6B3CED1}" name="2014"/>
    <tableColumn id="11" xr3:uid="{9954D228-F5EE-4126-857B-A1AF3A7DC473}" name="2015"/>
    <tableColumn id="12" xr3:uid="{0149D9E4-74B0-4384-9AB1-904CE942601B}" name="2016"/>
    <tableColumn id="13" xr3:uid="{1215B306-D03D-4F48-B428-E67A17328B16}" name="2017"/>
    <tableColumn id="14" xr3:uid="{6EC2A2CB-6271-4B9A-AD79-B496F05EC7A6}" name="2018"/>
    <tableColumn id="15" xr3:uid="{2A4B53F5-9D0D-4076-8BC4-E503A5272774}" name="2019"/>
    <tableColumn id="16" xr3:uid="{5A1F9AC0-F6B3-47E0-873E-419FF53E09C6}" name="2020"/>
    <tableColumn id="17" xr3:uid="{5B54945D-824F-4E1F-8582-02CC556FE744}" name="2021"/>
    <tableColumn id="18" xr3:uid="{0A5730AE-17BC-44AA-A427-8F063032B587}" name="2022"/>
    <tableColumn id="19" xr3:uid="{B37ADF04-2CBF-4FE7-8684-38ADF380C50B}" name="2023"/>
    <tableColumn id="20" xr3:uid="{FB3CDCF3-56B5-4447-8E95-E08677DC531F}" name="2024"/>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B14" dT="2025-07-10T06:33:24.38" personId="{00000000-0000-0000-0000-000000000000}" id="{7D466B88-4877-4A8F-839F-37835EE75388}">
    <text>The range of this chart looks alarming. It could be significantly narrowed down if it assumed that the proportion of the workforce who are qualified teachers will remain at the mean level observed over the 2016-2025 period.</text>
  </threadedComment>
</ThreadedComments>
</file>

<file path=xl/threadedComments/threadedComment2.xml><?xml version="1.0" encoding="utf-8"?>
<ThreadedComments xmlns="http://schemas.microsoft.com/office/spreadsheetml/2018/threadedcomments" xmlns:x="http://schemas.openxmlformats.org/spreadsheetml/2006/main">
  <threadedComment ref="H15" dT="2025-07-10T06:39:57.50" personId="{00000000-0000-0000-0000-000000000000}" id="{9720BDC3-8B3A-4C2D-8785-BF27ACE5BA16}">
    <text>Range between low and high scenarios would be reduced if same proportion assumption was applied (71% qualified) instead of minimum regulated (50%) for low and max funding band (100%) for high</text>
  </threadedComment>
</ThreadedComments>
</file>

<file path=xl/worksheets/_rels/sheet1.xml.rels><?xml version="1.0" encoding="UTF-8" standalone="yes"?>
<Relationships xmlns="http://schemas.openxmlformats.org/package/2006/relationships"><Relationship Id="rId8" Type="http://schemas.openxmlformats.org/officeDocument/2006/relationships/hyperlink" Target="https://www.educationcounts.govt.nz/directories/early-childhood-services" TargetMode="External"/><Relationship Id="rId13" Type="http://schemas.openxmlformats.org/officeDocument/2006/relationships/hyperlink" Target="file:///C:\Users\User\AppData\Local\:x:\r\sites\StrategyandAdviceToituteWaiora\Insights%20Team\Data%20Analytics\Data\Data%20Sources\Education%20Counts\ECE%20services%20directory.csv" TargetMode="External"/><Relationship Id="rId18" Type="http://schemas.openxmlformats.org/officeDocument/2006/relationships/table" Target="../tables/table1.xml"/><Relationship Id="rId3" Type="http://schemas.openxmlformats.org/officeDocument/2006/relationships/hyperlink" Target="file:///C:\Users\User\AppData\Local\:x:\r\sites\StrategyandAdviceToituteWaiora\Insights%20Team\Data%20Analytics\Data\Data%20Sources\Education%20Counts\Participation%20in%20ECE%202000-2024.xlsx" TargetMode="External"/><Relationship Id="rId7" Type="http://schemas.openxmlformats.org/officeDocument/2006/relationships/hyperlink" Target="https://www.legislation.govt.nz/regulation/public/2011/0198/latest/DLM3773517.html?search=qs_act%40bill%40regulation%40deemedreg_early+childhood+education_resel_25_h&amp;p=1" TargetMode="External"/><Relationship Id="rId12" Type="http://schemas.openxmlformats.org/officeDocument/2006/relationships/hyperlink" Target="file:///C:\Users\User\AppData\Local\:x:\r\sites\StrategyandAdviceToituteWaiora\Insights%20Team\Data%20Analytics\Data\Data%20Sources\Education%20Counts\ECE%20adult%20to%20child%20ratios%202023-2024.xlsx" TargetMode="External"/><Relationship Id="rId17" Type="http://schemas.openxmlformats.org/officeDocument/2006/relationships/drawing" Target="../drawings/drawing1.xml"/><Relationship Id="rId2" Type="http://schemas.openxmlformats.org/officeDocument/2006/relationships/hyperlink" Target="file:///C:\Users\User\AppData\Local\:x:\r\sites\StrategyandAdviceToituteWaiora\Insights%20Team\Data%20Analytics\Data\Data%20Sources\Stats%20NZ\Stats_NZ_Population_Projections.xlsx" TargetMode="External"/><Relationship Id="rId16" Type="http://schemas.openxmlformats.org/officeDocument/2006/relationships/hyperlink" Target="https://figure.nz/table/lIan0oOJfimn98i3" TargetMode="External"/><Relationship Id="rId1" Type="http://schemas.openxmlformats.org/officeDocument/2006/relationships/hyperlink" Target="file:///C:\Users\User\AppData\Local\:x:\r\sites\StrategyandAdviceToituteWaiora\Insights%20Team\Data%20Analytics\Data\Data%20Sources\Stats%20NZ\Population%205%20and%20under%202015-2024.csv" TargetMode="External"/><Relationship Id="rId6" Type="http://schemas.openxmlformats.org/officeDocument/2006/relationships/hyperlink" Target="https://www.playcentre.org.nz/resource-centre/supervision-requirements/" TargetMode="External"/><Relationship Id="rId11" Type="http://schemas.openxmlformats.org/officeDocument/2006/relationships/hyperlink" Target="https://www.educationcounts.govt.nz/__data/assets/excel_doc/0005/184559/19_Qualification-Teaching-Staff-Time-Series-2011-2024.xlsx" TargetMode="External"/><Relationship Id="rId5" Type="http://schemas.openxmlformats.org/officeDocument/2006/relationships/hyperlink" Target="file:///C:\Users\User\AppData\Local\:x:\r\sites\StrategyandAdviceToituteWaiora\Insights%20Team\Data%20Analytics\Data\Data%20Sources\IDI\CONFIDENTIALISED%20ANZSIC%20activity%20dimensions.xlsx" TargetMode="External"/><Relationship Id="rId15" Type="http://schemas.openxmlformats.org/officeDocument/2006/relationships/hyperlink" Target="https://infoshare.stats.govt.nz/SelectVariables.aspx?pxID=f2d981da-120c-4b62-a2e9-49090d43bf76" TargetMode="External"/><Relationship Id="rId10" Type="http://schemas.openxmlformats.org/officeDocument/2006/relationships/hyperlink" Target="file:///C:\Users\User\AppData\Local\:x:\r\sites\StrategyandAdviceToituteWaiora\Insights%20Team\Data%20Analytics\Data\Data%20Sources\Education%20Counts\ECE%20participation%202021-2024%20pivot%20-%20by%20age%20and%20service%20type.xlsx" TargetMode="External"/><Relationship Id="rId19" Type="http://schemas.openxmlformats.org/officeDocument/2006/relationships/table" Target="../tables/table2.xml"/><Relationship Id="rId4" Type="http://schemas.openxmlformats.org/officeDocument/2006/relationships/hyperlink" Target="file:///C:\Users\User\AppData\Local\:x:\r\sites\StrategyandAdviceToituteWaiora\Insights%20Team\Data%20Analytics\Data\Data%20Sources\Education%20Counts\ECE%20teaching%20staff%20by%20full%20or%20part%20time%20status%202011-2024.xlsx" TargetMode="External"/><Relationship Id="rId9" Type="http://schemas.openxmlformats.org/officeDocument/2006/relationships/hyperlink" Target="https://educationcounts.govt.nz/_admin/?SQ_BACKEND_PAGE=main&amp;backend_section=am&amp;am_section=edit_asset&amp;assetid=90025&amp;asset_ei_screen=contents&amp;SQ_BACKEND_PAGE=main&amp;sq_link_path=288431%2C288430%2C381356%2C171532&amp;sq_asset_path=152727%2C79758%2C90686%2C90024" TargetMode="External"/><Relationship Id="rId14" Type="http://schemas.openxmlformats.org/officeDocument/2006/relationships/hyperlink" Target="https://aus01.safelinks.protection.outlook.com/?url=https%3A%2F%2Fexplore.data.stats.govt.nz%2Fvis%3Ffs%255b0%255d%3DSociety%252C1%257CPopulation%2520projections%2523CAT_POPULATION_PROJECTIONS%2523%257CNational%2520population%2520projections%2523CAT_NATIONAL_POPULATION_PROJECTIONS%2523%26pg%3D0%26fc%3DSociety%26bp%3Dtrue%26snb%3D9%26df%255bds%255d%3Dds-nsiws-disseminate%26df%255bid%255d%3DPOPPR_NAT_007%26df%255bag%255d%3DSTATSNZ%26df%255bvs%255d%3D1.0%26dq%3DP75%252BP50%252BP25.2060%252B2059%252B2057%252B2055%252B2054%252B2053%252B2052%252B2056%252B2051%252B2050%252B2049%252B2048%252B2047%252B2046%252B2045%252B2044%252B2042%252B2041%252B2040%252B2039%252B2036%252B2037%252B2035%252B2034%252B2032%252B2031%252B2030%252B2029%252B2024%252B2025%252B2026%252B2027%252B2028%252B2033%252B2038%252B2043%252B2058.SEX3.AGEXXX4%252BAGEXXX5%252BAGEXXX0%252BAGEXXX3%252BAGEXXX2%252BAGEXXX1%252BTOTALALLAGES%26ly%255brw%255d%3DYEAR_POPPR_NAT_007%26ly%255bcl%255d%3DSCENARIO_POPPR_NAT_007%26to%255bTIME%255d%3Dfalse&amp;data=05%7C02%7CCerelia.Diprose%40toitutewaiora.nz%7C9cc483f81f9941ce602308ddd3cea9dd%7C469509a0f47e42458bf195deae62bd7f%7C0%7C0%7C638899606779325442%7CUnknown%7CTWFpbGZsb3d8eyJFbXB0eU1hcGkiOnRydWUsIlYiOiIwLjAuMDAwMCIsIlAiOiJXaW4zMiIsIkFOIjoiTWFpbCIsIldUIjoyfQ%3D%3D%7C0%7C%7C%7C&amp;sdata=eBgaRE39OMY5Okfb0zcrhLbsuYxT%2BHaRBXIVxaPKj3M%3D&amp;reserved=0"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3.xml"/></Relationships>
</file>

<file path=xl/worksheets/_rels/sheet3.xml.rels><?xml version="1.0" encoding="UTF-8" standalone="yes"?>
<Relationships xmlns="http://schemas.openxmlformats.org/package/2006/relationships"><Relationship Id="rId1" Type="http://schemas.openxmlformats.org/officeDocument/2006/relationships/table" Target="../tables/table4.xml"/></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table" Target="../tables/table5.xml"/><Relationship Id="rId1" Type="http://schemas.openxmlformats.org/officeDocument/2006/relationships/vmlDrawing" Target="../drawings/vmlDrawing1.vml"/><Relationship Id="rId4" Type="http://schemas.microsoft.com/office/2017/10/relationships/threadedComment" Target="../threadedComments/threadedComment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hyperlink" Target="https://figure.nz/table/lIan0oOJfimn98i3" TargetMode="External"/></Relationships>
</file>

<file path=xl/worksheets/_rels/sheet14.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5.xml.rels><?xml version="1.0" encoding="UTF-8" standalone="yes"?>
<Relationships xmlns="http://schemas.openxmlformats.org/package/2006/relationships"><Relationship Id="rId8" Type="http://schemas.openxmlformats.org/officeDocument/2006/relationships/table" Target="../tables/table16.xml"/><Relationship Id="rId13" Type="http://schemas.openxmlformats.org/officeDocument/2006/relationships/table" Target="../tables/table21.xml"/><Relationship Id="rId18" Type="http://schemas.openxmlformats.org/officeDocument/2006/relationships/table" Target="../tables/table26.xml"/><Relationship Id="rId3" Type="http://schemas.openxmlformats.org/officeDocument/2006/relationships/table" Target="../tables/table11.xml"/><Relationship Id="rId7" Type="http://schemas.openxmlformats.org/officeDocument/2006/relationships/table" Target="../tables/table15.xml"/><Relationship Id="rId12" Type="http://schemas.openxmlformats.org/officeDocument/2006/relationships/table" Target="../tables/table20.xml"/><Relationship Id="rId17" Type="http://schemas.openxmlformats.org/officeDocument/2006/relationships/table" Target="../tables/table25.xml"/><Relationship Id="rId2" Type="http://schemas.openxmlformats.org/officeDocument/2006/relationships/table" Target="../tables/table10.xml"/><Relationship Id="rId16" Type="http://schemas.openxmlformats.org/officeDocument/2006/relationships/table" Target="../tables/table24.xml"/><Relationship Id="rId1" Type="http://schemas.openxmlformats.org/officeDocument/2006/relationships/table" Target="../tables/table9.xml"/><Relationship Id="rId6" Type="http://schemas.openxmlformats.org/officeDocument/2006/relationships/table" Target="../tables/table14.xml"/><Relationship Id="rId11" Type="http://schemas.openxmlformats.org/officeDocument/2006/relationships/table" Target="../tables/table19.xml"/><Relationship Id="rId5" Type="http://schemas.openxmlformats.org/officeDocument/2006/relationships/table" Target="../tables/table13.xml"/><Relationship Id="rId15" Type="http://schemas.openxmlformats.org/officeDocument/2006/relationships/table" Target="../tables/table23.xml"/><Relationship Id="rId10" Type="http://schemas.openxmlformats.org/officeDocument/2006/relationships/table" Target="../tables/table18.xml"/><Relationship Id="rId4" Type="http://schemas.openxmlformats.org/officeDocument/2006/relationships/table" Target="../tables/table12.xml"/><Relationship Id="rId9" Type="http://schemas.openxmlformats.org/officeDocument/2006/relationships/table" Target="../tables/table17.xml"/><Relationship Id="rId14" Type="http://schemas.openxmlformats.org/officeDocument/2006/relationships/table" Target="../tables/table22.xml"/></Relationships>
</file>

<file path=xl/worksheets/_rels/sheet16.xml.rels><?xml version="1.0" encoding="UTF-8" standalone="yes"?>
<Relationships xmlns="http://schemas.openxmlformats.org/package/2006/relationships"><Relationship Id="rId8" Type="http://schemas.openxmlformats.org/officeDocument/2006/relationships/table" Target="../tables/table34.xml"/><Relationship Id="rId13" Type="http://schemas.openxmlformats.org/officeDocument/2006/relationships/table" Target="../tables/table39.xml"/><Relationship Id="rId3" Type="http://schemas.openxmlformats.org/officeDocument/2006/relationships/table" Target="../tables/table29.xml"/><Relationship Id="rId7" Type="http://schemas.openxmlformats.org/officeDocument/2006/relationships/table" Target="../tables/table33.xml"/><Relationship Id="rId12" Type="http://schemas.openxmlformats.org/officeDocument/2006/relationships/table" Target="../tables/table38.xml"/><Relationship Id="rId17" Type="http://schemas.openxmlformats.org/officeDocument/2006/relationships/table" Target="../tables/table43.xml"/><Relationship Id="rId2" Type="http://schemas.openxmlformats.org/officeDocument/2006/relationships/table" Target="../tables/table28.xml"/><Relationship Id="rId16" Type="http://schemas.openxmlformats.org/officeDocument/2006/relationships/table" Target="../tables/table42.xml"/><Relationship Id="rId1" Type="http://schemas.openxmlformats.org/officeDocument/2006/relationships/table" Target="../tables/table27.xml"/><Relationship Id="rId6" Type="http://schemas.openxmlformats.org/officeDocument/2006/relationships/table" Target="../tables/table32.xml"/><Relationship Id="rId11" Type="http://schemas.openxmlformats.org/officeDocument/2006/relationships/table" Target="../tables/table37.xml"/><Relationship Id="rId5" Type="http://schemas.openxmlformats.org/officeDocument/2006/relationships/table" Target="../tables/table31.xml"/><Relationship Id="rId15" Type="http://schemas.openxmlformats.org/officeDocument/2006/relationships/table" Target="../tables/table41.xml"/><Relationship Id="rId10" Type="http://schemas.openxmlformats.org/officeDocument/2006/relationships/table" Target="../tables/table36.xml"/><Relationship Id="rId4" Type="http://schemas.openxmlformats.org/officeDocument/2006/relationships/table" Target="../tables/table30.xml"/><Relationship Id="rId9" Type="http://schemas.openxmlformats.org/officeDocument/2006/relationships/table" Target="../tables/table35.xml"/><Relationship Id="rId14" Type="http://schemas.openxmlformats.org/officeDocument/2006/relationships/table" Target="../tables/table40.xml"/></Relationships>
</file>

<file path=xl/worksheets/_rels/sheet2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23.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25.xml.rels><?xml version="1.0" encoding="UTF-8" standalone="yes"?>
<Relationships xmlns="http://schemas.openxmlformats.org/package/2006/relationships"><Relationship Id="rId2" Type="http://schemas.openxmlformats.org/officeDocument/2006/relationships/table" Target="../tables/table45.xml"/><Relationship Id="rId1" Type="http://schemas.openxmlformats.org/officeDocument/2006/relationships/table" Target="../tables/table44.xml"/></Relationships>
</file>

<file path=xl/worksheets/_rels/sheet26.xml.rels><?xml version="1.0" encoding="UTF-8" standalone="yes"?>
<Relationships xmlns="http://schemas.openxmlformats.org/package/2006/relationships"><Relationship Id="rId1" Type="http://schemas.openxmlformats.org/officeDocument/2006/relationships/table" Target="../tables/table46.xml"/></Relationships>
</file>

<file path=xl/worksheets/_rels/sheet27.xml.rels><?xml version="1.0" encoding="UTF-8" standalone="yes"?>
<Relationships xmlns="http://schemas.openxmlformats.org/package/2006/relationships"><Relationship Id="rId1" Type="http://schemas.openxmlformats.org/officeDocument/2006/relationships/table" Target="../tables/table47.xml"/></Relationships>
</file>

<file path=xl/worksheets/_rels/sheet28.xml.rels><?xml version="1.0" encoding="UTF-8" standalone="yes"?>
<Relationships xmlns="http://schemas.openxmlformats.org/package/2006/relationships"><Relationship Id="rId1" Type="http://schemas.openxmlformats.org/officeDocument/2006/relationships/table" Target="../tables/table48.xml"/></Relationships>
</file>

<file path=xl/worksheets/_rels/sheet29.xml.rels><?xml version="1.0" encoding="UTF-8" standalone="yes"?>
<Relationships xmlns="http://schemas.openxmlformats.org/package/2006/relationships"><Relationship Id="rId1" Type="http://schemas.openxmlformats.org/officeDocument/2006/relationships/table" Target="../tables/table49.xml"/></Relationships>
</file>

<file path=xl/worksheets/_rels/sheet31.xml.rels><?xml version="1.0" encoding="UTF-8" standalone="yes"?>
<Relationships xmlns="http://schemas.openxmlformats.org/package/2006/relationships"><Relationship Id="rId1" Type="http://schemas.openxmlformats.org/officeDocument/2006/relationships/table" Target="../tables/table5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E9A8A-F4CD-474A-85E8-7119F1A8467F}">
  <dimension ref="A1:D46"/>
  <sheetViews>
    <sheetView tabSelected="1" workbookViewId="0">
      <selection activeCell="A19" sqref="A19"/>
    </sheetView>
  </sheetViews>
  <sheetFormatPr defaultColWidth="8.85546875" defaultRowHeight="14.65"/>
  <cols>
    <col min="1" max="1" width="28.7109375" bestFit="1" customWidth="1"/>
    <col min="2" max="2" width="19.7109375" bestFit="1" customWidth="1"/>
    <col min="3" max="3" width="78.85546875" customWidth="1"/>
    <col min="4" max="4" width="53.28515625" customWidth="1"/>
  </cols>
  <sheetData>
    <row r="1" spans="1:4">
      <c r="A1" s="1" t="s">
        <v>0</v>
      </c>
      <c r="B1" s="1" t="s">
        <v>1</v>
      </c>
      <c r="C1" s="1" t="s">
        <v>2</v>
      </c>
      <c r="D1" s="1" t="s">
        <v>3</v>
      </c>
    </row>
    <row r="2" spans="1:4">
      <c r="A2" s="11" t="s">
        <v>4</v>
      </c>
      <c r="B2" s="10" t="s">
        <v>5</v>
      </c>
      <c r="C2" s="110" t="s">
        <v>6</v>
      </c>
      <c r="D2" s="10"/>
    </row>
    <row r="3" spans="1:4">
      <c r="A3" s="11" t="s">
        <v>7</v>
      </c>
      <c r="B3" s="10" t="s">
        <v>8</v>
      </c>
      <c r="C3" s="110" t="s">
        <v>9</v>
      </c>
      <c r="D3" s="10"/>
    </row>
    <row r="4" spans="1:4">
      <c r="A4" s="11" t="s">
        <v>10</v>
      </c>
      <c r="B4" s="10" t="s">
        <v>11</v>
      </c>
      <c r="C4" s="110" t="s">
        <v>12</v>
      </c>
      <c r="D4" s="10"/>
    </row>
    <row r="5" spans="1:4" ht="29.1">
      <c r="A5" s="11" t="s">
        <v>13</v>
      </c>
      <c r="B5" s="10" t="s">
        <v>11</v>
      </c>
      <c r="C5" s="110" t="s">
        <v>14</v>
      </c>
      <c r="D5" s="10"/>
    </row>
    <row r="6" spans="1:4">
      <c r="A6" s="11" t="s">
        <v>15</v>
      </c>
      <c r="B6" s="10" t="s">
        <v>16</v>
      </c>
      <c r="C6" s="110" t="s">
        <v>17</v>
      </c>
      <c r="D6" s="10" t="s">
        <v>18</v>
      </c>
    </row>
    <row r="7" spans="1:4" ht="29.1">
      <c r="A7" s="11" t="s">
        <v>19</v>
      </c>
      <c r="B7" s="10" t="s">
        <v>20</v>
      </c>
      <c r="C7" s="110" t="s">
        <v>21</v>
      </c>
      <c r="D7" s="10"/>
    </row>
    <row r="8" spans="1:4" ht="29.1">
      <c r="A8" s="11" t="s">
        <v>22</v>
      </c>
      <c r="B8" s="10" t="s">
        <v>23</v>
      </c>
      <c r="C8" s="110" t="s">
        <v>24</v>
      </c>
      <c r="D8" s="10"/>
    </row>
    <row r="9" spans="1:4">
      <c r="A9" s="10" t="s">
        <v>25</v>
      </c>
      <c r="B9" s="10" t="s">
        <v>11</v>
      </c>
      <c r="C9" s="110" t="s">
        <v>26</v>
      </c>
      <c r="D9" s="10" t="s">
        <v>27</v>
      </c>
    </row>
    <row r="10" spans="1:4">
      <c r="A10" s="10" t="s">
        <v>28</v>
      </c>
      <c r="B10" s="10" t="s">
        <v>11</v>
      </c>
      <c r="C10" s="110" t="s">
        <v>29</v>
      </c>
      <c r="D10" s="10" t="s">
        <v>30</v>
      </c>
    </row>
    <row r="11" spans="1:4">
      <c r="A11" s="10" t="s">
        <v>31</v>
      </c>
      <c r="B11" s="10" t="s">
        <v>11</v>
      </c>
      <c r="C11" s="110" t="s">
        <v>32</v>
      </c>
      <c r="D11" s="10" t="s">
        <v>33</v>
      </c>
    </row>
    <row r="12" spans="1:4">
      <c r="A12" s="10" t="s">
        <v>34</v>
      </c>
      <c r="B12" s="10" t="s">
        <v>11</v>
      </c>
      <c r="C12" s="110" t="s">
        <v>35</v>
      </c>
      <c r="D12" s="10" t="s">
        <v>36</v>
      </c>
    </row>
    <row r="13" spans="1:4">
      <c r="A13" s="10" t="s">
        <v>37</v>
      </c>
      <c r="B13" s="10" t="s">
        <v>11</v>
      </c>
      <c r="C13" s="143" t="s">
        <v>38</v>
      </c>
      <c r="D13" s="10" t="s">
        <v>39</v>
      </c>
    </row>
    <row r="14" spans="1:4">
      <c r="A14" s="10" t="s">
        <v>40</v>
      </c>
      <c r="B14" s="10" t="s">
        <v>11</v>
      </c>
      <c r="C14" s="143" t="s">
        <v>41</v>
      </c>
      <c r="D14" s="10" t="s">
        <v>42</v>
      </c>
    </row>
    <row r="15" spans="1:4">
      <c r="A15" s="10" t="s">
        <v>43</v>
      </c>
      <c r="B15" s="10" t="s">
        <v>44</v>
      </c>
      <c r="C15" s="143" t="s">
        <v>45</v>
      </c>
      <c r="D15" s="10"/>
    </row>
    <row r="16" spans="1:4">
      <c r="A16" s="10" t="s">
        <v>46</v>
      </c>
      <c r="B16" s="10" t="s">
        <v>5</v>
      </c>
      <c r="C16" s="110" t="s">
        <v>47</v>
      </c>
      <c r="D16" s="10"/>
    </row>
    <row r="17" spans="1:4">
      <c r="A17" s="10" t="s">
        <v>48</v>
      </c>
      <c r="B17" s="10" t="s">
        <v>49</v>
      </c>
      <c r="C17" s="143" t="s">
        <v>50</v>
      </c>
      <c r="D17" s="10"/>
    </row>
    <row r="18" spans="1:4">
      <c r="A18" s="10"/>
      <c r="B18" s="10"/>
      <c r="C18" s="110"/>
      <c r="D18" s="10"/>
    </row>
    <row r="20" spans="1:4">
      <c r="A20" s="1" t="s">
        <v>51</v>
      </c>
      <c r="B20" s="1" t="s">
        <v>52</v>
      </c>
      <c r="C20" s="1" t="s">
        <v>53</v>
      </c>
    </row>
    <row r="21" spans="1:4">
      <c r="A21" s="10" t="s">
        <v>54</v>
      </c>
      <c r="B21" s="10" t="s">
        <v>55</v>
      </c>
      <c r="C21" s="11" t="s">
        <v>56</v>
      </c>
    </row>
    <row r="22" spans="1:4">
      <c r="A22" s="10" t="s">
        <v>57</v>
      </c>
      <c r="B22" s="10" t="s">
        <v>55</v>
      </c>
      <c r="C22" s="11" t="s">
        <v>58</v>
      </c>
    </row>
    <row r="23" spans="1:4" ht="29.1">
      <c r="A23" s="10" t="s">
        <v>59</v>
      </c>
      <c r="B23" s="10" t="s">
        <v>55</v>
      </c>
      <c r="C23" s="11" t="s">
        <v>60</v>
      </c>
    </row>
    <row r="24" spans="1:4">
      <c r="A24" s="10" t="s">
        <v>61</v>
      </c>
      <c r="B24" s="10" t="s">
        <v>55</v>
      </c>
      <c r="C24" s="11" t="s">
        <v>62</v>
      </c>
    </row>
    <row r="25" spans="1:4">
      <c r="A25" s="10" t="s">
        <v>63</v>
      </c>
      <c r="B25" s="10" t="s">
        <v>55</v>
      </c>
      <c r="C25" s="11" t="s">
        <v>64</v>
      </c>
    </row>
    <row r="26" spans="1:4">
      <c r="A26" s="10" t="s">
        <v>65</v>
      </c>
      <c r="B26" s="10" t="s">
        <v>55</v>
      </c>
      <c r="C26" s="11" t="s">
        <v>66</v>
      </c>
    </row>
    <row r="27" spans="1:4">
      <c r="A27" s="10" t="s">
        <v>67</v>
      </c>
      <c r="B27" s="10" t="s">
        <v>55</v>
      </c>
      <c r="C27" s="11" t="s">
        <v>68</v>
      </c>
    </row>
    <row r="28" spans="1:4" ht="29.1">
      <c r="A28" s="10" t="s">
        <v>69</v>
      </c>
      <c r="B28" s="10" t="s">
        <v>55</v>
      </c>
      <c r="C28" s="11" t="s">
        <v>70</v>
      </c>
    </row>
    <row r="29" spans="1:4" ht="29.1">
      <c r="A29" s="10" t="s">
        <v>71</v>
      </c>
      <c r="B29" s="10" t="s">
        <v>55</v>
      </c>
      <c r="C29" s="11" t="s">
        <v>72</v>
      </c>
    </row>
    <row r="30" spans="1:4">
      <c r="A30" s="10" t="s">
        <v>73</v>
      </c>
      <c r="B30" s="10" t="s">
        <v>55</v>
      </c>
      <c r="C30" s="11" t="s">
        <v>74</v>
      </c>
    </row>
    <row r="31" spans="1:4">
      <c r="A31" s="10" t="s">
        <v>75</v>
      </c>
      <c r="B31" s="10" t="s">
        <v>55</v>
      </c>
      <c r="C31" s="11" t="s">
        <v>76</v>
      </c>
    </row>
    <row r="32" spans="1:4" ht="29.1">
      <c r="A32" s="10" t="s">
        <v>77</v>
      </c>
      <c r="B32" s="10" t="s">
        <v>55</v>
      </c>
      <c r="C32" s="11" t="s">
        <v>78</v>
      </c>
    </row>
    <row r="33" spans="1:3" ht="29.1">
      <c r="A33" s="10" t="s">
        <v>79</v>
      </c>
      <c r="B33" s="10" t="s">
        <v>55</v>
      </c>
      <c r="C33" s="11" t="s">
        <v>80</v>
      </c>
    </row>
    <row r="34" spans="1:3">
      <c r="A34" s="10" t="s">
        <v>81</v>
      </c>
      <c r="B34" s="10" t="s">
        <v>55</v>
      </c>
      <c r="C34" s="11" t="s">
        <v>82</v>
      </c>
    </row>
    <row r="35" spans="1:3">
      <c r="A35" s="10" t="s">
        <v>83</v>
      </c>
      <c r="B35" s="10" t="s">
        <v>55</v>
      </c>
      <c r="C35" s="11" t="s">
        <v>84</v>
      </c>
    </row>
    <row r="36" spans="1:3" ht="29.1">
      <c r="A36" s="10" t="s">
        <v>85</v>
      </c>
      <c r="B36" s="10" t="s">
        <v>55</v>
      </c>
      <c r="C36" s="11" t="s">
        <v>86</v>
      </c>
    </row>
    <row r="37" spans="1:3" ht="29.1">
      <c r="A37" s="10" t="s">
        <v>87</v>
      </c>
      <c r="B37" s="10" t="s">
        <v>55</v>
      </c>
      <c r="C37" s="11" t="s">
        <v>88</v>
      </c>
    </row>
    <row r="38" spans="1:3">
      <c r="A38" s="10" t="s">
        <v>89</v>
      </c>
      <c r="B38" s="10" t="s">
        <v>90</v>
      </c>
      <c r="C38" s="11" t="s">
        <v>91</v>
      </c>
    </row>
    <row r="39" spans="1:3">
      <c r="A39" s="10" t="s">
        <v>92</v>
      </c>
      <c r="B39" s="10" t="s">
        <v>90</v>
      </c>
      <c r="C39" s="11" t="s">
        <v>93</v>
      </c>
    </row>
    <row r="40" spans="1:3">
      <c r="A40" s="10" t="s">
        <v>94</v>
      </c>
      <c r="B40" s="10" t="s">
        <v>90</v>
      </c>
      <c r="C40" s="11" t="s">
        <v>95</v>
      </c>
    </row>
    <row r="41" spans="1:3" ht="29.1">
      <c r="A41" s="10" t="s">
        <v>96</v>
      </c>
      <c r="B41" s="10" t="s">
        <v>90</v>
      </c>
      <c r="C41" s="11" t="s">
        <v>97</v>
      </c>
    </row>
    <row r="42" spans="1:3" ht="29.1">
      <c r="A42" s="10" t="s">
        <v>98</v>
      </c>
      <c r="B42" s="10" t="s">
        <v>90</v>
      </c>
      <c r="C42" s="11" t="s">
        <v>99</v>
      </c>
    </row>
    <row r="43" spans="1:3" ht="29.1">
      <c r="A43" s="10" t="s">
        <v>100</v>
      </c>
      <c r="B43" s="10" t="s">
        <v>90</v>
      </c>
      <c r="C43" s="11" t="s">
        <v>101</v>
      </c>
    </row>
    <row r="44" spans="1:3" ht="29.1">
      <c r="A44" s="10" t="s">
        <v>102</v>
      </c>
      <c r="B44" s="10" t="s">
        <v>90</v>
      </c>
      <c r="C44" s="11" t="s">
        <v>103</v>
      </c>
    </row>
    <row r="45" spans="1:3" ht="29.1">
      <c r="A45" s="10" t="s">
        <v>104</v>
      </c>
      <c r="B45" s="10" t="s">
        <v>90</v>
      </c>
      <c r="C45" s="11" t="s">
        <v>105</v>
      </c>
    </row>
    <row r="46" spans="1:3">
      <c r="A46" s="10" t="s">
        <v>106</v>
      </c>
      <c r="B46" s="10" t="s">
        <v>107</v>
      </c>
      <c r="C46" s="11" t="s">
        <v>108</v>
      </c>
    </row>
  </sheetData>
  <sheetProtection algorithmName="SHA-512" hashValue="rOujqMcDf3fzV5QhsWJo/fmMYs57NX+uyIQx8j495KLIpfdHSCGuar6G769fSF9J27XHxmgaJMdH4uPL3/K2mQ==" saltValue="fvAQ7iB5ix3Hd0PAH8rh7Q==" spinCount="100000" sheet="1" objects="1" scenarios="1"/>
  <phoneticPr fontId="6" type="noConversion"/>
  <hyperlinks>
    <hyperlink ref="C2" r:id="rId1" display="../../../../../../:x:/r/sites/StrategyandAdviceToituteWaiora/Insights Team/Data Analytics/Data/Data Sources/Stats NZ/Population 5 and under 2015-2024.csv?d=wf4e474a9cc2d4da9ab403a6a674a58a9&amp;csf=1&amp;web=1&amp;e=GT70hC" xr:uid="{BA736F25-AAC6-4664-8514-8A4D9F1BD7DE}"/>
    <hyperlink ref="C3" r:id="rId2" display="../../../../../../:x:/r/sites/StrategyandAdviceToituteWaiora/Insights Team/Data Analytics/Data/Data Sources/Stats NZ/Stats_NZ_Population_Projections.xlsx?d=w2d6ae2961175418d9d437955f26a3130&amp;csf=1&amp;web=1&amp;e=oetEhQ" xr:uid="{32655C9B-0591-4555-998A-4A62B8E6F7BD}"/>
    <hyperlink ref="C4" r:id="rId3" display="../../../../../../:x:/r/sites/StrategyandAdviceToituteWaiora/Insights Team/Data Analytics/Data/Data Sources/Education Counts/Participation in ECE 2000-2024.xlsx?d=we42abe82b0fa42979b94f961fbd2a79f&amp;csf=1&amp;web=1&amp;e=eCleoc" xr:uid="{84D4DC9F-E50D-4FB5-94A6-3E04ADD463A5}"/>
    <hyperlink ref="C5" r:id="rId4" display="../../../../../../:x:/r/sites/StrategyandAdviceToituteWaiora/Insights Team/Data Analytics/Data/Data Sources/Education Counts/ECE teaching staff by full or part time status 2011-2024.xlsx?d=wcbd5e0be13684d65a705f69fd58e2054&amp;csf=1&amp;web=1&amp;e=mxGTaf" xr:uid="{BB98B0A6-567F-4349-9ED2-C906ABD2345F}"/>
    <hyperlink ref="C6" r:id="rId5" display="../../../../../../:x:/r/sites/StrategyandAdviceToituteWaiora/Insights Team/Data Analytics/Data/Data Sources/IDI/CONFIDENTIALISED ANZSIC activity dimensions.xlsx?d=wa085356fdcf84f559ccb4ad0b36364eb&amp;csf=1&amp;web=1&amp;e=AK09DS" xr:uid="{99AC2E60-4892-4719-947F-FD78175029F7}"/>
    <hyperlink ref="C7" r:id="rId6" display="https://www.playcentre.org.nz/resource-centre/supervision-requirements/" xr:uid="{C4F1820E-84AE-4A12-A6F1-7D2CACC82E21}"/>
    <hyperlink ref="C8" r:id="rId7" location="DLM3773519" display="https://www.legislation.govt.nz/regulation/public/2011/0198/latest/DLM3773517.html?search=qs_act%40bill%40regulation%40deemedreg_early+childhood+education_resel_25_h&amp;p=1 - DLM3773519" xr:uid="{87824862-1CE3-4D2F-BF12-56E880E02B31}"/>
    <hyperlink ref="C9" r:id="rId8" display="https://www.educationcounts.govt.nz/directories/early-childhood-services" xr:uid="{32D4E3D2-B92E-406B-82F6-75FC670E7E91}"/>
    <hyperlink ref="C10" r:id="rId9" xr:uid="{E36F1970-861E-4510-9040-D9BC60A173A3}"/>
    <hyperlink ref="C11" r:id="rId10" display="../../../../../../:x:/r/sites/StrategyandAdviceToituteWaiora/Insights Team/Data Analytics/Data/Data Sources/Education Counts/ECE participation 2021-2024 pivot - by age and service type.xlsx?d=w34af230c214d4b4888622747d6332060&amp;csf=1&amp;web=1&amp;e=u0z1s8" xr:uid="{8DC4274F-5150-46D0-9A08-B8E652BEE459}"/>
    <hyperlink ref="C12" r:id="rId11" xr:uid="{C7C0626E-57DC-4245-9DE8-BEA3800955C8}"/>
    <hyperlink ref="C13" r:id="rId12" display="../../../../../../:x:/r/sites/StrategyandAdviceToituteWaiora/Insights Team/Data Analytics/Data/Data Sources/Education Counts/ECE adult to child ratios 2023-2024.xlsx?d=w55f94d899ee448a6b977980335418066&amp;csf=1&amp;web=1&amp;e=PgdXGn" xr:uid="{E70876F8-609A-43C3-A2FE-B2C73F4EFE66}"/>
    <hyperlink ref="C14" r:id="rId13" display="../../../../../../:x:/r/sites/StrategyandAdviceToituteWaiora/Insights Team/Data Analytics/Data/Data Sources/Education Counts/ECE services directory.csv?d=w37c0235fc6a0403691cd7623af6d833c&amp;csf=1&amp;web=1&amp;e=Enk6mI" xr:uid="{1E978EC7-8708-4DAF-99B1-0B507C7C3FCE}"/>
    <hyperlink ref="C15" r:id="rId14" display="https://aus01.safelinks.protection.outlook.com/?url=https%3A%2F%2Fexplore.data.stats.govt.nz%2Fvis%3Ffs%255b0%255d%3DSociety%252C1%257CPopulation%2520projections%2523CAT_POPULATION_PROJECTIONS%2523%257CNational%2520population%2520projections%2523CAT_NATIONAL_POPULATION_PROJECTIONS%2523%26pg%3D0%26fc%3DSociety%26bp%3Dtrue%26snb%3D9%26df%255bds%255d%3Dds-nsiws-disseminate%26df%255bid%255d%3DPOPPR_NAT_007%26df%255bag%255d%3DSTATSNZ%26df%255bvs%255d%3D1.0%26dq%3DP75%252BP50%252BP25.2060%252B2059%252B2057%252B2055%252B2054%252B2053%252B2052%252B2056%252B2051%252B2050%252B2049%252B2048%252B2047%252B2046%252B2045%252B2044%252B2042%252B2041%252B2040%252B2039%252B2036%252B2037%252B2035%252B2034%252B2032%252B2031%252B2030%252B2029%252B2024%252B2025%252B2026%252B2027%252B2028%252B2033%252B2038%252B2043%252B2058.SEX3.AGEXXX4%252BAGEXXX5%252BAGEXXX0%252BAGEXXX3%252BAGEXXX2%252BAGEXXX1%252BTOTALALLAGES%26ly%255brw%255d%3DYEAR_POPPR_NAT_007%26ly%255bcl%255d%3DSCENARIO_POPPR_NAT_007%26to%255bTIME%255d%3Dfalse&amp;data=05%7C02%7CCerelia.Diprose%40toitutewaiora.nz%7C9cc483f81f9941ce602308ddd3cea9dd%7C469509a0f47e42458bf195deae62bd7f%7C0%7C0%7C638899606779325442%7CUnknown%7CTWFpbGZsb3d8eyJFbXB0eU1hcGkiOnRydWUsIlYiOiIwLjAuMDAwMCIsIlAiOiJXaW4zMiIsIkFOIjoiTWFpbCIsIldUIjoyfQ%3D%3D%7C0%7C%7C%7C&amp;sdata=eBgaRE39OMY5Okfb0zcrhLbsuYxT%2BHaRBXIVxaPKj3M%3D&amp;reserved=0" xr:uid="{DF25AD48-DFC8-482E-896B-BC9D8A2F38EB}"/>
    <hyperlink ref="C16" r:id="rId15" xr:uid="{5C4FF920-DDA8-44E2-9F4A-CD1D6BA31A60}"/>
    <hyperlink ref="C17" r:id="rId16" display="https://figure.nz/table/lIan0oOJfimn98i3" xr:uid="{E0B3FD56-6AD7-4157-931B-00E505A40604}"/>
  </hyperlinks>
  <pageMargins left="0.7" right="0.7" top="0.75" bottom="0.75" header="0.3" footer="0.3"/>
  <drawing r:id="rId17"/>
  <tableParts count="2">
    <tablePart r:id="rId18"/>
    <tablePart r:id="rId19"/>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6224D-30FE-4EC1-A2F1-AE2BCCC86478}">
  <dimension ref="A1:B15"/>
  <sheetViews>
    <sheetView zoomScaleNormal="100" workbookViewId="0">
      <pane ySplit="1" topLeftCell="A6" activePane="bottomLeft" state="frozen"/>
      <selection pane="bottomLeft" activeCell="B15" sqref="B15"/>
    </sheetView>
  </sheetViews>
  <sheetFormatPr defaultColWidth="8.85546875" defaultRowHeight="14.65"/>
  <cols>
    <col min="1" max="1" width="23.140625" bestFit="1" customWidth="1"/>
    <col min="2" max="2" width="67.140625" bestFit="1" customWidth="1"/>
  </cols>
  <sheetData>
    <row r="1" spans="1:2">
      <c r="A1" t="s">
        <v>109</v>
      </c>
      <c r="B1" t="s">
        <v>110</v>
      </c>
    </row>
    <row r="2" spans="1:2" ht="29.1">
      <c r="A2" s="11" t="s">
        <v>111</v>
      </c>
      <c r="B2" s="11" t="s">
        <v>112</v>
      </c>
    </row>
    <row r="3" spans="1:2" ht="72.95">
      <c r="A3" s="11" t="s">
        <v>113</v>
      </c>
      <c r="B3" s="11" t="s">
        <v>114</v>
      </c>
    </row>
    <row r="4" spans="1:2" ht="29.1">
      <c r="A4" s="11" t="s">
        <v>115</v>
      </c>
      <c r="B4" s="11" t="s">
        <v>116</v>
      </c>
    </row>
    <row r="5" spans="1:2" ht="102">
      <c r="A5" s="11" t="s">
        <v>117</v>
      </c>
      <c r="B5" s="11" t="s">
        <v>118</v>
      </c>
    </row>
    <row r="6" spans="1:2" ht="58.35">
      <c r="A6" s="11" t="s">
        <v>119</v>
      </c>
      <c r="B6" s="11" t="s">
        <v>120</v>
      </c>
    </row>
    <row r="7" spans="1:2" ht="43.7">
      <c r="A7" s="11" t="s">
        <v>121</v>
      </c>
      <c r="B7" s="11" t="s">
        <v>122</v>
      </c>
    </row>
    <row r="8" spans="1:2" ht="58.35">
      <c r="A8" s="11" t="s">
        <v>123</v>
      </c>
      <c r="B8" s="11" t="s">
        <v>124</v>
      </c>
    </row>
    <row r="9" spans="1:2" ht="29.1">
      <c r="A9" s="11" t="s">
        <v>125</v>
      </c>
      <c r="B9" s="11" t="s">
        <v>126</v>
      </c>
    </row>
    <row r="10" spans="1:2" ht="43.7">
      <c r="A10" s="11" t="s">
        <v>127</v>
      </c>
      <c r="B10" s="11" t="s">
        <v>128</v>
      </c>
    </row>
    <row r="11" spans="1:2" ht="42.6" customHeight="1">
      <c r="A11" s="11" t="s">
        <v>123</v>
      </c>
      <c r="B11" s="11" t="s">
        <v>129</v>
      </c>
    </row>
    <row r="12" spans="1:2" ht="58.35">
      <c r="A12" s="11" t="s">
        <v>130</v>
      </c>
      <c r="B12" s="11" t="s">
        <v>131</v>
      </c>
    </row>
    <row r="13" spans="1:2" ht="29.1">
      <c r="A13" s="11" t="s">
        <v>132</v>
      </c>
      <c r="B13" s="150" t="s">
        <v>133</v>
      </c>
    </row>
    <row r="14" spans="1:2" ht="29.1">
      <c r="A14" s="11" t="s">
        <v>134</v>
      </c>
      <c r="B14" s="11" t="s">
        <v>135</v>
      </c>
    </row>
    <row r="15" spans="1:2" ht="29.1">
      <c r="A15" s="11" t="s">
        <v>136</v>
      </c>
      <c r="B15" s="11" t="s">
        <v>137</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C8B71-E6C8-440B-ABBD-B1F282A9EAF3}">
  <dimension ref="A1:B9"/>
  <sheetViews>
    <sheetView zoomScaleNormal="100" workbookViewId="0">
      <selection activeCell="B9" sqref="B9"/>
    </sheetView>
  </sheetViews>
  <sheetFormatPr defaultColWidth="9.140625" defaultRowHeight="14.65"/>
  <cols>
    <col min="1" max="1" width="37.140625" style="10" bestFit="1" customWidth="1"/>
    <col min="2" max="2" width="87" style="10" customWidth="1"/>
    <col min="3" max="16384" width="9.140625" style="10"/>
  </cols>
  <sheetData>
    <row r="1" spans="1:2">
      <c r="A1" s="10" t="s">
        <v>138</v>
      </c>
      <c r="B1" s="10" t="s">
        <v>53</v>
      </c>
    </row>
    <row r="2" spans="1:2" ht="58.35">
      <c r="A2" s="10" t="s">
        <v>139</v>
      </c>
      <c r="B2" s="11" t="s">
        <v>140</v>
      </c>
    </row>
    <row r="3" spans="1:2" ht="43.7">
      <c r="A3" s="11" t="s">
        <v>141</v>
      </c>
      <c r="B3" s="11" t="s">
        <v>142</v>
      </c>
    </row>
    <row r="4" spans="1:2" ht="29.1">
      <c r="A4" s="10" t="s">
        <v>143</v>
      </c>
      <c r="B4" s="11" t="s">
        <v>144</v>
      </c>
    </row>
    <row r="5" spans="1:2">
      <c r="A5" s="10" t="s">
        <v>145</v>
      </c>
      <c r="B5" s="11" t="s">
        <v>146</v>
      </c>
    </row>
    <row r="6" spans="1:2" ht="43.7">
      <c r="A6" s="10" t="s">
        <v>147</v>
      </c>
      <c r="B6" s="11" t="s">
        <v>148</v>
      </c>
    </row>
    <row r="7" spans="1:2" ht="43.7">
      <c r="A7" s="10" t="s">
        <v>149</v>
      </c>
      <c r="B7" s="11" t="s">
        <v>150</v>
      </c>
    </row>
    <row r="8" spans="1:2" ht="58.35">
      <c r="A8" s="10" t="s">
        <v>151</v>
      </c>
      <c r="B8" s="11" t="s">
        <v>152</v>
      </c>
    </row>
    <row r="9" spans="1:2" ht="102">
      <c r="A9" s="10" t="s">
        <v>153</v>
      </c>
      <c r="B9" s="11" t="s">
        <v>154</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336FA-274A-4F3D-8416-2012E2397187}">
  <dimension ref="A1:B14"/>
  <sheetViews>
    <sheetView workbookViewId="0">
      <selection activeCell="B18" sqref="B18"/>
    </sheetView>
  </sheetViews>
  <sheetFormatPr defaultColWidth="8.85546875" defaultRowHeight="14.65"/>
  <cols>
    <col min="1" max="1" width="35.28515625" customWidth="1"/>
    <col min="2" max="2" width="82.140625" customWidth="1"/>
  </cols>
  <sheetData>
    <row r="1" spans="1:2">
      <c r="A1" t="s">
        <v>155</v>
      </c>
      <c r="B1" t="s">
        <v>53</v>
      </c>
    </row>
    <row r="2" spans="1:2" ht="29.1">
      <c r="A2" s="10" t="s">
        <v>156</v>
      </c>
      <c r="B2" s="11" t="s">
        <v>157</v>
      </c>
    </row>
    <row r="3" spans="1:2" ht="29.1">
      <c r="A3" s="10" t="s">
        <v>158</v>
      </c>
      <c r="B3" s="11" t="s">
        <v>159</v>
      </c>
    </row>
    <row r="4" spans="1:2" ht="29.1">
      <c r="A4" s="10" t="s">
        <v>160</v>
      </c>
      <c r="B4" s="11" t="s">
        <v>161</v>
      </c>
    </row>
    <row r="5" spans="1:2" ht="29.1">
      <c r="A5" s="10" t="s">
        <v>162</v>
      </c>
      <c r="B5" s="11" t="s">
        <v>163</v>
      </c>
    </row>
    <row r="6" spans="1:2" ht="43.7">
      <c r="A6" s="10" t="s">
        <v>117</v>
      </c>
      <c r="B6" s="11" t="s">
        <v>164</v>
      </c>
    </row>
    <row r="7" spans="1:2">
      <c r="A7" s="10" t="s">
        <v>165</v>
      </c>
      <c r="B7" s="11" t="s">
        <v>166</v>
      </c>
    </row>
    <row r="8" spans="1:2">
      <c r="A8" s="10" t="s">
        <v>167</v>
      </c>
      <c r="B8" s="11" t="s">
        <v>168</v>
      </c>
    </row>
    <row r="9" spans="1:2">
      <c r="A9" s="10" t="s">
        <v>169</v>
      </c>
      <c r="B9" s="11" t="s">
        <v>170</v>
      </c>
    </row>
    <row r="10" spans="1:2" ht="29.1">
      <c r="A10" s="10" t="s">
        <v>171</v>
      </c>
      <c r="B10" s="11" t="s">
        <v>172</v>
      </c>
    </row>
    <row r="11" spans="1:2" ht="29.1">
      <c r="A11" s="10" t="s">
        <v>113</v>
      </c>
      <c r="B11" s="11" t="s">
        <v>173</v>
      </c>
    </row>
    <row r="12" spans="1:2" ht="29.1">
      <c r="A12" s="10" t="s">
        <v>174</v>
      </c>
      <c r="B12" s="11" t="s">
        <v>175</v>
      </c>
    </row>
    <row r="13" spans="1:2" ht="43.7">
      <c r="A13" s="10" t="s">
        <v>176</v>
      </c>
      <c r="B13" s="11" t="s">
        <v>177</v>
      </c>
    </row>
    <row r="14" spans="1:2" ht="29.1">
      <c r="A14" s="10" t="s">
        <v>178</v>
      </c>
      <c r="B14" s="11" t="s">
        <v>179</v>
      </c>
    </row>
  </sheetData>
  <pageMargins left="0.7" right="0.7" top="0.75" bottom="0.75" header="0.3" footer="0.3"/>
  <legacy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37526-E946-43CE-A7BE-B0132A28BD65}">
  <dimension ref="A1:H30"/>
  <sheetViews>
    <sheetView zoomScaleNormal="100" workbookViewId="0">
      <selection activeCell="C20" sqref="C20"/>
    </sheetView>
  </sheetViews>
  <sheetFormatPr defaultColWidth="8.85546875" defaultRowHeight="14.65"/>
  <cols>
    <col min="1" max="1" width="7.28515625" customWidth="1"/>
    <col min="2" max="2" width="78.42578125" customWidth="1"/>
    <col min="3" max="3" width="59.42578125" bestFit="1" customWidth="1"/>
  </cols>
  <sheetData>
    <row r="1" spans="1:8">
      <c r="A1" s="1" t="s">
        <v>180</v>
      </c>
    </row>
    <row r="2" spans="1:8">
      <c r="A2" s="6" t="s">
        <v>181</v>
      </c>
    </row>
    <row r="3" spans="1:8" ht="370.35" customHeight="1"/>
    <row r="4" spans="1:8">
      <c r="A4" s="1"/>
    </row>
    <row r="5" spans="1:8">
      <c r="A5" s="6" t="s">
        <v>182</v>
      </c>
    </row>
    <row r="6" spans="1:8">
      <c r="A6" s="6" t="s">
        <v>183</v>
      </c>
    </row>
    <row r="7" spans="1:8" ht="349.35" customHeight="1">
      <c r="A7" s="176" t="s">
        <v>184</v>
      </c>
      <c r="B7" s="176"/>
      <c r="C7" s="176"/>
      <c r="D7" s="11"/>
      <c r="E7" s="11"/>
      <c r="F7" s="11"/>
      <c r="G7" s="11"/>
      <c r="H7" s="11"/>
    </row>
    <row r="9" spans="1:8">
      <c r="A9" s="6" t="s">
        <v>185</v>
      </c>
    </row>
    <row r="10" spans="1:8">
      <c r="A10" s="5" t="s">
        <v>186</v>
      </c>
      <c r="B10" s="5" t="s">
        <v>53</v>
      </c>
      <c r="C10" s="5" t="s">
        <v>187</v>
      </c>
    </row>
    <row r="11" spans="1:8" ht="16.350000000000001">
      <c r="A11" s="62" t="s">
        <v>188</v>
      </c>
      <c r="B11" t="s">
        <v>189</v>
      </c>
    </row>
    <row r="12" spans="1:8" ht="16.350000000000001">
      <c r="A12" s="62" t="s">
        <v>190</v>
      </c>
      <c r="B12" t="s">
        <v>191</v>
      </c>
    </row>
    <row r="13" spans="1:8">
      <c r="A13" s="62" t="s">
        <v>192</v>
      </c>
      <c r="B13" t="s">
        <v>193</v>
      </c>
      <c r="C13" t="s">
        <v>194</v>
      </c>
    </row>
    <row r="14" spans="1:8">
      <c r="A14" s="62" t="s">
        <v>195</v>
      </c>
      <c r="B14" t="s">
        <v>196</v>
      </c>
      <c r="C14" t="s">
        <v>197</v>
      </c>
    </row>
    <row r="15" spans="1:8">
      <c r="A15" s="62" t="s">
        <v>198</v>
      </c>
      <c r="B15" t="s">
        <v>199</v>
      </c>
      <c r="C15" t="s">
        <v>200</v>
      </c>
    </row>
    <row r="16" spans="1:8">
      <c r="A16" s="62" t="s">
        <v>201</v>
      </c>
      <c r="B16" t="s">
        <v>202</v>
      </c>
    </row>
    <row r="17" spans="1:3">
      <c r="A17" s="62" t="s">
        <v>203</v>
      </c>
      <c r="B17" t="s">
        <v>204</v>
      </c>
      <c r="C17" t="s">
        <v>205</v>
      </c>
    </row>
    <row r="18" spans="1:3">
      <c r="A18" s="62" t="s">
        <v>206</v>
      </c>
      <c r="B18" t="s">
        <v>207</v>
      </c>
    </row>
    <row r="19" spans="1:3">
      <c r="A19" s="5"/>
    </row>
    <row r="20" spans="1:3">
      <c r="B20" s="1" t="s">
        <v>208</v>
      </c>
    </row>
    <row r="22" spans="1:3" ht="16.350000000000001">
      <c r="A22" s="5" t="s">
        <v>209</v>
      </c>
      <c r="B22" s="37" t="s">
        <v>210</v>
      </c>
      <c r="C22" t="s">
        <v>211</v>
      </c>
    </row>
    <row r="23" spans="1:3">
      <c r="A23" s="5" t="s">
        <v>212</v>
      </c>
      <c r="B23" s="37" t="s">
        <v>213</v>
      </c>
      <c r="C23" t="s">
        <v>214</v>
      </c>
    </row>
    <row r="24" spans="1:3">
      <c r="A24" s="5"/>
      <c r="B24" s="69" t="s">
        <v>215</v>
      </c>
    </row>
    <row r="25" spans="1:3">
      <c r="A25" s="5" t="s">
        <v>216</v>
      </c>
      <c r="B25" s="37" t="s">
        <v>217</v>
      </c>
      <c r="C25" t="s">
        <v>218</v>
      </c>
    </row>
    <row r="26" spans="1:3">
      <c r="A26" s="5" t="s">
        <v>219</v>
      </c>
      <c r="B26" s="37" t="s">
        <v>220</v>
      </c>
      <c r="C26" s="5" t="s">
        <v>221</v>
      </c>
    </row>
    <row r="27" spans="1:3">
      <c r="A27" s="5" t="s">
        <v>222</v>
      </c>
      <c r="B27" s="37" t="s">
        <v>223</v>
      </c>
      <c r="C27" s="5" t="s">
        <v>224</v>
      </c>
    </row>
    <row r="29" spans="1:3">
      <c r="A29" s="6" t="s">
        <v>225</v>
      </c>
    </row>
    <row r="30" spans="1:3" ht="74.45" customHeight="1">
      <c r="A30" s="176" t="s">
        <v>226</v>
      </c>
      <c r="B30" s="176"/>
      <c r="C30" s="176"/>
    </row>
  </sheetData>
  <mergeCells count="2">
    <mergeCell ref="A7:C7"/>
    <mergeCell ref="A30:C30"/>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53E29-EAE3-411D-81FF-0A8BF01471D7}">
  <dimension ref="A1:S44"/>
  <sheetViews>
    <sheetView topLeftCell="A19" zoomScale="85" zoomScaleNormal="85" workbookViewId="0">
      <selection activeCell="B3" sqref="B3"/>
    </sheetView>
  </sheetViews>
  <sheetFormatPr defaultColWidth="8.85546875" defaultRowHeight="14.65"/>
  <cols>
    <col min="1" max="1" width="9.140625" style="1"/>
    <col min="3" max="3" width="11" bestFit="1" customWidth="1"/>
    <col min="9" max="9" width="11" bestFit="1" customWidth="1"/>
    <col min="16" max="16" width="12.28515625" bestFit="1" customWidth="1"/>
  </cols>
  <sheetData>
    <row r="1" spans="1:19">
      <c r="A1" s="1" t="s">
        <v>227</v>
      </c>
      <c r="I1" t="s">
        <v>228</v>
      </c>
    </row>
    <row r="2" spans="1:19">
      <c r="A2" t="s">
        <v>229</v>
      </c>
      <c r="B2" s="37" t="s">
        <v>230</v>
      </c>
      <c r="C2" s="37" t="s">
        <v>231</v>
      </c>
      <c r="D2" s="37" t="s">
        <v>232</v>
      </c>
      <c r="E2" s="37" t="s">
        <v>233</v>
      </c>
      <c r="F2" s="37" t="s">
        <v>234</v>
      </c>
      <c r="G2" s="37" t="s">
        <v>235</v>
      </c>
      <c r="H2" s="37" t="s">
        <v>236</v>
      </c>
      <c r="I2" s="37" t="s">
        <v>230</v>
      </c>
      <c r="J2" s="37" t="s">
        <v>231</v>
      </c>
      <c r="K2" s="37" t="s">
        <v>232</v>
      </c>
      <c r="L2" s="37" t="s">
        <v>233</v>
      </c>
      <c r="M2" s="37" t="s">
        <v>234</v>
      </c>
      <c r="N2" s="37" t="s">
        <v>235</v>
      </c>
    </row>
    <row r="3" spans="1:19">
      <c r="A3" s="1">
        <v>2015</v>
      </c>
      <c r="B3" s="38">
        <v>58870</v>
      </c>
      <c r="C3" s="39">
        <v>59020</v>
      </c>
      <c r="D3" s="40">
        <v>61290</v>
      </c>
      <c r="E3" s="38">
        <v>62450</v>
      </c>
      <c r="F3" s="39">
        <v>63580</v>
      </c>
      <c r="G3">
        <v>65080</v>
      </c>
      <c r="H3">
        <f>SUM(B3:G3)</f>
        <v>370290</v>
      </c>
    </row>
    <row r="4" spans="1:19">
      <c r="A4" s="1">
        <v>2016</v>
      </c>
      <c r="B4" s="40">
        <v>59400</v>
      </c>
      <c r="C4" s="38">
        <v>59550</v>
      </c>
      <c r="D4" s="39">
        <v>59980</v>
      </c>
      <c r="E4" s="40">
        <v>62440</v>
      </c>
      <c r="F4" s="38">
        <v>63340</v>
      </c>
      <c r="G4" s="39">
        <v>64400</v>
      </c>
      <c r="H4">
        <f t="shared" ref="H4:H12" si="0">SUM(B4:G4)</f>
        <v>369110</v>
      </c>
      <c r="I4" s="36">
        <f>(B4/B3)-1</f>
        <v>9.0028877187022793E-3</v>
      </c>
      <c r="J4" s="36">
        <f>(C4/C3)-1</f>
        <v>8.9800067773635472E-3</v>
      </c>
      <c r="K4" s="36">
        <f t="shared" ref="J4:N12" si="1">(D4/D3)-1</f>
        <v>-2.1373796704193149E-2</v>
      </c>
      <c r="L4" s="36">
        <f t="shared" si="1"/>
        <v>-1.6012810248200449E-4</v>
      </c>
      <c r="M4" s="36">
        <f t="shared" si="1"/>
        <v>-3.774771940861954E-3</v>
      </c>
      <c r="N4" s="36">
        <f t="shared" si="1"/>
        <v>-1.0448678549477619E-2</v>
      </c>
      <c r="P4" s="7">
        <f>SUM(B4:C4)</f>
        <v>118950</v>
      </c>
      <c r="Q4" s="7">
        <f>SUM(D4:F4)</f>
        <v>185760</v>
      </c>
      <c r="S4">
        <v>185760</v>
      </c>
    </row>
    <row r="5" spans="1:19">
      <c r="A5" s="1">
        <v>2017</v>
      </c>
      <c r="B5" s="39">
        <v>60150</v>
      </c>
      <c r="C5" s="40">
        <v>59970</v>
      </c>
      <c r="D5" s="38">
        <v>60760</v>
      </c>
      <c r="E5" s="39">
        <v>61180</v>
      </c>
      <c r="F5" s="40">
        <v>63460</v>
      </c>
      <c r="G5" s="38">
        <v>64350</v>
      </c>
      <c r="H5">
        <f t="shared" si="0"/>
        <v>369870</v>
      </c>
      <c r="I5" s="36">
        <f t="shared" ref="I5:I12" si="2">(B5/B4)-1</f>
        <v>1.2626262626262541E-2</v>
      </c>
      <c r="J5" s="36">
        <f>(C5/C4)-1</f>
        <v>7.0528967254408492E-3</v>
      </c>
      <c r="K5" s="36">
        <f t="shared" si="1"/>
        <v>1.3004334778259352E-2</v>
      </c>
      <c r="L5" s="36">
        <f t="shared" si="1"/>
        <v>-2.0179372197309364E-2</v>
      </c>
      <c r="M5" s="36">
        <f t="shared" si="1"/>
        <v>1.8945374171139839E-3</v>
      </c>
      <c r="N5" s="36">
        <f t="shared" si="1"/>
        <v>-7.763975155279379E-4</v>
      </c>
      <c r="P5" s="7">
        <f t="shared" ref="P5:P12" si="3">SUM(B5:C5)</f>
        <v>120120</v>
      </c>
      <c r="Q5" s="7">
        <f t="shared" ref="Q5:Q12" si="4">SUM(D5:F5)</f>
        <v>185400</v>
      </c>
      <c r="S5">
        <v>185400</v>
      </c>
    </row>
    <row r="6" spans="1:19">
      <c r="A6" s="1">
        <v>2018</v>
      </c>
      <c r="B6" s="38">
        <v>59530</v>
      </c>
      <c r="C6" s="39">
        <v>60520</v>
      </c>
      <c r="D6" s="40">
        <v>60890</v>
      </c>
      <c r="E6" s="38">
        <v>61880</v>
      </c>
      <c r="F6" s="39">
        <v>62210</v>
      </c>
      <c r="G6" s="40">
        <v>64430</v>
      </c>
      <c r="H6">
        <f t="shared" si="0"/>
        <v>369460</v>
      </c>
      <c r="I6" s="36">
        <f t="shared" si="2"/>
        <v>-1.0307564422277649E-2</v>
      </c>
      <c r="J6" s="36">
        <f t="shared" si="1"/>
        <v>9.1712522928131257E-3</v>
      </c>
      <c r="K6" s="36">
        <f t="shared" si="1"/>
        <v>2.1395655036207106E-3</v>
      </c>
      <c r="L6" s="36">
        <f t="shared" si="1"/>
        <v>1.1441647597254079E-2</v>
      </c>
      <c r="M6" s="36">
        <f t="shared" si="1"/>
        <v>-1.9697447210841434E-2</v>
      </c>
      <c r="N6" s="36">
        <f t="shared" si="1"/>
        <v>1.2432012432013195E-3</v>
      </c>
      <c r="P6" s="7">
        <f t="shared" si="3"/>
        <v>120050</v>
      </c>
      <c r="Q6" s="7">
        <f t="shared" si="4"/>
        <v>184980</v>
      </c>
      <c r="S6">
        <v>184980</v>
      </c>
    </row>
    <row r="7" spans="1:19">
      <c r="A7" s="1">
        <v>2019</v>
      </c>
      <c r="B7" s="40">
        <v>59640</v>
      </c>
      <c r="C7" s="38">
        <v>59750</v>
      </c>
      <c r="D7" s="39">
        <v>61290</v>
      </c>
      <c r="E7" s="40">
        <v>61790</v>
      </c>
      <c r="F7" s="38">
        <v>62860</v>
      </c>
      <c r="G7" s="39">
        <v>63270</v>
      </c>
      <c r="H7">
        <f t="shared" si="0"/>
        <v>368600</v>
      </c>
      <c r="I7" s="36">
        <f t="shared" si="2"/>
        <v>1.8478078279859922E-3</v>
      </c>
      <c r="J7" s="36">
        <f t="shared" si="1"/>
        <v>-1.2723066754791845E-2</v>
      </c>
      <c r="K7" s="36">
        <f t="shared" si="1"/>
        <v>6.5692231893579311E-3</v>
      </c>
      <c r="L7" s="36">
        <f t="shared" si="1"/>
        <v>-1.4544279250161551E-3</v>
      </c>
      <c r="M7" s="36">
        <f t="shared" si="1"/>
        <v>1.0448480951615435E-2</v>
      </c>
      <c r="N7" s="36">
        <f t="shared" si="1"/>
        <v>-1.8004035387241935E-2</v>
      </c>
      <c r="P7" s="7">
        <f t="shared" si="3"/>
        <v>119390</v>
      </c>
      <c r="Q7" s="7">
        <f t="shared" si="4"/>
        <v>185940</v>
      </c>
      <c r="S7">
        <v>185940</v>
      </c>
    </row>
    <row r="8" spans="1:19">
      <c r="A8" s="1">
        <v>2020</v>
      </c>
      <c r="B8" s="39">
        <v>59330</v>
      </c>
      <c r="C8" s="40">
        <v>60080</v>
      </c>
      <c r="D8" s="38">
        <v>60610</v>
      </c>
      <c r="E8" s="39">
        <v>62410</v>
      </c>
      <c r="F8" s="40">
        <v>62770</v>
      </c>
      <c r="G8" s="38">
        <v>63900</v>
      </c>
      <c r="H8">
        <f t="shared" si="0"/>
        <v>369100</v>
      </c>
      <c r="I8" s="36">
        <f t="shared" si="2"/>
        <v>-5.197853789403073E-3</v>
      </c>
      <c r="J8" s="36">
        <f t="shared" si="1"/>
        <v>5.5230125523013651E-3</v>
      </c>
      <c r="K8" s="36">
        <f t="shared" si="1"/>
        <v>-1.1094795235764399E-2</v>
      </c>
      <c r="L8" s="36">
        <f t="shared" si="1"/>
        <v>1.0033986081890323E-2</v>
      </c>
      <c r="M8" s="36">
        <f t="shared" si="1"/>
        <v>-1.4317531021317276E-3</v>
      </c>
      <c r="N8" s="36">
        <f t="shared" si="1"/>
        <v>9.957325746799528E-3</v>
      </c>
      <c r="P8" s="7">
        <f t="shared" si="3"/>
        <v>119410</v>
      </c>
      <c r="Q8" s="7">
        <f t="shared" si="4"/>
        <v>185790</v>
      </c>
      <c r="S8">
        <v>185790</v>
      </c>
    </row>
    <row r="9" spans="1:19">
      <c r="A9" s="1">
        <v>2021</v>
      </c>
      <c r="B9" s="38">
        <v>60860</v>
      </c>
      <c r="C9" s="39">
        <v>59520</v>
      </c>
      <c r="D9" s="40">
        <v>60420</v>
      </c>
      <c r="E9" s="38">
        <v>60930</v>
      </c>
      <c r="F9" s="39">
        <v>62640</v>
      </c>
      <c r="G9" s="40">
        <v>62990</v>
      </c>
      <c r="H9">
        <f t="shared" si="0"/>
        <v>367360</v>
      </c>
      <c r="I9" s="36">
        <f t="shared" si="2"/>
        <v>2.5787965616045794E-2</v>
      </c>
      <c r="J9" s="36">
        <f t="shared" si="1"/>
        <v>-9.320905459387463E-3</v>
      </c>
      <c r="K9" s="36">
        <f t="shared" si="1"/>
        <v>-3.1347962382445305E-3</v>
      </c>
      <c r="L9" s="36">
        <f t="shared" si="1"/>
        <v>-2.3714148373658039E-2</v>
      </c>
      <c r="M9" s="36">
        <f t="shared" si="1"/>
        <v>-2.0710530508204483E-3</v>
      </c>
      <c r="N9" s="36">
        <f t="shared" si="1"/>
        <v>-1.4241001564945233E-2</v>
      </c>
      <c r="P9" s="7">
        <f t="shared" si="3"/>
        <v>120380</v>
      </c>
      <c r="Q9" s="7">
        <f t="shared" si="4"/>
        <v>183990</v>
      </c>
      <c r="S9">
        <v>183990</v>
      </c>
    </row>
    <row r="10" spans="1:19">
      <c r="A10" s="1">
        <v>2022</v>
      </c>
      <c r="B10" s="40">
        <v>60340</v>
      </c>
      <c r="C10" s="38">
        <v>60720</v>
      </c>
      <c r="D10" s="39">
        <v>59670</v>
      </c>
      <c r="E10" s="40">
        <v>60840</v>
      </c>
      <c r="F10" s="38">
        <v>61160</v>
      </c>
      <c r="G10" s="39">
        <v>62710</v>
      </c>
      <c r="H10">
        <f t="shared" si="0"/>
        <v>365440</v>
      </c>
      <c r="I10" s="36">
        <f t="shared" si="2"/>
        <v>-8.544199802826169E-3</v>
      </c>
      <c r="J10" s="36">
        <f t="shared" si="1"/>
        <v>2.0161290322580738E-2</v>
      </c>
      <c r="K10" s="36">
        <f t="shared" si="1"/>
        <v>-1.2413108242303905E-2</v>
      </c>
      <c r="L10" s="36">
        <f t="shared" si="1"/>
        <v>-1.477104874446078E-3</v>
      </c>
      <c r="M10" s="36">
        <f t="shared" si="1"/>
        <v>-2.3627075351213334E-2</v>
      </c>
      <c r="N10" s="36">
        <f t="shared" si="1"/>
        <v>-4.4451500238132935E-3</v>
      </c>
      <c r="P10" s="7">
        <f t="shared" si="3"/>
        <v>121060</v>
      </c>
      <c r="Q10" s="7">
        <f t="shared" si="4"/>
        <v>181670</v>
      </c>
      <c r="S10">
        <v>181670</v>
      </c>
    </row>
    <row r="11" spans="1:19">
      <c r="A11" s="1">
        <v>2023</v>
      </c>
      <c r="B11" s="41">
        <v>56840</v>
      </c>
      <c r="C11" s="40">
        <v>60790</v>
      </c>
      <c r="D11" s="38">
        <v>61490</v>
      </c>
      <c r="E11" s="39">
        <v>60840</v>
      </c>
      <c r="F11" s="40">
        <v>62350</v>
      </c>
      <c r="G11" s="38">
        <v>62620</v>
      </c>
      <c r="H11">
        <f t="shared" si="0"/>
        <v>364930</v>
      </c>
      <c r="I11" s="36">
        <f t="shared" si="2"/>
        <v>-5.8004640371229654E-2</v>
      </c>
      <c r="J11" s="36">
        <f t="shared" si="1"/>
        <v>1.1528326745717798E-3</v>
      </c>
      <c r="K11" s="36">
        <f t="shared" si="1"/>
        <v>3.0501089324618702E-2</v>
      </c>
      <c r="L11" s="36">
        <f t="shared" si="1"/>
        <v>0</v>
      </c>
      <c r="M11" s="36">
        <f t="shared" si="1"/>
        <v>1.9457161543492418E-2</v>
      </c>
      <c r="N11" s="36">
        <f t="shared" si="1"/>
        <v>-1.4351778025832873E-3</v>
      </c>
      <c r="P11" s="7">
        <f t="shared" si="3"/>
        <v>117630</v>
      </c>
      <c r="Q11" s="7">
        <f t="shared" si="4"/>
        <v>184680</v>
      </c>
      <c r="S11">
        <v>184680</v>
      </c>
    </row>
    <row r="12" spans="1:19">
      <c r="A12" s="1">
        <v>2024</v>
      </c>
      <c r="B12">
        <v>57070</v>
      </c>
      <c r="C12" s="39">
        <v>57190</v>
      </c>
      <c r="D12" s="40">
        <v>61700</v>
      </c>
      <c r="E12" s="38">
        <v>62510</v>
      </c>
      <c r="F12" s="39">
        <v>62230</v>
      </c>
      <c r="G12" s="40">
        <v>63930</v>
      </c>
      <c r="H12">
        <f t="shared" si="0"/>
        <v>364630</v>
      </c>
      <c r="I12" s="36">
        <f t="shared" si="2"/>
        <v>4.0464461646727568E-3</v>
      </c>
      <c r="J12" s="36">
        <f t="shared" si="1"/>
        <v>-5.9220266491199158E-2</v>
      </c>
      <c r="K12" s="36">
        <f t="shared" si="1"/>
        <v>3.4151894617011624E-3</v>
      </c>
      <c r="L12" s="36">
        <f t="shared" si="1"/>
        <v>2.7449046679815847E-2</v>
      </c>
      <c r="M12" s="36">
        <f t="shared" si="1"/>
        <v>-1.9246190858059897E-3</v>
      </c>
      <c r="N12" s="36">
        <f t="shared" si="1"/>
        <v>2.0919833918875863E-2</v>
      </c>
      <c r="P12" s="7">
        <f t="shared" si="3"/>
        <v>114260</v>
      </c>
      <c r="Q12" s="7">
        <f t="shared" si="4"/>
        <v>186440</v>
      </c>
      <c r="S12">
        <v>186440</v>
      </c>
    </row>
    <row r="14" spans="1:19">
      <c r="A14" s="1" t="s">
        <v>237</v>
      </c>
    </row>
    <row r="15" spans="1:19">
      <c r="A15" s="1">
        <v>2015</v>
      </c>
      <c r="B15" s="38"/>
      <c r="C15" s="39"/>
      <c r="D15" s="40"/>
      <c r="E15" s="38"/>
      <c r="F15" s="39"/>
    </row>
    <row r="16" spans="1:19">
      <c r="A16" s="1">
        <v>2016</v>
      </c>
      <c r="B16" s="40"/>
      <c r="C16" s="38">
        <f>C4-B3</f>
        <v>680</v>
      </c>
      <c r="D16" s="39">
        <f>D4-C3</f>
        <v>960</v>
      </c>
      <c r="E16" s="40">
        <f>E4-D3</f>
        <v>1150</v>
      </c>
      <c r="F16" s="38">
        <f>F4-E3</f>
        <v>890</v>
      </c>
      <c r="G16" s="39">
        <f>G4-F3</f>
        <v>820</v>
      </c>
    </row>
    <row r="17" spans="1:8">
      <c r="A17" s="1">
        <v>2017</v>
      </c>
      <c r="B17" s="39"/>
      <c r="C17" s="40">
        <f t="shared" ref="C17:C23" si="5">C5-B4</f>
        <v>570</v>
      </c>
      <c r="D17" s="38">
        <f>D5-C4</f>
        <v>1210</v>
      </c>
      <c r="E17" s="39">
        <f>E5-D4</f>
        <v>1200</v>
      </c>
      <c r="F17" s="40">
        <f t="shared" ref="D17:G24" si="6">F5-E4</f>
        <v>1020</v>
      </c>
      <c r="G17" s="38">
        <f t="shared" si="6"/>
        <v>1010</v>
      </c>
    </row>
    <row r="18" spans="1:8">
      <c r="A18" s="1">
        <v>2018</v>
      </c>
      <c r="B18" s="38"/>
      <c r="C18" s="39">
        <f>C6-B5</f>
        <v>370</v>
      </c>
      <c r="D18" s="40">
        <f t="shared" si="6"/>
        <v>920</v>
      </c>
      <c r="E18" s="38">
        <f t="shared" si="6"/>
        <v>1120</v>
      </c>
      <c r="F18" s="39">
        <f t="shared" si="6"/>
        <v>1030</v>
      </c>
      <c r="G18" s="40">
        <f t="shared" si="6"/>
        <v>970</v>
      </c>
    </row>
    <row r="19" spans="1:8">
      <c r="A19" s="1">
        <v>2019</v>
      </c>
      <c r="B19" s="40"/>
      <c r="C19" s="38">
        <f>C7-B6</f>
        <v>220</v>
      </c>
      <c r="D19" s="39">
        <f t="shared" si="6"/>
        <v>770</v>
      </c>
      <c r="E19" s="40">
        <f t="shared" si="6"/>
        <v>900</v>
      </c>
      <c r="F19" s="38">
        <f t="shared" si="6"/>
        <v>980</v>
      </c>
      <c r="G19" s="39">
        <f t="shared" si="6"/>
        <v>1060</v>
      </c>
    </row>
    <row r="20" spans="1:8">
      <c r="A20" s="1">
        <v>2020</v>
      </c>
      <c r="B20" s="39"/>
      <c r="C20" s="40">
        <f t="shared" si="5"/>
        <v>440</v>
      </c>
      <c r="D20" s="38">
        <f t="shared" si="6"/>
        <v>860</v>
      </c>
      <c r="E20" s="39">
        <f t="shared" si="6"/>
        <v>1120</v>
      </c>
      <c r="F20" s="40">
        <f t="shared" si="6"/>
        <v>980</v>
      </c>
      <c r="G20" s="38">
        <f t="shared" si="6"/>
        <v>1040</v>
      </c>
    </row>
    <row r="21" spans="1:8">
      <c r="A21" s="1">
        <v>2021</v>
      </c>
      <c r="B21" s="38"/>
      <c r="C21" s="39">
        <f t="shared" si="5"/>
        <v>190</v>
      </c>
      <c r="D21" s="40">
        <f t="shared" si="6"/>
        <v>340</v>
      </c>
      <c r="E21" s="38">
        <f t="shared" si="6"/>
        <v>320</v>
      </c>
      <c r="F21" s="39">
        <f t="shared" si="6"/>
        <v>230</v>
      </c>
      <c r="G21" s="40">
        <f t="shared" si="6"/>
        <v>220</v>
      </c>
    </row>
    <row r="22" spans="1:8">
      <c r="A22" s="1">
        <v>2022</v>
      </c>
      <c r="B22" s="40"/>
      <c r="C22" s="38">
        <f t="shared" si="5"/>
        <v>-140</v>
      </c>
      <c r="D22" s="39">
        <f t="shared" si="6"/>
        <v>150</v>
      </c>
      <c r="E22" s="40">
        <f t="shared" si="6"/>
        <v>420</v>
      </c>
      <c r="F22" s="38">
        <f t="shared" si="6"/>
        <v>230</v>
      </c>
      <c r="G22" s="39">
        <f t="shared" si="6"/>
        <v>70</v>
      </c>
    </row>
    <row r="23" spans="1:8">
      <c r="A23" s="1">
        <v>2023</v>
      </c>
      <c r="B23" s="41"/>
      <c r="C23" s="40">
        <f t="shared" si="5"/>
        <v>450</v>
      </c>
      <c r="D23" s="38">
        <f t="shared" si="6"/>
        <v>770</v>
      </c>
      <c r="E23" s="39">
        <f t="shared" si="6"/>
        <v>1170</v>
      </c>
      <c r="F23" s="40">
        <f t="shared" si="6"/>
        <v>1510</v>
      </c>
      <c r="G23" s="38">
        <f t="shared" si="6"/>
        <v>1460</v>
      </c>
    </row>
    <row r="24" spans="1:8">
      <c r="A24" s="1">
        <v>2024</v>
      </c>
      <c r="C24" s="39">
        <f>C12-B11</f>
        <v>350</v>
      </c>
      <c r="D24" s="40">
        <f>D12-C11</f>
        <v>910</v>
      </c>
      <c r="E24" s="38">
        <f t="shared" si="6"/>
        <v>1020</v>
      </c>
      <c r="F24" s="39">
        <f>F12-E11</f>
        <v>1390</v>
      </c>
      <c r="G24" s="40">
        <f>G12-F11</f>
        <v>1580</v>
      </c>
    </row>
    <row r="25" spans="1:8" ht="15" thickBot="1">
      <c r="A25" s="6"/>
      <c r="B25" s="5"/>
      <c r="G25" s="42" t="s">
        <v>238</v>
      </c>
      <c r="H25" s="43">
        <f>SUM(C16:G24)</f>
        <v>34930</v>
      </c>
    </row>
    <row r="26" spans="1:8" ht="15" thickTop="1"/>
    <row r="27" spans="1:8">
      <c r="A27" s="1" t="s">
        <v>239</v>
      </c>
    </row>
    <row r="28" spans="1:8">
      <c r="A28" s="1">
        <v>2015</v>
      </c>
      <c r="B28" s="45"/>
      <c r="C28" s="46"/>
      <c r="D28" s="47"/>
      <c r="E28" s="45"/>
      <c r="F28" s="46"/>
      <c r="G28" s="36"/>
    </row>
    <row r="29" spans="1:8">
      <c r="A29" s="1">
        <v>2016</v>
      </c>
      <c r="B29" s="47"/>
      <c r="C29" s="45">
        <f t="shared" ref="C29:G32" si="7">C16/B3</f>
        <v>1.1550874808900968E-2</v>
      </c>
      <c r="D29" s="46">
        <f t="shared" si="7"/>
        <v>1.6265672653337851E-2</v>
      </c>
      <c r="E29" s="47">
        <f t="shared" si="7"/>
        <v>1.8763256648719202E-2</v>
      </c>
      <c r="F29" s="45">
        <f t="shared" si="7"/>
        <v>1.4251401120896717E-2</v>
      </c>
      <c r="G29" s="46">
        <f t="shared" si="7"/>
        <v>1.2897137464611514E-2</v>
      </c>
    </row>
    <row r="30" spans="1:8">
      <c r="A30" s="1">
        <v>2017</v>
      </c>
      <c r="B30" s="46"/>
      <c r="C30" s="47">
        <f t="shared" si="7"/>
        <v>9.5959595959595953E-3</v>
      </c>
      <c r="D30" s="45">
        <f t="shared" si="7"/>
        <v>2.0319059613769942E-2</v>
      </c>
      <c r="E30" s="46">
        <f t="shared" si="7"/>
        <v>2.0006668889629875E-2</v>
      </c>
      <c r="F30" s="47">
        <f t="shared" si="7"/>
        <v>1.6335682254964765E-2</v>
      </c>
      <c r="G30" s="45">
        <f t="shared" si="7"/>
        <v>1.5945689927376067E-2</v>
      </c>
    </row>
    <row r="31" spans="1:8">
      <c r="A31" s="1">
        <v>2018</v>
      </c>
      <c r="B31" s="45"/>
      <c r="C31" s="46">
        <f t="shared" si="7"/>
        <v>6.1512884455527843E-3</v>
      </c>
      <c r="D31" s="47">
        <f t="shared" si="7"/>
        <v>1.5341003835250959E-2</v>
      </c>
      <c r="E31" s="45">
        <f t="shared" si="7"/>
        <v>1.8433179723502304E-2</v>
      </c>
      <c r="F31" s="46">
        <f t="shared" si="7"/>
        <v>1.6835567178816607E-2</v>
      </c>
      <c r="G31" s="47">
        <f t="shared" si="7"/>
        <v>1.5285219035612984E-2</v>
      </c>
    </row>
    <row r="32" spans="1:8">
      <c r="A32" s="1">
        <v>2019</v>
      </c>
      <c r="B32" s="47"/>
      <c r="C32" s="45">
        <f t="shared" si="7"/>
        <v>3.6956156559717788E-3</v>
      </c>
      <c r="D32" s="46">
        <f t="shared" si="7"/>
        <v>1.2723066754791804E-2</v>
      </c>
      <c r="E32" s="47">
        <f t="shared" si="7"/>
        <v>1.4780752176055182E-2</v>
      </c>
      <c r="F32" s="45">
        <f t="shared" si="7"/>
        <v>1.5837104072398189E-2</v>
      </c>
      <c r="G32" s="46">
        <f t="shared" si="7"/>
        <v>1.7039061244172964E-2</v>
      </c>
    </row>
    <row r="33" spans="1:7">
      <c r="A33" s="1">
        <v>2020</v>
      </c>
      <c r="B33" s="46"/>
      <c r="C33" s="47">
        <f t="shared" ref="C33:G37" si="8">C20/B7</f>
        <v>7.3775989268947016E-3</v>
      </c>
      <c r="D33" s="45">
        <f t="shared" si="8"/>
        <v>1.4393305439330545E-2</v>
      </c>
      <c r="E33" s="46">
        <f t="shared" si="8"/>
        <v>1.8273780388317833E-2</v>
      </c>
      <c r="F33" s="47">
        <f t="shared" si="8"/>
        <v>1.5860171548794304E-2</v>
      </c>
      <c r="G33" s="45">
        <f t="shared" si="8"/>
        <v>1.6544702513522112E-2</v>
      </c>
    </row>
    <row r="34" spans="1:7">
      <c r="A34" s="1">
        <v>2021</v>
      </c>
      <c r="B34" s="45"/>
      <c r="C34" s="46">
        <f t="shared" si="8"/>
        <v>3.2024271026462161E-3</v>
      </c>
      <c r="D34" s="47">
        <f t="shared" si="8"/>
        <v>5.659121171770972E-3</v>
      </c>
      <c r="E34" s="45">
        <f t="shared" si="8"/>
        <v>5.2796568223065499E-3</v>
      </c>
      <c r="F34" s="46">
        <f t="shared" si="8"/>
        <v>3.6853068418522673E-3</v>
      </c>
      <c r="G34" s="47">
        <f t="shared" si="8"/>
        <v>3.5048590090807712E-3</v>
      </c>
    </row>
    <row r="35" spans="1:7">
      <c r="A35" s="1">
        <v>2022</v>
      </c>
      <c r="B35" s="47"/>
      <c r="C35" s="45">
        <f t="shared" si="8"/>
        <v>-2.3003614853762734E-3</v>
      </c>
      <c r="D35" s="46">
        <f t="shared" si="8"/>
        <v>2.5201612903225806E-3</v>
      </c>
      <c r="E35" s="47">
        <f t="shared" si="8"/>
        <v>6.9513406156901684E-3</v>
      </c>
      <c r="F35" s="45">
        <f t="shared" si="8"/>
        <v>3.7748235680288857E-3</v>
      </c>
      <c r="G35" s="46">
        <f t="shared" si="8"/>
        <v>1.1174968071519795E-3</v>
      </c>
    </row>
    <row r="36" spans="1:7">
      <c r="A36" s="1">
        <v>2023</v>
      </c>
      <c r="B36" s="48"/>
      <c r="C36" s="47">
        <f t="shared" si="8"/>
        <v>7.457739476300961E-3</v>
      </c>
      <c r="D36" s="45">
        <f t="shared" si="8"/>
        <v>1.2681159420289856E-2</v>
      </c>
      <c r="E36" s="46">
        <f t="shared" si="8"/>
        <v>1.9607843137254902E-2</v>
      </c>
      <c r="F36" s="47">
        <f t="shared" si="8"/>
        <v>2.4819197896120974E-2</v>
      </c>
      <c r="G36" s="45">
        <f t="shared" si="8"/>
        <v>2.3871811641595814E-2</v>
      </c>
    </row>
    <row r="37" spans="1:7">
      <c r="A37" s="1">
        <v>2024</v>
      </c>
      <c r="B37" s="36"/>
      <c r="C37" s="46">
        <f t="shared" si="8"/>
        <v>6.1576354679802959E-3</v>
      </c>
      <c r="D37" s="47">
        <f t="shared" si="8"/>
        <v>1.4969567363053134E-2</v>
      </c>
      <c r="E37" s="45">
        <f t="shared" si="8"/>
        <v>1.6588063099691006E-2</v>
      </c>
      <c r="F37" s="46">
        <f t="shared" si="8"/>
        <v>2.2846811308349771E-2</v>
      </c>
      <c r="G37" s="47">
        <f t="shared" si="8"/>
        <v>2.5340817963111467E-2</v>
      </c>
    </row>
    <row r="41" spans="1:7">
      <c r="A41" s="1" t="s">
        <v>240</v>
      </c>
      <c r="C41" s="44">
        <f>MIN(C29:C37)</f>
        <v>-2.3003614853762734E-3</v>
      </c>
      <c r="D41" s="44">
        <f t="shared" ref="D41:G41" si="9">MIN(D29:D37)</f>
        <v>2.5201612903225806E-3</v>
      </c>
      <c r="E41" s="44">
        <f t="shared" si="9"/>
        <v>5.2796568223065499E-3</v>
      </c>
      <c r="F41" s="44">
        <f t="shared" si="9"/>
        <v>3.6853068418522673E-3</v>
      </c>
      <c r="G41" s="44">
        <f t="shared" si="9"/>
        <v>1.1174968071519795E-3</v>
      </c>
    </row>
    <row r="42" spans="1:7">
      <c r="A42" s="1" t="s">
        <v>241</v>
      </c>
      <c r="C42" s="44">
        <f>AVERAGE(C29:C37)</f>
        <v>5.8765308883145587E-3</v>
      </c>
      <c r="D42" s="44">
        <f t="shared" ref="D42:G42" si="10">AVERAGE(D29:D37)</f>
        <v>1.2763568615768627E-2</v>
      </c>
      <c r="E42" s="44">
        <f t="shared" si="10"/>
        <v>1.5409393500129669E-2</v>
      </c>
      <c r="F42" s="44">
        <f t="shared" si="10"/>
        <v>1.4916229532246941E-2</v>
      </c>
      <c r="G42" s="44">
        <f t="shared" si="10"/>
        <v>1.4616310622915074E-2</v>
      </c>
    </row>
    <row r="43" spans="1:7">
      <c r="A43" s="1" t="s">
        <v>242</v>
      </c>
      <c r="C43" s="44">
        <f>MEDIAN(C29:C37)</f>
        <v>6.1576354679802959E-3</v>
      </c>
      <c r="D43" s="44">
        <f t="shared" ref="D43:G43" si="11">MEDIAN(D29:D37)</f>
        <v>1.4393305439330545E-2</v>
      </c>
      <c r="E43" s="44">
        <f t="shared" si="11"/>
        <v>1.8273780388317833E-2</v>
      </c>
      <c r="F43" s="44">
        <f t="shared" si="11"/>
        <v>1.5860171548794304E-2</v>
      </c>
      <c r="G43" s="44">
        <f t="shared" si="11"/>
        <v>1.5945689927376067E-2</v>
      </c>
    </row>
    <row r="44" spans="1:7">
      <c r="A44" s="1" t="s">
        <v>243</v>
      </c>
      <c r="C44" s="44">
        <f>MAX(C29:C37)</f>
        <v>1.1550874808900968E-2</v>
      </c>
      <c r="D44" s="44">
        <f t="shared" ref="D44:G44" si="12">MAX(D29:D37)</f>
        <v>2.0319059613769942E-2</v>
      </c>
      <c r="E44" s="44">
        <f t="shared" si="12"/>
        <v>2.0006668889629875E-2</v>
      </c>
      <c r="F44" s="44">
        <f t="shared" si="12"/>
        <v>2.4819197896120974E-2</v>
      </c>
      <c r="G44" s="44">
        <f t="shared" si="12"/>
        <v>2.5340817963111467E-2</v>
      </c>
    </row>
  </sheetData>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8B336-CCC6-43AD-BB75-710B2590758B}">
  <dimension ref="A1:AB30"/>
  <sheetViews>
    <sheetView workbookViewId="0">
      <selection sqref="A1:AB28"/>
    </sheetView>
  </sheetViews>
  <sheetFormatPr defaultColWidth="8.85546875" defaultRowHeight="14.65"/>
  <cols>
    <col min="2" max="7" width="8.140625" bestFit="1" customWidth="1"/>
    <col min="8" max="8" width="8.85546875" bestFit="1" customWidth="1"/>
    <col min="9" max="16" width="8.140625" bestFit="1" customWidth="1"/>
    <col min="17" max="20" width="9.140625" bestFit="1" customWidth="1"/>
  </cols>
  <sheetData>
    <row r="1" spans="1:28">
      <c r="A1" s="1" t="s">
        <v>244</v>
      </c>
    </row>
    <row r="2" spans="1:28">
      <c r="A2" s="1" t="s">
        <v>245</v>
      </c>
      <c r="C2" s="2"/>
      <c r="F2" s="3">
        <v>3.6956156559717788E-3</v>
      </c>
      <c r="I2" s="3">
        <v>1.2681159420289856E-2</v>
      </c>
      <c r="L2" s="3">
        <v>1.4780752176055182E-2</v>
      </c>
      <c r="O2" s="3">
        <v>1.4251401120896717E-2</v>
      </c>
    </row>
    <row r="3" spans="1:28">
      <c r="B3" s="177" t="s">
        <v>246</v>
      </c>
      <c r="C3" s="177"/>
      <c r="D3" s="177"/>
      <c r="E3" s="177" t="s">
        <v>247</v>
      </c>
      <c r="F3" s="177"/>
      <c r="G3" s="177"/>
      <c r="H3" s="177" t="s">
        <v>248</v>
      </c>
      <c r="I3" s="177"/>
      <c r="J3" s="177"/>
      <c r="K3" s="177" t="s">
        <v>249</v>
      </c>
      <c r="L3" s="177"/>
      <c r="M3" s="177"/>
      <c r="N3" s="177" t="s">
        <v>250</v>
      </c>
      <c r="O3" s="177"/>
      <c r="P3" s="177"/>
      <c r="Q3" s="177" t="s">
        <v>236</v>
      </c>
      <c r="R3" s="177"/>
      <c r="S3" s="177"/>
      <c r="T3" s="177"/>
      <c r="U3" s="177" t="s">
        <v>251</v>
      </c>
      <c r="V3" s="177"/>
      <c r="W3" s="177"/>
      <c r="X3" s="177"/>
      <c r="Y3" s="177" t="s">
        <v>252</v>
      </c>
      <c r="Z3" s="177"/>
      <c r="AA3" s="177"/>
      <c r="AB3" s="177"/>
    </row>
    <row r="4" spans="1:28">
      <c r="A4" t="s">
        <v>229</v>
      </c>
      <c r="B4" s="5" t="s">
        <v>253</v>
      </c>
      <c r="C4" s="5" t="s">
        <v>242</v>
      </c>
      <c r="D4" s="5" t="s">
        <v>254</v>
      </c>
      <c r="E4" s="5" t="s">
        <v>253</v>
      </c>
      <c r="F4" s="5" t="s">
        <v>242</v>
      </c>
      <c r="G4" s="5" t="s">
        <v>254</v>
      </c>
      <c r="H4" s="5" t="s">
        <v>253</v>
      </c>
      <c r="I4" s="5" t="s">
        <v>242</v>
      </c>
      <c r="J4" s="5" t="s">
        <v>254</v>
      </c>
      <c r="K4" s="5" t="s">
        <v>253</v>
      </c>
      <c r="L4" s="5" t="s">
        <v>242</v>
      </c>
      <c r="M4" s="5" t="s">
        <v>254</v>
      </c>
      <c r="N4" s="5" t="s">
        <v>253</v>
      </c>
      <c r="O4" s="5" t="s">
        <v>242</v>
      </c>
      <c r="P4" s="5" t="s">
        <v>254</v>
      </c>
      <c r="Q4" s="1" t="s">
        <v>253</v>
      </c>
      <c r="R4" s="1" t="s">
        <v>255</v>
      </c>
      <c r="S4" s="1" t="s">
        <v>242</v>
      </c>
      <c r="T4" s="1" t="s">
        <v>254</v>
      </c>
      <c r="U4" s="1" t="s">
        <v>253</v>
      </c>
      <c r="V4" s="1" t="s">
        <v>255</v>
      </c>
      <c r="W4" s="1" t="s">
        <v>256</v>
      </c>
      <c r="X4" s="1" t="s">
        <v>254</v>
      </c>
      <c r="Y4" s="1" t="s">
        <v>253</v>
      </c>
      <c r="Z4" s="1" t="s">
        <v>255</v>
      </c>
      <c r="AA4" s="1" t="s">
        <v>256</v>
      </c>
      <c r="AB4" s="1" t="s">
        <v>254</v>
      </c>
    </row>
    <row r="5" spans="1:28">
      <c r="A5">
        <v>2015</v>
      </c>
      <c r="B5" s="7"/>
      <c r="C5" s="7">
        <v>58870</v>
      </c>
      <c r="D5" s="7"/>
      <c r="E5" s="7"/>
      <c r="F5" s="7">
        <v>59020</v>
      </c>
      <c r="G5" s="7"/>
      <c r="H5" s="7"/>
      <c r="I5" s="7">
        <v>61290</v>
      </c>
      <c r="J5" s="7"/>
      <c r="K5" s="7"/>
      <c r="L5" s="7">
        <v>62450</v>
      </c>
      <c r="M5" s="7"/>
      <c r="N5" s="7"/>
      <c r="O5" s="7">
        <v>63580</v>
      </c>
      <c r="P5" s="7"/>
      <c r="Q5" s="8"/>
      <c r="R5" s="8">
        <f>SUM(C5,F5,I5,L5,O5)</f>
        <v>305210</v>
      </c>
      <c r="S5" s="8"/>
      <c r="T5" s="8"/>
      <c r="U5" s="7"/>
      <c r="V5" s="7">
        <f>SUM(C5,F5)</f>
        <v>117890</v>
      </c>
      <c r="W5" s="7"/>
      <c r="X5" s="7"/>
      <c r="Z5" s="22">
        <f>SUM(I5,L5,O5)</f>
        <v>187320</v>
      </c>
    </row>
    <row r="6" spans="1:28">
      <c r="A6">
        <v>2016</v>
      </c>
      <c r="B6" s="7"/>
      <c r="C6" s="7">
        <v>59400</v>
      </c>
      <c r="D6" s="7"/>
      <c r="E6" s="7"/>
      <c r="F6" s="7">
        <v>59550</v>
      </c>
      <c r="G6" s="7"/>
      <c r="H6" s="7"/>
      <c r="I6" s="7">
        <v>59980</v>
      </c>
      <c r="J6" s="7"/>
      <c r="K6" s="7"/>
      <c r="L6" s="7">
        <v>62440</v>
      </c>
      <c r="M6" s="7"/>
      <c r="N6" s="7"/>
      <c r="O6" s="7">
        <v>63340</v>
      </c>
      <c r="P6" s="7"/>
      <c r="Q6" s="8"/>
      <c r="R6" s="8">
        <f>SUM(C6,F6,I6,L6,O6)</f>
        <v>304710</v>
      </c>
      <c r="S6" s="8"/>
      <c r="T6" s="8"/>
      <c r="U6" s="7"/>
      <c r="V6" s="7">
        <f t="shared" ref="V6:V14" si="0">SUM(C6,F6)</f>
        <v>118950</v>
      </c>
      <c r="W6" s="7"/>
      <c r="X6" s="7"/>
      <c r="Z6" s="22">
        <f t="shared" ref="Z6:Z14" si="1">SUM(I6,L6,O6)</f>
        <v>185760</v>
      </c>
    </row>
    <row r="7" spans="1:28">
      <c r="A7">
        <v>2017</v>
      </c>
      <c r="B7" s="7"/>
      <c r="C7" s="7">
        <v>60150</v>
      </c>
      <c r="D7" s="7"/>
      <c r="E7" s="7"/>
      <c r="F7" s="7">
        <v>59970</v>
      </c>
      <c r="G7" s="7"/>
      <c r="H7" s="7"/>
      <c r="I7" s="7">
        <v>60760</v>
      </c>
      <c r="J7" s="7"/>
      <c r="K7" s="7"/>
      <c r="L7" s="7">
        <v>61180</v>
      </c>
      <c r="M7" s="7"/>
      <c r="N7" s="7"/>
      <c r="O7" s="7">
        <v>63460</v>
      </c>
      <c r="P7" s="7"/>
      <c r="Q7" s="8"/>
      <c r="R7" s="8">
        <f>SUM(C7,F7,I7,L7,O7)</f>
        <v>305520</v>
      </c>
      <c r="S7" s="8"/>
      <c r="T7" s="8"/>
      <c r="U7" s="7"/>
      <c r="V7" s="7">
        <f t="shared" si="0"/>
        <v>120120</v>
      </c>
      <c r="W7" s="7"/>
      <c r="X7" s="7"/>
      <c r="Z7" s="22">
        <f t="shared" si="1"/>
        <v>185400</v>
      </c>
    </row>
    <row r="8" spans="1:28">
      <c r="A8">
        <v>2018</v>
      </c>
      <c r="B8" s="7"/>
      <c r="C8" s="7">
        <v>59530</v>
      </c>
      <c r="D8" s="7"/>
      <c r="E8" s="7"/>
      <c r="F8" s="7">
        <v>60520</v>
      </c>
      <c r="G8" s="7"/>
      <c r="H8" s="7"/>
      <c r="I8" s="7">
        <v>60890</v>
      </c>
      <c r="J8" s="7"/>
      <c r="K8" s="7"/>
      <c r="L8" s="7">
        <v>61880</v>
      </c>
      <c r="M8" s="7"/>
      <c r="N8" s="7"/>
      <c r="O8" s="7">
        <v>62210</v>
      </c>
      <c r="P8" s="7"/>
      <c r="Q8" s="8"/>
      <c r="R8" s="8">
        <f>SUM(C8,F8,I8,L8,O8)</f>
        <v>305030</v>
      </c>
      <c r="S8" s="8"/>
      <c r="T8" s="8"/>
      <c r="U8" s="7"/>
      <c r="V8" s="7">
        <f t="shared" si="0"/>
        <v>120050</v>
      </c>
      <c r="W8" s="7"/>
      <c r="X8" s="7"/>
      <c r="Z8" s="22">
        <f t="shared" si="1"/>
        <v>184980</v>
      </c>
    </row>
    <row r="9" spans="1:28">
      <c r="A9">
        <v>2019</v>
      </c>
      <c r="B9" s="7"/>
      <c r="C9" s="7">
        <v>59640</v>
      </c>
      <c r="D9" s="7"/>
      <c r="E9" s="7"/>
      <c r="F9" s="7">
        <v>59750</v>
      </c>
      <c r="G9" s="7"/>
      <c r="H9" s="7"/>
      <c r="I9" s="7">
        <v>61290</v>
      </c>
      <c r="J9" s="7"/>
      <c r="K9" s="7"/>
      <c r="L9" s="7">
        <v>61790</v>
      </c>
      <c r="M9" s="7"/>
      <c r="N9" s="7"/>
      <c r="O9" s="7">
        <v>62860</v>
      </c>
      <c r="P9" s="7"/>
      <c r="Q9" s="8"/>
      <c r="R9" s="8">
        <f>SUM(C9,F9,I9,L9,O9)</f>
        <v>305330</v>
      </c>
      <c r="S9" s="8"/>
      <c r="T9" s="8"/>
      <c r="U9" s="7"/>
      <c r="V9" s="7">
        <f t="shared" si="0"/>
        <v>119390</v>
      </c>
      <c r="W9" s="7"/>
      <c r="X9" s="7"/>
      <c r="Z9" s="22">
        <f t="shared" si="1"/>
        <v>185940</v>
      </c>
    </row>
    <row r="10" spans="1:28">
      <c r="A10">
        <v>2020</v>
      </c>
      <c r="B10" s="7"/>
      <c r="C10" s="7">
        <v>59330</v>
      </c>
      <c r="D10" s="7"/>
      <c r="E10" s="7"/>
      <c r="F10" s="7">
        <v>60080</v>
      </c>
      <c r="G10" s="7"/>
      <c r="H10" s="7"/>
      <c r="I10" s="7">
        <v>60610</v>
      </c>
      <c r="J10" s="7"/>
      <c r="K10" s="7"/>
      <c r="L10" s="7">
        <v>62410</v>
      </c>
      <c r="M10" s="7"/>
      <c r="N10" s="7"/>
      <c r="O10" s="7">
        <v>62770</v>
      </c>
      <c r="P10" s="7"/>
      <c r="Q10" s="8"/>
      <c r="R10" s="8">
        <f t="shared" ref="R10:R12" si="2">SUM(C10,F10,I10,L10,O10)</f>
        <v>305200</v>
      </c>
      <c r="S10" s="8"/>
      <c r="T10" s="8"/>
      <c r="U10" s="7"/>
      <c r="V10" s="7">
        <f t="shared" si="0"/>
        <v>119410</v>
      </c>
      <c r="W10" s="7"/>
      <c r="X10" s="7"/>
      <c r="Z10" s="22">
        <f t="shared" si="1"/>
        <v>185790</v>
      </c>
    </row>
    <row r="11" spans="1:28">
      <c r="A11">
        <v>2021</v>
      </c>
      <c r="B11" s="7"/>
      <c r="C11" s="7">
        <v>60860</v>
      </c>
      <c r="D11" s="7"/>
      <c r="E11" s="7"/>
      <c r="F11" s="7">
        <v>59520</v>
      </c>
      <c r="G11" s="7"/>
      <c r="H11" s="7"/>
      <c r="I11" s="7">
        <v>60420</v>
      </c>
      <c r="J11" s="7"/>
      <c r="K11" s="7"/>
      <c r="L11" s="7">
        <v>60930</v>
      </c>
      <c r="M11" s="7"/>
      <c r="N11" s="7"/>
      <c r="O11" s="7">
        <v>62640</v>
      </c>
      <c r="P11" s="7"/>
      <c r="Q11" s="8"/>
      <c r="R11" s="8">
        <f>SUM(C11,F11,I11,L11,O11)</f>
        <v>304370</v>
      </c>
      <c r="S11" s="8"/>
      <c r="T11" s="8"/>
      <c r="U11" s="7"/>
      <c r="V11" s="7">
        <f t="shared" si="0"/>
        <v>120380</v>
      </c>
      <c r="W11" s="7"/>
      <c r="X11" s="7"/>
      <c r="Z11" s="22">
        <f t="shared" si="1"/>
        <v>183990</v>
      </c>
    </row>
    <row r="12" spans="1:28">
      <c r="A12">
        <v>2022</v>
      </c>
      <c r="B12" s="7"/>
      <c r="C12" s="7">
        <v>60340</v>
      </c>
      <c r="D12" s="7"/>
      <c r="E12" s="7"/>
      <c r="F12" s="7">
        <v>60720</v>
      </c>
      <c r="G12" s="7"/>
      <c r="H12" s="7"/>
      <c r="I12" s="7">
        <v>59670</v>
      </c>
      <c r="J12" s="7"/>
      <c r="K12" s="7"/>
      <c r="L12" s="7">
        <v>60840</v>
      </c>
      <c r="M12" s="7"/>
      <c r="N12" s="7"/>
      <c r="O12" s="7">
        <v>61160</v>
      </c>
      <c r="P12" s="7"/>
      <c r="Q12" s="8"/>
      <c r="R12" s="8">
        <f t="shared" si="2"/>
        <v>302730</v>
      </c>
      <c r="S12" s="8"/>
      <c r="T12" s="8"/>
      <c r="U12" s="7"/>
      <c r="V12" s="7">
        <f t="shared" si="0"/>
        <v>121060</v>
      </c>
      <c r="W12" s="7"/>
      <c r="X12" s="7"/>
      <c r="Z12" s="22">
        <f t="shared" si="1"/>
        <v>181670</v>
      </c>
    </row>
    <row r="13" spans="1:28">
      <c r="A13">
        <v>2023</v>
      </c>
      <c r="B13" s="7"/>
      <c r="C13" s="7">
        <v>56840</v>
      </c>
      <c r="D13" s="7"/>
      <c r="E13" s="7"/>
      <c r="F13" s="7">
        <v>60790</v>
      </c>
      <c r="G13" s="7"/>
      <c r="H13" s="7"/>
      <c r="I13" s="7">
        <v>61490</v>
      </c>
      <c r="J13" s="7"/>
      <c r="K13" s="7"/>
      <c r="L13" s="7">
        <v>60840</v>
      </c>
      <c r="M13" s="7"/>
      <c r="N13" s="7"/>
      <c r="O13" s="7">
        <v>62350</v>
      </c>
      <c r="P13" s="7"/>
      <c r="Q13" s="8"/>
      <c r="R13" s="8">
        <f>SUM(C13,F13,I13,L13,O13)</f>
        <v>302310</v>
      </c>
      <c r="S13" s="8"/>
      <c r="T13" s="8"/>
      <c r="U13" s="7"/>
      <c r="V13" s="7">
        <f t="shared" si="0"/>
        <v>117630</v>
      </c>
      <c r="W13" s="7"/>
      <c r="X13" s="7"/>
      <c r="Z13" s="22">
        <f t="shared" si="1"/>
        <v>184680</v>
      </c>
    </row>
    <row r="14" spans="1:28">
      <c r="A14">
        <v>2024</v>
      </c>
      <c r="B14" s="7"/>
      <c r="C14" s="7">
        <v>57070</v>
      </c>
      <c r="D14" s="7"/>
      <c r="E14" s="7"/>
      <c r="F14" s="7">
        <v>57190</v>
      </c>
      <c r="G14" s="7"/>
      <c r="H14" s="7"/>
      <c r="I14" s="7">
        <v>61700</v>
      </c>
      <c r="J14" s="7"/>
      <c r="K14" s="7"/>
      <c r="L14" s="7">
        <v>62510</v>
      </c>
      <c r="M14" s="7"/>
      <c r="N14" s="7"/>
      <c r="O14" s="7">
        <v>62230</v>
      </c>
      <c r="P14" s="7"/>
      <c r="Q14" s="8">
        <v>300700</v>
      </c>
      <c r="R14" s="8">
        <f>SUM(C14,F14,I14,L14,O14)</f>
        <v>300700</v>
      </c>
      <c r="S14" s="8">
        <v>300700</v>
      </c>
      <c r="T14" s="8">
        <v>300700</v>
      </c>
      <c r="U14" s="7">
        <f>V14</f>
        <v>114260</v>
      </c>
      <c r="V14" s="7">
        <f t="shared" si="0"/>
        <v>114260</v>
      </c>
      <c r="W14" s="7">
        <f>V14</f>
        <v>114260</v>
      </c>
      <c r="X14" s="7">
        <f>V14</f>
        <v>114260</v>
      </c>
      <c r="Y14" s="7">
        <f>Z14</f>
        <v>186440</v>
      </c>
      <c r="Z14" s="22">
        <f t="shared" si="1"/>
        <v>186440</v>
      </c>
      <c r="AA14" s="22">
        <f>Z14</f>
        <v>186440</v>
      </c>
      <c r="AB14" s="22">
        <f>Z14</f>
        <v>186440</v>
      </c>
    </row>
    <row r="15" spans="1:28">
      <c r="A15">
        <v>2025</v>
      </c>
      <c r="B15" s="9">
        <v>56850</v>
      </c>
      <c r="C15" s="9">
        <v>58130</v>
      </c>
      <c r="D15" s="9">
        <v>59320</v>
      </c>
      <c r="E15" s="9">
        <v>56790</v>
      </c>
      <c r="F15" s="9">
        <v>57030</v>
      </c>
      <c r="G15" s="9">
        <v>57240</v>
      </c>
      <c r="H15" s="9">
        <v>57140</v>
      </c>
      <c r="I15" s="9">
        <v>57380</v>
      </c>
      <c r="J15" s="9">
        <v>57570</v>
      </c>
      <c r="K15" s="9">
        <v>61720</v>
      </c>
      <c r="L15" s="9">
        <v>61980</v>
      </c>
      <c r="M15" s="9">
        <v>62170</v>
      </c>
      <c r="N15" s="9">
        <v>62610</v>
      </c>
      <c r="O15" s="9">
        <v>62890</v>
      </c>
      <c r="P15" s="9">
        <v>63050</v>
      </c>
      <c r="Q15" s="8">
        <f>SUM(B15,E15,H15,K15,N15)</f>
        <v>295110</v>
      </c>
      <c r="R15" s="7"/>
      <c r="S15" s="8">
        <f>SUM(C15,F15,I15,L15,O15)</f>
        <v>297410</v>
      </c>
      <c r="T15" s="8">
        <f>SUM(D15,G15,J15,M15,P15)</f>
        <v>299350</v>
      </c>
      <c r="U15" s="22">
        <f>SUM(B15,E15)</f>
        <v>113640</v>
      </c>
      <c r="W15" s="22">
        <f>SUM(C15,F15)</f>
        <v>115160</v>
      </c>
      <c r="X15" s="22">
        <f>SUM(D15,F15)</f>
        <v>116350</v>
      </c>
      <c r="Y15" s="7">
        <f>SUM(I15,L15,O15)</f>
        <v>182250</v>
      </c>
      <c r="Z15" s="22"/>
      <c r="AA15" s="22">
        <f>SUM(I15,L15,O15)</f>
        <v>182250</v>
      </c>
      <c r="AB15" s="22">
        <f>SUM(I15,L15,O15)</f>
        <v>182250</v>
      </c>
    </row>
    <row r="16" spans="1:28">
      <c r="A16">
        <v>2026</v>
      </c>
      <c r="B16" s="9">
        <v>56100</v>
      </c>
      <c r="C16" s="9">
        <v>58140</v>
      </c>
      <c r="D16" s="9">
        <v>59990</v>
      </c>
      <c r="E16" s="9">
        <v>56510</v>
      </c>
      <c r="F16" s="9">
        <v>58120</v>
      </c>
      <c r="G16" s="9">
        <v>59390</v>
      </c>
      <c r="H16" s="9">
        <v>56880</v>
      </c>
      <c r="I16" s="9">
        <v>57260</v>
      </c>
      <c r="J16" s="9">
        <v>57580</v>
      </c>
      <c r="K16" s="9">
        <v>57290</v>
      </c>
      <c r="L16" s="9">
        <v>57700</v>
      </c>
      <c r="M16" s="9">
        <v>58050</v>
      </c>
      <c r="N16" s="9">
        <v>61950</v>
      </c>
      <c r="O16" s="9">
        <v>62400</v>
      </c>
      <c r="P16" s="9">
        <v>62760</v>
      </c>
      <c r="Q16" s="8">
        <f t="shared" ref="Q16:Q28" si="3">SUM(B16,E16,H16,K16,N16)</f>
        <v>288730</v>
      </c>
      <c r="R16" s="7"/>
      <c r="S16" s="8">
        <f t="shared" ref="S16:S28" si="4">SUM(C16,F16,I16,L16,O16)</f>
        <v>293620</v>
      </c>
      <c r="T16" s="8">
        <f>SUM(O16,L16,I16,G16,D16)</f>
        <v>296740</v>
      </c>
      <c r="U16" s="22">
        <f>SUM(B16,E16)</f>
        <v>112610</v>
      </c>
      <c r="W16" s="22">
        <f>SUM(C16,F16)</f>
        <v>116260</v>
      </c>
      <c r="X16" s="22">
        <f t="shared" ref="X16:X28" si="5">SUM(D16,G16)</f>
        <v>119380</v>
      </c>
      <c r="Y16" s="7">
        <f>SUM(I16,L16,O16)</f>
        <v>177360</v>
      </c>
      <c r="Z16" s="22"/>
      <c r="AA16" s="22">
        <f t="shared" ref="AA16:AB28" si="6">SUM(I16,L16,O16)</f>
        <v>177360</v>
      </c>
      <c r="AB16" s="22">
        <f>SUM(I16,L16,O16)</f>
        <v>177360</v>
      </c>
    </row>
    <row r="17" spans="1:28">
      <c r="A17">
        <v>2027</v>
      </c>
      <c r="B17" s="9">
        <v>55500</v>
      </c>
      <c r="C17" s="9">
        <v>58130</v>
      </c>
      <c r="D17" s="9">
        <v>60480</v>
      </c>
      <c r="E17" s="9">
        <v>56090</v>
      </c>
      <c r="F17" s="9">
        <v>58160</v>
      </c>
      <c r="G17" s="9">
        <v>60080</v>
      </c>
      <c r="H17" s="9">
        <v>56750</v>
      </c>
      <c r="I17" s="9">
        <v>58380</v>
      </c>
      <c r="J17" s="9">
        <v>59670</v>
      </c>
      <c r="K17" s="9">
        <v>57060</v>
      </c>
      <c r="L17" s="9">
        <v>57620</v>
      </c>
      <c r="M17" s="9">
        <v>58130</v>
      </c>
      <c r="N17" s="9">
        <v>57540</v>
      </c>
      <c r="O17" s="9">
        <v>58160</v>
      </c>
      <c r="P17" s="9">
        <v>58710</v>
      </c>
      <c r="Q17" s="8">
        <f t="shared" si="3"/>
        <v>282940</v>
      </c>
      <c r="R17" s="7"/>
      <c r="S17" s="8">
        <f t="shared" si="4"/>
        <v>290450</v>
      </c>
      <c r="T17" s="8">
        <f>SUM(O17,L17,J17,G17,D17)</f>
        <v>296010</v>
      </c>
      <c r="U17" s="22">
        <f t="shared" ref="U17:U28" si="7">SUM(B17,E17)</f>
        <v>111590</v>
      </c>
      <c r="W17" s="22">
        <f t="shared" ref="W17:W28" si="8">SUM(C17,F17)</f>
        <v>116290</v>
      </c>
      <c r="X17" s="22">
        <f t="shared" si="5"/>
        <v>120560</v>
      </c>
      <c r="Y17" s="7">
        <f>SUM(H17,L17,O17)</f>
        <v>172530</v>
      </c>
      <c r="Z17" s="22"/>
      <c r="AA17" s="22">
        <f t="shared" si="6"/>
        <v>174160</v>
      </c>
      <c r="AB17" s="22">
        <f>SUM(J17,L17,O17)</f>
        <v>175450</v>
      </c>
    </row>
    <row r="18" spans="1:28">
      <c r="A18">
        <v>2028</v>
      </c>
      <c r="B18" s="9">
        <v>55090</v>
      </c>
      <c r="C18" s="9">
        <v>58100</v>
      </c>
      <c r="D18" s="9">
        <v>60960</v>
      </c>
      <c r="E18" s="9">
        <v>55470</v>
      </c>
      <c r="F18" s="9">
        <v>58170</v>
      </c>
      <c r="G18" s="9">
        <v>60580</v>
      </c>
      <c r="H18" s="9">
        <v>56360</v>
      </c>
      <c r="I18" s="9">
        <v>58450</v>
      </c>
      <c r="J18" s="9">
        <v>60380</v>
      </c>
      <c r="K18" s="9">
        <v>57080</v>
      </c>
      <c r="L18" s="9">
        <v>58770</v>
      </c>
      <c r="M18" s="9">
        <v>60140</v>
      </c>
      <c r="N18" s="9">
        <v>57370</v>
      </c>
      <c r="O18" s="9">
        <v>58110</v>
      </c>
      <c r="P18" s="9">
        <v>58750</v>
      </c>
      <c r="Q18" s="8">
        <f t="shared" si="3"/>
        <v>281370</v>
      </c>
      <c r="R18" s="7"/>
      <c r="S18" s="8">
        <f t="shared" si="4"/>
        <v>291600</v>
      </c>
      <c r="T18" s="8">
        <f>SUM(O18,M18,J18,G18,D18)</f>
        <v>300170</v>
      </c>
      <c r="U18" s="22">
        <f t="shared" si="7"/>
        <v>110560</v>
      </c>
      <c r="W18" s="22">
        <f t="shared" si="8"/>
        <v>116270</v>
      </c>
      <c r="X18" s="22">
        <f t="shared" si="5"/>
        <v>121540</v>
      </c>
      <c r="Y18" s="7">
        <f>SUM(H18,K18,O18)</f>
        <v>171550</v>
      </c>
      <c r="Z18" s="22"/>
      <c r="AA18" s="22">
        <f t="shared" si="6"/>
        <v>175330</v>
      </c>
      <c r="AB18" s="22">
        <f>SUM(J18,M18,O18)</f>
        <v>178630</v>
      </c>
    </row>
    <row r="19" spans="1:28">
      <c r="A19">
        <v>2029</v>
      </c>
      <c r="B19" s="9">
        <v>54710</v>
      </c>
      <c r="C19" s="9">
        <v>58070</v>
      </c>
      <c r="D19" s="9">
        <v>61270</v>
      </c>
      <c r="E19" s="9">
        <v>55080</v>
      </c>
      <c r="F19" s="9">
        <v>58160</v>
      </c>
      <c r="G19" s="9">
        <v>61040</v>
      </c>
      <c r="H19" s="9">
        <v>55840</v>
      </c>
      <c r="I19" s="9">
        <v>58480</v>
      </c>
      <c r="J19" s="9">
        <v>60890</v>
      </c>
      <c r="K19" s="9">
        <v>56710</v>
      </c>
      <c r="L19" s="9">
        <v>58860</v>
      </c>
      <c r="M19" s="9">
        <v>60930</v>
      </c>
      <c r="N19" s="9">
        <v>57560</v>
      </c>
      <c r="O19" s="9">
        <v>59280</v>
      </c>
      <c r="P19" s="9">
        <v>60690</v>
      </c>
      <c r="Q19" s="8">
        <f t="shared" si="3"/>
        <v>279900</v>
      </c>
      <c r="R19" s="7"/>
      <c r="S19" s="8">
        <f t="shared" si="4"/>
        <v>292850</v>
      </c>
      <c r="T19" s="8">
        <f>SUM(P19,M19,J19,G19,D19)</f>
        <v>304820</v>
      </c>
      <c r="U19" s="22">
        <f t="shared" si="7"/>
        <v>109790</v>
      </c>
      <c r="W19" s="22">
        <f t="shared" si="8"/>
        <v>116230</v>
      </c>
      <c r="X19" s="22">
        <f t="shared" si="5"/>
        <v>122310</v>
      </c>
      <c r="Y19" s="7">
        <f t="shared" ref="Y19:Y28" si="9">SUM(H19,K19,N19)</f>
        <v>170110</v>
      </c>
      <c r="Z19" s="22"/>
      <c r="AA19" s="22">
        <f t="shared" si="6"/>
        <v>176620</v>
      </c>
      <c r="AB19" s="22">
        <f t="shared" si="6"/>
        <v>182510</v>
      </c>
    </row>
    <row r="20" spans="1:28">
      <c r="A20">
        <v>2030</v>
      </c>
      <c r="B20" s="9">
        <v>54380</v>
      </c>
      <c r="C20" s="9">
        <v>58050</v>
      </c>
      <c r="D20" s="9">
        <v>61580</v>
      </c>
      <c r="E20" s="9">
        <v>54780</v>
      </c>
      <c r="F20" s="9">
        <v>58140</v>
      </c>
      <c r="G20" s="9">
        <v>61390</v>
      </c>
      <c r="H20" s="9">
        <v>55390</v>
      </c>
      <c r="I20" s="9">
        <v>58480</v>
      </c>
      <c r="J20" s="9">
        <v>61390</v>
      </c>
      <c r="K20" s="9">
        <v>56270</v>
      </c>
      <c r="L20" s="9">
        <v>58900</v>
      </c>
      <c r="M20" s="9">
        <v>61310</v>
      </c>
      <c r="N20" s="9">
        <v>57170</v>
      </c>
      <c r="O20" s="9">
        <v>59390</v>
      </c>
      <c r="P20" s="9">
        <v>61590</v>
      </c>
      <c r="Q20" s="8">
        <f t="shared" si="3"/>
        <v>277990</v>
      </c>
      <c r="R20" s="7"/>
      <c r="S20" s="8">
        <f t="shared" si="4"/>
        <v>292960</v>
      </c>
      <c r="T20" s="8">
        <f t="shared" ref="T20:T28" si="10">SUM(P20,M20,J20,G20,D20)</f>
        <v>307260</v>
      </c>
      <c r="U20" s="22">
        <f t="shared" si="7"/>
        <v>109160</v>
      </c>
      <c r="W20" s="22">
        <f t="shared" si="8"/>
        <v>116190</v>
      </c>
      <c r="X20" s="22">
        <f t="shared" si="5"/>
        <v>122970</v>
      </c>
      <c r="Y20" s="7">
        <f t="shared" si="9"/>
        <v>168830</v>
      </c>
      <c r="Z20" s="22"/>
      <c r="AA20" s="22">
        <f t="shared" si="6"/>
        <v>176770</v>
      </c>
      <c r="AB20" s="22">
        <f t="shared" si="6"/>
        <v>184290</v>
      </c>
    </row>
    <row r="21" spans="1:28">
      <c r="A21">
        <v>2031</v>
      </c>
      <c r="B21" s="9">
        <v>53950</v>
      </c>
      <c r="C21" s="9">
        <v>58060</v>
      </c>
      <c r="D21" s="9">
        <v>61880</v>
      </c>
      <c r="E21" s="9">
        <v>54460</v>
      </c>
      <c r="F21" s="9">
        <v>58130</v>
      </c>
      <c r="G21" s="9">
        <v>61620</v>
      </c>
      <c r="H21" s="9">
        <v>55050</v>
      </c>
      <c r="I21" s="9">
        <v>58460</v>
      </c>
      <c r="J21" s="9">
        <v>61650</v>
      </c>
      <c r="K21" s="9">
        <v>55820</v>
      </c>
      <c r="L21" s="9">
        <v>58910</v>
      </c>
      <c r="M21" s="9">
        <v>61830</v>
      </c>
      <c r="N21" s="9">
        <v>56810</v>
      </c>
      <c r="O21" s="9">
        <v>59440</v>
      </c>
      <c r="P21" s="9">
        <v>61910</v>
      </c>
      <c r="Q21" s="8">
        <f t="shared" si="3"/>
        <v>276090</v>
      </c>
      <c r="R21" s="7"/>
      <c r="S21" s="8">
        <f t="shared" si="4"/>
        <v>293000</v>
      </c>
      <c r="T21" s="8">
        <f t="shared" si="10"/>
        <v>308890</v>
      </c>
      <c r="U21" s="22">
        <f t="shared" si="7"/>
        <v>108410</v>
      </c>
      <c r="W21" s="22">
        <f t="shared" si="8"/>
        <v>116190</v>
      </c>
      <c r="X21" s="22">
        <f t="shared" si="5"/>
        <v>123500</v>
      </c>
      <c r="Y21" s="7">
        <f t="shared" si="9"/>
        <v>167680</v>
      </c>
      <c r="Z21" s="22"/>
      <c r="AA21" s="22">
        <f t="shared" si="6"/>
        <v>176810</v>
      </c>
      <c r="AB21" s="22">
        <f t="shared" si="6"/>
        <v>185390</v>
      </c>
    </row>
    <row r="22" spans="1:28">
      <c r="A22">
        <v>2032</v>
      </c>
      <c r="B22" s="9">
        <v>53760</v>
      </c>
      <c r="C22" s="9">
        <v>58100</v>
      </c>
      <c r="D22" s="9">
        <v>62280</v>
      </c>
      <c r="E22" s="9">
        <v>54010</v>
      </c>
      <c r="F22" s="9">
        <v>58140</v>
      </c>
      <c r="G22" s="9">
        <v>61970</v>
      </c>
      <c r="H22" s="9">
        <v>54790</v>
      </c>
      <c r="I22" s="9">
        <v>58450</v>
      </c>
      <c r="J22" s="9">
        <v>62010</v>
      </c>
      <c r="K22" s="9">
        <v>55470</v>
      </c>
      <c r="L22" s="9">
        <v>58900</v>
      </c>
      <c r="M22" s="9">
        <v>62200</v>
      </c>
      <c r="N22" s="9">
        <v>56310</v>
      </c>
      <c r="O22" s="9">
        <v>59450</v>
      </c>
      <c r="P22" s="9">
        <v>62410</v>
      </c>
      <c r="Q22" s="8">
        <f t="shared" si="3"/>
        <v>274340</v>
      </c>
      <c r="R22" s="7"/>
      <c r="S22" s="8">
        <f t="shared" si="4"/>
        <v>293040</v>
      </c>
      <c r="T22" s="8">
        <f t="shared" si="10"/>
        <v>310870</v>
      </c>
      <c r="U22" s="22">
        <f t="shared" si="7"/>
        <v>107770</v>
      </c>
      <c r="W22" s="22">
        <f t="shared" si="8"/>
        <v>116240</v>
      </c>
      <c r="X22" s="22">
        <f t="shared" si="5"/>
        <v>124250</v>
      </c>
      <c r="Y22" s="7">
        <f t="shared" si="9"/>
        <v>166570</v>
      </c>
      <c r="Z22" s="22"/>
      <c r="AA22" s="22">
        <f t="shared" si="6"/>
        <v>176800</v>
      </c>
      <c r="AB22" s="22">
        <f t="shared" si="6"/>
        <v>186620</v>
      </c>
    </row>
    <row r="23" spans="1:28">
      <c r="A23">
        <v>2033</v>
      </c>
      <c r="B23" s="9">
        <v>53570</v>
      </c>
      <c r="C23" s="9">
        <v>58210</v>
      </c>
      <c r="D23" s="9">
        <v>62710</v>
      </c>
      <c r="E23" s="9">
        <v>53870</v>
      </c>
      <c r="F23" s="9">
        <v>58190</v>
      </c>
      <c r="G23" s="9">
        <v>62280</v>
      </c>
      <c r="H23" s="9">
        <v>54370</v>
      </c>
      <c r="I23" s="9">
        <v>58470</v>
      </c>
      <c r="J23" s="9">
        <v>62300</v>
      </c>
      <c r="K23" s="9">
        <v>55180</v>
      </c>
      <c r="L23" s="9">
        <v>58890</v>
      </c>
      <c r="M23" s="9">
        <v>62620</v>
      </c>
      <c r="N23" s="9">
        <v>55930</v>
      </c>
      <c r="O23" s="9">
        <v>59440</v>
      </c>
      <c r="P23" s="9">
        <v>62770</v>
      </c>
      <c r="Q23" s="8">
        <f t="shared" si="3"/>
        <v>272920</v>
      </c>
      <c r="R23" s="7"/>
      <c r="S23" s="8">
        <f t="shared" si="4"/>
        <v>293200</v>
      </c>
      <c r="T23" s="8">
        <f t="shared" si="10"/>
        <v>312680</v>
      </c>
      <c r="U23" s="22">
        <f t="shared" si="7"/>
        <v>107440</v>
      </c>
      <c r="W23" s="22">
        <f t="shared" si="8"/>
        <v>116400</v>
      </c>
      <c r="X23" s="22">
        <f t="shared" si="5"/>
        <v>124990</v>
      </c>
      <c r="Y23" s="7">
        <f t="shared" si="9"/>
        <v>165480</v>
      </c>
      <c r="Z23" s="22"/>
      <c r="AA23" s="22">
        <f t="shared" si="6"/>
        <v>176800</v>
      </c>
      <c r="AB23" s="22">
        <f t="shared" si="6"/>
        <v>187690</v>
      </c>
    </row>
    <row r="24" spans="1:28">
      <c r="A24">
        <v>2034</v>
      </c>
      <c r="B24" s="9">
        <v>53610</v>
      </c>
      <c r="C24" s="9">
        <v>58380</v>
      </c>
      <c r="D24" s="9">
        <v>62970</v>
      </c>
      <c r="E24" s="9">
        <v>53690</v>
      </c>
      <c r="F24" s="9">
        <v>58300</v>
      </c>
      <c r="G24" s="9">
        <v>62780</v>
      </c>
      <c r="H24" s="9">
        <v>54180</v>
      </c>
      <c r="I24" s="9">
        <v>58520</v>
      </c>
      <c r="J24" s="9">
        <v>62600</v>
      </c>
      <c r="K24" s="9">
        <v>54800</v>
      </c>
      <c r="L24" s="9">
        <v>58910</v>
      </c>
      <c r="M24" s="9">
        <v>62800</v>
      </c>
      <c r="N24" s="9">
        <v>55660</v>
      </c>
      <c r="O24" s="9">
        <v>59440</v>
      </c>
      <c r="P24" s="9">
        <v>63130</v>
      </c>
      <c r="Q24" s="8">
        <f t="shared" si="3"/>
        <v>271940</v>
      </c>
      <c r="R24" s="7"/>
      <c r="S24" s="8">
        <f t="shared" si="4"/>
        <v>293550</v>
      </c>
      <c r="T24" s="8">
        <f t="shared" si="10"/>
        <v>314280</v>
      </c>
      <c r="U24" s="22">
        <f t="shared" si="7"/>
        <v>107300</v>
      </c>
      <c r="W24" s="22">
        <f t="shared" si="8"/>
        <v>116680</v>
      </c>
      <c r="X24" s="22">
        <f t="shared" si="5"/>
        <v>125750</v>
      </c>
      <c r="Y24" s="7">
        <f t="shared" si="9"/>
        <v>164640</v>
      </c>
      <c r="Z24" s="22"/>
      <c r="AA24" s="22">
        <f t="shared" si="6"/>
        <v>176870</v>
      </c>
      <c r="AB24" s="22">
        <f t="shared" si="6"/>
        <v>188530</v>
      </c>
    </row>
    <row r="25" spans="1:28">
      <c r="A25">
        <v>2035</v>
      </c>
      <c r="B25" s="9">
        <v>53470</v>
      </c>
      <c r="C25" s="9">
        <v>58620</v>
      </c>
      <c r="D25" s="9">
        <v>63520</v>
      </c>
      <c r="E25" s="9">
        <v>53660</v>
      </c>
      <c r="F25" s="9">
        <v>58470</v>
      </c>
      <c r="G25" s="9">
        <v>63090</v>
      </c>
      <c r="H25" s="9">
        <v>54120</v>
      </c>
      <c r="I25" s="9">
        <v>58630</v>
      </c>
      <c r="J25" s="9">
        <v>63070</v>
      </c>
      <c r="K25" s="9">
        <v>54660</v>
      </c>
      <c r="L25" s="9">
        <v>58970</v>
      </c>
      <c r="M25" s="9">
        <v>63030</v>
      </c>
      <c r="N25" s="9">
        <v>55310</v>
      </c>
      <c r="O25" s="9">
        <v>59460</v>
      </c>
      <c r="P25" s="9">
        <v>63380</v>
      </c>
      <c r="Q25" s="8">
        <f t="shared" si="3"/>
        <v>271220</v>
      </c>
      <c r="R25" s="7"/>
      <c r="S25" s="8">
        <f t="shared" si="4"/>
        <v>294150</v>
      </c>
      <c r="T25" s="8">
        <f t="shared" si="10"/>
        <v>316090</v>
      </c>
      <c r="U25" s="22">
        <f t="shared" si="7"/>
        <v>107130</v>
      </c>
      <c r="W25" s="22">
        <f t="shared" si="8"/>
        <v>117090</v>
      </c>
      <c r="X25" s="22">
        <f t="shared" si="5"/>
        <v>126610</v>
      </c>
      <c r="Y25" s="7">
        <f t="shared" si="9"/>
        <v>164090</v>
      </c>
      <c r="Z25" s="22"/>
      <c r="AA25" s="22">
        <f t="shared" si="6"/>
        <v>177060</v>
      </c>
      <c r="AB25" s="22">
        <f t="shared" si="6"/>
        <v>189480</v>
      </c>
    </row>
    <row r="26" spans="1:28">
      <c r="A26">
        <v>2036</v>
      </c>
      <c r="B26" s="9">
        <v>53560</v>
      </c>
      <c r="C26" s="9">
        <v>58940</v>
      </c>
      <c r="D26" s="9">
        <v>64060</v>
      </c>
      <c r="E26" s="9">
        <v>53620</v>
      </c>
      <c r="F26" s="9">
        <v>58720</v>
      </c>
      <c r="G26" s="9">
        <v>63690</v>
      </c>
      <c r="H26" s="9">
        <v>53970</v>
      </c>
      <c r="I26" s="9">
        <v>58810</v>
      </c>
      <c r="J26" s="9">
        <v>63430</v>
      </c>
      <c r="K26" s="9">
        <v>54540</v>
      </c>
      <c r="L26" s="9">
        <v>59080</v>
      </c>
      <c r="M26" s="9">
        <v>63480</v>
      </c>
      <c r="N26" s="9">
        <v>55150</v>
      </c>
      <c r="O26" s="9">
        <v>59530</v>
      </c>
      <c r="P26" s="9">
        <v>63620</v>
      </c>
      <c r="Q26" s="8">
        <f t="shared" si="3"/>
        <v>270840</v>
      </c>
      <c r="R26" s="7"/>
      <c r="S26" s="8">
        <f t="shared" si="4"/>
        <v>295080</v>
      </c>
      <c r="T26" s="8">
        <f t="shared" si="10"/>
        <v>318280</v>
      </c>
      <c r="U26" s="22">
        <f t="shared" si="7"/>
        <v>107180</v>
      </c>
      <c r="W26" s="22">
        <f t="shared" si="8"/>
        <v>117660</v>
      </c>
      <c r="X26" s="22">
        <f t="shared" si="5"/>
        <v>127750</v>
      </c>
      <c r="Y26" s="7">
        <f t="shared" si="9"/>
        <v>163660</v>
      </c>
      <c r="Z26" s="22"/>
      <c r="AA26" s="22">
        <f t="shared" si="6"/>
        <v>177420</v>
      </c>
      <c r="AB26" s="22">
        <f t="shared" si="6"/>
        <v>190530</v>
      </c>
    </row>
    <row r="27" spans="1:28">
      <c r="A27">
        <v>2037</v>
      </c>
      <c r="B27" s="9">
        <v>53700</v>
      </c>
      <c r="C27" s="9">
        <v>59320</v>
      </c>
      <c r="D27" s="9">
        <v>64680</v>
      </c>
      <c r="E27" s="9">
        <v>53570</v>
      </c>
      <c r="F27" s="9">
        <v>59050</v>
      </c>
      <c r="G27" s="9">
        <v>64150</v>
      </c>
      <c r="H27" s="9">
        <v>53950</v>
      </c>
      <c r="I27" s="9">
        <v>59060</v>
      </c>
      <c r="J27" s="9">
        <v>63950</v>
      </c>
      <c r="K27" s="9">
        <v>54390</v>
      </c>
      <c r="L27" s="9">
        <v>59270</v>
      </c>
      <c r="M27" s="9">
        <v>63930</v>
      </c>
      <c r="N27" s="9">
        <v>55100</v>
      </c>
      <c r="O27" s="9">
        <v>59640</v>
      </c>
      <c r="P27" s="9">
        <v>63950</v>
      </c>
      <c r="Q27" s="8">
        <f t="shared" si="3"/>
        <v>270710</v>
      </c>
      <c r="R27" s="7"/>
      <c r="S27" s="8">
        <f t="shared" si="4"/>
        <v>296340</v>
      </c>
      <c r="T27" s="8">
        <f t="shared" si="10"/>
        <v>320660</v>
      </c>
      <c r="U27" s="22">
        <f t="shared" si="7"/>
        <v>107270</v>
      </c>
      <c r="W27" s="22">
        <f t="shared" si="8"/>
        <v>118370</v>
      </c>
      <c r="X27" s="22">
        <f t="shared" si="5"/>
        <v>128830</v>
      </c>
      <c r="Y27" s="7">
        <f t="shared" si="9"/>
        <v>163440</v>
      </c>
      <c r="Z27" s="22"/>
      <c r="AA27" s="22">
        <f t="shared" si="6"/>
        <v>177970</v>
      </c>
      <c r="AB27" s="22">
        <f t="shared" si="6"/>
        <v>191830</v>
      </c>
    </row>
    <row r="28" spans="1:28">
      <c r="A28">
        <v>2038</v>
      </c>
      <c r="B28" s="9">
        <v>53990</v>
      </c>
      <c r="C28" s="9">
        <v>59750</v>
      </c>
      <c r="D28" s="9">
        <v>65300</v>
      </c>
      <c r="E28" s="9">
        <v>53910</v>
      </c>
      <c r="F28" s="9">
        <v>59430</v>
      </c>
      <c r="G28" s="9">
        <v>64750</v>
      </c>
      <c r="H28" s="9">
        <v>53980</v>
      </c>
      <c r="I28" s="9">
        <v>59390</v>
      </c>
      <c r="J28" s="9">
        <v>64480</v>
      </c>
      <c r="K28" s="9">
        <v>54380</v>
      </c>
      <c r="L28" s="9">
        <v>59520</v>
      </c>
      <c r="M28" s="9">
        <v>64420</v>
      </c>
      <c r="N28" s="9">
        <v>54980</v>
      </c>
      <c r="O28" s="9">
        <v>59830</v>
      </c>
      <c r="P28" s="9">
        <v>64430</v>
      </c>
      <c r="Q28" s="8">
        <f t="shared" si="3"/>
        <v>271240</v>
      </c>
      <c r="R28" s="7"/>
      <c r="S28" s="8">
        <f t="shared" si="4"/>
        <v>297920</v>
      </c>
      <c r="T28" s="8">
        <f t="shared" si="10"/>
        <v>323380</v>
      </c>
      <c r="U28" s="22">
        <f t="shared" si="7"/>
        <v>107900</v>
      </c>
      <c r="W28" s="22">
        <f t="shared" si="8"/>
        <v>119180</v>
      </c>
      <c r="X28" s="22">
        <f t="shared" si="5"/>
        <v>130050</v>
      </c>
      <c r="Y28" s="7">
        <f t="shared" si="9"/>
        <v>163340</v>
      </c>
      <c r="Z28" s="22"/>
      <c r="AA28" s="22">
        <f t="shared" si="6"/>
        <v>178740</v>
      </c>
      <c r="AB28" s="22">
        <f t="shared" si="6"/>
        <v>193330</v>
      </c>
    </row>
    <row r="30" spans="1:28">
      <c r="A30" s="4" t="s">
        <v>257</v>
      </c>
    </row>
  </sheetData>
  <mergeCells count="8">
    <mergeCell ref="U3:X3"/>
    <mergeCell ref="Y3:AB3"/>
    <mergeCell ref="Q3:T3"/>
    <mergeCell ref="B3:D3"/>
    <mergeCell ref="E3:G3"/>
    <mergeCell ref="H3:J3"/>
    <mergeCell ref="K3:M3"/>
    <mergeCell ref="N3:P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A5D6E-464A-4314-B120-880CAB1F267A}">
  <dimension ref="A1:AB28"/>
  <sheetViews>
    <sheetView workbookViewId="0">
      <selection activeCell="B16" sqref="B16"/>
    </sheetView>
  </sheetViews>
  <sheetFormatPr defaultColWidth="8.85546875" defaultRowHeight="14.65"/>
  <sheetData>
    <row r="1" spans="1:28">
      <c r="A1" s="1" t="s">
        <v>244</v>
      </c>
    </row>
    <row r="2" spans="1:28">
      <c r="A2" s="1" t="s">
        <v>245</v>
      </c>
      <c r="C2" s="2"/>
      <c r="F2" s="3">
        <v>3.6956156559717788E-3</v>
      </c>
      <c r="I2" s="3">
        <v>1.2681159420289856E-2</v>
      </c>
      <c r="L2" s="3">
        <v>1.4780752176055182E-2</v>
      </c>
      <c r="O2" s="3">
        <v>1.4251401120896717E-2</v>
      </c>
    </row>
    <row r="3" spans="1:28">
      <c r="B3" s="177" t="s">
        <v>246</v>
      </c>
      <c r="C3" s="177"/>
      <c r="D3" s="177"/>
      <c r="E3" s="177" t="s">
        <v>247</v>
      </c>
      <c r="F3" s="177"/>
      <c r="G3" s="177"/>
      <c r="H3" s="177" t="s">
        <v>248</v>
      </c>
      <c r="I3" s="177"/>
      <c r="J3" s="177"/>
      <c r="K3" s="177" t="s">
        <v>249</v>
      </c>
      <c r="L3" s="177"/>
      <c r="M3" s="177"/>
      <c r="N3" s="177" t="s">
        <v>250</v>
      </c>
      <c r="O3" s="177"/>
      <c r="P3" s="177"/>
      <c r="Q3" s="177" t="s">
        <v>236</v>
      </c>
      <c r="R3" s="177"/>
      <c r="S3" s="177"/>
      <c r="T3" s="177"/>
      <c r="U3" s="177" t="s">
        <v>251</v>
      </c>
      <c r="V3" s="177"/>
      <c r="W3" s="177"/>
      <c r="X3" s="177"/>
      <c r="Y3" s="177" t="s">
        <v>252</v>
      </c>
      <c r="Z3" s="177"/>
      <c r="AA3" s="177"/>
      <c r="AB3" s="177"/>
    </row>
    <row r="4" spans="1:28">
      <c r="A4" t="s">
        <v>229</v>
      </c>
      <c r="B4" s="5" t="s">
        <v>253</v>
      </c>
      <c r="C4" s="5" t="s">
        <v>242</v>
      </c>
      <c r="D4" s="5" t="s">
        <v>254</v>
      </c>
      <c r="E4" s="5" t="s">
        <v>253</v>
      </c>
      <c r="F4" s="5" t="s">
        <v>242</v>
      </c>
      <c r="G4" s="5" t="s">
        <v>254</v>
      </c>
      <c r="H4" s="5" t="s">
        <v>253</v>
      </c>
      <c r="I4" s="5" t="s">
        <v>242</v>
      </c>
      <c r="J4" s="5" t="s">
        <v>254</v>
      </c>
      <c r="K4" s="5" t="s">
        <v>253</v>
      </c>
      <c r="L4" s="5" t="s">
        <v>242</v>
      </c>
      <c r="M4" s="5" t="s">
        <v>254</v>
      </c>
      <c r="N4" s="5" t="s">
        <v>253</v>
      </c>
      <c r="O4" s="5" t="s">
        <v>242</v>
      </c>
      <c r="P4" s="5" t="s">
        <v>254</v>
      </c>
      <c r="Q4" s="1" t="s">
        <v>253</v>
      </c>
      <c r="R4" s="1" t="s">
        <v>255</v>
      </c>
      <c r="S4" s="1" t="s">
        <v>242</v>
      </c>
      <c r="T4" s="1" t="s">
        <v>254</v>
      </c>
      <c r="U4" s="1" t="s">
        <v>253</v>
      </c>
      <c r="V4" s="1" t="s">
        <v>255</v>
      </c>
      <c r="W4" s="1" t="s">
        <v>256</v>
      </c>
      <c r="X4" s="1" t="s">
        <v>254</v>
      </c>
      <c r="Y4" s="1" t="s">
        <v>253</v>
      </c>
      <c r="Z4" s="1" t="s">
        <v>255</v>
      </c>
      <c r="AA4" s="1" t="s">
        <v>256</v>
      </c>
      <c r="AB4" s="1" t="s">
        <v>254</v>
      </c>
    </row>
    <row r="5" spans="1:28">
      <c r="A5">
        <v>2015</v>
      </c>
      <c r="B5" s="7"/>
      <c r="C5" s="7">
        <f>'T2'!C5*'Transformed-pop_x_region'!$E2</f>
        <v>19853.530048153421</v>
      </c>
      <c r="D5" s="7"/>
      <c r="E5" s="7"/>
      <c r="F5" s="7">
        <f>'T2'!F5*'Transformed-pop_x_region'!$E2</f>
        <v>19904.11658641099</v>
      </c>
      <c r="G5" s="7"/>
      <c r="H5" s="7"/>
      <c r="I5" s="7">
        <f>'T2'!I5*'Transformed-pop_x_region'!$E2</f>
        <v>20669.65953204218</v>
      </c>
      <c r="J5" s="7"/>
      <c r="K5" s="7"/>
      <c r="L5" s="7">
        <f>'T2'!L5*'Transformed-pop_x_region'!$E2</f>
        <v>21060.862094567372</v>
      </c>
      <c r="M5" s="7"/>
      <c r="N5" s="7"/>
      <c r="O5" s="7">
        <f>'T2'!O5*'Transformed-pop_x_region'!$E2</f>
        <v>21441.947349441049</v>
      </c>
      <c r="P5" s="7"/>
      <c r="Q5" s="8"/>
      <c r="R5" s="8">
        <f>SUM(C5,F5,I5,L5,O5)</f>
        <v>102930.11561061502</v>
      </c>
      <c r="S5" s="8"/>
      <c r="T5" s="8"/>
      <c r="U5" s="7"/>
      <c r="V5" s="7">
        <f>SUM(C5,F5)</f>
        <v>39757.646634564415</v>
      </c>
      <c r="W5" s="7"/>
      <c r="X5" s="7"/>
      <c r="Z5" s="22">
        <f>SUM(I5,L5,O5)</f>
        <v>63172.468976050601</v>
      </c>
    </row>
    <row r="6" spans="1:28">
      <c r="A6">
        <v>2016</v>
      </c>
      <c r="B6" s="7"/>
      <c r="C6" s="7">
        <f>'T2'!C6*'Transformed-pop_x_region'!$E3</f>
        <v>20053.793418647176</v>
      </c>
      <c r="D6" s="7"/>
      <c r="E6" s="7"/>
      <c r="F6" s="7">
        <f>'T2'!F6*'Transformed-pop_x_region'!$E3</f>
        <v>20104.434311118504</v>
      </c>
      <c r="G6" s="7"/>
      <c r="H6" s="7"/>
      <c r="I6" s="7">
        <f>'T2'!I6*'Transformed-pop_x_region'!$E3</f>
        <v>20249.604869536321</v>
      </c>
      <c r="J6" s="7"/>
      <c r="K6" s="7"/>
      <c r="L6" s="7">
        <f>'T2'!L6*'Transformed-pop_x_region'!$E3</f>
        <v>21080.115506066155</v>
      </c>
      <c r="M6" s="7"/>
      <c r="N6" s="7"/>
      <c r="O6" s="7">
        <f>'T2'!O6*'Transformed-pop_x_region'!$E3</f>
        <v>21383.960860894142</v>
      </c>
      <c r="P6" s="7"/>
      <c r="Q6" s="8"/>
      <c r="R6" s="8">
        <f>SUM(C6,F6,I6,L6,O6)</f>
        <v>102871.9089662623</v>
      </c>
      <c r="S6" s="8"/>
      <c r="T6" s="8"/>
      <c r="U6" s="7"/>
      <c r="V6" s="7">
        <f t="shared" ref="V6:V14" si="0">SUM(C6,F6)</f>
        <v>40158.227729765684</v>
      </c>
      <c r="W6" s="7"/>
      <c r="X6" s="7"/>
      <c r="Z6" s="22">
        <f t="shared" ref="Z6:Z14" si="1">SUM(I6,L6,O6)</f>
        <v>62713.681236496617</v>
      </c>
    </row>
    <row r="7" spans="1:28">
      <c r="A7">
        <v>2017</v>
      </c>
      <c r="B7" s="7"/>
      <c r="C7" s="7">
        <f>'T2'!C7*'Transformed-pop_x_region'!$E4</f>
        <v>20311.027221156601</v>
      </c>
      <c r="D7" s="7"/>
      <c r="E7" s="7"/>
      <c r="F7" s="7">
        <f>'T2'!F7*'Transformed-pop_x_region'!$E4</f>
        <v>20250.246092315232</v>
      </c>
      <c r="G7" s="7"/>
      <c r="H7" s="7"/>
      <c r="I7" s="7">
        <f>'T2'!I7*'Transformed-pop_x_region'!$E4</f>
        <v>20517.007713341231</v>
      </c>
      <c r="J7" s="7"/>
      <c r="K7" s="7"/>
      <c r="L7" s="7">
        <f>'T2'!L7*'Transformed-pop_x_region'!$E4</f>
        <v>20658.830347304418</v>
      </c>
      <c r="M7" s="7"/>
      <c r="N7" s="7"/>
      <c r="O7" s="7">
        <f>'T2'!O7*'Transformed-pop_x_region'!$E4</f>
        <v>21428.724645961727</v>
      </c>
      <c r="P7" s="7"/>
      <c r="Q7" s="8"/>
      <c r="R7" s="8">
        <f>SUM(C7,F7,I7,L7,O7)</f>
        <v>103165.83602007921</v>
      </c>
      <c r="S7" s="8"/>
      <c r="T7" s="8"/>
      <c r="U7" s="7"/>
      <c r="V7" s="7">
        <f t="shared" si="0"/>
        <v>40561.273313471829</v>
      </c>
      <c r="W7" s="7"/>
      <c r="X7" s="7"/>
      <c r="Z7" s="22">
        <f t="shared" si="1"/>
        <v>62604.562706607379</v>
      </c>
    </row>
    <row r="8" spans="1:28">
      <c r="A8">
        <v>2018</v>
      </c>
      <c r="B8" s="7"/>
      <c r="C8" s="7">
        <f>'T2'!C8*'Transformed-pop_x_region'!$E5</f>
        <v>20127.590889885938</v>
      </c>
      <c r="D8" s="7"/>
      <c r="E8" s="7"/>
      <c r="F8" s="7">
        <f>'T2'!F8*'Transformed-pop_x_region'!$E5</f>
        <v>20462.318169929396</v>
      </c>
      <c r="G8" s="7"/>
      <c r="H8" s="7"/>
      <c r="I8" s="7">
        <f>'T2'!I8*'Transformed-pop_x_region'!$E5</f>
        <v>20587.418264491091</v>
      </c>
      <c r="J8" s="7"/>
      <c r="K8" s="7"/>
      <c r="L8" s="7">
        <f>'T2'!L8*'Transformed-pop_x_region'!$E5</f>
        <v>20922.145544534549</v>
      </c>
      <c r="M8" s="7"/>
      <c r="N8" s="7"/>
      <c r="O8" s="7">
        <f>'T2'!O8*'Transformed-pop_x_region'!$E5</f>
        <v>21033.721304549035</v>
      </c>
      <c r="P8" s="7"/>
      <c r="Q8" s="8"/>
      <c r="R8" s="8">
        <f>SUM(C8,F8,I8,L8,O8)</f>
        <v>103133.19417339</v>
      </c>
      <c r="S8" s="8"/>
      <c r="T8" s="8"/>
      <c r="U8" s="7"/>
      <c r="V8" s="7">
        <f t="shared" si="0"/>
        <v>40589.909059815334</v>
      </c>
      <c r="W8" s="7"/>
      <c r="X8" s="7"/>
      <c r="Z8" s="22">
        <f t="shared" si="1"/>
        <v>62543.285113574675</v>
      </c>
    </row>
    <row r="9" spans="1:28">
      <c r="A9">
        <v>2019</v>
      </c>
      <c r="B9" s="7"/>
      <c r="C9" s="7">
        <f>'T2'!C9*'Transformed-pop_x_region'!$E6</f>
        <v>20129.264253607751</v>
      </c>
      <c r="D9" s="7"/>
      <c r="E9" s="7"/>
      <c r="F9" s="7">
        <f>'T2'!F9*'Transformed-pop_x_region'!$E6</f>
        <v>20166.3906631969</v>
      </c>
      <c r="G9" s="7"/>
      <c r="H9" s="7"/>
      <c r="I9" s="7">
        <f>'T2'!I9*'Transformed-pop_x_region'!$E6</f>
        <v>20686.160397444986</v>
      </c>
      <c r="J9" s="7"/>
      <c r="K9" s="7"/>
      <c r="L9" s="7">
        <f>'T2'!L9*'Transformed-pop_x_region'!$E6</f>
        <v>20854.916804668392</v>
      </c>
      <c r="M9" s="7"/>
      <c r="N9" s="7"/>
      <c r="O9" s="7">
        <f>'T2'!O9*'Transformed-pop_x_region'!$E6</f>
        <v>21216.055516126478</v>
      </c>
      <c r="P9" s="7"/>
      <c r="Q9" s="8"/>
      <c r="R9" s="8">
        <f>SUM(C9,F9,I9,L9,O9)</f>
        <v>103052.7876350445</v>
      </c>
      <c r="S9" s="8"/>
      <c r="T9" s="8"/>
      <c r="U9" s="7"/>
      <c r="V9" s="7">
        <f t="shared" si="0"/>
        <v>40295.654916804648</v>
      </c>
      <c r="W9" s="7"/>
      <c r="X9" s="7"/>
      <c r="Z9" s="22">
        <f t="shared" si="1"/>
        <v>62757.132718239853</v>
      </c>
    </row>
    <row r="10" spans="1:28">
      <c r="A10">
        <v>2020</v>
      </c>
      <c r="B10" s="7"/>
      <c r="C10" s="7">
        <f>'T2'!C10*'Transformed-pop_x_region'!$E7</f>
        <v>19883.239586201449</v>
      </c>
      <c r="D10" s="7"/>
      <c r="E10" s="7"/>
      <c r="F10" s="7">
        <f>'T2'!F10*'Transformed-pop_x_region'!$E7</f>
        <v>20134.586791488</v>
      </c>
      <c r="G10" s="7"/>
      <c r="H10" s="7"/>
      <c r="I10" s="7">
        <f>'T2'!I10*'Transformed-pop_x_region'!$E7</f>
        <v>20312.205483223828</v>
      </c>
      <c r="J10" s="7"/>
      <c r="K10" s="7"/>
      <c r="L10" s="7">
        <f>'T2'!L10*'Transformed-pop_x_region'!$E7</f>
        <v>20915.438775911553</v>
      </c>
      <c r="M10" s="7"/>
      <c r="N10" s="7"/>
      <c r="O10" s="7">
        <f>'T2'!O10*'Transformed-pop_x_region'!$E7</f>
        <v>21036.085434449098</v>
      </c>
      <c r="P10" s="7"/>
      <c r="Q10" s="8"/>
      <c r="R10" s="8">
        <f t="shared" ref="R10:R12" si="2">SUM(C10,F10,I10,L10,O10)</f>
        <v>102281.55607127392</v>
      </c>
      <c r="S10" s="8"/>
      <c r="T10" s="8"/>
      <c r="U10" s="7"/>
      <c r="V10" s="7">
        <f t="shared" si="0"/>
        <v>40017.826377689446</v>
      </c>
      <c r="W10" s="7"/>
      <c r="X10" s="7"/>
      <c r="Z10" s="22">
        <f t="shared" si="1"/>
        <v>62263.729693584479</v>
      </c>
    </row>
    <row r="11" spans="1:28">
      <c r="A11">
        <v>2021</v>
      </c>
      <c r="B11" s="7"/>
      <c r="C11" s="7">
        <f>'T2'!C11*'Transformed-pop_x_region'!$E8</f>
        <v>20292.654820237349</v>
      </c>
      <c r="D11" s="7"/>
      <c r="E11" s="7"/>
      <c r="F11" s="7">
        <f>'T2'!F11*'Transformed-pop_x_region'!$E8</f>
        <v>19845.856307928472</v>
      </c>
      <c r="G11" s="7"/>
      <c r="H11" s="7"/>
      <c r="I11" s="7">
        <f>'T2'!I11*'Transformed-pop_x_region'!$E8</f>
        <v>20145.944860971747</v>
      </c>
      <c r="J11" s="7"/>
      <c r="K11" s="7"/>
      <c r="L11" s="7">
        <f>'T2'!L11*'Transformed-pop_x_region'!$E8</f>
        <v>20315.995041029601</v>
      </c>
      <c r="M11" s="7"/>
      <c r="N11" s="7"/>
      <c r="O11" s="7">
        <f>'T2'!O11*'Transformed-pop_x_region'!$E8</f>
        <v>20886.163291811819</v>
      </c>
      <c r="P11" s="7"/>
      <c r="Q11" s="8"/>
      <c r="R11" s="8">
        <f>SUM(C11,F11,I11,L11,O11)</f>
        <v>101486.614321979</v>
      </c>
      <c r="S11" s="8"/>
      <c r="T11" s="8"/>
      <c r="U11" s="7"/>
      <c r="V11" s="7">
        <f t="shared" si="0"/>
        <v>40138.511128165817</v>
      </c>
      <c r="W11" s="7"/>
      <c r="X11" s="7"/>
      <c r="Z11" s="22">
        <f t="shared" si="1"/>
        <v>61348.103193813171</v>
      </c>
    </row>
    <row r="12" spans="1:28">
      <c r="A12">
        <v>2022</v>
      </c>
      <c r="B12" s="7"/>
      <c r="C12" s="7">
        <f>'T2'!C12*'Transformed-pop_x_region'!$E9</f>
        <v>20367.070769230799</v>
      </c>
      <c r="D12" s="7"/>
      <c r="E12" s="7"/>
      <c r="F12" s="7">
        <f>'T2'!F12*'Transformed-pop_x_region'!$E9</f>
        <v>20495.335384615413</v>
      </c>
      <c r="G12" s="7"/>
      <c r="H12" s="7"/>
      <c r="I12" s="7">
        <f>'T2'!I12*'Transformed-pop_x_region'!$E9</f>
        <v>20140.920000000027</v>
      </c>
      <c r="J12" s="7"/>
      <c r="K12" s="7"/>
      <c r="L12" s="7">
        <f>'T2'!L12*'Transformed-pop_x_region'!$E9</f>
        <v>20535.840000000029</v>
      </c>
      <c r="M12" s="7"/>
      <c r="N12" s="7"/>
      <c r="O12" s="7">
        <f>'T2'!O12*'Transformed-pop_x_region'!$E9</f>
        <v>20643.852307692337</v>
      </c>
      <c r="P12" s="7"/>
      <c r="Q12" s="8"/>
      <c r="R12" s="8">
        <f t="shared" si="2"/>
        <v>102183.0184615386</v>
      </c>
      <c r="S12" s="8"/>
      <c r="T12" s="8"/>
      <c r="U12" s="7"/>
      <c r="V12" s="7">
        <f t="shared" si="0"/>
        <v>40862.406153846212</v>
      </c>
      <c r="W12" s="7"/>
      <c r="X12" s="7"/>
      <c r="Z12" s="22">
        <f t="shared" si="1"/>
        <v>61320.61230769239</v>
      </c>
    </row>
    <row r="13" spans="1:28">
      <c r="A13">
        <v>2023</v>
      </c>
      <c r="B13" s="7"/>
      <c r="C13" s="7">
        <f>'T2'!C13*'Transformed-pop_x_region'!$E10</f>
        <v>19322.376559546326</v>
      </c>
      <c r="D13" s="7"/>
      <c r="E13" s="7"/>
      <c r="F13" s="7">
        <f>'T2'!F13*'Transformed-pop_x_region'!$E10</f>
        <v>20665.152551984891</v>
      </c>
      <c r="G13" s="7"/>
      <c r="H13" s="7"/>
      <c r="I13" s="7">
        <f>'T2'!I13*'Transformed-pop_x_region'!$E10</f>
        <v>20903.112854442359</v>
      </c>
      <c r="J13" s="7"/>
      <c r="K13" s="7"/>
      <c r="L13" s="7">
        <f>'T2'!L13*'Transformed-pop_x_region'!$E10</f>
        <v>20682.14971644614</v>
      </c>
      <c r="M13" s="7"/>
      <c r="N13" s="7"/>
      <c r="O13" s="7">
        <f>'T2'!O13*'Transformed-pop_x_region'!$E10</f>
        <v>21195.464083175819</v>
      </c>
      <c r="P13" s="7"/>
      <c r="Q13" s="8"/>
      <c r="R13" s="8">
        <f>SUM(C13,F13,I13,L13,O13)</f>
        <v>102768.25576559553</v>
      </c>
      <c r="S13" s="8"/>
      <c r="T13" s="8"/>
      <c r="U13" s="7"/>
      <c r="V13" s="7">
        <f t="shared" si="0"/>
        <v>39987.529111531214</v>
      </c>
      <c r="W13" s="7"/>
      <c r="X13" s="7"/>
      <c r="Z13" s="22">
        <f t="shared" si="1"/>
        <v>62780.726654064318</v>
      </c>
    </row>
    <row r="14" spans="1:28">
      <c r="A14">
        <v>2024</v>
      </c>
      <c r="B14" s="7"/>
      <c r="C14" s="7">
        <f>'T2'!C14*'Transformed-pop_x_region'!$E11</f>
        <v>19463.842094390318</v>
      </c>
      <c r="D14" s="7"/>
      <c r="E14" s="7"/>
      <c r="F14" s="7">
        <f>'T2'!F14*'Transformed-pop_x_region'!$E11</f>
        <v>19504.768343756477</v>
      </c>
      <c r="G14" s="7"/>
      <c r="H14" s="7"/>
      <c r="I14" s="7">
        <f>'T2'!I14*'Transformed-pop_x_region'!$E11</f>
        <v>21042.913215768051</v>
      </c>
      <c r="J14" s="7"/>
      <c r="K14" s="7"/>
      <c r="L14" s="7">
        <f>'T2'!L14*'Transformed-pop_x_region'!$E11</f>
        <v>21319.16539898964</v>
      </c>
      <c r="M14" s="7"/>
      <c r="N14" s="7"/>
      <c r="O14" s="7">
        <f>'T2'!O14*'Transformed-pop_x_region'!$E11</f>
        <v>21223.670817135262</v>
      </c>
      <c r="P14" s="7"/>
      <c r="Q14" s="8">
        <v>300700</v>
      </c>
      <c r="R14" s="8">
        <f>SUM(C14,F14,I14,L14,O14)</f>
        <v>102554.35987003976</v>
      </c>
      <c r="S14" s="8">
        <v>300700</v>
      </c>
      <c r="T14" s="8">
        <v>300700</v>
      </c>
      <c r="U14" s="7">
        <f>V14</f>
        <v>38968.610438146796</v>
      </c>
      <c r="V14" s="7">
        <f t="shared" si="0"/>
        <v>38968.610438146796</v>
      </c>
      <c r="W14" s="7">
        <f>V14</f>
        <v>38968.610438146796</v>
      </c>
      <c r="X14" s="7">
        <f>V14</f>
        <v>38968.610438146796</v>
      </c>
      <c r="Y14" s="7">
        <f>Z14</f>
        <v>63585.749431892953</v>
      </c>
      <c r="Z14" s="22">
        <f t="shared" si="1"/>
        <v>63585.749431892953</v>
      </c>
      <c r="AA14" s="22">
        <f>Z14</f>
        <v>63585.749431892953</v>
      </c>
      <c r="AB14" s="22">
        <f>Z14</f>
        <v>63585.749431892953</v>
      </c>
    </row>
    <row r="15" spans="1:28">
      <c r="A15">
        <v>2025</v>
      </c>
      <c r="B15" s="9">
        <f>'T2'!B15*'Transformed-pop_x_region'!$L$4</f>
        <v>18955.593600566761</v>
      </c>
      <c r="C15" s="9">
        <f>'T2'!C15*'Transformed-pop_x_region'!$M$4</f>
        <v>19620.26323621317</v>
      </c>
      <c r="D15" s="9">
        <f>'T2'!C15*'Transformed-pop_x_region'!$O$4</f>
        <v>19825.357297124745</v>
      </c>
      <c r="E15" s="9">
        <f>'T2'!E15*'Transformed-pop_x_region'!$L$4</f>
        <v>18935.587697030543</v>
      </c>
      <c r="F15" s="9">
        <f>'T2'!F15*'Transformed-pop_x_region'!$M$4</f>
        <v>19248.986966475783</v>
      </c>
      <c r="G15" s="9">
        <f>'T2'!F15*'Transformed-pop_x_region'!$O$4</f>
        <v>19450.200011268262</v>
      </c>
      <c r="H15" s="9">
        <f>'T2'!H15*'Transformed-pop_x_region'!$L$4</f>
        <v>19052.288800991817</v>
      </c>
      <c r="I15" s="9">
        <f>'T2'!I15*'Transformed-pop_x_region'!$M$4</f>
        <v>19367.120325028587</v>
      </c>
      <c r="J15" s="9">
        <f>'T2'!I15*'Transformed-pop_x_region'!$O$4</f>
        <v>19569.568238586235</v>
      </c>
      <c r="K15" s="9">
        <f>'T2'!K15*'Transformed-pop_x_region'!$L$4</f>
        <v>20579.406104256475</v>
      </c>
      <c r="L15" s="9">
        <f>'T2'!L15*'Transformed-pop_x_region'!$M$4</f>
        <v>20919.730180294038</v>
      </c>
      <c r="M15" s="9">
        <f>'T2'!L15*'Transformed-pop_x_region'!$O$4</f>
        <v>21138.407797622425</v>
      </c>
      <c r="N15" s="9">
        <f>'T2'!N15*'Transformed-pop_x_region'!$L$4</f>
        <v>20876.160340043712</v>
      </c>
      <c r="O15" s="9">
        <f>'T2'!O15*'Transformed-pop_x_region'!$M$4</f>
        <v>21226.876912531334</v>
      </c>
      <c r="P15" s="9">
        <f>'T2'!O15*'Transformed-pop_x_region'!$O$4</f>
        <v>21448.765188649151</v>
      </c>
      <c r="Q15" s="8">
        <f>SUM(B15,E15,H15,K15,N15)</f>
        <v>98399.036542889313</v>
      </c>
      <c r="R15" s="7"/>
      <c r="S15" s="8">
        <f>SUM(C15,F15,I15,L15,O15)</f>
        <v>100382.97762054292</v>
      </c>
      <c r="T15" s="8">
        <f>SUM(D15,G15,J15,M15,P15)</f>
        <v>101432.29853325081</v>
      </c>
      <c r="U15" s="22">
        <f>SUM(B15,E15)</f>
        <v>37891.181297597301</v>
      </c>
      <c r="W15" s="22">
        <f>SUM(C15,F15)</f>
        <v>38869.250202688956</v>
      </c>
      <c r="X15" s="22">
        <f>SUM(D15,F15)</f>
        <v>39074.344263600527</v>
      </c>
      <c r="Y15" s="7">
        <f>SUM(I15,L15,O15)</f>
        <v>61513.727417853959</v>
      </c>
      <c r="Z15" s="22"/>
      <c r="AA15" s="22">
        <f>SUM(I15,L15,O15)</f>
        <v>61513.727417853959</v>
      </c>
      <c r="AB15" s="22">
        <f>SUM(I15,L15,O15)</f>
        <v>61513.727417853959</v>
      </c>
    </row>
    <row r="16" spans="1:28">
      <c r="A16">
        <v>2026</v>
      </c>
      <c r="B16" s="9">
        <f>'T2'!B16*'Transformed-pop_x_region'!$L$4</f>
        <v>18705.519806364035</v>
      </c>
      <c r="C16" s="9">
        <f>'T2'!C16*'Transformed-pop_x_region'!$M$4</f>
        <v>19623.638475028965</v>
      </c>
      <c r="D16" s="9">
        <f>'T2'!C16*'Transformed-pop_x_region'!$O$4</f>
        <v>19828.767817905256</v>
      </c>
      <c r="E16" s="9">
        <f>'T2'!E16*'Transformed-pop_x_region'!$L$4</f>
        <v>18842.226813861525</v>
      </c>
      <c r="F16" s="9">
        <f>'T2'!F16*'Transformed-pop_x_region'!$M$4</f>
        <v>19616.887997397378</v>
      </c>
      <c r="G16" s="9">
        <f>'T2'!F16*'Transformed-pop_x_region'!$O$4</f>
        <v>19821.94677634423</v>
      </c>
      <c r="H16" s="9">
        <f>'T2'!H16*'Transformed-pop_x_region'!$L$4</f>
        <v>18965.596552334871</v>
      </c>
      <c r="I16" s="9">
        <f>'T2'!I16*'Transformed-pop_x_region'!$M$4</f>
        <v>19326.617459239053</v>
      </c>
      <c r="J16" s="9">
        <f>'T2'!I16*'Transformed-pop_x_region'!$O$4</f>
        <v>19528.641989220072</v>
      </c>
      <c r="K16" s="9">
        <f>'T2'!K16*'Transformed-pop_x_region'!$L$4</f>
        <v>19102.303559832362</v>
      </c>
      <c r="L16" s="9">
        <f>'T2'!L16*'Transformed-pop_x_region'!$M$4</f>
        <v>19475.127967134009</v>
      </c>
      <c r="M16" s="9">
        <f>'T2'!L16*'Transformed-pop_x_region'!$O$4</f>
        <v>19678.704903562666</v>
      </c>
      <c r="N16" s="9">
        <f>'T2'!N16*'Transformed-pop_x_region'!$L$4</f>
        <v>20656.09540114531</v>
      </c>
      <c r="O16" s="9">
        <f>'T2'!O16*'Transformed-pop_x_region'!$M$4</f>
        <v>21061.490210557404</v>
      </c>
      <c r="P16" s="9">
        <f>'T2'!O16*'Transformed-pop_x_region'!$O$4</f>
        <v>21281.649670403993</v>
      </c>
      <c r="Q16" s="8">
        <f t="shared" ref="Q16:Q28" si="3">SUM(B16,E16,H16,K16,N16)</f>
        <v>96271.742133538108</v>
      </c>
      <c r="R16" s="7"/>
      <c r="S16" s="8">
        <f t="shared" ref="S16:S28" si="4">SUM(C16,F16,I16,L16,O16)</f>
        <v>99103.762109356801</v>
      </c>
      <c r="T16" s="8">
        <f>SUM(O16,L16,I16,G16,D16)</f>
        <v>99513.950231179959</v>
      </c>
      <c r="U16" s="22">
        <f>SUM(B16,E16)</f>
        <v>37547.74662022556</v>
      </c>
      <c r="W16" s="22">
        <f>SUM(C16,F16)</f>
        <v>39240.52647242634</v>
      </c>
      <c r="X16" s="22">
        <f t="shared" ref="X16:X28" si="5">SUM(D16,G16)</f>
        <v>39650.714594249483</v>
      </c>
      <c r="Y16" s="7">
        <f>SUM(I16,L16,O16)</f>
        <v>59863.235636930462</v>
      </c>
      <c r="Z16" s="22"/>
      <c r="AA16" s="22">
        <f t="shared" ref="AA16:AB28" si="6">SUM(I16,L16,O16)</f>
        <v>59863.235636930462</v>
      </c>
      <c r="AB16" s="22">
        <f>SUM(I16,L16,O16)</f>
        <v>59863.235636930462</v>
      </c>
    </row>
    <row r="17" spans="1:28">
      <c r="A17">
        <v>2027</v>
      </c>
      <c r="B17" s="9">
        <f>'T2'!B17*'Transformed-pop_x_region'!$L$4</f>
        <v>18505.460771001854</v>
      </c>
      <c r="C17" s="9">
        <f>'T2'!C17*'Transformed-pop_x_region'!$M$4</f>
        <v>19620.26323621317</v>
      </c>
      <c r="D17" s="9">
        <f>'T2'!C17*'Transformed-pop_x_region'!$O$4</f>
        <v>19825.357297124745</v>
      </c>
      <c r="E17" s="9">
        <f>'T2'!E17*'Transformed-pop_x_region'!$L$4</f>
        <v>18702.185489108</v>
      </c>
      <c r="F17" s="9">
        <f>'T2'!F17*'Transformed-pop_x_region'!$M$4</f>
        <v>19630.388952660556</v>
      </c>
      <c r="G17" s="9">
        <f>'T2'!F17*'Transformed-pop_x_region'!$O$4</f>
        <v>19835.588859466283</v>
      </c>
      <c r="H17" s="9">
        <f>'T2'!H17*'Transformed-pop_x_region'!$L$4</f>
        <v>18922.250428006399</v>
      </c>
      <c r="I17" s="9">
        <f>'T2'!I17*'Transformed-pop_x_region'!$M$4</f>
        <v>19704.644206608031</v>
      </c>
      <c r="J17" s="9">
        <f>'T2'!I17*'Transformed-pop_x_region'!$O$4</f>
        <v>19910.620316637582</v>
      </c>
      <c r="K17" s="9">
        <f>'T2'!K17*'Transformed-pop_x_region'!$L$4</f>
        <v>19025.614262943527</v>
      </c>
      <c r="L17" s="9">
        <f>'T2'!L17*'Transformed-pop_x_region'!$M$4</f>
        <v>19448.126056607653</v>
      </c>
      <c r="M17" s="9">
        <f>'T2'!L17*'Transformed-pop_x_region'!$O$4</f>
        <v>19651.420737318556</v>
      </c>
      <c r="N17" s="9">
        <f>'T2'!N17*'Transformed-pop_x_region'!$L$4</f>
        <v>19185.661491233273</v>
      </c>
      <c r="O17" s="9">
        <f>'T2'!O17*'Transformed-pop_x_region'!$M$4</f>
        <v>19630.388952660556</v>
      </c>
      <c r="P17" s="9">
        <f>'T2'!O17*'Transformed-pop_x_region'!$O$4</f>
        <v>19835.588859466283</v>
      </c>
      <c r="Q17" s="8">
        <f t="shared" si="3"/>
        <v>94341.172442293057</v>
      </c>
      <c r="R17" s="7"/>
      <c r="S17" s="8">
        <f t="shared" si="4"/>
        <v>98033.811404749955</v>
      </c>
      <c r="T17" s="8">
        <f>SUM(O17,L17,J17,G17,D17)</f>
        <v>98650.081482496826</v>
      </c>
      <c r="U17" s="22">
        <f t="shared" ref="U17:U28" si="7">SUM(B17,E17)</f>
        <v>37207.646260109854</v>
      </c>
      <c r="W17" s="22">
        <f t="shared" ref="W17:W28" si="8">SUM(C17,F17)</f>
        <v>39250.652188873726</v>
      </c>
      <c r="X17" s="22">
        <f t="shared" si="5"/>
        <v>39660.946156591031</v>
      </c>
      <c r="Y17" s="7">
        <f>SUM(H17,L17,O17)</f>
        <v>58000.765437274611</v>
      </c>
      <c r="Z17" s="22"/>
      <c r="AA17" s="22">
        <f t="shared" si="6"/>
        <v>58783.159215876243</v>
      </c>
      <c r="AB17" s="22">
        <f>SUM(J17,L17,O17)</f>
        <v>58989.135325905787</v>
      </c>
    </row>
    <row r="18" spans="1:28">
      <c r="A18">
        <v>2028</v>
      </c>
      <c r="B18" s="9">
        <f>'T2'!B18*'Transformed-pop_x_region'!$L$4</f>
        <v>18368.753763504363</v>
      </c>
      <c r="C18" s="9">
        <f>'T2'!C18*'Transformed-pop_x_region'!$M$4</f>
        <v>19610.137519765787</v>
      </c>
      <c r="D18" s="9">
        <f>'T2'!C18*'Transformed-pop_x_region'!$O$4</f>
        <v>19815.125734783203</v>
      </c>
      <c r="E18" s="9">
        <f>'T2'!E18*'Transformed-pop_x_region'!$L$4</f>
        <v>18495.457819233743</v>
      </c>
      <c r="F18" s="9">
        <f>'T2'!F18*'Transformed-pop_x_region'!$M$4</f>
        <v>19633.764191476348</v>
      </c>
      <c r="G18" s="9">
        <f>'T2'!F18*'Transformed-pop_x_region'!$O$4</f>
        <v>19838.999380246798</v>
      </c>
      <c r="H18" s="9">
        <f>'T2'!H18*'Transformed-pop_x_region'!$L$4</f>
        <v>18792.21205502098</v>
      </c>
      <c r="I18" s="9">
        <f>'T2'!I18*'Transformed-pop_x_region'!$M$4</f>
        <v>19728.270878318595</v>
      </c>
      <c r="J18" s="9">
        <f>'T2'!I18*'Transformed-pop_x_region'!$O$4</f>
        <v>19934.493962101176</v>
      </c>
      <c r="K18" s="9">
        <f>'T2'!K18*'Transformed-pop_x_region'!$L$4</f>
        <v>19032.2828974556</v>
      </c>
      <c r="L18" s="9">
        <f>'T2'!L18*'Transformed-pop_x_region'!$M$4</f>
        <v>19836.278520424017</v>
      </c>
      <c r="M18" s="9">
        <f>'T2'!L18*'Transformed-pop_x_region'!$O$4</f>
        <v>20043.630627077604</v>
      </c>
      <c r="N18" s="9">
        <f>'T2'!N18*'Transformed-pop_x_region'!$L$4</f>
        <v>19128.978097880656</v>
      </c>
      <c r="O18" s="9">
        <f>'T2'!O18*'Transformed-pop_x_region'!$M$4</f>
        <v>19613.512758581583</v>
      </c>
      <c r="P18" s="9">
        <f>'T2'!O18*'Transformed-pop_x_region'!$O$4</f>
        <v>19818.536255563718</v>
      </c>
      <c r="Q18" s="8">
        <f t="shared" si="3"/>
        <v>93817.684633095341</v>
      </c>
      <c r="R18" s="7"/>
      <c r="S18" s="8">
        <f t="shared" si="4"/>
        <v>98421.963868566323</v>
      </c>
      <c r="T18" s="8">
        <f>SUM(O18,M18,J18,G18,D18)</f>
        <v>99245.762462790357</v>
      </c>
      <c r="U18" s="22">
        <f t="shared" si="7"/>
        <v>36864.211582738106</v>
      </c>
      <c r="W18" s="22">
        <f t="shared" si="8"/>
        <v>39243.901711242135</v>
      </c>
      <c r="X18" s="22">
        <f t="shared" si="5"/>
        <v>39654.125115030001</v>
      </c>
      <c r="Y18" s="7">
        <f>SUM(H18,K18,O18)</f>
        <v>57438.007711058162</v>
      </c>
      <c r="Z18" s="22"/>
      <c r="AA18" s="22">
        <f t="shared" si="6"/>
        <v>59178.062157324195</v>
      </c>
      <c r="AB18" s="22">
        <f>SUM(J18,M18,O18)</f>
        <v>59591.637347760363</v>
      </c>
    </row>
    <row r="19" spans="1:28">
      <c r="A19">
        <v>2029</v>
      </c>
      <c r="B19" s="9">
        <f>'T2'!B19*'Transformed-pop_x_region'!$L$4</f>
        <v>18242.049707774979</v>
      </c>
      <c r="C19" s="9">
        <f>'T2'!C19*'Transformed-pop_x_region'!$M$4</f>
        <v>19600.011803318404</v>
      </c>
      <c r="D19" s="9">
        <f>'T2'!C19*'Transformed-pop_x_region'!$O$4</f>
        <v>19804.894172441662</v>
      </c>
      <c r="E19" s="9">
        <f>'T2'!E19*'Transformed-pop_x_region'!$L$4</f>
        <v>18365.419446248325</v>
      </c>
      <c r="F19" s="9">
        <f>'T2'!F19*'Transformed-pop_x_region'!$M$4</f>
        <v>19630.388952660556</v>
      </c>
      <c r="G19" s="9">
        <f>'T2'!F19*'Transformed-pop_x_region'!$O$4</f>
        <v>19835.588859466283</v>
      </c>
      <c r="H19" s="9">
        <f>'T2'!H19*'Transformed-pop_x_region'!$L$4</f>
        <v>18618.827557707089</v>
      </c>
      <c r="I19" s="9">
        <f>'T2'!I19*'Transformed-pop_x_region'!$M$4</f>
        <v>19738.396594765978</v>
      </c>
      <c r="J19" s="9">
        <f>'T2'!I19*'Transformed-pop_x_region'!$O$4</f>
        <v>19944.725524442714</v>
      </c>
      <c r="K19" s="9">
        <f>'T2'!K19*'Transformed-pop_x_region'!$L$4</f>
        <v>18908.913158982254</v>
      </c>
      <c r="L19" s="9">
        <f>'T2'!L19*'Transformed-pop_x_region'!$M$4</f>
        <v>19866.655669766165</v>
      </c>
      <c r="M19" s="9">
        <f>'T2'!L19*'Transformed-pop_x_region'!$O$4</f>
        <v>20074.325314102225</v>
      </c>
      <c r="N19" s="9">
        <f>'T2'!N19*'Transformed-pop_x_region'!$L$4</f>
        <v>19192.330125745346</v>
      </c>
      <c r="O19" s="9">
        <f>'T2'!O19*'Transformed-pop_x_region'!$M$4</f>
        <v>20008.415700029534</v>
      </c>
      <c r="P19" s="9">
        <f>'T2'!O19*'Transformed-pop_x_region'!$O$4</f>
        <v>20217.567186883793</v>
      </c>
      <c r="Q19" s="8">
        <f t="shared" si="3"/>
        <v>93327.539996457985</v>
      </c>
      <c r="R19" s="7"/>
      <c r="S19" s="8">
        <f t="shared" si="4"/>
        <v>98843.868720540646</v>
      </c>
      <c r="T19" s="8">
        <f>SUM(P19,M19,J19,G19,D19)</f>
        <v>99877.10105733668</v>
      </c>
      <c r="U19" s="22">
        <f t="shared" si="7"/>
        <v>36607.469154023303</v>
      </c>
      <c r="W19" s="22">
        <f t="shared" si="8"/>
        <v>39230.400755978961</v>
      </c>
      <c r="X19" s="22">
        <f t="shared" si="5"/>
        <v>39640.483031907948</v>
      </c>
      <c r="Y19" s="7">
        <f t="shared" ref="Y19:Y28" si="9">SUM(H19,K19,N19)</f>
        <v>56720.070842434681</v>
      </c>
      <c r="Z19" s="22"/>
      <c r="AA19" s="22">
        <f t="shared" si="6"/>
        <v>59613.467964561685</v>
      </c>
      <c r="AB19" s="22">
        <f t="shared" si="6"/>
        <v>60236.618025428732</v>
      </c>
    </row>
    <row r="20" spans="1:28">
      <c r="A20">
        <v>2030</v>
      </c>
      <c r="B20" s="9">
        <f>'T2'!B20*'Transformed-pop_x_region'!$L$4</f>
        <v>18132.017238325778</v>
      </c>
      <c r="C20" s="9">
        <f>'T2'!C20*'Transformed-pop_x_region'!$M$4</f>
        <v>19593.261325686817</v>
      </c>
      <c r="D20" s="9">
        <f>'T2'!C20*'Transformed-pop_x_region'!$O$4</f>
        <v>19798.073130880635</v>
      </c>
      <c r="E20" s="9">
        <f>'T2'!E20*'Transformed-pop_x_region'!$L$4</f>
        <v>18265.389928567234</v>
      </c>
      <c r="F20" s="9">
        <f>'T2'!F20*'Transformed-pop_x_region'!$M$4</f>
        <v>19623.638475028965</v>
      </c>
      <c r="G20" s="9">
        <f>'T2'!F20*'Transformed-pop_x_region'!$O$4</f>
        <v>19828.767817905256</v>
      </c>
      <c r="H20" s="9">
        <f>'T2'!H20*'Transformed-pop_x_region'!$L$4</f>
        <v>18468.783281185453</v>
      </c>
      <c r="I20" s="9">
        <f>'T2'!I20*'Transformed-pop_x_region'!$M$4</f>
        <v>19738.396594765978</v>
      </c>
      <c r="J20" s="9">
        <f>'T2'!I20*'Transformed-pop_x_region'!$O$4</f>
        <v>19944.725524442714</v>
      </c>
      <c r="K20" s="9">
        <f>'T2'!K20*'Transformed-pop_x_region'!$L$4</f>
        <v>18762.203199716652</v>
      </c>
      <c r="L20" s="9">
        <f>'T2'!L20*'Transformed-pop_x_region'!$M$4</f>
        <v>19880.156625029344</v>
      </c>
      <c r="M20" s="9">
        <f>'T2'!L20*'Transformed-pop_x_region'!$O$4</f>
        <v>20087.967397224282</v>
      </c>
      <c r="N20" s="9">
        <f>'T2'!N20*'Transformed-pop_x_region'!$L$4</f>
        <v>19062.291752759927</v>
      </c>
      <c r="O20" s="9">
        <f>'T2'!O20*'Transformed-pop_x_region'!$M$4</f>
        <v>20045.543327003274</v>
      </c>
      <c r="P20" s="9">
        <f>'T2'!O20*'Transformed-pop_x_region'!$O$4</f>
        <v>20255.08291546944</v>
      </c>
      <c r="Q20" s="8">
        <f t="shared" si="3"/>
        <v>92690.685400555056</v>
      </c>
      <c r="R20" s="7"/>
      <c r="S20" s="8">
        <f t="shared" si="4"/>
        <v>98880.99634751436</v>
      </c>
      <c r="T20" s="8">
        <f t="shared" ref="T20:T28" si="10">SUM(P20,M20,J20,G20,D20)</f>
        <v>99914.616785922321</v>
      </c>
      <c r="U20" s="22">
        <f t="shared" si="7"/>
        <v>36397.407166893012</v>
      </c>
      <c r="W20" s="22">
        <f t="shared" si="8"/>
        <v>39216.899800715779</v>
      </c>
      <c r="X20" s="22">
        <f t="shared" si="5"/>
        <v>39626.840948785888</v>
      </c>
      <c r="Y20" s="7">
        <f t="shared" si="9"/>
        <v>56293.278233662037</v>
      </c>
      <c r="Z20" s="22"/>
      <c r="AA20" s="22">
        <f t="shared" si="6"/>
        <v>59664.096546798595</v>
      </c>
      <c r="AB20" s="22">
        <f t="shared" si="6"/>
        <v>60287.775837136433</v>
      </c>
    </row>
    <row r="21" spans="1:28">
      <c r="A21">
        <v>2031</v>
      </c>
      <c r="B21" s="9">
        <f>'T2'!B21*'Transformed-pop_x_region'!$L$4</f>
        <v>17988.641596316214</v>
      </c>
      <c r="C21" s="9">
        <f>'T2'!C21*'Transformed-pop_x_region'!$M$4</f>
        <v>19596.636564502609</v>
      </c>
      <c r="D21" s="9">
        <f>'T2'!C21*'Transformed-pop_x_region'!$O$4</f>
        <v>19801.48365166115</v>
      </c>
      <c r="E21" s="9">
        <f>'T2'!E21*'Transformed-pop_x_region'!$L$4</f>
        <v>18158.691776374071</v>
      </c>
      <c r="F21" s="9">
        <f>'T2'!F21*'Transformed-pop_x_region'!$M$4</f>
        <v>19620.26323621317</v>
      </c>
      <c r="G21" s="9">
        <f>'T2'!F21*'Transformed-pop_x_region'!$O$4</f>
        <v>19825.357297124745</v>
      </c>
      <c r="H21" s="9">
        <f>'T2'!H21*'Transformed-pop_x_region'!$L$4</f>
        <v>18355.416494480218</v>
      </c>
      <c r="I21" s="9">
        <f>'T2'!I21*'Transformed-pop_x_region'!$M$4</f>
        <v>19731.646117134387</v>
      </c>
      <c r="J21" s="9">
        <f>'T2'!I21*'Transformed-pop_x_region'!$O$4</f>
        <v>19937.904482881688</v>
      </c>
      <c r="K21" s="9">
        <f>'T2'!K21*'Transformed-pop_x_region'!$L$4</f>
        <v>18612.158923195017</v>
      </c>
      <c r="L21" s="9">
        <f>'T2'!L21*'Transformed-pop_x_region'!$M$4</f>
        <v>19883.531863845139</v>
      </c>
      <c r="M21" s="9">
        <f>'T2'!L21*'Transformed-pop_x_region'!$O$4</f>
        <v>20091.377918004793</v>
      </c>
      <c r="N21" s="9">
        <f>'T2'!N21*'Transformed-pop_x_region'!$L$4</f>
        <v>18942.256331542616</v>
      </c>
      <c r="O21" s="9">
        <f>'T2'!O21*'Transformed-pop_x_region'!$M$4</f>
        <v>20062.419521082244</v>
      </c>
      <c r="P21" s="9">
        <f>'T2'!O21*'Transformed-pop_x_region'!$O$4</f>
        <v>20272.135519372008</v>
      </c>
      <c r="Q21" s="8">
        <f t="shared" si="3"/>
        <v>92057.165121908125</v>
      </c>
      <c r="R21" s="7"/>
      <c r="S21" s="8">
        <f t="shared" si="4"/>
        <v>98894.497302777541</v>
      </c>
      <c r="T21" s="8">
        <f t="shared" si="10"/>
        <v>99928.258869044395</v>
      </c>
      <c r="U21" s="22">
        <f t="shared" si="7"/>
        <v>36147.333372690286</v>
      </c>
      <c r="W21" s="22">
        <f t="shared" si="8"/>
        <v>39216.899800715779</v>
      </c>
      <c r="X21" s="22">
        <f t="shared" si="5"/>
        <v>39626.840948785895</v>
      </c>
      <c r="Y21" s="7">
        <f t="shared" si="9"/>
        <v>55909.831749217854</v>
      </c>
      <c r="Z21" s="22"/>
      <c r="AA21" s="22">
        <f t="shared" si="6"/>
        <v>59677.59750206177</v>
      </c>
      <c r="AB21" s="22">
        <f t="shared" si="6"/>
        <v>60301.417920258493</v>
      </c>
    </row>
    <row r="22" spans="1:28">
      <c r="A22">
        <v>2032</v>
      </c>
      <c r="B22" s="9">
        <f>'T2'!B22*'Transformed-pop_x_region'!$L$4</f>
        <v>17925.289568451524</v>
      </c>
      <c r="C22" s="9">
        <f>'T2'!C22*'Transformed-pop_x_region'!$M$4</f>
        <v>19610.137519765787</v>
      </c>
      <c r="D22" s="9">
        <f>'T2'!C22*'Transformed-pop_x_region'!$O$4</f>
        <v>19815.125734783203</v>
      </c>
      <c r="E22" s="9">
        <f>'T2'!E22*'Transformed-pop_x_region'!$L$4</f>
        <v>18008.647499852432</v>
      </c>
      <c r="F22" s="9">
        <f>'T2'!F22*'Transformed-pop_x_region'!$M$4</f>
        <v>19623.638475028965</v>
      </c>
      <c r="G22" s="9">
        <f>'T2'!F22*'Transformed-pop_x_region'!$O$4</f>
        <v>19828.767817905256</v>
      </c>
      <c r="H22" s="9">
        <f>'T2'!H22*'Transformed-pop_x_region'!$L$4</f>
        <v>18268.724245823272</v>
      </c>
      <c r="I22" s="9">
        <f>'T2'!I22*'Transformed-pop_x_region'!$M$4</f>
        <v>19728.270878318595</v>
      </c>
      <c r="J22" s="9">
        <f>'T2'!I22*'Transformed-pop_x_region'!$O$4</f>
        <v>19934.493962101176</v>
      </c>
      <c r="K22" s="9">
        <f>'T2'!K22*'Transformed-pop_x_region'!$L$4</f>
        <v>18495.457819233743</v>
      </c>
      <c r="L22" s="9">
        <f>'T2'!L22*'Transformed-pop_x_region'!$M$4</f>
        <v>19880.156625029344</v>
      </c>
      <c r="M22" s="9">
        <f>'T2'!L22*'Transformed-pop_x_region'!$O$4</f>
        <v>20087.967397224282</v>
      </c>
      <c r="N22" s="9">
        <f>'T2'!N22*'Transformed-pop_x_region'!$L$4</f>
        <v>18775.540468740797</v>
      </c>
      <c r="O22" s="9">
        <f>'T2'!O22*'Transformed-pop_x_region'!$M$4</f>
        <v>20065.794759898039</v>
      </c>
      <c r="P22" s="9">
        <f>'T2'!O22*'Transformed-pop_x_region'!$O$4</f>
        <v>20275.54604015252</v>
      </c>
      <c r="Q22" s="8">
        <f t="shared" si="3"/>
        <v>91473.659602101776</v>
      </c>
      <c r="R22" s="7"/>
      <c r="S22" s="8">
        <f t="shared" si="4"/>
        <v>98907.998258040723</v>
      </c>
      <c r="T22" s="8">
        <f t="shared" si="10"/>
        <v>99941.900952166441</v>
      </c>
      <c r="U22" s="22">
        <f t="shared" si="7"/>
        <v>35933.93706830396</v>
      </c>
      <c r="W22" s="22">
        <f t="shared" si="8"/>
        <v>39233.775994794749</v>
      </c>
      <c r="X22" s="22">
        <f t="shared" si="5"/>
        <v>39643.89355268846</v>
      </c>
      <c r="Y22" s="7">
        <f t="shared" si="9"/>
        <v>55539.722533797816</v>
      </c>
      <c r="Z22" s="22"/>
      <c r="AA22" s="22">
        <f t="shared" si="6"/>
        <v>59674.222263245974</v>
      </c>
      <c r="AB22" s="22">
        <f t="shared" si="6"/>
        <v>60298.007399477981</v>
      </c>
    </row>
    <row r="23" spans="1:28">
      <c r="A23">
        <v>2033</v>
      </c>
      <c r="B23" s="9">
        <f>'T2'!B23*'Transformed-pop_x_region'!$L$4</f>
        <v>17861.937540586834</v>
      </c>
      <c r="C23" s="9">
        <f>'T2'!C23*'Transformed-pop_x_region'!$M$4</f>
        <v>19647.265146739526</v>
      </c>
      <c r="D23" s="9">
        <f>'T2'!C23*'Transformed-pop_x_region'!$O$4</f>
        <v>19852.641463368851</v>
      </c>
      <c r="E23" s="9">
        <f>'T2'!E23*'Transformed-pop_x_region'!$L$4</f>
        <v>17961.967058267925</v>
      </c>
      <c r="F23" s="9">
        <f>'T2'!F23*'Transformed-pop_x_region'!$M$4</f>
        <v>19640.514669107939</v>
      </c>
      <c r="G23" s="9">
        <f>'T2'!F23*'Transformed-pop_x_region'!$O$4</f>
        <v>19845.820421807824</v>
      </c>
      <c r="H23" s="9">
        <f>'T2'!H23*'Transformed-pop_x_region'!$L$4</f>
        <v>18128.682921069743</v>
      </c>
      <c r="I23" s="9">
        <f>'T2'!I23*'Transformed-pop_x_region'!$M$4</f>
        <v>19735.021355950183</v>
      </c>
      <c r="J23" s="9">
        <f>'T2'!I23*'Transformed-pop_x_region'!$O$4</f>
        <v>19941.315003662203</v>
      </c>
      <c r="K23" s="9">
        <f>'T2'!K23*'Transformed-pop_x_region'!$L$4</f>
        <v>18398.762618808691</v>
      </c>
      <c r="L23" s="9">
        <f>'T2'!L23*'Transformed-pop_x_region'!$M$4</f>
        <v>19876.781386213548</v>
      </c>
      <c r="M23" s="9">
        <f>'T2'!L23*'Transformed-pop_x_region'!$O$4</f>
        <v>20084.556876443767</v>
      </c>
      <c r="N23" s="9">
        <f>'T2'!N23*'Transformed-pop_x_region'!$L$4</f>
        <v>18648.836413011417</v>
      </c>
      <c r="O23" s="9">
        <f>'T2'!O23*'Transformed-pop_x_region'!$M$4</f>
        <v>20062.419521082244</v>
      </c>
      <c r="P23" s="9">
        <f>'T2'!O23*'Transformed-pop_x_region'!$O$4</f>
        <v>20272.135519372008</v>
      </c>
      <c r="Q23" s="8">
        <f t="shared" si="3"/>
        <v>91000.186551744613</v>
      </c>
      <c r="R23" s="7"/>
      <c r="S23" s="8">
        <f t="shared" si="4"/>
        <v>98962.00207909345</v>
      </c>
      <c r="T23" s="8">
        <f t="shared" si="10"/>
        <v>99996.469284654653</v>
      </c>
      <c r="U23" s="22">
        <f t="shared" si="7"/>
        <v>35823.904598854759</v>
      </c>
      <c r="W23" s="22">
        <f t="shared" si="8"/>
        <v>39287.779815847462</v>
      </c>
      <c r="X23" s="22">
        <f t="shared" si="5"/>
        <v>39698.461885176672</v>
      </c>
      <c r="Y23" s="7">
        <f t="shared" si="9"/>
        <v>55176.281952889854</v>
      </c>
      <c r="Z23" s="22"/>
      <c r="AA23" s="22">
        <f t="shared" si="6"/>
        <v>59674.222263245974</v>
      </c>
      <c r="AB23" s="22">
        <f t="shared" si="6"/>
        <v>60298.007399477981</v>
      </c>
    </row>
    <row r="24" spans="1:28">
      <c r="A24">
        <v>2034</v>
      </c>
      <c r="B24" s="9">
        <f>'T2'!B24*'Transformed-pop_x_region'!$L$4</f>
        <v>17875.274809610979</v>
      </c>
      <c r="C24" s="9">
        <f>'T2'!C24*'Transformed-pop_x_region'!$M$4</f>
        <v>19704.644206608031</v>
      </c>
      <c r="D24" s="9">
        <f>'T2'!C24*'Transformed-pop_x_region'!$O$4</f>
        <v>19910.620316637582</v>
      </c>
      <c r="E24" s="9">
        <f>'T2'!E24*'Transformed-pop_x_region'!$L$4</f>
        <v>17901.949347659269</v>
      </c>
      <c r="F24" s="9">
        <f>'T2'!F24*'Transformed-pop_x_region'!$M$4</f>
        <v>19677.642296081678</v>
      </c>
      <c r="G24" s="9">
        <f>'T2'!F24*'Transformed-pop_x_region'!$O$4</f>
        <v>19883.336150393472</v>
      </c>
      <c r="H24" s="9">
        <f>'T2'!H24*'Transformed-pop_x_region'!$L$4</f>
        <v>18065.330893205053</v>
      </c>
      <c r="I24" s="9">
        <f>'T2'!I24*'Transformed-pop_x_region'!$M$4</f>
        <v>19751.897550029156</v>
      </c>
      <c r="J24" s="9">
        <f>'T2'!I24*'Transformed-pop_x_region'!$O$4</f>
        <v>19958.367607564767</v>
      </c>
      <c r="K24" s="9">
        <f>'T2'!K24*'Transformed-pop_x_region'!$L$4</f>
        <v>18272.058563079307</v>
      </c>
      <c r="L24" s="9">
        <f>'T2'!L24*'Transformed-pop_x_region'!$M$4</f>
        <v>19883.531863845139</v>
      </c>
      <c r="M24" s="9">
        <f>'T2'!L24*'Transformed-pop_x_region'!$O$4</f>
        <v>20091.377918004793</v>
      </c>
      <c r="N24" s="9">
        <f>'T2'!N24*'Transformed-pop_x_region'!$L$4</f>
        <v>18558.809847098433</v>
      </c>
      <c r="O24" s="9">
        <f>'T2'!O24*'Transformed-pop_x_region'!$M$4</f>
        <v>20062.419521082244</v>
      </c>
      <c r="P24" s="9">
        <f>'T2'!O24*'Transformed-pop_x_region'!$O$4</f>
        <v>20272.135519372008</v>
      </c>
      <c r="Q24" s="8">
        <f t="shared" si="3"/>
        <v>90673.423460653052</v>
      </c>
      <c r="R24" s="7"/>
      <c r="S24" s="8">
        <f t="shared" si="4"/>
        <v>99080.13543764624</v>
      </c>
      <c r="T24" s="8">
        <f t="shared" si="10"/>
        <v>100115.83751197263</v>
      </c>
      <c r="U24" s="22">
        <f t="shared" si="7"/>
        <v>35777.224157270248</v>
      </c>
      <c r="W24" s="22">
        <f t="shared" si="8"/>
        <v>39382.286502689705</v>
      </c>
      <c r="X24" s="22">
        <f t="shared" si="5"/>
        <v>39793.95646703105</v>
      </c>
      <c r="Y24" s="7">
        <f t="shared" si="9"/>
        <v>54896.199303382797</v>
      </c>
      <c r="Z24" s="22"/>
      <c r="AA24" s="22">
        <f t="shared" si="6"/>
        <v>59697.848934956543</v>
      </c>
      <c r="AB24" s="22">
        <f t="shared" si="6"/>
        <v>60321.881044941569</v>
      </c>
    </row>
    <row r="25" spans="1:28">
      <c r="A25">
        <v>2035</v>
      </c>
      <c r="B25" s="9">
        <f>'T2'!B25*'Transformed-pop_x_region'!$L$4</f>
        <v>17828.594368026468</v>
      </c>
      <c r="C25" s="9">
        <f>'T2'!C25*'Transformed-pop_x_region'!$M$4</f>
        <v>19785.6499381871</v>
      </c>
      <c r="D25" s="9">
        <f>'T2'!C25*'Transformed-pop_x_region'!$O$4</f>
        <v>19992.472815369903</v>
      </c>
      <c r="E25" s="9">
        <f>'T2'!E25*'Transformed-pop_x_region'!$L$4</f>
        <v>17891.946395891162</v>
      </c>
      <c r="F25" s="9">
        <f>'T2'!F25*'Transformed-pop_x_region'!$M$4</f>
        <v>19735.021355950183</v>
      </c>
      <c r="G25" s="9">
        <f>'T2'!F25*'Transformed-pop_x_region'!$O$4</f>
        <v>19941.315003662203</v>
      </c>
      <c r="H25" s="9">
        <f>'T2'!H25*'Transformed-pop_x_region'!$L$4</f>
        <v>18045.324989668832</v>
      </c>
      <c r="I25" s="9">
        <f>'T2'!I25*'Transformed-pop_x_region'!$M$4</f>
        <v>19789.025177002895</v>
      </c>
      <c r="J25" s="9">
        <f>'T2'!I25*'Transformed-pop_x_region'!$O$4</f>
        <v>19995.883336150418</v>
      </c>
      <c r="K25" s="9">
        <f>'T2'!K25*'Transformed-pop_x_region'!$L$4</f>
        <v>18225.378121494799</v>
      </c>
      <c r="L25" s="9">
        <f>'T2'!L25*'Transformed-pop_x_region'!$M$4</f>
        <v>19903.783296739904</v>
      </c>
      <c r="M25" s="9">
        <f>'T2'!L25*'Transformed-pop_x_region'!$O$4</f>
        <v>20111.841042687876</v>
      </c>
      <c r="N25" s="9">
        <f>'T2'!N25*'Transformed-pop_x_region'!$L$4</f>
        <v>18442.108743137163</v>
      </c>
      <c r="O25" s="9">
        <f>'T2'!O25*'Transformed-pop_x_region'!$M$4</f>
        <v>20069.169998713835</v>
      </c>
      <c r="P25" s="9">
        <f>'T2'!O25*'Transformed-pop_x_region'!$O$4</f>
        <v>20278.956560933035</v>
      </c>
      <c r="Q25" s="8">
        <f t="shared" si="3"/>
        <v>90433.352618218429</v>
      </c>
      <c r="R25" s="7"/>
      <c r="S25" s="8">
        <f t="shared" si="4"/>
        <v>99282.64976659391</v>
      </c>
      <c r="T25" s="8">
        <f t="shared" si="10"/>
        <v>100320.46875880344</v>
      </c>
      <c r="U25" s="22">
        <f t="shared" si="7"/>
        <v>35720.540763917626</v>
      </c>
      <c r="W25" s="22">
        <f t="shared" si="8"/>
        <v>39520.671294137283</v>
      </c>
      <c r="X25" s="22">
        <f t="shared" si="5"/>
        <v>39933.787819032106</v>
      </c>
      <c r="Y25" s="7">
        <f t="shared" si="9"/>
        <v>54712.811854300795</v>
      </c>
      <c r="Z25" s="22"/>
      <c r="AA25" s="22">
        <f t="shared" si="6"/>
        <v>59761.978472456634</v>
      </c>
      <c r="AB25" s="22">
        <f t="shared" si="6"/>
        <v>60386.680939771322</v>
      </c>
    </row>
    <row r="26" spans="1:28">
      <c r="A26">
        <v>2036</v>
      </c>
      <c r="B26" s="9">
        <f>'T2'!B26*'Transformed-pop_x_region'!$L$4</f>
        <v>17858.603223330796</v>
      </c>
      <c r="C26" s="9">
        <f>'T2'!C26*'Transformed-pop_x_region'!$M$4</f>
        <v>19893.657580292522</v>
      </c>
      <c r="D26" s="9">
        <f>'T2'!C26*'Transformed-pop_x_region'!$O$4</f>
        <v>20101.609480346335</v>
      </c>
      <c r="E26" s="9">
        <f>'T2'!E26*'Transformed-pop_x_region'!$L$4</f>
        <v>17878.609126867013</v>
      </c>
      <c r="F26" s="9">
        <f>'T2'!F26*'Transformed-pop_x_region'!$M$4</f>
        <v>19819.402326345044</v>
      </c>
      <c r="G26" s="9">
        <f>'T2'!F26*'Transformed-pop_x_region'!$O$4</f>
        <v>20026.57802317504</v>
      </c>
      <c r="H26" s="9">
        <f>'T2'!H26*'Transformed-pop_x_region'!$L$4</f>
        <v>17995.310230828287</v>
      </c>
      <c r="I26" s="9">
        <f>'T2'!I26*'Transformed-pop_x_region'!$M$4</f>
        <v>19849.779475687195</v>
      </c>
      <c r="J26" s="9">
        <f>'T2'!I26*'Transformed-pop_x_region'!$O$4</f>
        <v>20057.272710199661</v>
      </c>
      <c r="K26" s="9">
        <f>'T2'!K26*'Transformed-pop_x_region'!$L$4</f>
        <v>18185.366314422361</v>
      </c>
      <c r="L26" s="9">
        <f>'T2'!L26*'Transformed-pop_x_region'!$M$4</f>
        <v>19940.910923713644</v>
      </c>
      <c r="M26" s="9">
        <f>'T2'!L26*'Transformed-pop_x_region'!$O$4</f>
        <v>20149.356771273524</v>
      </c>
      <c r="N26" s="9">
        <f>'T2'!N26*'Transformed-pop_x_region'!$L$4</f>
        <v>18388.75966704058</v>
      </c>
      <c r="O26" s="9">
        <f>'T2'!O26*'Transformed-pop_x_region'!$M$4</f>
        <v>20092.796670424395</v>
      </c>
      <c r="P26" s="9">
        <f>'T2'!O26*'Transformed-pop_x_region'!$O$4</f>
        <v>20302.830206396629</v>
      </c>
      <c r="Q26" s="8">
        <f t="shared" si="3"/>
        <v>90306.648562489019</v>
      </c>
      <c r="R26" s="7"/>
      <c r="S26" s="8">
        <f t="shared" si="4"/>
        <v>99596.546976462792</v>
      </c>
      <c r="T26" s="8">
        <f t="shared" si="10"/>
        <v>100637.64719139118</v>
      </c>
      <c r="U26" s="22">
        <f t="shared" si="7"/>
        <v>35737.212350197806</v>
      </c>
      <c r="W26" s="22">
        <f t="shared" si="8"/>
        <v>39713.059906637565</v>
      </c>
      <c r="X26" s="22">
        <f t="shared" si="5"/>
        <v>40128.187503521374</v>
      </c>
      <c r="Y26" s="7">
        <f t="shared" si="9"/>
        <v>54569.436212291228</v>
      </c>
      <c r="Z26" s="22"/>
      <c r="AA26" s="22">
        <f t="shared" si="6"/>
        <v>59883.487069825234</v>
      </c>
      <c r="AB26" s="22">
        <f t="shared" si="6"/>
        <v>60509.459687869807</v>
      </c>
    </row>
    <row r="27" spans="1:28">
      <c r="A27">
        <v>2037</v>
      </c>
      <c r="B27" s="9">
        <f>'T2'!B27*'Transformed-pop_x_region'!$L$4</f>
        <v>17905.283664915307</v>
      </c>
      <c r="C27" s="9">
        <f>'T2'!C27*'Transformed-pop_x_region'!$M$4</f>
        <v>20021.916655292713</v>
      </c>
      <c r="D27" s="9">
        <f>'T2'!C27*'Transformed-pop_x_region'!$O$4</f>
        <v>20231.209270005846</v>
      </c>
      <c r="E27" s="9">
        <f>'T2'!E27*'Transformed-pop_x_region'!$L$4</f>
        <v>17861.937540586834</v>
      </c>
      <c r="F27" s="9">
        <f>'T2'!F27*'Transformed-pop_x_region'!$M$4</f>
        <v>19930.785207266261</v>
      </c>
      <c r="G27" s="9">
        <f>'T2'!F27*'Transformed-pop_x_region'!$O$4</f>
        <v>20139.125208931982</v>
      </c>
      <c r="H27" s="9">
        <f>'T2'!H27*'Transformed-pop_x_region'!$L$4</f>
        <v>17988.641596316214</v>
      </c>
      <c r="I27" s="9">
        <f>'T2'!I27*'Transformed-pop_x_region'!$M$4</f>
        <v>19934.160446082056</v>
      </c>
      <c r="J27" s="9">
        <f>'T2'!I27*'Transformed-pop_x_region'!$O$4</f>
        <v>20142.535729712497</v>
      </c>
      <c r="K27" s="9">
        <f>'T2'!K27*'Transformed-pop_x_region'!$L$4</f>
        <v>18135.351555581816</v>
      </c>
      <c r="L27" s="9">
        <f>'T2'!L27*'Transformed-pop_x_region'!$M$4</f>
        <v>20005.040461213739</v>
      </c>
      <c r="M27" s="9">
        <f>'T2'!L27*'Transformed-pop_x_region'!$O$4</f>
        <v>20214.156666103278</v>
      </c>
      <c r="N27" s="9">
        <f>'T2'!N27*'Transformed-pop_x_region'!$L$4</f>
        <v>18372.088080760397</v>
      </c>
      <c r="O27" s="9">
        <f>'T2'!O27*'Transformed-pop_x_region'!$M$4</f>
        <v>20129.924297398135</v>
      </c>
      <c r="P27" s="9">
        <f>'T2'!O27*'Transformed-pop_x_region'!$O$4</f>
        <v>20340.345934982277</v>
      </c>
      <c r="Q27" s="8">
        <f t="shared" si="3"/>
        <v>90263.302438160565</v>
      </c>
      <c r="R27" s="7"/>
      <c r="S27" s="8">
        <f t="shared" si="4"/>
        <v>100021.82706725289</v>
      </c>
      <c r="T27" s="8">
        <f t="shared" si="10"/>
        <v>101067.37280973588</v>
      </c>
      <c r="U27" s="22">
        <f t="shared" si="7"/>
        <v>35767.221205502137</v>
      </c>
      <c r="W27" s="22">
        <f t="shared" si="8"/>
        <v>39952.70186255897</v>
      </c>
      <c r="X27" s="22">
        <f t="shared" si="5"/>
        <v>40370.334478937832</v>
      </c>
      <c r="Y27" s="7">
        <f t="shared" si="9"/>
        <v>54496.081232658427</v>
      </c>
      <c r="Z27" s="22"/>
      <c r="AA27" s="22">
        <f t="shared" si="6"/>
        <v>60069.125204693933</v>
      </c>
      <c r="AB27" s="22">
        <f t="shared" si="6"/>
        <v>60697.038330798052</v>
      </c>
    </row>
    <row r="28" spans="1:28">
      <c r="A28">
        <v>2038</v>
      </c>
      <c r="B28" s="9">
        <f>'T2'!B28*'Transformed-pop_x_region'!$L$4</f>
        <v>18001.978865340359</v>
      </c>
      <c r="C28" s="9">
        <f>'T2'!C28*'Transformed-pop_x_region'!$M$4</f>
        <v>20167.051924371874</v>
      </c>
      <c r="D28" s="9">
        <f>'T2'!C28*'Transformed-pop_x_region'!$O$4</f>
        <v>20377.861663567925</v>
      </c>
      <c r="E28" s="9">
        <f>'T2'!E28*'Transformed-pop_x_region'!$L$4</f>
        <v>17975.30432729207</v>
      </c>
      <c r="F28" s="9">
        <f>'T2'!F28*'Transformed-pop_x_region'!$M$4</f>
        <v>20059.044282266452</v>
      </c>
      <c r="G28" s="9">
        <f>'T2'!F28*'Transformed-pop_x_region'!$O$4</f>
        <v>20268.724998591493</v>
      </c>
      <c r="H28" s="9">
        <f>'T2'!H28*'Transformed-pop_x_region'!$L$4</f>
        <v>17998.644548084325</v>
      </c>
      <c r="I28" s="9">
        <f>'T2'!I28*'Transformed-pop_x_region'!$M$4</f>
        <v>20045.543327003274</v>
      </c>
      <c r="J28" s="9">
        <f>'T2'!I28*'Transformed-pop_x_region'!$O$4</f>
        <v>20255.08291546944</v>
      </c>
      <c r="K28" s="9">
        <f>'T2'!K28*'Transformed-pop_x_region'!$L$4</f>
        <v>18132.017238325778</v>
      </c>
      <c r="L28" s="9">
        <f>'T2'!L28*'Transformed-pop_x_region'!$M$4</f>
        <v>20089.4214316086</v>
      </c>
      <c r="M28" s="9">
        <f>'T2'!L28*'Transformed-pop_x_region'!$O$4</f>
        <v>20299.419685616114</v>
      </c>
      <c r="N28" s="9">
        <f>'T2'!N28*'Transformed-pop_x_region'!$L$4</f>
        <v>18332.076273687962</v>
      </c>
      <c r="O28" s="9">
        <f>'T2'!O28*'Transformed-pop_x_region'!$M$4</f>
        <v>20194.05383489823</v>
      </c>
      <c r="P28" s="9">
        <f>'T2'!O28*'Transformed-pop_x_region'!$O$4</f>
        <v>20405.145829812031</v>
      </c>
      <c r="Q28" s="8">
        <f t="shared" si="3"/>
        <v>90440.021252730483</v>
      </c>
      <c r="R28" s="7"/>
      <c r="S28" s="8">
        <f t="shared" si="4"/>
        <v>100555.11480014841</v>
      </c>
      <c r="T28" s="8">
        <f t="shared" si="10"/>
        <v>101606.235093057</v>
      </c>
      <c r="U28" s="22">
        <f t="shared" si="7"/>
        <v>35977.283192632429</v>
      </c>
      <c r="W28" s="22">
        <f t="shared" si="8"/>
        <v>40226.096206638322</v>
      </c>
      <c r="X28" s="22">
        <f t="shared" si="5"/>
        <v>40646.586662159418</v>
      </c>
      <c r="Y28" s="7">
        <f t="shared" si="9"/>
        <v>54462.738060098061</v>
      </c>
      <c r="Z28" s="22"/>
      <c r="AA28" s="22">
        <f t="shared" si="6"/>
        <v>60329.018593510104</v>
      </c>
      <c r="AB28" s="22">
        <f t="shared" si="6"/>
        <v>60959.648430897578</v>
      </c>
    </row>
  </sheetData>
  <mergeCells count="8">
    <mergeCell ref="U3:X3"/>
    <mergeCell ref="Y3:AB3"/>
    <mergeCell ref="B3:D3"/>
    <mergeCell ref="E3:G3"/>
    <mergeCell ref="H3:J3"/>
    <mergeCell ref="K3:M3"/>
    <mergeCell ref="N3:P3"/>
    <mergeCell ref="Q3:T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3E5A5-D1EF-4AD1-94CB-B2E3530FF92C}">
  <dimension ref="A1:P46"/>
  <sheetViews>
    <sheetView topLeftCell="A18" workbookViewId="0">
      <selection activeCell="H34" sqref="H34"/>
    </sheetView>
  </sheetViews>
  <sheetFormatPr defaultColWidth="8.85546875" defaultRowHeight="14.65"/>
  <cols>
    <col min="2" max="2" width="19.28515625" bestFit="1" customWidth="1"/>
    <col min="3" max="5" width="10.42578125" bestFit="1" customWidth="1"/>
    <col min="6" max="6" width="12" bestFit="1" customWidth="1"/>
    <col min="8" max="8" width="12.140625" bestFit="1" customWidth="1"/>
  </cols>
  <sheetData>
    <row r="1" spans="1:16">
      <c r="A1" s="6" t="s">
        <v>258</v>
      </c>
      <c r="H1" s="143" t="s">
        <v>259</v>
      </c>
    </row>
    <row r="2" spans="1:16">
      <c r="A2" s="1" t="s">
        <v>260</v>
      </c>
      <c r="B2" s="1" t="s">
        <v>230</v>
      </c>
      <c r="C2" s="1" t="s">
        <v>231</v>
      </c>
      <c r="D2" s="1" t="s">
        <v>232</v>
      </c>
      <c r="E2" s="1" t="s">
        <v>233</v>
      </c>
      <c r="F2" s="1" t="s">
        <v>234</v>
      </c>
      <c r="H2" s="1" t="s">
        <v>229</v>
      </c>
      <c r="I2" s="1" t="s">
        <v>236</v>
      </c>
      <c r="K2" s="1"/>
      <c r="L2" s="1" t="s">
        <v>261</v>
      </c>
      <c r="M2" s="1" t="s">
        <v>262</v>
      </c>
      <c r="N2" s="1" t="s">
        <v>263</v>
      </c>
      <c r="O2" s="1" t="s">
        <v>264</v>
      </c>
      <c r="P2" s="1" t="s">
        <v>265</v>
      </c>
    </row>
    <row r="3" spans="1:16">
      <c r="A3" s="1">
        <v>2015</v>
      </c>
      <c r="B3">
        <f>MROUND(FigureNZAKLU5PopEstimates[[#This Row],[Total]]*NationalU5Proportions[[#This Row],[0]],5)</f>
        <v>21105</v>
      </c>
      <c r="C3">
        <f>MROUND(FigureNZAKLU5PopEstimates[[#This Row],[Total]]*NationalU5Proportions[[#This Row],[1]],5)</f>
        <v>21155</v>
      </c>
      <c r="D3">
        <f>MROUND(FigureNZAKLU5PopEstimates[[#This Row],[Total]]*NationalU5Proportions[[#This Row],[2]],5)</f>
        <v>21970</v>
      </c>
      <c r="E3">
        <f>MROUND(FigureNZAKLU5PopEstimates[[#This Row],[Total]]*NationalU5Proportions[[#This Row],[3]],5)</f>
        <v>22385</v>
      </c>
      <c r="F3">
        <f>MROUND(FigureNZAKLU5PopEstimates[[#This Row],[Total]]*NationalU5Proportions[[#This Row],[4]],5)</f>
        <v>22790</v>
      </c>
      <c r="H3" s="167">
        <v>2015</v>
      </c>
      <c r="I3">
        <v>109410</v>
      </c>
      <c r="L3">
        <v>0.1928835883490056</v>
      </c>
      <c r="M3">
        <v>0.19337505324203008</v>
      </c>
      <c r="N3">
        <v>0.20081255528980047</v>
      </c>
      <c r="O3">
        <v>0.20461321712918973</v>
      </c>
      <c r="P3">
        <v>0.20831558598997413</v>
      </c>
    </row>
    <row r="4" spans="1:16">
      <c r="A4" s="1">
        <v>2016</v>
      </c>
      <c r="B4">
        <f>MROUND(FigureNZAKLU5PopEstimates[[#This Row],[Total]]*NationalU5Proportions[[#This Row],[0]],5)</f>
        <v>21315</v>
      </c>
      <c r="C4">
        <f>MROUND(FigureNZAKLU5PopEstimates[[#This Row],[Total]]*NationalU5Proportions[[#This Row],[1]],5)</f>
        <v>21370</v>
      </c>
      <c r="D4">
        <f>MROUND(FigureNZAKLU5PopEstimates[[#This Row],[Total]]*NationalU5Proportions[[#This Row],[2]],5)</f>
        <v>21525</v>
      </c>
      <c r="E4">
        <f>MROUND(FigureNZAKLU5PopEstimates[[#This Row],[Total]]*NationalU5Proportions[[#This Row],[3]],5)</f>
        <v>22405</v>
      </c>
      <c r="F4">
        <f>MROUND(FigureNZAKLU5PopEstimates[[#This Row],[Total]]*NationalU5Proportions[[#This Row],[4]],5)</f>
        <v>22730</v>
      </c>
      <c r="H4" s="167">
        <v>2016</v>
      </c>
      <c r="I4">
        <v>109340</v>
      </c>
      <c r="L4">
        <v>0.19493945062518461</v>
      </c>
      <c r="M4">
        <v>0.19543172196514719</v>
      </c>
      <c r="N4">
        <v>0.19684289980637326</v>
      </c>
      <c r="O4">
        <v>0.2049161497817597</v>
      </c>
      <c r="P4">
        <v>0.20786977782153523</v>
      </c>
    </row>
    <row r="5" spans="1:16">
      <c r="A5" s="1">
        <v>2017</v>
      </c>
      <c r="B5">
        <f>MROUND(FigureNZAKLU5PopEstimates[[#This Row],[Total]]*NationalU5Proportions[[#This Row],[0]],5)</f>
        <v>21490</v>
      </c>
      <c r="C5">
        <f>MROUND(FigureNZAKLU5PopEstimates[[#This Row],[Total]]*NationalU5Proportions[[#This Row],[1]],5)</f>
        <v>21425</v>
      </c>
      <c r="D5">
        <f>MROUND(FigureNZAKLU5PopEstimates[[#This Row],[Total]]*NationalU5Proportions[[#This Row],[2]],5)</f>
        <v>21710</v>
      </c>
      <c r="E5">
        <f>MROUND(FigureNZAKLU5PopEstimates[[#This Row],[Total]]*NationalU5Proportions[[#This Row],[3]],5)</f>
        <v>21860</v>
      </c>
      <c r="F5">
        <f>MROUND(FigureNZAKLU5PopEstimates[[#This Row],[Total]]*NationalU5Proportions[[#This Row],[4]],5)</f>
        <v>22675</v>
      </c>
      <c r="H5" s="167">
        <v>2017</v>
      </c>
      <c r="I5">
        <v>109160</v>
      </c>
      <c r="L5">
        <v>0.19687745483110761</v>
      </c>
      <c r="M5">
        <v>0.19628829536527886</v>
      </c>
      <c r="N5">
        <v>0.19887405079863837</v>
      </c>
      <c r="O5">
        <v>0.20024875621890548</v>
      </c>
      <c r="P5">
        <v>0.20771144278606965</v>
      </c>
    </row>
    <row r="6" spans="1:16">
      <c r="A6" s="1">
        <v>2018</v>
      </c>
      <c r="B6">
        <f>MROUND(FigureNZAKLU5PopEstimates[[#This Row],[Total]]*NationalU5Proportions[[#This Row],[0]],5)</f>
        <v>20970</v>
      </c>
      <c r="C6">
        <f>MROUND(FigureNZAKLU5PopEstimates[[#This Row],[Total]]*NationalU5Proportions[[#This Row],[1]],5)</f>
        <v>21315</v>
      </c>
      <c r="D6">
        <f>MROUND(FigureNZAKLU5PopEstimates[[#This Row],[Total]]*NationalU5Proportions[[#This Row],[2]],5)</f>
        <v>21445</v>
      </c>
      <c r="E6">
        <f>MROUND(FigureNZAKLU5PopEstimates[[#This Row],[Total]]*NationalU5Proportions[[#This Row],[3]],5)</f>
        <v>21795</v>
      </c>
      <c r="F6">
        <f>MROUND(FigureNZAKLU5PopEstimates[[#This Row],[Total]]*NationalU5Proportions[[#This Row],[4]],5)</f>
        <v>21910</v>
      </c>
      <c r="H6" s="167">
        <v>2018</v>
      </c>
      <c r="I6">
        <v>107440</v>
      </c>
      <c r="L6">
        <v>0.19516113169196472</v>
      </c>
      <c r="M6">
        <v>0.1984067140936957</v>
      </c>
      <c r="N6">
        <v>0.19961970953676689</v>
      </c>
      <c r="O6">
        <v>0.20286529193849787</v>
      </c>
      <c r="P6">
        <v>0.20394715273907485</v>
      </c>
    </row>
    <row r="7" spans="1:16">
      <c r="A7" s="1">
        <v>2019</v>
      </c>
      <c r="B7">
        <f>MROUND(FigureNZAKLU5PopEstimates[[#This Row],[Total]]*NationalU5Proportions[[#This Row],[0]],5)</f>
        <v>21010</v>
      </c>
      <c r="C7">
        <f>MROUND(FigureNZAKLU5PopEstimates[[#This Row],[Total]]*NationalU5Proportions[[#This Row],[1]],5)</f>
        <v>21050</v>
      </c>
      <c r="D7">
        <f>MROUND(FigureNZAKLU5PopEstimates[[#This Row],[Total]]*NationalU5Proportions[[#This Row],[2]],5)</f>
        <v>21590</v>
      </c>
      <c r="E7">
        <f>MROUND(FigureNZAKLU5PopEstimates[[#This Row],[Total]]*NationalU5Proportions[[#This Row],[3]],5)</f>
        <v>21765</v>
      </c>
      <c r="F7">
        <f>MROUND(FigureNZAKLU5PopEstimates[[#This Row],[Total]]*NationalU5Proportions[[#This Row],[4]],5)</f>
        <v>22145</v>
      </c>
      <c r="H7" s="167">
        <v>2019</v>
      </c>
      <c r="I7">
        <v>107560</v>
      </c>
      <c r="L7">
        <v>0.19532964333671765</v>
      </c>
      <c r="M7">
        <v>0.19568990927848556</v>
      </c>
      <c r="N7">
        <v>0.2007336324632365</v>
      </c>
      <c r="O7">
        <v>0.20237120492581798</v>
      </c>
      <c r="P7">
        <v>0.20587560999574231</v>
      </c>
    </row>
    <row r="8" spans="1:16">
      <c r="A8" s="1">
        <v>2020</v>
      </c>
      <c r="B8">
        <f>MROUND(FigureNZAKLU5PopEstimates[[#This Row],[Total]]*NationalU5Proportions[[#This Row],[0]],5)</f>
        <v>20810</v>
      </c>
      <c r="C8">
        <f>MROUND(FigureNZAKLU5PopEstimates[[#This Row],[Total]]*NationalU5Proportions[[#This Row],[1]],5)</f>
        <v>21070</v>
      </c>
      <c r="D8">
        <f>MROUND(FigureNZAKLU5PopEstimates[[#This Row],[Total]]*NationalU5Proportions[[#This Row],[2]],5)</f>
        <v>21255</v>
      </c>
      <c r="E8">
        <f>MROUND(FigureNZAKLU5PopEstimates[[#This Row],[Total]]*NationalU5Proportions[[#This Row],[3]],5)</f>
        <v>21890</v>
      </c>
      <c r="F8">
        <f>MROUND(FigureNZAKLU5PopEstimates[[#This Row],[Total]]*NationalU5Proportions[[#This Row],[4]],5)</f>
        <v>22015</v>
      </c>
      <c r="H8" s="167">
        <v>2020</v>
      </c>
      <c r="I8">
        <v>107040</v>
      </c>
      <c r="L8">
        <v>0.19439711664482306</v>
      </c>
      <c r="M8">
        <v>0.19685452162516381</v>
      </c>
      <c r="N8">
        <v>0.1985910878112713</v>
      </c>
      <c r="O8">
        <v>0.20448885976408912</v>
      </c>
      <c r="P8">
        <v>0.20566841415465267</v>
      </c>
    </row>
    <row r="9" spans="1:16">
      <c r="A9" s="1">
        <v>2021</v>
      </c>
      <c r="B9">
        <f>MROUND(FigureNZAKLU5PopEstimates[[#This Row],[Total]]*NationalU5Proportions[[#This Row],[0]],5)</f>
        <v>21155</v>
      </c>
      <c r="C9">
        <f>MROUND(FigureNZAKLU5PopEstimates[[#This Row],[Total]]*NationalU5Proportions[[#This Row],[1]],5)</f>
        <v>20685</v>
      </c>
      <c r="D9">
        <f>MROUND(FigureNZAKLU5PopEstimates[[#This Row],[Total]]*NationalU5Proportions[[#This Row],[2]],5)</f>
        <v>21000</v>
      </c>
      <c r="E9">
        <f>MROUND(FigureNZAKLU5PopEstimates[[#This Row],[Total]]*NationalU5Proportions[[#This Row],[3]],5)</f>
        <v>21175</v>
      </c>
      <c r="F9">
        <f>MROUND(FigureNZAKLU5PopEstimates[[#This Row],[Total]]*NationalU5Proportions[[#This Row],[4]],5)</f>
        <v>21770</v>
      </c>
      <c r="H9" s="167">
        <v>2021</v>
      </c>
      <c r="I9">
        <v>105790</v>
      </c>
      <c r="L9">
        <v>0.19995400335118441</v>
      </c>
      <c r="M9">
        <v>0.19555146696454972</v>
      </c>
      <c r="N9">
        <v>0.19850839438840884</v>
      </c>
      <c r="O9">
        <v>0.20018398659526235</v>
      </c>
      <c r="P9">
        <v>0.20580214870059468</v>
      </c>
    </row>
    <row r="10" spans="1:16">
      <c r="A10" s="1">
        <v>2022</v>
      </c>
      <c r="B10">
        <f>MROUND(FigureNZAKLU5PopEstimates[[#This Row],[Total]]*NationalU5Proportions[[#This Row],[0]],5)</f>
        <v>20755</v>
      </c>
      <c r="C10">
        <f>MROUND(FigureNZAKLU5PopEstimates[[#This Row],[Total]]*NationalU5Proportions[[#This Row],[1]],5)</f>
        <v>20885</v>
      </c>
      <c r="D10">
        <f>MROUND(FigureNZAKLU5PopEstimates[[#This Row],[Total]]*NationalU5Proportions[[#This Row],[2]],5)</f>
        <v>20525</v>
      </c>
      <c r="E10">
        <f>MROUND(FigureNZAKLU5PopEstimates[[#This Row],[Total]]*NationalU5Proportions[[#This Row],[3]],5)</f>
        <v>20925</v>
      </c>
      <c r="F10">
        <f>MROUND(FigureNZAKLU5PopEstimates[[#This Row],[Total]]*NationalU5Proportions[[#This Row],[4]],5)</f>
        <v>21035</v>
      </c>
      <c r="H10" s="167">
        <v>2022</v>
      </c>
      <c r="I10">
        <v>104130</v>
      </c>
      <c r="L10">
        <v>0.19931952564991906</v>
      </c>
      <c r="M10">
        <v>0.20057476959667031</v>
      </c>
      <c r="N10">
        <v>0.197106332375384</v>
      </c>
      <c r="O10">
        <v>0.20097116242196017</v>
      </c>
      <c r="P10">
        <v>0.20202820995606646</v>
      </c>
    </row>
    <row r="11" spans="1:16">
      <c r="A11" s="1">
        <v>2023</v>
      </c>
      <c r="B11">
        <f>MROUND(FigureNZAKLU5PopEstimates[[#This Row],[Total]]*NationalU5Proportions[[#This Row],[0]],5)</f>
        <v>19700</v>
      </c>
      <c r="C11">
        <f>MROUND(FigureNZAKLU5PopEstimates[[#This Row],[Total]]*NationalU5Proportions[[#This Row],[1]],5)</f>
        <v>21070</v>
      </c>
      <c r="D11">
        <f>MROUND(FigureNZAKLU5PopEstimates[[#This Row],[Total]]*NationalU5Proportions[[#This Row],[2]],5)</f>
        <v>21310</v>
      </c>
      <c r="E11">
        <f>MROUND(FigureNZAKLU5PopEstimates[[#This Row],[Total]]*NationalU5Proportions[[#This Row],[3]],5)</f>
        <v>21085</v>
      </c>
      <c r="F11">
        <f>MROUND(FigureNZAKLU5PopEstimates[[#This Row],[Total]]*NationalU5Proportions[[#This Row],[4]],5)</f>
        <v>21610</v>
      </c>
      <c r="H11" s="167">
        <v>2023</v>
      </c>
      <c r="I11">
        <v>104780</v>
      </c>
      <c r="L11">
        <v>0.18801892097515796</v>
      </c>
      <c r="M11">
        <v>0.20108497899507127</v>
      </c>
      <c r="N11">
        <v>0.20340048294796731</v>
      </c>
      <c r="O11">
        <v>0.20125037213456387</v>
      </c>
      <c r="P11">
        <v>0.20624524494723959</v>
      </c>
    </row>
    <row r="12" spans="1:16">
      <c r="A12" s="1">
        <v>2024</v>
      </c>
      <c r="B12">
        <f>MROUND(FigureNZAKLU5PopEstimates[[#This Row],[Total]]*NationalU5Proportions[[#This Row],[0]],5)</f>
        <v>19965</v>
      </c>
      <c r="C12">
        <f>MROUND(FigureNZAKLU5PopEstimates[[#This Row],[Total]]*NationalU5Proportions[[#This Row],[1]],5)</f>
        <v>20005</v>
      </c>
      <c r="D12">
        <f>MROUND(FigureNZAKLU5PopEstimates[[#This Row],[Total]]*NationalU5Proportions[[#This Row],[2]],5)</f>
        <v>21585</v>
      </c>
      <c r="E12">
        <f>MROUND(FigureNZAKLU5PopEstimates[[#This Row],[Total]]*NationalU5Proportions[[#This Row],[3]],5)</f>
        <v>21865</v>
      </c>
      <c r="F12">
        <f>MROUND(FigureNZAKLU5PopEstimates[[#This Row],[Total]]*NationalU5Proportions[[#This Row],[4]],5)</f>
        <v>21770</v>
      </c>
      <c r="H12" s="167">
        <v>2024</v>
      </c>
      <c r="I12">
        <v>105190</v>
      </c>
      <c r="L12">
        <v>0.18979048885932823</v>
      </c>
      <c r="M12">
        <v>0.19018955769870302</v>
      </c>
      <c r="N12">
        <v>0.20518789491187231</v>
      </c>
      <c r="O12">
        <v>0.20788160957765214</v>
      </c>
      <c r="P12">
        <v>0.2069504489524443</v>
      </c>
    </row>
    <row r="13" spans="1:16">
      <c r="A13" s="6"/>
    </row>
    <row r="14" spans="1:16">
      <c r="A14" s="6" t="s">
        <v>266</v>
      </c>
      <c r="H14" s="6" t="s">
        <v>267</v>
      </c>
    </row>
    <row r="15" spans="1:16">
      <c r="A15" s="1"/>
      <c r="B15" s="1" t="s">
        <v>268</v>
      </c>
      <c r="C15" s="1" t="s">
        <v>269</v>
      </c>
      <c r="D15" s="1" t="s">
        <v>270</v>
      </c>
      <c r="E15" s="1" t="s">
        <v>271</v>
      </c>
      <c r="F15" s="1" t="s">
        <v>272</v>
      </c>
      <c r="H15" s="1" t="s">
        <v>268</v>
      </c>
      <c r="I15" s="1" t="s">
        <v>269</v>
      </c>
      <c r="J15" s="1" t="s">
        <v>270</v>
      </c>
      <c r="K15" s="1" t="s">
        <v>271</v>
      </c>
      <c r="L15" s="1" t="s">
        <v>272</v>
      </c>
    </row>
    <row r="16" spans="1:16">
      <c r="A16" s="1">
        <v>2015</v>
      </c>
      <c r="B16">
        <v>3382</v>
      </c>
      <c r="C16">
        <v>8632</v>
      </c>
      <c r="D16">
        <v>13342</v>
      </c>
      <c r="E16">
        <v>19543</v>
      </c>
      <c r="F16">
        <v>21050</v>
      </c>
      <c r="H16" s="3">
        <f>B16/SUM($B16:$F16)</f>
        <v>5.128205128205128E-2</v>
      </c>
      <c r="I16" s="3">
        <f t="shared" ref="I16:L16" si="0">C16/SUM($B16:$F16)</f>
        <v>0.13088902030356792</v>
      </c>
      <c r="J16" s="3">
        <f t="shared" si="0"/>
        <v>0.20230784394001425</v>
      </c>
      <c r="K16" s="3">
        <f t="shared" si="0"/>
        <v>0.29633504677857131</v>
      </c>
      <c r="L16" s="3">
        <f t="shared" si="0"/>
        <v>0.31918603769579523</v>
      </c>
    </row>
    <row r="17" spans="1:12">
      <c r="A17" s="1">
        <v>2016</v>
      </c>
      <c r="B17">
        <v>3126</v>
      </c>
      <c r="C17">
        <v>9347</v>
      </c>
      <c r="D17">
        <v>13603</v>
      </c>
      <c r="E17">
        <v>20047</v>
      </c>
      <c r="F17">
        <v>21220</v>
      </c>
      <c r="H17" s="3">
        <f t="shared" ref="H17:H25" si="1">B17/SUM($B17:$F17)</f>
        <v>4.6419078449133538E-2</v>
      </c>
      <c r="I17" s="3">
        <f t="shared" ref="I17:I25" si="2">C17/SUM($B17:$F17)</f>
        <v>0.13879690539477005</v>
      </c>
      <c r="J17" s="3">
        <f t="shared" ref="J17:J25" si="3">D17/SUM($B17:$F17)</f>
        <v>0.20199575308495316</v>
      </c>
      <c r="K17" s="3">
        <f t="shared" ref="K17:K25" si="4">E17/SUM($B17:$F17)</f>
        <v>0.2976849858188676</v>
      </c>
      <c r="L17" s="3">
        <f t="shared" ref="L17:L25" si="5">F17/SUM($B17:$F17)</f>
        <v>0.31510327725227566</v>
      </c>
    </row>
    <row r="18" spans="1:12">
      <c r="A18" s="1">
        <v>2017</v>
      </c>
      <c r="B18">
        <v>3490</v>
      </c>
      <c r="C18">
        <v>9261</v>
      </c>
      <c r="D18">
        <v>14333</v>
      </c>
      <c r="E18">
        <v>19477</v>
      </c>
      <c r="F18">
        <v>21397</v>
      </c>
      <c r="H18" s="3">
        <f t="shared" si="1"/>
        <v>5.1355248830159801E-2</v>
      </c>
      <c r="I18" s="3">
        <f t="shared" si="2"/>
        <v>0.13627534653756732</v>
      </c>
      <c r="J18" s="3">
        <f t="shared" si="3"/>
        <v>0.21090967950793138</v>
      </c>
      <c r="K18" s="3">
        <f t="shared" si="4"/>
        <v>0.28660349039112393</v>
      </c>
      <c r="L18" s="3">
        <f t="shared" si="5"/>
        <v>0.31485623473321755</v>
      </c>
    </row>
    <row r="19" spans="1:12">
      <c r="A19" s="1">
        <v>2018</v>
      </c>
      <c r="B19">
        <v>3111</v>
      </c>
      <c r="C19">
        <v>9727</v>
      </c>
      <c r="D19">
        <v>14107</v>
      </c>
      <c r="E19">
        <v>19821</v>
      </c>
      <c r="F19">
        <v>20744</v>
      </c>
      <c r="H19" s="3">
        <f t="shared" si="1"/>
        <v>4.6082061916753077E-2</v>
      </c>
      <c r="I19" s="3">
        <f t="shared" si="2"/>
        <v>0.14408235816916012</v>
      </c>
      <c r="J19" s="3">
        <f t="shared" si="3"/>
        <v>0.20896163531328693</v>
      </c>
      <c r="K19" s="3">
        <f t="shared" si="4"/>
        <v>0.29360094800770259</v>
      </c>
      <c r="L19" s="3">
        <f t="shared" si="5"/>
        <v>0.30727299659309731</v>
      </c>
    </row>
    <row r="20" spans="1:12">
      <c r="A20" s="1">
        <v>2019</v>
      </c>
      <c r="B20">
        <v>3138</v>
      </c>
      <c r="C20">
        <v>9531</v>
      </c>
      <c r="D20">
        <v>14641</v>
      </c>
      <c r="E20">
        <v>19007</v>
      </c>
      <c r="F20">
        <v>20996</v>
      </c>
      <c r="H20" s="3">
        <f t="shared" si="1"/>
        <v>4.6618038120422506E-2</v>
      </c>
      <c r="I20" s="3">
        <f t="shared" si="2"/>
        <v>0.1415922630101169</v>
      </c>
      <c r="J20" s="3">
        <f t="shared" si="3"/>
        <v>0.21750627664789862</v>
      </c>
      <c r="K20" s="3">
        <f t="shared" si="4"/>
        <v>0.28236744759556104</v>
      </c>
      <c r="L20" s="3">
        <f t="shared" si="5"/>
        <v>0.3119159746260009</v>
      </c>
    </row>
    <row r="21" spans="1:12">
      <c r="A21" s="1">
        <v>2020</v>
      </c>
      <c r="B21">
        <v>2632</v>
      </c>
      <c r="C21">
        <v>8699</v>
      </c>
      <c r="D21">
        <v>13175</v>
      </c>
      <c r="E21">
        <v>18522</v>
      </c>
      <c r="F21">
        <v>19617</v>
      </c>
      <c r="H21" s="3">
        <f t="shared" si="1"/>
        <v>4.2014526298986353E-2</v>
      </c>
      <c r="I21" s="3">
        <f t="shared" si="2"/>
        <v>0.13886184052997047</v>
      </c>
      <c r="J21" s="3">
        <f t="shared" si="3"/>
        <v>0.21031207598371776</v>
      </c>
      <c r="K21" s="3">
        <f t="shared" si="4"/>
        <v>0.29566605475297308</v>
      </c>
      <c r="L21" s="3">
        <f t="shared" si="5"/>
        <v>0.3131455024343523</v>
      </c>
    </row>
    <row r="22" spans="1:12">
      <c r="A22" s="1">
        <v>2021</v>
      </c>
      <c r="B22">
        <v>3386</v>
      </c>
      <c r="C22">
        <v>9942</v>
      </c>
      <c r="D22">
        <v>13654</v>
      </c>
      <c r="E22">
        <v>17563</v>
      </c>
      <c r="F22">
        <v>19626</v>
      </c>
      <c r="H22" s="3">
        <f t="shared" si="1"/>
        <v>5.2765267800096619E-2</v>
      </c>
      <c r="I22" s="3">
        <f t="shared" si="2"/>
        <v>0.15492979694877748</v>
      </c>
      <c r="J22" s="3">
        <f t="shared" si="3"/>
        <v>0.21277524115254554</v>
      </c>
      <c r="K22" s="3">
        <f t="shared" si="4"/>
        <v>0.27369060790699851</v>
      </c>
      <c r="L22" s="3">
        <f t="shared" si="5"/>
        <v>0.30583908619158184</v>
      </c>
    </row>
    <row r="23" spans="1:12">
      <c r="A23" s="1">
        <v>2022</v>
      </c>
      <c r="B23">
        <v>3226</v>
      </c>
      <c r="C23">
        <v>9542</v>
      </c>
      <c r="D23">
        <v>12891</v>
      </c>
      <c r="E23">
        <v>16046</v>
      </c>
      <c r="F23">
        <v>17231</v>
      </c>
      <c r="H23" s="3">
        <f t="shared" si="1"/>
        <v>5.473734220171033E-2</v>
      </c>
      <c r="I23" s="3">
        <f t="shared" si="2"/>
        <v>0.16190443871318039</v>
      </c>
      <c r="J23" s="3">
        <f t="shared" si="3"/>
        <v>0.21872879055246369</v>
      </c>
      <c r="K23" s="3">
        <f t="shared" si="4"/>
        <v>0.27226143613411158</v>
      </c>
      <c r="L23" s="3">
        <f t="shared" si="5"/>
        <v>0.292367992398534</v>
      </c>
    </row>
    <row r="24" spans="1:12">
      <c r="A24" s="1">
        <v>2023</v>
      </c>
      <c r="B24">
        <v>3063</v>
      </c>
      <c r="C24">
        <v>10484</v>
      </c>
      <c r="D24">
        <v>14290</v>
      </c>
      <c r="E24">
        <v>17651</v>
      </c>
      <c r="F24">
        <v>18366</v>
      </c>
      <c r="H24" s="3">
        <f t="shared" si="1"/>
        <v>4.796880383374573E-2</v>
      </c>
      <c r="I24" s="3">
        <f t="shared" si="2"/>
        <v>0.16418705171171735</v>
      </c>
      <c r="J24" s="3">
        <f t="shared" si="3"/>
        <v>0.2237917749866884</v>
      </c>
      <c r="K24" s="3">
        <f t="shared" si="4"/>
        <v>0.27642747517774924</v>
      </c>
      <c r="L24" s="3">
        <f t="shared" si="5"/>
        <v>0.2876248942900993</v>
      </c>
    </row>
    <row r="25" spans="1:12">
      <c r="A25" s="1">
        <v>2024</v>
      </c>
      <c r="B25">
        <v>3141</v>
      </c>
      <c r="C25">
        <v>9703</v>
      </c>
      <c r="D25">
        <v>15203</v>
      </c>
      <c r="E25">
        <v>18447</v>
      </c>
      <c r="F25">
        <v>19561</v>
      </c>
      <c r="H25" s="3">
        <f t="shared" si="1"/>
        <v>4.7551283021724323E-2</v>
      </c>
      <c r="I25" s="3">
        <f t="shared" si="2"/>
        <v>0.14689274089773674</v>
      </c>
      <c r="J25" s="3">
        <f t="shared" si="3"/>
        <v>0.23015668760881083</v>
      </c>
      <c r="K25" s="3">
        <f t="shared" si="4"/>
        <v>0.27926727726894257</v>
      </c>
      <c r="L25" s="3">
        <f t="shared" si="5"/>
        <v>0.29613201120278554</v>
      </c>
    </row>
    <row r="27" spans="1:12">
      <c r="A27" s="6" t="s">
        <v>273</v>
      </c>
    </row>
    <row r="28" spans="1:12">
      <c r="A28" s="1"/>
      <c r="B28" s="1" t="s">
        <v>268</v>
      </c>
      <c r="C28" s="1" t="s">
        <v>269</v>
      </c>
      <c r="D28" s="1" t="s">
        <v>270</v>
      </c>
      <c r="E28" s="1" t="s">
        <v>271</v>
      </c>
      <c r="F28" s="1" t="s">
        <v>272</v>
      </c>
      <c r="G28" s="1" t="s">
        <v>274</v>
      </c>
    </row>
    <row r="29" spans="1:12">
      <c r="A29" s="1">
        <v>2015</v>
      </c>
      <c r="B29" s="3">
        <f>B16/B3</f>
        <v>0.16024638711205874</v>
      </c>
      <c r="C29" s="3">
        <f t="shared" ref="C29:F29" si="6">C16/C3</f>
        <v>0.40803592531316474</v>
      </c>
      <c r="D29" s="3">
        <f t="shared" si="6"/>
        <v>0.60728265817023208</v>
      </c>
      <c r="E29" s="3">
        <f t="shared" si="6"/>
        <v>0.87303998213089118</v>
      </c>
      <c r="F29" s="3">
        <f t="shared" si="6"/>
        <v>0.92365072400175519</v>
      </c>
      <c r="G29" s="36">
        <f t="shared" ref="G29:G38" si="7">SUM(B16:F16)/SUM(B3:F3)</f>
        <v>0.60279694712307486</v>
      </c>
    </row>
    <row r="30" spans="1:12">
      <c r="A30" s="1">
        <v>2016</v>
      </c>
      <c r="B30" s="3">
        <f t="shared" ref="B30:F30" si="8">B17/B4</f>
        <v>0.14665728360309641</v>
      </c>
      <c r="C30" s="3">
        <f t="shared" si="8"/>
        <v>0.43738886289190454</v>
      </c>
      <c r="D30" s="3">
        <f t="shared" si="8"/>
        <v>0.63196283391405339</v>
      </c>
      <c r="E30" s="3">
        <f t="shared" si="8"/>
        <v>0.89475563490292342</v>
      </c>
      <c r="F30" s="3">
        <f t="shared" si="8"/>
        <v>0.93356797184337881</v>
      </c>
      <c r="G30" s="36">
        <f t="shared" si="7"/>
        <v>0.61587635465727741</v>
      </c>
    </row>
    <row r="31" spans="1:12">
      <c r="A31" s="1">
        <v>2017</v>
      </c>
      <c r="B31" s="3">
        <f t="shared" ref="B31:F31" si="9">B18/B5</f>
        <v>0.16240111679851094</v>
      </c>
      <c r="C31" s="3">
        <f t="shared" si="9"/>
        <v>0.43225204200700118</v>
      </c>
      <c r="D31" s="3">
        <f t="shared" si="9"/>
        <v>0.66020267157991708</v>
      </c>
      <c r="E31" s="3">
        <f t="shared" si="9"/>
        <v>0.89098810612991763</v>
      </c>
      <c r="F31" s="3">
        <f t="shared" si="9"/>
        <v>0.94363836824696801</v>
      </c>
      <c r="G31" s="36">
        <f t="shared" si="7"/>
        <v>0.62255404910223522</v>
      </c>
    </row>
    <row r="32" spans="1:12">
      <c r="A32" s="1">
        <v>2018</v>
      </c>
      <c r="B32" s="3">
        <f t="shared" ref="B32:F32" si="10">B19/B6</f>
        <v>0.14835479256080114</v>
      </c>
      <c r="C32" s="3">
        <f t="shared" si="10"/>
        <v>0.4563452967393854</v>
      </c>
      <c r="D32" s="3">
        <f t="shared" si="10"/>
        <v>0.65782233620890651</v>
      </c>
      <c r="E32" s="3">
        <f t="shared" si="10"/>
        <v>0.9094287680660702</v>
      </c>
      <c r="F32" s="3">
        <f t="shared" si="10"/>
        <v>0.94678229119123691</v>
      </c>
      <c r="G32" s="36">
        <f t="shared" si="7"/>
        <v>0.62837995066784569</v>
      </c>
    </row>
    <row r="33" spans="1:14">
      <c r="A33" s="1">
        <v>2019</v>
      </c>
      <c r="B33" s="3">
        <f t="shared" ref="B33:F33" si="11">B20/B7</f>
        <v>0.14935744883388863</v>
      </c>
      <c r="C33" s="3">
        <f t="shared" si="11"/>
        <v>0.45277909738717342</v>
      </c>
      <c r="D33" s="3">
        <f t="shared" si="11"/>
        <v>0.67813802686428903</v>
      </c>
      <c r="E33" s="3">
        <f t="shared" si="11"/>
        <v>0.87328279347576387</v>
      </c>
      <c r="F33" s="3">
        <f t="shared" si="11"/>
        <v>0.94811469857755704</v>
      </c>
      <c r="G33" s="36">
        <f t="shared" si="7"/>
        <v>0.6258181480104128</v>
      </c>
    </row>
    <row r="34" spans="1:14">
      <c r="A34" s="1">
        <v>2020</v>
      </c>
      <c r="B34" s="3">
        <f t="shared" ref="B34:F34" si="12">B21/B8</f>
        <v>0.12647765497357039</v>
      </c>
      <c r="C34" s="3">
        <f t="shared" si="12"/>
        <v>0.41286188894162318</v>
      </c>
      <c r="D34" s="3">
        <f t="shared" si="12"/>
        <v>0.61985415196424376</v>
      </c>
      <c r="E34" s="3">
        <f t="shared" si="12"/>
        <v>0.84613978985838278</v>
      </c>
      <c r="F34" s="3">
        <f t="shared" si="12"/>
        <v>0.89107426754485575</v>
      </c>
      <c r="G34" s="36">
        <f t="shared" si="7"/>
        <v>0.58524850523168914</v>
      </c>
    </row>
    <row r="35" spans="1:14">
      <c r="A35" s="1">
        <v>2021</v>
      </c>
      <c r="B35" s="3">
        <f t="shared" ref="B35:F35" si="13">B22/B9</f>
        <v>0.16005672417868116</v>
      </c>
      <c r="C35" s="3">
        <f t="shared" si="13"/>
        <v>0.480638143582306</v>
      </c>
      <c r="D35" s="3">
        <f t="shared" si="13"/>
        <v>0.65019047619047621</v>
      </c>
      <c r="E35" s="3">
        <f t="shared" si="13"/>
        <v>0.82942148760330581</v>
      </c>
      <c r="F35" s="3">
        <f t="shared" si="13"/>
        <v>0.90151584749655489</v>
      </c>
      <c r="G35" s="36">
        <f t="shared" si="7"/>
        <v>0.60661719525452573</v>
      </c>
    </row>
    <row r="36" spans="1:14">
      <c r="A36" s="1">
        <v>2022</v>
      </c>
      <c r="B36" s="3">
        <f t="shared" ref="B36:F36" si="14">B23/B10</f>
        <v>0.1554324259214647</v>
      </c>
      <c r="C36" s="3">
        <f t="shared" si="14"/>
        <v>0.45688293033277472</v>
      </c>
      <c r="D36" s="3">
        <f t="shared" si="14"/>
        <v>0.62806333739342268</v>
      </c>
      <c r="E36" s="3">
        <f t="shared" si="14"/>
        <v>0.76683393070489847</v>
      </c>
      <c r="F36" s="3">
        <f t="shared" si="14"/>
        <v>0.81915854528167342</v>
      </c>
      <c r="G36" s="36">
        <f t="shared" si="7"/>
        <v>0.56601200480192082</v>
      </c>
    </row>
    <row r="37" spans="1:14">
      <c r="A37" s="1">
        <v>2023</v>
      </c>
      <c r="B37" s="3">
        <f t="shared" ref="B37:F37" si="15">B24/B11</f>
        <v>0.15548223350253806</v>
      </c>
      <c r="C37" s="3">
        <f t="shared" si="15"/>
        <v>0.49757949691504511</v>
      </c>
      <c r="D37" s="3">
        <f t="shared" si="15"/>
        <v>0.670577193805725</v>
      </c>
      <c r="E37" s="3">
        <f t="shared" si="15"/>
        <v>0.83713540431586431</v>
      </c>
      <c r="F37" s="3">
        <f t="shared" si="15"/>
        <v>0.8498843128181397</v>
      </c>
      <c r="G37" s="36">
        <f t="shared" si="7"/>
        <v>0.60943927463612502</v>
      </c>
    </row>
    <row r="38" spans="1:14">
      <c r="A38" s="1">
        <v>2024</v>
      </c>
      <c r="B38" s="3">
        <f t="shared" ref="B38:F38" si="16">B25/B12</f>
        <v>0.15732531930879037</v>
      </c>
      <c r="C38" s="3">
        <f t="shared" si="16"/>
        <v>0.48502874281429642</v>
      </c>
      <c r="D38" s="3">
        <f t="shared" si="16"/>
        <v>0.70433171183692378</v>
      </c>
      <c r="E38" s="3">
        <f t="shared" si="16"/>
        <v>0.84367710953578778</v>
      </c>
      <c r="F38" s="3">
        <f t="shared" si="16"/>
        <v>0.89853008727606798</v>
      </c>
      <c r="G38" s="36">
        <f t="shared" si="7"/>
        <v>0.62795893145736281</v>
      </c>
    </row>
    <row r="40" spans="1:14">
      <c r="A40" s="1" t="s">
        <v>240</v>
      </c>
      <c r="B40" s="2">
        <f>MIN(B29:B38)</f>
        <v>0.12647765497357039</v>
      </c>
      <c r="C40" s="2">
        <f t="shared" ref="C40:F40" si="17">MIN(C29:C38)</f>
        <v>0.40803592531316474</v>
      </c>
      <c r="D40" s="2">
        <f t="shared" si="17"/>
        <v>0.60728265817023208</v>
      </c>
      <c r="E40" s="2">
        <f t="shared" si="17"/>
        <v>0.76683393070489847</v>
      </c>
      <c r="F40" s="2">
        <f t="shared" si="17"/>
        <v>0.81915854528167342</v>
      </c>
      <c r="G40" s="2">
        <f t="shared" ref="G40" si="18">MIN(G29:G38)</f>
        <v>0.56601200480192082</v>
      </c>
      <c r="H40" s="2">
        <f>MIN(H16:H24)</f>
        <v>4.2014526298986353E-2</v>
      </c>
      <c r="I40" s="2">
        <f t="shared" ref="I40:L40" si="19">MIN(I16:I24)</f>
        <v>0.13088902030356792</v>
      </c>
      <c r="J40" s="2">
        <f t="shared" si="19"/>
        <v>0.20199575308495316</v>
      </c>
      <c r="K40" s="2">
        <f t="shared" si="19"/>
        <v>0.27226143613411158</v>
      </c>
      <c r="L40" s="2">
        <f t="shared" si="19"/>
        <v>0.2876248942900993</v>
      </c>
      <c r="N40" s="2">
        <f>SUM(H40:L40)</f>
        <v>0.93478563011171834</v>
      </c>
    </row>
    <row r="41" spans="1:14">
      <c r="A41" s="1" t="s">
        <v>242</v>
      </c>
      <c r="B41" s="2">
        <f>MEDIAN(B29:B38)</f>
        <v>0.15545732971200138</v>
      </c>
      <c r="C41" s="2">
        <f t="shared" ref="C41:F41" si="20">MEDIAN(C29:C38)</f>
        <v>0.45456219706327938</v>
      </c>
      <c r="D41" s="2">
        <f t="shared" si="20"/>
        <v>0.6540064061996913</v>
      </c>
      <c r="E41" s="2">
        <f t="shared" si="20"/>
        <v>0.85958988599463693</v>
      </c>
      <c r="F41" s="2">
        <f t="shared" si="20"/>
        <v>0.91258328574915504</v>
      </c>
      <c r="G41" s="2">
        <f t="shared" ref="G41" si="21">MEDIAN(G29:G38)</f>
        <v>0.61265781464670122</v>
      </c>
      <c r="H41" s="2">
        <f>MEDIAN(H16:H25)</f>
        <v>4.776004342773503E-2</v>
      </c>
      <c r="I41" s="2">
        <f t="shared" ref="I41:L41" si="22">MEDIAN(I16:I25)</f>
        <v>0.1428373105896385</v>
      </c>
      <c r="J41" s="2">
        <f t="shared" si="22"/>
        <v>0.21184246033023846</v>
      </c>
      <c r="K41" s="2">
        <f t="shared" si="22"/>
        <v>0.28448546899334248</v>
      </c>
      <c r="L41" s="2">
        <f t="shared" si="22"/>
        <v>0.30959448560954911</v>
      </c>
      <c r="N41" s="2">
        <f t="shared" ref="N41:N43" si="23">SUM(H41:L41)</f>
        <v>0.99651976895050365</v>
      </c>
    </row>
    <row r="42" spans="1:14">
      <c r="A42" s="1" t="s">
        <v>241</v>
      </c>
      <c r="B42" s="2">
        <f>AVERAGE(B29:B38)</f>
        <v>0.15217913867934008</v>
      </c>
      <c r="C42" s="2">
        <f t="shared" ref="C42:F42" si="24">AVERAGE(C29:C38)</f>
        <v>0.45197924269246748</v>
      </c>
      <c r="D42" s="2">
        <f t="shared" si="24"/>
        <v>0.65084253979281892</v>
      </c>
      <c r="E42" s="2">
        <f t="shared" si="24"/>
        <v>0.8564703006723805</v>
      </c>
      <c r="F42" s="2">
        <f t="shared" si="24"/>
        <v>0.9055917114278188</v>
      </c>
      <c r="G42" s="2">
        <f t="shared" ref="G42" si="25">AVERAGE(G29:G38)</f>
        <v>0.60907013609424698</v>
      </c>
      <c r="H42" s="2">
        <f>AVERAGE(H16:H25)</f>
        <v>4.8679370175478361E-2</v>
      </c>
      <c r="I42" s="2">
        <f t="shared" ref="I42:L42" si="26">AVERAGE(I16:I25)</f>
        <v>0.14584117622165646</v>
      </c>
      <c r="J42" s="2">
        <f t="shared" si="26"/>
        <v>0.21374457587783108</v>
      </c>
      <c r="K42" s="2">
        <f t="shared" si="26"/>
        <v>0.28539047698326014</v>
      </c>
      <c r="L42" s="2">
        <f t="shared" si="26"/>
        <v>0.30634440074177399</v>
      </c>
      <c r="N42" s="2">
        <f t="shared" si="23"/>
        <v>1</v>
      </c>
    </row>
    <row r="43" spans="1:14">
      <c r="A43" s="1" t="s">
        <v>243</v>
      </c>
      <c r="B43" s="2">
        <f>MAX(B29:B38)</f>
        <v>0.16240111679851094</v>
      </c>
      <c r="C43" s="2">
        <f t="shared" ref="C43:F43" si="27">MAX(C29:C38)</f>
        <v>0.49757949691504511</v>
      </c>
      <c r="D43" s="2">
        <f t="shared" si="27"/>
        <v>0.70433171183692378</v>
      </c>
      <c r="E43" s="2">
        <f t="shared" si="27"/>
        <v>0.9094287680660702</v>
      </c>
      <c r="F43" s="2">
        <f t="shared" si="27"/>
        <v>0.94811469857755704</v>
      </c>
      <c r="G43" s="2">
        <f t="shared" ref="G43" si="28">MAX(G29:G38)</f>
        <v>0.62837995066784569</v>
      </c>
      <c r="H43" s="2">
        <f>MAX(H16:H24)</f>
        <v>5.473734220171033E-2</v>
      </c>
      <c r="I43" s="2">
        <f t="shared" ref="I43:L43" si="29">MAX(I16:I24)</f>
        <v>0.16418705171171735</v>
      </c>
      <c r="J43" s="2">
        <f t="shared" si="29"/>
        <v>0.2237917749866884</v>
      </c>
      <c r="K43" s="2">
        <f t="shared" si="29"/>
        <v>0.2976849858188676</v>
      </c>
      <c r="L43" s="2">
        <f t="shared" si="29"/>
        <v>0.31918603769579523</v>
      </c>
      <c r="N43" s="2">
        <f t="shared" si="23"/>
        <v>1.0595871924147788</v>
      </c>
    </row>
    <row r="44" spans="1:14">
      <c r="A44" s="1" t="s">
        <v>275</v>
      </c>
      <c r="B44" s="2">
        <f>B43-B40</f>
        <v>3.592346182494055E-2</v>
      </c>
      <c r="C44" s="2">
        <f t="shared" ref="C44:F44" si="30">C43-C40</f>
        <v>8.9543571601880367E-2</v>
      </c>
      <c r="D44" s="2">
        <f t="shared" si="30"/>
        <v>9.7049053666691698E-2</v>
      </c>
      <c r="E44" s="2">
        <f t="shared" si="30"/>
        <v>0.14259483736117173</v>
      </c>
      <c r="F44" s="2">
        <f t="shared" si="30"/>
        <v>0.12895615329588361</v>
      </c>
      <c r="G44" s="2">
        <f t="shared" ref="G44" si="31">G43-G40</f>
        <v>6.2367945865924868E-2</v>
      </c>
      <c r="H44" s="2">
        <f>H43-H40</f>
        <v>1.2722815902723977E-2</v>
      </c>
      <c r="I44" s="2">
        <f t="shared" ref="I44:L44" si="32">I43-I40</f>
        <v>3.3298031408149437E-2</v>
      </c>
      <c r="J44" s="2">
        <f t="shared" si="32"/>
        <v>2.1796021901735241E-2</v>
      </c>
      <c r="K44" s="2">
        <f t="shared" si="32"/>
        <v>2.5423549684756019E-2</v>
      </c>
      <c r="L44" s="2">
        <f t="shared" si="32"/>
        <v>3.1561143405695935E-2</v>
      </c>
    </row>
    <row r="46" spans="1:14">
      <c r="A46" s="1" t="s">
        <v>276</v>
      </c>
      <c r="B46" s="2">
        <f>AVERAGE(B29:B33,B37:B38)</f>
        <v>0.15426065453138346</v>
      </c>
      <c r="C46" s="2">
        <f t="shared" ref="C46:G46" si="33">AVERAGE(C29:C33,C37:C38)</f>
        <v>0.45277278058113873</v>
      </c>
      <c r="D46" s="2">
        <f t="shared" si="33"/>
        <v>0.65861677605429236</v>
      </c>
      <c r="E46" s="2">
        <f t="shared" si="33"/>
        <v>0.87461539979388836</v>
      </c>
      <c r="F46" s="2">
        <f t="shared" si="33"/>
        <v>0.92059549342215774</v>
      </c>
      <c r="G46" s="2">
        <f t="shared" si="33"/>
        <v>0.6189748079506191</v>
      </c>
    </row>
  </sheetData>
  <hyperlinks>
    <hyperlink ref="H1" r:id="rId1" xr:uid="{BD544E63-C743-4319-9D9D-D9DB4B88DE76}"/>
  </hyperlinks>
  <pageMargins left="0.7" right="0.7" top="0.75" bottom="0.75" header="0.3" footer="0.3"/>
  <tableParts count="2">
    <tablePart r:id="rId2"/>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51D63-0548-4853-B23B-1487FBAD3844}">
  <dimension ref="A1:T28"/>
  <sheetViews>
    <sheetView topLeftCell="F1" workbookViewId="0">
      <selection activeCell="O2" sqref="O2"/>
    </sheetView>
  </sheetViews>
  <sheetFormatPr defaultColWidth="8.85546875" defaultRowHeight="14.65"/>
  <cols>
    <col min="2" max="2" width="7.140625" bestFit="1" customWidth="1"/>
    <col min="3" max="16" width="10.7109375" bestFit="1" customWidth="1"/>
    <col min="17" max="20" width="11.85546875" bestFit="1" customWidth="1"/>
  </cols>
  <sheetData>
    <row r="1" spans="1:20">
      <c r="A1" s="1" t="s">
        <v>277</v>
      </c>
    </row>
    <row r="2" spans="1:20">
      <c r="A2" s="1" t="s">
        <v>278</v>
      </c>
      <c r="C2" s="2">
        <v>0.12647765497357039</v>
      </c>
      <c r="F2" s="3">
        <v>0.40803592531316474</v>
      </c>
      <c r="I2" s="3">
        <v>0.60728265817023208</v>
      </c>
      <c r="L2" s="3">
        <v>0.76683393070489847</v>
      </c>
      <c r="O2" s="3">
        <v>0.81915854528167342</v>
      </c>
    </row>
    <row r="3" spans="1:20">
      <c r="B3" s="177" t="s">
        <v>246</v>
      </c>
      <c r="C3" s="177"/>
      <c r="D3" s="177"/>
      <c r="E3" s="177" t="s">
        <v>247</v>
      </c>
      <c r="F3" s="177"/>
      <c r="G3" s="177"/>
      <c r="H3" s="177" t="s">
        <v>248</v>
      </c>
      <c r="I3" s="177"/>
      <c r="J3" s="177"/>
      <c r="K3" s="177" t="s">
        <v>249</v>
      </c>
      <c r="L3" s="177"/>
      <c r="M3" s="177"/>
      <c r="N3" s="177" t="s">
        <v>250</v>
      </c>
      <c r="O3" s="177"/>
      <c r="P3" s="177"/>
      <c r="Q3" s="177" t="s">
        <v>236</v>
      </c>
      <c r="R3" s="177"/>
      <c r="S3" s="177"/>
      <c r="T3" s="177"/>
    </row>
    <row r="4" spans="1:20">
      <c r="A4" t="s">
        <v>229</v>
      </c>
      <c r="B4" s="5" t="s">
        <v>253</v>
      </c>
      <c r="C4" s="5" t="s">
        <v>256</v>
      </c>
      <c r="D4" s="5" t="s">
        <v>254</v>
      </c>
      <c r="E4" s="5" t="s">
        <v>253</v>
      </c>
      <c r="F4" s="5" t="s">
        <v>256</v>
      </c>
      <c r="G4" s="5" t="s">
        <v>254</v>
      </c>
      <c r="H4" s="5" t="s">
        <v>253</v>
      </c>
      <c r="I4" s="5" t="s">
        <v>256</v>
      </c>
      <c r="J4" s="5" t="s">
        <v>254</v>
      </c>
      <c r="K4" s="5" t="s">
        <v>253</v>
      </c>
      <c r="L4" s="5" t="s">
        <v>256</v>
      </c>
      <c r="M4" s="5" t="s">
        <v>254</v>
      </c>
      <c r="N4" s="5" t="s">
        <v>253</v>
      </c>
      <c r="O4" s="5" t="s">
        <v>256</v>
      </c>
      <c r="P4" s="5" t="s">
        <v>254</v>
      </c>
      <c r="Q4" s="1" t="s">
        <v>253</v>
      </c>
      <c r="R4" s="1" t="s">
        <v>255</v>
      </c>
      <c r="S4" s="1" t="s">
        <v>256</v>
      </c>
      <c r="T4" s="1" t="s">
        <v>254</v>
      </c>
    </row>
    <row r="5" spans="1:20">
      <c r="A5">
        <v>2015</v>
      </c>
      <c r="B5" s="7" t="str">
        <f>IF(MROUND('T2'!B5*'T6'!$C$2,1)=0,"",MROUND('T2'!B5*'T6'!C$2,5))</f>
        <v/>
      </c>
      <c r="C5" s="7">
        <v>3382</v>
      </c>
      <c r="D5" s="7" t="str">
        <f>IF(MROUND('T2'!D5*'T6'!$C$2,1)&lt;1,"",MROUND('T2'!D5*'T6'!$C$2,5))</f>
        <v/>
      </c>
      <c r="E5" s="7" t="str">
        <f>IF(MROUND('T2'!E5*'T6'!F$2,1)=0,"",MROUND('T2'!E5*'T6'!F$2,5))</f>
        <v/>
      </c>
      <c r="F5" s="7">
        <v>8632</v>
      </c>
      <c r="G5" s="7" t="str">
        <f>IF(MROUND('T2'!G5*'T6'!$C$2,1)&lt;1,"",MROUND('T2'!G5*'T6'!$C$2,5))</f>
        <v/>
      </c>
      <c r="H5" s="7" t="str">
        <f>IF(MROUND('T2'!H5*'T6'!I$2,1)=0,"",MROUND('T2'!H5*'T6'!I$2,5))</f>
        <v/>
      </c>
      <c r="I5" s="7">
        <v>13342</v>
      </c>
      <c r="J5" s="7" t="str">
        <f>IF(MROUND('T2'!J5*'T6'!$C$2,1)&lt;1,"",MROUND('T2'!J5*'T6'!$C$2,5))</f>
        <v/>
      </c>
      <c r="K5" s="7"/>
      <c r="L5" s="7">
        <v>19543</v>
      </c>
      <c r="M5" s="7"/>
      <c r="N5" s="7"/>
      <c r="O5" s="7">
        <v>21050</v>
      </c>
      <c r="P5" s="7"/>
      <c r="Q5" s="8"/>
      <c r="R5" s="8">
        <f>SUM(C5,F5,I5,L5,O5)</f>
        <v>65949</v>
      </c>
      <c r="S5" s="8"/>
      <c r="T5" s="8"/>
    </row>
    <row r="6" spans="1:20">
      <c r="A6">
        <v>2016</v>
      </c>
      <c r="B6" s="7" t="str">
        <f>IF(MROUND('T2'!B6*'T6'!$C$2,1)=0,"",MROUND('T2'!B6*'T6'!C$2,5))</f>
        <v/>
      </c>
      <c r="C6" s="7">
        <v>3126</v>
      </c>
      <c r="D6" s="7" t="str">
        <f>IF(MROUND('T2'!D6*'T6'!$C$2,1)&lt;1,"",MROUND('T2'!D6*'T6'!$C$2,5))</f>
        <v/>
      </c>
      <c r="E6" s="7" t="str">
        <f>IF(MROUND('T2'!E6*'T6'!F$2,1)=0,"",MROUND('T2'!E6*'T6'!F$2,5))</f>
        <v/>
      </c>
      <c r="F6" s="7">
        <v>9347</v>
      </c>
      <c r="G6" s="7" t="str">
        <f>IF(MROUND('T2'!G6*'T6'!$C$2,1)&lt;1,"",MROUND('T2'!G6*'T6'!$C$2,5))</f>
        <v/>
      </c>
      <c r="H6" s="7" t="str">
        <f>IF(MROUND('T2'!H6*'T6'!I$2,1)=0,"",MROUND('T2'!H6*'T6'!I$2,5))</f>
        <v/>
      </c>
      <c r="I6" s="7">
        <v>13603</v>
      </c>
      <c r="J6" s="7" t="str">
        <f>IF(MROUND('T2'!J6*'T6'!$C$2,1)&lt;1,"",MROUND('T2'!J6*'T6'!$C$2,5))</f>
        <v/>
      </c>
      <c r="K6" s="7"/>
      <c r="L6" s="7">
        <v>20047</v>
      </c>
      <c r="M6" s="7"/>
      <c r="N6" s="7"/>
      <c r="O6" s="7">
        <v>21220</v>
      </c>
      <c r="P6" s="7"/>
      <c r="Q6" s="8"/>
      <c r="R6" s="8">
        <f t="shared" ref="R6:R14" si="0">SUM(C6,F6,I6,L6,O6)</f>
        <v>67343</v>
      </c>
      <c r="S6" s="8"/>
      <c r="T6" s="8"/>
    </row>
    <row r="7" spans="1:20">
      <c r="A7">
        <v>2017</v>
      </c>
      <c r="B7" s="7" t="str">
        <f>IF(MROUND('T2'!B7*'T6'!$C$2,1)=0,"",MROUND('T2'!B7*'T6'!C$2,5))</f>
        <v/>
      </c>
      <c r="C7" s="7">
        <v>3490</v>
      </c>
      <c r="D7" s="7" t="str">
        <f>IF(MROUND('T2'!D7*'T6'!$C$2,1)&lt;1,"",MROUND('T2'!D7*'T6'!$C$2,5))</f>
        <v/>
      </c>
      <c r="E7" s="7" t="str">
        <f>IF(MROUND('T2'!E7*'T6'!F$2,1)=0,"",MROUND('T2'!E7*'T6'!F$2,5))</f>
        <v/>
      </c>
      <c r="F7" s="7">
        <v>9261</v>
      </c>
      <c r="G7" s="7" t="str">
        <f>IF(MROUND('T2'!G7*'T6'!$C$2,1)&lt;1,"",MROUND('T2'!G7*'T6'!$C$2,5))</f>
        <v/>
      </c>
      <c r="H7" s="7" t="str">
        <f>IF(MROUND('T2'!H7*'T6'!I$2,1)=0,"",MROUND('T2'!H7*'T6'!I$2,5))</f>
        <v/>
      </c>
      <c r="I7" s="7">
        <v>14333</v>
      </c>
      <c r="J7" s="7" t="str">
        <f>IF(MROUND('T2'!J7*'T6'!$C$2,1)&lt;1,"",MROUND('T2'!J7*'T6'!$C$2,5))</f>
        <v/>
      </c>
      <c r="K7" s="7"/>
      <c r="L7" s="7">
        <v>19477</v>
      </c>
      <c r="M7" s="7"/>
      <c r="N7" s="7"/>
      <c r="O7" s="7">
        <v>21397</v>
      </c>
      <c r="P7" s="7"/>
      <c r="Q7" s="8"/>
      <c r="R7" s="8">
        <f t="shared" si="0"/>
        <v>67958</v>
      </c>
      <c r="S7" s="8"/>
      <c r="T7" s="8"/>
    </row>
    <row r="8" spans="1:20">
      <c r="A8">
        <v>2018</v>
      </c>
      <c r="B8" s="7" t="str">
        <f>IF(MROUND('T2'!B8*'T6'!$C$2,1)=0,"",MROUND('T2'!B8*'T6'!C$2,5))</f>
        <v/>
      </c>
      <c r="C8" s="7">
        <v>3111</v>
      </c>
      <c r="D8" s="7" t="str">
        <f>IF(MROUND('T2'!D8*'T6'!$C$2,1)&lt;1,"",MROUND('T2'!D8*'T6'!$C$2,5))</f>
        <v/>
      </c>
      <c r="E8" s="7" t="str">
        <f>IF(MROUND('T2'!E8*'T6'!F$2,1)=0,"",MROUND('T2'!E8*'T6'!F$2,5))</f>
        <v/>
      </c>
      <c r="F8" s="7">
        <v>9727</v>
      </c>
      <c r="G8" s="7" t="str">
        <f>IF(MROUND('T2'!G8*'T6'!$C$2,1)&lt;1,"",MROUND('T2'!G8*'T6'!$C$2,5))</f>
        <v/>
      </c>
      <c r="H8" s="7" t="str">
        <f>IF(MROUND('T2'!H8*'T6'!I$2,1)=0,"",MROUND('T2'!H8*'T6'!I$2,5))</f>
        <v/>
      </c>
      <c r="I8" s="7">
        <v>14107</v>
      </c>
      <c r="J8" s="7" t="str">
        <f>IF(MROUND('T2'!J8*'T6'!$C$2,1)&lt;1,"",MROUND('T2'!J8*'T6'!$C$2,5))</f>
        <v/>
      </c>
      <c r="K8" s="7"/>
      <c r="L8" s="7">
        <v>19821</v>
      </c>
      <c r="M8" s="7"/>
      <c r="N8" s="7"/>
      <c r="O8" s="7">
        <v>20744</v>
      </c>
      <c r="P8" s="7"/>
      <c r="Q8" s="8"/>
      <c r="R8" s="8">
        <f t="shared" si="0"/>
        <v>67510</v>
      </c>
      <c r="S8" s="8"/>
      <c r="T8" s="8"/>
    </row>
    <row r="9" spans="1:20">
      <c r="A9">
        <v>2019</v>
      </c>
      <c r="B9" s="7" t="str">
        <f>IF(MROUND('T2'!B9*'T6'!$C$2,1)=0,"",MROUND('T2'!B9*'T6'!C$2,5))</f>
        <v/>
      </c>
      <c r="C9" s="7">
        <v>3138</v>
      </c>
      <c r="D9" s="7" t="str">
        <f>IF(MROUND('T2'!D9*'T6'!$C$2,1)&lt;1,"",MROUND('T2'!D9*'T6'!$C$2,5))</f>
        <v/>
      </c>
      <c r="E9" s="7" t="str">
        <f>IF(MROUND('T2'!E9*'T6'!F$2,1)=0,"",MROUND('T2'!E9*'T6'!F$2,5))</f>
        <v/>
      </c>
      <c r="F9" s="7">
        <v>9531</v>
      </c>
      <c r="G9" s="7" t="str">
        <f>IF(MROUND('T2'!G9*'T6'!$C$2,1)&lt;1,"",MROUND('T2'!G9*'T6'!$C$2,5))</f>
        <v/>
      </c>
      <c r="H9" s="7" t="str">
        <f>IF(MROUND('T2'!H9*'T6'!I$2,1)=0,"",MROUND('T2'!H9*'T6'!I$2,5))</f>
        <v/>
      </c>
      <c r="I9" s="7">
        <v>14641</v>
      </c>
      <c r="J9" s="7" t="str">
        <f>IF(MROUND('T2'!J9*'T6'!$C$2,1)&lt;1,"",MROUND('T2'!J9*'T6'!$C$2,5))</f>
        <v/>
      </c>
      <c r="K9" s="7"/>
      <c r="L9" s="7">
        <v>19007</v>
      </c>
      <c r="M9" s="7"/>
      <c r="N9" s="7"/>
      <c r="O9" s="7">
        <v>20996</v>
      </c>
      <c r="P9" s="7"/>
      <c r="Q9" s="8"/>
      <c r="R9" s="8">
        <f t="shared" si="0"/>
        <v>67313</v>
      </c>
      <c r="S9" s="8"/>
      <c r="T9" s="8"/>
    </row>
    <row r="10" spans="1:20">
      <c r="A10">
        <v>2020</v>
      </c>
      <c r="B10" s="7" t="str">
        <f>IF(MROUND('T2'!B10*'T6'!$C$2,1)=0,"",MROUND('T2'!B10*'T6'!C$2,5))</f>
        <v/>
      </c>
      <c r="C10" s="7">
        <v>2632</v>
      </c>
      <c r="D10" s="7" t="str">
        <f>IF(MROUND('T2'!D10*'T6'!$C$2,1)&lt;1,"",MROUND('T2'!D10*'T6'!$C$2,5))</f>
        <v/>
      </c>
      <c r="E10" s="7" t="str">
        <f>IF(MROUND('T2'!E10*'T6'!F$2,1)=0,"",MROUND('T2'!E10*'T6'!F$2,5))</f>
        <v/>
      </c>
      <c r="F10" s="7">
        <v>8699</v>
      </c>
      <c r="G10" s="7" t="str">
        <f>IF(MROUND('T2'!G10*'T6'!$C$2,1)&lt;1,"",MROUND('T2'!G10*'T6'!$C$2,5))</f>
        <v/>
      </c>
      <c r="H10" s="7" t="str">
        <f>IF(MROUND('T2'!H10*'T6'!I$2,1)=0,"",MROUND('T2'!H10*'T6'!I$2,5))</f>
        <v/>
      </c>
      <c r="I10" s="7">
        <v>13175</v>
      </c>
      <c r="J10" s="7" t="str">
        <f>IF(MROUND('T2'!J10*'T6'!$C$2,1)&lt;1,"",MROUND('T2'!J10*'T6'!$C$2,5))</f>
        <v/>
      </c>
      <c r="K10" s="7"/>
      <c r="L10" s="7">
        <v>18522</v>
      </c>
      <c r="M10" s="7"/>
      <c r="N10" s="7"/>
      <c r="O10" s="7">
        <v>19617</v>
      </c>
      <c r="P10" s="7"/>
      <c r="Q10" s="8"/>
      <c r="R10" s="8">
        <f t="shared" si="0"/>
        <v>62645</v>
      </c>
      <c r="S10" s="8"/>
      <c r="T10" s="8"/>
    </row>
    <row r="11" spans="1:20">
      <c r="A11">
        <v>2021</v>
      </c>
      <c r="B11" s="7" t="str">
        <f>IF(MROUND('T2'!B11*'T6'!$C$2,1)=0,"",MROUND('T2'!B11*'T6'!C$2,5))</f>
        <v/>
      </c>
      <c r="C11" s="7">
        <v>3386</v>
      </c>
      <c r="D11" s="7" t="str">
        <f>IF(MROUND('T2'!D11*'T6'!$C$2,1)&lt;1,"",MROUND('T2'!D11*'T6'!$C$2,5))</f>
        <v/>
      </c>
      <c r="E11" s="7" t="str">
        <f>IF(MROUND('T2'!E11*'T6'!F$2,1)=0,"",MROUND('T2'!E11*'T6'!F$2,5))</f>
        <v/>
      </c>
      <c r="F11" s="7">
        <v>9942</v>
      </c>
      <c r="G11" s="7" t="str">
        <f>IF(MROUND('T2'!G11*'T6'!$C$2,1)&lt;1,"",MROUND('T2'!G11*'T6'!$C$2,5))</f>
        <v/>
      </c>
      <c r="H11" s="7" t="str">
        <f>IF(MROUND('T2'!H11*'T6'!I$2,1)=0,"",MROUND('T2'!H11*'T6'!I$2,5))</f>
        <v/>
      </c>
      <c r="I11" s="7">
        <v>13654</v>
      </c>
      <c r="J11" s="7" t="str">
        <f>IF(MROUND('T2'!J11*'T6'!$C$2,1)&lt;1,"",MROUND('T2'!J11*'T6'!$C$2,5))</f>
        <v/>
      </c>
      <c r="K11" s="7"/>
      <c r="L11" s="7">
        <v>17563</v>
      </c>
      <c r="M11" s="7"/>
      <c r="N11" s="7"/>
      <c r="O11" s="7">
        <v>19626</v>
      </c>
      <c r="P11" s="7"/>
      <c r="Q11" s="8"/>
      <c r="R11" s="8">
        <f t="shared" si="0"/>
        <v>64171</v>
      </c>
      <c r="S11" s="8"/>
      <c r="T11" s="8"/>
    </row>
    <row r="12" spans="1:20">
      <c r="A12">
        <v>2022</v>
      </c>
      <c r="B12" s="7" t="str">
        <f>IF(MROUND('T2'!B12*'T6'!$C$2,1)=0,"",MROUND('T2'!B12*'T6'!C$2,5))</f>
        <v/>
      </c>
      <c r="C12" s="7">
        <v>3226</v>
      </c>
      <c r="D12" s="7" t="str">
        <f>IF(MROUND('T2'!D12*'T6'!$C$2,1)&lt;1,"",MROUND('T2'!D12*'T6'!$C$2,5))</f>
        <v/>
      </c>
      <c r="E12" s="7" t="str">
        <f>IF(MROUND('T2'!E12*'T6'!F$2,1)=0,"",MROUND('T2'!E12*'T6'!F$2,5))</f>
        <v/>
      </c>
      <c r="F12" s="7">
        <v>9542</v>
      </c>
      <c r="G12" s="7" t="str">
        <f>IF(MROUND('T2'!G12*'T6'!$C$2,1)&lt;1,"",MROUND('T2'!G12*'T6'!$C$2,5))</f>
        <v/>
      </c>
      <c r="H12" s="7" t="str">
        <f>IF(MROUND('T2'!H12*'T6'!I$2,1)=0,"",MROUND('T2'!H12*'T6'!I$2,5))</f>
        <v/>
      </c>
      <c r="I12" s="7">
        <v>12891</v>
      </c>
      <c r="J12" s="7" t="str">
        <f>IF(MROUND('T2'!J12*'T6'!$C$2,1)&lt;1,"",MROUND('T2'!J12*'T6'!$C$2,5))</f>
        <v/>
      </c>
      <c r="K12" s="7"/>
      <c r="L12" s="7">
        <v>16046</v>
      </c>
      <c r="M12" s="7"/>
      <c r="N12" s="7"/>
      <c r="O12" s="7">
        <v>17231</v>
      </c>
      <c r="P12" s="7"/>
      <c r="Q12" s="8"/>
      <c r="R12" s="8">
        <f t="shared" si="0"/>
        <v>58936</v>
      </c>
      <c r="S12" s="8"/>
      <c r="T12" s="8"/>
    </row>
    <row r="13" spans="1:20">
      <c r="A13">
        <v>2023</v>
      </c>
      <c r="B13" s="7" t="str">
        <f>IF(MROUND('T2'!B13*'T6'!$C$2,1)=0,"",MROUND('T2'!B13*'T6'!C$2,5))</f>
        <v/>
      </c>
      <c r="C13" s="7">
        <v>3063</v>
      </c>
      <c r="D13" s="7" t="str">
        <f>IF(MROUND('T2'!D13*'T6'!$C$2,1)&lt;1,"",MROUND('T2'!D13*'T6'!$C$2,5))</f>
        <v/>
      </c>
      <c r="E13" s="7" t="str">
        <f>IF(MROUND('T2'!E13*'T6'!F$2,1)=0,"",MROUND('T2'!E13*'T6'!F$2,5))</f>
        <v/>
      </c>
      <c r="F13" s="7">
        <v>10484</v>
      </c>
      <c r="G13" s="7" t="str">
        <f>IF(MROUND('T2'!G13*'T6'!$C$2,1)&lt;1,"",MROUND('T2'!G13*'T6'!$C$2,5))</f>
        <v/>
      </c>
      <c r="H13" s="7" t="str">
        <f>IF(MROUND('T2'!H13*'T6'!I$2,1)=0,"",MROUND('T2'!H13*'T6'!I$2,5))</f>
        <v/>
      </c>
      <c r="I13" s="7">
        <v>14290</v>
      </c>
      <c r="J13" s="7" t="str">
        <f>IF(MROUND('T2'!J13*'T6'!$C$2,1)&lt;1,"",MROUND('T2'!J13*'T6'!$C$2,5))</f>
        <v/>
      </c>
      <c r="K13" s="7"/>
      <c r="L13" s="7">
        <v>17651</v>
      </c>
      <c r="M13" s="7"/>
      <c r="N13" s="7"/>
      <c r="O13" s="7">
        <v>18366</v>
      </c>
      <c r="P13" s="7"/>
      <c r="Q13" s="8"/>
      <c r="R13" s="8">
        <f t="shared" si="0"/>
        <v>63854</v>
      </c>
      <c r="S13" s="8"/>
      <c r="T13" s="8"/>
    </row>
    <row r="14" spans="1:20">
      <c r="A14">
        <v>2024</v>
      </c>
      <c r="B14" s="7" t="str">
        <f>IF(MROUND('T2'!B14*'T6'!$C$2,1)=0,"",MROUND('T2'!B14*'T6'!C$2,5))</f>
        <v/>
      </c>
      <c r="C14" s="7">
        <v>3141</v>
      </c>
      <c r="D14" s="7" t="str">
        <f>IF(MROUND('T2'!D14*'T6'!$C$2,1)&lt;1,"",MROUND('T2'!D14*'T6'!$C$2,5))</f>
        <v/>
      </c>
      <c r="E14" s="7" t="str">
        <f>IF(MROUND('T2'!E14*'T6'!F$2,1)=0,"",MROUND('T2'!E14*'T6'!F$2,5))</f>
        <v/>
      </c>
      <c r="F14" s="7">
        <v>9703</v>
      </c>
      <c r="G14" s="7" t="str">
        <f>IF(MROUND('T2'!G14*'T6'!$C$2,1)&lt;1,"",MROUND('T2'!G14*'T6'!$C$2,5))</f>
        <v/>
      </c>
      <c r="H14" s="7" t="str">
        <f>IF(MROUND('T2'!H14*'T6'!I$2,1)=0,"",MROUND('T2'!H14*'T6'!I$2,5))</f>
        <v/>
      </c>
      <c r="I14" s="7">
        <v>15203</v>
      </c>
      <c r="J14" s="7" t="str">
        <f>IF(MROUND('T2'!J14*'T6'!$C$2,1)&lt;1,"",MROUND('T2'!J14*'T6'!$C$2,5))</f>
        <v/>
      </c>
      <c r="K14" s="7"/>
      <c r="L14" s="7">
        <v>18447</v>
      </c>
      <c r="M14" s="7"/>
      <c r="N14" s="7"/>
      <c r="O14" s="7">
        <v>19561</v>
      </c>
      <c r="P14" s="7"/>
      <c r="Q14" s="8">
        <f>R14</f>
        <v>66055</v>
      </c>
      <c r="R14" s="8">
        <f t="shared" si="0"/>
        <v>66055</v>
      </c>
      <c r="S14" s="8">
        <f>R14</f>
        <v>66055</v>
      </c>
      <c r="T14" s="8">
        <f>R14</f>
        <v>66055</v>
      </c>
    </row>
    <row r="15" spans="1:20">
      <c r="A15">
        <v>2025</v>
      </c>
      <c r="B15" s="7">
        <f>IF(MROUND('T3'!B15*'T6'!$C$2,1)=0,"",MROUND('T3'!B15*'T6'!C$2,5))</f>
        <v>2395</v>
      </c>
      <c r="C15" s="7">
        <f>IF(MROUND('T3'!C15*'T6'!$C$2,1)&lt;1,"",MROUND('T3'!C15*'T6'!$C$2,5))</f>
        <v>2480</v>
      </c>
      <c r="D15" s="7">
        <f>IF(MROUND('T3'!D15*'T6'!$C$2,1)&lt;1,"",MROUND('T3'!D15*'T6'!$C$2,5))</f>
        <v>2505</v>
      </c>
      <c r="E15" s="7">
        <f>IF(MROUND('T3'!E15*'T6'!F$2,1)=0,"",MROUND('T3'!E15*'T6'!F$2,5))</f>
        <v>7725</v>
      </c>
      <c r="F15" s="7">
        <f>IF(MROUND('T3'!F15*'T6'!F$2,1)&lt;1,"",MROUND('T3'!F15*'T6'!F$2,5))</f>
        <v>7855</v>
      </c>
      <c r="G15" s="7">
        <f>IF(MROUND('T3'!G15*'T6'!$C$2,1)&lt;1,"",MROUND('T3'!G15*'T6'!$C$2,5))</f>
        <v>2460</v>
      </c>
      <c r="H15" s="7">
        <f>IF(MROUND('T3'!H15*'T6'!I$2,1)=0,"",MROUND('T3'!H15*'T6'!I$2,5))</f>
        <v>11570</v>
      </c>
      <c r="I15" s="7">
        <f>IF(MROUND('T3'!I15*'T6'!I$2,1)&lt;1,"",MROUND('T3'!I15*'T6'!I$2,5))</f>
        <v>11760</v>
      </c>
      <c r="J15" s="7">
        <f>IF(MROUND('T3'!J15*'T6'!$C$2,1)&lt;1,"",MROUND('T3'!J15*'T6'!$C$2,5))</f>
        <v>2475</v>
      </c>
      <c r="K15" s="7">
        <f>IF(MROUND('T3'!K15*'T6'!L$2,1)=0,"",MROUND('T3'!K15*'T6'!L$2,5))</f>
        <v>15780</v>
      </c>
      <c r="L15" s="7">
        <f>IF(MROUND('T3'!L15*'T6'!L$2,1)&lt;1,"",MROUND('T3'!L15*'T6'!L$2,5))</f>
        <v>16040</v>
      </c>
      <c r="M15" s="7">
        <f>IF(MROUND('T3'!M15*'T6'!$C$2,1)&lt;1,"",MROUND('T3'!M15*'T6'!$C$2,5))</f>
        <v>2675</v>
      </c>
      <c r="N15" s="7">
        <f>IF(MROUND('T3'!N15*'T6'!O$2,1)=0,"",MROUND('T3'!N15*'T6'!O$2,5))</f>
        <v>17100</v>
      </c>
      <c r="O15" s="7">
        <f>IF(MROUND('T3'!O15*'T6'!O$2,1)&lt;1,"",MROUND('T3'!O15*'T6'!O$2,5))</f>
        <v>17390</v>
      </c>
      <c r="P15" s="7">
        <f>IF(MROUND('T3'!P15*'T6'!$C$2,1)&lt;1,"",MROUND('T3'!P15*'T6'!$C$2,5))</f>
        <v>2715</v>
      </c>
      <c r="Q15" s="8">
        <f>SUM(B15,F15,I15,L15,O15)</f>
        <v>55440</v>
      </c>
      <c r="R15" s="7"/>
      <c r="S15" s="8">
        <f t="shared" ref="S15:S28" si="1">SUM(C15,F15,I15,L15,O15)</f>
        <v>55525</v>
      </c>
      <c r="T15" s="8">
        <f>SUM(O15,L15,I15,F15,D15)</f>
        <v>55550</v>
      </c>
    </row>
    <row r="16" spans="1:20">
      <c r="A16">
        <v>2026</v>
      </c>
      <c r="B16" s="7">
        <f>IF(MROUND('T3'!B16*'T6'!$C$2,1)=0,"",MROUND('T3'!B16*'T6'!C$2,5))</f>
        <v>2365</v>
      </c>
      <c r="C16" s="7">
        <f>IF(MROUND('T3'!C16*'T6'!$C$2,1)&lt;1,"",MROUND('T3'!C16*'T6'!$C$2,5))</f>
        <v>2480</v>
      </c>
      <c r="D16" s="7">
        <f>IF(MROUND('T3'!D16*'T6'!$C$2,1)&lt;1,"",MROUND('T3'!D16*'T6'!$C$2,5))</f>
        <v>2510</v>
      </c>
      <c r="E16" s="7">
        <f>IF(MROUND('T3'!E16*'T6'!F$2,1)=0,"",MROUND('T3'!E16*'T6'!F$2,5))</f>
        <v>7690</v>
      </c>
      <c r="F16" s="7">
        <f>IF(MROUND('T3'!F16*'T6'!F$2,1)&lt;1,"",MROUND('T3'!F16*'T6'!F$2,5))</f>
        <v>8005</v>
      </c>
      <c r="G16" s="7">
        <f>IF(MROUND('T3'!G16*'T6'!F$2,1)&lt;1,"",MROUND('T3'!G16*'T6'!F$2,5))</f>
        <v>8090</v>
      </c>
      <c r="H16" s="7">
        <f>IF(MROUND('T3'!H16*'T6'!I$2,1)=0,"",MROUND('T3'!H16*'T6'!I$2,5))</f>
        <v>11515</v>
      </c>
      <c r="I16" s="7">
        <f>IF(MROUND('T3'!I16*'T6'!I$2,1)&lt;1,"",MROUND('T3'!I16*'T6'!I$2,5))</f>
        <v>11735</v>
      </c>
      <c r="J16" s="7">
        <f>IF(MROUND('T3'!J16*'T6'!I$2,1)&lt;1,"",MROUND('T3'!J16*'T6'!I$2,5))</f>
        <v>11860</v>
      </c>
      <c r="K16" s="7">
        <f>IF(MROUND('T3'!K16*'T6'!L$2,1)=0,"",MROUND('T3'!K16*'T6'!L$2,5))</f>
        <v>14650</v>
      </c>
      <c r="L16" s="7">
        <f>IF(MROUND('T3'!L16*'T6'!L$2,1)&lt;1,"",MROUND('T3'!L16*'T6'!L$2,5))</f>
        <v>14935</v>
      </c>
      <c r="M16" s="7">
        <f>IF(MROUND('T3'!M16*'T6'!L$2,1)&lt;1,"",MROUND('T3'!M16*'T6'!L$2,5))</f>
        <v>15090</v>
      </c>
      <c r="N16" s="7">
        <f>IF(MROUND('T3'!N16*'T6'!O$2,1)=0,"",MROUND('T3'!N16*'T6'!O$2,5))</f>
        <v>16920</v>
      </c>
      <c r="O16" s="7">
        <f>IF(MROUND('T3'!O16*'T6'!O$2,1)&lt;1,"",MROUND('T3'!O16*'T6'!O$2,5))</f>
        <v>17255</v>
      </c>
      <c r="P16" s="7">
        <f>IF(MROUND('T3'!P16*'T6'!O$2,1)&lt;1,"",MROUND('T3'!P16*'T6'!O$2,5))</f>
        <v>17435</v>
      </c>
      <c r="Q16" s="8">
        <f>SUM(B16,E16,I16,L16,O16)</f>
        <v>53980</v>
      </c>
      <c r="R16" s="7"/>
      <c r="S16" s="8">
        <f t="shared" si="1"/>
        <v>54410</v>
      </c>
      <c r="T16" s="8">
        <f>SUM(O16,L16,I16,G16,D16)</f>
        <v>54525</v>
      </c>
    </row>
    <row r="17" spans="1:20">
      <c r="A17">
        <v>2027</v>
      </c>
      <c r="B17" s="7">
        <f>IF(MROUND('T3'!B17*'T6'!$C$2,1)=0,"",MROUND('T3'!B17*'T6'!C$2,5))</f>
        <v>2340</v>
      </c>
      <c r="C17" s="7">
        <f>IF(MROUND('T3'!C17*'T6'!$C$2,1)&lt;1,"",MROUND('T3'!C17*'T6'!$C$2,5))</f>
        <v>2480</v>
      </c>
      <c r="D17" s="7">
        <f>IF(MROUND('T3'!D17*'T6'!$C$2,1)&lt;1,"",MROUND('T3'!D17*'T6'!$C$2,5))</f>
        <v>2505</v>
      </c>
      <c r="E17" s="7">
        <f>IF(MROUND('T3'!E17*'T6'!F$2,1)=0,"",MROUND('T3'!E17*'T6'!F$2,5))</f>
        <v>7630</v>
      </c>
      <c r="F17" s="7">
        <f>IF(MROUND('T3'!F17*'T6'!F$2,1)&lt;1,"",MROUND('T3'!F17*'T6'!F$2,5))</f>
        <v>8010</v>
      </c>
      <c r="G17" s="7">
        <f>IF(MROUND('T3'!G17*'T6'!F$2,1)&lt;1,"",MROUND('T3'!G17*'T6'!F$2,5))</f>
        <v>8095</v>
      </c>
      <c r="H17" s="7">
        <f>IF(MROUND('T3'!H17*'T6'!I$2,1)=0,"",MROUND('T3'!H17*'T6'!I$2,5))</f>
        <v>11490</v>
      </c>
      <c r="I17" s="7">
        <f>IF(MROUND('T3'!I17*'T6'!I$2,1)&lt;1,"",MROUND('T3'!I17*'T6'!I$2,5))</f>
        <v>11965</v>
      </c>
      <c r="J17" s="7">
        <f>IF(MROUND('T3'!J17*'T6'!I$2,1)&lt;1,"",MROUND('T3'!J17*'T6'!I$2,5))</f>
        <v>12090</v>
      </c>
      <c r="K17" s="7">
        <f>IF(MROUND('T3'!K17*'T6'!L$2,1)=0,"",MROUND('T3'!K17*'T6'!L$2,5))</f>
        <v>14590</v>
      </c>
      <c r="L17" s="7">
        <f>IF(MROUND('T3'!L17*'T6'!L$2,1)&lt;1,"",MROUND('T3'!L17*'T6'!L$2,5))</f>
        <v>14915</v>
      </c>
      <c r="M17" s="7">
        <f>IF(MROUND('T3'!M17*'T6'!L$2,1)&lt;1,"",MROUND('T3'!M17*'T6'!L$2,5))</f>
        <v>15070</v>
      </c>
      <c r="N17" s="7">
        <f>IF(MROUND('T3'!N17*'T6'!O$2,1)=0,"",MROUND('T3'!N17*'T6'!O$2,5))</f>
        <v>15715</v>
      </c>
      <c r="O17" s="7">
        <f>IF(MROUND('T3'!O17*'T6'!O$2,1)&lt;1,"",MROUND('T3'!O17*'T6'!O$2,5))</f>
        <v>16080</v>
      </c>
      <c r="P17" s="7">
        <f>IF(MROUND('T3'!P17*'T6'!O$2,1)&lt;1,"",MROUND('T3'!P17*'T6'!O$2,5))</f>
        <v>16250</v>
      </c>
      <c r="Q17" s="8">
        <f>SUM(O17,L17,H17,E17,B17)</f>
        <v>52455</v>
      </c>
      <c r="R17" s="7"/>
      <c r="S17" s="8">
        <f t="shared" si="1"/>
        <v>53450</v>
      </c>
      <c r="T17" s="8">
        <f>SUM(O17,L17,J17,G17,D17)</f>
        <v>53685</v>
      </c>
    </row>
    <row r="18" spans="1:20">
      <c r="A18">
        <v>2028</v>
      </c>
      <c r="B18" s="7">
        <f>IF(MROUND('T3'!B18*'T6'!$C$2,1)=0,"",MROUND('T3'!B18*'T6'!C$2,5))</f>
        <v>2325</v>
      </c>
      <c r="C18" s="7">
        <f>IF(MROUND('T3'!C18*'T6'!$C$2,1)&lt;1,"",MROUND('T3'!C18*'T6'!$C$2,5))</f>
        <v>2480</v>
      </c>
      <c r="D18" s="7">
        <f>IF(MROUND('T3'!D18*'T6'!$C$2,1)&lt;1,"",MROUND('T3'!D18*'T6'!$C$2,5))</f>
        <v>2505</v>
      </c>
      <c r="E18" s="7">
        <f>IF(MROUND('T3'!E18*'T6'!F$2,1)=0,"",MROUND('T3'!E18*'T6'!F$2,5))</f>
        <v>7545</v>
      </c>
      <c r="F18" s="7">
        <f>IF(MROUND('T3'!F18*'T6'!F$2,1)&lt;1,"",MROUND('T3'!F18*'T6'!F$2,5))</f>
        <v>8010</v>
      </c>
      <c r="G18" s="7">
        <f>IF(MROUND('T3'!G18*'T6'!F$2,1)&lt;1,"",MROUND('T3'!G18*'T6'!F$2,5))</f>
        <v>8095</v>
      </c>
      <c r="H18" s="7">
        <f>IF(MROUND('T3'!H18*'T6'!I$2,1)=0,"",MROUND('T3'!H18*'T6'!I$2,5))</f>
        <v>11410</v>
      </c>
      <c r="I18" s="7">
        <f>IF(MROUND('T3'!I18*'T6'!I$2,1)&lt;1,"",MROUND('T3'!I18*'T6'!I$2,5))</f>
        <v>11980</v>
      </c>
      <c r="J18" s="7">
        <f>IF(MROUND('T3'!J18*'T6'!I$2,1)&lt;1,"",MROUND('T3'!J18*'T6'!I$2,5))</f>
        <v>12105</v>
      </c>
      <c r="K18" s="7">
        <f>IF(MROUND('T3'!K18*'T6'!L$2,1)=0,"",MROUND('T3'!K18*'T6'!L$2,5))</f>
        <v>14595</v>
      </c>
      <c r="L18" s="7">
        <f>IF(MROUND('T3'!L18*'T6'!L$2,1)&lt;1,"",MROUND('T3'!L18*'T6'!L$2,5))</f>
        <v>15210</v>
      </c>
      <c r="M18" s="7">
        <f>IF(MROUND('T3'!M18*'T6'!L$2,1)&lt;1,"",MROUND('T3'!M18*'T6'!L$2,5))</f>
        <v>15370</v>
      </c>
      <c r="N18" s="7">
        <f>IF(MROUND('T3'!N18*'T6'!O$2,1)=0,"",MROUND('T3'!N18*'T6'!O$2,5))</f>
        <v>15670</v>
      </c>
      <c r="O18" s="7">
        <f>IF(MROUND('T3'!O18*'T6'!O$2,1)&lt;1,"",MROUND('T3'!O18*'T6'!O$2,5))</f>
        <v>16065</v>
      </c>
      <c r="P18" s="7">
        <f>IF(MROUND('T3'!P18*'T6'!O$2,1)&lt;1,"",MROUND('T3'!P18*'T6'!O$2,5))</f>
        <v>16235</v>
      </c>
      <c r="Q18" s="8">
        <f>SUM(O18,K18,H18,E18,B18)</f>
        <v>51940</v>
      </c>
      <c r="R18" s="7"/>
      <c r="S18" s="8">
        <f t="shared" si="1"/>
        <v>53745</v>
      </c>
      <c r="T18" s="8">
        <f>SUM(O18,M18,J18,G18,D18)</f>
        <v>54140</v>
      </c>
    </row>
    <row r="19" spans="1:20">
      <c r="A19">
        <v>2029</v>
      </c>
      <c r="B19" s="7">
        <f>IF(MROUND('T3'!B19*'T6'!$C$2,1)=0,"",MROUND('T3'!B19*'T6'!C$2,5))</f>
        <v>2305</v>
      </c>
      <c r="C19" s="7">
        <f>IF(MROUND('T3'!C19*'T6'!$C$2,1)&lt;1,"",MROUND('T3'!C19*'T6'!$C$2,5))</f>
        <v>2480</v>
      </c>
      <c r="D19" s="7">
        <f>IF(MROUND('T3'!D19*'T6'!$C$2,1)&lt;1,"",MROUND('T3'!D19*'T6'!$C$2,5))</f>
        <v>2505</v>
      </c>
      <c r="E19" s="7">
        <f>IF(MROUND('T3'!E19*'T6'!F$2,1)=0,"",MROUND('T3'!E19*'T6'!F$2,5))</f>
        <v>7495</v>
      </c>
      <c r="F19" s="7">
        <f>IF(MROUND('T3'!F19*'T6'!F$2,1)&lt;1,"",MROUND('T3'!F19*'T6'!F$2,5))</f>
        <v>8010</v>
      </c>
      <c r="G19" s="7">
        <f>IF(MROUND('T3'!G19*'T6'!F$2,1)&lt;1,"",MROUND('T3'!G19*'T6'!F$2,5))</f>
        <v>8095</v>
      </c>
      <c r="H19" s="7">
        <f>IF(MROUND('T3'!H19*'T6'!I$2,1)=0,"",MROUND('T3'!H19*'T6'!I$2,5))</f>
        <v>11305</v>
      </c>
      <c r="I19" s="7">
        <f>IF(MROUND('T3'!I19*'T6'!I$2,1)&lt;1,"",MROUND('T3'!I19*'T6'!I$2,5))</f>
        <v>11985</v>
      </c>
      <c r="J19" s="7">
        <f>IF(MROUND('T3'!J19*'T6'!I$2,1)&lt;1,"",MROUND('T3'!J19*'T6'!I$2,5))</f>
        <v>12110</v>
      </c>
      <c r="K19" s="7">
        <f>IF(MROUND('T3'!K19*'T6'!L$2,1)=0,"",MROUND('T3'!K19*'T6'!L$2,5))</f>
        <v>14500</v>
      </c>
      <c r="L19" s="7">
        <f>IF(MROUND('T3'!L19*'T6'!L$2,1)&lt;1,"",MROUND('T3'!L19*'T6'!L$2,5))</f>
        <v>15235</v>
      </c>
      <c r="M19" s="7">
        <f>IF(MROUND('T3'!M19*'T6'!L$2,1)&lt;1,"",MROUND('T3'!M19*'T6'!L$2,5))</f>
        <v>15395</v>
      </c>
      <c r="N19" s="7">
        <f>IF(MROUND('T3'!N19*'T6'!O$2,1)=0,"",MROUND('T3'!N19*'T6'!O$2,5))</f>
        <v>15720</v>
      </c>
      <c r="O19" s="7">
        <f>IF(MROUND('T3'!O19*'T6'!O$2,1)&lt;1,"",MROUND('T3'!O19*'T6'!O$2,5))</f>
        <v>16390</v>
      </c>
      <c r="P19" s="7">
        <f>IF(MROUND('T3'!P19*'T6'!O$2,1)&lt;1,"",MROUND('T3'!P19*'T6'!O$2,5))</f>
        <v>16560</v>
      </c>
      <c r="Q19" s="8">
        <f>SUM(N19,K19,H19,E19,B19)</f>
        <v>51325</v>
      </c>
      <c r="R19" s="7"/>
      <c r="S19" s="8">
        <f t="shared" si="1"/>
        <v>54100</v>
      </c>
      <c r="T19" s="8">
        <f>SUM(P19,M19,J19,G19,D19)</f>
        <v>54665</v>
      </c>
    </row>
    <row r="20" spans="1:20">
      <c r="A20">
        <v>2030</v>
      </c>
      <c r="B20" s="7">
        <f>IF(MROUND('T3'!B20*'T6'!$C$2,1)=0,"",MROUND('T3'!B20*'T6'!C$2,5))</f>
        <v>2295</v>
      </c>
      <c r="C20" s="7">
        <f>IF(MROUND('T3'!C20*'T6'!$C$2,1)&lt;1,"",MROUND('T3'!C20*'T6'!$C$2,5))</f>
        <v>2480</v>
      </c>
      <c r="D20" s="7">
        <f>IF(MROUND('T3'!D20*'T6'!$C$2,1)&lt;1,"",MROUND('T3'!D20*'T6'!$C$2,5))</f>
        <v>2505</v>
      </c>
      <c r="E20" s="7">
        <f>IF(MROUND('T3'!E20*'T6'!F$2,1)=0,"",MROUND('T3'!E20*'T6'!F$2,5))</f>
        <v>7455</v>
      </c>
      <c r="F20" s="7">
        <f>IF(MROUND('T3'!F20*'T6'!F$2,1)&lt;1,"",MROUND('T3'!F20*'T6'!F$2,5))</f>
        <v>8005</v>
      </c>
      <c r="G20" s="7">
        <f>IF(MROUND('T3'!G20*'T6'!F$2,1)&lt;1,"",MROUND('T3'!G20*'T6'!F$2,5))</f>
        <v>8090</v>
      </c>
      <c r="H20" s="7">
        <f>IF(MROUND('T3'!H20*'T6'!I$2,1)=0,"",MROUND('T3'!H20*'T6'!I$2,5))</f>
        <v>11215</v>
      </c>
      <c r="I20" s="7">
        <f>IF(MROUND('T3'!I20*'T6'!I$2,1)&lt;1,"",MROUND('T3'!I20*'T6'!I$2,5))</f>
        <v>11985</v>
      </c>
      <c r="J20" s="7">
        <f>IF(MROUND('T3'!J20*'T6'!I$2,1)&lt;1,"",MROUND('T3'!J20*'T6'!I$2,5))</f>
        <v>12110</v>
      </c>
      <c r="K20" s="7">
        <f>IF(MROUND('T3'!K20*'T6'!L$2,1)=0,"",MROUND('T3'!K20*'T6'!L$2,5))</f>
        <v>14385</v>
      </c>
      <c r="L20" s="7">
        <f>IF(MROUND('T3'!L20*'T6'!L$2,1)&lt;1,"",MROUND('T3'!L20*'T6'!L$2,5))</f>
        <v>15245</v>
      </c>
      <c r="M20" s="7">
        <f>IF(MROUND('T3'!M20*'T6'!L$2,1)&lt;1,"",MROUND('T3'!M20*'T6'!L$2,5))</f>
        <v>15405</v>
      </c>
      <c r="N20" s="7">
        <f>IF(MROUND('T3'!N20*'T6'!O$2,1)=0,"",MROUND('T3'!N20*'T6'!O$2,5))</f>
        <v>15615</v>
      </c>
      <c r="O20" s="7">
        <f>IF(MROUND('T3'!O20*'T6'!O$2,1)&lt;1,"",MROUND('T3'!O20*'T6'!O$2,5))</f>
        <v>16420</v>
      </c>
      <c r="P20" s="7">
        <f>IF(MROUND('T3'!P20*'T6'!O$2,1)&lt;1,"",MROUND('T3'!P20*'T6'!O$2,5))</f>
        <v>16590</v>
      </c>
      <c r="Q20" s="8">
        <f t="shared" ref="Q20:Q28" si="2">SUM(N20,K20,H20,E20,B20)</f>
        <v>50965</v>
      </c>
      <c r="R20" s="7"/>
      <c r="S20" s="8">
        <f t="shared" si="1"/>
        <v>54135</v>
      </c>
      <c r="T20" s="8">
        <f t="shared" ref="T20:T28" si="3">SUM(P20,M20,J20,G20,D20)</f>
        <v>54700</v>
      </c>
    </row>
    <row r="21" spans="1:20">
      <c r="A21">
        <v>2031</v>
      </c>
      <c r="B21" s="7">
        <f>IF(MROUND('T3'!B21*'T6'!$C$2,1)=0,"",MROUND('T3'!B21*'T6'!C$2,5))</f>
        <v>2275</v>
      </c>
      <c r="C21" s="7">
        <f>IF(MROUND('T3'!C21*'T6'!$C$2,1)&lt;1,"",MROUND('T3'!C21*'T6'!$C$2,5))</f>
        <v>2480</v>
      </c>
      <c r="D21" s="7">
        <f>IF(MROUND('T3'!D21*'T6'!$C$2,1)&lt;1,"",MROUND('T3'!D21*'T6'!$C$2,5))</f>
        <v>2505</v>
      </c>
      <c r="E21" s="7">
        <f>IF(MROUND('T3'!E21*'T6'!F$2,1)=0,"",MROUND('T3'!E21*'T6'!F$2,5))</f>
        <v>7410</v>
      </c>
      <c r="F21" s="7">
        <f>IF(MROUND('T3'!F21*'T6'!F$2,1)&lt;1,"",MROUND('T3'!F21*'T6'!F$2,5))</f>
        <v>8005</v>
      </c>
      <c r="G21" s="7">
        <f>IF(MROUND('T3'!G21*'T6'!F$2,1)&lt;1,"",MROUND('T3'!G21*'T6'!F$2,5))</f>
        <v>8090</v>
      </c>
      <c r="H21" s="7">
        <f>IF(MROUND('T3'!H21*'T6'!I$2,1)=0,"",MROUND('T3'!H21*'T6'!I$2,5))</f>
        <v>11145</v>
      </c>
      <c r="I21" s="7">
        <f>IF(MROUND('T3'!I21*'T6'!I$2,1)&lt;1,"",MROUND('T3'!I21*'T6'!I$2,5))</f>
        <v>11985</v>
      </c>
      <c r="J21" s="7">
        <f>IF(MROUND('T3'!J21*'T6'!I$2,1)&lt;1,"",MROUND('T3'!J21*'T6'!I$2,5))</f>
        <v>12110</v>
      </c>
      <c r="K21" s="7">
        <f>IF(MROUND('T3'!K21*'T6'!L$2,1)=0,"",MROUND('T3'!K21*'T6'!L$2,5))</f>
        <v>14270</v>
      </c>
      <c r="L21" s="7">
        <f>IF(MROUND('T3'!L21*'T6'!L$2,1)&lt;1,"",MROUND('T3'!L21*'T6'!L$2,5))</f>
        <v>15245</v>
      </c>
      <c r="M21" s="7">
        <f>IF(MROUND('T3'!M21*'T6'!L$2,1)&lt;1,"",MROUND('T3'!M21*'T6'!L$2,5))</f>
        <v>15405</v>
      </c>
      <c r="N21" s="7">
        <f>IF(MROUND('T3'!N21*'T6'!O$2,1)=0,"",MROUND('T3'!N21*'T6'!O$2,5))</f>
        <v>15515</v>
      </c>
      <c r="O21" s="7">
        <f>IF(MROUND('T3'!O21*'T6'!O$2,1)&lt;1,"",MROUND('T3'!O21*'T6'!O$2,5))</f>
        <v>16435</v>
      </c>
      <c r="P21" s="7">
        <f>IF(MROUND('T3'!P21*'T6'!O$2,1)&lt;1,"",MROUND('T3'!P21*'T6'!O$2,5))</f>
        <v>16605</v>
      </c>
      <c r="Q21" s="8">
        <f t="shared" si="2"/>
        <v>50615</v>
      </c>
      <c r="R21" s="7"/>
      <c r="S21" s="8">
        <f t="shared" si="1"/>
        <v>54150</v>
      </c>
      <c r="T21" s="8">
        <f t="shared" si="3"/>
        <v>54715</v>
      </c>
    </row>
    <row r="22" spans="1:20">
      <c r="A22">
        <v>2032</v>
      </c>
      <c r="B22" s="7">
        <f>IF(MROUND('T3'!B22*'T6'!$C$2,1)=0,"",MROUND('T3'!B22*'T6'!C$2,5))</f>
        <v>2265</v>
      </c>
      <c r="C22" s="7">
        <f>IF(MROUND('T3'!C22*'T6'!$C$2,1)&lt;1,"",MROUND('T3'!C22*'T6'!$C$2,5))</f>
        <v>2480</v>
      </c>
      <c r="D22" s="7">
        <f>IF(MROUND('T3'!D22*'T6'!$C$2,1)&lt;1,"",MROUND('T3'!D22*'T6'!$C$2,5))</f>
        <v>2505</v>
      </c>
      <c r="E22" s="7">
        <f>IF(MROUND('T3'!E22*'T6'!F$2,1)=0,"",MROUND('T3'!E22*'T6'!F$2,5))</f>
        <v>7350</v>
      </c>
      <c r="F22" s="7">
        <f>IF(MROUND('T3'!F22*'T6'!F$2,1)&lt;1,"",MROUND('T3'!F22*'T6'!F$2,5))</f>
        <v>8005</v>
      </c>
      <c r="G22" s="7">
        <f>IF(MROUND('T3'!G22*'T6'!F$2,1)&lt;1,"",MROUND('T3'!G22*'T6'!F$2,5))</f>
        <v>8090</v>
      </c>
      <c r="H22" s="7">
        <f>IF(MROUND('T3'!H22*'T6'!I$2,1)=0,"",MROUND('T3'!H22*'T6'!I$2,5))</f>
        <v>11095</v>
      </c>
      <c r="I22" s="7">
        <f>IF(MROUND('T3'!I22*'T6'!I$2,1)&lt;1,"",MROUND('T3'!I22*'T6'!I$2,5))</f>
        <v>11980</v>
      </c>
      <c r="J22" s="7">
        <f>IF(MROUND('T3'!J22*'T6'!I$2,1)&lt;1,"",MROUND('T3'!J22*'T6'!I$2,5))</f>
        <v>12105</v>
      </c>
      <c r="K22" s="7">
        <f>IF(MROUND('T3'!K22*'T6'!L$2,1)=0,"",MROUND('T3'!K22*'T6'!L$2,5))</f>
        <v>14185</v>
      </c>
      <c r="L22" s="7">
        <f>IF(MROUND('T3'!L22*'T6'!L$2,1)&lt;1,"",MROUND('T3'!L22*'T6'!L$2,5))</f>
        <v>15245</v>
      </c>
      <c r="M22" s="7">
        <f>IF(MROUND('T3'!M22*'T6'!L$2,1)&lt;1,"",MROUND('T3'!M22*'T6'!L$2,5))</f>
        <v>15405</v>
      </c>
      <c r="N22" s="7">
        <f>IF(MROUND('T3'!N22*'T6'!O$2,1)=0,"",MROUND('T3'!N22*'T6'!O$2,5))</f>
        <v>15380</v>
      </c>
      <c r="O22" s="7">
        <f>IF(MROUND('T3'!O22*'T6'!O$2,1)&lt;1,"",MROUND('T3'!O22*'T6'!O$2,5))</f>
        <v>16435</v>
      </c>
      <c r="P22" s="7">
        <f>IF(MROUND('T3'!P22*'T6'!O$2,1)&lt;1,"",MROUND('T3'!P22*'T6'!O$2,5))</f>
        <v>16610</v>
      </c>
      <c r="Q22" s="8">
        <f t="shared" si="2"/>
        <v>50275</v>
      </c>
      <c r="R22" s="7"/>
      <c r="S22" s="8">
        <f t="shared" si="1"/>
        <v>54145</v>
      </c>
      <c r="T22" s="8">
        <f t="shared" si="3"/>
        <v>54715</v>
      </c>
    </row>
    <row r="23" spans="1:20">
      <c r="A23">
        <v>2033</v>
      </c>
      <c r="B23" s="7">
        <f>IF(MROUND('T3'!B23*'T6'!$C$2,1)=0,"",MROUND('T3'!B23*'T6'!C$2,5))</f>
        <v>2260</v>
      </c>
      <c r="C23" s="7">
        <f>IF(MROUND('T3'!C23*'T6'!$C$2,1)&lt;1,"",MROUND('T3'!C23*'T6'!$C$2,5))</f>
        <v>2485</v>
      </c>
      <c r="D23" s="7">
        <f>IF(MROUND('T3'!D23*'T6'!$C$2,1)&lt;1,"",MROUND('T3'!D23*'T6'!$C$2,5))</f>
        <v>2510</v>
      </c>
      <c r="E23" s="7">
        <f>IF(MROUND('T3'!E23*'T6'!F$2,1)=0,"",MROUND('T3'!E23*'T6'!F$2,5))</f>
        <v>7330</v>
      </c>
      <c r="F23" s="7">
        <f>IF(MROUND('T3'!F23*'T6'!F$2,1)&lt;1,"",MROUND('T3'!F23*'T6'!F$2,5))</f>
        <v>8015</v>
      </c>
      <c r="G23" s="7">
        <f>IF(MROUND('T3'!G23*'T6'!F$2,1)&lt;1,"",MROUND('T3'!G23*'T6'!F$2,5))</f>
        <v>8100</v>
      </c>
      <c r="H23" s="7">
        <f>IF(MROUND('T3'!H23*'T6'!I$2,1)=0,"",MROUND('T3'!H23*'T6'!I$2,5))</f>
        <v>11010</v>
      </c>
      <c r="I23" s="7">
        <f>IF(MROUND('T3'!I23*'T6'!I$2,1)&lt;1,"",MROUND('T3'!I23*'T6'!I$2,5))</f>
        <v>11985</v>
      </c>
      <c r="J23" s="7">
        <f>IF(MROUND('T3'!J23*'T6'!I$2,1)&lt;1,"",MROUND('T3'!J23*'T6'!I$2,5))</f>
        <v>12110</v>
      </c>
      <c r="K23" s="7">
        <f>IF(MROUND('T3'!K23*'T6'!L$2,1)=0,"",MROUND('T3'!K23*'T6'!L$2,5))</f>
        <v>14110</v>
      </c>
      <c r="L23" s="7">
        <f>IF(MROUND('T3'!L23*'T6'!L$2,1)&lt;1,"",MROUND('T3'!L23*'T6'!L$2,5))</f>
        <v>15240</v>
      </c>
      <c r="M23" s="7">
        <f>IF(MROUND('T3'!M23*'T6'!L$2,1)&lt;1,"",MROUND('T3'!M23*'T6'!L$2,5))</f>
        <v>15400</v>
      </c>
      <c r="N23" s="7">
        <f>IF(MROUND('T3'!N23*'T6'!O$2,1)=0,"",MROUND('T3'!N23*'T6'!O$2,5))</f>
        <v>15275</v>
      </c>
      <c r="O23" s="7">
        <f>IF(MROUND('T3'!O23*'T6'!O$2,1)&lt;1,"",MROUND('T3'!O23*'T6'!O$2,5))</f>
        <v>16435</v>
      </c>
      <c r="P23" s="7">
        <f>IF(MROUND('T3'!P23*'T6'!O$2,1)&lt;1,"",MROUND('T3'!P23*'T6'!O$2,5))</f>
        <v>16605</v>
      </c>
      <c r="Q23" s="8">
        <f t="shared" si="2"/>
        <v>49985</v>
      </c>
      <c r="R23" s="7"/>
      <c r="S23" s="8">
        <f t="shared" si="1"/>
        <v>54160</v>
      </c>
      <c r="T23" s="8">
        <f t="shared" si="3"/>
        <v>54725</v>
      </c>
    </row>
    <row r="24" spans="1:20">
      <c r="A24">
        <v>2034</v>
      </c>
      <c r="B24" s="7">
        <f>IF(MROUND('T3'!B24*'T6'!$C$2,1)=0,"",MROUND('T3'!B24*'T6'!C$2,5))</f>
        <v>2260</v>
      </c>
      <c r="C24" s="7">
        <f>IF(MROUND('T3'!C24*'T6'!$C$2,1)&lt;1,"",MROUND('T3'!C24*'T6'!$C$2,5))</f>
        <v>2490</v>
      </c>
      <c r="D24" s="7">
        <f>IF(MROUND('T3'!D24*'T6'!$C$2,1)&lt;1,"",MROUND('T3'!D24*'T6'!$C$2,5))</f>
        <v>2520</v>
      </c>
      <c r="E24" s="7">
        <f>IF(MROUND('T3'!E24*'T6'!F$2,1)=0,"",MROUND('T3'!E24*'T6'!F$2,5))</f>
        <v>7305</v>
      </c>
      <c r="F24" s="7">
        <f>IF(MROUND('T3'!F24*'T6'!F$2,1)&lt;1,"",MROUND('T3'!F24*'T6'!F$2,5))</f>
        <v>8030</v>
      </c>
      <c r="G24" s="7">
        <f>IF(MROUND('T3'!G24*'T6'!F$2,1)&lt;1,"",MROUND('T3'!G24*'T6'!F$2,5))</f>
        <v>8115</v>
      </c>
      <c r="H24" s="7">
        <f>IF(MROUND('T3'!H24*'T6'!I$2,1)=0,"",MROUND('T3'!H24*'T6'!I$2,5))</f>
        <v>10970</v>
      </c>
      <c r="I24" s="7">
        <f>IF(MROUND('T3'!I24*'T6'!I$2,1)&lt;1,"",MROUND('T3'!I24*'T6'!I$2,5))</f>
        <v>11995</v>
      </c>
      <c r="J24" s="7">
        <f>IF(MROUND('T3'!J24*'T6'!I$2,1)&lt;1,"",MROUND('T3'!J24*'T6'!I$2,5))</f>
        <v>12120</v>
      </c>
      <c r="K24" s="7">
        <f>IF(MROUND('T3'!K24*'T6'!L$2,1)=0,"",MROUND('T3'!K24*'T6'!L$2,5))</f>
        <v>14010</v>
      </c>
      <c r="L24" s="7">
        <f>IF(MROUND('T3'!L24*'T6'!L$2,1)&lt;1,"",MROUND('T3'!L24*'T6'!L$2,5))</f>
        <v>15245</v>
      </c>
      <c r="M24" s="7">
        <f>IF(MROUND('T3'!M24*'T6'!L$2,1)&lt;1,"",MROUND('T3'!M24*'T6'!L$2,5))</f>
        <v>15405</v>
      </c>
      <c r="N24" s="7">
        <f>IF(MROUND('T3'!N24*'T6'!O$2,1)=0,"",MROUND('T3'!N24*'T6'!O$2,5))</f>
        <v>15205</v>
      </c>
      <c r="O24" s="7">
        <f>IF(MROUND('T3'!O24*'T6'!O$2,1)&lt;1,"",MROUND('T3'!O24*'T6'!O$2,5))</f>
        <v>16435</v>
      </c>
      <c r="P24" s="7">
        <f>IF(MROUND('T3'!P24*'T6'!O$2,1)&lt;1,"",MROUND('T3'!P24*'T6'!O$2,5))</f>
        <v>16605</v>
      </c>
      <c r="Q24" s="8">
        <f t="shared" si="2"/>
        <v>49750</v>
      </c>
      <c r="R24" s="7"/>
      <c r="S24" s="8">
        <f t="shared" si="1"/>
        <v>54195</v>
      </c>
      <c r="T24" s="8">
        <f t="shared" si="3"/>
        <v>54765</v>
      </c>
    </row>
    <row r="25" spans="1:20">
      <c r="A25">
        <v>2035</v>
      </c>
      <c r="B25" s="7">
        <f>IF(MROUND('T3'!B25*'T6'!$C$2,1)=0,"",MROUND('T3'!B25*'T6'!C$2,5))</f>
        <v>2255</v>
      </c>
      <c r="C25" s="7">
        <f>IF(MROUND('T3'!C25*'T6'!$C$2,1)&lt;1,"",MROUND('T3'!C25*'T6'!$C$2,5))</f>
        <v>2500</v>
      </c>
      <c r="D25" s="7">
        <f>IF(MROUND('T3'!D25*'T6'!$C$2,1)&lt;1,"",MROUND('T3'!D25*'T6'!$C$2,5))</f>
        <v>2530</v>
      </c>
      <c r="E25" s="7">
        <f>IF(MROUND('T3'!E25*'T6'!F$2,1)=0,"",MROUND('T3'!E25*'T6'!F$2,5))</f>
        <v>7300</v>
      </c>
      <c r="F25" s="7">
        <f>IF(MROUND('T3'!F25*'T6'!F$2,1)&lt;1,"",MROUND('T3'!F25*'T6'!F$2,5))</f>
        <v>8055</v>
      </c>
      <c r="G25" s="7">
        <f>IF(MROUND('T3'!G25*'T6'!F$2,1)&lt;1,"",MROUND('T3'!G25*'T6'!F$2,5))</f>
        <v>8135</v>
      </c>
      <c r="H25" s="7">
        <f>IF(MROUND('T3'!H25*'T6'!I$2,1)=0,"",MROUND('T3'!H25*'T6'!I$2,5))</f>
        <v>10960</v>
      </c>
      <c r="I25" s="7">
        <f>IF(MROUND('T3'!I25*'T6'!I$2,1)&lt;1,"",MROUND('T3'!I25*'T6'!I$2,5))</f>
        <v>12020</v>
      </c>
      <c r="J25" s="7">
        <f>IF(MROUND('T3'!J25*'T6'!I$2,1)&lt;1,"",MROUND('T3'!J25*'T6'!I$2,5))</f>
        <v>12145</v>
      </c>
      <c r="K25" s="7">
        <f>IF(MROUND('T3'!K25*'T6'!L$2,1)=0,"",MROUND('T3'!K25*'T6'!L$2,5))</f>
        <v>13975</v>
      </c>
      <c r="L25" s="7">
        <f>IF(MROUND('T3'!L25*'T6'!L$2,1)&lt;1,"",MROUND('T3'!L25*'T6'!L$2,5))</f>
        <v>15265</v>
      </c>
      <c r="M25" s="7">
        <f>IF(MROUND('T3'!M25*'T6'!L$2,1)&lt;1,"",MROUND('T3'!M25*'T6'!L$2,5))</f>
        <v>15420</v>
      </c>
      <c r="N25" s="7">
        <f>IF(MROUND('T3'!N25*'T6'!O$2,1)=0,"",MROUND('T3'!N25*'T6'!O$2,5))</f>
        <v>15105</v>
      </c>
      <c r="O25" s="7">
        <f>IF(MROUND('T3'!O25*'T6'!O$2,1)&lt;1,"",MROUND('T3'!O25*'T6'!O$2,5))</f>
        <v>16440</v>
      </c>
      <c r="P25" s="7">
        <f>IF(MROUND('T3'!P25*'T6'!O$2,1)&lt;1,"",MROUND('T3'!P25*'T6'!O$2,5))</f>
        <v>16610</v>
      </c>
      <c r="Q25" s="8">
        <f t="shared" si="2"/>
        <v>49595</v>
      </c>
      <c r="R25" s="7"/>
      <c r="S25" s="8">
        <f t="shared" si="1"/>
        <v>54280</v>
      </c>
      <c r="T25" s="8">
        <f t="shared" si="3"/>
        <v>54840</v>
      </c>
    </row>
    <row r="26" spans="1:20">
      <c r="A26">
        <v>2036</v>
      </c>
      <c r="B26" s="7">
        <f>IF(MROUND('T3'!B26*'T6'!$C$2,1)=0,"",MROUND('T3'!B26*'T6'!C$2,5))</f>
        <v>2260</v>
      </c>
      <c r="C26" s="7">
        <f>IF(MROUND('T3'!C26*'T6'!$C$2,1)&lt;1,"",MROUND('T3'!C26*'T6'!$C$2,5))</f>
        <v>2515</v>
      </c>
      <c r="D26" s="7">
        <f>IF(MROUND('T3'!D26*'T6'!$C$2,1)&lt;1,"",MROUND('T3'!D26*'T6'!$C$2,5))</f>
        <v>2540</v>
      </c>
      <c r="E26" s="7">
        <f>IF(MROUND('T3'!E26*'T6'!F$2,1)=0,"",MROUND('T3'!E26*'T6'!F$2,5))</f>
        <v>7295</v>
      </c>
      <c r="F26" s="7">
        <f>IF(MROUND('T3'!F26*'T6'!F$2,1)&lt;1,"",MROUND('T3'!F26*'T6'!F$2,5))</f>
        <v>8085</v>
      </c>
      <c r="G26" s="7">
        <f>IF(MROUND('T3'!G26*'T6'!F$2,1)&lt;1,"",MROUND('T3'!G26*'T6'!F$2,5))</f>
        <v>8170</v>
      </c>
      <c r="H26" s="7">
        <f>IF(MROUND('T3'!H26*'T6'!I$2,1)=0,"",MROUND('T3'!H26*'T6'!I$2,5))</f>
        <v>10930</v>
      </c>
      <c r="I26" s="7">
        <f>IF(MROUND('T3'!I26*'T6'!I$2,1)&lt;1,"",MROUND('T3'!I26*'T6'!I$2,5))</f>
        <v>12055</v>
      </c>
      <c r="J26" s="7">
        <f>IF(MROUND('T3'!J26*'T6'!I$2,1)&lt;1,"",MROUND('T3'!J26*'T6'!I$2,5))</f>
        <v>12180</v>
      </c>
      <c r="K26" s="7">
        <f>IF(MROUND('T3'!K26*'T6'!L$2,1)=0,"",MROUND('T3'!K26*'T6'!L$2,5))</f>
        <v>13945</v>
      </c>
      <c r="L26" s="7">
        <f>IF(MROUND('T3'!L26*'T6'!L$2,1)&lt;1,"",MROUND('T3'!L26*'T6'!L$2,5))</f>
        <v>15290</v>
      </c>
      <c r="M26" s="7">
        <f>IF(MROUND('T3'!M26*'T6'!L$2,1)&lt;1,"",MROUND('T3'!M26*'T6'!L$2,5))</f>
        <v>15450</v>
      </c>
      <c r="N26" s="7">
        <f>IF(MROUND('T3'!N26*'T6'!O$2,1)=0,"",MROUND('T3'!N26*'T6'!O$2,5))</f>
        <v>15065</v>
      </c>
      <c r="O26" s="7">
        <f>IF(MROUND('T3'!O26*'T6'!O$2,1)&lt;1,"",MROUND('T3'!O26*'T6'!O$2,5))</f>
        <v>16460</v>
      </c>
      <c r="P26" s="7">
        <f>IF(MROUND('T3'!P26*'T6'!O$2,1)&lt;1,"",MROUND('T3'!P26*'T6'!O$2,5))</f>
        <v>16630</v>
      </c>
      <c r="Q26" s="8">
        <f t="shared" si="2"/>
        <v>49495</v>
      </c>
      <c r="R26" s="7"/>
      <c r="S26" s="8">
        <f t="shared" si="1"/>
        <v>54405</v>
      </c>
      <c r="T26" s="8">
        <f t="shared" si="3"/>
        <v>54970</v>
      </c>
    </row>
    <row r="27" spans="1:20">
      <c r="A27">
        <v>2037</v>
      </c>
      <c r="B27" s="7">
        <f>IF(MROUND('T3'!B27*'T6'!$C$2,1)=0,"",MROUND('T3'!B27*'T6'!C$2,5))</f>
        <v>2265</v>
      </c>
      <c r="C27" s="7">
        <f>IF(MROUND('T3'!C27*'T6'!$C$2,1)&lt;1,"",MROUND('T3'!C27*'T6'!$C$2,5))</f>
        <v>2530</v>
      </c>
      <c r="D27" s="7">
        <f>IF(MROUND('T3'!D27*'T6'!$C$2,1)&lt;1,"",MROUND('T3'!D27*'T6'!$C$2,5))</f>
        <v>2560</v>
      </c>
      <c r="E27" s="7">
        <f>IF(MROUND('T3'!E27*'T6'!F$2,1)=0,"",MROUND('T3'!E27*'T6'!F$2,5))</f>
        <v>7290</v>
      </c>
      <c r="F27" s="7">
        <f>IF(MROUND('T3'!F27*'T6'!F$2,1)&lt;1,"",MROUND('T3'!F27*'T6'!F$2,5))</f>
        <v>8130</v>
      </c>
      <c r="G27" s="7">
        <f>IF(MROUND('T3'!G27*'T6'!F$2,1)&lt;1,"",MROUND('T3'!G27*'T6'!F$2,5))</f>
        <v>8215</v>
      </c>
      <c r="H27" s="7">
        <f>IF(MROUND('T3'!H27*'T6'!I$2,1)=0,"",MROUND('T3'!H27*'T6'!I$2,5))</f>
        <v>10925</v>
      </c>
      <c r="I27" s="7">
        <f>IF(MROUND('T3'!I27*'T6'!I$2,1)&lt;1,"",MROUND('T3'!I27*'T6'!I$2,5))</f>
        <v>12105</v>
      </c>
      <c r="J27" s="7">
        <f>IF(MROUND('T3'!J27*'T6'!I$2,1)&lt;1,"",MROUND('T3'!J27*'T6'!I$2,5))</f>
        <v>12230</v>
      </c>
      <c r="K27" s="7">
        <f>IF(MROUND('T3'!K27*'T6'!L$2,1)=0,"",MROUND('T3'!K27*'T6'!L$2,5))</f>
        <v>13905</v>
      </c>
      <c r="L27" s="7">
        <f>IF(MROUND('T3'!L27*'T6'!L$2,1)&lt;1,"",MROUND('T3'!L27*'T6'!L$2,5))</f>
        <v>15340</v>
      </c>
      <c r="M27" s="7">
        <f>IF(MROUND('T3'!M27*'T6'!L$2,1)&lt;1,"",MROUND('T3'!M27*'T6'!L$2,5))</f>
        <v>15500</v>
      </c>
      <c r="N27" s="7">
        <f>IF(MROUND('T3'!N27*'T6'!O$2,1)=0,"",MROUND('T3'!N27*'T6'!O$2,5))</f>
        <v>15050</v>
      </c>
      <c r="O27" s="7">
        <f>IF(MROUND('T3'!O27*'T6'!O$2,1)&lt;1,"",MROUND('T3'!O27*'T6'!O$2,5))</f>
        <v>16490</v>
      </c>
      <c r="P27" s="7">
        <f>IF(MROUND('T3'!P27*'T6'!O$2,1)&lt;1,"",MROUND('T3'!P27*'T6'!O$2,5))</f>
        <v>16660</v>
      </c>
      <c r="Q27" s="8">
        <f t="shared" si="2"/>
        <v>49435</v>
      </c>
      <c r="R27" s="7"/>
      <c r="S27" s="8">
        <f t="shared" si="1"/>
        <v>54595</v>
      </c>
      <c r="T27" s="8">
        <f t="shared" si="3"/>
        <v>55165</v>
      </c>
    </row>
    <row r="28" spans="1:20">
      <c r="A28">
        <v>2038</v>
      </c>
      <c r="B28" s="7">
        <f>IF(MROUND('T3'!B28*'T6'!$C$2,1)=0,"",MROUND('T3'!B28*'T6'!C$2,5))</f>
        <v>2275</v>
      </c>
      <c r="C28" s="7">
        <f>IF(MROUND('T3'!C28*'T6'!$C$2,1)&lt;1,"",MROUND('T3'!C28*'T6'!$C$2,5))</f>
        <v>2550</v>
      </c>
      <c r="D28" s="7">
        <f>IF(MROUND('T3'!D28*'T6'!$C$2,1)&lt;1,"",MROUND('T3'!D28*'T6'!$C$2,5))</f>
        <v>2575</v>
      </c>
      <c r="E28" s="7">
        <f>IF(MROUND('T3'!E28*'T6'!F$2,1)=0,"",MROUND('T3'!E28*'T6'!F$2,5))</f>
        <v>7335</v>
      </c>
      <c r="F28" s="7">
        <f>IF(MROUND('T3'!F28*'T6'!F$2,1)&lt;1,"",MROUND('T3'!F28*'T6'!F$2,5))</f>
        <v>8185</v>
      </c>
      <c r="G28" s="7">
        <f>IF(MROUND('T3'!G28*'T6'!F$2,1)&lt;1,"",MROUND('T3'!G28*'T6'!F$2,5))</f>
        <v>8270</v>
      </c>
      <c r="H28" s="7">
        <f>IF(MROUND('T3'!H28*'T6'!I$2,1)=0,"",MROUND('T3'!H28*'T6'!I$2,5))</f>
        <v>10930</v>
      </c>
      <c r="I28" s="7">
        <f>IF(MROUND('T3'!I28*'T6'!I$2,1)&lt;1,"",MROUND('T3'!I28*'T6'!I$2,5))</f>
        <v>12175</v>
      </c>
      <c r="J28" s="7">
        <f>IF(MROUND('T3'!J28*'T6'!I$2,1)&lt;1,"",MROUND('T3'!J28*'T6'!I$2,5))</f>
        <v>12300</v>
      </c>
      <c r="K28" s="7">
        <f>IF(MROUND('T3'!K28*'T6'!L$2,1)=0,"",MROUND('T3'!K28*'T6'!L$2,5))</f>
        <v>13905</v>
      </c>
      <c r="L28" s="7">
        <f>IF(MROUND('T3'!L28*'T6'!L$2,1)&lt;1,"",MROUND('T3'!L28*'T6'!L$2,5))</f>
        <v>15405</v>
      </c>
      <c r="M28" s="7">
        <f>IF(MROUND('T3'!M28*'T6'!L$2,1)&lt;1,"",MROUND('T3'!M28*'T6'!L$2,5))</f>
        <v>15565</v>
      </c>
      <c r="N28" s="7">
        <f>IF(MROUND('T3'!N28*'T6'!O$2,1)=0,"",MROUND('T3'!N28*'T6'!O$2,5))</f>
        <v>15015</v>
      </c>
      <c r="O28" s="7">
        <f>IF(MROUND('T3'!O28*'T6'!O$2,1)&lt;1,"",MROUND('T3'!O28*'T6'!O$2,5))</f>
        <v>16540</v>
      </c>
      <c r="P28" s="7">
        <f>IF(MROUND('T3'!P28*'T6'!O$2,1)&lt;1,"",MROUND('T3'!P28*'T6'!O$2,5))</f>
        <v>16715</v>
      </c>
      <c r="Q28" s="8">
        <f t="shared" si="2"/>
        <v>49460</v>
      </c>
      <c r="R28" s="7"/>
      <c r="S28" s="8">
        <f t="shared" si="1"/>
        <v>54855</v>
      </c>
      <c r="T28" s="8">
        <f t="shared" si="3"/>
        <v>55425</v>
      </c>
    </row>
  </sheetData>
  <mergeCells count="6">
    <mergeCell ref="Q3:T3"/>
    <mergeCell ref="B3:D3"/>
    <mergeCell ref="E3:G3"/>
    <mergeCell ref="H3:J3"/>
    <mergeCell ref="K3:M3"/>
    <mergeCell ref="N3:P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60E77-D01B-4CA8-AEC9-8EA065AE16B0}">
  <dimension ref="A1:T28"/>
  <sheetViews>
    <sheetView topLeftCell="E1" workbookViewId="0">
      <selection activeCell="O2" sqref="O2"/>
    </sheetView>
  </sheetViews>
  <sheetFormatPr defaultColWidth="8.85546875" defaultRowHeight="14.65"/>
  <cols>
    <col min="2" max="2" width="9.7109375" bestFit="1" customWidth="1"/>
    <col min="3" max="16" width="10.7109375" bestFit="1" customWidth="1"/>
    <col min="17" max="20" width="11.85546875" bestFit="1" customWidth="1"/>
  </cols>
  <sheetData>
    <row r="1" spans="1:20">
      <c r="A1" s="1" t="s">
        <v>279</v>
      </c>
    </row>
    <row r="2" spans="1:20">
      <c r="A2" s="1" t="s">
        <v>278</v>
      </c>
      <c r="C2" s="2">
        <v>0.15217913867934008</v>
      </c>
      <c r="F2" s="3">
        <v>0.45197924269246748</v>
      </c>
      <c r="I2" s="3">
        <v>0.65084253979281892</v>
      </c>
      <c r="L2" s="3">
        <v>0.8564703006723805</v>
      </c>
      <c r="O2" s="3">
        <v>0.9055917114278188</v>
      </c>
    </row>
    <row r="3" spans="1:20">
      <c r="B3" s="177" t="s">
        <v>246</v>
      </c>
      <c r="C3" s="177"/>
      <c r="D3" s="177"/>
      <c r="E3" s="177" t="s">
        <v>247</v>
      </c>
      <c r="F3" s="177"/>
      <c r="G3" s="177"/>
      <c r="H3" s="177" t="s">
        <v>248</v>
      </c>
      <c r="I3" s="177"/>
      <c r="J3" s="177"/>
      <c r="K3" s="177" t="s">
        <v>249</v>
      </c>
      <c r="L3" s="177"/>
      <c r="M3" s="177"/>
      <c r="N3" s="177" t="s">
        <v>250</v>
      </c>
      <c r="O3" s="177"/>
      <c r="P3" s="177"/>
      <c r="Q3" s="177" t="s">
        <v>236</v>
      </c>
      <c r="R3" s="177"/>
      <c r="S3" s="177"/>
      <c r="T3" s="177"/>
    </row>
    <row r="4" spans="1:20">
      <c r="A4" t="s">
        <v>229</v>
      </c>
      <c r="B4" s="5" t="s">
        <v>253</v>
      </c>
      <c r="C4" s="5" t="s">
        <v>256</v>
      </c>
      <c r="D4" s="5" t="s">
        <v>254</v>
      </c>
      <c r="E4" s="5" t="s">
        <v>253</v>
      </c>
      <c r="F4" s="5" t="s">
        <v>256</v>
      </c>
      <c r="G4" s="5" t="s">
        <v>254</v>
      </c>
      <c r="H4" s="5" t="s">
        <v>253</v>
      </c>
      <c r="I4" s="5" t="s">
        <v>256</v>
      </c>
      <c r="J4" s="5" t="s">
        <v>254</v>
      </c>
      <c r="K4" s="5" t="s">
        <v>253</v>
      </c>
      <c r="L4" s="5" t="s">
        <v>256</v>
      </c>
      <c r="M4" s="5" t="s">
        <v>254</v>
      </c>
      <c r="N4" s="5" t="s">
        <v>253</v>
      </c>
      <c r="O4" s="5" t="s">
        <v>256</v>
      </c>
      <c r="P4" s="5" t="s">
        <v>254</v>
      </c>
      <c r="Q4" s="1" t="s">
        <v>253</v>
      </c>
      <c r="R4" s="1" t="s">
        <v>255</v>
      </c>
      <c r="S4" s="1" t="s">
        <v>256</v>
      </c>
      <c r="T4" s="1" t="s">
        <v>254</v>
      </c>
    </row>
    <row r="5" spans="1:20">
      <c r="A5">
        <v>2015</v>
      </c>
      <c r="B5" s="7" t="str">
        <f>IF(MROUND('T2'!B5*'T6'!$C$2,1)=0,"",MROUND('T2'!B5*'T6'!C$2,5))</f>
        <v/>
      </c>
      <c r="C5" s="7">
        <v>3382</v>
      </c>
      <c r="D5" s="7" t="str">
        <f>IF(MROUND('T2'!D5*'T6'!$C$2,1)&lt;1,"",MROUND('T2'!D5*'T6'!$C$2,5))</f>
        <v/>
      </c>
      <c r="E5" s="7" t="str">
        <f>IF(MROUND('T2'!E5*'T6'!F$2,1)=0,"",MROUND('T2'!E5*'T6'!F$2,5))</f>
        <v/>
      </c>
      <c r="F5" s="7">
        <v>8632</v>
      </c>
      <c r="G5" s="7" t="str">
        <f>IF(MROUND('T2'!G5*'T6'!$C$2,1)&lt;1,"",MROUND('T2'!G5*'T6'!$C$2,5))</f>
        <v/>
      </c>
      <c r="H5" s="7" t="str">
        <f>IF(MROUND('T2'!H5*'T6'!I$2,1)=0,"",MROUND('T2'!H5*'T6'!I$2,5))</f>
        <v/>
      </c>
      <c r="I5" s="7">
        <v>13342</v>
      </c>
      <c r="J5" s="7" t="str">
        <f>IF(MROUND('T2'!J5*'T6'!$C$2,1)&lt;1,"",MROUND('T2'!J5*'T6'!$C$2,5))</f>
        <v/>
      </c>
      <c r="K5" s="7"/>
      <c r="L5" s="7">
        <v>19543</v>
      </c>
      <c r="M5" s="7"/>
      <c r="N5" s="7"/>
      <c r="O5" s="7">
        <v>21050</v>
      </c>
      <c r="P5" s="7"/>
      <c r="Q5" s="8"/>
      <c r="R5" s="8">
        <f>SUM(C5,F5,I5,L5,O5)</f>
        <v>65949</v>
      </c>
      <c r="S5" s="8"/>
      <c r="T5" s="8"/>
    </row>
    <row r="6" spans="1:20">
      <c r="A6">
        <v>2016</v>
      </c>
      <c r="B6" s="7" t="str">
        <f>IF(MROUND('T2'!B6*'T6'!$C$2,1)=0,"",MROUND('T2'!B6*'T6'!C$2,5))</f>
        <v/>
      </c>
      <c r="C6" s="7">
        <v>3126</v>
      </c>
      <c r="D6" s="7" t="str">
        <f>IF(MROUND('T2'!D6*'T6'!$C$2,1)&lt;1,"",MROUND('T2'!D6*'T6'!$C$2,5))</f>
        <v/>
      </c>
      <c r="E6" s="7" t="str">
        <f>IF(MROUND('T2'!E6*'T6'!F$2,1)=0,"",MROUND('T2'!E6*'T6'!F$2,5))</f>
        <v/>
      </c>
      <c r="F6" s="7">
        <v>9347</v>
      </c>
      <c r="G6" s="7" t="str">
        <f>IF(MROUND('T2'!G6*'T6'!$C$2,1)&lt;1,"",MROUND('T2'!G6*'T6'!$C$2,5))</f>
        <v/>
      </c>
      <c r="H6" s="7" t="str">
        <f>IF(MROUND('T2'!H6*'T6'!I$2,1)=0,"",MROUND('T2'!H6*'T6'!I$2,5))</f>
        <v/>
      </c>
      <c r="I6" s="7">
        <v>13603</v>
      </c>
      <c r="J6" s="7" t="str">
        <f>IF(MROUND('T2'!J6*'T6'!$C$2,1)&lt;1,"",MROUND('T2'!J6*'T6'!$C$2,5))</f>
        <v/>
      </c>
      <c r="K6" s="7"/>
      <c r="L6" s="7">
        <v>20047</v>
      </c>
      <c r="M6" s="7"/>
      <c r="N6" s="7"/>
      <c r="O6" s="7">
        <v>21220</v>
      </c>
      <c r="P6" s="7"/>
      <c r="Q6" s="8"/>
      <c r="R6" s="8">
        <f t="shared" ref="R6:R14" si="0">SUM(C6,F6,I6,L6,O6)</f>
        <v>67343</v>
      </c>
      <c r="S6" s="8"/>
      <c r="T6" s="8"/>
    </row>
    <row r="7" spans="1:20">
      <c r="A7">
        <v>2017</v>
      </c>
      <c r="B7" s="7" t="str">
        <f>IF(MROUND('T2'!B7*'T6'!$C$2,1)=0,"",MROUND('T2'!B7*'T6'!C$2,5))</f>
        <v/>
      </c>
      <c r="C7" s="7">
        <v>3490</v>
      </c>
      <c r="D7" s="7" t="str">
        <f>IF(MROUND('T2'!D7*'T6'!$C$2,1)&lt;1,"",MROUND('T2'!D7*'T6'!$C$2,5))</f>
        <v/>
      </c>
      <c r="E7" s="7" t="str">
        <f>IF(MROUND('T2'!E7*'T6'!F$2,1)=0,"",MROUND('T2'!E7*'T6'!F$2,5))</f>
        <v/>
      </c>
      <c r="F7" s="7">
        <v>9261</v>
      </c>
      <c r="G7" s="7" t="str">
        <f>IF(MROUND('T2'!G7*'T6'!$C$2,1)&lt;1,"",MROUND('T2'!G7*'T6'!$C$2,5))</f>
        <v/>
      </c>
      <c r="H7" s="7" t="str">
        <f>IF(MROUND('T2'!H7*'T6'!I$2,1)=0,"",MROUND('T2'!H7*'T6'!I$2,5))</f>
        <v/>
      </c>
      <c r="I7" s="7">
        <v>14333</v>
      </c>
      <c r="J7" s="7" t="str">
        <f>IF(MROUND('T2'!J7*'T6'!$C$2,1)&lt;1,"",MROUND('T2'!J7*'T6'!$C$2,5))</f>
        <v/>
      </c>
      <c r="K7" s="7"/>
      <c r="L7" s="7">
        <v>19477</v>
      </c>
      <c r="M7" s="7"/>
      <c r="N7" s="7"/>
      <c r="O7" s="7">
        <v>21397</v>
      </c>
      <c r="P7" s="7"/>
      <c r="Q7" s="8"/>
      <c r="R7" s="8">
        <f t="shared" si="0"/>
        <v>67958</v>
      </c>
      <c r="S7" s="8"/>
      <c r="T7" s="8"/>
    </row>
    <row r="8" spans="1:20">
      <c r="A8">
        <v>2018</v>
      </c>
      <c r="B8" s="7" t="str">
        <f>IF(MROUND('T2'!B8*'T6'!$C$2,1)=0,"",MROUND('T2'!B8*'T6'!C$2,5))</f>
        <v/>
      </c>
      <c r="C8" s="7">
        <v>3111</v>
      </c>
      <c r="D8" s="7" t="str">
        <f>IF(MROUND('T2'!D8*'T6'!$C$2,1)&lt;1,"",MROUND('T2'!D8*'T6'!$C$2,5))</f>
        <v/>
      </c>
      <c r="E8" s="7" t="str">
        <f>IF(MROUND('T2'!E8*'T6'!F$2,1)=0,"",MROUND('T2'!E8*'T6'!F$2,5))</f>
        <v/>
      </c>
      <c r="F8" s="7">
        <v>9727</v>
      </c>
      <c r="G8" s="7" t="str">
        <f>IF(MROUND('T2'!G8*'T6'!$C$2,1)&lt;1,"",MROUND('T2'!G8*'T6'!$C$2,5))</f>
        <v/>
      </c>
      <c r="H8" s="7" t="str">
        <f>IF(MROUND('T2'!H8*'T6'!I$2,1)=0,"",MROUND('T2'!H8*'T6'!I$2,5))</f>
        <v/>
      </c>
      <c r="I8" s="7">
        <v>14107</v>
      </c>
      <c r="J8" s="7" t="str">
        <f>IF(MROUND('T2'!J8*'T6'!$C$2,1)&lt;1,"",MROUND('T2'!J8*'T6'!$C$2,5))</f>
        <v/>
      </c>
      <c r="K8" s="7"/>
      <c r="L8" s="7">
        <v>19821</v>
      </c>
      <c r="M8" s="7"/>
      <c r="N8" s="7"/>
      <c r="O8" s="7">
        <v>20744</v>
      </c>
      <c r="P8" s="7"/>
      <c r="Q8" s="8"/>
      <c r="R8" s="8">
        <f t="shared" si="0"/>
        <v>67510</v>
      </c>
      <c r="S8" s="8"/>
      <c r="T8" s="8"/>
    </row>
    <row r="9" spans="1:20">
      <c r="A9">
        <v>2019</v>
      </c>
      <c r="B9" s="7" t="str">
        <f>IF(MROUND('T2'!B9*'T6'!$C$2,1)=0,"",MROUND('T2'!B9*'T6'!C$2,5))</f>
        <v/>
      </c>
      <c r="C9" s="7">
        <v>3138</v>
      </c>
      <c r="D9" s="7" t="str">
        <f>IF(MROUND('T2'!D9*'T6'!$C$2,1)&lt;1,"",MROUND('T2'!D9*'T6'!$C$2,5))</f>
        <v/>
      </c>
      <c r="E9" s="7" t="str">
        <f>IF(MROUND('T2'!E9*'T6'!F$2,1)=0,"",MROUND('T2'!E9*'T6'!F$2,5))</f>
        <v/>
      </c>
      <c r="F9" s="7">
        <v>9531</v>
      </c>
      <c r="G9" s="7" t="str">
        <f>IF(MROUND('T2'!G9*'T6'!$C$2,1)&lt;1,"",MROUND('T2'!G9*'T6'!$C$2,5))</f>
        <v/>
      </c>
      <c r="H9" s="7" t="str">
        <f>IF(MROUND('T2'!H9*'T6'!I$2,1)=0,"",MROUND('T2'!H9*'T6'!I$2,5))</f>
        <v/>
      </c>
      <c r="I9" s="7">
        <v>14641</v>
      </c>
      <c r="J9" s="7" t="str">
        <f>IF(MROUND('T2'!J9*'T6'!$C$2,1)&lt;1,"",MROUND('T2'!J9*'T6'!$C$2,5))</f>
        <v/>
      </c>
      <c r="K9" s="7"/>
      <c r="L9" s="7">
        <v>19007</v>
      </c>
      <c r="M9" s="7"/>
      <c r="N9" s="7"/>
      <c r="O9" s="7">
        <v>20996</v>
      </c>
      <c r="P9" s="7"/>
      <c r="Q9" s="8"/>
      <c r="R9" s="8">
        <f t="shared" si="0"/>
        <v>67313</v>
      </c>
      <c r="S9" s="8"/>
      <c r="T9" s="8"/>
    </row>
    <row r="10" spans="1:20">
      <c r="A10">
        <v>2020</v>
      </c>
      <c r="B10" s="7" t="str">
        <f>IF(MROUND('T2'!B10*'T6'!$C$2,1)=0,"",MROUND('T2'!B10*'T6'!C$2,5))</f>
        <v/>
      </c>
      <c r="C10" s="7">
        <v>2632</v>
      </c>
      <c r="D10" s="7" t="str">
        <f>IF(MROUND('T2'!D10*'T6'!$C$2,1)&lt;1,"",MROUND('T2'!D10*'T6'!$C$2,5))</f>
        <v/>
      </c>
      <c r="E10" s="7" t="str">
        <f>IF(MROUND('T2'!E10*'T6'!F$2,1)=0,"",MROUND('T2'!E10*'T6'!F$2,5))</f>
        <v/>
      </c>
      <c r="F10" s="7">
        <v>8699</v>
      </c>
      <c r="G10" s="7" t="str">
        <f>IF(MROUND('T2'!G10*'T6'!$C$2,1)&lt;1,"",MROUND('T2'!G10*'T6'!$C$2,5))</f>
        <v/>
      </c>
      <c r="H10" s="7" t="str">
        <f>IF(MROUND('T2'!H10*'T6'!I$2,1)=0,"",MROUND('T2'!H10*'T6'!I$2,5))</f>
        <v/>
      </c>
      <c r="I10" s="7">
        <v>13175</v>
      </c>
      <c r="J10" s="7" t="str">
        <f>IF(MROUND('T2'!J10*'T6'!$C$2,1)&lt;1,"",MROUND('T2'!J10*'T6'!$C$2,5))</f>
        <v/>
      </c>
      <c r="K10" s="7"/>
      <c r="L10" s="7">
        <v>18522</v>
      </c>
      <c r="M10" s="7"/>
      <c r="N10" s="7"/>
      <c r="O10" s="7">
        <v>19617</v>
      </c>
      <c r="P10" s="7"/>
      <c r="Q10" s="8"/>
      <c r="R10" s="8">
        <f t="shared" si="0"/>
        <v>62645</v>
      </c>
      <c r="S10" s="8"/>
      <c r="T10" s="8"/>
    </row>
    <row r="11" spans="1:20">
      <c r="A11">
        <v>2021</v>
      </c>
      <c r="B11" s="7" t="str">
        <f>IF(MROUND('T2'!B11*'T6'!$C$2,1)=0,"",MROUND('T2'!B11*'T6'!C$2,5))</f>
        <v/>
      </c>
      <c r="C11" s="7">
        <v>3386</v>
      </c>
      <c r="D11" s="7" t="str">
        <f>IF(MROUND('T2'!D11*'T6'!$C$2,1)&lt;1,"",MROUND('T2'!D11*'T6'!$C$2,5))</f>
        <v/>
      </c>
      <c r="E11" s="7" t="str">
        <f>IF(MROUND('T2'!E11*'T6'!F$2,1)=0,"",MROUND('T2'!E11*'T6'!F$2,5))</f>
        <v/>
      </c>
      <c r="F11" s="7">
        <v>9942</v>
      </c>
      <c r="G11" s="7" t="str">
        <f>IF(MROUND('T2'!G11*'T6'!$C$2,1)&lt;1,"",MROUND('T2'!G11*'T6'!$C$2,5))</f>
        <v/>
      </c>
      <c r="H11" s="7" t="str">
        <f>IF(MROUND('T2'!H11*'T6'!I$2,1)=0,"",MROUND('T2'!H11*'T6'!I$2,5))</f>
        <v/>
      </c>
      <c r="I11" s="7">
        <v>13654</v>
      </c>
      <c r="J11" s="7" t="str">
        <f>IF(MROUND('T2'!J11*'T6'!$C$2,1)&lt;1,"",MROUND('T2'!J11*'T6'!$C$2,5))</f>
        <v/>
      </c>
      <c r="K11" s="7"/>
      <c r="L11" s="7">
        <v>17563</v>
      </c>
      <c r="M11" s="7"/>
      <c r="N11" s="7"/>
      <c r="O11" s="7">
        <v>19626</v>
      </c>
      <c r="P11" s="7"/>
      <c r="Q11" s="8"/>
      <c r="R11" s="8">
        <f t="shared" si="0"/>
        <v>64171</v>
      </c>
      <c r="S11" s="8"/>
      <c r="T11" s="8"/>
    </row>
    <row r="12" spans="1:20">
      <c r="A12">
        <v>2022</v>
      </c>
      <c r="B12" s="7" t="str">
        <f>IF(MROUND('T2'!B12*'T6'!$C$2,1)=0,"",MROUND('T2'!B12*'T6'!C$2,5))</f>
        <v/>
      </c>
      <c r="C12" s="7">
        <v>3226</v>
      </c>
      <c r="D12" s="7" t="str">
        <f>IF(MROUND('T2'!D12*'T6'!$C$2,1)&lt;1,"",MROUND('T2'!D12*'T6'!$C$2,5))</f>
        <v/>
      </c>
      <c r="E12" s="7" t="str">
        <f>IF(MROUND('T2'!E12*'T6'!F$2,1)=0,"",MROUND('T2'!E12*'T6'!F$2,5))</f>
        <v/>
      </c>
      <c r="F12" s="7">
        <v>9542</v>
      </c>
      <c r="G12" s="7" t="str">
        <f>IF(MROUND('T2'!G12*'T6'!$C$2,1)&lt;1,"",MROUND('T2'!G12*'T6'!$C$2,5))</f>
        <v/>
      </c>
      <c r="H12" s="7" t="str">
        <f>IF(MROUND('T2'!H12*'T6'!I$2,1)=0,"",MROUND('T2'!H12*'T6'!I$2,5))</f>
        <v/>
      </c>
      <c r="I12" s="7">
        <v>12891</v>
      </c>
      <c r="J12" s="7" t="str">
        <f>IF(MROUND('T2'!J12*'T6'!$C$2,1)&lt;1,"",MROUND('T2'!J12*'T6'!$C$2,5))</f>
        <v/>
      </c>
      <c r="K12" s="7"/>
      <c r="L12" s="7">
        <v>16046</v>
      </c>
      <c r="M12" s="7"/>
      <c r="N12" s="7"/>
      <c r="O12" s="7">
        <v>17231</v>
      </c>
      <c r="P12" s="7"/>
      <c r="Q12" s="8"/>
      <c r="R12" s="8">
        <f t="shared" si="0"/>
        <v>58936</v>
      </c>
      <c r="S12" s="8"/>
      <c r="T12" s="8"/>
    </row>
    <row r="13" spans="1:20">
      <c r="A13">
        <v>2023</v>
      </c>
      <c r="B13" s="7" t="str">
        <f>IF(MROUND('T2'!B13*'T6'!$C$2,1)=0,"",MROUND('T2'!B13*'T6'!C$2,5))</f>
        <v/>
      </c>
      <c r="C13" s="7">
        <v>3063</v>
      </c>
      <c r="D13" s="7" t="str">
        <f>IF(MROUND('T2'!D13*'T6'!$C$2,1)&lt;1,"",MROUND('T2'!D13*'T6'!$C$2,5))</f>
        <v/>
      </c>
      <c r="E13" s="7" t="str">
        <f>IF(MROUND('T2'!E13*'T6'!F$2,1)=0,"",MROUND('T2'!E13*'T6'!F$2,5))</f>
        <v/>
      </c>
      <c r="F13" s="7">
        <v>10484</v>
      </c>
      <c r="G13" s="7" t="str">
        <f>IF(MROUND('T2'!G13*'T6'!$C$2,1)&lt;1,"",MROUND('T2'!G13*'T6'!$C$2,5))</f>
        <v/>
      </c>
      <c r="H13" s="7" t="str">
        <f>IF(MROUND('T2'!H13*'T6'!I$2,1)=0,"",MROUND('T2'!H13*'T6'!I$2,5))</f>
        <v/>
      </c>
      <c r="I13" s="7">
        <v>14290</v>
      </c>
      <c r="J13" s="7" t="str">
        <f>IF(MROUND('T2'!J13*'T6'!$C$2,1)&lt;1,"",MROUND('T2'!J13*'T6'!$C$2,5))</f>
        <v/>
      </c>
      <c r="K13" s="7"/>
      <c r="L13" s="7">
        <v>17651</v>
      </c>
      <c r="M13" s="7"/>
      <c r="N13" s="7"/>
      <c r="O13" s="7">
        <v>18366</v>
      </c>
      <c r="P13" s="7"/>
      <c r="Q13" s="8"/>
      <c r="R13" s="8">
        <f t="shared" si="0"/>
        <v>63854</v>
      </c>
      <c r="S13" s="8"/>
      <c r="T13" s="8"/>
    </row>
    <row r="14" spans="1:20">
      <c r="A14">
        <v>2024</v>
      </c>
      <c r="B14" s="7" t="str">
        <f>IF(MROUND('T2'!B14*'T6'!$C$2,1)=0,"",MROUND('T2'!B14*'T6'!C$2,5))</f>
        <v/>
      </c>
      <c r="C14" s="7">
        <v>3141</v>
      </c>
      <c r="D14" s="7" t="str">
        <f>IF(MROUND('T2'!D14*'T6'!$C$2,1)&lt;1,"",MROUND('T2'!D14*'T6'!$C$2,5))</f>
        <v/>
      </c>
      <c r="E14" s="7" t="str">
        <f>IF(MROUND('T2'!E14*'T6'!F$2,1)=0,"",MROUND('T2'!E14*'T6'!F$2,5))</f>
        <v/>
      </c>
      <c r="F14" s="7">
        <v>9703</v>
      </c>
      <c r="G14" s="7" t="str">
        <f>IF(MROUND('T2'!G14*'T6'!$C$2,1)&lt;1,"",MROUND('T2'!G14*'T6'!$C$2,5))</f>
        <v/>
      </c>
      <c r="H14" s="7" t="str">
        <f>IF(MROUND('T2'!H14*'T6'!I$2,1)=0,"",MROUND('T2'!H14*'T6'!I$2,5))</f>
        <v/>
      </c>
      <c r="I14" s="7">
        <v>15203</v>
      </c>
      <c r="J14" s="7" t="str">
        <f>IF(MROUND('T2'!J14*'T6'!$C$2,1)&lt;1,"",MROUND('T2'!J14*'T6'!$C$2,5))</f>
        <v/>
      </c>
      <c r="K14" s="7"/>
      <c r="L14" s="7">
        <v>18447</v>
      </c>
      <c r="M14" s="7"/>
      <c r="N14" s="7"/>
      <c r="O14" s="7">
        <v>19561</v>
      </c>
      <c r="P14" s="7"/>
      <c r="Q14" s="8">
        <f>R14</f>
        <v>66055</v>
      </c>
      <c r="R14" s="8">
        <f t="shared" si="0"/>
        <v>66055</v>
      </c>
      <c r="S14" s="8">
        <f>R14</f>
        <v>66055</v>
      </c>
      <c r="T14" s="8">
        <f>R14</f>
        <v>66055</v>
      </c>
    </row>
    <row r="15" spans="1:20">
      <c r="A15">
        <v>2025</v>
      </c>
      <c r="B15" s="7">
        <f>IF(MROUND('T3'!B15*'T7'!$C$2,1)=0,"",MROUND('T3'!B15*'T7'!C$2,5))</f>
        <v>2885</v>
      </c>
      <c r="C15" s="7">
        <f>IF(MROUND('T3'!C15*'T7'!$C$2,1)&lt;1,"",MROUND('T3'!C15*'T7'!$C$2,5))</f>
        <v>2985</v>
      </c>
      <c r="D15" s="7">
        <f>IF(MROUND('T3'!D15*'T7'!$C$2,1)&lt;1,"",MROUND('T3'!D15*'T7'!$C$2,5))</f>
        <v>3015</v>
      </c>
      <c r="E15" s="7">
        <f>IF(MROUND('T3'!E15*'T7'!F$2,1)=0,"",MROUND('T3'!E15*'T7'!F$2,5))</f>
        <v>8560</v>
      </c>
      <c r="F15" s="7">
        <f>IF(MROUND('T3'!F15*'T7'!F$2,1)&lt;1,"",MROUND('T3'!F15*'T7'!F$2,5))</f>
        <v>8700</v>
      </c>
      <c r="G15" s="7">
        <f>IF(MROUND('T3'!G15*'T7'!F$2,1)&lt;1,"",MROUND('T3'!G15*'T7'!F$2,5))</f>
        <v>8790</v>
      </c>
      <c r="H15" s="7">
        <f>IF(MROUND('T3'!H15*'T7'!I$2,1)=0,"",MROUND('T3'!H15*'T7'!I$2,5))</f>
        <v>12400</v>
      </c>
      <c r="I15" s="7">
        <f>IF(MROUND('T3'!I15*'T7'!I$2,1)&lt;1,"",MROUND('T3'!I15*'T7'!I$2,5))</f>
        <v>12605</v>
      </c>
      <c r="J15" s="7">
        <f>IF(MROUND('T3'!J15*'T7'!I$2,1)&lt;1,"",MROUND('T3'!J15*'T7'!I$2,5))</f>
        <v>12735</v>
      </c>
      <c r="K15" s="7">
        <f>IF(MROUND('T3'!K15*'T7'!L$2,1)=0,"",MROUND('T3'!K15*'T7'!L$2,5))</f>
        <v>17625</v>
      </c>
      <c r="L15" s="7">
        <f>IF(MROUND('T3'!L15*'T7'!L$2,1)&lt;1,"",MROUND('T3'!L15*'T7'!L$2,5))</f>
        <v>17915</v>
      </c>
      <c r="M15" s="7">
        <f>IF(MROUND('T3'!M15*'T6'!L$2,1)&lt;1,"",MROUND('T3'!M15*'T6'!L$2,5))</f>
        <v>16210</v>
      </c>
      <c r="N15" s="7">
        <f>IF(MROUND('T3'!N15*'T7'!O$2,1)=0,"",MROUND('T3'!N15*'T7'!O$2,5))</f>
        <v>18905</v>
      </c>
      <c r="O15" s="7">
        <f>IF(MROUND('T3'!O15*'T7'!O$2,1)&lt;1,"",MROUND('T3'!O15*'T7'!O$2,5))</f>
        <v>19225</v>
      </c>
      <c r="P15" s="7">
        <f>IF(MROUND('T3'!P15*'T7'!O$2,1)&lt;1,"",MROUND('T3'!P15*'T7'!O$2,5))</f>
        <v>19425</v>
      </c>
      <c r="Q15" s="8">
        <f>SUM(B15,F15,I15,L15,O15)</f>
        <v>61330</v>
      </c>
      <c r="R15" s="7"/>
      <c r="S15" s="8">
        <f t="shared" ref="S15:S28" si="1">SUM(C15,F15,I15,L15,O15)</f>
        <v>61430</v>
      </c>
      <c r="T15" s="8">
        <f>SUM(O15,L15,I15,F15,D15)</f>
        <v>61460</v>
      </c>
    </row>
    <row r="16" spans="1:20">
      <c r="A16">
        <v>2026</v>
      </c>
      <c r="B16" s="7">
        <f>IF(MROUND('T3'!B16*'T7'!$C$2,1)=0,"",MROUND('T3'!B16*'T7'!C$2,5))</f>
        <v>2845</v>
      </c>
      <c r="C16" s="7">
        <f>IF(MROUND('T3'!C16*'T7'!$C$2,1)&lt;1,"",MROUND('T3'!C16*'T7'!$C$2,5))</f>
        <v>2985</v>
      </c>
      <c r="D16" s="7">
        <f>IF(MROUND('T3'!D16*'T7'!$C$2,1)&lt;1,"",MROUND('T3'!D16*'T7'!$C$2,5))</f>
        <v>3020</v>
      </c>
      <c r="E16" s="7">
        <f>IF(MROUND('T3'!E16*'T7'!F$2,1)=0,"",MROUND('T3'!E16*'T7'!F$2,5))</f>
        <v>8515</v>
      </c>
      <c r="F16" s="7">
        <f>IF(MROUND('T3'!F16*'T7'!F$2,1)&lt;1,"",MROUND('T3'!F16*'T7'!F$2,5))</f>
        <v>8865</v>
      </c>
      <c r="G16" s="7">
        <f>IF(MROUND('T3'!G16*'T7'!F$2,1)&lt;1,"",MROUND('T3'!G16*'T7'!F$2,5))</f>
        <v>8960</v>
      </c>
      <c r="H16" s="7">
        <f>IF(MROUND('T3'!H16*'T7'!I$2,1)=0,"",MROUND('T3'!H16*'T7'!I$2,5))</f>
        <v>12345</v>
      </c>
      <c r="I16" s="7">
        <f>IF(MROUND('T3'!I16*'T7'!I$2,1)&lt;1,"",MROUND('T3'!I16*'T7'!I$2,5))</f>
        <v>12580</v>
      </c>
      <c r="J16" s="7">
        <f>IF(MROUND('T3'!J16*'T7'!I$2,1)&lt;1,"",MROUND('T3'!J16*'T7'!I$2,5))</f>
        <v>12710</v>
      </c>
      <c r="K16" s="7">
        <f>IF(MROUND('T3'!K16*'T7'!L$2,1)=0,"",MROUND('T3'!K16*'T7'!L$2,5))</f>
        <v>16360</v>
      </c>
      <c r="L16" s="7">
        <f>IF(MROUND('T3'!L16*'T7'!L$2,1)&lt;1,"",MROUND('T3'!L16*'T7'!L$2,5))</f>
        <v>16680</v>
      </c>
      <c r="M16" s="7">
        <f>IF(MROUND('T3'!M16*'T6'!L$2,1)&lt;1,"",MROUND('T3'!M16*'T6'!L$2,5))</f>
        <v>15090</v>
      </c>
      <c r="N16" s="7">
        <f>IF(MROUND('T3'!N16*'T7'!O$2,1)=0,"",MROUND('T3'!N16*'T7'!O$2,5))</f>
        <v>18705</v>
      </c>
      <c r="O16" s="7">
        <f>IF(MROUND('T3'!O16*'T7'!O$2,1)&lt;1,"",MROUND('T3'!O16*'T7'!O$2,5))</f>
        <v>19075</v>
      </c>
      <c r="P16" s="7">
        <f>IF(MROUND('T3'!P16*'T7'!O$2,1)&lt;1,"",MROUND('T3'!P16*'T7'!O$2,5))</f>
        <v>19270</v>
      </c>
      <c r="Q16" s="8">
        <f>SUM(B16,E16,I16,L16,O16)</f>
        <v>59695</v>
      </c>
      <c r="R16" s="7"/>
      <c r="S16" s="8">
        <f t="shared" si="1"/>
        <v>60185</v>
      </c>
      <c r="T16" s="8">
        <f>SUM(O16,L16,I16,G16,D16)</f>
        <v>60315</v>
      </c>
    </row>
    <row r="17" spans="1:20">
      <c r="A17">
        <v>2027</v>
      </c>
      <c r="B17" s="7">
        <f>IF(MROUND('T3'!B17*'T7'!$C$2,1)=0,"",MROUND('T3'!B17*'T7'!C$2,5))</f>
        <v>2815</v>
      </c>
      <c r="C17" s="7">
        <f>IF(MROUND('T3'!C17*'T7'!$C$2,1)&lt;1,"",MROUND('T3'!C17*'T7'!$C$2,5))</f>
        <v>2985</v>
      </c>
      <c r="D17" s="7">
        <f>IF(MROUND('T3'!D17*'T7'!$C$2,1)&lt;1,"",MROUND('T3'!D17*'T7'!$C$2,5))</f>
        <v>3015</v>
      </c>
      <c r="E17" s="7">
        <f>IF(MROUND('T3'!E17*'T7'!F$2,1)=0,"",MROUND('T3'!E17*'T7'!F$2,5))</f>
        <v>8455</v>
      </c>
      <c r="F17" s="7">
        <f>IF(MROUND('T3'!F17*'T7'!F$2,1)&lt;1,"",MROUND('T3'!F17*'T7'!F$2,5))</f>
        <v>8875</v>
      </c>
      <c r="G17" s="7">
        <f>IF(MROUND('T3'!G17*'T7'!F$2,1)&lt;1,"",MROUND('T3'!G17*'T7'!F$2,5))</f>
        <v>8965</v>
      </c>
      <c r="H17" s="7">
        <f>IF(MROUND('T3'!H17*'T7'!I$2,1)=0,"",MROUND('T3'!H17*'T7'!I$2,5))</f>
        <v>12315</v>
      </c>
      <c r="I17" s="7">
        <f>IF(MROUND('T3'!I17*'T7'!I$2,1)&lt;1,"",MROUND('T3'!I17*'T7'!I$2,5))</f>
        <v>12825</v>
      </c>
      <c r="J17" s="7">
        <f>IF(MROUND('T3'!J17*'T7'!I$2,1)&lt;1,"",MROUND('T3'!J17*'T7'!I$2,5))</f>
        <v>12960</v>
      </c>
      <c r="K17" s="7">
        <f>IF(MROUND('T3'!K17*'T7'!L$2,1)=0,"",MROUND('T3'!K17*'T7'!L$2,5))</f>
        <v>16295</v>
      </c>
      <c r="L17" s="7">
        <f>IF(MROUND('T3'!L17*'T7'!L$2,1)&lt;1,"",MROUND('T3'!L17*'T7'!L$2,5))</f>
        <v>16655</v>
      </c>
      <c r="M17" s="7">
        <f>IF(MROUND('T3'!M17*'T6'!L$2,1)&lt;1,"",MROUND('T3'!M17*'T6'!L$2,5))</f>
        <v>15070</v>
      </c>
      <c r="N17" s="7">
        <f>IF(MROUND('T3'!N17*'T7'!O$2,1)=0,"",MROUND('T3'!N17*'T7'!O$2,5))</f>
        <v>17375</v>
      </c>
      <c r="O17" s="7">
        <f>IF(MROUND('T3'!O17*'T7'!O$2,1)&lt;1,"",MROUND('T3'!O17*'T7'!O$2,5))</f>
        <v>17775</v>
      </c>
      <c r="P17" s="7">
        <f>IF(MROUND('T3'!P17*'T7'!O$2,1)&lt;1,"",MROUND('T3'!P17*'T7'!O$2,5))</f>
        <v>17965</v>
      </c>
      <c r="Q17" s="8">
        <f>SUM(O17,L17,H17,E17,B17)</f>
        <v>58015</v>
      </c>
      <c r="R17" s="7"/>
      <c r="S17" s="8">
        <f t="shared" si="1"/>
        <v>59115</v>
      </c>
      <c r="T17" s="8">
        <f>SUM(O17,L17,J17,G17,D17)</f>
        <v>59370</v>
      </c>
    </row>
    <row r="18" spans="1:20">
      <c r="A18">
        <v>2028</v>
      </c>
      <c r="B18" s="7">
        <f>IF(MROUND('T3'!B18*'T7'!$C$2,1)=0,"",MROUND('T3'!B18*'T7'!C$2,5))</f>
        <v>2795</v>
      </c>
      <c r="C18" s="7">
        <f>IF(MROUND('T3'!C18*'T7'!$C$2,1)&lt;1,"",MROUND('T3'!C18*'T7'!$C$2,5))</f>
        <v>2985</v>
      </c>
      <c r="D18" s="7">
        <f>IF(MROUND('T3'!D18*'T7'!$C$2,1)&lt;1,"",MROUND('T3'!D18*'T7'!$C$2,5))</f>
        <v>3015</v>
      </c>
      <c r="E18" s="7">
        <f>IF(MROUND('T3'!E18*'T7'!F$2,1)=0,"",MROUND('T3'!E18*'T7'!F$2,5))</f>
        <v>8360</v>
      </c>
      <c r="F18" s="7">
        <f>IF(MROUND('T3'!F18*'T7'!F$2,1)&lt;1,"",MROUND('T3'!F18*'T7'!F$2,5))</f>
        <v>8875</v>
      </c>
      <c r="G18" s="7">
        <f>IF(MROUND('T3'!G18*'T7'!F$2,1)&lt;1,"",MROUND('T3'!G18*'T7'!F$2,5))</f>
        <v>8965</v>
      </c>
      <c r="H18" s="7">
        <f>IF(MROUND('T3'!H18*'T7'!I$2,1)=0,"",MROUND('T3'!H18*'T7'!I$2,5))</f>
        <v>12230</v>
      </c>
      <c r="I18" s="7">
        <f>IF(MROUND('T3'!I18*'T7'!I$2,1)&lt;1,"",MROUND('T3'!I18*'T7'!I$2,5))</f>
        <v>12840</v>
      </c>
      <c r="J18" s="7">
        <f>IF(MROUND('T3'!J18*'T7'!I$2,1)&lt;1,"",MROUND('T3'!J18*'T7'!I$2,5))</f>
        <v>12975</v>
      </c>
      <c r="K18" s="7">
        <f>IF(MROUND('T3'!K18*'T7'!L$2,1)=0,"",MROUND('T3'!K18*'T7'!L$2,5))</f>
        <v>16300</v>
      </c>
      <c r="L18" s="7">
        <f>IF(MROUND('T3'!L18*'T7'!L$2,1)&lt;1,"",MROUND('T3'!L18*'T7'!L$2,5))</f>
        <v>16990</v>
      </c>
      <c r="M18" s="7">
        <f>IF(MROUND('T3'!M18*'T6'!L$2,1)&lt;1,"",MROUND('T3'!M18*'T6'!L$2,5))</f>
        <v>15370</v>
      </c>
      <c r="N18" s="7">
        <f>IF(MROUND('T3'!N18*'T7'!O$2,1)=0,"",MROUND('T3'!N18*'T7'!O$2,5))</f>
        <v>17325</v>
      </c>
      <c r="O18" s="7">
        <f>IF(MROUND('T3'!O18*'T7'!O$2,1)&lt;1,"",MROUND('T3'!O18*'T7'!O$2,5))</f>
        <v>17760</v>
      </c>
      <c r="P18" s="7">
        <f>IF(MROUND('T3'!P18*'T7'!O$2,1)&lt;1,"",MROUND('T3'!P18*'T7'!O$2,5))</f>
        <v>17950</v>
      </c>
      <c r="Q18" s="8">
        <f>SUM(O18,K18,H18,E18,B18)</f>
        <v>57445</v>
      </c>
      <c r="R18" s="7"/>
      <c r="S18" s="8">
        <f t="shared" si="1"/>
        <v>59450</v>
      </c>
      <c r="T18" s="8">
        <f>SUM(O18,M18,J18,G18,D18)</f>
        <v>58085</v>
      </c>
    </row>
    <row r="19" spans="1:20">
      <c r="A19">
        <v>2029</v>
      </c>
      <c r="B19" s="7">
        <f>IF(MROUND('T3'!B19*'T7'!$C$2,1)=0,"",MROUND('T3'!B19*'T7'!C$2,5))</f>
        <v>2775</v>
      </c>
      <c r="C19" s="7">
        <f>IF(MROUND('T3'!C19*'T7'!$C$2,1)&lt;1,"",MROUND('T3'!C19*'T7'!$C$2,5))</f>
        <v>2985</v>
      </c>
      <c r="D19" s="7">
        <f>IF(MROUND('T3'!D19*'T7'!$C$2,1)&lt;1,"",MROUND('T3'!D19*'T7'!$C$2,5))</f>
        <v>3015</v>
      </c>
      <c r="E19" s="7">
        <f>IF(MROUND('T3'!E19*'T7'!F$2,1)=0,"",MROUND('T3'!E19*'T7'!F$2,5))</f>
        <v>8300</v>
      </c>
      <c r="F19" s="7">
        <f>IF(MROUND('T3'!F19*'T7'!F$2,1)&lt;1,"",MROUND('T3'!F19*'T7'!F$2,5))</f>
        <v>8875</v>
      </c>
      <c r="G19" s="7">
        <f>IF(MROUND('T3'!G19*'T7'!F$2,1)&lt;1,"",MROUND('T3'!G19*'T7'!F$2,5))</f>
        <v>8965</v>
      </c>
      <c r="H19" s="7">
        <f>IF(MROUND('T3'!H19*'T7'!I$2,1)=0,"",MROUND('T3'!H19*'T7'!I$2,5))</f>
        <v>12120</v>
      </c>
      <c r="I19" s="7">
        <f>IF(MROUND('T3'!I19*'T7'!I$2,1)&lt;1,"",MROUND('T3'!I19*'T7'!I$2,5))</f>
        <v>12845</v>
      </c>
      <c r="J19" s="7">
        <f>IF(MROUND('T3'!J19*'T7'!I$2,1)&lt;1,"",MROUND('T3'!J19*'T7'!I$2,5))</f>
        <v>12980</v>
      </c>
      <c r="K19" s="7">
        <f>IF(MROUND('T3'!K19*'T7'!L$2,1)=0,"",MROUND('T3'!K19*'T7'!L$2,5))</f>
        <v>16195</v>
      </c>
      <c r="L19" s="7">
        <f>IF(MROUND('T3'!L19*'T7'!L$2,1)&lt;1,"",MROUND('T3'!L19*'T7'!L$2,5))</f>
        <v>17015</v>
      </c>
      <c r="M19" s="7">
        <f>IF(MROUND('T3'!M19*'T6'!L$2,1)&lt;1,"",MROUND('T3'!M19*'T6'!L$2,5))</f>
        <v>15395</v>
      </c>
      <c r="N19" s="7">
        <f>IF(MROUND('T3'!N19*'T7'!O$2,1)=0,"",MROUND('T3'!N19*'T7'!O$2,5))</f>
        <v>17380</v>
      </c>
      <c r="O19" s="7">
        <f>IF(MROUND('T3'!O19*'T7'!O$2,1)&lt;1,"",MROUND('T3'!O19*'T7'!O$2,5))</f>
        <v>18120</v>
      </c>
      <c r="P19" s="7">
        <f>IF(MROUND('T3'!P19*'T7'!O$2,1)&lt;1,"",MROUND('T3'!P19*'T7'!O$2,5))</f>
        <v>18310</v>
      </c>
      <c r="Q19" s="8">
        <f>SUM(N19,K19,H19,E19,B19)</f>
        <v>56770</v>
      </c>
      <c r="R19" s="7"/>
      <c r="S19" s="8">
        <f t="shared" si="1"/>
        <v>59840</v>
      </c>
      <c r="T19" s="8">
        <f>SUM(P19,M19,J19,G19,D19)</f>
        <v>58665</v>
      </c>
    </row>
    <row r="20" spans="1:20">
      <c r="A20">
        <v>2030</v>
      </c>
      <c r="B20" s="7">
        <f>IF(MROUND('T3'!B20*'T7'!$C$2,1)=0,"",MROUND('T3'!B20*'T7'!C$2,5))</f>
        <v>2760</v>
      </c>
      <c r="C20" s="7">
        <f>IF(MROUND('T3'!C20*'T7'!$C$2,1)&lt;1,"",MROUND('T3'!C20*'T7'!$C$2,5))</f>
        <v>2980</v>
      </c>
      <c r="D20" s="7">
        <f>IF(MROUND('T3'!D20*'T7'!$C$2,1)&lt;1,"",MROUND('T3'!D20*'T7'!$C$2,5))</f>
        <v>3015</v>
      </c>
      <c r="E20" s="7">
        <f>IF(MROUND('T3'!E20*'T7'!F$2,1)=0,"",MROUND('T3'!E20*'T7'!F$2,5))</f>
        <v>8255</v>
      </c>
      <c r="F20" s="7">
        <f>IF(MROUND('T3'!F20*'T7'!F$2,1)&lt;1,"",MROUND('T3'!F20*'T7'!F$2,5))</f>
        <v>8870</v>
      </c>
      <c r="G20" s="7">
        <f>IF(MROUND('T3'!G20*'T7'!F$2,1)&lt;1,"",MROUND('T3'!G20*'T7'!F$2,5))</f>
        <v>8960</v>
      </c>
      <c r="H20" s="7">
        <f>IF(MROUND('T3'!H20*'T7'!I$2,1)=0,"",MROUND('T3'!H20*'T7'!I$2,5))</f>
        <v>12020</v>
      </c>
      <c r="I20" s="7">
        <f>IF(MROUND('T3'!I20*'T7'!I$2,1)&lt;1,"",MROUND('T3'!I20*'T7'!I$2,5))</f>
        <v>12845</v>
      </c>
      <c r="J20" s="7">
        <f>IF(MROUND('T3'!J20*'T7'!I$2,1)&lt;1,"",MROUND('T3'!J20*'T7'!I$2,5))</f>
        <v>12980</v>
      </c>
      <c r="K20" s="7">
        <f>IF(MROUND('T3'!K20*'T7'!L$2,1)=0,"",MROUND('T3'!K20*'T7'!L$2,5))</f>
        <v>16070</v>
      </c>
      <c r="L20" s="7">
        <f>IF(MROUND('T3'!L20*'T7'!L$2,1)&lt;1,"",MROUND('T3'!L20*'T7'!L$2,5))</f>
        <v>17025</v>
      </c>
      <c r="M20" s="7">
        <f>IF(MROUND('T3'!M20*'T6'!L$2,1)&lt;1,"",MROUND('T3'!M20*'T6'!L$2,5))</f>
        <v>15405</v>
      </c>
      <c r="N20" s="7">
        <f>IF(MROUND('T3'!N20*'T7'!O$2,1)=0,"",MROUND('T3'!N20*'T7'!O$2,5))</f>
        <v>17265</v>
      </c>
      <c r="O20" s="7">
        <f>IF(MROUND('T3'!O20*'T7'!O$2,1)&lt;1,"",MROUND('T3'!O20*'T7'!O$2,5))</f>
        <v>18155</v>
      </c>
      <c r="P20" s="7">
        <f>IF(MROUND('T3'!P20*'T7'!O$2,1)&lt;1,"",MROUND('T3'!P20*'T7'!O$2,5))</f>
        <v>18345</v>
      </c>
      <c r="Q20" s="8">
        <f t="shared" ref="Q20:Q28" si="2">SUM(N20,K20,H20,E20,B20)</f>
        <v>56370</v>
      </c>
      <c r="R20" s="7"/>
      <c r="S20" s="8">
        <f t="shared" si="1"/>
        <v>59875</v>
      </c>
      <c r="T20" s="8">
        <f t="shared" ref="T20:T28" si="3">SUM(P20,M20,J20,G20,D20)</f>
        <v>58705</v>
      </c>
    </row>
    <row r="21" spans="1:20">
      <c r="A21">
        <v>2031</v>
      </c>
      <c r="B21" s="7">
        <f>IF(MROUND('T3'!B21*'T7'!$C$2,1)=0,"",MROUND('T3'!B21*'T7'!C$2,5))</f>
        <v>2735</v>
      </c>
      <c r="C21" s="7">
        <f>IF(MROUND('T3'!C21*'T7'!$C$2,1)&lt;1,"",MROUND('T3'!C21*'T7'!$C$2,5))</f>
        <v>2980</v>
      </c>
      <c r="D21" s="7">
        <f>IF(MROUND('T3'!D21*'T7'!$C$2,1)&lt;1,"",MROUND('T3'!D21*'T7'!$C$2,5))</f>
        <v>3015</v>
      </c>
      <c r="E21" s="7">
        <f>IF(MROUND('T3'!E21*'T7'!F$2,1)=0,"",MROUND('T3'!E21*'T7'!F$2,5))</f>
        <v>8205</v>
      </c>
      <c r="F21" s="7">
        <f>IF(MROUND('T3'!F21*'T7'!F$2,1)&lt;1,"",MROUND('T3'!F21*'T7'!F$2,5))</f>
        <v>8870</v>
      </c>
      <c r="G21" s="7">
        <f>IF(MROUND('T3'!G21*'T7'!F$2,1)&lt;1,"",MROUND('T3'!G21*'T7'!F$2,5))</f>
        <v>8960</v>
      </c>
      <c r="H21" s="7">
        <f>IF(MROUND('T3'!H21*'T7'!I$2,1)=0,"",MROUND('T3'!H21*'T7'!I$2,5))</f>
        <v>11945</v>
      </c>
      <c r="I21" s="7">
        <f>IF(MROUND('T3'!I21*'T7'!I$2,1)&lt;1,"",MROUND('T3'!I21*'T7'!I$2,5))</f>
        <v>12840</v>
      </c>
      <c r="J21" s="7">
        <f>IF(MROUND('T3'!J21*'T7'!I$2,1)&lt;1,"",MROUND('T3'!J21*'T7'!I$2,5))</f>
        <v>12975</v>
      </c>
      <c r="K21" s="7">
        <f>IF(MROUND('T3'!K21*'T7'!L$2,1)=0,"",MROUND('T3'!K21*'T7'!L$2,5))</f>
        <v>15940</v>
      </c>
      <c r="L21" s="7">
        <f>IF(MROUND('T3'!L21*'T7'!L$2,1)&lt;1,"",MROUND('T3'!L21*'T7'!L$2,5))</f>
        <v>17030</v>
      </c>
      <c r="M21" s="7">
        <f>IF(MROUND('T3'!M21*'T6'!L$2,1)&lt;1,"",MROUND('T3'!M21*'T6'!L$2,5))</f>
        <v>15405</v>
      </c>
      <c r="N21" s="7">
        <f>IF(MROUND('T3'!N21*'T7'!O$2,1)=0,"",MROUND('T3'!N21*'T7'!O$2,5))</f>
        <v>17155</v>
      </c>
      <c r="O21" s="7">
        <f>IF(MROUND('T3'!O21*'T7'!O$2,1)&lt;1,"",MROUND('T3'!O21*'T7'!O$2,5))</f>
        <v>18170</v>
      </c>
      <c r="P21" s="7">
        <f>IF(MROUND('T3'!P21*'T7'!O$2,1)&lt;1,"",MROUND('T3'!P21*'T7'!O$2,5))</f>
        <v>18360</v>
      </c>
      <c r="Q21" s="8">
        <f t="shared" si="2"/>
        <v>55980</v>
      </c>
      <c r="R21" s="7"/>
      <c r="S21" s="8">
        <f t="shared" si="1"/>
        <v>59890</v>
      </c>
      <c r="T21" s="8">
        <f t="shared" si="3"/>
        <v>58715</v>
      </c>
    </row>
    <row r="22" spans="1:20">
      <c r="A22">
        <v>2032</v>
      </c>
      <c r="B22" s="7">
        <f>IF(MROUND('T3'!B22*'T7'!$C$2,1)=0,"",MROUND('T3'!B22*'T7'!C$2,5))</f>
        <v>2730</v>
      </c>
      <c r="C22" s="7">
        <f>IF(MROUND('T3'!C22*'T7'!$C$2,1)&lt;1,"",MROUND('T3'!C22*'T7'!$C$2,5))</f>
        <v>2985</v>
      </c>
      <c r="D22" s="7">
        <f>IF(MROUND('T3'!D22*'T7'!$C$2,1)&lt;1,"",MROUND('T3'!D22*'T7'!$C$2,5))</f>
        <v>3015</v>
      </c>
      <c r="E22" s="7">
        <f>IF(MROUND('T3'!E22*'T7'!F$2,1)=0,"",MROUND('T3'!E22*'T7'!F$2,5))</f>
        <v>8140</v>
      </c>
      <c r="F22" s="7">
        <f>IF(MROUND('T3'!F22*'T7'!F$2,1)&lt;1,"",MROUND('T3'!F22*'T7'!F$2,5))</f>
        <v>8870</v>
      </c>
      <c r="G22" s="7">
        <f>IF(MROUND('T3'!G22*'T7'!F$2,1)&lt;1,"",MROUND('T3'!G22*'T7'!F$2,5))</f>
        <v>8960</v>
      </c>
      <c r="H22" s="7">
        <f>IF(MROUND('T3'!H22*'T7'!I$2,1)=0,"",MROUND('T3'!H22*'T7'!I$2,5))</f>
        <v>11890</v>
      </c>
      <c r="I22" s="7">
        <f>IF(MROUND('T3'!I22*'T7'!I$2,1)&lt;1,"",MROUND('T3'!I22*'T7'!I$2,5))</f>
        <v>12840</v>
      </c>
      <c r="J22" s="7">
        <f>IF(MROUND('T3'!J22*'T7'!I$2,1)&lt;1,"",MROUND('T3'!J22*'T7'!I$2,5))</f>
        <v>12975</v>
      </c>
      <c r="K22" s="7">
        <f>IF(MROUND('T3'!K22*'T7'!L$2,1)=0,"",MROUND('T3'!K22*'T7'!L$2,5))</f>
        <v>15840</v>
      </c>
      <c r="L22" s="7">
        <f>IF(MROUND('T3'!L22*'T7'!L$2,1)&lt;1,"",MROUND('T3'!L22*'T7'!L$2,5))</f>
        <v>17025</v>
      </c>
      <c r="M22" s="7">
        <f>IF(MROUND('T3'!M22*'T6'!L$2,1)&lt;1,"",MROUND('T3'!M22*'T6'!L$2,5))</f>
        <v>15405</v>
      </c>
      <c r="N22" s="7">
        <f>IF(MROUND('T3'!N22*'T7'!O$2,1)=0,"",MROUND('T3'!N22*'T7'!O$2,5))</f>
        <v>17005</v>
      </c>
      <c r="O22" s="7">
        <f>IF(MROUND('T3'!O22*'T7'!O$2,1)&lt;1,"",MROUND('T3'!O22*'T7'!O$2,5))</f>
        <v>18170</v>
      </c>
      <c r="P22" s="7">
        <f>IF(MROUND('T3'!P22*'T7'!O$2,1)&lt;1,"",MROUND('T3'!P22*'T7'!O$2,5))</f>
        <v>18360</v>
      </c>
      <c r="Q22" s="8">
        <f t="shared" si="2"/>
        <v>55605</v>
      </c>
      <c r="R22" s="7"/>
      <c r="S22" s="8">
        <f t="shared" si="1"/>
        <v>59890</v>
      </c>
      <c r="T22" s="8">
        <f t="shared" si="3"/>
        <v>58715</v>
      </c>
    </row>
    <row r="23" spans="1:20">
      <c r="A23">
        <v>2033</v>
      </c>
      <c r="B23" s="7">
        <f>IF(MROUND('T3'!B23*'T7'!$C$2,1)=0,"",MROUND('T3'!B23*'T7'!C$2,5))</f>
        <v>2720</v>
      </c>
      <c r="C23" s="7">
        <f>IF(MROUND('T3'!C23*'T7'!$C$2,1)&lt;1,"",MROUND('T3'!C23*'T7'!$C$2,5))</f>
        <v>2990</v>
      </c>
      <c r="D23" s="7">
        <f>IF(MROUND('T3'!D23*'T7'!$C$2,1)&lt;1,"",MROUND('T3'!D23*'T7'!$C$2,5))</f>
        <v>3020</v>
      </c>
      <c r="E23" s="7">
        <f>IF(MROUND('T3'!E23*'T7'!F$2,1)=0,"",MROUND('T3'!E23*'T7'!F$2,5))</f>
        <v>8120</v>
      </c>
      <c r="F23" s="7">
        <f>IF(MROUND('T3'!F23*'T7'!F$2,1)&lt;1,"",MROUND('T3'!F23*'T7'!F$2,5))</f>
        <v>8875</v>
      </c>
      <c r="G23" s="7">
        <f>IF(MROUND('T3'!G23*'T7'!F$2,1)&lt;1,"",MROUND('T3'!G23*'T7'!F$2,5))</f>
        <v>8970</v>
      </c>
      <c r="H23" s="7">
        <f>IF(MROUND('T3'!H23*'T7'!I$2,1)=0,"",MROUND('T3'!H23*'T7'!I$2,5))</f>
        <v>11800</v>
      </c>
      <c r="I23" s="7">
        <f>IF(MROUND('T3'!I23*'T7'!I$2,1)&lt;1,"",MROUND('T3'!I23*'T7'!I$2,5))</f>
        <v>12845</v>
      </c>
      <c r="J23" s="7">
        <f>IF(MROUND('T3'!J23*'T7'!I$2,1)&lt;1,"",MROUND('T3'!J23*'T7'!I$2,5))</f>
        <v>12980</v>
      </c>
      <c r="K23" s="7">
        <f>IF(MROUND('T3'!K23*'T7'!L$2,1)=0,"",MROUND('T3'!K23*'T7'!L$2,5))</f>
        <v>15760</v>
      </c>
      <c r="L23" s="7">
        <f>IF(MROUND('T3'!L23*'T7'!L$2,1)&lt;1,"",MROUND('T3'!L23*'T7'!L$2,5))</f>
        <v>17025</v>
      </c>
      <c r="M23" s="7">
        <f>IF(MROUND('T3'!M23*'T6'!L$2,1)&lt;1,"",MROUND('T3'!M23*'T6'!L$2,5))</f>
        <v>15400</v>
      </c>
      <c r="N23" s="7">
        <f>IF(MROUND('T3'!N23*'T7'!O$2,1)=0,"",MROUND('T3'!N23*'T7'!O$2,5))</f>
        <v>16890</v>
      </c>
      <c r="O23" s="7">
        <f>IF(MROUND('T3'!O23*'T7'!O$2,1)&lt;1,"",MROUND('T3'!O23*'T7'!O$2,5))</f>
        <v>18170</v>
      </c>
      <c r="P23" s="7">
        <f>IF(MROUND('T3'!P23*'T7'!O$2,1)&lt;1,"",MROUND('T3'!P23*'T7'!O$2,5))</f>
        <v>18360</v>
      </c>
      <c r="Q23" s="8">
        <f t="shared" si="2"/>
        <v>55290</v>
      </c>
      <c r="R23" s="7"/>
      <c r="S23" s="8">
        <f t="shared" si="1"/>
        <v>59905</v>
      </c>
      <c r="T23" s="8">
        <f t="shared" si="3"/>
        <v>58730</v>
      </c>
    </row>
    <row r="24" spans="1:20">
      <c r="A24">
        <v>2034</v>
      </c>
      <c r="B24" s="7">
        <f>IF(MROUND('T3'!B24*'T7'!$C$2,1)=0,"",MROUND('T3'!B24*'T7'!C$2,5))</f>
        <v>2720</v>
      </c>
      <c r="C24" s="7">
        <f>IF(MROUND('T3'!C24*'T7'!$C$2,1)&lt;1,"",MROUND('T3'!C24*'T7'!$C$2,5))</f>
        <v>3000</v>
      </c>
      <c r="D24" s="7">
        <f>IF(MROUND('T3'!D24*'T7'!$C$2,1)&lt;1,"",MROUND('T3'!D24*'T7'!$C$2,5))</f>
        <v>3030</v>
      </c>
      <c r="E24" s="7">
        <f>IF(MROUND('T3'!E24*'T7'!F$2,1)=0,"",MROUND('T3'!E24*'T7'!F$2,5))</f>
        <v>8090</v>
      </c>
      <c r="F24" s="7">
        <f>IF(MROUND('T3'!F24*'T7'!F$2,1)&lt;1,"",MROUND('T3'!F24*'T7'!F$2,5))</f>
        <v>8895</v>
      </c>
      <c r="G24" s="7">
        <f>IF(MROUND('T3'!G24*'T7'!F$2,1)&lt;1,"",MROUND('T3'!G24*'T7'!F$2,5))</f>
        <v>8985</v>
      </c>
      <c r="H24" s="7">
        <f>IF(MROUND('T3'!H24*'T7'!I$2,1)=0,"",MROUND('T3'!H24*'T7'!I$2,5))</f>
        <v>11760</v>
      </c>
      <c r="I24" s="7">
        <f>IF(MROUND('T3'!I24*'T7'!I$2,1)&lt;1,"",MROUND('T3'!I24*'T7'!I$2,5))</f>
        <v>12855</v>
      </c>
      <c r="J24" s="7">
        <f>IF(MROUND('T3'!J24*'T7'!I$2,1)&lt;1,"",MROUND('T3'!J24*'T7'!I$2,5))</f>
        <v>12990</v>
      </c>
      <c r="K24" s="7">
        <f>IF(MROUND('T3'!K24*'T7'!L$2,1)=0,"",MROUND('T3'!K24*'T7'!L$2,5))</f>
        <v>15650</v>
      </c>
      <c r="L24" s="7">
        <f>IF(MROUND('T3'!L24*'T7'!L$2,1)&lt;1,"",MROUND('T3'!L24*'T7'!L$2,5))</f>
        <v>17030</v>
      </c>
      <c r="M24" s="7">
        <f>IF(MROUND('T3'!M24*'T6'!L$2,1)&lt;1,"",MROUND('T3'!M24*'T6'!L$2,5))</f>
        <v>15405</v>
      </c>
      <c r="N24" s="7">
        <f>IF(MROUND('T3'!N24*'T7'!O$2,1)=0,"",MROUND('T3'!N24*'T7'!O$2,5))</f>
        <v>16805</v>
      </c>
      <c r="O24" s="7">
        <f>IF(MROUND('T3'!O24*'T7'!O$2,1)&lt;1,"",MROUND('T3'!O24*'T7'!O$2,5))</f>
        <v>18170</v>
      </c>
      <c r="P24" s="7">
        <f>IF(MROUND('T3'!P24*'T7'!O$2,1)&lt;1,"",MROUND('T3'!P24*'T7'!O$2,5))</f>
        <v>18360</v>
      </c>
      <c r="Q24" s="8">
        <f t="shared" si="2"/>
        <v>55025</v>
      </c>
      <c r="R24" s="7"/>
      <c r="S24" s="8">
        <f t="shared" si="1"/>
        <v>59950</v>
      </c>
      <c r="T24" s="8">
        <f t="shared" si="3"/>
        <v>58770</v>
      </c>
    </row>
    <row r="25" spans="1:20">
      <c r="A25">
        <v>2035</v>
      </c>
      <c r="B25" s="7">
        <f>IF(MROUND('T3'!B25*'T7'!$C$2,1)=0,"",MROUND('T3'!B25*'T7'!C$2,5))</f>
        <v>2715</v>
      </c>
      <c r="C25" s="7">
        <f>IF(MROUND('T3'!C25*'T7'!$C$2,1)&lt;1,"",MROUND('T3'!C25*'T7'!$C$2,5))</f>
        <v>3010</v>
      </c>
      <c r="D25" s="7">
        <f>IF(MROUND('T3'!D25*'T7'!$C$2,1)&lt;1,"",MROUND('T3'!D25*'T7'!$C$2,5))</f>
        <v>3040</v>
      </c>
      <c r="E25" s="7">
        <f>IF(MROUND('T3'!E25*'T7'!F$2,1)=0,"",MROUND('T3'!E25*'T7'!F$2,5))</f>
        <v>8085</v>
      </c>
      <c r="F25" s="7">
        <f>IF(MROUND('T3'!F25*'T7'!F$2,1)&lt;1,"",MROUND('T3'!F25*'T7'!F$2,5))</f>
        <v>8920</v>
      </c>
      <c r="G25" s="7">
        <f>IF(MROUND('T3'!G25*'T7'!F$2,1)&lt;1,"",MROUND('T3'!G25*'T7'!F$2,5))</f>
        <v>9015</v>
      </c>
      <c r="H25" s="7">
        <f>IF(MROUND('T3'!H25*'T7'!I$2,1)=0,"",MROUND('T3'!H25*'T7'!I$2,5))</f>
        <v>11745</v>
      </c>
      <c r="I25" s="7">
        <f>IF(MROUND('T3'!I25*'T7'!I$2,1)&lt;1,"",MROUND('T3'!I25*'T7'!I$2,5))</f>
        <v>12880</v>
      </c>
      <c r="J25" s="7">
        <f>IF(MROUND('T3'!J25*'T7'!I$2,1)&lt;1,"",MROUND('T3'!J25*'T7'!I$2,5))</f>
        <v>13015</v>
      </c>
      <c r="K25" s="7">
        <f>IF(MROUND('T3'!K25*'T7'!L$2,1)=0,"",MROUND('T3'!K25*'T7'!L$2,5))</f>
        <v>15610</v>
      </c>
      <c r="L25" s="7">
        <f>IF(MROUND('T3'!L25*'T7'!L$2,1)&lt;1,"",MROUND('T3'!L25*'T7'!L$2,5))</f>
        <v>17045</v>
      </c>
      <c r="M25" s="7">
        <f>IF(MROUND('T3'!M25*'T6'!L$2,1)&lt;1,"",MROUND('T3'!M25*'T6'!L$2,5))</f>
        <v>15420</v>
      </c>
      <c r="N25" s="7">
        <f>IF(MROUND('T3'!N25*'T7'!O$2,1)=0,"",MROUND('T3'!N25*'T7'!O$2,5))</f>
        <v>16700</v>
      </c>
      <c r="O25" s="7">
        <f>IF(MROUND('T3'!O25*'T7'!O$2,1)&lt;1,"",MROUND('T3'!O25*'T7'!O$2,5))</f>
        <v>18175</v>
      </c>
      <c r="P25" s="7">
        <f>IF(MROUND('T3'!P25*'T7'!O$2,1)&lt;1,"",MROUND('T3'!P25*'T7'!O$2,5))</f>
        <v>18365</v>
      </c>
      <c r="Q25" s="8">
        <f t="shared" si="2"/>
        <v>54855</v>
      </c>
      <c r="R25" s="7"/>
      <c r="S25" s="8">
        <f t="shared" si="1"/>
        <v>60030</v>
      </c>
      <c r="T25" s="8">
        <f t="shared" si="3"/>
        <v>58855</v>
      </c>
    </row>
    <row r="26" spans="1:20">
      <c r="A26">
        <v>2036</v>
      </c>
      <c r="B26" s="7">
        <f>IF(MROUND('T3'!B26*'T7'!$C$2,1)=0,"",MROUND('T3'!B26*'T7'!C$2,5))</f>
        <v>2720</v>
      </c>
      <c r="C26" s="7">
        <f>IF(MROUND('T3'!C26*'T7'!$C$2,1)&lt;1,"",MROUND('T3'!C26*'T7'!$C$2,5))</f>
        <v>3025</v>
      </c>
      <c r="D26" s="7">
        <f>IF(MROUND('T3'!D26*'T7'!$C$2,1)&lt;1,"",MROUND('T3'!D26*'T7'!$C$2,5))</f>
        <v>3060</v>
      </c>
      <c r="E26" s="7">
        <f>IF(MROUND('T3'!E26*'T7'!F$2,1)=0,"",MROUND('T3'!E26*'T7'!F$2,5))</f>
        <v>8080</v>
      </c>
      <c r="F26" s="7">
        <f>IF(MROUND('T3'!F26*'T7'!F$2,1)&lt;1,"",MROUND('T3'!F26*'T7'!F$2,5))</f>
        <v>8960</v>
      </c>
      <c r="G26" s="7">
        <f>IF(MROUND('T3'!G26*'T7'!F$2,1)&lt;1,"",MROUND('T3'!G26*'T7'!F$2,5))</f>
        <v>9050</v>
      </c>
      <c r="H26" s="7">
        <f>IF(MROUND('T3'!H26*'T7'!I$2,1)=0,"",MROUND('T3'!H26*'T7'!I$2,5))</f>
        <v>11710</v>
      </c>
      <c r="I26" s="7">
        <f>IF(MROUND('T3'!I26*'T7'!I$2,1)&lt;1,"",MROUND('T3'!I26*'T7'!I$2,5))</f>
        <v>12920</v>
      </c>
      <c r="J26" s="7">
        <f>IF(MROUND('T3'!J26*'T7'!I$2,1)&lt;1,"",MROUND('T3'!J26*'T7'!I$2,5))</f>
        <v>13055</v>
      </c>
      <c r="K26" s="7">
        <f>IF(MROUND('T3'!K26*'T7'!L$2,1)=0,"",MROUND('T3'!K26*'T7'!L$2,5))</f>
        <v>15575</v>
      </c>
      <c r="L26" s="7">
        <f>IF(MROUND('T3'!L26*'T7'!L$2,1)&lt;1,"",MROUND('T3'!L26*'T7'!L$2,5))</f>
        <v>17080</v>
      </c>
      <c r="M26" s="7">
        <f>IF(MROUND('T3'!M26*'T6'!L$2,1)&lt;1,"",MROUND('T3'!M26*'T6'!L$2,5))</f>
        <v>15450</v>
      </c>
      <c r="N26" s="7">
        <f>IF(MROUND('T3'!N26*'T7'!O$2,1)=0,"",MROUND('T3'!N26*'T7'!O$2,5))</f>
        <v>16655</v>
      </c>
      <c r="O26" s="7">
        <f>IF(MROUND('T3'!O26*'T7'!O$2,1)&lt;1,"",MROUND('T3'!O26*'T7'!O$2,5))</f>
        <v>18195</v>
      </c>
      <c r="P26" s="7">
        <f>IF(MROUND('T3'!P26*'T7'!O$2,1)&lt;1,"",MROUND('T3'!P26*'T7'!O$2,5))</f>
        <v>18385</v>
      </c>
      <c r="Q26" s="8">
        <f t="shared" si="2"/>
        <v>54740</v>
      </c>
      <c r="R26" s="7"/>
      <c r="S26" s="8">
        <f t="shared" si="1"/>
        <v>60180</v>
      </c>
      <c r="T26" s="8">
        <f t="shared" si="3"/>
        <v>59000</v>
      </c>
    </row>
    <row r="27" spans="1:20">
      <c r="A27">
        <v>2037</v>
      </c>
      <c r="B27" s="7">
        <f>IF(MROUND('T3'!B27*'T7'!$C$2,1)=0,"",MROUND('T3'!B27*'T7'!C$2,5))</f>
        <v>2725</v>
      </c>
      <c r="C27" s="7">
        <f>IF(MROUND('T3'!C27*'T7'!$C$2,1)&lt;1,"",MROUND('T3'!C27*'T7'!$C$2,5))</f>
        <v>3045</v>
      </c>
      <c r="D27" s="7">
        <f>IF(MROUND('T3'!D27*'T7'!$C$2,1)&lt;1,"",MROUND('T3'!D27*'T7'!$C$2,5))</f>
        <v>3080</v>
      </c>
      <c r="E27" s="7">
        <f>IF(MROUND('T3'!E27*'T7'!F$2,1)=0,"",MROUND('T3'!E27*'T7'!F$2,5))</f>
        <v>8075</v>
      </c>
      <c r="F27" s="7">
        <f>IF(MROUND('T3'!F27*'T7'!F$2,1)&lt;1,"",MROUND('T3'!F27*'T7'!F$2,5))</f>
        <v>9010</v>
      </c>
      <c r="G27" s="7">
        <f>IF(MROUND('T3'!G27*'T7'!F$2,1)&lt;1,"",MROUND('T3'!G27*'T7'!F$2,5))</f>
        <v>9100</v>
      </c>
      <c r="H27" s="7">
        <f>IF(MROUND('T3'!H27*'T7'!I$2,1)=0,"",MROUND('T3'!H27*'T7'!I$2,5))</f>
        <v>11710</v>
      </c>
      <c r="I27" s="7">
        <f>IF(MROUND('T3'!I27*'T7'!I$2,1)&lt;1,"",MROUND('T3'!I27*'T7'!I$2,5))</f>
        <v>12975</v>
      </c>
      <c r="J27" s="7">
        <f>IF(MROUND('T3'!J27*'T7'!I$2,1)&lt;1,"",MROUND('T3'!J27*'T7'!I$2,5))</f>
        <v>13110</v>
      </c>
      <c r="K27" s="7">
        <f>IF(MROUND('T3'!K27*'T7'!L$2,1)=0,"",MROUND('T3'!K27*'T7'!L$2,5))</f>
        <v>15530</v>
      </c>
      <c r="L27" s="7">
        <f>IF(MROUND('T3'!L27*'T7'!L$2,1)&lt;1,"",MROUND('T3'!L27*'T7'!L$2,5))</f>
        <v>17135</v>
      </c>
      <c r="M27" s="7">
        <f>IF(MROUND('T3'!M27*'T6'!L$2,1)&lt;1,"",MROUND('T3'!M27*'T6'!L$2,5))</f>
        <v>15500</v>
      </c>
      <c r="N27" s="7">
        <f>IF(MROUND('T3'!N27*'T7'!O$2,1)=0,"",MROUND('T3'!N27*'T7'!O$2,5))</f>
        <v>16640</v>
      </c>
      <c r="O27" s="7">
        <f>IF(MROUND('T3'!O27*'T7'!O$2,1)&lt;1,"",MROUND('T3'!O27*'T7'!O$2,5))</f>
        <v>18230</v>
      </c>
      <c r="P27" s="7">
        <f>IF(MROUND('T3'!P27*'T7'!O$2,1)&lt;1,"",MROUND('T3'!P27*'T7'!O$2,5))</f>
        <v>18420</v>
      </c>
      <c r="Q27" s="8">
        <f t="shared" si="2"/>
        <v>54680</v>
      </c>
      <c r="R27" s="7"/>
      <c r="S27" s="8">
        <f t="shared" si="1"/>
        <v>60395</v>
      </c>
      <c r="T27" s="8">
        <f t="shared" si="3"/>
        <v>59210</v>
      </c>
    </row>
    <row r="28" spans="1:20">
      <c r="A28">
        <v>2038</v>
      </c>
      <c r="B28" s="7">
        <f>IF(MROUND('T3'!B28*'T7'!$C$2,1)=0,"",MROUND('T3'!B28*'T7'!C$2,5))</f>
        <v>2740</v>
      </c>
      <c r="C28" s="7">
        <f>IF(MROUND('T3'!C28*'T7'!$C$2,1)&lt;1,"",MROUND('T3'!C28*'T7'!$C$2,5))</f>
        <v>3070</v>
      </c>
      <c r="D28" s="7">
        <f>IF(MROUND('T3'!D28*'T7'!$C$2,1)&lt;1,"",MROUND('T3'!D28*'T7'!$C$2,5))</f>
        <v>3100</v>
      </c>
      <c r="E28" s="7">
        <f>IF(MROUND('T3'!E28*'T7'!F$2,1)=0,"",MROUND('T3'!E28*'T7'!F$2,5))</f>
        <v>8125</v>
      </c>
      <c r="F28" s="7">
        <f>IF(MROUND('T3'!F28*'T7'!F$2,1)&lt;1,"",MROUND('T3'!F28*'T7'!F$2,5))</f>
        <v>9065</v>
      </c>
      <c r="G28" s="7">
        <f>IF(MROUND('T3'!G28*'T7'!F$2,1)&lt;1,"",MROUND('T3'!G28*'T7'!F$2,5))</f>
        <v>9160</v>
      </c>
      <c r="H28" s="7">
        <f>IF(MROUND('T3'!H28*'T7'!I$2,1)=0,"",MROUND('T3'!H28*'T7'!I$2,5))</f>
        <v>11715</v>
      </c>
      <c r="I28" s="7">
        <f>IF(MROUND('T3'!I28*'T7'!I$2,1)&lt;1,"",MROUND('T3'!I28*'T7'!I$2,5))</f>
        <v>13045</v>
      </c>
      <c r="J28" s="7">
        <f>IF(MROUND('T3'!J28*'T7'!I$2,1)&lt;1,"",MROUND('T3'!J28*'T7'!I$2,5))</f>
        <v>13185</v>
      </c>
      <c r="K28" s="7">
        <f>IF(MROUND('T3'!K28*'T7'!L$2,1)=0,"",MROUND('T3'!K28*'T7'!L$2,5))</f>
        <v>15530</v>
      </c>
      <c r="L28" s="7">
        <f>IF(MROUND('T3'!L28*'T7'!L$2,1)&lt;1,"",MROUND('T3'!L28*'T7'!L$2,5))</f>
        <v>17205</v>
      </c>
      <c r="M28" s="7">
        <f>IF(MROUND('T3'!M28*'T6'!L$2,1)&lt;1,"",MROUND('T3'!M28*'T6'!L$2,5))</f>
        <v>15565</v>
      </c>
      <c r="N28" s="7">
        <f>IF(MROUND('T3'!N28*'T7'!O$2,1)=0,"",MROUND('T3'!N28*'T7'!O$2,5))</f>
        <v>16600</v>
      </c>
      <c r="O28" s="7">
        <f>IF(MROUND('T3'!O28*'T7'!O$2,1)&lt;1,"",MROUND('T3'!O28*'T7'!O$2,5))</f>
        <v>18290</v>
      </c>
      <c r="P28" s="7">
        <f>IF(MROUND('T3'!P28*'T7'!O$2,1)&lt;1,"",MROUND('T3'!P28*'T7'!O$2,5))</f>
        <v>18480</v>
      </c>
      <c r="Q28" s="8">
        <f t="shared" si="2"/>
        <v>54710</v>
      </c>
      <c r="R28" s="7"/>
      <c r="S28" s="8">
        <f t="shared" si="1"/>
        <v>60675</v>
      </c>
      <c r="T28" s="8">
        <f t="shared" si="3"/>
        <v>59490</v>
      </c>
    </row>
  </sheetData>
  <mergeCells count="6">
    <mergeCell ref="Q3:T3"/>
    <mergeCell ref="B3:D3"/>
    <mergeCell ref="E3:G3"/>
    <mergeCell ref="H3:J3"/>
    <mergeCell ref="K3:M3"/>
    <mergeCell ref="N3:P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FB351-8382-451D-A8DF-95895ABA0C59}">
  <dimension ref="A1:T28"/>
  <sheetViews>
    <sheetView workbookViewId="0">
      <selection activeCell="O2" sqref="O2"/>
    </sheetView>
  </sheetViews>
  <sheetFormatPr defaultColWidth="8.85546875" defaultRowHeight="14.65"/>
  <cols>
    <col min="2" max="2" width="7.7109375" customWidth="1"/>
    <col min="3" max="14" width="8.140625" bestFit="1" customWidth="1"/>
    <col min="15" max="15" width="8.42578125" bestFit="1" customWidth="1"/>
    <col min="16" max="16" width="8.140625" bestFit="1" customWidth="1"/>
    <col min="17" max="20" width="9.140625" bestFit="1" customWidth="1"/>
  </cols>
  <sheetData>
    <row r="1" spans="1:20">
      <c r="A1" s="1" t="s">
        <v>280</v>
      </c>
    </row>
    <row r="2" spans="1:20">
      <c r="A2" s="1" t="s">
        <v>278</v>
      </c>
      <c r="C2" s="2">
        <v>0.16240111679851094</v>
      </c>
      <c r="F2" s="3">
        <v>0.49757949691504511</v>
      </c>
      <c r="I2" s="3">
        <v>0.70433171183692378</v>
      </c>
      <c r="L2" s="3">
        <v>0.9094287680660702</v>
      </c>
      <c r="O2" s="3">
        <v>0.94811469857755704</v>
      </c>
    </row>
    <row r="3" spans="1:20">
      <c r="B3" s="177" t="s">
        <v>246</v>
      </c>
      <c r="C3" s="177"/>
      <c r="D3" s="177"/>
      <c r="E3" s="177" t="s">
        <v>247</v>
      </c>
      <c r="F3" s="177"/>
      <c r="G3" s="177"/>
      <c r="H3" s="177" t="s">
        <v>248</v>
      </c>
      <c r="I3" s="177"/>
      <c r="J3" s="177"/>
      <c r="K3" s="177" t="s">
        <v>249</v>
      </c>
      <c r="L3" s="177"/>
      <c r="M3" s="177"/>
      <c r="N3" s="177" t="s">
        <v>250</v>
      </c>
      <c r="O3" s="177"/>
      <c r="P3" s="177"/>
      <c r="Q3" s="177" t="s">
        <v>236</v>
      </c>
      <c r="R3" s="177"/>
      <c r="S3" s="177"/>
      <c r="T3" s="177"/>
    </row>
    <row r="4" spans="1:20">
      <c r="A4" t="s">
        <v>229</v>
      </c>
      <c r="B4" s="5" t="s">
        <v>253</v>
      </c>
      <c r="C4" s="5" t="s">
        <v>256</v>
      </c>
      <c r="D4" s="5" t="s">
        <v>254</v>
      </c>
      <c r="E4" s="5" t="s">
        <v>253</v>
      </c>
      <c r="F4" s="5" t="s">
        <v>256</v>
      </c>
      <c r="G4" s="5" t="s">
        <v>254</v>
      </c>
      <c r="H4" s="5" t="s">
        <v>253</v>
      </c>
      <c r="I4" s="5" t="s">
        <v>256</v>
      </c>
      <c r="J4" s="5" t="s">
        <v>254</v>
      </c>
      <c r="K4" s="5" t="s">
        <v>253</v>
      </c>
      <c r="L4" s="5" t="s">
        <v>256</v>
      </c>
      <c r="M4" s="5" t="s">
        <v>254</v>
      </c>
      <c r="N4" s="5" t="s">
        <v>253</v>
      </c>
      <c r="O4" s="5" t="s">
        <v>256</v>
      </c>
      <c r="P4" s="5" t="s">
        <v>254</v>
      </c>
      <c r="Q4" s="1" t="s">
        <v>253</v>
      </c>
      <c r="R4" s="1" t="s">
        <v>255</v>
      </c>
      <c r="S4" s="1" t="s">
        <v>256</v>
      </c>
      <c r="T4" s="1" t="s">
        <v>254</v>
      </c>
    </row>
    <row r="5" spans="1:20">
      <c r="A5">
        <v>2015</v>
      </c>
      <c r="B5" s="7" t="str">
        <f>IF(MROUND('T2'!B5*'T6'!$C$2,1)=0,"",MROUND('T2'!B5*'T6'!C$2,5))</f>
        <v/>
      </c>
      <c r="C5" s="7">
        <v>3382</v>
      </c>
      <c r="D5" s="7" t="str">
        <f>IF(MROUND('T2'!D5*'T6'!$C$2,1)&lt;1,"",MROUND('T2'!D5*'T6'!$C$2,5))</f>
        <v/>
      </c>
      <c r="E5" s="7" t="str">
        <f>IF(MROUND('T2'!E5*'T6'!F$2,1)=0,"",MROUND('T2'!E5*'T6'!F$2,5))</f>
        <v/>
      </c>
      <c r="F5" s="7">
        <v>8632</v>
      </c>
      <c r="G5" s="7" t="str">
        <f>IF(MROUND('T2'!G5*'T6'!$C$2,1)&lt;1,"",MROUND('T2'!G5*'T6'!$C$2,5))</f>
        <v/>
      </c>
      <c r="H5" s="7" t="str">
        <f>IF(MROUND('T2'!H5*'T6'!I$2,1)=0,"",MROUND('T2'!H5*'T6'!I$2,5))</f>
        <v/>
      </c>
      <c r="I5" s="7">
        <v>13342</v>
      </c>
      <c r="J5" s="7" t="str">
        <f>IF(MROUND('T2'!J5*'T6'!$C$2,1)&lt;1,"",MROUND('T2'!J5*'T6'!$C$2,5))</f>
        <v/>
      </c>
      <c r="K5" s="7"/>
      <c r="L5" s="7">
        <v>19543</v>
      </c>
      <c r="M5" s="7"/>
      <c r="N5" s="7"/>
      <c r="O5" s="7">
        <v>21050</v>
      </c>
      <c r="P5" s="7"/>
      <c r="Q5" s="8"/>
      <c r="R5" s="8">
        <f>SUM(C5,F5,I5,L5,O5)</f>
        <v>65949</v>
      </c>
      <c r="S5" s="8"/>
      <c r="T5" s="8"/>
    </row>
    <row r="6" spans="1:20">
      <c r="A6">
        <v>2016</v>
      </c>
      <c r="B6" s="7" t="str">
        <f>IF(MROUND('T2'!B6*'T6'!$C$2,1)=0,"",MROUND('T2'!B6*'T6'!C$2,5))</f>
        <v/>
      </c>
      <c r="C6" s="7">
        <v>3126</v>
      </c>
      <c r="D6" s="7" t="str">
        <f>IF(MROUND('T2'!D6*'T6'!$C$2,1)&lt;1,"",MROUND('T2'!D6*'T6'!$C$2,5))</f>
        <v/>
      </c>
      <c r="E6" s="7" t="str">
        <f>IF(MROUND('T2'!E6*'T6'!F$2,1)=0,"",MROUND('T2'!E6*'T6'!F$2,5))</f>
        <v/>
      </c>
      <c r="F6" s="7">
        <v>9347</v>
      </c>
      <c r="G6" s="7" t="str">
        <f>IF(MROUND('T2'!G6*'T6'!$C$2,1)&lt;1,"",MROUND('T2'!G6*'T6'!$C$2,5))</f>
        <v/>
      </c>
      <c r="H6" s="7" t="str">
        <f>IF(MROUND('T2'!H6*'T6'!I$2,1)=0,"",MROUND('T2'!H6*'T6'!I$2,5))</f>
        <v/>
      </c>
      <c r="I6" s="7">
        <v>13603</v>
      </c>
      <c r="J6" s="7" t="str">
        <f>IF(MROUND('T2'!J6*'T6'!$C$2,1)&lt;1,"",MROUND('T2'!J6*'T6'!$C$2,5))</f>
        <v/>
      </c>
      <c r="K6" s="7"/>
      <c r="L6" s="7">
        <v>20047</v>
      </c>
      <c r="M6" s="7"/>
      <c r="N6" s="7"/>
      <c r="O6" s="7">
        <v>21220</v>
      </c>
      <c r="P6" s="7"/>
      <c r="Q6" s="8"/>
      <c r="R6" s="8">
        <f t="shared" ref="R6:R14" si="0">SUM(C6,F6,I6,L6,O6)</f>
        <v>67343</v>
      </c>
      <c r="S6" s="8"/>
      <c r="T6" s="8"/>
    </row>
    <row r="7" spans="1:20">
      <c r="A7">
        <v>2017</v>
      </c>
      <c r="B7" s="7" t="str">
        <f>IF(MROUND('T2'!B7*'T6'!$C$2,1)=0,"",MROUND('T2'!B7*'T6'!C$2,5))</f>
        <v/>
      </c>
      <c r="C7" s="7">
        <v>3490</v>
      </c>
      <c r="D7" s="7" t="str">
        <f>IF(MROUND('T2'!D7*'T6'!$C$2,1)&lt;1,"",MROUND('T2'!D7*'T6'!$C$2,5))</f>
        <v/>
      </c>
      <c r="E7" s="7" t="str">
        <f>IF(MROUND('T2'!E7*'T6'!F$2,1)=0,"",MROUND('T2'!E7*'T6'!F$2,5))</f>
        <v/>
      </c>
      <c r="F7" s="7">
        <v>9261</v>
      </c>
      <c r="G7" s="7" t="str">
        <f>IF(MROUND('T2'!G7*'T6'!$C$2,1)&lt;1,"",MROUND('T2'!G7*'T6'!$C$2,5))</f>
        <v/>
      </c>
      <c r="H7" s="7" t="str">
        <f>IF(MROUND('T2'!H7*'T6'!I$2,1)=0,"",MROUND('T2'!H7*'T6'!I$2,5))</f>
        <v/>
      </c>
      <c r="I7" s="7">
        <v>14333</v>
      </c>
      <c r="J7" s="7" t="str">
        <f>IF(MROUND('T2'!J7*'T6'!$C$2,1)&lt;1,"",MROUND('T2'!J7*'T6'!$C$2,5))</f>
        <v/>
      </c>
      <c r="K7" s="7"/>
      <c r="L7" s="7">
        <v>19477</v>
      </c>
      <c r="M7" s="7"/>
      <c r="N7" s="7"/>
      <c r="O7" s="7">
        <v>21397</v>
      </c>
      <c r="P7" s="7"/>
      <c r="Q7" s="8"/>
      <c r="R7" s="8">
        <f t="shared" si="0"/>
        <v>67958</v>
      </c>
      <c r="S7" s="8"/>
      <c r="T7" s="8"/>
    </row>
    <row r="8" spans="1:20">
      <c r="A8">
        <v>2018</v>
      </c>
      <c r="B8" s="7" t="str">
        <f>IF(MROUND('T2'!B8*'T6'!$C$2,1)=0,"",MROUND('T2'!B8*'T6'!C$2,5))</f>
        <v/>
      </c>
      <c r="C8" s="7">
        <v>3111</v>
      </c>
      <c r="D8" s="7" t="str">
        <f>IF(MROUND('T2'!D8*'T6'!$C$2,1)&lt;1,"",MROUND('T2'!D8*'T6'!$C$2,5))</f>
        <v/>
      </c>
      <c r="E8" s="7" t="str">
        <f>IF(MROUND('T2'!E8*'T6'!F$2,1)=0,"",MROUND('T2'!E8*'T6'!F$2,5))</f>
        <v/>
      </c>
      <c r="F8" s="7">
        <v>9727</v>
      </c>
      <c r="G8" s="7" t="str">
        <f>IF(MROUND('T2'!G8*'T6'!$C$2,1)&lt;1,"",MROUND('T2'!G8*'T6'!$C$2,5))</f>
        <v/>
      </c>
      <c r="H8" s="7" t="str">
        <f>IF(MROUND('T2'!H8*'T6'!I$2,1)=0,"",MROUND('T2'!H8*'T6'!I$2,5))</f>
        <v/>
      </c>
      <c r="I8" s="7">
        <v>14107</v>
      </c>
      <c r="J8" s="7" t="str">
        <f>IF(MROUND('T2'!J8*'T6'!$C$2,1)&lt;1,"",MROUND('T2'!J8*'T6'!$C$2,5))</f>
        <v/>
      </c>
      <c r="K8" s="7"/>
      <c r="L8" s="7">
        <v>19821</v>
      </c>
      <c r="M8" s="7"/>
      <c r="N8" s="7"/>
      <c r="O8" s="7">
        <v>20744</v>
      </c>
      <c r="P8" s="7"/>
      <c r="Q8" s="8"/>
      <c r="R8" s="8">
        <f t="shared" si="0"/>
        <v>67510</v>
      </c>
      <c r="S8" s="8"/>
      <c r="T8" s="8"/>
    </row>
    <row r="9" spans="1:20">
      <c r="A9">
        <v>2019</v>
      </c>
      <c r="B9" s="7" t="str">
        <f>IF(MROUND('T2'!B9*'T6'!$C$2,1)=0,"",MROUND('T2'!B9*'T6'!C$2,5))</f>
        <v/>
      </c>
      <c r="C9" s="7">
        <v>3138</v>
      </c>
      <c r="D9" s="7" t="str">
        <f>IF(MROUND('T2'!D9*'T6'!$C$2,1)&lt;1,"",MROUND('T2'!D9*'T6'!$C$2,5))</f>
        <v/>
      </c>
      <c r="E9" s="7" t="str">
        <f>IF(MROUND('T2'!E9*'T6'!F$2,1)=0,"",MROUND('T2'!E9*'T6'!F$2,5))</f>
        <v/>
      </c>
      <c r="F9" s="7">
        <v>9531</v>
      </c>
      <c r="G9" s="7" t="str">
        <f>IF(MROUND('T2'!G9*'T6'!$C$2,1)&lt;1,"",MROUND('T2'!G9*'T6'!$C$2,5))</f>
        <v/>
      </c>
      <c r="H9" s="7" t="str">
        <f>IF(MROUND('T2'!H9*'T6'!I$2,1)=0,"",MROUND('T2'!H9*'T6'!I$2,5))</f>
        <v/>
      </c>
      <c r="I9" s="7">
        <v>14641</v>
      </c>
      <c r="J9" s="7" t="str">
        <f>IF(MROUND('T2'!J9*'T6'!$C$2,1)&lt;1,"",MROUND('T2'!J9*'T6'!$C$2,5))</f>
        <v/>
      </c>
      <c r="K9" s="7"/>
      <c r="L9" s="7">
        <v>19007</v>
      </c>
      <c r="M9" s="7"/>
      <c r="N9" s="7"/>
      <c r="O9" s="7">
        <v>20996</v>
      </c>
      <c r="P9" s="7"/>
      <c r="Q9" s="8"/>
      <c r="R9" s="8">
        <f t="shared" si="0"/>
        <v>67313</v>
      </c>
      <c r="S9" s="8"/>
      <c r="T9" s="8"/>
    </row>
    <row r="10" spans="1:20">
      <c r="A10">
        <v>2020</v>
      </c>
      <c r="B10" s="7" t="str">
        <f>IF(MROUND('T2'!B10*'T6'!$C$2,1)=0,"",MROUND('T2'!B10*'T6'!C$2,5))</f>
        <v/>
      </c>
      <c r="C10" s="7">
        <v>2632</v>
      </c>
      <c r="D10" s="7" t="str">
        <f>IF(MROUND('T2'!D10*'T6'!$C$2,1)&lt;1,"",MROUND('T2'!D10*'T6'!$C$2,5))</f>
        <v/>
      </c>
      <c r="E10" s="7" t="str">
        <f>IF(MROUND('T2'!E10*'T6'!F$2,1)=0,"",MROUND('T2'!E10*'T6'!F$2,5))</f>
        <v/>
      </c>
      <c r="F10" s="7">
        <v>8699</v>
      </c>
      <c r="G10" s="7" t="str">
        <f>IF(MROUND('T2'!G10*'T6'!$C$2,1)&lt;1,"",MROUND('T2'!G10*'T6'!$C$2,5))</f>
        <v/>
      </c>
      <c r="H10" s="7" t="str">
        <f>IF(MROUND('T2'!H10*'T6'!I$2,1)=0,"",MROUND('T2'!H10*'T6'!I$2,5))</f>
        <v/>
      </c>
      <c r="I10" s="7">
        <v>13175</v>
      </c>
      <c r="J10" s="7" t="str">
        <f>IF(MROUND('T2'!J10*'T6'!$C$2,1)&lt;1,"",MROUND('T2'!J10*'T6'!$C$2,5))</f>
        <v/>
      </c>
      <c r="K10" s="7"/>
      <c r="L10" s="7">
        <v>18522</v>
      </c>
      <c r="M10" s="7"/>
      <c r="N10" s="7"/>
      <c r="O10" s="7">
        <v>19617</v>
      </c>
      <c r="P10" s="7"/>
      <c r="Q10" s="8"/>
      <c r="R10" s="8">
        <f t="shared" si="0"/>
        <v>62645</v>
      </c>
      <c r="S10" s="8"/>
      <c r="T10" s="8"/>
    </row>
    <row r="11" spans="1:20">
      <c r="A11">
        <v>2021</v>
      </c>
      <c r="B11" s="7" t="str">
        <f>IF(MROUND('T2'!B11*'T6'!$C$2,1)=0,"",MROUND('T2'!B11*'T6'!C$2,5))</f>
        <v/>
      </c>
      <c r="C11" s="7">
        <v>3386</v>
      </c>
      <c r="D11" s="7" t="str">
        <f>IF(MROUND('T2'!D11*'T6'!$C$2,1)&lt;1,"",MROUND('T2'!D11*'T6'!$C$2,5))</f>
        <v/>
      </c>
      <c r="E11" s="7" t="str">
        <f>IF(MROUND('T2'!E11*'T6'!F$2,1)=0,"",MROUND('T2'!E11*'T6'!F$2,5))</f>
        <v/>
      </c>
      <c r="F11" s="7">
        <v>9942</v>
      </c>
      <c r="G11" s="7" t="str">
        <f>IF(MROUND('T2'!G11*'T6'!$C$2,1)&lt;1,"",MROUND('T2'!G11*'T6'!$C$2,5))</f>
        <v/>
      </c>
      <c r="H11" s="7" t="str">
        <f>IF(MROUND('T2'!H11*'T6'!I$2,1)=0,"",MROUND('T2'!H11*'T6'!I$2,5))</f>
        <v/>
      </c>
      <c r="I11" s="7">
        <v>13654</v>
      </c>
      <c r="J11" s="7" t="str">
        <f>IF(MROUND('T2'!J11*'T6'!$C$2,1)&lt;1,"",MROUND('T2'!J11*'T6'!$C$2,5))</f>
        <v/>
      </c>
      <c r="K11" s="7"/>
      <c r="L11" s="7">
        <v>17563</v>
      </c>
      <c r="M11" s="7"/>
      <c r="N11" s="7"/>
      <c r="O11" s="7">
        <v>19626</v>
      </c>
      <c r="P11" s="7"/>
      <c r="Q11" s="8"/>
      <c r="R11" s="8">
        <f t="shared" si="0"/>
        <v>64171</v>
      </c>
      <c r="S11" s="8"/>
      <c r="T11" s="8"/>
    </row>
    <row r="12" spans="1:20">
      <c r="A12">
        <v>2022</v>
      </c>
      <c r="B12" s="7" t="str">
        <f>IF(MROUND('T2'!B12*'T6'!$C$2,1)=0,"",MROUND('T2'!B12*'T6'!C$2,5))</f>
        <v/>
      </c>
      <c r="C12" s="7">
        <v>3226</v>
      </c>
      <c r="D12" s="7" t="str">
        <f>IF(MROUND('T2'!D12*'T6'!$C$2,1)&lt;1,"",MROUND('T2'!D12*'T6'!$C$2,5))</f>
        <v/>
      </c>
      <c r="E12" s="7" t="str">
        <f>IF(MROUND('T2'!E12*'T6'!F$2,1)=0,"",MROUND('T2'!E12*'T6'!F$2,5))</f>
        <v/>
      </c>
      <c r="F12" s="7">
        <v>9542</v>
      </c>
      <c r="G12" s="7" t="str">
        <f>IF(MROUND('T2'!G12*'T6'!$C$2,1)&lt;1,"",MROUND('T2'!G12*'T6'!$C$2,5))</f>
        <v/>
      </c>
      <c r="H12" s="7" t="str">
        <f>IF(MROUND('T2'!H12*'T6'!I$2,1)=0,"",MROUND('T2'!H12*'T6'!I$2,5))</f>
        <v/>
      </c>
      <c r="I12" s="7">
        <v>12891</v>
      </c>
      <c r="J12" s="7" t="str">
        <f>IF(MROUND('T2'!J12*'T6'!$C$2,1)&lt;1,"",MROUND('T2'!J12*'T6'!$C$2,5))</f>
        <v/>
      </c>
      <c r="K12" s="7"/>
      <c r="L12" s="7">
        <v>16046</v>
      </c>
      <c r="M12" s="7"/>
      <c r="N12" s="7"/>
      <c r="O12" s="7">
        <v>17231</v>
      </c>
      <c r="P12" s="7"/>
      <c r="Q12" s="8"/>
      <c r="R12" s="8">
        <f t="shared" si="0"/>
        <v>58936</v>
      </c>
      <c r="S12" s="8"/>
      <c r="T12" s="8"/>
    </row>
    <row r="13" spans="1:20">
      <c r="A13">
        <v>2023</v>
      </c>
      <c r="B13" s="7" t="str">
        <f>IF(MROUND('T2'!B13*'T6'!$C$2,1)=0,"",MROUND('T2'!B13*'T6'!C$2,5))</f>
        <v/>
      </c>
      <c r="C13" s="7">
        <v>3063</v>
      </c>
      <c r="D13" s="7" t="str">
        <f>IF(MROUND('T2'!D13*'T6'!$C$2,1)&lt;1,"",MROUND('T2'!D13*'T6'!$C$2,5))</f>
        <v/>
      </c>
      <c r="E13" s="7" t="str">
        <f>IF(MROUND('T2'!E13*'T6'!F$2,1)=0,"",MROUND('T2'!E13*'T6'!F$2,5))</f>
        <v/>
      </c>
      <c r="F13" s="7">
        <v>10484</v>
      </c>
      <c r="G13" s="7" t="str">
        <f>IF(MROUND('T2'!G13*'T6'!$C$2,1)&lt;1,"",MROUND('T2'!G13*'T6'!$C$2,5))</f>
        <v/>
      </c>
      <c r="H13" s="7" t="str">
        <f>IF(MROUND('T2'!H13*'T6'!I$2,1)=0,"",MROUND('T2'!H13*'T6'!I$2,5))</f>
        <v/>
      </c>
      <c r="I13" s="7">
        <v>14290</v>
      </c>
      <c r="J13" s="7" t="str">
        <f>IF(MROUND('T2'!J13*'T6'!$C$2,1)&lt;1,"",MROUND('T2'!J13*'T6'!$C$2,5))</f>
        <v/>
      </c>
      <c r="K13" s="7"/>
      <c r="L13" s="7">
        <v>17651</v>
      </c>
      <c r="M13" s="7"/>
      <c r="N13" s="7"/>
      <c r="O13" s="7">
        <v>18366</v>
      </c>
      <c r="P13" s="7"/>
      <c r="Q13" s="8"/>
      <c r="R13" s="8">
        <f t="shared" si="0"/>
        <v>63854</v>
      </c>
      <c r="S13" s="8"/>
      <c r="T13" s="8"/>
    </row>
    <row r="14" spans="1:20">
      <c r="A14">
        <v>2024</v>
      </c>
      <c r="B14" s="7" t="str">
        <f>IF(MROUND('T2'!B14*'T6'!$C$2,1)=0,"",MROUND('T2'!B14*'T6'!C$2,5))</f>
        <v/>
      </c>
      <c r="C14" s="7">
        <v>3141</v>
      </c>
      <c r="D14" s="7" t="str">
        <f>IF(MROUND('T2'!D14*'T6'!$C$2,1)&lt;1,"",MROUND('T2'!D14*'T6'!$C$2,5))</f>
        <v/>
      </c>
      <c r="E14" s="7" t="str">
        <f>IF(MROUND('T2'!E14*'T6'!F$2,1)=0,"",MROUND('T2'!E14*'T6'!F$2,5))</f>
        <v/>
      </c>
      <c r="F14" s="7">
        <v>9703</v>
      </c>
      <c r="G14" s="7" t="str">
        <f>IF(MROUND('T2'!G14*'T6'!$C$2,1)&lt;1,"",MROUND('T2'!G14*'T6'!$C$2,5))</f>
        <v/>
      </c>
      <c r="H14" s="7" t="str">
        <f>IF(MROUND('T2'!H14*'T6'!I$2,1)=0,"",MROUND('T2'!H14*'T6'!I$2,5))</f>
        <v/>
      </c>
      <c r="I14" s="7">
        <v>15203</v>
      </c>
      <c r="J14" s="7" t="str">
        <f>IF(MROUND('T2'!J14*'T6'!$C$2,1)&lt;1,"",MROUND('T2'!J14*'T6'!$C$2,5))</f>
        <v/>
      </c>
      <c r="K14" s="7"/>
      <c r="L14" s="7">
        <v>18447</v>
      </c>
      <c r="M14" s="7"/>
      <c r="N14" s="7"/>
      <c r="O14" s="7">
        <v>19561</v>
      </c>
      <c r="P14" s="7"/>
      <c r="Q14" s="8">
        <f>R14</f>
        <v>66055</v>
      </c>
      <c r="R14" s="8">
        <f t="shared" si="0"/>
        <v>66055</v>
      </c>
      <c r="S14" s="8">
        <f>R14</f>
        <v>66055</v>
      </c>
      <c r="T14" s="8">
        <f>R14</f>
        <v>66055</v>
      </c>
    </row>
    <row r="15" spans="1:20">
      <c r="A15">
        <v>2025</v>
      </c>
      <c r="B15" s="7">
        <f>IF(MROUND('T3'!B15*'T8'!C$2,1)=0,"",MROUND('T3'!B15*'T8'!C$2,5))</f>
        <v>3080</v>
      </c>
      <c r="C15" s="7">
        <f>IF(MROUND('T3'!C15*'T8'!C$2,1)&lt;1,"",MROUND('T3'!C15*'T8'!C$2,5))</f>
        <v>3185</v>
      </c>
      <c r="D15" s="7">
        <f>IF(MROUND('T3'!D15*'T8'!C$2,1)&lt;1,"",MROUND('T3'!D15*'T8'!C$2,5))</f>
        <v>3220</v>
      </c>
      <c r="E15" s="7">
        <f>IF(MROUND('T3'!E15*'T8'!F$2,1)=0,"",MROUND('T3'!E15*'T8'!F$2,5))</f>
        <v>9420</v>
      </c>
      <c r="F15" s="7">
        <f>IF(MROUND('T3'!F15*'T8'!F$2,1)&lt;1,"",MROUND('T3'!F15*'T8'!F$2,5))</f>
        <v>9580</v>
      </c>
      <c r="G15" s="7">
        <f>IF(MROUND('T3'!G15*'T8'!F$2,1)&lt;1,"",MROUND('T3'!G15*'T8'!F$2,5))</f>
        <v>9680</v>
      </c>
      <c r="H15" s="7">
        <f>IF(MROUND('T3'!H15*'T8'!I$2,1)=0,"",MROUND('T3'!H15*'T8'!I$2,5))</f>
        <v>13420</v>
      </c>
      <c r="I15" s="7">
        <f>IF(MROUND('T3'!I15*'T8'!I$2,1)&lt;1,"",MROUND('T3'!I15*'T8'!I$2,5))</f>
        <v>13640</v>
      </c>
      <c r="J15" s="7">
        <f>IF(MROUND('T3'!J15*'T8'!I$2,1)&lt;1,"",MROUND('T3'!J15*'T8'!I$2,5))</f>
        <v>13785</v>
      </c>
      <c r="K15" s="7">
        <f>IF(MROUND('T3'!K15*'T8'!L$2,1)=0,"",MROUND('T3'!K15*'T8'!L$2,5))</f>
        <v>18715</v>
      </c>
      <c r="L15" s="7">
        <f>IF(MROUND('T3'!L15*'T7'!L$2,1)&lt;1,"",MROUND('T3'!L15*'T7'!L$2,5))</f>
        <v>17915</v>
      </c>
      <c r="M15" s="7">
        <f>IF(MROUND('T3'!M15*'T8'!L$2,1)&lt;1,"",MROUND('T3'!M15*'T8'!L$2,5))</f>
        <v>19225</v>
      </c>
      <c r="N15" s="7">
        <f>IF(MROUND('T3'!N15*'T8'!O$2,1)=0,"",MROUND('T3'!N15*'T8'!O$2,5))</f>
        <v>19795</v>
      </c>
      <c r="O15" s="7">
        <f>IF(MROUND('T3'!O15*'T8'!O$2,1)&lt;1,"",MROUND('T3'!O15*'T8'!O$2,5))</f>
        <v>20125</v>
      </c>
      <c r="P15" s="7">
        <f>IF(MROUND('T3'!P15*'T8'!O$2,1)&lt;1,"",MROUND('T3'!P15*'T8'!O$2,5))</f>
        <v>20335</v>
      </c>
      <c r="Q15" s="8">
        <f>SUM(B15,F15,I15,L15,O15)</f>
        <v>64340</v>
      </c>
      <c r="R15" s="7"/>
      <c r="S15" s="8">
        <f t="shared" ref="S15:S28" si="1">SUM(C15,F15,I15,L15,O15)</f>
        <v>64445</v>
      </c>
      <c r="T15" s="8">
        <f>SUM(O15,L15,I15,F15,D15)</f>
        <v>64480</v>
      </c>
    </row>
    <row r="16" spans="1:20">
      <c r="A16">
        <v>2026</v>
      </c>
      <c r="B16" s="7">
        <f>IF(MROUND('T3'!B16*'T8'!C$2,1)=0,"",MROUND('T3'!B16*'T8'!C$2,5))</f>
        <v>3040</v>
      </c>
      <c r="C16" s="7">
        <f>IF(MROUND('T3'!C16*'T8'!C$2,1)&lt;1,"",MROUND('T3'!C16*'T8'!C$2,5))</f>
        <v>3185</v>
      </c>
      <c r="D16" s="7">
        <f>IF(MROUND('T3'!D16*'T8'!C$2,1)&lt;1,"",MROUND('T3'!D16*'T8'!C$2,5))</f>
        <v>3220</v>
      </c>
      <c r="E16" s="7">
        <f>IF(MROUND('T3'!E16*'T8'!F$2,1)=0,"",MROUND('T3'!E16*'T8'!F$2,5))</f>
        <v>9375</v>
      </c>
      <c r="F16" s="7">
        <f>IF(MROUND('T3'!F16*'T8'!F$2,1)&lt;1,"",MROUND('T3'!F16*'T8'!F$2,5))</f>
        <v>9760</v>
      </c>
      <c r="G16" s="7">
        <f>IF(MROUND('T3'!G16*'T8'!F$2,1)&lt;1,"",MROUND('T3'!G16*'T8'!F$2,5))</f>
        <v>9865</v>
      </c>
      <c r="H16" s="7">
        <f>IF(MROUND('T3'!H16*'T8'!I$2,1)=0,"",MROUND('T3'!H16*'T8'!I$2,5))</f>
        <v>13360</v>
      </c>
      <c r="I16" s="7">
        <f>IF(MROUND('T3'!I16*'T8'!I$2,1)&lt;1,"",MROUND('T3'!I16*'T8'!I$2,5))</f>
        <v>13610</v>
      </c>
      <c r="J16" s="7">
        <f>IF(MROUND('T3'!J16*'T8'!I$2,1)&lt;1,"",MROUND('T3'!J16*'T8'!I$2,5))</f>
        <v>13755</v>
      </c>
      <c r="K16" s="7">
        <f>IF(MROUND('T3'!K16*'T8'!L$2,1)=0,"",MROUND('T3'!K16*'T8'!L$2,5))</f>
        <v>17370</v>
      </c>
      <c r="L16" s="7">
        <f>IF(MROUND('T3'!L16*'T7'!L$2,1)&lt;1,"",MROUND('T3'!L16*'T7'!L$2,5))</f>
        <v>16680</v>
      </c>
      <c r="M16" s="7">
        <f>IF(MROUND('T3'!M16*'T8'!L$2,1)&lt;1,"",MROUND('T3'!M16*'T8'!L$2,5))</f>
        <v>17895</v>
      </c>
      <c r="N16" s="7">
        <f>IF(MROUND('T3'!N16*'T8'!O$2,1)=0,"",MROUND('T3'!N16*'T8'!O$2,5))</f>
        <v>19585</v>
      </c>
      <c r="O16" s="7">
        <f>IF(MROUND('T3'!O16*'T8'!O$2,1)&lt;1,"",MROUND('T3'!O16*'T8'!O$2,5))</f>
        <v>19970</v>
      </c>
      <c r="P16" s="7">
        <f>IF(MROUND('T3'!P16*'T8'!O$2,1)&lt;1,"",MROUND('T3'!P16*'T8'!O$2,5))</f>
        <v>20175</v>
      </c>
      <c r="Q16" s="8">
        <f>SUM(B16,E16,I16,L16,O16)</f>
        <v>62675</v>
      </c>
      <c r="R16" s="7"/>
      <c r="S16" s="8">
        <f t="shared" si="1"/>
        <v>63205</v>
      </c>
      <c r="T16" s="8">
        <f>SUM(O16,L16,I16,G16,D16)</f>
        <v>63345</v>
      </c>
    </row>
    <row r="17" spans="1:20">
      <c r="A17">
        <v>2027</v>
      </c>
      <c r="B17" s="7">
        <f>IF(MROUND('T3'!B17*'T8'!C$2,1)=0,"",MROUND('T3'!B17*'T8'!C$2,5))</f>
        <v>3005</v>
      </c>
      <c r="C17" s="7">
        <f>IF(MROUND('T3'!C17*'T8'!C$2,1)&lt;1,"",MROUND('T3'!C17*'T8'!C$2,5))</f>
        <v>3185</v>
      </c>
      <c r="D17" s="7">
        <f>IF(MROUND('T3'!D17*'T8'!C$2,1)&lt;1,"",MROUND('T3'!D17*'T8'!C$2,5))</f>
        <v>3220</v>
      </c>
      <c r="E17" s="7">
        <f>IF(MROUND('T3'!E17*'T8'!F$2,1)=0,"",MROUND('T3'!E17*'T8'!F$2,5))</f>
        <v>9305</v>
      </c>
      <c r="F17" s="7">
        <f>IF(MROUND('T3'!F17*'T8'!F$2,1)&lt;1,"",MROUND('T3'!F17*'T8'!F$2,5))</f>
        <v>9770</v>
      </c>
      <c r="G17" s="7">
        <f>IF(MROUND('T3'!G17*'T8'!F$2,1)&lt;1,"",MROUND('T3'!G17*'T8'!F$2,5))</f>
        <v>9870</v>
      </c>
      <c r="H17" s="7">
        <f>IF(MROUND('T3'!H17*'T8'!I$2,1)=0,"",MROUND('T3'!H17*'T8'!I$2,5))</f>
        <v>13330</v>
      </c>
      <c r="I17" s="7">
        <f>IF(MROUND('T3'!I17*'T8'!I$2,1)&lt;1,"",MROUND('T3'!I17*'T8'!I$2,5))</f>
        <v>13880</v>
      </c>
      <c r="J17" s="7">
        <f>IF(MROUND('T3'!J17*'T8'!I$2,1)&lt;1,"",MROUND('T3'!J17*'T8'!I$2,5))</f>
        <v>14025</v>
      </c>
      <c r="K17" s="7">
        <f>IF(MROUND('T3'!K17*'T8'!L$2,1)=0,"",MROUND('T3'!K17*'T8'!L$2,5))</f>
        <v>17300</v>
      </c>
      <c r="L17" s="7">
        <f>IF(MROUND('T3'!L17*'T7'!L$2,1)&lt;1,"",MROUND('T3'!L17*'T7'!L$2,5))</f>
        <v>16655</v>
      </c>
      <c r="M17" s="7">
        <f>IF(MROUND('T3'!M17*'T8'!L$2,1)&lt;1,"",MROUND('T3'!M17*'T8'!L$2,5))</f>
        <v>17870</v>
      </c>
      <c r="N17" s="7">
        <f>IF(MROUND('T3'!N17*'T8'!O$2,1)=0,"",MROUND('T3'!N17*'T8'!O$2,5))</f>
        <v>18190</v>
      </c>
      <c r="O17" s="7">
        <f>IF(MROUND('T3'!O17*'T8'!O$2,1)&lt;1,"",MROUND('T3'!O17*'T8'!O$2,5))</f>
        <v>18610</v>
      </c>
      <c r="P17" s="7">
        <f>IF(MROUND('T3'!P17*'T8'!O$2,1)&lt;1,"",MROUND('T3'!P17*'T8'!O$2,5))</f>
        <v>18805</v>
      </c>
      <c r="Q17" s="8">
        <f>SUM(O17,L17,H17,E17,B17)</f>
        <v>60905</v>
      </c>
      <c r="R17" s="7"/>
      <c r="S17" s="8">
        <f t="shared" si="1"/>
        <v>62100</v>
      </c>
      <c r="T17" s="8">
        <f>SUM(O17,L17,J17,G17,D17)</f>
        <v>62380</v>
      </c>
    </row>
    <row r="18" spans="1:20">
      <c r="A18">
        <v>2028</v>
      </c>
      <c r="B18" s="7">
        <f>IF(MROUND('T3'!B18*'T8'!C$2,1)=0,"",MROUND('T3'!B18*'T8'!C$2,5))</f>
        <v>2985</v>
      </c>
      <c r="C18" s="7">
        <f>IF(MROUND('T3'!C18*'T8'!C$2,1)&lt;1,"",MROUND('T3'!C18*'T8'!C$2,5))</f>
        <v>3185</v>
      </c>
      <c r="D18" s="7">
        <f>IF(MROUND('T3'!D18*'T8'!C$2,1)&lt;1,"",MROUND('T3'!D18*'T8'!C$2,5))</f>
        <v>3220</v>
      </c>
      <c r="E18" s="7">
        <f>IF(MROUND('T3'!E18*'T8'!F$2,1)=0,"",MROUND('T3'!E18*'T8'!F$2,5))</f>
        <v>9205</v>
      </c>
      <c r="F18" s="7">
        <f>IF(MROUND('T3'!F18*'T8'!F$2,1)&lt;1,"",MROUND('T3'!F18*'T8'!F$2,5))</f>
        <v>9770</v>
      </c>
      <c r="G18" s="7">
        <f>IF(MROUND('T3'!G18*'T8'!F$2,1)&lt;1,"",MROUND('T3'!G18*'T8'!F$2,5))</f>
        <v>9870</v>
      </c>
      <c r="H18" s="7">
        <f>IF(MROUND('T3'!H18*'T8'!I$2,1)=0,"",MROUND('T3'!H18*'T8'!I$2,5))</f>
        <v>13235</v>
      </c>
      <c r="I18" s="7">
        <f>IF(MROUND('T3'!I18*'T8'!I$2,1)&lt;1,"",MROUND('T3'!I18*'T8'!I$2,5))</f>
        <v>13895</v>
      </c>
      <c r="J18" s="7">
        <f>IF(MROUND('T3'!J18*'T8'!I$2,1)&lt;1,"",MROUND('T3'!J18*'T8'!I$2,5))</f>
        <v>14040</v>
      </c>
      <c r="K18" s="7">
        <f>IF(MROUND('T3'!K18*'T8'!L$2,1)=0,"",MROUND('T3'!K18*'T8'!L$2,5))</f>
        <v>17310</v>
      </c>
      <c r="L18" s="7">
        <f>IF(MROUND('T3'!L18*'T7'!L$2,1)&lt;1,"",MROUND('T3'!L18*'T7'!L$2,5))</f>
        <v>16990</v>
      </c>
      <c r="M18" s="7">
        <f>IF(MROUND('T3'!M18*'T8'!L$2,1)&lt;1,"",MROUND('T3'!M18*'T8'!L$2,5))</f>
        <v>18230</v>
      </c>
      <c r="N18" s="7">
        <f>IF(MROUND('T3'!N18*'T8'!O$2,1)=0,"",MROUND('T3'!N18*'T8'!O$2,5))</f>
        <v>18135</v>
      </c>
      <c r="O18" s="7">
        <f>IF(MROUND('T3'!O18*'T8'!O$2,1)&lt;1,"",MROUND('T3'!O18*'T8'!O$2,5))</f>
        <v>18595</v>
      </c>
      <c r="P18" s="7">
        <f>IF(MROUND('T3'!P18*'T8'!O$2,1)&lt;1,"",MROUND('T3'!P18*'T8'!O$2,5))</f>
        <v>18790</v>
      </c>
      <c r="Q18" s="8">
        <f>SUM(O18,K18,H18,E18,B18)</f>
        <v>61330</v>
      </c>
      <c r="R18" s="7"/>
      <c r="S18" s="8">
        <f t="shared" si="1"/>
        <v>62435</v>
      </c>
      <c r="T18" s="8">
        <f>SUM(O18,M18,J18,G18,D18)</f>
        <v>63955</v>
      </c>
    </row>
    <row r="19" spans="1:20">
      <c r="A19">
        <v>2029</v>
      </c>
      <c r="B19" s="7">
        <f>IF(MROUND('T3'!B19*'T8'!C$2,1)=0,"",MROUND('T3'!B19*'T8'!C$2,5))</f>
        <v>2965</v>
      </c>
      <c r="C19" s="7">
        <f>IF(MROUND('T3'!C19*'T8'!C$2,1)&lt;1,"",MROUND('T3'!C19*'T8'!C$2,5))</f>
        <v>3185</v>
      </c>
      <c r="D19" s="7">
        <f>IF(MROUND('T3'!D19*'T8'!C$2,1)&lt;1,"",MROUND('T3'!D19*'T8'!C$2,5))</f>
        <v>3215</v>
      </c>
      <c r="E19" s="7">
        <f>IF(MROUND('T3'!E19*'T8'!F$2,1)=0,"",MROUND('T3'!E19*'T8'!F$2,5))</f>
        <v>9140</v>
      </c>
      <c r="F19" s="7">
        <f>IF(MROUND('T3'!F19*'T8'!F$2,1)&lt;1,"",MROUND('T3'!F19*'T8'!F$2,5))</f>
        <v>9770</v>
      </c>
      <c r="G19" s="7">
        <f>IF(MROUND('T3'!G19*'T8'!F$2,1)&lt;1,"",MROUND('T3'!G19*'T8'!F$2,5))</f>
        <v>9870</v>
      </c>
      <c r="H19" s="7">
        <f>IF(MROUND('T3'!H19*'T8'!I$2,1)=0,"",MROUND('T3'!H19*'T8'!I$2,5))</f>
        <v>13115</v>
      </c>
      <c r="I19" s="7">
        <f>IF(MROUND('T3'!I19*'T8'!I$2,1)&lt;1,"",MROUND('T3'!I19*'T8'!I$2,5))</f>
        <v>13900</v>
      </c>
      <c r="J19" s="7">
        <f>IF(MROUND('T3'!J19*'T8'!I$2,1)&lt;1,"",MROUND('T3'!J19*'T8'!I$2,5))</f>
        <v>14050</v>
      </c>
      <c r="K19" s="7">
        <f>IF(MROUND('T3'!K19*'T8'!L$2,1)=0,"",MROUND('T3'!K19*'T8'!L$2,5))</f>
        <v>17195</v>
      </c>
      <c r="L19" s="7">
        <f>IF(MROUND('T3'!L19*'T7'!L$2,1)&lt;1,"",MROUND('T3'!L19*'T7'!L$2,5))</f>
        <v>17015</v>
      </c>
      <c r="M19" s="7">
        <f>IF(MROUND('T3'!M19*'T8'!L$2,1)&lt;1,"",MROUND('T3'!M19*'T8'!L$2,5))</f>
        <v>18255</v>
      </c>
      <c r="N19" s="7">
        <f>IF(MROUND('T3'!N19*'T8'!O$2,1)=0,"",MROUND('T3'!N19*'T8'!O$2,5))</f>
        <v>18195</v>
      </c>
      <c r="O19" s="7">
        <f>IF(MROUND('T3'!O19*'T8'!O$2,1)&lt;1,"",MROUND('T3'!O19*'T8'!O$2,5))</f>
        <v>18970</v>
      </c>
      <c r="P19" s="7">
        <f>IF(MROUND('T3'!P19*'T8'!O$2,1)&lt;1,"",MROUND('T3'!P19*'T8'!O$2,5))</f>
        <v>19170</v>
      </c>
      <c r="Q19" s="8">
        <f>SUM(N19,K19,H19,E19,B19)</f>
        <v>60610</v>
      </c>
      <c r="R19" s="7"/>
      <c r="S19" s="8">
        <f t="shared" si="1"/>
        <v>62840</v>
      </c>
      <c r="T19" s="8">
        <f>SUM(P19,M19,J19,G19,D19)</f>
        <v>64560</v>
      </c>
    </row>
    <row r="20" spans="1:20">
      <c r="A20">
        <v>2030</v>
      </c>
      <c r="B20" s="7">
        <f>IF(MROUND('T3'!B20*'T8'!C$2,1)=0,"",MROUND('T3'!B20*'T8'!C$2,5))</f>
        <v>2945</v>
      </c>
      <c r="C20" s="7">
        <f>IF(MROUND('T3'!C20*'T8'!C$2,1)&lt;1,"",MROUND('T3'!C20*'T8'!C$2,5))</f>
        <v>3180</v>
      </c>
      <c r="D20" s="7">
        <f>IF(MROUND('T3'!D20*'T8'!C$2,1)&lt;1,"",MROUND('T3'!D20*'T8'!C$2,5))</f>
        <v>3215</v>
      </c>
      <c r="E20" s="7">
        <f>IF(MROUND('T3'!E20*'T8'!F$2,1)=0,"",MROUND('T3'!E20*'T8'!F$2,5))</f>
        <v>9090</v>
      </c>
      <c r="F20" s="7">
        <f>IF(MROUND('T3'!F20*'T8'!F$2,1)&lt;1,"",MROUND('T3'!F20*'T8'!F$2,5))</f>
        <v>9765</v>
      </c>
      <c r="G20" s="7">
        <f>IF(MROUND('T3'!G20*'T8'!F$2,1)&lt;1,"",MROUND('T3'!G20*'T8'!F$2,5))</f>
        <v>9865</v>
      </c>
      <c r="H20" s="7">
        <f>IF(MROUND('T3'!H20*'T8'!I$2,1)=0,"",MROUND('T3'!H20*'T8'!I$2,5))</f>
        <v>13010</v>
      </c>
      <c r="I20" s="7">
        <f>IF(MROUND('T3'!I20*'T8'!I$2,1)&lt;1,"",MROUND('T3'!I20*'T8'!I$2,5))</f>
        <v>13900</v>
      </c>
      <c r="J20" s="7">
        <f>IF(MROUND('T3'!J20*'T8'!I$2,1)&lt;1,"",MROUND('T3'!J20*'T8'!I$2,5))</f>
        <v>14050</v>
      </c>
      <c r="K20" s="7">
        <f>IF(MROUND('T3'!K20*'T8'!L$2,1)=0,"",MROUND('T3'!K20*'T8'!L$2,5))</f>
        <v>17065</v>
      </c>
      <c r="L20" s="7">
        <f>IF(MROUND('T3'!L20*'T7'!L$2,1)&lt;1,"",MROUND('T3'!L20*'T7'!L$2,5))</f>
        <v>17025</v>
      </c>
      <c r="M20" s="7">
        <f>IF(MROUND('T3'!M20*'T8'!L$2,1)&lt;1,"",MROUND('T3'!M20*'T8'!L$2,5))</f>
        <v>18270</v>
      </c>
      <c r="N20" s="7">
        <f>IF(MROUND('T3'!N20*'T8'!O$2,1)=0,"",MROUND('T3'!N20*'T8'!O$2,5))</f>
        <v>18075</v>
      </c>
      <c r="O20" s="7">
        <f>IF(MROUND('T3'!O20*'T8'!O$2,1)&lt;1,"",MROUND('T3'!O20*'T8'!O$2,5))</f>
        <v>19005</v>
      </c>
      <c r="P20" s="7">
        <f>IF(MROUND('T3'!P20*'T8'!O$2,1)&lt;1,"",MROUND('T3'!P20*'T8'!O$2,5))</f>
        <v>19205</v>
      </c>
      <c r="Q20" s="8">
        <f t="shared" ref="Q20:Q28" si="2">SUM(N20,K20,H20,E20,B20)</f>
        <v>60185</v>
      </c>
      <c r="R20" s="7"/>
      <c r="S20" s="8">
        <f t="shared" si="1"/>
        <v>62875</v>
      </c>
      <c r="T20" s="8">
        <f t="shared" ref="T20:T28" si="3">SUM(P20,M20,J20,G20,D20)</f>
        <v>64605</v>
      </c>
    </row>
    <row r="21" spans="1:20">
      <c r="A21">
        <v>2031</v>
      </c>
      <c r="B21" s="7">
        <f>IF(MROUND('T3'!B21*'T8'!C$2,1)=0,"",MROUND('T3'!B21*'T8'!C$2,5))</f>
        <v>2920</v>
      </c>
      <c r="C21" s="7">
        <f>IF(MROUND('T3'!C21*'T8'!C$2,1)&lt;1,"",MROUND('T3'!C21*'T8'!C$2,5))</f>
        <v>3185</v>
      </c>
      <c r="D21" s="7">
        <f>IF(MROUND('T3'!D21*'T8'!C$2,1)&lt;1,"",MROUND('T3'!D21*'T8'!C$2,5))</f>
        <v>3215</v>
      </c>
      <c r="E21" s="7">
        <f>IF(MROUND('T3'!E21*'T8'!F$2,1)=0,"",MROUND('T3'!E21*'T8'!F$2,5))</f>
        <v>9035</v>
      </c>
      <c r="F21" s="7">
        <f>IF(MROUND('T3'!F21*'T8'!F$2,1)&lt;1,"",MROUND('T3'!F21*'T8'!F$2,5))</f>
        <v>9765</v>
      </c>
      <c r="G21" s="7">
        <f>IF(MROUND('T3'!G21*'T8'!F$2,1)&lt;1,"",MROUND('T3'!G21*'T8'!F$2,5))</f>
        <v>9865</v>
      </c>
      <c r="H21" s="7">
        <f>IF(MROUND('T3'!H21*'T8'!I$2,1)=0,"",MROUND('T3'!H21*'T8'!I$2,5))</f>
        <v>12930</v>
      </c>
      <c r="I21" s="7">
        <f>IF(MROUND('T3'!I21*'T8'!I$2,1)&lt;1,"",MROUND('T3'!I21*'T8'!I$2,5))</f>
        <v>13900</v>
      </c>
      <c r="J21" s="7">
        <f>IF(MROUND('T3'!J21*'T8'!I$2,1)&lt;1,"",MROUND('T3'!J21*'T8'!I$2,5))</f>
        <v>14045</v>
      </c>
      <c r="K21" s="7">
        <f>IF(MROUND('T3'!K21*'T8'!L$2,1)=0,"",MROUND('T3'!K21*'T8'!L$2,5))</f>
        <v>16925</v>
      </c>
      <c r="L21" s="7">
        <f>IF(MROUND('T3'!L21*'T7'!L$2,1)&lt;1,"",MROUND('T3'!L21*'T7'!L$2,5))</f>
        <v>17030</v>
      </c>
      <c r="M21" s="7">
        <f>IF(MROUND('T3'!M21*'T8'!L$2,1)&lt;1,"",MROUND('T3'!M21*'T8'!L$2,5))</f>
        <v>18270</v>
      </c>
      <c r="N21" s="7">
        <f>IF(MROUND('T3'!N21*'T8'!O$2,1)=0,"",MROUND('T3'!N21*'T8'!O$2,5))</f>
        <v>17960</v>
      </c>
      <c r="O21" s="7">
        <f>IF(MROUND('T3'!O21*'T8'!O$2,1)&lt;1,"",MROUND('T3'!O21*'T8'!O$2,5))</f>
        <v>19020</v>
      </c>
      <c r="P21" s="7">
        <f>IF(MROUND('T3'!P21*'T8'!O$2,1)&lt;1,"",MROUND('T3'!P21*'T8'!O$2,5))</f>
        <v>19220</v>
      </c>
      <c r="Q21" s="8">
        <f t="shared" si="2"/>
        <v>59770</v>
      </c>
      <c r="R21" s="7"/>
      <c r="S21" s="8">
        <f t="shared" si="1"/>
        <v>62900</v>
      </c>
      <c r="T21" s="8">
        <f t="shared" si="3"/>
        <v>64615</v>
      </c>
    </row>
    <row r="22" spans="1:20">
      <c r="A22">
        <v>2032</v>
      </c>
      <c r="B22" s="7">
        <f>IF(MROUND('T3'!B22*'T8'!C$2,1)=0,"",MROUND('T3'!B22*'T8'!C$2,5))</f>
        <v>2910</v>
      </c>
      <c r="C22" s="7">
        <f>IF(MROUND('T3'!C22*'T8'!C$2,1)&lt;1,"",MROUND('T3'!C22*'T8'!C$2,5))</f>
        <v>3185</v>
      </c>
      <c r="D22" s="7">
        <f>IF(MROUND('T3'!D22*'T8'!C$2,1)&lt;1,"",MROUND('T3'!D22*'T8'!C$2,5))</f>
        <v>3220</v>
      </c>
      <c r="E22" s="7">
        <f>IF(MROUND('T3'!E22*'T8'!F$2,1)=0,"",MROUND('T3'!E22*'T8'!F$2,5))</f>
        <v>8960</v>
      </c>
      <c r="F22" s="7">
        <f>IF(MROUND('T3'!F22*'T8'!F$2,1)&lt;1,"",MROUND('T3'!F22*'T8'!F$2,5))</f>
        <v>9765</v>
      </c>
      <c r="G22" s="7">
        <f>IF(MROUND('T3'!G22*'T8'!F$2,1)&lt;1,"",MROUND('T3'!G22*'T8'!F$2,5))</f>
        <v>9865</v>
      </c>
      <c r="H22" s="7">
        <f>IF(MROUND('T3'!H22*'T8'!I$2,1)=0,"",MROUND('T3'!H22*'T8'!I$2,5))</f>
        <v>12865</v>
      </c>
      <c r="I22" s="7">
        <f>IF(MROUND('T3'!I22*'T8'!I$2,1)&lt;1,"",MROUND('T3'!I22*'T8'!I$2,5))</f>
        <v>13895</v>
      </c>
      <c r="J22" s="7">
        <f>IF(MROUND('T3'!J22*'T8'!I$2,1)&lt;1,"",MROUND('T3'!J22*'T8'!I$2,5))</f>
        <v>14040</v>
      </c>
      <c r="K22" s="7">
        <f>IF(MROUND('T3'!K22*'T8'!L$2,1)=0,"",MROUND('T3'!K22*'T8'!L$2,5))</f>
        <v>16820</v>
      </c>
      <c r="L22" s="7">
        <f>IF(MROUND('T3'!L22*'T7'!L$2,1)&lt;1,"",MROUND('T3'!L22*'T7'!L$2,5))</f>
        <v>17025</v>
      </c>
      <c r="M22" s="7">
        <f>IF(MROUND('T3'!M22*'T8'!L$2,1)&lt;1,"",MROUND('T3'!M22*'T8'!L$2,5))</f>
        <v>18270</v>
      </c>
      <c r="N22" s="7">
        <f>IF(MROUND('T3'!N22*'T8'!O$2,1)=0,"",MROUND('T3'!N22*'T8'!O$2,5))</f>
        <v>17800</v>
      </c>
      <c r="O22" s="7">
        <f>IF(MROUND('T3'!O22*'T8'!O$2,1)&lt;1,"",MROUND('T3'!O22*'T8'!O$2,5))</f>
        <v>19025</v>
      </c>
      <c r="P22" s="7">
        <f>IF(MROUND('T3'!P22*'T8'!O$2,1)&lt;1,"",MROUND('T3'!P22*'T8'!O$2,5))</f>
        <v>19225</v>
      </c>
      <c r="Q22" s="8">
        <f t="shared" si="2"/>
        <v>59355</v>
      </c>
      <c r="R22" s="7"/>
      <c r="S22" s="8">
        <f t="shared" si="1"/>
        <v>62895</v>
      </c>
      <c r="T22" s="8">
        <f t="shared" si="3"/>
        <v>64620</v>
      </c>
    </row>
    <row r="23" spans="1:20">
      <c r="A23">
        <v>2033</v>
      </c>
      <c r="B23" s="7">
        <f>IF(MROUND('T3'!B23*'T8'!C$2,1)=0,"",MROUND('T3'!B23*'T8'!C$2,5))</f>
        <v>2900</v>
      </c>
      <c r="C23" s="7">
        <f>IF(MROUND('T3'!C23*'T8'!C$2,1)&lt;1,"",MROUND('T3'!C23*'T8'!C$2,5))</f>
        <v>3190</v>
      </c>
      <c r="D23" s="7">
        <f>IF(MROUND('T3'!D23*'T8'!C$2,1)&lt;1,"",MROUND('T3'!D23*'T8'!C$2,5))</f>
        <v>3225</v>
      </c>
      <c r="E23" s="7">
        <f>IF(MROUND('T3'!E23*'T8'!F$2,1)=0,"",MROUND('T3'!E23*'T8'!F$2,5))</f>
        <v>8940</v>
      </c>
      <c r="F23" s="7">
        <f>IF(MROUND('T3'!F23*'T8'!F$2,1)&lt;1,"",MROUND('T3'!F23*'T8'!F$2,5))</f>
        <v>9775</v>
      </c>
      <c r="G23" s="7">
        <f>IF(MROUND('T3'!G23*'T8'!F$2,1)&lt;1,"",MROUND('T3'!G23*'T8'!F$2,5))</f>
        <v>9875</v>
      </c>
      <c r="H23" s="7">
        <f>IF(MROUND('T3'!H23*'T8'!I$2,1)=0,"",MROUND('T3'!H23*'T8'!I$2,5))</f>
        <v>12770</v>
      </c>
      <c r="I23" s="7">
        <f>IF(MROUND('T3'!I23*'T8'!I$2,1)&lt;1,"",MROUND('T3'!I23*'T8'!I$2,5))</f>
        <v>13900</v>
      </c>
      <c r="J23" s="7">
        <f>IF(MROUND('T3'!J23*'T8'!I$2,1)&lt;1,"",MROUND('T3'!J23*'T8'!I$2,5))</f>
        <v>14045</v>
      </c>
      <c r="K23" s="7">
        <f>IF(MROUND('T3'!K23*'T8'!L$2,1)=0,"",MROUND('T3'!K23*'T8'!L$2,5))</f>
        <v>16730</v>
      </c>
      <c r="L23" s="7">
        <f>IF(MROUND('T3'!L23*'T7'!L$2,1)&lt;1,"",MROUND('T3'!L23*'T7'!L$2,5))</f>
        <v>17025</v>
      </c>
      <c r="M23" s="7">
        <f>IF(MROUND('T3'!M23*'T8'!L$2,1)&lt;1,"",MROUND('T3'!M23*'T8'!L$2,5))</f>
        <v>18265</v>
      </c>
      <c r="N23" s="7">
        <f>IF(MROUND('T3'!N23*'T8'!O$2,1)=0,"",MROUND('T3'!N23*'T8'!O$2,5))</f>
        <v>17680</v>
      </c>
      <c r="O23" s="7">
        <f>IF(MROUND('T3'!O23*'T8'!O$2,1)&lt;1,"",MROUND('T3'!O23*'T8'!O$2,5))</f>
        <v>19020</v>
      </c>
      <c r="P23" s="7">
        <f>IF(MROUND('T3'!P23*'T8'!O$2,1)&lt;1,"",MROUND('T3'!P23*'T8'!O$2,5))</f>
        <v>19220</v>
      </c>
      <c r="Q23" s="8">
        <f t="shared" si="2"/>
        <v>59020</v>
      </c>
      <c r="R23" s="7"/>
      <c r="S23" s="8">
        <f t="shared" si="1"/>
        <v>62910</v>
      </c>
      <c r="T23" s="8">
        <f t="shared" si="3"/>
        <v>64630</v>
      </c>
    </row>
    <row r="24" spans="1:20">
      <c r="A24">
        <v>2034</v>
      </c>
      <c r="B24" s="7">
        <f>IF(MROUND('T3'!B24*'T8'!C$2,1)=0,"",MROUND('T3'!B24*'T8'!C$2,5))</f>
        <v>2905</v>
      </c>
      <c r="C24" s="7">
        <f>IF(MROUND('T3'!C24*'T8'!C$2,1)&lt;1,"",MROUND('T3'!C24*'T8'!C$2,5))</f>
        <v>3200</v>
      </c>
      <c r="D24" s="7">
        <f>IF(MROUND('T3'!D24*'T8'!C$2,1)&lt;1,"",MROUND('T3'!D24*'T8'!C$2,5))</f>
        <v>3235</v>
      </c>
      <c r="E24" s="7">
        <f>IF(MROUND('T3'!E24*'T8'!F$2,1)=0,"",MROUND('T3'!E24*'T8'!F$2,5))</f>
        <v>8910</v>
      </c>
      <c r="F24" s="7">
        <f>IF(MROUND('T3'!F24*'T8'!F$2,1)&lt;1,"",MROUND('T3'!F24*'T8'!F$2,5))</f>
        <v>9790</v>
      </c>
      <c r="G24" s="7">
        <f>IF(MROUND('T3'!G24*'T8'!F$2,1)&lt;1,"",MROUND('T3'!G24*'T8'!F$2,5))</f>
        <v>9895</v>
      </c>
      <c r="H24" s="7">
        <f>IF(MROUND('T3'!H24*'T8'!I$2,1)=0,"",MROUND('T3'!H24*'T8'!I$2,5))</f>
        <v>12725</v>
      </c>
      <c r="I24" s="7">
        <f>IF(MROUND('T3'!I24*'T8'!I$2,1)&lt;1,"",MROUND('T3'!I24*'T8'!I$2,5))</f>
        <v>13910</v>
      </c>
      <c r="J24" s="7">
        <f>IF(MROUND('T3'!J24*'T8'!I$2,1)&lt;1,"",MROUND('T3'!J24*'T8'!I$2,5))</f>
        <v>14055</v>
      </c>
      <c r="K24" s="7">
        <f>IF(MROUND('T3'!K24*'T8'!L$2,1)=0,"",MROUND('T3'!K24*'T8'!L$2,5))</f>
        <v>16615</v>
      </c>
      <c r="L24" s="7">
        <f>IF(MROUND('T3'!L24*'T7'!L$2,1)&lt;1,"",MROUND('T3'!L24*'T7'!L$2,5))</f>
        <v>17030</v>
      </c>
      <c r="M24" s="7">
        <f>IF(MROUND('T3'!M24*'T8'!L$2,1)&lt;1,"",MROUND('T3'!M24*'T8'!L$2,5))</f>
        <v>18270</v>
      </c>
      <c r="N24" s="7">
        <f>IF(MROUND('T3'!N24*'T8'!O$2,1)=0,"",MROUND('T3'!N24*'T8'!O$2,5))</f>
        <v>17595</v>
      </c>
      <c r="O24" s="7">
        <f>IF(MROUND('T3'!O24*'T8'!O$2,1)&lt;1,"",MROUND('T3'!O24*'T8'!O$2,5))</f>
        <v>19020</v>
      </c>
      <c r="P24" s="7">
        <f>IF(MROUND('T3'!P24*'T8'!O$2,1)&lt;1,"",MROUND('T3'!P24*'T8'!O$2,5))</f>
        <v>19220</v>
      </c>
      <c r="Q24" s="8">
        <f t="shared" si="2"/>
        <v>58750</v>
      </c>
      <c r="R24" s="7"/>
      <c r="S24" s="8">
        <f t="shared" si="1"/>
        <v>62950</v>
      </c>
      <c r="T24" s="8">
        <f t="shared" si="3"/>
        <v>64675</v>
      </c>
    </row>
    <row r="25" spans="1:20">
      <c r="A25">
        <v>2035</v>
      </c>
      <c r="B25" s="7">
        <f>IF(MROUND('T3'!B25*'T8'!C$2,1)=0,"",MROUND('T3'!B25*'T8'!C$2,5))</f>
        <v>2895</v>
      </c>
      <c r="C25" s="7">
        <f>IF(MROUND('T3'!C25*'T8'!C$2,1)&lt;1,"",MROUND('T3'!C25*'T8'!C$2,5))</f>
        <v>3215</v>
      </c>
      <c r="D25" s="7">
        <f>IF(MROUND('T3'!D25*'T8'!C$2,1)&lt;1,"",MROUND('T3'!D25*'T8'!C$2,5))</f>
        <v>3245</v>
      </c>
      <c r="E25" s="7">
        <f>IF(MROUND('T3'!E25*'T8'!F$2,1)=0,"",MROUND('T3'!E25*'T8'!F$2,5))</f>
        <v>8905</v>
      </c>
      <c r="F25" s="7">
        <f>IF(MROUND('T3'!F25*'T8'!F$2,1)&lt;1,"",MROUND('T3'!F25*'T8'!F$2,5))</f>
        <v>9820</v>
      </c>
      <c r="G25" s="7">
        <f>IF(MROUND('T3'!G25*'T8'!F$2,1)&lt;1,"",MROUND('T3'!G25*'T8'!F$2,5))</f>
        <v>9920</v>
      </c>
      <c r="H25" s="7">
        <f>IF(MROUND('T3'!H25*'T8'!I$2,1)=0,"",MROUND('T3'!H25*'T8'!I$2,5))</f>
        <v>12710</v>
      </c>
      <c r="I25" s="7">
        <f>IF(MROUND('T3'!I25*'T8'!I$2,1)&lt;1,"",MROUND('T3'!I25*'T8'!I$2,5))</f>
        <v>13940</v>
      </c>
      <c r="J25" s="7">
        <f>IF(MROUND('T3'!J25*'T8'!I$2,1)&lt;1,"",MROUND('T3'!J25*'T8'!I$2,5))</f>
        <v>14085</v>
      </c>
      <c r="K25" s="7">
        <f>IF(MROUND('T3'!K25*'T8'!L$2,1)=0,"",MROUND('T3'!K25*'T8'!L$2,5))</f>
        <v>16575</v>
      </c>
      <c r="L25" s="7">
        <f>IF(MROUND('T3'!L25*'T7'!L$2,1)&lt;1,"",MROUND('T3'!L25*'T7'!L$2,5))</f>
        <v>17045</v>
      </c>
      <c r="M25" s="7">
        <f>IF(MROUND('T3'!M25*'T8'!L$2,1)&lt;1,"",MROUND('T3'!M25*'T8'!L$2,5))</f>
        <v>18290</v>
      </c>
      <c r="N25" s="7">
        <f>IF(MROUND('T3'!N25*'T8'!O$2,1)=0,"",MROUND('T3'!N25*'T8'!O$2,5))</f>
        <v>17485</v>
      </c>
      <c r="O25" s="7">
        <f>IF(MROUND('T3'!O25*'T8'!O$2,1)&lt;1,"",MROUND('T3'!O25*'T8'!O$2,5))</f>
        <v>19030</v>
      </c>
      <c r="P25" s="7">
        <f>IF(MROUND('T3'!P25*'T8'!O$2,1)&lt;1,"",MROUND('T3'!P25*'T8'!O$2,5))</f>
        <v>19225</v>
      </c>
      <c r="Q25" s="8">
        <f t="shared" si="2"/>
        <v>58570</v>
      </c>
      <c r="R25" s="7"/>
      <c r="S25" s="8">
        <f t="shared" si="1"/>
        <v>63050</v>
      </c>
      <c r="T25" s="8">
        <f t="shared" si="3"/>
        <v>64765</v>
      </c>
    </row>
    <row r="26" spans="1:20">
      <c r="A26">
        <v>2036</v>
      </c>
      <c r="B26" s="7">
        <f>IF(MROUND('T3'!B26*'T8'!C$2,1)=0,"",MROUND('T3'!B26*'T8'!C$2,5))</f>
        <v>2900</v>
      </c>
      <c r="C26" s="7">
        <f>IF(MROUND('T3'!C26*'T8'!C$2,1)&lt;1,"",MROUND('T3'!C26*'T8'!C$2,5))</f>
        <v>3230</v>
      </c>
      <c r="D26" s="7">
        <f>IF(MROUND('T3'!D26*'T8'!C$2,1)&lt;1,"",MROUND('T3'!D26*'T8'!C$2,5))</f>
        <v>3265</v>
      </c>
      <c r="E26" s="7">
        <f>IF(MROUND('T3'!E26*'T8'!F$2,1)=0,"",MROUND('T3'!E26*'T8'!F$2,5))</f>
        <v>8895</v>
      </c>
      <c r="F26" s="7">
        <f>IF(MROUND('T3'!F26*'T8'!F$2,1)&lt;1,"",MROUND('T3'!F26*'T8'!F$2,5))</f>
        <v>9860</v>
      </c>
      <c r="G26" s="7">
        <f>IF(MROUND('T3'!G26*'T8'!F$2,1)&lt;1,"",MROUND('T3'!G26*'T8'!F$2,5))</f>
        <v>9965</v>
      </c>
      <c r="H26" s="7">
        <f>IF(MROUND('T3'!H26*'T8'!I$2,1)=0,"",MROUND('T3'!H26*'T8'!I$2,5))</f>
        <v>12675</v>
      </c>
      <c r="I26" s="7">
        <f>IF(MROUND('T3'!I26*'T8'!I$2,1)&lt;1,"",MROUND('T3'!I26*'T8'!I$2,5))</f>
        <v>13980</v>
      </c>
      <c r="J26" s="7">
        <f>IF(MROUND('T3'!J26*'T8'!I$2,1)&lt;1,"",MROUND('T3'!J26*'T8'!I$2,5))</f>
        <v>14125</v>
      </c>
      <c r="K26" s="7">
        <f>IF(MROUND('T3'!K26*'T8'!L$2,1)=0,"",MROUND('T3'!K26*'T8'!L$2,5))</f>
        <v>16540</v>
      </c>
      <c r="L26" s="7">
        <f>IF(MROUND('T3'!L26*'T7'!L$2,1)&lt;1,"",MROUND('T3'!L26*'T7'!L$2,5))</f>
        <v>17080</v>
      </c>
      <c r="M26" s="7">
        <f>IF(MROUND('T3'!M26*'T8'!L$2,1)&lt;1,"",MROUND('T3'!M26*'T8'!L$2,5))</f>
        <v>18325</v>
      </c>
      <c r="N26" s="7">
        <f>IF(MROUND('T3'!N26*'T8'!O$2,1)=0,"",MROUND('T3'!N26*'T8'!O$2,5))</f>
        <v>17435</v>
      </c>
      <c r="O26" s="7">
        <f>IF(MROUND('T3'!O26*'T8'!O$2,1)&lt;1,"",MROUND('T3'!O26*'T8'!O$2,5))</f>
        <v>19050</v>
      </c>
      <c r="P26" s="7">
        <f>IF(MROUND('T3'!P26*'T8'!O$2,1)&lt;1,"",MROUND('T3'!P26*'T8'!O$2,5))</f>
        <v>19250</v>
      </c>
      <c r="Q26" s="8">
        <f t="shared" si="2"/>
        <v>58445</v>
      </c>
      <c r="R26" s="7"/>
      <c r="S26" s="8">
        <f t="shared" si="1"/>
        <v>63200</v>
      </c>
      <c r="T26" s="8">
        <f t="shared" si="3"/>
        <v>64930</v>
      </c>
    </row>
    <row r="27" spans="1:20">
      <c r="A27">
        <v>2037</v>
      </c>
      <c r="B27" s="7">
        <f>IF(MROUND('T3'!B27*'T8'!C$2,1)=0,"",MROUND('T3'!B27*'T8'!C$2,5))</f>
        <v>2910</v>
      </c>
      <c r="C27" s="7">
        <f>IF(MROUND('T3'!C27*'T8'!C$2,1)&lt;1,"",MROUND('T3'!C27*'T8'!C$2,5))</f>
        <v>3250</v>
      </c>
      <c r="D27" s="7">
        <f>IF(MROUND('T3'!D27*'T8'!C$2,1)&lt;1,"",MROUND('T3'!D27*'T8'!C$2,5))</f>
        <v>3285</v>
      </c>
      <c r="E27" s="7">
        <f>IF(MROUND('T3'!E27*'T8'!F$2,1)=0,"",MROUND('T3'!E27*'T8'!F$2,5))</f>
        <v>8890</v>
      </c>
      <c r="F27" s="7">
        <f>IF(MROUND('T3'!F27*'T8'!F$2,1)&lt;1,"",MROUND('T3'!F27*'T8'!F$2,5))</f>
        <v>9915</v>
      </c>
      <c r="G27" s="7">
        <f>IF(MROUND('T3'!G27*'T8'!F$2,1)&lt;1,"",MROUND('T3'!G27*'T8'!F$2,5))</f>
        <v>10020</v>
      </c>
      <c r="H27" s="7">
        <f>IF(MROUND('T3'!H27*'T8'!I$2,1)=0,"",MROUND('T3'!H27*'T8'!I$2,5))</f>
        <v>12670</v>
      </c>
      <c r="I27" s="7">
        <f>IF(MROUND('T3'!I27*'T8'!I$2,1)&lt;1,"",MROUND('T3'!I27*'T8'!I$2,5))</f>
        <v>14040</v>
      </c>
      <c r="J27" s="7">
        <f>IF(MROUND('T3'!J27*'T8'!I$2,1)&lt;1,"",MROUND('T3'!J27*'T8'!I$2,5))</f>
        <v>14185</v>
      </c>
      <c r="K27" s="7">
        <f>IF(MROUND('T3'!K27*'T8'!L$2,1)=0,"",MROUND('T3'!K27*'T8'!L$2,5))</f>
        <v>16495</v>
      </c>
      <c r="L27" s="7">
        <f>IF(MROUND('T3'!L27*'T7'!L$2,1)&lt;1,"",MROUND('T3'!L27*'T7'!L$2,5))</f>
        <v>17135</v>
      </c>
      <c r="M27" s="7">
        <f>IF(MROUND('T3'!M27*'T8'!L$2,1)&lt;1,"",MROUND('T3'!M27*'T8'!L$2,5))</f>
        <v>18385</v>
      </c>
      <c r="N27" s="7">
        <f>IF(MROUND('T3'!N27*'T8'!O$2,1)=0,"",MROUND('T3'!N27*'T8'!O$2,5))</f>
        <v>17420</v>
      </c>
      <c r="O27" s="7">
        <f>IF(MROUND('T3'!O27*'T8'!O$2,1)&lt;1,"",MROUND('T3'!O27*'T8'!O$2,5))</f>
        <v>19085</v>
      </c>
      <c r="P27" s="7">
        <f>IF(MROUND('T3'!P27*'T8'!O$2,1)&lt;1,"",MROUND('T3'!P27*'T8'!O$2,5))</f>
        <v>19285</v>
      </c>
      <c r="Q27" s="8">
        <f t="shared" si="2"/>
        <v>58385</v>
      </c>
      <c r="R27" s="7"/>
      <c r="S27" s="8">
        <f t="shared" si="1"/>
        <v>63425</v>
      </c>
      <c r="T27" s="8">
        <f t="shared" si="3"/>
        <v>65160</v>
      </c>
    </row>
    <row r="28" spans="1:20">
      <c r="A28">
        <v>2038</v>
      </c>
      <c r="B28" s="7">
        <f>IF(MROUND('T3'!B28*'T8'!C$2,1)=0,"",MROUND('T3'!B28*'T8'!C$2,5))</f>
        <v>2925</v>
      </c>
      <c r="C28" s="7">
        <f>IF(MROUND('T3'!C28*'T8'!C$2,1)&lt;1,"",MROUND('T3'!C28*'T8'!C$2,5))</f>
        <v>3275</v>
      </c>
      <c r="D28" s="7">
        <f>IF(MROUND('T3'!D28*'T8'!C$2,1)&lt;1,"",MROUND('T3'!D28*'T8'!C$2,5))</f>
        <v>3310</v>
      </c>
      <c r="E28" s="7">
        <f>IF(MROUND('T3'!E28*'T8'!F$2,1)=0,"",MROUND('T3'!E28*'T8'!F$2,5))</f>
        <v>8945</v>
      </c>
      <c r="F28" s="7">
        <f>IF(MROUND('T3'!F28*'T8'!F$2,1)&lt;1,"",MROUND('T3'!F28*'T8'!F$2,5))</f>
        <v>9980</v>
      </c>
      <c r="G28" s="7">
        <f>IF(MROUND('T3'!G28*'T8'!F$2,1)&lt;1,"",MROUND('T3'!G28*'T8'!F$2,5))</f>
        <v>10085</v>
      </c>
      <c r="H28" s="7">
        <f>IF(MROUND('T3'!H28*'T8'!I$2,1)=0,"",MROUND('T3'!H28*'T8'!I$2,5))</f>
        <v>12675</v>
      </c>
      <c r="I28" s="7">
        <f>IF(MROUND('T3'!I28*'T8'!I$2,1)&lt;1,"",MROUND('T3'!I28*'T8'!I$2,5))</f>
        <v>14120</v>
      </c>
      <c r="J28" s="7">
        <f>IF(MROUND('T3'!J28*'T8'!I$2,1)&lt;1,"",MROUND('T3'!J28*'T8'!I$2,5))</f>
        <v>14265</v>
      </c>
      <c r="K28" s="7">
        <f>IF(MROUND('T3'!K28*'T8'!L$2,1)=0,"",MROUND('T3'!K28*'T8'!L$2,5))</f>
        <v>16490</v>
      </c>
      <c r="L28" s="7">
        <f>IF(MROUND('T3'!L28*'T7'!L$2,1)&lt;1,"",MROUND('T3'!L28*'T7'!L$2,5))</f>
        <v>17205</v>
      </c>
      <c r="M28" s="7">
        <f>IF(MROUND('T3'!M28*'T8'!L$2,1)&lt;1,"",MROUND('T3'!M28*'T8'!L$2,5))</f>
        <v>18460</v>
      </c>
      <c r="N28" s="7">
        <f>IF(MROUND('T3'!N28*'T8'!O$2,1)=0,"",MROUND('T3'!N28*'T8'!O$2,5))</f>
        <v>17380</v>
      </c>
      <c r="O28" s="7">
        <f>IF(MROUND('T3'!O28*'T8'!O$2,1)&lt;1,"",MROUND('T3'!O28*'T8'!O$2,5))</f>
        <v>19145</v>
      </c>
      <c r="P28" s="7">
        <f>IF(MROUND('T3'!P28*'T8'!O$2,1)&lt;1,"",MROUND('T3'!P28*'T8'!O$2,5))</f>
        <v>19345</v>
      </c>
      <c r="Q28" s="8">
        <f t="shared" si="2"/>
        <v>58415</v>
      </c>
      <c r="R28" s="7"/>
      <c r="S28" s="8">
        <f t="shared" si="1"/>
        <v>63725</v>
      </c>
      <c r="T28" s="8">
        <f t="shared" si="3"/>
        <v>65465</v>
      </c>
    </row>
  </sheetData>
  <mergeCells count="6">
    <mergeCell ref="Q3:T3"/>
    <mergeCell ref="B3:D3"/>
    <mergeCell ref="E3:G3"/>
    <mergeCell ref="H3:J3"/>
    <mergeCell ref="K3:M3"/>
    <mergeCell ref="N3:P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91EDF-F653-4A3E-91D1-BAD24CB555F6}">
  <sheetPr>
    <tabColor theme="9" tint="0.79998168889431442"/>
  </sheetPr>
  <dimension ref="A1:AB37"/>
  <sheetViews>
    <sheetView topLeftCell="M1" workbookViewId="0">
      <selection activeCell="R15" sqref="R15"/>
    </sheetView>
  </sheetViews>
  <sheetFormatPr defaultColWidth="8.85546875" defaultRowHeight="14.65"/>
  <cols>
    <col min="20" max="20" width="10.42578125" bestFit="1" customWidth="1"/>
    <col min="21" max="25" width="9.140625" customWidth="1"/>
  </cols>
  <sheetData>
    <row r="1" spans="1:28">
      <c r="A1" s="1" t="s">
        <v>281</v>
      </c>
    </row>
    <row r="2" spans="1:28">
      <c r="A2" s="1" t="s">
        <v>278</v>
      </c>
      <c r="B2" s="2">
        <v>0.12647765497357039</v>
      </c>
      <c r="C2" s="2">
        <v>0.15217913867934008</v>
      </c>
      <c r="D2" s="2">
        <v>0.16240111679851094</v>
      </c>
      <c r="E2" s="2">
        <v>0.40803592531316474</v>
      </c>
      <c r="F2" s="2">
        <v>0.45197924269246748</v>
      </c>
      <c r="G2" s="2">
        <v>0.49757949691504511</v>
      </c>
      <c r="H2" s="2">
        <v>0.60728265817023208</v>
      </c>
      <c r="I2" s="2">
        <v>0.65084253979281892</v>
      </c>
      <c r="J2" s="2">
        <v>0.70433171183692378</v>
      </c>
      <c r="K2" s="2">
        <v>0.76683393070489847</v>
      </c>
      <c r="L2" s="2">
        <v>0.8564703006723805</v>
      </c>
      <c r="M2" s="2">
        <v>0.9094287680660702</v>
      </c>
      <c r="N2" s="2">
        <v>0.81915854528167342</v>
      </c>
      <c r="O2" s="2">
        <v>0.9055917114278188</v>
      </c>
      <c r="P2" s="2">
        <v>0.94811469857755704</v>
      </c>
    </row>
    <row r="3" spans="1:28">
      <c r="B3" s="177" t="s">
        <v>246</v>
      </c>
      <c r="C3" s="177"/>
      <c r="D3" s="177"/>
      <c r="E3" s="177" t="s">
        <v>247</v>
      </c>
      <c r="F3" s="177"/>
      <c r="G3" s="177"/>
      <c r="H3" s="177" t="s">
        <v>248</v>
      </c>
      <c r="I3" s="177"/>
      <c r="J3" s="177"/>
      <c r="K3" s="177" t="s">
        <v>249</v>
      </c>
      <c r="L3" s="177"/>
      <c r="M3" s="177"/>
      <c r="N3" s="177" t="s">
        <v>250</v>
      </c>
      <c r="O3" s="177"/>
      <c r="P3" s="177"/>
      <c r="Q3" s="177" t="s">
        <v>236</v>
      </c>
      <c r="R3" s="177"/>
      <c r="S3" s="177"/>
      <c r="T3" s="177"/>
      <c r="U3" s="177" t="s">
        <v>251</v>
      </c>
      <c r="V3" s="177"/>
      <c r="W3" s="177"/>
      <c r="X3" s="177"/>
      <c r="Y3" s="177" t="s">
        <v>252</v>
      </c>
      <c r="Z3" s="177"/>
      <c r="AA3" s="177"/>
      <c r="AB3" s="177"/>
    </row>
    <row r="4" spans="1:28">
      <c r="A4" t="s">
        <v>229</v>
      </c>
      <c r="B4" s="5" t="s">
        <v>253</v>
      </c>
      <c r="C4" s="5" t="s">
        <v>256</v>
      </c>
      <c r="D4" s="5" t="s">
        <v>254</v>
      </c>
      <c r="E4" s="5" t="s">
        <v>253</v>
      </c>
      <c r="F4" s="5" t="s">
        <v>256</v>
      </c>
      <c r="G4" s="5" t="s">
        <v>254</v>
      </c>
      <c r="H4" s="5" t="s">
        <v>253</v>
      </c>
      <c r="I4" s="5" t="s">
        <v>256</v>
      </c>
      <c r="J4" s="5" t="s">
        <v>254</v>
      </c>
      <c r="K4" s="5" t="s">
        <v>253</v>
      </c>
      <c r="L4" s="5" t="s">
        <v>256</v>
      </c>
      <c r="M4" s="5" t="s">
        <v>254</v>
      </c>
      <c r="N4" s="5" t="s">
        <v>253</v>
      </c>
      <c r="O4" s="5" t="s">
        <v>256</v>
      </c>
      <c r="P4" s="5" t="s">
        <v>254</v>
      </c>
      <c r="Q4" s="1" t="s">
        <v>253</v>
      </c>
      <c r="R4" s="1" t="s">
        <v>255</v>
      </c>
      <c r="S4" s="1" t="s">
        <v>256</v>
      </c>
      <c r="T4" s="1" t="s">
        <v>254</v>
      </c>
      <c r="U4" s="1" t="s">
        <v>253</v>
      </c>
      <c r="V4" s="1" t="s">
        <v>255</v>
      </c>
      <c r="W4" s="1" t="s">
        <v>256</v>
      </c>
      <c r="X4" s="1" t="s">
        <v>254</v>
      </c>
      <c r="Y4" s="1" t="s">
        <v>253</v>
      </c>
      <c r="Z4" s="1" t="s">
        <v>255</v>
      </c>
      <c r="AA4" s="1" t="s">
        <v>256</v>
      </c>
      <c r="AB4" s="1" t="s">
        <v>254</v>
      </c>
    </row>
    <row r="5" spans="1:28">
      <c r="A5">
        <v>2015</v>
      </c>
      <c r="B5" s="7" t="str">
        <f>IF(MROUND('T2'!B5*'T6'!$C$2,1)=0,"",MROUND('T2'!B5*'T6'!C$2,5))</f>
        <v/>
      </c>
      <c r="C5" s="7">
        <v>3382</v>
      </c>
      <c r="D5" s="7" t="str">
        <f>IF(MROUND('T2'!D5*'T6'!$C$2,1)&lt;1,"",MROUND('T2'!D5*'T6'!$C$2,5))</f>
        <v/>
      </c>
      <c r="E5" s="7" t="str">
        <f>IF(MROUND('T2'!E5*'T6'!F$2,1)=0,"",MROUND('T2'!E5*'T6'!F$2,5))</f>
        <v/>
      </c>
      <c r="F5" s="7">
        <v>8632</v>
      </c>
      <c r="G5" s="7" t="str">
        <f>IF(MROUND('T2'!G5*'T6'!$C$2,1)&lt;1,"",MROUND('T2'!G5*'T6'!$C$2,5))</f>
        <v/>
      </c>
      <c r="H5" s="7" t="str">
        <f>IF(MROUND('T2'!H5*'T6'!I$2,1)=0,"",MROUND('T2'!H5*'T6'!I$2,5))</f>
        <v/>
      </c>
      <c r="I5" s="7">
        <v>13342</v>
      </c>
      <c r="J5" s="7" t="str">
        <f>IF(MROUND('T2'!J5*'T6'!$C$2,1)&lt;1,"",MROUND('T2'!J5*'T6'!$C$2,5))</f>
        <v/>
      </c>
      <c r="K5" s="7"/>
      <c r="L5" s="7">
        <v>19543</v>
      </c>
      <c r="M5" s="7"/>
      <c r="N5" s="7"/>
      <c r="O5" s="7">
        <v>21050</v>
      </c>
      <c r="P5" s="7"/>
      <c r="Q5" s="8"/>
      <c r="R5" s="8">
        <f>SUM(C5,F5,I5,L5,O5)</f>
        <v>65949</v>
      </c>
      <c r="S5" s="8"/>
      <c r="T5" s="8"/>
      <c r="U5" s="7"/>
      <c r="V5" s="7">
        <f>SUM(C5,F5)</f>
        <v>12014</v>
      </c>
      <c r="W5" s="7"/>
      <c r="X5" s="7"/>
      <c r="Z5" s="22">
        <f>SUM(I5,L5,O5)</f>
        <v>53935</v>
      </c>
    </row>
    <row r="6" spans="1:28">
      <c r="A6">
        <v>2016</v>
      </c>
      <c r="B6" s="7" t="str">
        <f>IF(MROUND('T2'!B6*'T6'!$C$2,1)=0,"",MROUND('T2'!B6*'T6'!C$2,5))</f>
        <v/>
      </c>
      <c r="C6" s="7">
        <v>3126</v>
      </c>
      <c r="D6" s="7" t="str">
        <f>IF(MROUND('T2'!D6*'T6'!$C$2,1)&lt;1,"",MROUND('T2'!D6*'T6'!$C$2,5))</f>
        <v/>
      </c>
      <c r="E6" s="7" t="str">
        <f>IF(MROUND('T2'!E6*'T6'!F$2,1)=0,"",MROUND('T2'!E6*'T6'!F$2,5))</f>
        <v/>
      </c>
      <c r="F6" s="7">
        <v>9347</v>
      </c>
      <c r="G6" s="7" t="str">
        <f>IF(MROUND('T2'!G6*'T6'!$C$2,1)&lt;1,"",MROUND('T2'!G6*'T6'!$C$2,5))</f>
        <v/>
      </c>
      <c r="H6" s="7" t="str">
        <f>IF(MROUND('T2'!H6*'T6'!I$2,1)=0,"",MROUND('T2'!H6*'T6'!I$2,5))</f>
        <v/>
      </c>
      <c r="I6" s="7">
        <v>13603</v>
      </c>
      <c r="J6" s="7" t="str">
        <f>IF(MROUND('T2'!J6*'T6'!$C$2,1)&lt;1,"",MROUND('T2'!J6*'T6'!$C$2,5))</f>
        <v/>
      </c>
      <c r="K6" s="7"/>
      <c r="L6" s="7">
        <v>20047</v>
      </c>
      <c r="M6" s="7"/>
      <c r="N6" s="7"/>
      <c r="O6" s="7">
        <v>21220</v>
      </c>
      <c r="P6" s="7"/>
      <c r="Q6" s="8"/>
      <c r="R6" s="8">
        <f t="shared" ref="R6:R14" si="0">SUM(C6,F6,I6,L6,O6)</f>
        <v>67343</v>
      </c>
      <c r="S6" s="8"/>
      <c r="T6" s="8"/>
      <c r="U6" s="7"/>
      <c r="V6" s="7">
        <f t="shared" ref="V6:V14" si="1">SUM(C6,F6)</f>
        <v>12473</v>
      </c>
      <c r="W6" s="7"/>
      <c r="X6" s="7"/>
      <c r="Z6" s="22">
        <f t="shared" ref="Z6:Z14" si="2">SUM(I6,L6,O6)</f>
        <v>54870</v>
      </c>
    </row>
    <row r="7" spans="1:28">
      <c r="A7">
        <v>2017</v>
      </c>
      <c r="B7" s="7" t="str">
        <f>IF(MROUND('T2'!B7*'T6'!$C$2,1)=0,"",MROUND('T2'!B7*'T6'!C$2,5))</f>
        <v/>
      </c>
      <c r="C7" s="7">
        <v>3490</v>
      </c>
      <c r="D7" s="7" t="str">
        <f>IF(MROUND('T2'!D7*'T6'!$C$2,1)&lt;1,"",MROUND('T2'!D7*'T6'!$C$2,5))</f>
        <v/>
      </c>
      <c r="E7" s="7" t="str">
        <f>IF(MROUND('T2'!E7*'T6'!F$2,1)=0,"",MROUND('T2'!E7*'T6'!F$2,5))</f>
        <v/>
      </c>
      <c r="F7" s="7">
        <v>9261</v>
      </c>
      <c r="G7" s="7" t="str">
        <f>IF(MROUND('T2'!G7*'T6'!$C$2,1)&lt;1,"",MROUND('T2'!G7*'T6'!$C$2,5))</f>
        <v/>
      </c>
      <c r="H7" s="7" t="str">
        <f>IF(MROUND('T2'!H7*'T6'!I$2,1)=0,"",MROUND('T2'!H7*'T6'!I$2,5))</f>
        <v/>
      </c>
      <c r="I7" s="7">
        <v>14333</v>
      </c>
      <c r="J7" s="7" t="str">
        <f>IF(MROUND('T2'!J7*'T6'!$C$2,1)&lt;1,"",MROUND('T2'!J7*'T6'!$C$2,5))</f>
        <v/>
      </c>
      <c r="K7" s="7"/>
      <c r="L7" s="7">
        <v>19477</v>
      </c>
      <c r="M7" s="7"/>
      <c r="N7" s="7"/>
      <c r="O7" s="7">
        <v>21397</v>
      </c>
      <c r="P7" s="7"/>
      <c r="Q7" s="8"/>
      <c r="R7" s="8">
        <f t="shared" si="0"/>
        <v>67958</v>
      </c>
      <c r="S7" s="8"/>
      <c r="T7" s="8"/>
      <c r="U7" s="7"/>
      <c r="V7" s="7">
        <f t="shared" si="1"/>
        <v>12751</v>
      </c>
      <c r="W7" s="7"/>
      <c r="X7" s="7"/>
      <c r="Z7" s="22">
        <f t="shared" si="2"/>
        <v>55207</v>
      </c>
    </row>
    <row r="8" spans="1:28">
      <c r="A8">
        <v>2018</v>
      </c>
      <c r="B8" s="7" t="str">
        <f>IF(MROUND('T2'!B8*'T6'!$C$2,1)=0,"",MROUND('T2'!B8*'T6'!C$2,5))</f>
        <v/>
      </c>
      <c r="C8" s="7">
        <v>3111</v>
      </c>
      <c r="D8" s="7" t="str">
        <f>IF(MROUND('T2'!D8*'T6'!$C$2,1)&lt;1,"",MROUND('T2'!D8*'T6'!$C$2,5))</f>
        <v/>
      </c>
      <c r="E8" s="7" t="str">
        <f>IF(MROUND('T2'!E8*'T6'!F$2,1)=0,"",MROUND('T2'!E8*'T6'!F$2,5))</f>
        <v/>
      </c>
      <c r="F8" s="7">
        <v>9727</v>
      </c>
      <c r="G8" s="7" t="str">
        <f>IF(MROUND('T2'!G8*'T6'!$C$2,1)&lt;1,"",MROUND('T2'!G8*'T6'!$C$2,5))</f>
        <v/>
      </c>
      <c r="H8" s="7" t="str">
        <f>IF(MROUND('T2'!H8*'T6'!I$2,1)=0,"",MROUND('T2'!H8*'T6'!I$2,5))</f>
        <v/>
      </c>
      <c r="I8" s="7">
        <v>14107</v>
      </c>
      <c r="J8" s="7" t="str">
        <f>IF(MROUND('T2'!J8*'T6'!$C$2,1)&lt;1,"",MROUND('T2'!J8*'T6'!$C$2,5))</f>
        <v/>
      </c>
      <c r="K8" s="7"/>
      <c r="L8" s="7">
        <v>19821</v>
      </c>
      <c r="M8" s="7"/>
      <c r="N8" s="7"/>
      <c r="O8" s="7">
        <v>20744</v>
      </c>
      <c r="P8" s="7"/>
      <c r="Q8" s="8"/>
      <c r="R8" s="8">
        <f t="shared" si="0"/>
        <v>67510</v>
      </c>
      <c r="S8" s="8"/>
      <c r="T8" s="8"/>
      <c r="U8" s="7"/>
      <c r="V8" s="7">
        <f t="shared" si="1"/>
        <v>12838</v>
      </c>
      <c r="W8" s="7"/>
      <c r="X8" s="7"/>
      <c r="Z8" s="22">
        <f t="shared" si="2"/>
        <v>54672</v>
      </c>
    </row>
    <row r="9" spans="1:28">
      <c r="A9">
        <v>2019</v>
      </c>
      <c r="B9" s="7" t="str">
        <f>IF(MROUND('T2'!B9*'T6'!$C$2,1)=0,"",MROUND('T2'!B9*'T6'!C$2,5))</f>
        <v/>
      </c>
      <c r="C9" s="7">
        <v>3138</v>
      </c>
      <c r="D9" s="7" t="str">
        <f>IF(MROUND('T2'!D9*'T6'!$C$2,1)&lt;1,"",MROUND('T2'!D9*'T6'!$C$2,5))</f>
        <v/>
      </c>
      <c r="E9" s="7" t="str">
        <f>IF(MROUND('T2'!E9*'T6'!F$2,1)=0,"",MROUND('T2'!E9*'T6'!F$2,5))</f>
        <v/>
      </c>
      <c r="F9" s="7">
        <v>9531</v>
      </c>
      <c r="G9" s="7" t="str">
        <f>IF(MROUND('T2'!G9*'T6'!$C$2,1)&lt;1,"",MROUND('T2'!G9*'T6'!$C$2,5))</f>
        <v/>
      </c>
      <c r="H9" s="7" t="str">
        <f>IF(MROUND('T2'!H9*'T6'!I$2,1)=0,"",MROUND('T2'!H9*'T6'!I$2,5))</f>
        <v/>
      </c>
      <c r="I9" s="7">
        <v>14641</v>
      </c>
      <c r="J9" s="7" t="str">
        <f>IF(MROUND('T2'!J9*'T6'!$C$2,1)&lt;1,"",MROUND('T2'!J9*'T6'!$C$2,5))</f>
        <v/>
      </c>
      <c r="K9" s="7"/>
      <c r="L9" s="7">
        <v>19007</v>
      </c>
      <c r="M9" s="7"/>
      <c r="N9" s="7"/>
      <c r="O9" s="7">
        <v>20996</v>
      </c>
      <c r="P9" s="7"/>
      <c r="Q9" s="8"/>
      <c r="R9" s="8">
        <f t="shared" si="0"/>
        <v>67313</v>
      </c>
      <c r="S9" s="8"/>
      <c r="T9" s="8"/>
      <c r="U9" s="7"/>
      <c r="V9" s="7">
        <f t="shared" si="1"/>
        <v>12669</v>
      </c>
      <c r="W9" s="7"/>
      <c r="X9" s="7"/>
      <c r="Z9" s="22">
        <f t="shared" si="2"/>
        <v>54644</v>
      </c>
    </row>
    <row r="10" spans="1:28">
      <c r="A10">
        <v>2020</v>
      </c>
      <c r="B10" s="7" t="str">
        <f>IF(MROUND('T2'!B10*'T6'!$C$2,1)=0,"",MROUND('T2'!B10*'T6'!C$2,5))</f>
        <v/>
      </c>
      <c r="C10" s="7">
        <v>2632</v>
      </c>
      <c r="D10" s="7" t="str">
        <f>IF(MROUND('T2'!D10*'T6'!$C$2,1)&lt;1,"",MROUND('T2'!D10*'T6'!$C$2,5))</f>
        <v/>
      </c>
      <c r="E10" s="7" t="str">
        <f>IF(MROUND('T2'!E10*'T6'!F$2,1)=0,"",MROUND('T2'!E10*'T6'!F$2,5))</f>
        <v/>
      </c>
      <c r="F10" s="7">
        <v>8699</v>
      </c>
      <c r="G10" s="7" t="str">
        <f>IF(MROUND('T2'!G10*'T6'!$C$2,1)&lt;1,"",MROUND('T2'!G10*'T6'!$C$2,5))</f>
        <v/>
      </c>
      <c r="H10" s="7" t="str">
        <f>IF(MROUND('T2'!H10*'T6'!I$2,1)=0,"",MROUND('T2'!H10*'T6'!I$2,5))</f>
        <v/>
      </c>
      <c r="I10" s="7">
        <v>13175</v>
      </c>
      <c r="J10" s="7" t="str">
        <f>IF(MROUND('T2'!J10*'T6'!$C$2,1)&lt;1,"",MROUND('T2'!J10*'T6'!$C$2,5))</f>
        <v/>
      </c>
      <c r="K10" s="7"/>
      <c r="L10" s="7">
        <v>18522</v>
      </c>
      <c r="M10" s="7"/>
      <c r="N10" s="7"/>
      <c r="O10" s="7">
        <v>19617</v>
      </c>
      <c r="P10" s="7"/>
      <c r="Q10" s="8"/>
      <c r="R10" s="8">
        <f t="shared" si="0"/>
        <v>62645</v>
      </c>
      <c r="S10" s="8"/>
      <c r="T10" s="8"/>
      <c r="U10" s="7"/>
      <c r="V10" s="7">
        <f t="shared" si="1"/>
        <v>11331</v>
      </c>
      <c r="W10" s="7"/>
      <c r="X10" s="7"/>
      <c r="Z10" s="22">
        <f t="shared" si="2"/>
        <v>51314</v>
      </c>
    </row>
    <row r="11" spans="1:28">
      <c r="A11">
        <v>2021</v>
      </c>
      <c r="B11" s="7" t="str">
        <f>IF(MROUND('T2'!B11*'T6'!$C$2,1)=0,"",MROUND('T2'!B11*'T6'!C$2,5))</f>
        <v/>
      </c>
      <c r="C11" s="7">
        <v>3386</v>
      </c>
      <c r="D11" s="7" t="str">
        <f>IF(MROUND('T2'!D11*'T6'!$C$2,1)&lt;1,"",MROUND('T2'!D11*'T6'!$C$2,5))</f>
        <v/>
      </c>
      <c r="E11" s="7" t="str">
        <f>IF(MROUND('T2'!E11*'T6'!F$2,1)=0,"",MROUND('T2'!E11*'T6'!F$2,5))</f>
        <v/>
      </c>
      <c r="F11" s="7">
        <v>9942</v>
      </c>
      <c r="G11" s="7" t="str">
        <f>IF(MROUND('T2'!G11*'T6'!$C$2,1)&lt;1,"",MROUND('T2'!G11*'T6'!$C$2,5))</f>
        <v/>
      </c>
      <c r="H11" s="7" t="str">
        <f>IF(MROUND('T2'!H11*'T6'!I$2,1)=0,"",MROUND('T2'!H11*'T6'!I$2,5))</f>
        <v/>
      </c>
      <c r="I11" s="7">
        <v>13654</v>
      </c>
      <c r="J11" s="7" t="str">
        <f>IF(MROUND('T2'!J11*'T6'!$C$2,1)&lt;1,"",MROUND('T2'!J11*'T6'!$C$2,5))</f>
        <v/>
      </c>
      <c r="K11" s="7"/>
      <c r="L11" s="7">
        <v>17563</v>
      </c>
      <c r="M11" s="7"/>
      <c r="N11" s="7"/>
      <c r="O11" s="7">
        <v>19626</v>
      </c>
      <c r="P11" s="7"/>
      <c r="Q11" s="8"/>
      <c r="R11" s="8">
        <f t="shared" si="0"/>
        <v>64171</v>
      </c>
      <c r="S11" s="8"/>
      <c r="T11" s="8"/>
      <c r="U11" s="7"/>
      <c r="V11" s="7">
        <f t="shared" si="1"/>
        <v>13328</v>
      </c>
      <c r="W11" s="7"/>
      <c r="X11" s="7"/>
      <c r="Z11" s="22">
        <f t="shared" si="2"/>
        <v>50843</v>
      </c>
    </row>
    <row r="12" spans="1:28">
      <c r="A12">
        <v>2022</v>
      </c>
      <c r="B12" s="7" t="str">
        <f>IF(MROUND('T2'!B12*'T6'!$C$2,1)=0,"",MROUND('T2'!B12*'T6'!C$2,5))</f>
        <v/>
      </c>
      <c r="C12" s="7">
        <v>3226</v>
      </c>
      <c r="D12" s="7" t="str">
        <f>IF(MROUND('T2'!D12*'T6'!$C$2,1)&lt;1,"",MROUND('T2'!D12*'T6'!$C$2,5))</f>
        <v/>
      </c>
      <c r="E12" s="7" t="str">
        <f>IF(MROUND('T2'!E12*'T6'!F$2,1)=0,"",MROUND('T2'!E12*'T6'!F$2,5))</f>
        <v/>
      </c>
      <c r="F12" s="7">
        <v>9542</v>
      </c>
      <c r="G12" s="7" t="str">
        <f>IF(MROUND('T2'!G12*'T6'!$C$2,1)&lt;1,"",MROUND('T2'!G12*'T6'!$C$2,5))</f>
        <v/>
      </c>
      <c r="H12" s="7" t="str">
        <f>IF(MROUND('T2'!H12*'T6'!I$2,1)=0,"",MROUND('T2'!H12*'T6'!I$2,5))</f>
        <v/>
      </c>
      <c r="I12" s="7">
        <v>12891</v>
      </c>
      <c r="J12" s="7" t="str">
        <f>IF(MROUND('T2'!J12*'T6'!$C$2,1)&lt;1,"",MROUND('T2'!J12*'T6'!$C$2,5))</f>
        <v/>
      </c>
      <c r="K12" s="7"/>
      <c r="L12" s="7">
        <v>16046</v>
      </c>
      <c r="M12" s="7"/>
      <c r="N12" s="7"/>
      <c r="O12" s="7">
        <v>17231</v>
      </c>
      <c r="P12" s="7"/>
      <c r="Q12" s="8"/>
      <c r="R12" s="8">
        <f t="shared" si="0"/>
        <v>58936</v>
      </c>
      <c r="S12" s="8"/>
      <c r="T12" s="8"/>
      <c r="U12" s="7"/>
      <c r="V12" s="7">
        <f t="shared" si="1"/>
        <v>12768</v>
      </c>
      <c r="W12" s="7"/>
      <c r="X12" s="7"/>
      <c r="Z12" s="22">
        <f t="shared" si="2"/>
        <v>46168</v>
      </c>
    </row>
    <row r="13" spans="1:28">
      <c r="A13">
        <v>2023</v>
      </c>
      <c r="B13" s="7" t="str">
        <f>IF(MROUND('T2'!B13*'T6'!$C$2,1)=0,"",MROUND('T2'!B13*'T6'!C$2,5))</f>
        <v/>
      </c>
      <c r="C13" s="7">
        <v>3063</v>
      </c>
      <c r="D13" s="7" t="str">
        <f>IF(MROUND('T2'!D13*'T6'!$C$2,1)&lt;1,"",MROUND('T2'!D13*'T6'!$C$2,5))</f>
        <v/>
      </c>
      <c r="E13" s="7" t="str">
        <f>IF(MROUND('T2'!E13*'T6'!F$2,1)=0,"",MROUND('T2'!E13*'T6'!F$2,5))</f>
        <v/>
      </c>
      <c r="F13" s="7">
        <v>10484</v>
      </c>
      <c r="G13" s="7" t="str">
        <f>IF(MROUND('T2'!G13*'T6'!$C$2,1)&lt;1,"",MROUND('T2'!G13*'T6'!$C$2,5))</f>
        <v/>
      </c>
      <c r="H13" s="7" t="str">
        <f>IF(MROUND('T2'!H13*'T6'!I$2,1)=0,"",MROUND('T2'!H13*'T6'!I$2,5))</f>
        <v/>
      </c>
      <c r="I13" s="7">
        <v>14290</v>
      </c>
      <c r="J13" s="7" t="str">
        <f>IF(MROUND('T2'!J13*'T6'!$C$2,1)&lt;1,"",MROUND('T2'!J13*'T6'!$C$2,5))</f>
        <v/>
      </c>
      <c r="K13" s="7"/>
      <c r="L13" s="7">
        <v>17651</v>
      </c>
      <c r="M13" s="7"/>
      <c r="N13" s="7"/>
      <c r="O13" s="7">
        <v>18366</v>
      </c>
      <c r="P13" s="7"/>
      <c r="Q13" s="8"/>
      <c r="R13" s="8">
        <f t="shared" si="0"/>
        <v>63854</v>
      </c>
      <c r="S13" s="8"/>
      <c r="T13" s="8"/>
      <c r="U13" s="7"/>
      <c r="V13" s="7">
        <f t="shared" si="1"/>
        <v>13547</v>
      </c>
      <c r="W13" s="7"/>
      <c r="X13" s="7"/>
      <c r="Z13" s="22">
        <f t="shared" si="2"/>
        <v>50307</v>
      </c>
    </row>
    <row r="14" spans="1:28">
      <c r="A14">
        <v>2024</v>
      </c>
      <c r="B14" s="7" t="str">
        <f>IF(MROUND('T2'!B14*'T6'!$C$2,1)=0,"",MROUND('T2'!B14*'T6'!C$2,5))</f>
        <v/>
      </c>
      <c r="C14" s="7">
        <v>3141</v>
      </c>
      <c r="D14" s="7" t="str">
        <f>IF(MROUND('T2'!D14*'T6'!$C$2,1)&lt;1,"",MROUND('T2'!D14*'T6'!$C$2,5))</f>
        <v/>
      </c>
      <c r="E14" s="7" t="str">
        <f>IF(MROUND('T2'!E14*'T6'!F$2,1)=0,"",MROUND('T2'!E14*'T6'!F$2,5))</f>
        <v/>
      </c>
      <c r="F14" s="7">
        <v>9703</v>
      </c>
      <c r="G14" s="7" t="str">
        <f>IF(MROUND('T2'!G14*'T6'!$C$2,1)&lt;1,"",MROUND('T2'!G14*'T6'!$C$2,5))</f>
        <v/>
      </c>
      <c r="H14" s="7" t="str">
        <f>IF(MROUND('T2'!H14*'T6'!I$2,1)=0,"",MROUND('T2'!H14*'T6'!I$2,5))</f>
        <v/>
      </c>
      <c r="I14" s="7">
        <v>15203</v>
      </c>
      <c r="J14" s="7" t="str">
        <f>IF(MROUND('T2'!J14*'T6'!$C$2,1)&lt;1,"",MROUND('T2'!J14*'T6'!$C$2,5))</f>
        <v/>
      </c>
      <c r="K14" s="7"/>
      <c r="L14" s="7">
        <v>18447</v>
      </c>
      <c r="M14" s="7"/>
      <c r="N14" s="7"/>
      <c r="O14" s="7">
        <v>19561</v>
      </c>
      <c r="P14" s="7"/>
      <c r="Q14" s="8">
        <f>R14</f>
        <v>66055</v>
      </c>
      <c r="R14" s="8">
        <f t="shared" si="0"/>
        <v>66055</v>
      </c>
      <c r="S14" s="8">
        <f>R14</f>
        <v>66055</v>
      </c>
      <c r="T14" s="8">
        <f>R14</f>
        <v>66055</v>
      </c>
      <c r="U14" s="7">
        <v>37534</v>
      </c>
      <c r="V14" s="7">
        <f t="shared" si="1"/>
        <v>12844</v>
      </c>
      <c r="W14" s="7">
        <v>37534</v>
      </c>
      <c r="X14" s="7">
        <v>37534</v>
      </c>
      <c r="Y14" s="7">
        <v>153829</v>
      </c>
      <c r="Z14" s="22">
        <f t="shared" si="2"/>
        <v>53211</v>
      </c>
      <c r="AA14" s="22">
        <v>153829</v>
      </c>
      <c r="AB14" s="22">
        <v>153829</v>
      </c>
    </row>
    <row r="15" spans="1:28">
      <c r="A15">
        <v>2025</v>
      </c>
      <c r="B15" s="7">
        <f>IF(MROUND('T3'!B15*B$2,1)=0,"",MROUND('T3'!B15*'T15'!B$2,5))</f>
        <v>2395</v>
      </c>
      <c r="C15" s="7">
        <f>IF(MROUND('T3'!C15*'T15'!C$2,1)&lt;1,"",MROUND('T3'!C15*'T15'!C$2,5))</f>
        <v>2985</v>
      </c>
      <c r="D15" s="7">
        <f>IF(MROUND('T3'!D15*'T15'!D$2,1)&lt;1,"",MROUND('T3'!D15*'T15'!D$2,5))</f>
        <v>3220</v>
      </c>
      <c r="E15" s="7">
        <f>IF(MROUND('T3'!E15*'T15'!E$2,1)=0,"",MROUND('T3'!E15*'T15'!E$2,5))</f>
        <v>7725</v>
      </c>
      <c r="F15" s="7">
        <f>IF(MROUND('T3'!F15*'T15'!F$2,1)&lt;1,"",MROUND('T3'!F15*'T15'!F$2,5))</f>
        <v>8700</v>
      </c>
      <c r="G15" s="7">
        <f>IF(MROUND('T3'!G15*'T15'!G$2,1)&lt;1,"",MROUND('T3'!G15*'T15'!G$2,5))</f>
        <v>9680</v>
      </c>
      <c r="H15" s="7">
        <f>IF(MROUND('T3'!H15*'T15'!H$2,1)=0,"",MROUND('T3'!H15*'T15'!H$2,5))</f>
        <v>11570</v>
      </c>
      <c r="I15" s="7">
        <f>IF(MROUND('T3'!I15*'T15'!I$2,1)&lt;1,"",MROUND('T3'!I15*'T15'!I$2,5))</f>
        <v>12605</v>
      </c>
      <c r="J15" s="7">
        <f>IF(MROUND('T3'!J15*'T15'!J$2,1)&lt;1,"",MROUND('T3'!J15*'T15'!J$2,5))</f>
        <v>13785</v>
      </c>
      <c r="K15" s="7">
        <f>IF(MROUND('T3'!K15*'T15'!K$2,1)=0,"",MROUND('T3'!K15*'T15'!K$2,5))</f>
        <v>15780</v>
      </c>
      <c r="L15" s="7">
        <f>IF(MROUND('T3'!L15*'T15'!L$2,1)&lt;1,"",MROUND('T3'!L15*'T15'!L$2,5))</f>
        <v>17915</v>
      </c>
      <c r="M15" s="7">
        <f>IF(MROUND('T3'!M15*'T15'!M$2,1)&lt;1,"",MROUND('T3'!M15*'T15'!M$2,5))</f>
        <v>19225</v>
      </c>
      <c r="N15" s="7">
        <f>IF(MROUND('T3'!N15*'T15'!N$2,1)=0,"",MROUND('T3'!N15*'T15'!N$2,5))</f>
        <v>17100</v>
      </c>
      <c r="O15" s="7">
        <f>IF(MROUND('T3'!O15*'T15'!O$2,1)&lt;1,"",MROUND('T3'!O15*'T15'!O$2,5))</f>
        <v>19225</v>
      </c>
      <c r="P15" s="7">
        <f>IF(MROUND('T3'!P15*'T15'!P$2,1)&lt;1,"",MROUND('T3'!P15*'T15'!P$2,5))</f>
        <v>20335</v>
      </c>
      <c r="Q15" s="8">
        <f>SUM(B15,E15,H15,K15,N15)</f>
        <v>54570</v>
      </c>
      <c r="R15" s="8"/>
      <c r="S15" s="8">
        <f>SUM(C15,F15,I15,L15,O15)</f>
        <v>61430</v>
      </c>
      <c r="T15" s="8">
        <f>SUM(D15,G15,J15,M15,P15)</f>
        <v>66245</v>
      </c>
      <c r="U15" s="22">
        <f>SUM(B15,E15)</f>
        <v>10120</v>
      </c>
      <c r="W15" s="22">
        <f>SUM(C15,F15)</f>
        <v>11685</v>
      </c>
      <c r="X15" s="22">
        <f>SUM(D15,G15)</f>
        <v>12900</v>
      </c>
      <c r="Y15" s="7">
        <f>SUM(H15,K15,N15)</f>
        <v>44450</v>
      </c>
      <c r="Z15" s="22"/>
      <c r="AA15" s="22">
        <f>SUM(I15,L15,O15)</f>
        <v>49745</v>
      </c>
      <c r="AB15" s="22">
        <f>SUM(J15,M15,P15)</f>
        <v>53345</v>
      </c>
    </row>
    <row r="16" spans="1:28">
      <c r="A16">
        <v>2026</v>
      </c>
      <c r="B16" s="7">
        <f>IF(MROUND('T3'!B16*B$2,1)=0,"",MROUND('T3'!B16*'T15'!B$2,5))</f>
        <v>2365</v>
      </c>
      <c r="C16" s="7">
        <f>IF(MROUND('T3'!C16*'T15'!C$2,1)&lt;1,"",MROUND('T3'!C16*'T15'!C$2,5))</f>
        <v>2985</v>
      </c>
      <c r="D16" s="7">
        <f>IF(MROUND('T3'!D16*'T15'!D$2,1)&lt;1,"",MROUND('T3'!D16*'T15'!D$2,5))</f>
        <v>3220</v>
      </c>
      <c r="E16" s="7">
        <f>IF(MROUND('T3'!E16*'T15'!E$2,1)=0,"",MROUND('T3'!E16*'T15'!E$2,5))</f>
        <v>7690</v>
      </c>
      <c r="F16" s="7">
        <f>IF(MROUND('T3'!F16*'T15'!F$2,1)&lt;1,"",MROUND('T3'!F16*'T15'!F$2,5))</f>
        <v>8865</v>
      </c>
      <c r="G16" s="7">
        <f>IF(MROUND('T3'!G16*'T15'!G$2,1)&lt;1,"",MROUND('T3'!G16*'T15'!G$2,5))</f>
        <v>9865</v>
      </c>
      <c r="H16" s="7">
        <f>IF(MROUND('T3'!H16*'T15'!H$2,1)=0,"",MROUND('T3'!H16*'T15'!H$2,5))</f>
        <v>11515</v>
      </c>
      <c r="I16" s="7">
        <f>IF(MROUND('T3'!I16*'T15'!I$2,1)&lt;1,"",MROUND('T3'!I16*'T15'!I$2,5))</f>
        <v>12580</v>
      </c>
      <c r="J16" s="7">
        <f>IF(MROUND('T3'!J16*'T15'!J$2,1)&lt;1,"",MROUND('T3'!J16*'T15'!J$2,5))</f>
        <v>13755</v>
      </c>
      <c r="K16" s="7">
        <f>IF(MROUND('T3'!K16*'T15'!K$2,1)=0,"",MROUND('T3'!K16*'T15'!K$2,5))</f>
        <v>14650</v>
      </c>
      <c r="L16" s="7">
        <f>IF(MROUND('T3'!L16*'T15'!L$2,1)&lt;1,"",MROUND('T3'!L16*'T15'!L$2,5))</f>
        <v>16680</v>
      </c>
      <c r="M16" s="7">
        <f>IF(MROUND('T3'!M16*'T15'!M$2,1)&lt;1,"",MROUND('T3'!M16*'T15'!M$2,5))</f>
        <v>17895</v>
      </c>
      <c r="N16" s="7">
        <f>IF(MROUND('T3'!N16*'T15'!N$2,1)=0,"",MROUND('T3'!N16*'T15'!N$2,5))</f>
        <v>16920</v>
      </c>
      <c r="O16" s="7">
        <f>IF(MROUND('T3'!O16*'T15'!O$2,1)&lt;1,"",MROUND('T3'!O16*'T15'!O$2,5))</f>
        <v>19075</v>
      </c>
      <c r="P16" s="7">
        <f>IF(MROUND('T3'!P16*'T15'!P$2,1)&lt;1,"",MROUND('T3'!P16*'T15'!P$2,5))</f>
        <v>20175</v>
      </c>
      <c r="Q16" s="8">
        <f t="shared" ref="Q16:Q28" si="3">SUM(B16,E16,H16,K16,N16)</f>
        <v>53140</v>
      </c>
      <c r="R16" s="7"/>
      <c r="S16" s="8">
        <f t="shared" ref="S16:S28" si="4">SUM(C16,F16,I16,L16,O16)</f>
        <v>60185</v>
      </c>
      <c r="T16" s="8">
        <f t="shared" ref="T16:T28" si="5">SUM(D16,G16,J16,M16,P16)</f>
        <v>64910</v>
      </c>
      <c r="U16" s="22">
        <f>SUM(B16,E16)</f>
        <v>10055</v>
      </c>
      <c r="W16" s="22">
        <f>SUM(C16,F16)</f>
        <v>11850</v>
      </c>
      <c r="X16" s="22">
        <f t="shared" ref="X16:X28" si="6">SUM(D16,G16)</f>
        <v>13085</v>
      </c>
      <c r="Y16" s="7">
        <f t="shared" ref="Y16:Y28" si="7">SUM(H16,K16,N16)</f>
        <v>43085</v>
      </c>
      <c r="Z16" s="22"/>
      <c r="AA16" s="22">
        <f t="shared" ref="AA16:AA28" si="8">SUM(I16,L16,O16)</f>
        <v>48335</v>
      </c>
      <c r="AB16" s="22">
        <f t="shared" ref="AB16:AB28" si="9">SUM(J16,M16,P16)</f>
        <v>51825</v>
      </c>
    </row>
    <row r="17" spans="1:28">
      <c r="A17">
        <v>2027</v>
      </c>
      <c r="B17" s="7">
        <f>IF(MROUND('T3'!B17*B$2,1)=0,"",MROUND('T3'!B17*'T15'!B$2,5))</f>
        <v>2340</v>
      </c>
      <c r="C17" s="7">
        <f>IF(MROUND('T3'!C17*'T15'!C$2,1)&lt;1,"",MROUND('T3'!C17*'T15'!C$2,5))</f>
        <v>2985</v>
      </c>
      <c r="D17" s="7">
        <f>IF(MROUND('T3'!D17*'T15'!D$2,1)&lt;1,"",MROUND('T3'!D17*'T15'!D$2,5))</f>
        <v>3220</v>
      </c>
      <c r="E17" s="7">
        <f>IF(MROUND('T3'!E17*'T15'!E$2,1)=0,"",MROUND('T3'!E17*'T15'!E$2,5))</f>
        <v>7630</v>
      </c>
      <c r="F17" s="7">
        <f>IF(MROUND('T3'!F17*'T15'!F$2,1)&lt;1,"",MROUND('T3'!F17*'T15'!F$2,5))</f>
        <v>8875</v>
      </c>
      <c r="G17" s="7">
        <f>IF(MROUND('T3'!G17*'T15'!G$2,1)&lt;1,"",MROUND('T3'!G17*'T15'!G$2,5))</f>
        <v>9870</v>
      </c>
      <c r="H17" s="7">
        <f>IF(MROUND('T3'!H17*'T15'!H$2,1)=0,"",MROUND('T3'!H17*'T15'!H$2,5))</f>
        <v>11490</v>
      </c>
      <c r="I17" s="7">
        <f>IF(MROUND('T3'!I17*'T15'!I$2,1)&lt;1,"",MROUND('T3'!I17*'T15'!I$2,5))</f>
        <v>12825</v>
      </c>
      <c r="J17" s="7">
        <f>IF(MROUND('T3'!J17*'T15'!J$2,1)&lt;1,"",MROUND('T3'!J17*'T15'!J$2,5))</f>
        <v>14025</v>
      </c>
      <c r="K17" s="7">
        <f>IF(MROUND('T3'!K17*'T15'!K$2,1)=0,"",MROUND('T3'!K17*'T15'!K$2,5))</f>
        <v>14590</v>
      </c>
      <c r="L17" s="7">
        <f>IF(MROUND('T3'!L17*'T15'!L$2,1)&lt;1,"",MROUND('T3'!L17*'T15'!L$2,5))</f>
        <v>16655</v>
      </c>
      <c r="M17" s="7">
        <f>IF(MROUND('T3'!M17*'T15'!M$2,1)&lt;1,"",MROUND('T3'!M17*'T15'!M$2,5))</f>
        <v>17870</v>
      </c>
      <c r="N17" s="7">
        <f>IF(MROUND('T3'!N17*'T15'!N$2,1)=0,"",MROUND('T3'!N17*'T15'!N$2,5))</f>
        <v>15715</v>
      </c>
      <c r="O17" s="7">
        <f>IF(MROUND('T3'!O17*'T15'!O$2,1)&lt;1,"",MROUND('T3'!O17*'T15'!O$2,5))</f>
        <v>17775</v>
      </c>
      <c r="P17" s="7">
        <f>IF(MROUND('T3'!P17*'T15'!P$2,1)&lt;1,"",MROUND('T3'!P17*'T15'!P$2,5))</f>
        <v>18805</v>
      </c>
      <c r="Q17" s="8">
        <f t="shared" si="3"/>
        <v>51765</v>
      </c>
      <c r="R17" s="7"/>
      <c r="S17" s="8">
        <f t="shared" si="4"/>
        <v>59115</v>
      </c>
      <c r="T17" s="8">
        <f t="shared" si="5"/>
        <v>63790</v>
      </c>
      <c r="U17" s="22">
        <f t="shared" ref="U17:U28" si="10">SUM(B17,E17)</f>
        <v>9970</v>
      </c>
      <c r="W17" s="22">
        <f t="shared" ref="W17:W28" si="11">SUM(C17,F17)</f>
        <v>11860</v>
      </c>
      <c r="X17" s="22">
        <f t="shared" si="6"/>
        <v>13090</v>
      </c>
      <c r="Y17" s="7">
        <f t="shared" si="7"/>
        <v>41795</v>
      </c>
      <c r="Z17" s="22"/>
      <c r="AA17" s="22">
        <f t="shared" si="8"/>
        <v>47255</v>
      </c>
      <c r="AB17" s="22">
        <f t="shared" si="9"/>
        <v>50700</v>
      </c>
    </row>
    <row r="18" spans="1:28">
      <c r="A18">
        <v>2028</v>
      </c>
      <c r="B18" s="7">
        <f>IF(MROUND('T3'!B18*B$2,1)=0,"",MROUND('T3'!B18*'T15'!B$2,5))</f>
        <v>2325</v>
      </c>
      <c r="C18" s="7">
        <f>IF(MROUND('T3'!C18*'T15'!C$2,1)&lt;1,"",MROUND('T3'!C18*'T15'!C$2,5))</f>
        <v>2985</v>
      </c>
      <c r="D18" s="7">
        <f>IF(MROUND('T3'!D18*'T15'!D$2,1)&lt;1,"",MROUND('T3'!D18*'T15'!D$2,5))</f>
        <v>3220</v>
      </c>
      <c r="E18" s="7">
        <f>IF(MROUND('T3'!E18*'T15'!E$2,1)=0,"",MROUND('T3'!E18*'T15'!E$2,5))</f>
        <v>7545</v>
      </c>
      <c r="F18" s="7">
        <f>IF(MROUND('T3'!F18*'T15'!F$2,1)&lt;1,"",MROUND('T3'!F18*'T15'!F$2,5))</f>
        <v>8875</v>
      </c>
      <c r="G18" s="7">
        <f>IF(MROUND('T3'!G18*'T15'!G$2,1)&lt;1,"",MROUND('T3'!G18*'T15'!G$2,5))</f>
        <v>9870</v>
      </c>
      <c r="H18" s="7">
        <f>IF(MROUND('T3'!H18*'T15'!H$2,1)=0,"",MROUND('T3'!H18*'T15'!H$2,5))</f>
        <v>11410</v>
      </c>
      <c r="I18" s="7">
        <f>IF(MROUND('T3'!I18*'T15'!I$2,1)&lt;1,"",MROUND('T3'!I18*'T15'!I$2,5))</f>
        <v>12840</v>
      </c>
      <c r="J18" s="7">
        <f>IF(MROUND('T3'!J18*'T15'!J$2,1)&lt;1,"",MROUND('T3'!J18*'T15'!J$2,5))</f>
        <v>14040</v>
      </c>
      <c r="K18" s="7">
        <f>IF(MROUND('T3'!K18*'T15'!K$2,1)=0,"",MROUND('T3'!K18*'T15'!K$2,5))</f>
        <v>14595</v>
      </c>
      <c r="L18" s="7">
        <f>IF(MROUND('T3'!L18*'T15'!L$2,1)&lt;1,"",MROUND('T3'!L18*'T15'!L$2,5))</f>
        <v>16990</v>
      </c>
      <c r="M18" s="7">
        <f>IF(MROUND('T3'!M18*'T15'!M$2,1)&lt;1,"",MROUND('T3'!M18*'T15'!M$2,5))</f>
        <v>18230</v>
      </c>
      <c r="N18" s="7">
        <f>IF(MROUND('T3'!N18*'T15'!N$2,1)=0,"",MROUND('T3'!N18*'T15'!N$2,5))</f>
        <v>15670</v>
      </c>
      <c r="O18" s="7">
        <f>IF(MROUND('T3'!O18*'T15'!O$2,1)&lt;1,"",MROUND('T3'!O18*'T15'!O$2,5))</f>
        <v>17760</v>
      </c>
      <c r="P18" s="7">
        <f>IF(MROUND('T3'!P18*'T15'!P$2,1)&lt;1,"",MROUND('T3'!P18*'T15'!P$2,5))</f>
        <v>18790</v>
      </c>
      <c r="Q18" s="8">
        <f t="shared" si="3"/>
        <v>51545</v>
      </c>
      <c r="R18" s="7"/>
      <c r="S18" s="8">
        <f t="shared" si="4"/>
        <v>59450</v>
      </c>
      <c r="T18" s="8">
        <f t="shared" si="5"/>
        <v>64150</v>
      </c>
      <c r="U18" s="22">
        <f t="shared" si="10"/>
        <v>9870</v>
      </c>
      <c r="W18" s="22">
        <f t="shared" si="11"/>
        <v>11860</v>
      </c>
      <c r="X18" s="22">
        <f t="shared" si="6"/>
        <v>13090</v>
      </c>
      <c r="Y18" s="7">
        <f t="shared" si="7"/>
        <v>41675</v>
      </c>
      <c r="Z18" s="22"/>
      <c r="AA18" s="22">
        <f t="shared" si="8"/>
        <v>47590</v>
      </c>
      <c r="AB18" s="22">
        <f t="shared" si="9"/>
        <v>51060</v>
      </c>
    </row>
    <row r="19" spans="1:28">
      <c r="A19">
        <v>2029</v>
      </c>
      <c r="B19" s="7">
        <f>IF(MROUND('T3'!B19*B$2,1)=0,"",MROUND('T3'!B19*'T15'!B$2,5))</f>
        <v>2305</v>
      </c>
      <c r="C19" s="7">
        <f>IF(MROUND('T3'!C19*'T15'!C$2,1)&lt;1,"",MROUND('T3'!C19*'T15'!C$2,5))</f>
        <v>2985</v>
      </c>
      <c r="D19" s="7">
        <f>IF(MROUND('T3'!D19*'T15'!D$2,1)&lt;1,"",MROUND('T3'!D19*'T15'!D$2,5))</f>
        <v>3215</v>
      </c>
      <c r="E19" s="7">
        <f>IF(MROUND('T3'!E19*'T15'!E$2,1)=0,"",MROUND('T3'!E19*'T15'!E$2,5))</f>
        <v>7495</v>
      </c>
      <c r="F19" s="7">
        <f>IF(MROUND('T3'!F19*'T15'!F$2,1)&lt;1,"",MROUND('T3'!F19*'T15'!F$2,5))</f>
        <v>8875</v>
      </c>
      <c r="G19" s="7">
        <f>IF(MROUND('T3'!G19*'T15'!G$2,1)&lt;1,"",MROUND('T3'!G19*'T15'!G$2,5))</f>
        <v>9870</v>
      </c>
      <c r="H19" s="7">
        <f>IF(MROUND('T3'!H19*'T15'!H$2,1)=0,"",MROUND('T3'!H19*'T15'!H$2,5))</f>
        <v>11305</v>
      </c>
      <c r="I19" s="7">
        <f>IF(MROUND('T3'!I19*'T15'!I$2,1)&lt;1,"",MROUND('T3'!I19*'T15'!I$2,5))</f>
        <v>12845</v>
      </c>
      <c r="J19" s="7">
        <f>IF(MROUND('T3'!J19*'T15'!J$2,1)&lt;1,"",MROUND('T3'!J19*'T15'!J$2,5))</f>
        <v>14050</v>
      </c>
      <c r="K19" s="7">
        <f>IF(MROUND('T3'!K19*'T15'!K$2,1)=0,"",MROUND('T3'!K19*'T15'!K$2,5))</f>
        <v>14500</v>
      </c>
      <c r="L19" s="7">
        <f>IF(MROUND('T3'!L19*'T15'!L$2,1)&lt;1,"",MROUND('T3'!L19*'T15'!L$2,5))</f>
        <v>17015</v>
      </c>
      <c r="M19" s="7">
        <f>IF(MROUND('T3'!M19*'T15'!M$2,1)&lt;1,"",MROUND('T3'!M19*'T15'!M$2,5))</f>
        <v>18255</v>
      </c>
      <c r="N19" s="7">
        <f>IF(MROUND('T3'!N19*'T15'!N$2,1)=0,"",MROUND('T3'!N19*'T15'!N$2,5))</f>
        <v>15720</v>
      </c>
      <c r="O19" s="7">
        <f>IF(MROUND('T3'!O19*'T15'!O$2,1)&lt;1,"",MROUND('T3'!O19*'T15'!O$2,5))</f>
        <v>18120</v>
      </c>
      <c r="P19" s="7">
        <f>IF(MROUND('T3'!P19*'T15'!P$2,1)&lt;1,"",MROUND('T3'!P19*'T15'!P$2,5))</f>
        <v>19170</v>
      </c>
      <c r="Q19" s="8">
        <f t="shared" si="3"/>
        <v>51325</v>
      </c>
      <c r="R19" s="7"/>
      <c r="S19" s="8">
        <f t="shared" si="4"/>
        <v>59840</v>
      </c>
      <c r="T19" s="8">
        <f t="shared" si="5"/>
        <v>64560</v>
      </c>
      <c r="U19" s="22">
        <f t="shared" si="10"/>
        <v>9800</v>
      </c>
      <c r="W19" s="22">
        <f t="shared" si="11"/>
        <v>11860</v>
      </c>
      <c r="X19" s="22">
        <f t="shared" si="6"/>
        <v>13085</v>
      </c>
      <c r="Y19" s="7">
        <f t="shared" si="7"/>
        <v>41525</v>
      </c>
      <c r="Z19" s="22"/>
      <c r="AA19" s="22">
        <f t="shared" si="8"/>
        <v>47980</v>
      </c>
      <c r="AB19" s="22">
        <f t="shared" si="9"/>
        <v>51475</v>
      </c>
    </row>
    <row r="20" spans="1:28">
      <c r="A20">
        <v>2030</v>
      </c>
      <c r="B20" s="7">
        <f>IF(MROUND('T3'!B20*B$2,1)=0,"",MROUND('T3'!B20*'T15'!B$2,5))</f>
        <v>2295</v>
      </c>
      <c r="C20" s="7">
        <f>IF(MROUND('T3'!C20*'T15'!C$2,1)&lt;1,"",MROUND('T3'!C20*'T15'!C$2,5))</f>
        <v>2980</v>
      </c>
      <c r="D20" s="7">
        <f>IF(MROUND('T3'!D20*'T15'!D$2,1)&lt;1,"",MROUND('T3'!D20*'T15'!D$2,5))</f>
        <v>3215</v>
      </c>
      <c r="E20" s="7">
        <f>IF(MROUND('T3'!E20*'T15'!E$2,1)=0,"",MROUND('T3'!E20*'T15'!E$2,5))</f>
        <v>7455</v>
      </c>
      <c r="F20" s="7">
        <f>IF(MROUND('T3'!F20*'T15'!F$2,1)&lt;1,"",MROUND('T3'!F20*'T15'!F$2,5))</f>
        <v>8870</v>
      </c>
      <c r="G20" s="7">
        <f>IF(MROUND('T3'!G20*'T15'!G$2,1)&lt;1,"",MROUND('T3'!G20*'T15'!G$2,5))</f>
        <v>9865</v>
      </c>
      <c r="H20" s="7">
        <f>IF(MROUND('T3'!H20*'T15'!H$2,1)=0,"",MROUND('T3'!H20*'T15'!H$2,5))</f>
        <v>11215</v>
      </c>
      <c r="I20" s="7">
        <f>IF(MROUND('T3'!I20*'T15'!I$2,1)&lt;1,"",MROUND('T3'!I20*'T15'!I$2,5))</f>
        <v>12845</v>
      </c>
      <c r="J20" s="7">
        <f>IF(MROUND('T3'!J20*'T15'!J$2,1)&lt;1,"",MROUND('T3'!J20*'T15'!J$2,5))</f>
        <v>14050</v>
      </c>
      <c r="K20" s="7">
        <f>IF(MROUND('T3'!K20*'T15'!K$2,1)=0,"",MROUND('T3'!K20*'T15'!K$2,5))</f>
        <v>14385</v>
      </c>
      <c r="L20" s="7">
        <f>IF(MROUND('T3'!L20*'T15'!L$2,1)&lt;1,"",MROUND('T3'!L20*'T15'!L$2,5))</f>
        <v>17025</v>
      </c>
      <c r="M20" s="7">
        <f>IF(MROUND('T3'!M20*'T15'!M$2,1)&lt;1,"",MROUND('T3'!M20*'T15'!M$2,5))</f>
        <v>18270</v>
      </c>
      <c r="N20" s="7">
        <f>IF(MROUND('T3'!N20*'T15'!N$2,1)=0,"",MROUND('T3'!N20*'T15'!N$2,5))</f>
        <v>15615</v>
      </c>
      <c r="O20" s="7">
        <f>IF(MROUND('T3'!O20*'T15'!O$2,1)&lt;1,"",MROUND('T3'!O20*'T15'!O$2,5))</f>
        <v>18155</v>
      </c>
      <c r="P20" s="7">
        <f>IF(MROUND('T3'!P20*'T15'!P$2,1)&lt;1,"",MROUND('T3'!P20*'T15'!P$2,5))</f>
        <v>19205</v>
      </c>
      <c r="Q20" s="8">
        <f t="shared" si="3"/>
        <v>50965</v>
      </c>
      <c r="R20" s="7"/>
      <c r="S20" s="8">
        <f t="shared" si="4"/>
        <v>59875</v>
      </c>
      <c r="T20" s="8">
        <f t="shared" si="5"/>
        <v>64605</v>
      </c>
      <c r="U20" s="22">
        <f t="shared" si="10"/>
        <v>9750</v>
      </c>
      <c r="W20" s="22">
        <f t="shared" si="11"/>
        <v>11850</v>
      </c>
      <c r="X20" s="22">
        <f t="shared" si="6"/>
        <v>13080</v>
      </c>
      <c r="Y20" s="7">
        <f t="shared" si="7"/>
        <v>41215</v>
      </c>
      <c r="Z20" s="22"/>
      <c r="AA20" s="22">
        <f t="shared" si="8"/>
        <v>48025</v>
      </c>
      <c r="AB20" s="22">
        <f t="shared" si="9"/>
        <v>51525</v>
      </c>
    </row>
    <row r="21" spans="1:28">
      <c r="A21">
        <v>2031</v>
      </c>
      <c r="B21" s="7">
        <f>IF(MROUND('T3'!B21*B$2,1)=0,"",MROUND('T3'!B21*'T15'!B$2,5))</f>
        <v>2275</v>
      </c>
      <c r="C21" s="7">
        <f>IF(MROUND('T3'!C21*'T15'!C$2,1)&lt;1,"",MROUND('T3'!C21*'T15'!C$2,5))</f>
        <v>2980</v>
      </c>
      <c r="D21" s="7">
        <f>IF(MROUND('T3'!D21*'T15'!D$2,1)&lt;1,"",MROUND('T3'!D21*'T15'!D$2,5))</f>
        <v>3215</v>
      </c>
      <c r="E21" s="7">
        <f>IF(MROUND('T3'!E21*'T15'!E$2,1)=0,"",MROUND('T3'!E21*'T15'!E$2,5))</f>
        <v>7410</v>
      </c>
      <c r="F21" s="7">
        <f>IF(MROUND('T3'!F21*'T15'!F$2,1)&lt;1,"",MROUND('T3'!F21*'T15'!F$2,5))</f>
        <v>8870</v>
      </c>
      <c r="G21" s="7">
        <f>IF(MROUND('T3'!G21*'T15'!G$2,1)&lt;1,"",MROUND('T3'!G21*'T15'!G$2,5))</f>
        <v>9865</v>
      </c>
      <c r="H21" s="7">
        <f>IF(MROUND('T3'!H21*'T15'!H$2,1)=0,"",MROUND('T3'!H21*'T15'!H$2,5))</f>
        <v>11145</v>
      </c>
      <c r="I21" s="7">
        <f>IF(MROUND('T3'!I21*'T15'!I$2,1)&lt;1,"",MROUND('T3'!I21*'T15'!I$2,5))</f>
        <v>12840</v>
      </c>
      <c r="J21" s="7">
        <f>IF(MROUND('T3'!J21*'T15'!J$2,1)&lt;1,"",MROUND('T3'!J21*'T15'!J$2,5))</f>
        <v>14045</v>
      </c>
      <c r="K21" s="7">
        <f>IF(MROUND('T3'!K21*'T15'!K$2,1)=0,"",MROUND('T3'!K21*'T15'!K$2,5))</f>
        <v>14270</v>
      </c>
      <c r="L21" s="7">
        <f>IF(MROUND('T3'!L21*'T15'!L$2,1)&lt;1,"",MROUND('T3'!L21*'T15'!L$2,5))</f>
        <v>17030</v>
      </c>
      <c r="M21" s="7">
        <f>IF(MROUND('T3'!M21*'T15'!M$2,1)&lt;1,"",MROUND('T3'!M21*'T15'!M$2,5))</f>
        <v>18270</v>
      </c>
      <c r="N21" s="7">
        <f>IF(MROUND('T3'!N21*'T15'!N$2,1)=0,"",MROUND('T3'!N21*'T15'!N$2,5))</f>
        <v>15515</v>
      </c>
      <c r="O21" s="7">
        <f>IF(MROUND('T3'!O21*'T15'!O$2,1)&lt;1,"",MROUND('T3'!O21*'T15'!O$2,5))</f>
        <v>18170</v>
      </c>
      <c r="P21" s="7">
        <f>IF(MROUND('T3'!P21*'T15'!P$2,1)&lt;1,"",MROUND('T3'!P21*'T15'!P$2,5))</f>
        <v>19220</v>
      </c>
      <c r="Q21" s="8">
        <f t="shared" si="3"/>
        <v>50615</v>
      </c>
      <c r="R21" s="7"/>
      <c r="S21" s="8">
        <f t="shared" si="4"/>
        <v>59890</v>
      </c>
      <c r="T21" s="8">
        <f t="shared" si="5"/>
        <v>64615</v>
      </c>
      <c r="U21" s="22">
        <f t="shared" si="10"/>
        <v>9685</v>
      </c>
      <c r="W21" s="22">
        <f t="shared" si="11"/>
        <v>11850</v>
      </c>
      <c r="X21" s="22">
        <f t="shared" si="6"/>
        <v>13080</v>
      </c>
      <c r="Y21" s="7">
        <f t="shared" si="7"/>
        <v>40930</v>
      </c>
      <c r="Z21" s="22"/>
      <c r="AA21" s="22">
        <f t="shared" si="8"/>
        <v>48040</v>
      </c>
      <c r="AB21" s="22">
        <f t="shared" si="9"/>
        <v>51535</v>
      </c>
    </row>
    <row r="22" spans="1:28">
      <c r="A22">
        <v>2032</v>
      </c>
      <c r="B22" s="7">
        <f>IF(MROUND('T3'!B22*B$2,1)=0,"",MROUND('T3'!B22*'T15'!B$2,5))</f>
        <v>2265</v>
      </c>
      <c r="C22" s="7">
        <f>IF(MROUND('T3'!C22*'T15'!C$2,1)&lt;1,"",MROUND('T3'!C22*'T15'!C$2,5))</f>
        <v>2985</v>
      </c>
      <c r="D22" s="7">
        <f>IF(MROUND('T3'!D22*'T15'!D$2,1)&lt;1,"",MROUND('T3'!D22*'T15'!D$2,5))</f>
        <v>3220</v>
      </c>
      <c r="E22" s="7">
        <f>IF(MROUND('T3'!E22*'T15'!E$2,1)=0,"",MROUND('T3'!E22*'T15'!E$2,5))</f>
        <v>7350</v>
      </c>
      <c r="F22" s="7">
        <f>IF(MROUND('T3'!F22*'T15'!F$2,1)&lt;1,"",MROUND('T3'!F22*'T15'!F$2,5))</f>
        <v>8870</v>
      </c>
      <c r="G22" s="7">
        <f>IF(MROUND('T3'!G22*'T15'!G$2,1)&lt;1,"",MROUND('T3'!G22*'T15'!G$2,5))</f>
        <v>9865</v>
      </c>
      <c r="H22" s="7">
        <f>IF(MROUND('T3'!H22*'T15'!H$2,1)=0,"",MROUND('T3'!H22*'T15'!H$2,5))</f>
        <v>11095</v>
      </c>
      <c r="I22" s="7">
        <f>IF(MROUND('T3'!I22*'T15'!I$2,1)&lt;1,"",MROUND('T3'!I22*'T15'!I$2,5))</f>
        <v>12840</v>
      </c>
      <c r="J22" s="7">
        <f>IF(MROUND('T3'!J22*'T15'!J$2,1)&lt;1,"",MROUND('T3'!J22*'T15'!J$2,5))</f>
        <v>14040</v>
      </c>
      <c r="K22" s="7">
        <f>IF(MROUND('T3'!K22*'T15'!K$2,1)=0,"",MROUND('T3'!K22*'T15'!K$2,5))</f>
        <v>14185</v>
      </c>
      <c r="L22" s="7">
        <f>IF(MROUND('T3'!L22*'T15'!L$2,1)&lt;1,"",MROUND('T3'!L22*'T15'!L$2,5))</f>
        <v>17025</v>
      </c>
      <c r="M22" s="7">
        <f>IF(MROUND('T3'!M22*'T15'!M$2,1)&lt;1,"",MROUND('T3'!M22*'T15'!M$2,5))</f>
        <v>18270</v>
      </c>
      <c r="N22" s="7">
        <f>IF(MROUND('T3'!N22*'T15'!N$2,1)=0,"",MROUND('T3'!N22*'T15'!N$2,5))</f>
        <v>15380</v>
      </c>
      <c r="O22" s="7">
        <f>IF(MROUND('T3'!O22*'T15'!O$2,1)&lt;1,"",MROUND('T3'!O22*'T15'!O$2,5))</f>
        <v>18170</v>
      </c>
      <c r="P22" s="7">
        <f>IF(MROUND('T3'!P22*'T15'!P$2,1)&lt;1,"",MROUND('T3'!P22*'T15'!P$2,5))</f>
        <v>19225</v>
      </c>
      <c r="Q22" s="8">
        <f t="shared" si="3"/>
        <v>50275</v>
      </c>
      <c r="R22" s="7"/>
      <c r="S22" s="8">
        <f t="shared" si="4"/>
        <v>59890</v>
      </c>
      <c r="T22" s="8">
        <f t="shared" si="5"/>
        <v>64620</v>
      </c>
      <c r="U22" s="22">
        <f t="shared" si="10"/>
        <v>9615</v>
      </c>
      <c r="W22" s="22">
        <f t="shared" si="11"/>
        <v>11855</v>
      </c>
      <c r="X22" s="22">
        <f t="shared" si="6"/>
        <v>13085</v>
      </c>
      <c r="Y22" s="7">
        <f t="shared" si="7"/>
        <v>40660</v>
      </c>
      <c r="Z22" s="22"/>
      <c r="AA22" s="22">
        <f t="shared" si="8"/>
        <v>48035</v>
      </c>
      <c r="AB22" s="22">
        <f t="shared" si="9"/>
        <v>51535</v>
      </c>
    </row>
    <row r="23" spans="1:28">
      <c r="A23">
        <v>2033</v>
      </c>
      <c r="B23" s="7">
        <f>IF(MROUND('T3'!B23*B$2,1)=0,"",MROUND('T3'!B23*'T15'!B$2,5))</f>
        <v>2260</v>
      </c>
      <c r="C23" s="7">
        <f>IF(MROUND('T3'!C23*'T15'!C$2,1)&lt;1,"",MROUND('T3'!C23*'T15'!C$2,5))</f>
        <v>2990</v>
      </c>
      <c r="D23" s="7">
        <f>IF(MROUND('T3'!D23*'T15'!D$2,1)&lt;1,"",MROUND('T3'!D23*'T15'!D$2,5))</f>
        <v>3225</v>
      </c>
      <c r="E23" s="7">
        <f>IF(MROUND('T3'!E23*'T15'!E$2,1)=0,"",MROUND('T3'!E23*'T15'!E$2,5))</f>
        <v>7330</v>
      </c>
      <c r="F23" s="7">
        <f>IF(MROUND('T3'!F23*'T15'!F$2,1)&lt;1,"",MROUND('T3'!F23*'T15'!F$2,5))</f>
        <v>8875</v>
      </c>
      <c r="G23" s="7">
        <f>IF(MROUND('T3'!G23*'T15'!G$2,1)&lt;1,"",MROUND('T3'!G23*'T15'!G$2,5))</f>
        <v>9875</v>
      </c>
      <c r="H23" s="7">
        <f>IF(MROUND('T3'!H23*'T15'!H$2,1)=0,"",MROUND('T3'!H23*'T15'!H$2,5))</f>
        <v>11010</v>
      </c>
      <c r="I23" s="7">
        <f>IF(MROUND('T3'!I23*'T15'!I$2,1)&lt;1,"",MROUND('T3'!I23*'T15'!I$2,5))</f>
        <v>12845</v>
      </c>
      <c r="J23" s="7">
        <f>IF(MROUND('T3'!J23*'T15'!J$2,1)&lt;1,"",MROUND('T3'!J23*'T15'!J$2,5))</f>
        <v>14045</v>
      </c>
      <c r="K23" s="7">
        <f>IF(MROUND('T3'!K23*'T15'!K$2,1)=0,"",MROUND('T3'!K23*'T15'!K$2,5))</f>
        <v>14110</v>
      </c>
      <c r="L23" s="7">
        <f>IF(MROUND('T3'!L23*'T15'!L$2,1)&lt;1,"",MROUND('T3'!L23*'T15'!L$2,5))</f>
        <v>17025</v>
      </c>
      <c r="M23" s="7">
        <f>IF(MROUND('T3'!M23*'T15'!M$2,1)&lt;1,"",MROUND('T3'!M23*'T15'!M$2,5))</f>
        <v>18265</v>
      </c>
      <c r="N23" s="7">
        <f>IF(MROUND('T3'!N23*'T15'!N$2,1)=0,"",MROUND('T3'!N23*'T15'!N$2,5))</f>
        <v>15275</v>
      </c>
      <c r="O23" s="7">
        <f>IF(MROUND('T3'!O23*'T15'!O$2,1)&lt;1,"",MROUND('T3'!O23*'T15'!O$2,5))</f>
        <v>18170</v>
      </c>
      <c r="P23" s="7">
        <f>IF(MROUND('T3'!P23*'T15'!P$2,1)&lt;1,"",MROUND('T3'!P23*'T15'!P$2,5))</f>
        <v>19220</v>
      </c>
      <c r="Q23" s="8">
        <f t="shared" si="3"/>
        <v>49985</v>
      </c>
      <c r="R23" s="7"/>
      <c r="S23" s="8">
        <f t="shared" si="4"/>
        <v>59905</v>
      </c>
      <c r="T23" s="8">
        <f t="shared" si="5"/>
        <v>64630</v>
      </c>
      <c r="U23" s="22">
        <f t="shared" si="10"/>
        <v>9590</v>
      </c>
      <c r="W23" s="22">
        <f t="shared" si="11"/>
        <v>11865</v>
      </c>
      <c r="X23" s="22">
        <f t="shared" si="6"/>
        <v>13100</v>
      </c>
      <c r="Y23" s="7">
        <f t="shared" si="7"/>
        <v>40395</v>
      </c>
      <c r="Z23" s="22"/>
      <c r="AA23" s="22">
        <f t="shared" si="8"/>
        <v>48040</v>
      </c>
      <c r="AB23" s="22">
        <f t="shared" si="9"/>
        <v>51530</v>
      </c>
    </row>
    <row r="24" spans="1:28">
      <c r="A24">
        <v>2034</v>
      </c>
      <c r="B24" s="7">
        <f>IF(MROUND('T3'!B24*B$2,1)=0,"",MROUND('T3'!B24*'T15'!B$2,5))</f>
        <v>2260</v>
      </c>
      <c r="C24" s="7">
        <f>IF(MROUND('T3'!C24*'T15'!C$2,1)&lt;1,"",MROUND('T3'!C24*'T15'!C$2,5))</f>
        <v>3000</v>
      </c>
      <c r="D24" s="7">
        <f>IF(MROUND('T3'!D24*'T15'!D$2,1)&lt;1,"",MROUND('T3'!D24*'T15'!D$2,5))</f>
        <v>3235</v>
      </c>
      <c r="E24" s="7">
        <f>IF(MROUND('T3'!E24*'T15'!E$2,1)=0,"",MROUND('T3'!E24*'T15'!E$2,5))</f>
        <v>7305</v>
      </c>
      <c r="F24" s="7">
        <f>IF(MROUND('T3'!F24*'T15'!F$2,1)&lt;1,"",MROUND('T3'!F24*'T15'!F$2,5))</f>
        <v>8895</v>
      </c>
      <c r="G24" s="7">
        <f>IF(MROUND('T3'!G24*'T15'!G$2,1)&lt;1,"",MROUND('T3'!G24*'T15'!G$2,5))</f>
        <v>9895</v>
      </c>
      <c r="H24" s="7">
        <f>IF(MROUND('T3'!H24*'T15'!H$2,1)=0,"",MROUND('T3'!H24*'T15'!H$2,5))</f>
        <v>10970</v>
      </c>
      <c r="I24" s="7">
        <f>IF(MROUND('T3'!I24*'T15'!I$2,1)&lt;1,"",MROUND('T3'!I24*'T15'!I$2,5))</f>
        <v>12855</v>
      </c>
      <c r="J24" s="7">
        <f>IF(MROUND('T3'!J24*'T15'!J$2,1)&lt;1,"",MROUND('T3'!J24*'T15'!J$2,5))</f>
        <v>14055</v>
      </c>
      <c r="K24" s="7">
        <f>IF(MROUND('T3'!K24*'T15'!K$2,1)=0,"",MROUND('T3'!K24*'T15'!K$2,5))</f>
        <v>14010</v>
      </c>
      <c r="L24" s="7">
        <f>IF(MROUND('T3'!L24*'T15'!L$2,1)&lt;1,"",MROUND('T3'!L24*'T15'!L$2,5))</f>
        <v>17030</v>
      </c>
      <c r="M24" s="7">
        <f>IF(MROUND('T3'!M24*'T15'!M$2,1)&lt;1,"",MROUND('T3'!M24*'T15'!M$2,5))</f>
        <v>18270</v>
      </c>
      <c r="N24" s="7">
        <f>IF(MROUND('T3'!N24*'T15'!N$2,1)=0,"",MROUND('T3'!N24*'T15'!N$2,5))</f>
        <v>15205</v>
      </c>
      <c r="O24" s="7">
        <f>IF(MROUND('T3'!O24*'T15'!O$2,1)&lt;1,"",MROUND('T3'!O24*'T15'!O$2,5))</f>
        <v>18170</v>
      </c>
      <c r="P24" s="7">
        <f>IF(MROUND('T3'!P24*'T15'!P$2,1)&lt;1,"",MROUND('T3'!P24*'T15'!P$2,5))</f>
        <v>19220</v>
      </c>
      <c r="Q24" s="8">
        <f t="shared" si="3"/>
        <v>49750</v>
      </c>
      <c r="R24" s="7"/>
      <c r="S24" s="8">
        <f t="shared" si="4"/>
        <v>59950</v>
      </c>
      <c r="T24" s="8">
        <f t="shared" si="5"/>
        <v>64675</v>
      </c>
      <c r="U24" s="22">
        <f t="shared" si="10"/>
        <v>9565</v>
      </c>
      <c r="W24" s="22">
        <f t="shared" si="11"/>
        <v>11895</v>
      </c>
      <c r="X24" s="22">
        <f t="shared" si="6"/>
        <v>13130</v>
      </c>
      <c r="Y24" s="7">
        <f t="shared" si="7"/>
        <v>40185</v>
      </c>
      <c r="Z24" s="22"/>
      <c r="AA24" s="22">
        <f t="shared" si="8"/>
        <v>48055</v>
      </c>
      <c r="AB24" s="22">
        <f t="shared" si="9"/>
        <v>51545</v>
      </c>
    </row>
    <row r="25" spans="1:28">
      <c r="A25">
        <v>2035</v>
      </c>
      <c r="B25" s="7">
        <f>IF(MROUND('T3'!B25*B$2,1)=0,"",MROUND('T3'!B25*'T15'!B$2,5))</f>
        <v>2255</v>
      </c>
      <c r="C25" s="7">
        <f>IF(MROUND('T3'!C25*'T15'!C$2,1)&lt;1,"",MROUND('T3'!C25*'T15'!C$2,5))</f>
        <v>3010</v>
      </c>
      <c r="D25" s="7">
        <f>IF(MROUND('T3'!D25*'T15'!D$2,1)&lt;1,"",MROUND('T3'!D25*'T15'!D$2,5))</f>
        <v>3245</v>
      </c>
      <c r="E25" s="7">
        <f>IF(MROUND('T3'!E25*'T15'!E$2,1)=0,"",MROUND('T3'!E25*'T15'!E$2,5))</f>
        <v>7300</v>
      </c>
      <c r="F25" s="7">
        <f>IF(MROUND('T3'!F25*'T15'!F$2,1)&lt;1,"",MROUND('T3'!F25*'T15'!F$2,5))</f>
        <v>8920</v>
      </c>
      <c r="G25" s="7">
        <f>IF(MROUND('T3'!G25*'T15'!G$2,1)&lt;1,"",MROUND('T3'!G25*'T15'!G$2,5))</f>
        <v>9920</v>
      </c>
      <c r="H25" s="7">
        <f>IF(MROUND('T3'!H25*'T15'!H$2,1)=0,"",MROUND('T3'!H25*'T15'!H$2,5))</f>
        <v>10960</v>
      </c>
      <c r="I25" s="7">
        <f>IF(MROUND('T3'!I25*'T15'!I$2,1)&lt;1,"",MROUND('T3'!I25*'T15'!I$2,5))</f>
        <v>12880</v>
      </c>
      <c r="J25" s="7">
        <f>IF(MROUND('T3'!J25*'T15'!J$2,1)&lt;1,"",MROUND('T3'!J25*'T15'!J$2,5))</f>
        <v>14085</v>
      </c>
      <c r="K25" s="7">
        <f>IF(MROUND('T3'!K25*'T15'!K$2,1)=0,"",MROUND('T3'!K25*'T15'!K$2,5))</f>
        <v>13975</v>
      </c>
      <c r="L25" s="7">
        <f>IF(MROUND('T3'!L25*'T15'!L$2,1)&lt;1,"",MROUND('T3'!L25*'T15'!L$2,5))</f>
        <v>17045</v>
      </c>
      <c r="M25" s="7">
        <f>IF(MROUND('T3'!M25*'T15'!M$2,1)&lt;1,"",MROUND('T3'!M25*'T15'!M$2,5))</f>
        <v>18290</v>
      </c>
      <c r="N25" s="7">
        <f>IF(MROUND('T3'!N25*'T15'!N$2,1)=0,"",MROUND('T3'!N25*'T15'!N$2,5))</f>
        <v>15105</v>
      </c>
      <c r="O25" s="7">
        <f>IF(MROUND('T3'!O25*'T15'!O$2,1)&lt;1,"",MROUND('T3'!O25*'T15'!O$2,5))</f>
        <v>18175</v>
      </c>
      <c r="P25" s="7">
        <f>IF(MROUND('T3'!P25*'T15'!P$2,1)&lt;1,"",MROUND('T3'!P25*'T15'!P$2,5))</f>
        <v>19225</v>
      </c>
      <c r="Q25" s="8">
        <f t="shared" si="3"/>
        <v>49595</v>
      </c>
      <c r="R25" s="7"/>
      <c r="S25" s="8">
        <f t="shared" si="4"/>
        <v>60030</v>
      </c>
      <c r="T25" s="8">
        <f t="shared" si="5"/>
        <v>64765</v>
      </c>
      <c r="U25" s="22">
        <f t="shared" si="10"/>
        <v>9555</v>
      </c>
      <c r="W25" s="22">
        <f t="shared" si="11"/>
        <v>11930</v>
      </c>
      <c r="X25" s="22">
        <f t="shared" si="6"/>
        <v>13165</v>
      </c>
      <c r="Y25" s="7">
        <f t="shared" si="7"/>
        <v>40040</v>
      </c>
      <c r="Z25" s="22"/>
      <c r="AA25" s="22">
        <f t="shared" si="8"/>
        <v>48100</v>
      </c>
      <c r="AB25" s="22">
        <f t="shared" si="9"/>
        <v>51600</v>
      </c>
    </row>
    <row r="26" spans="1:28">
      <c r="A26">
        <v>2036</v>
      </c>
      <c r="B26" s="7">
        <f>IF(MROUND('T3'!B26*B$2,1)=0,"",MROUND('T3'!B26*'T15'!B$2,5))</f>
        <v>2260</v>
      </c>
      <c r="C26" s="7">
        <f>IF(MROUND('T3'!C26*'T15'!C$2,1)&lt;1,"",MROUND('T3'!C26*'T15'!C$2,5))</f>
        <v>3025</v>
      </c>
      <c r="D26" s="7">
        <f>IF(MROUND('T3'!D26*'T15'!D$2,1)&lt;1,"",MROUND('T3'!D26*'T15'!D$2,5))</f>
        <v>3265</v>
      </c>
      <c r="E26" s="7">
        <f>IF(MROUND('T3'!E26*'T15'!E$2,1)=0,"",MROUND('T3'!E26*'T15'!E$2,5))</f>
        <v>7295</v>
      </c>
      <c r="F26" s="7">
        <f>IF(MROUND('T3'!F26*'T15'!F$2,1)&lt;1,"",MROUND('T3'!F26*'T15'!F$2,5))</f>
        <v>8960</v>
      </c>
      <c r="G26" s="7">
        <f>IF(MROUND('T3'!G26*'T15'!G$2,1)&lt;1,"",MROUND('T3'!G26*'T15'!G$2,5))</f>
        <v>9965</v>
      </c>
      <c r="H26" s="7">
        <f>IF(MROUND('T3'!H26*'T15'!H$2,1)=0,"",MROUND('T3'!H26*'T15'!H$2,5))</f>
        <v>10930</v>
      </c>
      <c r="I26" s="7">
        <f>IF(MROUND('T3'!I26*'T15'!I$2,1)&lt;1,"",MROUND('T3'!I26*'T15'!I$2,5))</f>
        <v>12920</v>
      </c>
      <c r="J26" s="7">
        <f>IF(MROUND('T3'!J26*'T15'!J$2,1)&lt;1,"",MROUND('T3'!J26*'T15'!J$2,5))</f>
        <v>14125</v>
      </c>
      <c r="K26" s="7">
        <f>IF(MROUND('T3'!K26*'T15'!K$2,1)=0,"",MROUND('T3'!K26*'T15'!K$2,5))</f>
        <v>13945</v>
      </c>
      <c r="L26" s="7">
        <f>IF(MROUND('T3'!L26*'T15'!L$2,1)&lt;1,"",MROUND('T3'!L26*'T15'!L$2,5))</f>
        <v>17080</v>
      </c>
      <c r="M26" s="7">
        <f>IF(MROUND('T3'!M26*'T15'!M$2,1)&lt;1,"",MROUND('T3'!M26*'T15'!M$2,5))</f>
        <v>18325</v>
      </c>
      <c r="N26" s="7">
        <f>IF(MROUND('T3'!N26*'T15'!N$2,1)=0,"",MROUND('T3'!N26*'T15'!N$2,5))</f>
        <v>15065</v>
      </c>
      <c r="O26" s="7">
        <f>IF(MROUND('T3'!O26*'T15'!O$2,1)&lt;1,"",MROUND('T3'!O26*'T15'!O$2,5))</f>
        <v>18195</v>
      </c>
      <c r="P26" s="7">
        <f>IF(MROUND('T3'!P26*'T15'!P$2,1)&lt;1,"",MROUND('T3'!P26*'T15'!P$2,5))</f>
        <v>19250</v>
      </c>
      <c r="Q26" s="8">
        <f t="shared" si="3"/>
        <v>49495</v>
      </c>
      <c r="R26" s="7"/>
      <c r="S26" s="8">
        <f t="shared" si="4"/>
        <v>60180</v>
      </c>
      <c r="T26" s="8">
        <f t="shared" si="5"/>
        <v>64930</v>
      </c>
      <c r="U26" s="22">
        <f t="shared" si="10"/>
        <v>9555</v>
      </c>
      <c r="W26" s="22">
        <f t="shared" si="11"/>
        <v>11985</v>
      </c>
      <c r="X26" s="22">
        <f t="shared" si="6"/>
        <v>13230</v>
      </c>
      <c r="Y26" s="7">
        <f t="shared" si="7"/>
        <v>39940</v>
      </c>
      <c r="Z26" s="22"/>
      <c r="AA26" s="22">
        <f t="shared" si="8"/>
        <v>48195</v>
      </c>
      <c r="AB26" s="22">
        <f t="shared" si="9"/>
        <v>51700</v>
      </c>
    </row>
    <row r="27" spans="1:28">
      <c r="A27">
        <v>2037</v>
      </c>
      <c r="B27" s="7">
        <f>IF(MROUND('T3'!B27*B$2,1)=0,"",MROUND('T3'!B27*'T15'!B$2,5))</f>
        <v>2265</v>
      </c>
      <c r="C27" s="7">
        <f>IF(MROUND('T3'!C27*'T15'!C$2,1)&lt;1,"",MROUND('T3'!C27*'T15'!C$2,5))</f>
        <v>3045</v>
      </c>
      <c r="D27" s="7">
        <f>IF(MROUND('T3'!D27*'T15'!D$2,1)&lt;1,"",MROUND('T3'!D27*'T15'!D$2,5))</f>
        <v>3285</v>
      </c>
      <c r="E27" s="7">
        <f>IF(MROUND('T3'!E27*'T15'!E$2,1)=0,"",MROUND('T3'!E27*'T15'!E$2,5))</f>
        <v>7290</v>
      </c>
      <c r="F27" s="7">
        <f>IF(MROUND('T3'!F27*'T15'!F$2,1)&lt;1,"",MROUND('T3'!F27*'T15'!F$2,5))</f>
        <v>9010</v>
      </c>
      <c r="G27" s="7">
        <f>IF(MROUND('T3'!G27*'T15'!G$2,1)&lt;1,"",MROUND('T3'!G27*'T15'!G$2,5))</f>
        <v>10020</v>
      </c>
      <c r="H27" s="7">
        <f>IF(MROUND('T3'!H27*'T15'!H$2,1)=0,"",MROUND('T3'!H27*'T15'!H$2,5))</f>
        <v>10925</v>
      </c>
      <c r="I27" s="7">
        <f>IF(MROUND('T3'!I27*'T15'!I$2,1)&lt;1,"",MROUND('T3'!I27*'T15'!I$2,5))</f>
        <v>12975</v>
      </c>
      <c r="J27" s="7">
        <f>IF(MROUND('T3'!J27*'T15'!J$2,1)&lt;1,"",MROUND('T3'!J27*'T15'!J$2,5))</f>
        <v>14185</v>
      </c>
      <c r="K27" s="7">
        <f>IF(MROUND('T3'!K27*'T15'!K$2,1)=0,"",MROUND('T3'!K27*'T15'!K$2,5))</f>
        <v>13905</v>
      </c>
      <c r="L27" s="7">
        <f>IF(MROUND('T3'!L27*'T15'!L$2,1)&lt;1,"",MROUND('T3'!L27*'T15'!L$2,5))</f>
        <v>17135</v>
      </c>
      <c r="M27" s="7">
        <f>IF(MROUND('T3'!M27*'T15'!M$2,1)&lt;1,"",MROUND('T3'!M27*'T15'!M$2,5))</f>
        <v>18385</v>
      </c>
      <c r="N27" s="7">
        <f>IF(MROUND('T3'!N27*'T15'!N$2,1)=0,"",MROUND('T3'!N27*'T15'!N$2,5))</f>
        <v>15050</v>
      </c>
      <c r="O27" s="7">
        <f>IF(MROUND('T3'!O27*'T15'!O$2,1)&lt;1,"",MROUND('T3'!O27*'T15'!O$2,5))</f>
        <v>18230</v>
      </c>
      <c r="P27" s="7">
        <f>IF(MROUND('T3'!P27*'T15'!P$2,1)&lt;1,"",MROUND('T3'!P27*'T15'!P$2,5))</f>
        <v>19285</v>
      </c>
      <c r="Q27" s="8">
        <f t="shared" si="3"/>
        <v>49435</v>
      </c>
      <c r="R27" s="7"/>
      <c r="S27" s="8">
        <f t="shared" si="4"/>
        <v>60395</v>
      </c>
      <c r="T27" s="8">
        <f t="shared" si="5"/>
        <v>65160</v>
      </c>
      <c r="U27" s="22">
        <f t="shared" si="10"/>
        <v>9555</v>
      </c>
      <c r="W27" s="22">
        <f t="shared" si="11"/>
        <v>12055</v>
      </c>
      <c r="X27" s="22">
        <f t="shared" si="6"/>
        <v>13305</v>
      </c>
      <c r="Y27" s="7">
        <f t="shared" si="7"/>
        <v>39880</v>
      </c>
      <c r="Z27" s="22"/>
      <c r="AA27" s="22">
        <f t="shared" si="8"/>
        <v>48340</v>
      </c>
      <c r="AB27" s="22">
        <f t="shared" si="9"/>
        <v>51855</v>
      </c>
    </row>
    <row r="28" spans="1:28">
      <c r="A28">
        <v>2038</v>
      </c>
      <c r="B28" s="7">
        <f>IF(MROUND('T3'!B28*B$2,1)=0,"",MROUND('T3'!B28*'T15'!B$2,5))</f>
        <v>2275</v>
      </c>
      <c r="C28" s="7">
        <f>IF(MROUND('T3'!C28*'T15'!C$2,1)&lt;1,"",MROUND('T3'!C28*'T15'!C$2,5))</f>
        <v>3070</v>
      </c>
      <c r="D28" s="7">
        <f>IF(MROUND('T3'!D28*'T15'!D$2,1)&lt;1,"",MROUND('T3'!D28*'T15'!D$2,5))</f>
        <v>3310</v>
      </c>
      <c r="E28" s="7">
        <f>IF(MROUND('T3'!E28*'T15'!E$2,1)=0,"",MROUND('T3'!E28*'T15'!E$2,5))</f>
        <v>7335</v>
      </c>
      <c r="F28" s="7">
        <f>IF(MROUND('T3'!F28*'T15'!F$2,1)&lt;1,"",MROUND('T3'!F28*'T15'!F$2,5))</f>
        <v>9065</v>
      </c>
      <c r="G28" s="7">
        <f>IF(MROUND('T3'!G28*'T15'!G$2,1)&lt;1,"",MROUND('T3'!G28*'T15'!G$2,5))</f>
        <v>10085</v>
      </c>
      <c r="H28" s="7">
        <f>IF(MROUND('T3'!H28*'T15'!H$2,1)=0,"",MROUND('T3'!H28*'T15'!H$2,5))</f>
        <v>10930</v>
      </c>
      <c r="I28" s="7">
        <f>IF(MROUND('T3'!I28*'T15'!I$2,1)&lt;1,"",MROUND('T3'!I28*'T15'!I$2,5))</f>
        <v>13045</v>
      </c>
      <c r="J28" s="7">
        <f>IF(MROUND('T3'!J28*'T15'!J$2,1)&lt;1,"",MROUND('T3'!J28*'T15'!J$2,5))</f>
        <v>14265</v>
      </c>
      <c r="K28" s="7">
        <f>IF(MROUND('T3'!K28*'T15'!K$2,1)=0,"",MROUND('T3'!K28*'T15'!K$2,5))</f>
        <v>13905</v>
      </c>
      <c r="L28" s="7">
        <f>IF(MROUND('T3'!L28*'T15'!L$2,1)&lt;1,"",MROUND('T3'!L28*'T15'!L$2,5))</f>
        <v>17205</v>
      </c>
      <c r="M28" s="7">
        <f>IF(MROUND('T3'!M28*'T15'!M$2,1)&lt;1,"",MROUND('T3'!M28*'T15'!M$2,5))</f>
        <v>18460</v>
      </c>
      <c r="N28" s="7">
        <f>IF(MROUND('T3'!N28*'T15'!N$2,1)=0,"",MROUND('T3'!N28*'T15'!N$2,5))</f>
        <v>15015</v>
      </c>
      <c r="O28" s="7">
        <f>IF(MROUND('T3'!O28*'T15'!O$2,1)&lt;1,"",MROUND('T3'!O28*'T15'!O$2,5))</f>
        <v>18290</v>
      </c>
      <c r="P28" s="7">
        <f>IF(MROUND('T3'!P28*'T15'!P$2,1)&lt;1,"",MROUND('T3'!P28*'T15'!P$2,5))</f>
        <v>19345</v>
      </c>
      <c r="Q28" s="8">
        <f t="shared" si="3"/>
        <v>49460</v>
      </c>
      <c r="R28" s="7"/>
      <c r="S28" s="8">
        <f t="shared" si="4"/>
        <v>60675</v>
      </c>
      <c r="T28" s="8">
        <f t="shared" si="5"/>
        <v>65465</v>
      </c>
      <c r="U28" s="22">
        <f t="shared" si="10"/>
        <v>9610</v>
      </c>
      <c r="W28" s="22">
        <f t="shared" si="11"/>
        <v>12135</v>
      </c>
      <c r="X28" s="22">
        <f t="shared" si="6"/>
        <v>13395</v>
      </c>
      <c r="Y28" s="7">
        <f t="shared" si="7"/>
        <v>39850</v>
      </c>
      <c r="Z28" s="22"/>
      <c r="AA28" s="22">
        <f t="shared" si="8"/>
        <v>48540</v>
      </c>
      <c r="AB28" s="22">
        <f t="shared" si="9"/>
        <v>52070</v>
      </c>
    </row>
    <row r="30" spans="1:28">
      <c r="T30" s="141"/>
    </row>
    <row r="31" spans="1:28">
      <c r="T31" s="142"/>
    </row>
    <row r="32" spans="1:28">
      <c r="U32" s="22"/>
      <c r="V32" s="22"/>
    </row>
    <row r="33" spans="17:21">
      <c r="U33" s="22"/>
    </row>
    <row r="34" spans="17:21">
      <c r="Q34" s="37"/>
      <c r="R34" s="3"/>
    </row>
    <row r="35" spans="17:21">
      <c r="Q35" s="37"/>
      <c r="R35" s="36"/>
      <c r="S35" s="36"/>
    </row>
    <row r="37" spans="17:21">
      <c r="Q37" s="37"/>
      <c r="R37" s="22"/>
    </row>
  </sheetData>
  <mergeCells count="8">
    <mergeCell ref="U3:X3"/>
    <mergeCell ref="Y3:AB3"/>
    <mergeCell ref="B3:D3"/>
    <mergeCell ref="E3:G3"/>
    <mergeCell ref="H3:J3"/>
    <mergeCell ref="K3:M3"/>
    <mergeCell ref="N3:P3"/>
    <mergeCell ref="Q3:T3"/>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015C7-72A0-4AFA-929A-867585B11DA2}">
  <sheetPr>
    <tabColor theme="5"/>
  </sheetPr>
  <dimension ref="A1:G13"/>
  <sheetViews>
    <sheetView workbookViewId="0">
      <selection activeCell="D7" sqref="D7"/>
    </sheetView>
  </sheetViews>
  <sheetFormatPr defaultColWidth="8.85546875" defaultRowHeight="14.65"/>
  <cols>
    <col min="1" max="1" width="24" bestFit="1" customWidth="1"/>
    <col min="2" max="2" width="15.28515625" bestFit="1" customWidth="1"/>
    <col min="3" max="3" width="27.140625" customWidth="1"/>
    <col min="4" max="4" width="20" bestFit="1" customWidth="1"/>
    <col min="5" max="6" width="13" customWidth="1"/>
    <col min="7" max="7" width="23.7109375" customWidth="1"/>
  </cols>
  <sheetData>
    <row r="1" spans="1:7">
      <c r="A1" s="6" t="s">
        <v>282</v>
      </c>
    </row>
    <row r="2" spans="1:7">
      <c r="A2" s="1" t="s">
        <v>283</v>
      </c>
      <c r="B2" s="1" t="s">
        <v>284</v>
      </c>
      <c r="C2" s="1" t="s">
        <v>285</v>
      </c>
      <c r="D2" s="1" t="s">
        <v>286</v>
      </c>
      <c r="E2" s="1" t="s">
        <v>287</v>
      </c>
      <c r="F2" s="1" t="s">
        <v>288</v>
      </c>
      <c r="G2" s="1" t="s">
        <v>289</v>
      </c>
    </row>
    <row r="3" spans="1:7">
      <c r="A3" t="s">
        <v>290</v>
      </c>
      <c r="B3" t="s">
        <v>291</v>
      </c>
      <c r="C3" s="12" t="s">
        <v>292</v>
      </c>
      <c r="D3" s="14">
        <v>0.2</v>
      </c>
      <c r="E3" s="67">
        <f t="shared" ref="E3" si="0">1/4.38</f>
        <v>0.22831050228310504</v>
      </c>
      <c r="F3" s="13">
        <v>1</v>
      </c>
      <c r="G3">
        <v>1</v>
      </c>
    </row>
    <row r="4" spans="1:7">
      <c r="A4" t="s">
        <v>293</v>
      </c>
      <c r="B4" t="s">
        <v>294</v>
      </c>
      <c r="C4" s="12" t="s">
        <v>295</v>
      </c>
      <c r="D4" s="14">
        <f>1/10</f>
        <v>0.1</v>
      </c>
      <c r="E4" s="67">
        <f>1/6.21</f>
        <v>0.1610305958132045</v>
      </c>
      <c r="F4" s="13">
        <v>1</v>
      </c>
      <c r="G4">
        <v>1</v>
      </c>
    </row>
    <row r="5" spans="1:7">
      <c r="A5" t="s">
        <v>296</v>
      </c>
      <c r="B5" t="s">
        <v>291</v>
      </c>
      <c r="C5" s="12" t="s">
        <v>292</v>
      </c>
      <c r="D5" s="14">
        <v>0.2</v>
      </c>
      <c r="E5" s="67">
        <f>1/3.84</f>
        <v>0.26041666666666669</v>
      </c>
      <c r="F5" s="13">
        <v>0.5</v>
      </c>
      <c r="G5">
        <v>1</v>
      </c>
    </row>
    <row r="6" spans="1:7">
      <c r="A6" t="s">
        <v>296</v>
      </c>
      <c r="B6" t="s">
        <v>294</v>
      </c>
      <c r="C6" s="12" t="s">
        <v>295</v>
      </c>
      <c r="D6" s="14">
        <v>0.1</v>
      </c>
      <c r="E6" s="67">
        <f>1/5.77</f>
        <v>0.1733102253032929</v>
      </c>
      <c r="F6" s="13">
        <v>0.5</v>
      </c>
      <c r="G6">
        <v>1</v>
      </c>
    </row>
    <row r="7" spans="1:7">
      <c r="A7" t="s">
        <v>297</v>
      </c>
      <c r="B7" t="s">
        <v>298</v>
      </c>
      <c r="C7" s="12" t="s">
        <v>299</v>
      </c>
      <c r="D7" s="14">
        <v>0.25</v>
      </c>
      <c r="E7" s="67"/>
      <c r="F7" s="13">
        <v>1</v>
      </c>
      <c r="G7">
        <v>1</v>
      </c>
    </row>
    <row r="8" spans="1:7">
      <c r="A8" t="s">
        <v>300</v>
      </c>
      <c r="B8" t="s">
        <v>294</v>
      </c>
      <c r="C8" s="12" t="s">
        <v>295</v>
      </c>
      <c r="D8" s="14">
        <f>1/10</f>
        <v>0.1</v>
      </c>
      <c r="E8" s="67"/>
      <c r="F8" s="13">
        <v>0.5</v>
      </c>
      <c r="G8">
        <v>1</v>
      </c>
    </row>
    <row r="9" spans="1:7">
      <c r="A9" t="s">
        <v>300</v>
      </c>
      <c r="B9" t="s">
        <v>291</v>
      </c>
      <c r="C9" s="12" t="s">
        <v>292</v>
      </c>
      <c r="D9" s="14">
        <f>1/5</f>
        <v>0.2</v>
      </c>
      <c r="E9" s="67"/>
      <c r="F9" s="13">
        <v>0.5</v>
      </c>
      <c r="G9">
        <v>1</v>
      </c>
    </row>
    <row r="10" spans="1:7">
      <c r="A10" t="s">
        <v>301</v>
      </c>
      <c r="B10" t="s">
        <v>298</v>
      </c>
      <c r="C10" s="12" t="s">
        <v>292</v>
      </c>
      <c r="D10" s="14">
        <f>1/5</f>
        <v>0.2</v>
      </c>
      <c r="E10" s="67"/>
      <c r="F10" s="13">
        <v>0</v>
      </c>
      <c r="G10">
        <v>0</v>
      </c>
    </row>
    <row r="11" spans="1:7">
      <c r="A11" t="s">
        <v>302</v>
      </c>
      <c r="B11" t="s">
        <v>291</v>
      </c>
      <c r="C11" s="12" t="s">
        <v>299</v>
      </c>
      <c r="D11" s="14">
        <v>0.25</v>
      </c>
      <c r="E11" s="67"/>
      <c r="F11" s="13">
        <v>0.5</v>
      </c>
      <c r="G11">
        <v>0</v>
      </c>
    </row>
    <row r="12" spans="1:7">
      <c r="A12" t="s">
        <v>302</v>
      </c>
      <c r="B12" t="s">
        <v>294</v>
      </c>
      <c r="C12" s="12" t="s">
        <v>303</v>
      </c>
      <c r="D12" s="14">
        <f>1/6</f>
        <v>0.16666666666666666</v>
      </c>
      <c r="E12" s="67"/>
      <c r="F12" s="13">
        <v>0.5</v>
      </c>
      <c r="G12">
        <v>0</v>
      </c>
    </row>
    <row r="13" spans="1:7">
      <c r="A13" t="s">
        <v>304</v>
      </c>
      <c r="B13" t="s">
        <v>294</v>
      </c>
      <c r="C13" s="12" t="s">
        <v>305</v>
      </c>
      <c r="D13" s="68">
        <f>1/15</f>
        <v>6.6666666666666666E-2</v>
      </c>
      <c r="E13" s="67"/>
      <c r="F13" s="13">
        <v>1</v>
      </c>
      <c r="G13">
        <v>1</v>
      </c>
    </row>
  </sheetData>
  <phoneticPr fontId="6" type="noConversion"/>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C9F45-5E06-4AD3-9F17-17A6508403A0}">
  <dimension ref="A1:V138"/>
  <sheetViews>
    <sheetView topLeftCell="A106" zoomScale="85" zoomScaleNormal="85" workbookViewId="0">
      <selection activeCell="B128" sqref="B128"/>
    </sheetView>
  </sheetViews>
  <sheetFormatPr defaultColWidth="8.85546875" defaultRowHeight="14.65" outlineLevelRow="1"/>
  <cols>
    <col min="2" max="2" width="17" style="73" customWidth="1"/>
    <col min="3" max="4" width="15.42578125" style="73" customWidth="1"/>
    <col min="5" max="5" width="1.7109375" customWidth="1"/>
    <col min="6" max="6" width="15.42578125" customWidth="1"/>
    <col min="7" max="7" width="17" customWidth="1"/>
    <col min="8" max="11" width="15.42578125" customWidth="1"/>
    <col min="12" max="12" width="17" customWidth="1"/>
    <col min="13" max="13" width="15.42578125" customWidth="1"/>
    <col min="14" max="14" width="1.7109375" customWidth="1"/>
    <col min="15" max="15" width="15.42578125" customWidth="1"/>
    <col min="16" max="16" width="17" customWidth="1"/>
    <col min="17" max="18" width="15.42578125" customWidth="1"/>
    <col min="19" max="20" width="2.28515625" customWidth="1"/>
    <col min="21" max="22" width="15.42578125" customWidth="1"/>
  </cols>
  <sheetData>
    <row r="1" spans="1:4">
      <c r="A1" s="6" t="s">
        <v>306</v>
      </c>
    </row>
    <row r="2" spans="1:4">
      <c r="A2" s="6" t="s">
        <v>307</v>
      </c>
    </row>
    <row r="3" spans="1:4" hidden="1" outlineLevel="1">
      <c r="A3" s="1" t="s">
        <v>229</v>
      </c>
      <c r="B3" s="74" t="s">
        <v>296</v>
      </c>
      <c r="C3" s="74" t="s">
        <v>308</v>
      </c>
      <c r="D3" s="74" t="s">
        <v>309</v>
      </c>
    </row>
    <row r="4" spans="1:4" hidden="1" outlineLevel="1">
      <c r="A4" s="1" t="s">
        <v>310</v>
      </c>
    </row>
    <row r="5" spans="1:4" hidden="1" outlineLevel="1">
      <c r="A5" s="1" t="s">
        <v>311</v>
      </c>
    </row>
    <row r="6" spans="1:4" hidden="1" outlineLevel="1">
      <c r="A6" s="1" t="s">
        <v>312</v>
      </c>
    </row>
    <row r="7" spans="1:4" hidden="1" outlineLevel="1">
      <c r="A7" s="1" t="s">
        <v>313</v>
      </c>
    </row>
    <row r="8" spans="1:4" hidden="1" outlineLevel="1">
      <c r="A8" s="1" t="s">
        <v>314</v>
      </c>
    </row>
    <row r="9" spans="1:4" hidden="1" outlineLevel="1">
      <c r="A9" s="1" t="s">
        <v>315</v>
      </c>
    </row>
    <row r="10" spans="1:4" hidden="1" outlineLevel="1">
      <c r="A10" s="1" t="s">
        <v>316</v>
      </c>
      <c r="B10" s="73">
        <v>0.6446508004837751</v>
      </c>
      <c r="C10" s="73">
        <v>0.23096160547731792</v>
      </c>
      <c r="D10" s="73">
        <v>2.6525633929852611E-2</v>
      </c>
    </row>
    <row r="11" spans="1:4" hidden="1" outlineLevel="1">
      <c r="A11" s="1" t="s">
        <v>317</v>
      </c>
      <c r="B11" s="73">
        <v>0.65067584951216129</v>
      </c>
      <c r="C11" s="73">
        <v>0.22244651586217815</v>
      </c>
      <c r="D11" s="73">
        <v>2.4718478497496487E-2</v>
      </c>
    </row>
    <row r="12" spans="1:4" hidden="1" outlineLevel="1">
      <c r="A12" s="1" t="s">
        <v>318</v>
      </c>
      <c r="B12" s="73">
        <v>0.66107866191306985</v>
      </c>
      <c r="C12" s="73">
        <v>0.20890540848061898</v>
      </c>
      <c r="D12" s="73">
        <v>2.427368580747933E-2</v>
      </c>
    </row>
    <row r="13" spans="1:4" hidden="1" outlineLevel="1">
      <c r="A13" s="1" t="s">
        <v>319</v>
      </c>
      <c r="B13" s="73">
        <v>0.66800562733701085</v>
      </c>
      <c r="C13" s="73">
        <v>0.19880789308059679</v>
      </c>
      <c r="D13" s="73">
        <v>2.3268298100773757E-2</v>
      </c>
    </row>
    <row r="14" spans="1:4" hidden="1" outlineLevel="1">
      <c r="A14" s="1" t="s">
        <v>320</v>
      </c>
      <c r="B14" s="73">
        <v>0.69015304138832922</v>
      </c>
      <c r="C14" s="73">
        <v>0.17601526879440144</v>
      </c>
      <c r="D14" s="73">
        <v>2.187820308910331E-2</v>
      </c>
    </row>
    <row r="15" spans="1:4" hidden="1" outlineLevel="1">
      <c r="A15" s="1" t="s">
        <v>321</v>
      </c>
      <c r="B15" s="73">
        <v>0.70292482884836982</v>
      </c>
      <c r="C15" s="73">
        <v>0.16386497661492577</v>
      </c>
      <c r="D15" s="73">
        <v>2.216498339320816E-2</v>
      </c>
    </row>
    <row r="16" spans="1:4" hidden="1" outlineLevel="1">
      <c r="A16" s="1" t="s">
        <v>322</v>
      </c>
      <c r="B16" s="73">
        <v>0.71315043197256478</v>
      </c>
      <c r="C16" s="73">
        <v>0.15643342346501352</v>
      </c>
      <c r="D16" s="73">
        <v>2.1038053155707972E-2</v>
      </c>
    </row>
    <row r="17" spans="1:4" hidden="1" outlineLevel="1">
      <c r="A17" s="1" t="s">
        <v>323</v>
      </c>
      <c r="B17" s="73">
        <v>0.72966815886316927</v>
      </c>
      <c r="C17" s="73">
        <v>0.13896544582689457</v>
      </c>
      <c r="D17" s="73">
        <v>1.9690621465326345E-2</v>
      </c>
    </row>
    <row r="18" spans="1:4" hidden="1" outlineLevel="1">
      <c r="A18" s="1" t="s">
        <v>324</v>
      </c>
      <c r="B18" s="73">
        <v>0.74188321902724474</v>
      </c>
      <c r="C18" s="73">
        <v>0.12003712326181337</v>
      </c>
      <c r="D18" s="73">
        <v>1.911218775561568E-2</v>
      </c>
    </row>
    <row r="19" spans="1:4" hidden="1" outlineLevel="1">
      <c r="A19" s="1" t="s">
        <v>325</v>
      </c>
      <c r="B19" s="73">
        <v>0.71357053459681741</v>
      </c>
      <c r="C19" s="73">
        <v>0.11246200607902736</v>
      </c>
      <c r="D19" s="73">
        <v>1.8207282913165267E-2</v>
      </c>
    </row>
    <row r="20" spans="1:4" hidden="1" outlineLevel="1">
      <c r="A20" s="1" t="s">
        <v>326</v>
      </c>
      <c r="B20" s="73">
        <v>0.72259734910337325</v>
      </c>
      <c r="C20" s="73">
        <v>0.10983126645777248</v>
      </c>
      <c r="D20" s="73">
        <v>1.7491210262294599E-2</v>
      </c>
    </row>
    <row r="21" spans="1:4" hidden="1" outlineLevel="1">
      <c r="A21" s="1" t="s">
        <v>327</v>
      </c>
      <c r="B21" s="73">
        <v>0.72589415527769696</v>
      </c>
      <c r="C21" s="73">
        <v>0.10319860424542018</v>
      </c>
      <c r="D21" s="73">
        <v>1.7606862460017449E-2</v>
      </c>
    </row>
    <row r="22" spans="1:4" hidden="1" outlineLevel="1">
      <c r="A22" s="1" t="s">
        <v>328</v>
      </c>
      <c r="B22" s="73">
        <v>0.73631978146522914</v>
      </c>
      <c r="C22" s="73">
        <v>0.10121763389613786</v>
      </c>
      <c r="D22" s="73">
        <v>1.6215744965272734E-2</v>
      </c>
    </row>
    <row r="23" spans="1:4" hidden="1" outlineLevel="1">
      <c r="A23" s="1" t="s">
        <v>329</v>
      </c>
      <c r="B23" s="73">
        <v>0.74337647229896753</v>
      </c>
      <c r="C23" s="73">
        <v>9.7208084920750323E-2</v>
      </c>
      <c r="D23" s="73">
        <v>1.6300712519994185E-2</v>
      </c>
    </row>
    <row r="24" spans="1:4" hidden="1" outlineLevel="1">
      <c r="A24" s="1" t="s">
        <v>330</v>
      </c>
      <c r="B24" s="73">
        <v>0.74961960065832378</v>
      </c>
      <c r="C24" s="73">
        <v>9.8779616805887649E-2</v>
      </c>
      <c r="D24" s="73">
        <v>1.7001521597366703E-2</v>
      </c>
    </row>
    <row r="25" spans="1:4" hidden="1" outlineLevel="1">
      <c r="A25" s="1" t="s">
        <v>331</v>
      </c>
      <c r="B25" s="73">
        <v>0.76135510078945356</v>
      </c>
      <c r="C25" s="73">
        <v>9.2818272399785393E-2</v>
      </c>
      <c r="D25" s="73">
        <v>1.6417567256840654E-2</v>
      </c>
    </row>
    <row r="26" spans="1:4" hidden="1" outlineLevel="1">
      <c r="A26" s="1" t="s">
        <v>332</v>
      </c>
      <c r="B26" s="73">
        <v>0.77379126375458485</v>
      </c>
      <c r="C26" s="73">
        <v>9.056352117372457E-2</v>
      </c>
      <c r="D26" s="73">
        <v>1.6838946315438478E-2</v>
      </c>
    </row>
    <row r="27" spans="1:4" hidden="1" outlineLevel="1">
      <c r="A27" s="1" t="s">
        <v>333</v>
      </c>
      <c r="B27" s="73">
        <v>0.78895750647440122</v>
      </c>
      <c r="C27" s="73">
        <v>8.78679681873209E-2</v>
      </c>
      <c r="D27" s="73">
        <v>1.6320088266392876E-2</v>
      </c>
    </row>
    <row r="28" spans="1:4" hidden="1" outlineLevel="1">
      <c r="A28" s="1" t="s">
        <v>334</v>
      </c>
      <c r="B28" s="73">
        <v>0.78464894706379951</v>
      </c>
      <c r="C28" s="73">
        <v>9.4682635086000916E-2</v>
      </c>
      <c r="D28" s="73">
        <v>1.659172194767226E-2</v>
      </c>
    </row>
    <row r="29" spans="1:4" hidden="1" outlineLevel="1">
      <c r="A29" s="1" t="s">
        <v>335</v>
      </c>
      <c r="B29" s="73">
        <f>SUMIF('Source-AKL-service-directory'!A4:A1415,"Education &amp; Care Service",'Source-AKL-service-directory'!K4:K1415)/SUM('Source-AKL-service-directory'!K4:K1415)</f>
        <v>0.75989330600681149</v>
      </c>
      <c r="C29" s="73">
        <f>SUMIF('Source-AKL-service-directory'!A4:A1415,"Free Kindergarten",'Source-AKL-service-directory'!K4:K1415)/SUM('Source-AKL-service-directory'!K4:K1415)</f>
        <v>9.6145152054010072E-2</v>
      </c>
      <c r="D29" s="73">
        <f>SUMIF('Source-AKL-service-directory'!A4:A1415,"Te Kōhanga Reo",'Source-AKL-service-directory'!K4:K1415)/SUM('Source-AKL-service-directory'!K4:K1415)</f>
        <v>1.6260285120106091E-2</v>
      </c>
    </row>
    <row r="30" spans="1:4" collapsed="1">
      <c r="A30" s="1"/>
    </row>
    <row r="31" spans="1:4">
      <c r="A31" s="16" t="s">
        <v>336</v>
      </c>
    </row>
    <row r="32" spans="1:4" hidden="1" outlineLevel="1">
      <c r="A32" s="1" t="s">
        <v>229</v>
      </c>
      <c r="B32" s="69" t="s">
        <v>296</v>
      </c>
      <c r="C32" s="69" t="s">
        <v>308</v>
      </c>
      <c r="D32" s="69" t="s">
        <v>309</v>
      </c>
    </row>
    <row r="33" spans="1:4" hidden="1" outlineLevel="1">
      <c r="A33" s="1" t="s">
        <v>311</v>
      </c>
    </row>
    <row r="34" spans="1:4" hidden="1" outlineLevel="1">
      <c r="A34" s="1" t="s">
        <v>312</v>
      </c>
    </row>
    <row r="35" spans="1:4" hidden="1" outlineLevel="1">
      <c r="A35" s="1" t="s">
        <v>313</v>
      </c>
    </row>
    <row r="36" spans="1:4" hidden="1" outlineLevel="1">
      <c r="A36" s="1" t="s">
        <v>314</v>
      </c>
    </row>
    <row r="37" spans="1:4" hidden="1" outlineLevel="1">
      <c r="A37" s="1" t="s">
        <v>315</v>
      </c>
    </row>
    <row r="38" spans="1:4" hidden="1" outlineLevel="1">
      <c r="A38" s="1" t="s">
        <v>316</v>
      </c>
      <c r="B38" s="73">
        <f t="shared" ref="B38:D49" si="0">B10-B9</f>
        <v>0.6446508004837751</v>
      </c>
      <c r="C38" s="73">
        <f t="shared" si="0"/>
        <v>0.23096160547731792</v>
      </c>
      <c r="D38" s="73">
        <f t="shared" si="0"/>
        <v>2.6525633929852611E-2</v>
      </c>
    </row>
    <row r="39" spans="1:4" hidden="1" outlineLevel="1">
      <c r="A39" s="1" t="s">
        <v>317</v>
      </c>
      <c r="B39" s="73">
        <f t="shared" si="0"/>
        <v>6.0250490283861868E-3</v>
      </c>
      <c r="C39" s="73">
        <f t="shared" si="0"/>
        <v>-8.5150896151397759E-3</v>
      </c>
      <c r="D39" s="73">
        <f t="shared" si="0"/>
        <v>-1.8071554323561244E-3</v>
      </c>
    </row>
    <row r="40" spans="1:4" hidden="1" outlineLevel="1">
      <c r="A40" s="1" t="s">
        <v>318</v>
      </c>
      <c r="B40" s="73">
        <f t="shared" si="0"/>
        <v>1.0402812400908568E-2</v>
      </c>
      <c r="C40" s="73">
        <f t="shared" si="0"/>
        <v>-1.354110738155917E-2</v>
      </c>
      <c r="D40" s="73">
        <f t="shared" si="0"/>
        <v>-4.447926900171574E-4</v>
      </c>
    </row>
    <row r="41" spans="1:4" hidden="1" outlineLevel="1">
      <c r="A41" s="1" t="s">
        <v>319</v>
      </c>
      <c r="B41" s="73">
        <f t="shared" si="0"/>
        <v>6.9269654239410006E-3</v>
      </c>
      <c r="C41" s="73">
        <f t="shared" si="0"/>
        <v>-1.0097515400022183E-2</v>
      </c>
      <c r="D41" s="73">
        <f t="shared" si="0"/>
        <v>-1.0053877067055725E-3</v>
      </c>
    </row>
    <row r="42" spans="1:4" hidden="1" outlineLevel="1">
      <c r="A42" s="1" t="s">
        <v>320</v>
      </c>
      <c r="B42" s="73">
        <f t="shared" si="0"/>
        <v>2.214741405131837E-2</v>
      </c>
      <c r="C42" s="73">
        <f t="shared" si="0"/>
        <v>-2.2792624286195357E-2</v>
      </c>
      <c r="D42" s="73">
        <f t="shared" si="0"/>
        <v>-1.3900950116704468E-3</v>
      </c>
    </row>
    <row r="43" spans="1:4" hidden="1" outlineLevel="1">
      <c r="A43" s="1" t="s">
        <v>321</v>
      </c>
      <c r="B43" s="73">
        <f t="shared" si="0"/>
        <v>1.2771787460040596E-2</v>
      </c>
      <c r="C43" s="73">
        <f t="shared" si="0"/>
        <v>-1.2150292179475664E-2</v>
      </c>
      <c r="D43" s="73">
        <f t="shared" si="0"/>
        <v>2.8678030410484931E-4</v>
      </c>
    </row>
    <row r="44" spans="1:4" hidden="1" outlineLevel="1">
      <c r="A44" s="1" t="s">
        <v>322</v>
      </c>
      <c r="B44" s="73">
        <f t="shared" si="0"/>
        <v>1.022560312419496E-2</v>
      </c>
      <c r="C44" s="73">
        <f t="shared" si="0"/>
        <v>-7.4315531499122567E-3</v>
      </c>
      <c r="D44" s="73">
        <f t="shared" si="0"/>
        <v>-1.1269302375001879E-3</v>
      </c>
    </row>
    <row r="45" spans="1:4" hidden="1" outlineLevel="1">
      <c r="A45" s="1" t="s">
        <v>323</v>
      </c>
      <c r="B45" s="73">
        <f t="shared" si="0"/>
        <v>1.6517726890604489E-2</v>
      </c>
      <c r="C45" s="73">
        <f t="shared" si="0"/>
        <v>-1.7467977638118942E-2</v>
      </c>
      <c r="D45" s="73">
        <f t="shared" si="0"/>
        <v>-1.3474316903816265E-3</v>
      </c>
    </row>
    <row r="46" spans="1:4" hidden="1" outlineLevel="1">
      <c r="A46" s="1" t="s">
        <v>324</v>
      </c>
      <c r="B46" s="73">
        <f t="shared" si="0"/>
        <v>1.2215060164075475E-2</v>
      </c>
      <c r="C46" s="73">
        <f t="shared" si="0"/>
        <v>-1.8928322565081201E-2</v>
      </c>
      <c r="D46" s="73">
        <f t="shared" si="0"/>
        <v>-5.7843370971066496E-4</v>
      </c>
    </row>
    <row r="47" spans="1:4" hidden="1" outlineLevel="1">
      <c r="A47" s="1" t="s">
        <v>325</v>
      </c>
      <c r="B47" s="73">
        <f t="shared" si="0"/>
        <v>-2.8312684430427337E-2</v>
      </c>
      <c r="C47" s="73">
        <f t="shared" si="0"/>
        <v>-7.5751171827860148E-3</v>
      </c>
      <c r="D47" s="73">
        <f t="shared" si="0"/>
        <v>-9.0490484245041303E-4</v>
      </c>
    </row>
    <row r="48" spans="1:4" hidden="1" outlineLevel="1">
      <c r="A48" s="1" t="s">
        <v>326</v>
      </c>
      <c r="B48" s="73">
        <f t="shared" si="0"/>
        <v>9.0268145065558469E-3</v>
      </c>
      <c r="C48" s="73">
        <f t="shared" si="0"/>
        <v>-2.6307396212548739E-3</v>
      </c>
      <c r="D48" s="73">
        <f t="shared" si="0"/>
        <v>-7.1607265087066801E-4</v>
      </c>
    </row>
    <row r="49" spans="1:13" hidden="1" outlineLevel="1">
      <c r="A49" s="1" t="s">
        <v>327</v>
      </c>
      <c r="B49" s="73">
        <f t="shared" si="0"/>
        <v>3.2968061743237076E-3</v>
      </c>
      <c r="C49" s="73">
        <f t="shared" si="0"/>
        <v>-6.6326622123522999E-3</v>
      </c>
      <c r="D49" s="73">
        <f t="shared" si="0"/>
        <v>1.1565219772284932E-4</v>
      </c>
    </row>
    <row r="50" spans="1:13" hidden="1" outlineLevel="1">
      <c r="A50" s="1" t="s">
        <v>328</v>
      </c>
      <c r="B50" s="73">
        <f t="shared" ref="B50:D57" si="1">B22-B21</f>
        <v>1.0425626187532178E-2</v>
      </c>
      <c r="C50" s="73">
        <f t="shared" si="1"/>
        <v>-1.9809703492823239E-3</v>
      </c>
      <c r="D50" s="73">
        <f t="shared" si="1"/>
        <v>-1.3911174947447147E-3</v>
      </c>
    </row>
    <row r="51" spans="1:13" hidden="1" outlineLevel="1">
      <c r="A51" s="1" t="s">
        <v>329</v>
      </c>
      <c r="B51" s="73">
        <f t="shared" si="1"/>
        <v>7.0566908337383882E-3</v>
      </c>
      <c r="C51" s="73">
        <f t="shared" si="1"/>
        <v>-4.0095489753875363E-3</v>
      </c>
      <c r="D51" s="73">
        <f t="shared" si="1"/>
        <v>8.4967554721451094E-5</v>
      </c>
    </row>
    <row r="52" spans="1:13" hidden="1" outlineLevel="1">
      <c r="A52" s="1" t="s">
        <v>330</v>
      </c>
      <c r="B52" s="73">
        <f t="shared" si="1"/>
        <v>6.2431283593562537E-3</v>
      </c>
      <c r="C52" s="73">
        <f t="shared" si="1"/>
        <v>1.5715318851373256E-3</v>
      </c>
      <c r="D52" s="73">
        <f t="shared" si="1"/>
        <v>7.0080907737251827E-4</v>
      </c>
    </row>
    <row r="53" spans="1:13" hidden="1" outlineLevel="1">
      <c r="A53" s="1" t="s">
        <v>331</v>
      </c>
      <c r="B53" s="73">
        <f t="shared" si="1"/>
        <v>1.1735500131129784E-2</v>
      </c>
      <c r="C53" s="73">
        <f t="shared" si="1"/>
        <v>-5.9613444061022564E-3</v>
      </c>
      <c r="D53" s="73">
        <f t="shared" si="1"/>
        <v>-5.8395434052604944E-4</v>
      </c>
    </row>
    <row r="54" spans="1:13" hidden="1" outlineLevel="1">
      <c r="A54" s="1" t="s">
        <v>332</v>
      </c>
      <c r="B54" s="73">
        <f t="shared" si="1"/>
        <v>1.2436162965131281E-2</v>
      </c>
      <c r="C54" s="73">
        <f t="shared" si="1"/>
        <v>-2.2547512260608221E-3</v>
      </c>
      <c r="D54" s="73">
        <f t="shared" si="1"/>
        <v>4.2137905859782401E-4</v>
      </c>
    </row>
    <row r="55" spans="1:13" hidden="1" outlineLevel="1">
      <c r="A55" s="1" t="s">
        <v>333</v>
      </c>
      <c r="B55" s="73">
        <f t="shared" si="1"/>
        <v>1.516624271981637E-2</v>
      </c>
      <c r="C55" s="73">
        <f t="shared" si="1"/>
        <v>-2.6955529864036709E-3</v>
      </c>
      <c r="D55" s="73">
        <f t="shared" si="1"/>
        <v>-5.1885804904560143E-4</v>
      </c>
    </row>
    <row r="56" spans="1:13" hidden="1" outlineLevel="1">
      <c r="A56" s="1" t="s">
        <v>334</v>
      </c>
      <c r="B56" s="73">
        <f t="shared" si="1"/>
        <v>-4.3085594106017089E-3</v>
      </c>
      <c r="C56" s="73">
        <f t="shared" si="1"/>
        <v>6.8146668986800163E-3</v>
      </c>
      <c r="D56" s="73">
        <f t="shared" si="1"/>
        <v>2.7163368127938389E-4</v>
      </c>
    </row>
    <row r="57" spans="1:13" hidden="1" outlineLevel="1">
      <c r="A57" s="1" t="s">
        <v>337</v>
      </c>
      <c r="B57" s="73">
        <f t="shared" si="1"/>
        <v>-2.475564105698802E-2</v>
      </c>
      <c r="C57" s="73">
        <f t="shared" si="1"/>
        <v>1.462516968009156E-3</v>
      </c>
      <c r="D57" s="73">
        <f t="shared" si="1"/>
        <v>-3.314368275661693E-4</v>
      </c>
    </row>
    <row r="58" spans="1:13" collapsed="1"/>
    <row r="59" spans="1:13">
      <c r="A59" s="6" t="s">
        <v>338</v>
      </c>
      <c r="F59" s="6" t="s">
        <v>339</v>
      </c>
      <c r="K59" s="6" t="s">
        <v>340</v>
      </c>
    </row>
    <row r="60" spans="1:13" outlineLevel="1">
      <c r="B60" s="69" t="s">
        <v>296</v>
      </c>
      <c r="C60" s="69" t="s">
        <v>308</v>
      </c>
      <c r="D60" s="69" t="s">
        <v>309</v>
      </c>
      <c r="F60" s="69" t="s">
        <v>341</v>
      </c>
      <c r="G60" s="23" t="s">
        <v>296</v>
      </c>
      <c r="H60" s="23" t="s">
        <v>308</v>
      </c>
      <c r="I60" s="23" t="s">
        <v>309</v>
      </c>
      <c r="K60" s="1" t="s">
        <v>342</v>
      </c>
      <c r="L60" s="23" t="s">
        <v>296</v>
      </c>
      <c r="M60" s="23" t="s">
        <v>308</v>
      </c>
    </row>
    <row r="61" spans="1:13" outlineLevel="1">
      <c r="A61" s="75" t="s">
        <v>343</v>
      </c>
      <c r="F61" t="s">
        <v>344</v>
      </c>
      <c r="G61" s="71">
        <v>24.8</v>
      </c>
      <c r="H61" s="71">
        <v>18.399999999999999</v>
      </c>
      <c r="I61" s="71">
        <v>24</v>
      </c>
      <c r="K61" t="s">
        <v>253</v>
      </c>
      <c r="L61" s="13">
        <v>0.5</v>
      </c>
      <c r="M61" s="13">
        <v>1</v>
      </c>
    </row>
    <row r="62" spans="1:13" outlineLevel="1">
      <c r="A62" s="76" t="s">
        <v>240</v>
      </c>
      <c r="B62" s="73">
        <f>MIN(MarketShare[Education &amp; Care])</f>
        <v>0.6446508004837751</v>
      </c>
      <c r="C62" s="73">
        <f>MIN(MarketShare[Kindergarten])</f>
        <v>8.78679681873209E-2</v>
      </c>
      <c r="D62" s="73">
        <f>MIN(MarketShare[Te Kōhanga Reo*])</f>
        <v>1.6215744965272734E-2</v>
      </c>
      <c r="F62" t="s">
        <v>117</v>
      </c>
      <c r="G62" s="71">
        <f>G61/40</f>
        <v>0.62</v>
      </c>
      <c r="H62" s="71">
        <f t="shared" ref="H62:I62" si="2">H61/40</f>
        <v>0.45999999999999996</v>
      </c>
      <c r="I62" s="71">
        <f t="shared" si="2"/>
        <v>0.6</v>
      </c>
      <c r="K62" t="s">
        <v>256</v>
      </c>
      <c r="L62" s="13">
        <f>AVERAGE('Source-fte_qualstus_x_servtype'!K14:AA14)</f>
        <v>0.64082427899520467</v>
      </c>
      <c r="M62" s="13">
        <v>1</v>
      </c>
    </row>
    <row r="63" spans="1:13" outlineLevel="1">
      <c r="A63" s="76" t="s">
        <v>241</v>
      </c>
      <c r="B63" s="73">
        <f>AVERAGE(MarketShare[Education &amp; Care])</f>
        <v>0.72311073184175767</v>
      </c>
      <c r="C63" s="73">
        <f>AVERAGE(MarketShare[Kindergarten])</f>
        <v>0.13506062110847991</v>
      </c>
      <c r="D63" s="73">
        <f>AVERAGE(MarketShare[Te Kōhanga Reo*])</f>
        <v>1.9396104440956248E-2</v>
      </c>
      <c r="K63" t="s">
        <v>254</v>
      </c>
      <c r="L63" s="13">
        <v>1</v>
      </c>
      <c r="M63" s="13">
        <v>1</v>
      </c>
    </row>
    <row r="64" spans="1:13" outlineLevel="1">
      <c r="A64" s="76" t="s">
        <v>242</v>
      </c>
      <c r="B64" s="73">
        <f>MEDIAN(MarketShare[Education &amp; Care])</f>
        <v>0.72778115707043312</v>
      </c>
      <c r="C64" s="73">
        <f>MEDIAN(MarketShare[Kindergarten])</f>
        <v>0.11114663626839992</v>
      </c>
      <c r="D64" s="73">
        <f>MEDIAN(MarketShare[Te Kōhanga Reo*])</f>
        <v>1.7907072686591356E-2</v>
      </c>
      <c r="F64" s="6" t="s">
        <v>345</v>
      </c>
    </row>
    <row r="65" spans="1:9" outlineLevel="1">
      <c r="A65" s="76" t="s">
        <v>243</v>
      </c>
      <c r="B65" s="73">
        <f>MAX(MarketShare[Education &amp; Care])</f>
        <v>0.78895750647440122</v>
      </c>
      <c r="C65" s="73">
        <f>MAX(MarketShare[Kindergarten])</f>
        <v>0.23096160547731792</v>
      </c>
      <c r="D65" s="73">
        <f>MAX(MarketShare[Te Kōhanga Reo*])</f>
        <v>2.6525633929852611E-2</v>
      </c>
      <c r="F65" s="1" t="s">
        <v>346</v>
      </c>
      <c r="G65" s="23" t="s">
        <v>296</v>
      </c>
      <c r="H65" s="23" t="s">
        <v>308</v>
      </c>
      <c r="I65" s="23" t="s">
        <v>347</v>
      </c>
    </row>
    <row r="66" spans="1:9" outlineLevel="1">
      <c r="A66" s="76" t="s">
        <v>275</v>
      </c>
      <c r="B66" s="73">
        <f>B65-B62</f>
        <v>0.14430670599062612</v>
      </c>
      <c r="C66" s="73">
        <f t="shared" ref="C66:D66" si="3">C65-C62</f>
        <v>0.14309363728999702</v>
      </c>
      <c r="D66" s="73">
        <f t="shared" si="3"/>
        <v>1.0309888964579877E-2</v>
      </c>
      <c r="F66" t="s">
        <v>348</v>
      </c>
      <c r="G66" s="67">
        <f>1/5</f>
        <v>0.2</v>
      </c>
      <c r="H66" s="67">
        <f>1/5</f>
        <v>0.2</v>
      </c>
      <c r="I66" s="67">
        <f>1/4</f>
        <v>0.25</v>
      </c>
    </row>
    <row r="67" spans="1:9" outlineLevel="1">
      <c r="A67" s="77" t="s">
        <v>349</v>
      </c>
      <c r="F67" t="s">
        <v>350</v>
      </c>
      <c r="G67" s="67">
        <f>1/10</f>
        <v>0.1</v>
      </c>
      <c r="H67" s="67">
        <f>1/10</f>
        <v>0.1</v>
      </c>
      <c r="I67" s="67">
        <f>1/6</f>
        <v>0.16666666666666666</v>
      </c>
    </row>
    <row r="68" spans="1:9" outlineLevel="1">
      <c r="A68" s="76" t="s">
        <v>240</v>
      </c>
      <c r="B68" s="73">
        <f>MIN(B20:B29)</f>
        <v>0.72259734910337325</v>
      </c>
      <c r="C68" s="73">
        <f t="shared" ref="C68:D68" si="4">MIN(C20:C29)</f>
        <v>8.78679681873209E-2</v>
      </c>
      <c r="D68" s="73">
        <f t="shared" si="4"/>
        <v>1.6215744965272734E-2</v>
      </c>
      <c r="F68" t="s">
        <v>351</v>
      </c>
      <c r="G68" s="78">
        <f>1/4.02</f>
        <v>0.24875621890547267</v>
      </c>
      <c r="H68" s="78">
        <f>1/4.49</f>
        <v>0.22271714922048996</v>
      </c>
      <c r="I68" s="78"/>
    </row>
    <row r="69" spans="1:9" outlineLevel="1">
      <c r="A69" s="76" t="s">
        <v>241</v>
      </c>
      <c r="B69" s="73">
        <f>AVERAGE(B20:B29)</f>
        <v>0.75464534828926411</v>
      </c>
      <c r="C69" s="73">
        <f t="shared" ref="C69:D69" si="5">AVERAGE(C20:C29)</f>
        <v>9.7231275522681043E-2</v>
      </c>
      <c r="D69" s="73">
        <f t="shared" si="5"/>
        <v>1.6704466071139602E-2</v>
      </c>
      <c r="F69" t="s">
        <v>352</v>
      </c>
      <c r="G69" s="78">
        <f>1/5.17</f>
        <v>0.19342359767891684</v>
      </c>
      <c r="H69" s="78">
        <f>1/5.73</f>
        <v>0.17452006980802792</v>
      </c>
      <c r="I69" s="78"/>
    </row>
    <row r="70" spans="1:9" outlineLevel="1">
      <c r="A70" s="76" t="s">
        <v>242</v>
      </c>
      <c r="B70" s="73">
        <f>MEDIAN(B20:B29)</f>
        <v>0.75475645333256769</v>
      </c>
      <c r="C70" s="73">
        <f t="shared" ref="C70:D70" si="6">MEDIAN(C20:C29)</f>
        <v>9.6676618487380198E-2</v>
      </c>
      <c r="D70" s="73">
        <f t="shared" si="6"/>
        <v>1.6504644602256459E-2</v>
      </c>
      <c r="F70" t="s">
        <v>353</v>
      </c>
      <c r="G70" s="78">
        <f>1/6.08</f>
        <v>0.16447368421052633</v>
      </c>
      <c r="H70" s="78">
        <f>1/6.87</f>
        <v>0.14556040756914118</v>
      </c>
      <c r="I70" s="78"/>
    </row>
    <row r="71" spans="1:9" outlineLevel="1">
      <c r="A71" s="76" t="s">
        <v>243</v>
      </c>
      <c r="B71" s="73">
        <f>MAX(B20:B29)</f>
        <v>0.78895750647440122</v>
      </c>
      <c r="C71" s="73">
        <f t="shared" ref="C71:D71" si="7">MAX(C20:C29)</f>
        <v>0.10983126645777248</v>
      </c>
      <c r="D71" s="73">
        <f t="shared" si="7"/>
        <v>1.7606862460017449E-2</v>
      </c>
    </row>
    <row r="72" spans="1:9" outlineLevel="1">
      <c r="A72" s="76" t="s">
        <v>275</v>
      </c>
      <c r="B72" s="73">
        <f>B71-B68</f>
        <v>6.6360157371027961E-2</v>
      </c>
      <c r="C72" s="73">
        <f t="shared" ref="C72:D72" si="8">C71-C68</f>
        <v>2.1963298270451584E-2</v>
      </c>
      <c r="D72" s="73">
        <f t="shared" si="8"/>
        <v>1.3911174947447147E-3</v>
      </c>
      <c r="F72" s="6" t="s">
        <v>354</v>
      </c>
    </row>
    <row r="73" spans="1:9" outlineLevel="1">
      <c r="A73" s="77" t="s">
        <v>355</v>
      </c>
      <c r="F73" s="79" t="s">
        <v>346</v>
      </c>
      <c r="G73" s="80" t="s">
        <v>296</v>
      </c>
      <c r="H73" s="80" t="s">
        <v>308</v>
      </c>
      <c r="I73" s="80" t="s">
        <v>347</v>
      </c>
    </row>
    <row r="74" spans="1:9" outlineLevel="1">
      <c r="A74" s="76" t="s">
        <v>240</v>
      </c>
      <c r="B74" s="73">
        <f>MIN(B25:B29)</f>
        <v>0.75989330600681149</v>
      </c>
      <c r="C74" s="73">
        <f t="shared" ref="C74:D74" si="9">MIN(C25:C29)</f>
        <v>8.78679681873209E-2</v>
      </c>
      <c r="D74" s="73">
        <f t="shared" si="9"/>
        <v>1.6260285120106091E-2</v>
      </c>
      <c r="F74" s="78" t="s">
        <v>356</v>
      </c>
      <c r="G74" s="81">
        <v>0.20973765978720446</v>
      </c>
      <c r="H74" s="81">
        <v>1.2647467549747198E-2</v>
      </c>
      <c r="I74" s="81">
        <v>0.2536810848868889</v>
      </c>
    </row>
    <row r="75" spans="1:9" outlineLevel="1">
      <c r="A75" s="76" t="s">
        <v>241</v>
      </c>
      <c r="B75" s="73">
        <f>AVERAGE(B25:B29)</f>
        <v>0.77372922481781015</v>
      </c>
      <c r="C75" s="73">
        <f t="shared" ref="C75:D75" si="10">AVERAGE(C25:C29)</f>
        <v>9.2415509780168367E-2</v>
      </c>
      <c r="D75" s="73">
        <f t="shared" si="10"/>
        <v>1.6485721781290073E-2</v>
      </c>
      <c r="F75" s="78" t="s">
        <v>357</v>
      </c>
      <c r="G75" s="81">
        <v>0.23076762124248795</v>
      </c>
      <c r="H75" s="81">
        <v>0.14979598474320688</v>
      </c>
      <c r="I75" s="81">
        <v>0.26121162028958889</v>
      </c>
    </row>
    <row r="76" spans="1:9" outlineLevel="1">
      <c r="A76" s="76" t="s">
        <v>242</v>
      </c>
      <c r="B76" s="73">
        <f>MEDIAN(B25:B29)</f>
        <v>0.77379126375458485</v>
      </c>
      <c r="C76" s="73">
        <f t="shared" ref="C76:D76" si="11">MEDIAN(C25:C29)</f>
        <v>9.2818272399785393E-2</v>
      </c>
      <c r="D76" s="73">
        <f t="shared" si="11"/>
        <v>1.6417567256840654E-2</v>
      </c>
      <c r="F76" s="78" t="s">
        <v>358</v>
      </c>
      <c r="G76" s="81">
        <v>0.54219368607951357</v>
      </c>
      <c r="H76" s="81">
        <v>0.81230596375033259</v>
      </c>
      <c r="I76" s="81">
        <v>0.48510729482352222</v>
      </c>
    </row>
    <row r="77" spans="1:9" outlineLevel="1">
      <c r="A77" s="76" t="s">
        <v>243</v>
      </c>
      <c r="B77" s="73">
        <f>MAX(B25:B29)</f>
        <v>0.78895750647440122</v>
      </c>
      <c r="C77" s="73">
        <f t="shared" ref="C77:D77" si="12">MAX(C25:C29)</f>
        <v>9.6145152054010072E-2</v>
      </c>
      <c r="D77" s="73">
        <f t="shared" si="12"/>
        <v>1.6838946315438478E-2</v>
      </c>
      <c r="F77" s="78" t="s">
        <v>359</v>
      </c>
      <c r="G77" s="81">
        <v>1.6819784394695506E-2</v>
      </c>
      <c r="H77" s="81">
        <v>2.5250583956713285E-2</v>
      </c>
      <c r="I77" s="81"/>
    </row>
    <row r="78" spans="1:9" outlineLevel="1">
      <c r="A78" s="76" t="s">
        <v>275</v>
      </c>
      <c r="B78" s="73">
        <f>B77-B74</f>
        <v>2.9064200467589729E-2</v>
      </c>
      <c r="C78" s="73">
        <f t="shared" ref="C78:D78" si="13">C77-C74</f>
        <v>8.2771838666891723E-3</v>
      </c>
      <c r="D78" s="73">
        <f t="shared" si="13"/>
        <v>5.7866119533238683E-4</v>
      </c>
      <c r="G78" s="2"/>
      <c r="H78" s="2"/>
      <c r="I78" s="2"/>
    </row>
    <row r="82" spans="1:22" ht="43.35" customHeight="1">
      <c r="A82" s="6" t="s">
        <v>360</v>
      </c>
      <c r="B82" s="82"/>
      <c r="C82" s="82"/>
      <c r="D82" s="82"/>
      <c r="F82" s="6" t="s">
        <v>361</v>
      </c>
      <c r="O82" s="178" t="s">
        <v>362</v>
      </c>
      <c r="P82" s="178"/>
      <c r="Q82" s="178"/>
      <c r="R82" s="178"/>
      <c r="U82" s="1" t="s">
        <v>363</v>
      </c>
    </row>
    <row r="83" spans="1:22" ht="29.1" outlineLevel="1">
      <c r="A83" s="1" t="s">
        <v>229</v>
      </c>
      <c r="B83" s="69" t="s">
        <v>296</v>
      </c>
      <c r="C83" s="69" t="s">
        <v>308</v>
      </c>
      <c r="D83" s="23" t="s">
        <v>236</v>
      </c>
      <c r="F83" s="1" t="s">
        <v>229</v>
      </c>
      <c r="G83" s="15" t="s">
        <v>364</v>
      </c>
      <c r="H83" s="15" t="s">
        <v>365</v>
      </c>
      <c r="I83" s="15" t="s">
        <v>366</v>
      </c>
      <c r="J83" s="15" t="s">
        <v>367</v>
      </c>
      <c r="K83" s="15" t="s">
        <v>368</v>
      </c>
      <c r="L83" s="15" t="s">
        <v>369</v>
      </c>
      <c r="M83" s="15" t="s">
        <v>370</v>
      </c>
      <c r="O83" s="1" t="s">
        <v>229</v>
      </c>
      <c r="P83" s="15" t="s">
        <v>296</v>
      </c>
      <c r="Q83" s="15" t="s">
        <v>308</v>
      </c>
      <c r="R83" s="15" t="s">
        <v>370</v>
      </c>
      <c r="U83" s="1" t="s">
        <v>229</v>
      </c>
      <c r="V83" s="15" t="s">
        <v>296</v>
      </c>
    </row>
    <row r="84" spans="1:22" outlineLevel="1">
      <c r="A84" s="1">
        <v>2025</v>
      </c>
      <c r="B84" s="83">
        <f>MROUND(('T15'!$Q15*B$75),5)</f>
        <v>42220</v>
      </c>
      <c r="C84" s="83">
        <f>MROUND(('T15'!$Q15*C$75),5)</f>
        <v>5045</v>
      </c>
      <c r="D84" s="66">
        <f t="shared" ref="D84:D94" si="14">SUM(B84:C84)</f>
        <v>47265</v>
      </c>
      <c r="F84" s="1">
        <v>2025</v>
      </c>
      <c r="G84" s="66">
        <f>MROUND(((CentreBasedHeadcountEnrolmentsLow[[#This Row],[Education &amp; Care]]*G$74)*G$68)*'Source-fte_qualstus_x_servtype'!J31,5)</f>
        <v>1875</v>
      </c>
      <c r="H84" s="66">
        <f>MROUND(((CentreBasedHeadcountEnrolmentsLow[[#This Row],[Education &amp; Care]]*G$75)*G$69)*'Source-fte_qualstus_x_servtype'!J31,5)</f>
        <v>1605</v>
      </c>
      <c r="I84" s="66">
        <f>MROUND(((CentreBasedHeadcountEnrolmentsLow[[#This Row],[Education &amp; Care]]*SUM(G$76:G$77))*G$70)*'Source-fte_qualstus_x_servtype'!J31,5)</f>
        <v>3305</v>
      </c>
      <c r="J84" s="66">
        <f>MROUND(((CentreBasedHeadcountEnrolmentsLow[[#This Row],[Kindergarten]]*H$74)*H$68)*'Source-fte_qualstus_x_servtype'!J31,5)</f>
        <v>10</v>
      </c>
      <c r="K84" s="66">
        <f>MROUND(((CentreBasedHeadcountEnrolmentsLow[[#This Row],[Kindergarten]]*H$75)*H$69)*'Source-fte_qualstus_x_servtype'!J31,5)</f>
        <v>110</v>
      </c>
      <c r="L84" s="66">
        <f>MROUND(((CentreBasedHeadcountEnrolmentsLow[[#This Row],[Kindergarten]]*SUM(H$76:H$77))*H$70)*'Source-fte_qualstus_x_servtype'!J31,5)</f>
        <v>525</v>
      </c>
      <c r="M84" s="66">
        <f>SUM(G84:L84)</f>
        <v>7430</v>
      </c>
      <c r="O84" s="1">
        <v>2025</v>
      </c>
      <c r="P84" s="66">
        <f>MROUND(SUM(LowScenarioCentreBasedFTEDemand[[#This Row],[Education &amp; Care (under 2s)]:[Education &amp; Care (3+)]])*L$61,5)</f>
        <v>3395</v>
      </c>
      <c r="Q84" s="66">
        <f>MROUND(SUM(LowScenarioCentreBasedFTEDemand[[#This Row],[Kindergarten (Under 2s)]:[Kindergarten (3+)]])*M$61,5)</f>
        <v>645</v>
      </c>
      <c r="R84" s="66">
        <f>SUM(P84:Q84)</f>
        <v>4040</v>
      </c>
      <c r="U84" s="1">
        <v>2025</v>
      </c>
      <c r="V84" s="66">
        <f>SUM(LowScenarioCentreBasedFTEDemand[[#This Row],[Education &amp; Care (under 2s)]:[Education &amp; Care (3+)]])-LowScenarioQualifedFTE[[#This Row],[Education &amp; Care]]</f>
        <v>3390</v>
      </c>
    </row>
    <row r="85" spans="1:22" outlineLevel="1">
      <c r="A85" s="1">
        <v>2026</v>
      </c>
      <c r="B85" s="83">
        <f>MROUND(('T15'!$Q16*B$75),5)</f>
        <v>41115</v>
      </c>
      <c r="C85" s="83">
        <f>MROUND(('T15'!$Q16*C$75),5)</f>
        <v>4910</v>
      </c>
      <c r="D85" s="66">
        <f t="shared" si="14"/>
        <v>46025</v>
      </c>
      <c r="F85" s="1">
        <v>2026</v>
      </c>
      <c r="G85" s="66">
        <f>MROUND(((CentreBasedHeadcountEnrolmentsLow[[#This Row],[Education &amp; Care]]*G$74)*G$68)*'Source-fte_qualstus_x_servtype'!J32,5)</f>
        <v>1835</v>
      </c>
      <c r="H85" s="66">
        <f>MROUND(((CentreBasedHeadcountEnrolmentsLow[[#This Row],[Education &amp; Care]]*G$75)*G$69)*'Source-fte_qualstus_x_servtype'!J32,5)</f>
        <v>1570</v>
      </c>
      <c r="I85" s="66">
        <f>MROUND(((CentreBasedHeadcountEnrolmentsLow[[#This Row],[Education &amp; Care]]*SUM(G$76:G$77))*G$70)*'Source-fte_qualstus_x_servtype'!J32,5)</f>
        <v>3235</v>
      </c>
      <c r="J85" s="66">
        <f>MROUND(((CentreBasedHeadcountEnrolmentsLow[[#This Row],[Kindergarten]]*H$74)*H$68)*'Source-fte_qualstus_x_servtype'!J32,5)</f>
        <v>10</v>
      </c>
      <c r="K85" s="66">
        <f>MROUND(((CentreBasedHeadcountEnrolmentsLow[[#This Row],[Kindergarten]]*H$75)*H$69)*'Source-fte_qualstus_x_servtype'!J32,5)</f>
        <v>110</v>
      </c>
      <c r="L85" s="66">
        <f>MROUND(((CentreBasedHeadcountEnrolmentsLow[[#This Row],[Kindergarten]]*SUM(H$76:H$77))*H$70)*'Source-fte_qualstus_x_servtype'!J32,5)</f>
        <v>510</v>
      </c>
      <c r="M85" s="66">
        <f t="shared" ref="M85:M94" si="15">SUM(G85:L85)</f>
        <v>7270</v>
      </c>
      <c r="O85" s="1">
        <v>2026</v>
      </c>
      <c r="P85" s="66">
        <f>MROUND(SUM(LowScenarioCentreBasedFTEDemand[[#This Row],[Education &amp; Care (under 2s)]:[Education &amp; Care (3+)]])*L$61,5)</f>
        <v>3320</v>
      </c>
      <c r="Q85" s="66">
        <f>MROUND(SUM(LowScenarioCentreBasedFTEDemand[[#This Row],[Kindergarten (Under 2s)]:[Kindergarten (3+)]])*M$61,5)</f>
        <v>630</v>
      </c>
      <c r="R85" s="66">
        <f t="shared" ref="R85:R94" si="16">SUM(P85:Q85)</f>
        <v>3950</v>
      </c>
      <c r="U85" s="1">
        <v>2026</v>
      </c>
      <c r="V85" s="66">
        <f>SUM(LowScenarioCentreBasedFTEDemand[[#This Row],[Education &amp; Care (under 2s)]:[Education &amp; Care (3+)]])-LowScenarioQualifedFTE[[#This Row],[Education &amp; Care]]</f>
        <v>3320</v>
      </c>
    </row>
    <row r="86" spans="1:22" outlineLevel="1">
      <c r="A86" s="1">
        <v>2027</v>
      </c>
      <c r="B86" s="83">
        <f>MROUND(('T15'!$Q17*B$75),5)</f>
        <v>40050</v>
      </c>
      <c r="C86" s="83">
        <f>MROUND(('T15'!$Q17*C$75),5)</f>
        <v>4785</v>
      </c>
      <c r="D86" s="66">
        <f t="shared" si="14"/>
        <v>44835</v>
      </c>
      <c r="F86" s="1">
        <v>2027</v>
      </c>
      <c r="G86" s="66">
        <f>MROUND(((CentreBasedHeadcountEnrolmentsLow[[#This Row],[Education &amp; Care]]*G$74)*G$68)*'Source-fte_qualstus_x_servtype'!J33,5)</f>
        <v>1795</v>
      </c>
      <c r="H86" s="66">
        <f>MROUND(((CentreBasedHeadcountEnrolmentsLow[[#This Row],[Education &amp; Care]]*G$75)*G$69)*'Source-fte_qualstus_x_servtype'!J33,5)</f>
        <v>1535</v>
      </c>
      <c r="I86" s="66">
        <f>MROUND(((CentreBasedHeadcountEnrolmentsLow[[#This Row],[Education &amp; Care]]*SUM(G$76:G$77))*G$70)*'Source-fte_qualstus_x_servtype'!J33,5)</f>
        <v>3165</v>
      </c>
      <c r="J86" s="66">
        <f>MROUND(((CentreBasedHeadcountEnrolmentsLow[[#This Row],[Kindergarten]]*H$74)*H$68)*'Source-fte_qualstus_x_servtype'!J33,5)</f>
        <v>10</v>
      </c>
      <c r="K86" s="66">
        <f>MROUND(((CentreBasedHeadcountEnrolmentsLow[[#This Row],[Kindergarten]]*H$75)*H$69)*'Source-fte_qualstus_x_servtype'!J33,5)</f>
        <v>105</v>
      </c>
      <c r="L86" s="66">
        <f>MROUND(((CentreBasedHeadcountEnrolmentsLow[[#This Row],[Kindergarten]]*SUM(H$76:H$77))*H$70)*'Source-fte_qualstus_x_servtype'!J33,5)</f>
        <v>500</v>
      </c>
      <c r="M86" s="66">
        <f t="shared" si="15"/>
        <v>7110</v>
      </c>
      <c r="O86" s="1">
        <v>2027</v>
      </c>
      <c r="P86" s="66">
        <f>MROUND(SUM(LowScenarioCentreBasedFTEDemand[[#This Row],[Education &amp; Care (under 2s)]:[Education &amp; Care (3+)]])*L$61,5)</f>
        <v>3250</v>
      </c>
      <c r="Q86" s="66">
        <f>MROUND(SUM(LowScenarioCentreBasedFTEDemand[[#This Row],[Kindergarten (Under 2s)]:[Kindergarten (3+)]])*M$61,5)</f>
        <v>615</v>
      </c>
      <c r="R86" s="66">
        <f t="shared" si="16"/>
        <v>3865</v>
      </c>
      <c r="U86" s="1">
        <v>2027</v>
      </c>
      <c r="V86" s="66">
        <f>SUM(LowScenarioCentreBasedFTEDemand[[#This Row],[Education &amp; Care (under 2s)]:[Education &amp; Care (3+)]])-LowScenarioQualifedFTE[[#This Row],[Education &amp; Care]]</f>
        <v>3245</v>
      </c>
    </row>
    <row r="87" spans="1:22" outlineLevel="1">
      <c r="A87" s="1">
        <v>2028</v>
      </c>
      <c r="B87" s="83">
        <f>MROUND(('T15'!$Q18*B$75),5)</f>
        <v>39880</v>
      </c>
      <c r="C87" s="83">
        <f>MROUND(('T15'!$Q18*C$75),5)</f>
        <v>4765</v>
      </c>
      <c r="D87" s="66">
        <f t="shared" si="14"/>
        <v>44645</v>
      </c>
      <c r="F87" s="1">
        <v>2028</v>
      </c>
      <c r="G87" s="66">
        <f>MROUND(((CentreBasedHeadcountEnrolmentsLow[[#This Row],[Education &amp; Care]]*G$74)*G$68)*'Source-fte_qualstus_x_servtype'!J34,5)</f>
        <v>1795</v>
      </c>
      <c r="H87" s="66">
        <f>MROUND(((CentreBasedHeadcountEnrolmentsLow[[#This Row],[Education &amp; Care]]*G$75)*G$69)*'Source-fte_qualstus_x_servtype'!J34,5)</f>
        <v>1535</v>
      </c>
      <c r="I87" s="66">
        <f>MROUND(((CentreBasedHeadcountEnrolmentsLow[[#This Row],[Education &amp; Care]]*SUM(G$76:G$77))*G$70)*'Source-fte_qualstus_x_servtype'!J34,5)</f>
        <v>3165</v>
      </c>
      <c r="J87" s="66">
        <f>MROUND(((CentreBasedHeadcountEnrolmentsLow[[#This Row],[Kindergarten]]*H$74)*H$68)*'Source-fte_qualstus_x_servtype'!J34,5)</f>
        <v>10</v>
      </c>
      <c r="K87" s="66">
        <f>MROUND(((CentreBasedHeadcountEnrolmentsLow[[#This Row],[Kindergarten]]*H$75)*H$69)*'Source-fte_qualstus_x_servtype'!J34,5)</f>
        <v>110</v>
      </c>
      <c r="L87" s="66">
        <f>MROUND(((CentreBasedHeadcountEnrolmentsLow[[#This Row],[Kindergarten]]*SUM(H$76:H$77))*H$70)*'Source-fte_qualstus_x_servtype'!J34,5)</f>
        <v>500</v>
      </c>
      <c r="M87" s="66">
        <f t="shared" si="15"/>
        <v>7115</v>
      </c>
      <c r="O87" s="1">
        <v>2028</v>
      </c>
      <c r="P87" s="66">
        <f>MROUND(SUM(LowScenarioCentreBasedFTEDemand[[#This Row],[Education &amp; Care (under 2s)]:[Education &amp; Care (3+)]])*L$61,5)</f>
        <v>3250</v>
      </c>
      <c r="Q87" s="66">
        <f>MROUND(SUM(LowScenarioCentreBasedFTEDemand[[#This Row],[Kindergarten (Under 2s)]:[Kindergarten (3+)]])*M$61,5)</f>
        <v>620</v>
      </c>
      <c r="R87" s="66">
        <f t="shared" si="16"/>
        <v>3870</v>
      </c>
      <c r="U87" s="1">
        <v>2028</v>
      </c>
      <c r="V87" s="66">
        <f>SUM(LowScenarioCentreBasedFTEDemand[[#This Row],[Education &amp; Care (under 2s)]:[Education &amp; Care (3+)]])-LowScenarioQualifedFTE[[#This Row],[Education &amp; Care]]</f>
        <v>3245</v>
      </c>
    </row>
    <row r="88" spans="1:22" outlineLevel="1">
      <c r="A88" s="1">
        <v>2029</v>
      </c>
      <c r="B88" s="83">
        <f>MROUND(('T15'!$Q19*B$75),5)</f>
        <v>39710</v>
      </c>
      <c r="C88" s="83">
        <f>MROUND(('T15'!$Q19*C$75),5)</f>
        <v>4745</v>
      </c>
      <c r="D88" s="66">
        <f t="shared" si="14"/>
        <v>44455</v>
      </c>
      <c r="F88" s="1">
        <v>2029</v>
      </c>
      <c r="G88" s="66">
        <f>MROUND(((CentreBasedHeadcountEnrolmentsLow[[#This Row],[Education &amp; Care]]*G$74)*G$68)*'Source-fte_qualstus_x_servtype'!J35,5)</f>
        <v>1795</v>
      </c>
      <c r="H88" s="66">
        <f>MROUND(((CentreBasedHeadcountEnrolmentsLow[[#This Row],[Education &amp; Care]]*G$75)*G$69)*'Source-fte_qualstus_x_servtype'!J35,5)</f>
        <v>1535</v>
      </c>
      <c r="I88" s="66">
        <f>MROUND(((CentreBasedHeadcountEnrolmentsLow[[#This Row],[Education &amp; Care]]*SUM(G$76:G$77))*G$70)*'Source-fte_qualstus_x_servtype'!J35,5)</f>
        <v>3165</v>
      </c>
      <c r="J88" s="66">
        <f>MROUND(((CentreBasedHeadcountEnrolmentsLow[[#This Row],[Kindergarten]]*H$74)*H$68)*'Source-fte_qualstus_x_servtype'!J35,5)</f>
        <v>10</v>
      </c>
      <c r="K88" s="66">
        <f>MROUND(((CentreBasedHeadcountEnrolmentsLow[[#This Row],[Kindergarten]]*H$75)*H$69)*'Source-fte_qualstus_x_servtype'!J35,5)</f>
        <v>110</v>
      </c>
      <c r="L88" s="66">
        <f>MROUND(((CentreBasedHeadcountEnrolmentsLow[[#This Row],[Kindergarten]]*SUM(H$76:H$77))*H$70)*'Source-fte_qualstus_x_servtype'!J35,5)</f>
        <v>500</v>
      </c>
      <c r="M88" s="66">
        <f t="shared" si="15"/>
        <v>7115</v>
      </c>
      <c r="O88" s="1">
        <v>2029</v>
      </c>
      <c r="P88" s="66">
        <f>MROUND(SUM(LowScenarioCentreBasedFTEDemand[[#This Row],[Education &amp; Care (under 2s)]:[Education &amp; Care (3+)]])*L$61,5)</f>
        <v>3250</v>
      </c>
      <c r="Q88" s="66">
        <f>MROUND(SUM(LowScenarioCentreBasedFTEDemand[[#This Row],[Kindergarten (Under 2s)]:[Kindergarten (3+)]])*M$61,5)</f>
        <v>620</v>
      </c>
      <c r="R88" s="66">
        <f t="shared" si="16"/>
        <v>3870</v>
      </c>
      <c r="U88" s="1">
        <v>2029</v>
      </c>
      <c r="V88" s="66">
        <f>SUM(LowScenarioCentreBasedFTEDemand[[#This Row],[Education &amp; Care (under 2s)]:[Education &amp; Care (3+)]])-LowScenarioQualifedFTE[[#This Row],[Education &amp; Care]]</f>
        <v>3245</v>
      </c>
    </row>
    <row r="89" spans="1:22" outlineLevel="1">
      <c r="A89" s="1">
        <v>2030</v>
      </c>
      <c r="B89" s="83">
        <f>MROUND(('T15'!$Q20*B$75),5)</f>
        <v>39435</v>
      </c>
      <c r="C89" s="83">
        <f>MROUND(('T15'!$Q20*C$75),5)</f>
        <v>4710</v>
      </c>
      <c r="D89" s="66">
        <f t="shared" si="14"/>
        <v>44145</v>
      </c>
      <c r="F89" s="1">
        <v>2030</v>
      </c>
      <c r="G89" s="66">
        <f>MROUND(((CentreBasedHeadcountEnrolmentsLow[[#This Row],[Education &amp; Care]]*G$74)*G$68)*'Source-fte_qualstus_x_servtype'!J36,5)</f>
        <v>1790</v>
      </c>
      <c r="H89" s="66">
        <f>MROUND(((CentreBasedHeadcountEnrolmentsLow[[#This Row],[Education &amp; Care]]*G$75)*G$69)*'Source-fte_qualstus_x_servtype'!J36,5)</f>
        <v>1530</v>
      </c>
      <c r="I89" s="66">
        <f>MROUND(((CentreBasedHeadcountEnrolmentsLow[[#This Row],[Education &amp; Care]]*SUM(G$76:G$77))*G$70)*'Source-fte_qualstus_x_servtype'!J36,5)</f>
        <v>3155</v>
      </c>
      <c r="J89" s="66">
        <f>MROUND(((CentreBasedHeadcountEnrolmentsLow[[#This Row],[Kindergarten]]*H$74)*H$68)*'Source-fte_qualstus_x_servtype'!J36,5)</f>
        <v>10</v>
      </c>
      <c r="K89" s="66">
        <f>MROUND(((CentreBasedHeadcountEnrolmentsLow[[#This Row],[Kindergarten]]*H$75)*H$69)*'Source-fte_qualstus_x_servtype'!J36,5)</f>
        <v>105</v>
      </c>
      <c r="L89" s="66">
        <f>MROUND(((CentreBasedHeadcountEnrolmentsLow[[#This Row],[Kindergarten]]*SUM(H$76:H$77))*H$70)*'Source-fte_qualstus_x_servtype'!J36,5)</f>
        <v>500</v>
      </c>
      <c r="M89" s="66">
        <f t="shared" si="15"/>
        <v>7090</v>
      </c>
      <c r="O89" s="1">
        <v>2030</v>
      </c>
      <c r="P89" s="66">
        <f>MROUND(SUM(LowScenarioCentreBasedFTEDemand[[#This Row],[Education &amp; Care (under 2s)]:[Education &amp; Care (3+)]])*L$61,5)</f>
        <v>3240</v>
      </c>
      <c r="Q89" s="66">
        <f>MROUND(SUM(LowScenarioCentreBasedFTEDemand[[#This Row],[Kindergarten (Under 2s)]:[Kindergarten (3+)]])*M$61,5)</f>
        <v>615</v>
      </c>
      <c r="R89" s="66">
        <f t="shared" si="16"/>
        <v>3855</v>
      </c>
      <c r="U89" s="1">
        <v>2030</v>
      </c>
      <c r="V89" s="66">
        <f>SUM(LowScenarioCentreBasedFTEDemand[[#This Row],[Education &amp; Care (under 2s)]:[Education &amp; Care (3+)]])-LowScenarioQualifedFTE[[#This Row],[Education &amp; Care]]</f>
        <v>3235</v>
      </c>
    </row>
    <row r="90" spans="1:22" outlineLevel="1">
      <c r="A90" s="1">
        <v>2031</v>
      </c>
      <c r="B90" s="83">
        <f>MROUND(('T15'!$Q21*B$75),5)</f>
        <v>39160</v>
      </c>
      <c r="C90" s="83">
        <f>MROUND(('T15'!$Q21*C$75),5)</f>
        <v>4680</v>
      </c>
      <c r="D90" s="66">
        <f t="shared" si="14"/>
        <v>43840</v>
      </c>
      <c r="F90" s="1">
        <v>2031</v>
      </c>
      <c r="G90" s="66">
        <f>MROUND(((CentreBasedHeadcountEnrolmentsLow[[#This Row],[Education &amp; Care]]*G$74)*G$68)*'Source-fte_qualstus_x_servtype'!J37,5)</f>
        <v>1785</v>
      </c>
      <c r="H90" s="66">
        <f>MROUND(((CentreBasedHeadcountEnrolmentsLow[[#This Row],[Education &amp; Care]]*G$75)*G$69)*'Source-fte_qualstus_x_servtype'!J37,5)</f>
        <v>1530</v>
      </c>
      <c r="I90" s="66">
        <f>MROUND(((CentreBasedHeadcountEnrolmentsLow[[#This Row],[Education &amp; Care]]*SUM(G$76:G$77))*G$70)*'Source-fte_qualstus_x_servtype'!J37,5)</f>
        <v>3150</v>
      </c>
      <c r="J90" s="66">
        <f>MROUND(((CentreBasedHeadcountEnrolmentsLow[[#This Row],[Kindergarten]]*H$74)*H$68)*'Source-fte_qualstus_x_servtype'!J37,5)</f>
        <v>10</v>
      </c>
      <c r="K90" s="66">
        <f>MROUND(((CentreBasedHeadcountEnrolmentsLow[[#This Row],[Kindergarten]]*H$75)*H$69)*'Source-fte_qualstus_x_servtype'!J37,5)</f>
        <v>105</v>
      </c>
      <c r="L90" s="66">
        <f>MROUND(((CentreBasedHeadcountEnrolmentsLow[[#This Row],[Kindergarten]]*SUM(H$76:H$77))*H$70)*'Source-fte_qualstus_x_servtype'!J37,5)</f>
        <v>500</v>
      </c>
      <c r="M90" s="66">
        <f t="shared" si="15"/>
        <v>7080</v>
      </c>
      <c r="O90" s="1">
        <v>2031</v>
      </c>
      <c r="P90" s="66">
        <f>MROUND(SUM(LowScenarioCentreBasedFTEDemand[[#This Row],[Education &amp; Care (under 2s)]:[Education &amp; Care (3+)]])*L$61,5)</f>
        <v>3235</v>
      </c>
      <c r="Q90" s="66">
        <f>MROUND(SUM(LowScenarioCentreBasedFTEDemand[[#This Row],[Kindergarten (Under 2s)]:[Kindergarten (3+)]])*M$61,5)</f>
        <v>615</v>
      </c>
      <c r="R90" s="66">
        <f t="shared" si="16"/>
        <v>3850</v>
      </c>
      <c r="U90" s="1">
        <v>2031</v>
      </c>
      <c r="V90" s="66">
        <f>SUM(LowScenarioCentreBasedFTEDemand[[#This Row],[Education &amp; Care (under 2s)]:[Education &amp; Care (3+)]])-LowScenarioQualifedFTE[[#This Row],[Education &amp; Care]]</f>
        <v>3230</v>
      </c>
    </row>
    <row r="91" spans="1:22" outlineLevel="1">
      <c r="A91" s="1">
        <v>2032</v>
      </c>
      <c r="B91" s="83">
        <f>MROUND(('T15'!$Q22*B$75),5)</f>
        <v>38900</v>
      </c>
      <c r="C91" s="83">
        <f>MROUND(('T15'!$Q22*C$75),5)</f>
        <v>4645</v>
      </c>
      <c r="D91" s="66">
        <f t="shared" si="14"/>
        <v>43545</v>
      </c>
      <c r="F91" s="1">
        <v>2032</v>
      </c>
      <c r="G91" s="66">
        <f>MROUND(((CentreBasedHeadcountEnrolmentsLow[[#This Row],[Education &amp; Care]]*G$74)*G$68)*'Source-fte_qualstus_x_servtype'!J38,5)</f>
        <v>1780</v>
      </c>
      <c r="H91" s="66">
        <f>MROUND(((CentreBasedHeadcountEnrolmentsLow[[#This Row],[Education &amp; Care]]*G$75)*G$69)*'Source-fte_qualstus_x_servtype'!J38,5)</f>
        <v>1525</v>
      </c>
      <c r="I91" s="66">
        <f>MROUND(((CentreBasedHeadcountEnrolmentsLow[[#This Row],[Education &amp; Care]]*SUM(G$76:G$77))*G$70)*'Source-fte_qualstus_x_servtype'!J38,5)</f>
        <v>3140</v>
      </c>
      <c r="J91" s="66">
        <f>MROUND(((CentreBasedHeadcountEnrolmentsLow[[#This Row],[Kindergarten]]*H$74)*H$68)*'Source-fte_qualstus_x_servtype'!J38,5)</f>
        <v>10</v>
      </c>
      <c r="K91" s="66">
        <f>MROUND(((CentreBasedHeadcountEnrolmentsLow[[#This Row],[Kindergarten]]*H$75)*H$69)*'Source-fte_qualstus_x_servtype'!J38,5)</f>
        <v>105</v>
      </c>
      <c r="L91" s="66">
        <f>MROUND(((CentreBasedHeadcountEnrolmentsLow[[#This Row],[Kindergarten]]*SUM(H$76:H$77))*H$70)*'Source-fte_qualstus_x_servtype'!J38,5)</f>
        <v>495</v>
      </c>
      <c r="M91" s="66">
        <f t="shared" si="15"/>
        <v>7055</v>
      </c>
      <c r="O91" s="1">
        <v>2032</v>
      </c>
      <c r="P91" s="66">
        <f>MROUND(SUM(LowScenarioCentreBasedFTEDemand[[#This Row],[Education &amp; Care (under 2s)]:[Education &amp; Care (3+)]])*L$61,5)</f>
        <v>3225</v>
      </c>
      <c r="Q91" s="66">
        <f>MROUND(SUM(LowScenarioCentreBasedFTEDemand[[#This Row],[Kindergarten (Under 2s)]:[Kindergarten (3+)]])*M$61,5)</f>
        <v>610</v>
      </c>
      <c r="R91" s="66">
        <f t="shared" si="16"/>
        <v>3835</v>
      </c>
      <c r="U91" s="1">
        <v>2032</v>
      </c>
      <c r="V91" s="66">
        <f>SUM(LowScenarioCentreBasedFTEDemand[[#This Row],[Education &amp; Care (under 2s)]:[Education &amp; Care (3+)]])-LowScenarioQualifedFTE[[#This Row],[Education &amp; Care]]</f>
        <v>3220</v>
      </c>
    </row>
    <row r="92" spans="1:22" outlineLevel="1">
      <c r="A92" s="1">
        <v>2033</v>
      </c>
      <c r="B92" s="83">
        <f>MROUND(('T15'!$Q23*B$75),5)</f>
        <v>38675</v>
      </c>
      <c r="C92" s="83">
        <f>MROUND(('T15'!$Q23*C$75),5)</f>
        <v>4620</v>
      </c>
      <c r="D92" s="66">
        <f t="shared" si="14"/>
        <v>43295</v>
      </c>
      <c r="F92" s="1">
        <v>2033</v>
      </c>
      <c r="G92" s="66">
        <f>MROUND(((CentreBasedHeadcountEnrolmentsLow[[#This Row],[Education &amp; Care]]*G$74)*G$68)*'Source-fte_qualstus_x_servtype'!J39,5)</f>
        <v>1780</v>
      </c>
      <c r="H92" s="66">
        <f>MROUND(((CentreBasedHeadcountEnrolmentsLow[[#This Row],[Education &amp; Care]]*G$75)*G$69)*'Source-fte_qualstus_x_servtype'!J39,5)</f>
        <v>1525</v>
      </c>
      <c r="I92" s="66">
        <f>MROUND(((CentreBasedHeadcountEnrolmentsLow[[#This Row],[Education &amp; Care]]*SUM(G$76:G$77))*G$70)*'Source-fte_qualstus_x_servtype'!J39,5)</f>
        <v>3135</v>
      </c>
      <c r="J92" s="66">
        <f>MROUND(((CentreBasedHeadcountEnrolmentsLow[[#This Row],[Kindergarten]]*H$74)*H$68)*'Source-fte_qualstus_x_servtype'!J39,5)</f>
        <v>10</v>
      </c>
      <c r="K92" s="66">
        <f>MROUND(((CentreBasedHeadcountEnrolmentsLow[[#This Row],[Kindergarten]]*H$75)*H$69)*'Source-fte_qualstus_x_servtype'!J39,5)</f>
        <v>105</v>
      </c>
      <c r="L92" s="66">
        <f>MROUND(((CentreBasedHeadcountEnrolmentsLow[[#This Row],[Kindergarten]]*SUM(H$76:H$77))*H$70)*'Source-fte_qualstus_x_servtype'!J39,5)</f>
        <v>495</v>
      </c>
      <c r="M92" s="66">
        <f t="shared" si="15"/>
        <v>7050</v>
      </c>
      <c r="O92" s="1">
        <v>2033</v>
      </c>
      <c r="P92" s="66">
        <f>MROUND(SUM(LowScenarioCentreBasedFTEDemand[[#This Row],[Education &amp; Care (under 2s)]:[Education &amp; Care (3+)]])*L$61,5)</f>
        <v>3220</v>
      </c>
      <c r="Q92" s="66">
        <f>MROUND(SUM(LowScenarioCentreBasedFTEDemand[[#This Row],[Kindergarten (Under 2s)]:[Kindergarten (3+)]])*M$61,5)</f>
        <v>610</v>
      </c>
      <c r="R92" s="66">
        <f t="shared" si="16"/>
        <v>3830</v>
      </c>
      <c r="U92" s="1">
        <v>2033</v>
      </c>
      <c r="V92" s="66">
        <f>SUM(LowScenarioCentreBasedFTEDemand[[#This Row],[Education &amp; Care (under 2s)]:[Education &amp; Care (3+)]])-LowScenarioQualifedFTE[[#This Row],[Education &amp; Care]]</f>
        <v>3220</v>
      </c>
    </row>
    <row r="93" spans="1:22" outlineLevel="1">
      <c r="A93" s="1">
        <v>2034</v>
      </c>
      <c r="B93" s="83">
        <f>MROUND(('T15'!$Q24*B$75),5)</f>
        <v>38495</v>
      </c>
      <c r="C93" s="83">
        <f>MROUND(('T15'!$Q24*C$75),5)</f>
        <v>4600</v>
      </c>
      <c r="D93" s="66">
        <f t="shared" si="14"/>
        <v>43095</v>
      </c>
      <c r="F93" s="1">
        <v>2034</v>
      </c>
      <c r="G93" s="66">
        <f>MROUND(((CentreBasedHeadcountEnrolmentsLow[[#This Row],[Education &amp; Care]]*G$74)*G$68)*'Source-fte_qualstus_x_servtype'!J40,5)</f>
        <v>1780</v>
      </c>
      <c r="H93" s="66">
        <f>MROUND(((CentreBasedHeadcountEnrolmentsLow[[#This Row],[Education &amp; Care]]*G$75)*G$69)*'Source-fte_qualstus_x_servtype'!J40,5)</f>
        <v>1520</v>
      </c>
      <c r="I93" s="66">
        <f>MROUND(((CentreBasedHeadcountEnrolmentsLow[[#This Row],[Education &amp; Care]]*SUM(G$76:G$77))*G$70)*'Source-fte_qualstus_x_servtype'!J40,5)</f>
        <v>3135</v>
      </c>
      <c r="J93" s="66">
        <f>MROUND(((CentreBasedHeadcountEnrolmentsLow[[#This Row],[Kindergarten]]*H$74)*H$68)*'Source-fte_qualstus_x_servtype'!J40,5)</f>
        <v>10</v>
      </c>
      <c r="K93" s="66">
        <f>MROUND(((CentreBasedHeadcountEnrolmentsLow[[#This Row],[Kindergarten]]*H$75)*H$69)*'Source-fte_qualstus_x_servtype'!J40,5)</f>
        <v>105</v>
      </c>
      <c r="L93" s="66">
        <f>MROUND(((CentreBasedHeadcountEnrolmentsLow[[#This Row],[Kindergarten]]*SUM(H$76:H$77))*H$70)*'Source-fte_qualstus_x_servtype'!J40,5)</f>
        <v>495</v>
      </c>
      <c r="M93" s="66">
        <f t="shared" si="15"/>
        <v>7045</v>
      </c>
      <c r="O93" s="1">
        <v>2034</v>
      </c>
      <c r="P93" s="66">
        <f>MROUND(SUM(LowScenarioCentreBasedFTEDemand[[#This Row],[Education &amp; Care (under 2s)]:[Education &amp; Care (3+)]])*L$61,5)</f>
        <v>3220</v>
      </c>
      <c r="Q93" s="66">
        <f>MROUND(SUM(LowScenarioCentreBasedFTEDemand[[#This Row],[Kindergarten (Under 2s)]:[Kindergarten (3+)]])*M$61,5)</f>
        <v>610</v>
      </c>
      <c r="R93" s="66">
        <f t="shared" si="16"/>
        <v>3830</v>
      </c>
      <c r="U93" s="1">
        <v>2034</v>
      </c>
      <c r="V93" s="66">
        <f>SUM(LowScenarioCentreBasedFTEDemand[[#This Row],[Education &amp; Care (under 2s)]:[Education &amp; Care (3+)]])-LowScenarioQualifedFTE[[#This Row],[Education &amp; Care]]</f>
        <v>3215</v>
      </c>
    </row>
    <row r="94" spans="1:22" outlineLevel="1">
      <c r="A94" s="1">
        <v>2035</v>
      </c>
      <c r="B94" s="83">
        <f>MROUND(('T15'!$Q25*B$75),5)</f>
        <v>38375</v>
      </c>
      <c r="C94" s="83">
        <f>MROUND(('T15'!$Q25*C$75),5)</f>
        <v>4585</v>
      </c>
      <c r="D94" s="66">
        <f t="shared" si="14"/>
        <v>42960</v>
      </c>
      <c r="F94" s="1">
        <v>2035</v>
      </c>
      <c r="G94" s="66">
        <f>MROUND(((CentreBasedHeadcountEnrolmentsLow[[#This Row],[Education &amp; Care]]*G$74)*G$68)*'Source-fte_qualstus_x_servtype'!J41,5)</f>
        <v>1780</v>
      </c>
      <c r="H94" s="66">
        <f>MROUND(((CentreBasedHeadcountEnrolmentsLow[[#This Row],[Education &amp; Care]]*G$75)*G$69)*'Source-fte_qualstus_x_servtype'!J41,5)</f>
        <v>1525</v>
      </c>
      <c r="I94" s="66">
        <f>MROUND(((CentreBasedHeadcountEnrolmentsLow[[#This Row],[Education &amp; Care]]*SUM(G$76:G$77))*G$70)*'Source-fte_qualstus_x_servtype'!J41,5)</f>
        <v>3140</v>
      </c>
      <c r="J94" s="66">
        <f>MROUND(((CentreBasedHeadcountEnrolmentsLow[[#This Row],[Kindergarten]]*H$74)*H$68)*'Source-fte_qualstus_x_servtype'!J41,5)</f>
        <v>10</v>
      </c>
      <c r="K94" s="66">
        <f>MROUND(((CentreBasedHeadcountEnrolmentsLow[[#This Row],[Kindergarten]]*H$75)*H$69)*'Source-fte_qualstus_x_servtype'!J41,5)</f>
        <v>105</v>
      </c>
      <c r="L94" s="66">
        <f>MROUND(((CentreBasedHeadcountEnrolmentsLow[[#This Row],[Kindergarten]]*SUM(H$76:H$77))*H$70)*'Source-fte_qualstus_x_servtype'!J41,5)</f>
        <v>495</v>
      </c>
      <c r="M94" s="66">
        <f t="shared" si="15"/>
        <v>7055</v>
      </c>
      <c r="O94" s="1">
        <v>2035</v>
      </c>
      <c r="P94" s="66">
        <f>MROUND(SUM(LowScenarioCentreBasedFTEDemand[[#This Row],[Education &amp; Care (under 2s)]:[Education &amp; Care (3+)]])*L$61,5)</f>
        <v>3225</v>
      </c>
      <c r="Q94" s="66">
        <f>MROUND(SUM(LowScenarioCentreBasedFTEDemand[[#This Row],[Kindergarten (Under 2s)]:[Kindergarten (3+)]])*M$61,5)</f>
        <v>610</v>
      </c>
      <c r="R94" s="66">
        <f t="shared" si="16"/>
        <v>3835</v>
      </c>
      <c r="U94" s="1">
        <v>2035</v>
      </c>
      <c r="V94" s="66">
        <f>SUM(LowScenarioCentreBasedFTEDemand[[#This Row],[Education &amp; Care (under 2s)]:[Education &amp; Care (3+)]])-LowScenarioQualifedFTE[[#This Row],[Education &amp; Care]]</f>
        <v>3220</v>
      </c>
    </row>
    <row r="95" spans="1:22">
      <c r="B95" s="82"/>
      <c r="C95" s="82"/>
      <c r="D95" s="82"/>
    </row>
    <row r="96" spans="1:22" ht="43.35" customHeight="1">
      <c r="A96" s="6" t="s">
        <v>371</v>
      </c>
      <c r="B96" s="82"/>
      <c r="C96" s="82"/>
      <c r="D96" s="82"/>
      <c r="F96" s="6" t="s">
        <v>372</v>
      </c>
      <c r="O96" s="178" t="s">
        <v>373</v>
      </c>
      <c r="P96" s="178"/>
      <c r="Q96" s="178"/>
      <c r="R96" s="178"/>
      <c r="U96" s="1" t="s">
        <v>374</v>
      </c>
    </row>
    <row r="97" spans="1:22" ht="29.1" outlineLevel="1">
      <c r="A97" s="1" t="s">
        <v>229</v>
      </c>
      <c r="B97" s="69" t="s">
        <v>296</v>
      </c>
      <c r="C97" s="69" t="s">
        <v>308</v>
      </c>
      <c r="D97" s="23" t="s">
        <v>236</v>
      </c>
      <c r="F97" s="1" t="s">
        <v>229</v>
      </c>
      <c r="G97" s="15" t="s">
        <v>364</v>
      </c>
      <c r="H97" s="15" t="s">
        <v>365</v>
      </c>
      <c r="I97" s="15" t="s">
        <v>366</v>
      </c>
      <c r="J97" s="15" t="s">
        <v>367</v>
      </c>
      <c r="K97" s="15" t="s">
        <v>368</v>
      </c>
      <c r="L97" s="15" t="s">
        <v>369</v>
      </c>
      <c r="M97" s="15" t="s">
        <v>370</v>
      </c>
      <c r="O97" s="1" t="s">
        <v>229</v>
      </c>
      <c r="P97" s="15" t="s">
        <v>296</v>
      </c>
      <c r="Q97" s="15" t="s">
        <v>308</v>
      </c>
      <c r="R97" s="15" t="s">
        <v>370</v>
      </c>
      <c r="U97" s="1" t="s">
        <v>229</v>
      </c>
      <c r="V97" s="15" t="s">
        <v>296</v>
      </c>
    </row>
    <row r="98" spans="1:22" outlineLevel="1">
      <c r="A98" s="1">
        <v>2025</v>
      </c>
      <c r="B98" s="83">
        <f>MROUND(('T15'!$S15*B$75),5)</f>
        <v>47530</v>
      </c>
      <c r="C98" s="83">
        <f>MROUND(('T15'!$S15*C$75),5)</f>
        <v>5675</v>
      </c>
      <c r="D98" s="66">
        <f t="shared" ref="D98:D108" si="17">SUM(B98:C98)</f>
        <v>53205</v>
      </c>
      <c r="F98" s="1">
        <v>2025</v>
      </c>
      <c r="G98" s="66">
        <f>MROUND(((CentreBasedHeadcountEnrolmentsMedium[[#This Row],[Education &amp; Care]]*G$74)*G$68)*'Source-fte_qualstus_x_servtype'!J31,5)</f>
        <v>2110</v>
      </c>
      <c r="H98" s="66">
        <f>MROUND(((CentreBasedHeadcountEnrolmentsMedium[[#This Row],[Education &amp; Care]]*G$75)*G$69)*'Source-fte_qualstus_x_servtype'!J31,5)</f>
        <v>1805</v>
      </c>
      <c r="I98" s="66">
        <f>MROUND(((CentreBasedHeadcountEnrolmentsMedium[[#This Row],[Education &amp; Care]]*SUM(G$76:G$77))*G$70)*'Source-fte_qualstus_x_servtype'!J31,5)</f>
        <v>3720</v>
      </c>
      <c r="J98" s="66">
        <f>MROUND(((CentreBasedHeadcountEnrolmentsMedium[[#This Row],[Kindergarten]]*H$74)*H$68)*'Source-fte_qualstus_x_servtype'!J31,5)</f>
        <v>15</v>
      </c>
      <c r="K98" s="66">
        <f>MROUND(((CentreBasedHeadcountEnrolmentsMedium[[#This Row],[Kindergarten]]*H$75)*H$69)*'Source-fte_qualstus_x_servtype'!J31,5)</f>
        <v>125</v>
      </c>
      <c r="L98" s="66">
        <f>MROUND(((CentreBasedHeadcountEnrolmentsMedium[[#This Row],[Kindergarten]]*SUM(H$76:H$77))*H$70)*'Source-fte_qualstus_x_servtype'!J31,5)</f>
        <v>590</v>
      </c>
      <c r="M98" s="66">
        <f>SUM(G98:L98)</f>
        <v>8365</v>
      </c>
      <c r="O98" s="1">
        <v>2025</v>
      </c>
      <c r="P98" s="66">
        <f>MROUND(SUM(MediumScenarioCentreBasedFTEDemand[[#This Row],[Education &amp; Care (under 2s)]:[Education &amp; Care (3+)]])*L$62,5)</f>
        <v>4895</v>
      </c>
      <c r="Q98" s="66">
        <f>MROUND(SUM(MediumScenarioCentreBasedFTEDemand[[#This Row],[Kindergarten (Under 2s)]:[Kindergarten (3+)]])*M$62,5)</f>
        <v>730</v>
      </c>
      <c r="R98" s="66">
        <f>SUM(P98:Q98)</f>
        <v>5625</v>
      </c>
      <c r="U98" s="1">
        <v>2025</v>
      </c>
      <c r="V98" s="66">
        <f>SUM(MediumScenarioCentreBasedFTEDemand[[#This Row],[Education &amp; Care (under 2s)]:[Education &amp; Care (3+)]])-MediumScenarioQualifiedFTE[[#This Row],[Education &amp; Care]]</f>
        <v>2740</v>
      </c>
    </row>
    <row r="99" spans="1:22" outlineLevel="1">
      <c r="A99" s="1">
        <v>2026</v>
      </c>
      <c r="B99" s="83">
        <f>MROUND(('T15'!$S16*B$75),5)</f>
        <v>46565</v>
      </c>
      <c r="C99" s="83">
        <f>MROUND(('T15'!$S16*C$75),5)</f>
        <v>5560</v>
      </c>
      <c r="D99" s="66">
        <f t="shared" si="17"/>
        <v>52125</v>
      </c>
      <c r="F99" s="1">
        <v>2026</v>
      </c>
      <c r="G99" s="66">
        <f>MROUND(((CentreBasedHeadcountEnrolmentsMedium[[#This Row],[Education &amp; Care]]*G$74)*G$68)*'Source-fte_qualstus_x_servtype'!J32,5)</f>
        <v>2080</v>
      </c>
      <c r="H99" s="66">
        <f>MROUND(((CentreBasedHeadcountEnrolmentsMedium[[#This Row],[Education &amp; Care]]*G$75)*G$69)*'Source-fte_qualstus_x_servtype'!J32,5)</f>
        <v>1780</v>
      </c>
      <c r="I99" s="66">
        <f>MROUND(((CentreBasedHeadcountEnrolmentsMedium[[#This Row],[Education &amp; Care]]*SUM(G$76:G$77))*G$70)*'Source-fte_qualstus_x_servtype'!J32,5)</f>
        <v>3660</v>
      </c>
      <c r="J99" s="66">
        <f>MROUND(((CentreBasedHeadcountEnrolmentsMedium[[#This Row],[Kindergarten]]*H$74)*H$68)*'Source-fte_qualstus_x_servtype'!J32,5)</f>
        <v>15</v>
      </c>
      <c r="K99" s="66">
        <f>MROUND(((CentreBasedHeadcountEnrolmentsMedium[[#This Row],[Kindergarten]]*H$75)*H$69)*'Source-fte_qualstus_x_servtype'!J32,5)</f>
        <v>125</v>
      </c>
      <c r="L99" s="66">
        <f>MROUND(((CentreBasedHeadcountEnrolmentsMedium[[#This Row],[Kindergarten]]*SUM(H$76:H$77))*H$70)*'Source-fte_qualstus_x_servtype'!J32,5)</f>
        <v>580</v>
      </c>
      <c r="M99" s="66">
        <f t="shared" ref="M99:M108" si="18">SUM(G99:L99)</f>
        <v>8240</v>
      </c>
      <c r="O99" s="1">
        <v>2026</v>
      </c>
      <c r="P99" s="66">
        <f>MROUND(SUM(MediumScenarioCentreBasedFTEDemand[[#This Row],[Education &amp; Care (under 2s)]:[Education &amp; Care (3+)]])*L$62,5)</f>
        <v>4820</v>
      </c>
      <c r="Q99" s="66">
        <f>MROUND(SUM(MediumScenarioCentreBasedFTEDemand[[#This Row],[Kindergarten (Under 2s)]:[Kindergarten (3+)]])*M$62,5)</f>
        <v>720</v>
      </c>
      <c r="R99" s="66">
        <f t="shared" ref="R99:R108" si="19">SUM(P99:Q99)</f>
        <v>5540</v>
      </c>
      <c r="U99" s="1">
        <v>2026</v>
      </c>
      <c r="V99" s="66">
        <f>SUM(MediumScenarioCentreBasedFTEDemand[[#This Row],[Education &amp; Care (under 2s)]:[Education &amp; Care (3+)]])-MediumScenarioQualifiedFTE[[#This Row],[Education &amp; Care]]</f>
        <v>2700</v>
      </c>
    </row>
    <row r="100" spans="1:22" outlineLevel="1">
      <c r="A100" s="1">
        <v>2027</v>
      </c>
      <c r="B100" s="83">
        <f>MROUND(('T15'!$S17*B$75),5)</f>
        <v>45740</v>
      </c>
      <c r="C100" s="83">
        <f>MROUND(('T15'!$S17*C$75),5)</f>
        <v>5465</v>
      </c>
      <c r="D100" s="66">
        <f t="shared" si="17"/>
        <v>51205</v>
      </c>
      <c r="F100" s="1">
        <v>2027</v>
      </c>
      <c r="G100" s="66">
        <f>MROUND(((CentreBasedHeadcountEnrolmentsMedium[[#This Row],[Education &amp; Care]]*G$74)*G$68)*'Source-fte_qualstus_x_servtype'!J33,5)</f>
        <v>2050</v>
      </c>
      <c r="H100" s="66">
        <f>MROUND(((CentreBasedHeadcountEnrolmentsMedium[[#This Row],[Education &amp; Care]]*G$75)*G$69)*'Source-fte_qualstus_x_servtype'!J33,5)</f>
        <v>1755</v>
      </c>
      <c r="I100" s="66">
        <f>MROUND(((CentreBasedHeadcountEnrolmentsMedium[[#This Row],[Education &amp; Care]]*SUM(G$76:G$77))*G$70)*'Source-fte_qualstus_x_servtype'!J33,5)</f>
        <v>3615</v>
      </c>
      <c r="J100" s="66">
        <f>MROUND(((CentreBasedHeadcountEnrolmentsMedium[[#This Row],[Kindergarten]]*H$74)*H$68)*'Source-fte_qualstus_x_servtype'!J33,5)</f>
        <v>15</v>
      </c>
      <c r="K100" s="66">
        <f>MROUND(((CentreBasedHeadcountEnrolmentsMedium[[#This Row],[Kindergarten]]*H$75)*H$69)*'Source-fte_qualstus_x_servtype'!J33,5)</f>
        <v>125</v>
      </c>
      <c r="L100" s="66">
        <f>MROUND(((CentreBasedHeadcountEnrolmentsMedium[[#This Row],[Kindergarten]]*SUM(H$76:H$77))*H$70)*'Source-fte_qualstus_x_servtype'!J33,5)</f>
        <v>570</v>
      </c>
      <c r="M100" s="66">
        <f t="shared" si="18"/>
        <v>8130</v>
      </c>
      <c r="O100" s="1">
        <v>2027</v>
      </c>
      <c r="P100" s="66">
        <f>MROUND(SUM(MediumScenarioCentreBasedFTEDemand[[#This Row],[Education &amp; Care (under 2s)]:[Education &amp; Care (3+)]])*L$62,5)</f>
        <v>4755</v>
      </c>
      <c r="Q100" s="66">
        <f>MROUND(SUM(MediumScenarioCentreBasedFTEDemand[[#This Row],[Kindergarten (Under 2s)]:[Kindergarten (3+)]])*M$62,5)</f>
        <v>710</v>
      </c>
      <c r="R100" s="66">
        <f t="shared" si="19"/>
        <v>5465</v>
      </c>
      <c r="U100" s="1">
        <v>2027</v>
      </c>
      <c r="V100" s="66">
        <f>SUM(MediumScenarioCentreBasedFTEDemand[[#This Row],[Education &amp; Care (under 2s)]:[Education &amp; Care (3+)]])-MediumScenarioQualifiedFTE[[#This Row],[Education &amp; Care]]</f>
        <v>2665</v>
      </c>
    </row>
    <row r="101" spans="1:22" outlineLevel="1">
      <c r="A101" s="1">
        <v>2028</v>
      </c>
      <c r="B101" s="83">
        <f>MROUND(('T15'!$S18*B$75),5)</f>
        <v>46000</v>
      </c>
      <c r="C101" s="83">
        <f>MROUND(('T15'!$S18*C$75),5)</f>
        <v>5495</v>
      </c>
      <c r="D101" s="66">
        <f t="shared" si="17"/>
        <v>51495</v>
      </c>
      <c r="F101" s="1">
        <v>2028</v>
      </c>
      <c r="G101" s="66">
        <f>MROUND(((CentreBasedHeadcountEnrolmentsMedium[[#This Row],[Education &amp; Care]]*G$74)*G$68)*'Source-fte_qualstus_x_servtype'!J34,5)</f>
        <v>2070</v>
      </c>
      <c r="H101" s="66">
        <f>MROUND(((CentreBasedHeadcountEnrolmentsMedium[[#This Row],[Education &amp; Care]]*G$75)*G$69)*'Source-fte_qualstus_x_servtype'!J34,5)</f>
        <v>1770</v>
      </c>
      <c r="I101" s="66">
        <f>MROUND(((CentreBasedHeadcountEnrolmentsMedium[[#This Row],[Education &amp; Care]]*SUM(G$76:G$77))*G$70)*'Source-fte_qualstus_x_servtype'!J34,5)</f>
        <v>3650</v>
      </c>
      <c r="J101" s="66">
        <f>MROUND(((CentreBasedHeadcountEnrolmentsMedium[[#This Row],[Kindergarten]]*H$74)*H$68)*'Source-fte_qualstus_x_servtype'!J34,5)</f>
        <v>15</v>
      </c>
      <c r="K101" s="66">
        <f>MROUND(((CentreBasedHeadcountEnrolmentsMedium[[#This Row],[Kindergarten]]*H$75)*H$69)*'Source-fte_qualstus_x_servtype'!J34,5)</f>
        <v>125</v>
      </c>
      <c r="L101" s="66">
        <f>MROUND(((CentreBasedHeadcountEnrolmentsMedium[[#This Row],[Kindergarten]]*SUM(H$76:H$77))*H$70)*'Source-fte_qualstus_x_servtype'!J34,5)</f>
        <v>580</v>
      </c>
      <c r="M101" s="66">
        <f t="shared" si="18"/>
        <v>8210</v>
      </c>
      <c r="O101" s="1">
        <v>2028</v>
      </c>
      <c r="P101" s="66">
        <f>MROUND(SUM(MediumScenarioCentreBasedFTEDemand[[#This Row],[Education &amp; Care (under 2s)]:[Education &amp; Care (3+)]])*L$62,5)</f>
        <v>4800</v>
      </c>
      <c r="Q101" s="66">
        <f>MROUND(SUM(MediumScenarioCentreBasedFTEDemand[[#This Row],[Kindergarten (Under 2s)]:[Kindergarten (3+)]])*M$62,5)</f>
        <v>720</v>
      </c>
      <c r="R101" s="66">
        <f t="shared" si="19"/>
        <v>5520</v>
      </c>
      <c r="U101" s="1">
        <v>2028</v>
      </c>
      <c r="V101" s="66">
        <f>SUM(MediumScenarioCentreBasedFTEDemand[[#This Row],[Education &amp; Care (under 2s)]:[Education &amp; Care (3+)]])-MediumScenarioQualifiedFTE[[#This Row],[Education &amp; Care]]</f>
        <v>2690</v>
      </c>
    </row>
    <row r="102" spans="1:22" outlineLevel="1">
      <c r="A102" s="1">
        <v>2029</v>
      </c>
      <c r="B102" s="83">
        <f>MROUND(('T15'!$S19*B$75),5)</f>
        <v>46300</v>
      </c>
      <c r="C102" s="83">
        <f>MROUND(('T15'!$S19*C$75),5)</f>
        <v>5530</v>
      </c>
      <c r="D102" s="66">
        <f t="shared" si="17"/>
        <v>51830</v>
      </c>
      <c r="F102" s="1">
        <v>2029</v>
      </c>
      <c r="G102" s="66">
        <f>MROUND(((CentreBasedHeadcountEnrolmentsMedium[[#This Row],[Education &amp; Care]]*G$74)*G$68)*'Source-fte_qualstus_x_servtype'!J35,5)</f>
        <v>2095</v>
      </c>
      <c r="H102" s="66">
        <f>MROUND(((CentreBasedHeadcountEnrolmentsMedium[[#This Row],[Education &amp; Care]]*G$75)*G$69)*'Source-fte_qualstus_x_servtype'!J35,5)</f>
        <v>1790</v>
      </c>
      <c r="I102" s="66">
        <f>MROUND(((CentreBasedHeadcountEnrolmentsMedium[[#This Row],[Education &amp; Care]]*SUM(G$76:G$77))*G$70)*'Source-fte_qualstus_x_servtype'!J35,5)</f>
        <v>3690</v>
      </c>
      <c r="J102" s="66">
        <f>MROUND(((CentreBasedHeadcountEnrolmentsMedium[[#This Row],[Kindergarten]]*H$74)*H$68)*'Source-fte_qualstus_x_servtype'!J35,5)</f>
        <v>15</v>
      </c>
      <c r="K102" s="66">
        <f>MROUND(((CentreBasedHeadcountEnrolmentsMedium[[#This Row],[Kindergarten]]*H$75)*H$69)*'Source-fte_qualstus_x_servtype'!J35,5)</f>
        <v>125</v>
      </c>
      <c r="L102" s="66">
        <f>MROUND(((CentreBasedHeadcountEnrolmentsMedium[[#This Row],[Kindergarten]]*SUM(H$76:H$77))*H$70)*'Source-fte_qualstus_x_servtype'!J35,5)</f>
        <v>585</v>
      </c>
      <c r="M102" s="66">
        <f t="shared" si="18"/>
        <v>8300</v>
      </c>
      <c r="O102" s="1">
        <v>2029</v>
      </c>
      <c r="P102" s="66">
        <f>MROUND(SUM(MediumScenarioCentreBasedFTEDemand[[#This Row],[Education &amp; Care (under 2s)]:[Education &amp; Care (3+)]])*L$62,5)</f>
        <v>4855</v>
      </c>
      <c r="Q102" s="66">
        <f>MROUND(SUM(MediumScenarioCentreBasedFTEDemand[[#This Row],[Kindergarten (Under 2s)]:[Kindergarten (3+)]])*M$62,5)</f>
        <v>725</v>
      </c>
      <c r="R102" s="66">
        <f t="shared" si="19"/>
        <v>5580</v>
      </c>
      <c r="U102" s="1">
        <v>2029</v>
      </c>
      <c r="V102" s="66">
        <f>SUM(MediumScenarioCentreBasedFTEDemand[[#This Row],[Education &amp; Care (under 2s)]:[Education &amp; Care (3+)]])-MediumScenarioQualifiedFTE[[#This Row],[Education &amp; Care]]</f>
        <v>2720</v>
      </c>
    </row>
    <row r="103" spans="1:22" outlineLevel="1">
      <c r="A103" s="1">
        <v>2030</v>
      </c>
      <c r="B103" s="83">
        <f>MROUND(('T15'!$S20*B$75),5)</f>
        <v>46325</v>
      </c>
      <c r="C103" s="83">
        <f>MROUND(('T15'!$S20*C$75),5)</f>
        <v>5535</v>
      </c>
      <c r="D103" s="66">
        <f t="shared" si="17"/>
        <v>51860</v>
      </c>
      <c r="F103" s="1">
        <v>2030</v>
      </c>
      <c r="G103" s="66">
        <f>MROUND(((CentreBasedHeadcountEnrolmentsMedium[[#This Row],[Education &amp; Care]]*G$74)*G$68)*'Source-fte_qualstus_x_servtype'!J36,5)</f>
        <v>2105</v>
      </c>
      <c r="H103" s="66">
        <f>MROUND(((CentreBasedHeadcountEnrolmentsMedium[[#This Row],[Education &amp; Care]]*G$75)*G$69)*'Source-fte_qualstus_x_servtype'!J36,5)</f>
        <v>1800</v>
      </c>
      <c r="I103" s="66">
        <f>MROUND(((CentreBasedHeadcountEnrolmentsMedium[[#This Row],[Education &amp; Care]]*SUM(G$76:G$77))*G$70)*'Source-fte_qualstus_x_servtype'!J36,5)</f>
        <v>3710</v>
      </c>
      <c r="J103" s="66">
        <f>MROUND(((CentreBasedHeadcountEnrolmentsMedium[[#This Row],[Kindergarten]]*H$74)*H$68)*'Source-fte_qualstus_x_servtype'!J36,5)</f>
        <v>15</v>
      </c>
      <c r="K103" s="66">
        <f>MROUND(((CentreBasedHeadcountEnrolmentsMedium[[#This Row],[Kindergarten]]*H$75)*H$69)*'Source-fte_qualstus_x_servtype'!J36,5)</f>
        <v>125</v>
      </c>
      <c r="L103" s="66">
        <f>MROUND(((CentreBasedHeadcountEnrolmentsMedium[[#This Row],[Kindergarten]]*SUM(H$76:H$77))*H$70)*'Source-fte_qualstus_x_servtype'!J36,5)</f>
        <v>585</v>
      </c>
      <c r="M103" s="66">
        <f t="shared" si="18"/>
        <v>8340</v>
      </c>
      <c r="O103" s="1">
        <v>2030</v>
      </c>
      <c r="P103" s="66">
        <f>MROUND(SUM(MediumScenarioCentreBasedFTEDemand[[#This Row],[Education &amp; Care (under 2s)]:[Education &amp; Care (3+)]])*L$62,5)</f>
        <v>4880</v>
      </c>
      <c r="Q103" s="66">
        <f>MROUND(SUM(MediumScenarioCentreBasedFTEDemand[[#This Row],[Kindergarten (Under 2s)]:[Kindergarten (3+)]])*M$62,5)</f>
        <v>725</v>
      </c>
      <c r="R103" s="66">
        <f t="shared" si="19"/>
        <v>5605</v>
      </c>
      <c r="U103" s="1">
        <v>2030</v>
      </c>
      <c r="V103" s="66">
        <f>SUM(MediumScenarioCentreBasedFTEDemand[[#This Row],[Education &amp; Care (under 2s)]:[Education &amp; Care (3+)]])-MediumScenarioQualifiedFTE[[#This Row],[Education &amp; Care]]</f>
        <v>2735</v>
      </c>
    </row>
    <row r="104" spans="1:22" outlineLevel="1">
      <c r="A104" s="1">
        <v>2031</v>
      </c>
      <c r="B104" s="83">
        <f>MROUND(('T15'!$S21*B$75),5)</f>
        <v>46340</v>
      </c>
      <c r="C104" s="83">
        <f>MROUND(('T15'!$S21*C$75),5)</f>
        <v>5535</v>
      </c>
      <c r="D104" s="66">
        <f t="shared" si="17"/>
        <v>51875</v>
      </c>
      <c r="F104" s="1">
        <v>2031</v>
      </c>
      <c r="G104" s="66">
        <f>MROUND(((CentreBasedHeadcountEnrolmentsMedium[[#This Row],[Education &amp; Care]]*G$74)*G$68)*'Source-fte_qualstus_x_servtype'!J37,5)</f>
        <v>2115</v>
      </c>
      <c r="H104" s="66">
        <f>MROUND(((CentreBasedHeadcountEnrolmentsMedium[[#This Row],[Education &amp; Care]]*G$75)*G$69)*'Source-fte_qualstus_x_servtype'!J37,5)</f>
        <v>1810</v>
      </c>
      <c r="I104" s="66">
        <f>MROUND(((CentreBasedHeadcountEnrolmentsMedium[[#This Row],[Education &amp; Care]]*SUM(G$76:G$77))*G$70)*'Source-fte_qualstus_x_servtype'!J37,5)</f>
        <v>3725</v>
      </c>
      <c r="J104" s="66">
        <f>MROUND(((CentreBasedHeadcountEnrolmentsMedium[[#This Row],[Kindergarten]]*H$74)*H$68)*'Source-fte_qualstus_x_servtype'!J37,5)</f>
        <v>15</v>
      </c>
      <c r="K104" s="66">
        <f>MROUND(((CentreBasedHeadcountEnrolmentsMedium[[#This Row],[Kindergarten]]*H$75)*H$69)*'Source-fte_qualstus_x_servtype'!J37,5)</f>
        <v>125</v>
      </c>
      <c r="L104" s="66">
        <f>MROUND(((CentreBasedHeadcountEnrolmentsMedium[[#This Row],[Kindergarten]]*SUM(H$76:H$77))*H$70)*'Source-fte_qualstus_x_servtype'!J37,5)</f>
        <v>590</v>
      </c>
      <c r="M104" s="66">
        <f t="shared" si="18"/>
        <v>8380</v>
      </c>
      <c r="O104" s="1">
        <v>2031</v>
      </c>
      <c r="P104" s="66">
        <f>MROUND(SUM(MediumScenarioCentreBasedFTEDemand[[#This Row],[Education &amp; Care (under 2s)]:[Education &amp; Care (3+)]])*L$62,5)</f>
        <v>4900</v>
      </c>
      <c r="Q104" s="66">
        <f>MROUND(SUM(MediumScenarioCentreBasedFTEDemand[[#This Row],[Kindergarten (Under 2s)]:[Kindergarten (3+)]])*M$62,5)</f>
        <v>730</v>
      </c>
      <c r="R104" s="66">
        <f t="shared" si="19"/>
        <v>5630</v>
      </c>
      <c r="U104" s="1">
        <v>2031</v>
      </c>
      <c r="V104" s="66">
        <f>SUM(MediumScenarioCentreBasedFTEDemand[[#This Row],[Education &amp; Care (under 2s)]:[Education &amp; Care (3+)]])-MediumScenarioQualifiedFTE[[#This Row],[Education &amp; Care]]</f>
        <v>2750</v>
      </c>
    </row>
    <row r="105" spans="1:22" outlineLevel="1">
      <c r="A105" s="1">
        <v>2032</v>
      </c>
      <c r="B105" s="83">
        <f>MROUND(('T15'!$S22*B$75),5)</f>
        <v>46340</v>
      </c>
      <c r="C105" s="83">
        <f>MROUND(('T15'!$S22*C$75),5)</f>
        <v>5535</v>
      </c>
      <c r="D105" s="66">
        <f t="shared" si="17"/>
        <v>51875</v>
      </c>
      <c r="F105" s="1">
        <v>2032</v>
      </c>
      <c r="G105" s="66">
        <f>MROUND(((CentreBasedHeadcountEnrolmentsMedium[[#This Row],[Education &amp; Care]]*G$74)*G$68)*'Source-fte_qualstus_x_servtype'!J38,5)</f>
        <v>2125</v>
      </c>
      <c r="H105" s="66">
        <f>MROUND(((CentreBasedHeadcountEnrolmentsMedium[[#This Row],[Education &amp; Care]]*G$75)*G$69)*'Source-fte_qualstus_x_servtype'!J38,5)</f>
        <v>1815</v>
      </c>
      <c r="I105" s="66">
        <f>MROUND(((CentreBasedHeadcountEnrolmentsMedium[[#This Row],[Education &amp; Care]]*SUM(G$76:G$77))*G$70)*'Source-fte_qualstus_x_servtype'!J38,5)</f>
        <v>3740</v>
      </c>
      <c r="J105" s="66">
        <f>MROUND(((CentreBasedHeadcountEnrolmentsMedium[[#This Row],[Kindergarten]]*H$74)*H$68)*'Source-fte_qualstus_x_servtype'!J38,5)</f>
        <v>15</v>
      </c>
      <c r="K105" s="66">
        <f>MROUND(((CentreBasedHeadcountEnrolmentsMedium[[#This Row],[Kindergarten]]*H$75)*H$69)*'Source-fte_qualstus_x_servtype'!J38,5)</f>
        <v>125</v>
      </c>
      <c r="L105" s="66">
        <f>MROUND(((CentreBasedHeadcountEnrolmentsMedium[[#This Row],[Kindergarten]]*SUM(H$76:H$77))*H$70)*'Source-fte_qualstus_x_servtype'!J38,5)</f>
        <v>595</v>
      </c>
      <c r="M105" s="66">
        <f t="shared" si="18"/>
        <v>8415</v>
      </c>
      <c r="O105" s="1">
        <v>2032</v>
      </c>
      <c r="P105" s="66">
        <f>MROUND(SUM(MediumScenarioCentreBasedFTEDemand[[#This Row],[Education &amp; Care (under 2s)]:[Education &amp; Care (3+)]])*L$62,5)</f>
        <v>4920</v>
      </c>
      <c r="Q105" s="66">
        <f>MROUND(SUM(MediumScenarioCentreBasedFTEDemand[[#This Row],[Kindergarten (Under 2s)]:[Kindergarten (3+)]])*M$62,5)</f>
        <v>735</v>
      </c>
      <c r="R105" s="66">
        <f t="shared" si="19"/>
        <v>5655</v>
      </c>
      <c r="U105" s="1">
        <v>2032</v>
      </c>
      <c r="V105" s="66">
        <f>SUM(MediumScenarioCentreBasedFTEDemand[[#This Row],[Education &amp; Care (under 2s)]:[Education &amp; Care (3+)]])-MediumScenarioQualifiedFTE[[#This Row],[Education &amp; Care]]</f>
        <v>2760</v>
      </c>
    </row>
    <row r="106" spans="1:22" outlineLevel="1">
      <c r="A106" s="1">
        <v>2033</v>
      </c>
      <c r="B106" s="83">
        <f>MROUND(('T15'!$S23*B$75),5)</f>
        <v>46350</v>
      </c>
      <c r="C106" s="83">
        <f>MROUND(('T15'!$S23*C$75),5)</f>
        <v>5535</v>
      </c>
      <c r="D106" s="66">
        <f t="shared" si="17"/>
        <v>51885</v>
      </c>
      <c r="F106" s="1">
        <v>2033</v>
      </c>
      <c r="G106" s="66">
        <f>MROUND(((CentreBasedHeadcountEnrolmentsMedium[[#This Row],[Education &amp; Care]]*G$74)*G$68)*'Source-fte_qualstus_x_servtype'!J39,5)</f>
        <v>2135</v>
      </c>
      <c r="H106" s="66">
        <f>MROUND(((CentreBasedHeadcountEnrolmentsMedium[[#This Row],[Education &amp; Care]]*G$75)*G$69)*'Source-fte_qualstus_x_servtype'!J39,5)</f>
        <v>1825</v>
      </c>
      <c r="I106" s="66">
        <f>MROUND(((CentreBasedHeadcountEnrolmentsMedium[[#This Row],[Education &amp; Care]]*SUM(G$76:G$77))*G$70)*'Source-fte_qualstus_x_servtype'!J39,5)</f>
        <v>3760</v>
      </c>
      <c r="J106" s="66">
        <f>MROUND(((CentreBasedHeadcountEnrolmentsMedium[[#This Row],[Kindergarten]]*H$74)*H$68)*'Source-fte_qualstus_x_servtype'!J39,5)</f>
        <v>15</v>
      </c>
      <c r="K106" s="66">
        <f>MROUND(((CentreBasedHeadcountEnrolmentsMedium[[#This Row],[Kindergarten]]*H$75)*H$69)*'Source-fte_qualstus_x_servtype'!J39,5)</f>
        <v>130</v>
      </c>
      <c r="L106" s="66">
        <f>MROUND(((CentreBasedHeadcountEnrolmentsMedium[[#This Row],[Kindergarten]]*SUM(H$76:H$77))*H$70)*'Source-fte_qualstus_x_servtype'!J39,5)</f>
        <v>595</v>
      </c>
      <c r="M106" s="66">
        <f t="shared" si="18"/>
        <v>8460</v>
      </c>
      <c r="O106" s="1">
        <v>2033</v>
      </c>
      <c r="P106" s="66">
        <f>MROUND(SUM(MediumScenarioCentreBasedFTEDemand[[#This Row],[Education &amp; Care (under 2s)]:[Education &amp; Care (3+)]])*L$62,5)</f>
        <v>4945</v>
      </c>
      <c r="Q106" s="66">
        <f>MROUND(SUM(MediumScenarioCentreBasedFTEDemand[[#This Row],[Kindergarten (Under 2s)]:[Kindergarten (3+)]])*M$62,5)</f>
        <v>740</v>
      </c>
      <c r="R106" s="66">
        <f t="shared" si="19"/>
        <v>5685</v>
      </c>
      <c r="U106" s="1">
        <v>2033</v>
      </c>
      <c r="V106" s="66">
        <f>SUM(MediumScenarioCentreBasedFTEDemand[[#This Row],[Education &amp; Care (under 2s)]:[Education &amp; Care (3+)]])-MediumScenarioQualifiedFTE[[#This Row],[Education &amp; Care]]</f>
        <v>2775</v>
      </c>
    </row>
    <row r="107" spans="1:22" outlineLevel="1">
      <c r="A107" s="1">
        <v>2034</v>
      </c>
      <c r="B107" s="83">
        <f>MROUND(('T15'!$S24*B$75),5)</f>
        <v>46385</v>
      </c>
      <c r="C107" s="83">
        <f>MROUND(('T15'!$S24*C$75),5)</f>
        <v>5540</v>
      </c>
      <c r="D107" s="66">
        <f t="shared" si="17"/>
        <v>51925</v>
      </c>
      <c r="F107" s="1">
        <v>2034</v>
      </c>
      <c r="G107" s="66">
        <f>MROUND(((CentreBasedHeadcountEnrolmentsMedium[[#This Row],[Education &amp; Care]]*G$74)*G$68)*'Source-fte_qualstus_x_servtype'!J40,5)</f>
        <v>2145</v>
      </c>
      <c r="H107" s="66">
        <f>MROUND(((CentreBasedHeadcountEnrolmentsMedium[[#This Row],[Education &amp; Care]]*G$75)*G$69)*'Source-fte_qualstus_x_servtype'!J40,5)</f>
        <v>1835</v>
      </c>
      <c r="I107" s="66">
        <f>MROUND(((CentreBasedHeadcountEnrolmentsMedium[[#This Row],[Education &amp; Care]]*SUM(G$76:G$77))*G$70)*'Source-fte_qualstus_x_servtype'!J40,5)</f>
        <v>3780</v>
      </c>
      <c r="J107" s="66">
        <f>MROUND(((CentreBasedHeadcountEnrolmentsMedium[[#This Row],[Kindergarten]]*H$74)*H$68)*'Source-fte_qualstus_x_servtype'!J40,5)</f>
        <v>15</v>
      </c>
      <c r="K107" s="66">
        <f>MROUND(((CentreBasedHeadcountEnrolmentsMedium[[#This Row],[Kindergarten]]*H$75)*H$69)*'Source-fte_qualstus_x_servtype'!J40,5)</f>
        <v>130</v>
      </c>
      <c r="L107" s="66">
        <f>MROUND(((CentreBasedHeadcountEnrolmentsMedium[[#This Row],[Kindergarten]]*SUM(H$76:H$77))*H$70)*'Source-fte_qualstus_x_servtype'!J40,5)</f>
        <v>600</v>
      </c>
      <c r="M107" s="66">
        <f t="shared" si="18"/>
        <v>8505</v>
      </c>
      <c r="O107" s="1">
        <v>2034</v>
      </c>
      <c r="P107" s="66">
        <f>MROUND(SUM(MediumScenarioCentreBasedFTEDemand[[#This Row],[Education &amp; Care (under 2s)]:[Education &amp; Care (3+)]])*L$62,5)</f>
        <v>4975</v>
      </c>
      <c r="Q107" s="66">
        <f>MROUND(SUM(MediumScenarioCentreBasedFTEDemand[[#This Row],[Kindergarten (Under 2s)]:[Kindergarten (3+)]])*M$62,5)</f>
        <v>745</v>
      </c>
      <c r="R107" s="66">
        <f t="shared" si="19"/>
        <v>5720</v>
      </c>
      <c r="U107" s="1">
        <v>2034</v>
      </c>
      <c r="V107" s="66">
        <f>SUM(MediumScenarioCentreBasedFTEDemand[[#This Row],[Education &amp; Care (under 2s)]:[Education &amp; Care (3+)]])-MediumScenarioQualifiedFTE[[#This Row],[Education &amp; Care]]</f>
        <v>2785</v>
      </c>
    </row>
    <row r="108" spans="1:22" outlineLevel="1">
      <c r="A108" s="1">
        <v>2035</v>
      </c>
      <c r="B108" s="83">
        <f>MROUND(('T15'!$S25*B$75),5)</f>
        <v>46445</v>
      </c>
      <c r="C108" s="83">
        <f>MROUND(('T15'!$S25*C$75),5)</f>
        <v>5550</v>
      </c>
      <c r="D108" s="66">
        <f t="shared" si="17"/>
        <v>51995</v>
      </c>
      <c r="F108" s="1">
        <v>2035</v>
      </c>
      <c r="G108" s="66">
        <f>MROUND(((CentreBasedHeadcountEnrolmentsMedium[[#This Row],[Education &amp; Care]]*G$74)*G$68)*'Source-fte_qualstus_x_servtype'!J41,5)</f>
        <v>2155</v>
      </c>
      <c r="H108" s="66">
        <f>MROUND(((CentreBasedHeadcountEnrolmentsMedium[[#This Row],[Education &amp; Care]]*G$75)*G$69)*'Source-fte_qualstus_x_servtype'!J41,5)</f>
        <v>1845</v>
      </c>
      <c r="I108" s="66">
        <f>MROUND(((CentreBasedHeadcountEnrolmentsMedium[[#This Row],[Education &amp; Care]]*SUM(G$76:G$77))*G$70)*'Source-fte_qualstus_x_servtype'!J41,5)</f>
        <v>3800</v>
      </c>
      <c r="J108" s="66">
        <f>MROUND(((CentreBasedHeadcountEnrolmentsMedium[[#This Row],[Kindergarten]]*H$74)*H$68)*'Source-fte_qualstus_x_servtype'!J41,5)</f>
        <v>15</v>
      </c>
      <c r="K108" s="66">
        <f>MROUND(((CentreBasedHeadcountEnrolmentsMedium[[#This Row],[Kindergarten]]*H$75)*H$69)*'Source-fte_qualstus_x_servtype'!J41,5)</f>
        <v>130</v>
      </c>
      <c r="L108" s="66">
        <f>MROUND(((CentreBasedHeadcountEnrolmentsMedium[[#This Row],[Kindergarten]]*SUM(H$76:H$77))*H$70)*'Source-fte_qualstus_x_servtype'!J41,5)</f>
        <v>600</v>
      </c>
      <c r="M108" s="66">
        <f t="shared" si="18"/>
        <v>8545</v>
      </c>
      <c r="O108" s="1">
        <v>2035</v>
      </c>
      <c r="P108" s="66">
        <f>MROUND(SUM(MediumScenarioCentreBasedFTEDemand[[#This Row],[Education &amp; Care (under 2s)]:[Education &amp; Care (3+)]])*L$62,5)</f>
        <v>5000</v>
      </c>
      <c r="Q108" s="66">
        <f>MROUND(SUM(MediumScenarioCentreBasedFTEDemand[[#This Row],[Kindergarten (Under 2s)]:[Kindergarten (3+)]])*M$62,5)</f>
        <v>745</v>
      </c>
      <c r="R108" s="66">
        <f t="shared" si="19"/>
        <v>5745</v>
      </c>
      <c r="U108" s="1">
        <v>2035</v>
      </c>
      <c r="V108" s="66">
        <f>SUM(MediumScenarioCentreBasedFTEDemand[[#This Row],[Education &amp; Care (under 2s)]:[Education &amp; Care (3+)]])-MediumScenarioQualifiedFTE[[#This Row],[Education &amp; Care]]</f>
        <v>2800</v>
      </c>
    </row>
    <row r="110" spans="1:22" ht="41.45" customHeight="1">
      <c r="A110" s="6" t="s">
        <v>375</v>
      </c>
      <c r="F110" s="6" t="s">
        <v>376</v>
      </c>
      <c r="O110" s="178" t="s">
        <v>377</v>
      </c>
      <c r="P110" s="178"/>
      <c r="Q110" s="178"/>
      <c r="R110" s="178"/>
      <c r="U110" s="1" t="s">
        <v>378</v>
      </c>
    </row>
    <row r="111" spans="1:22" ht="29.1" outlineLevel="1">
      <c r="A111" s="1" t="s">
        <v>229</v>
      </c>
      <c r="B111" s="69" t="s">
        <v>296</v>
      </c>
      <c r="C111" s="69" t="s">
        <v>308</v>
      </c>
      <c r="D111" s="23" t="s">
        <v>236</v>
      </c>
      <c r="F111" s="1" t="s">
        <v>229</v>
      </c>
      <c r="G111" s="15" t="s">
        <v>364</v>
      </c>
      <c r="H111" s="15" t="s">
        <v>365</v>
      </c>
      <c r="I111" s="15" t="s">
        <v>366</v>
      </c>
      <c r="J111" s="15" t="s">
        <v>367</v>
      </c>
      <c r="K111" s="15" t="s">
        <v>368</v>
      </c>
      <c r="L111" s="15" t="s">
        <v>369</v>
      </c>
      <c r="M111" s="15" t="s">
        <v>370</v>
      </c>
      <c r="O111" s="1" t="s">
        <v>229</v>
      </c>
      <c r="P111" s="15" t="s">
        <v>296</v>
      </c>
      <c r="Q111" s="15" t="s">
        <v>308</v>
      </c>
      <c r="R111" s="15" t="s">
        <v>370</v>
      </c>
      <c r="U111" s="1" t="s">
        <v>229</v>
      </c>
      <c r="V111" s="15" t="s">
        <v>296</v>
      </c>
    </row>
    <row r="112" spans="1:22" outlineLevel="1">
      <c r="A112" s="1">
        <v>2025</v>
      </c>
      <c r="B112" s="83">
        <f>MROUND(('T15'!$T15*B$75),5)</f>
        <v>51255</v>
      </c>
      <c r="C112" s="83">
        <f>MROUND(('T15'!$T15*C$75),5)</f>
        <v>6120</v>
      </c>
      <c r="D112" s="66">
        <f t="shared" ref="D112:D122" si="20">SUM(B112:C112)</f>
        <v>57375</v>
      </c>
      <c r="F112" s="1">
        <v>2025</v>
      </c>
      <c r="G112" s="66">
        <f>MROUND(((CentreBasedHeadcountEnrolmentsHigh[[#This Row],[Education &amp; Care]]*G$74)*G$68)*'Source-fte_qualstus_x_servtype'!J31,5)</f>
        <v>2275</v>
      </c>
      <c r="H112" s="66">
        <f>MROUND(((CentreBasedHeadcountEnrolmentsHigh[[#This Row],[Education &amp; Care]]*G$75)*G$69)*'Source-fte_qualstus_x_servtype'!J31,5)</f>
        <v>1950</v>
      </c>
      <c r="I112" s="66">
        <f>MROUND(((CentreBasedHeadcountEnrolmentsHigh[[#This Row],[Education &amp; Care]]*SUM(G$76:G$77))*G$70)*'Source-fte_qualstus_x_servtype'!J31,5)</f>
        <v>4015</v>
      </c>
      <c r="J112" s="66">
        <f>MROUND(((CentreBasedHeadcountEnrolmentsHigh[[#This Row],[Kindergarten]]*H$74)*H$68)*'Source-fte_qualstus_x_servtype'!J31,5)</f>
        <v>15</v>
      </c>
      <c r="K112" s="66">
        <f>MROUND(((CentreBasedHeadcountEnrolmentsHigh[[#This Row],[Kindergarten]]*H$75)*H$69)*'Source-fte_qualstus_x_servtype'!J31,5)</f>
        <v>135</v>
      </c>
      <c r="L112" s="66">
        <f>MROUND(((CentreBasedHeadcountEnrolmentsHigh[[#This Row],[Kindergarten]]*SUM(H$76:H$77))*H$70)*'Source-fte_qualstus_x_servtype'!J31,5)</f>
        <v>635</v>
      </c>
      <c r="M112" s="66">
        <f>SUM(G112:L112)</f>
        <v>9025</v>
      </c>
      <c r="O112" s="1">
        <v>2025</v>
      </c>
      <c r="P112" s="66">
        <f>MROUND(SUM(HighScenarioCentreBasedFTEDemand[[#This Row],[Education &amp; Care (under 2s)]:[Education &amp; Care (3+)]])*L$63,5)</f>
        <v>8240</v>
      </c>
      <c r="Q112" s="66">
        <f>MROUND(SUM(HighScenarioCentreBasedFTEDemand[[#This Row],[Kindergarten (Under 2s)]:[Kindergarten (3+)]])*M$61,5)</f>
        <v>785</v>
      </c>
      <c r="R112" s="66">
        <f>SUM(P112:Q112)</f>
        <v>9025</v>
      </c>
      <c r="U112" s="1">
        <v>2025</v>
      </c>
      <c r="V112" s="66">
        <f>SUM(HighScenarioCentreBasedFTEDemand[[#This Row],[Education &amp; Care (under 2s)]:[Education &amp; Care (3+)]])-HighScenarioQualifiedFTE[[#This Row],[Education &amp; Care]]</f>
        <v>0</v>
      </c>
    </row>
    <row r="113" spans="1:22" outlineLevel="1">
      <c r="A113" s="1">
        <v>2026</v>
      </c>
      <c r="B113" s="83">
        <f>MROUND(('T15'!$T16*B$75),5)</f>
        <v>50225</v>
      </c>
      <c r="C113" s="83">
        <f>MROUND(('T15'!$T16*C$75),5)</f>
        <v>6000</v>
      </c>
      <c r="D113" s="66">
        <f t="shared" si="20"/>
        <v>56225</v>
      </c>
      <c r="F113" s="1">
        <v>2026</v>
      </c>
      <c r="G113" s="66">
        <f>MROUND(((CentreBasedHeadcountEnrolmentsHigh[[#This Row],[Education &amp; Care]]*G$74)*G$68)*'Source-fte_qualstus_x_servtype'!J32,5)</f>
        <v>2240</v>
      </c>
      <c r="H113" s="66">
        <f>MROUND(((CentreBasedHeadcountEnrolmentsHigh[[#This Row],[Education &amp; Care]]*G$75)*G$69)*'Source-fte_qualstus_x_servtype'!J32,5)</f>
        <v>1920</v>
      </c>
      <c r="I113" s="66">
        <f>MROUND(((CentreBasedHeadcountEnrolmentsHigh[[#This Row],[Education &amp; Care]]*SUM(G$76:G$77))*G$70)*'Source-fte_qualstus_x_servtype'!J32,5)</f>
        <v>3950</v>
      </c>
      <c r="J113" s="66">
        <f>MROUND(((CentreBasedHeadcountEnrolmentsHigh[[#This Row],[Kindergarten]]*H$74)*H$68)*'Source-fte_qualstus_x_servtype'!J32,5)</f>
        <v>15</v>
      </c>
      <c r="K113" s="66">
        <f>MROUND(((CentreBasedHeadcountEnrolmentsHigh[[#This Row],[Kindergarten]]*H$75)*H$69)*'Source-fte_qualstus_x_servtype'!J32,5)</f>
        <v>135</v>
      </c>
      <c r="L113" s="66">
        <f>MROUND(((CentreBasedHeadcountEnrolmentsHigh[[#This Row],[Kindergarten]]*SUM(H$76:H$77))*H$70)*'Source-fte_qualstus_x_servtype'!J32,5)</f>
        <v>625</v>
      </c>
      <c r="M113" s="66">
        <f t="shared" ref="M113:M122" si="21">SUM(G113:L113)</f>
        <v>8885</v>
      </c>
      <c r="O113" s="1">
        <v>2026</v>
      </c>
      <c r="P113" s="66">
        <f>MROUND(SUM(HighScenarioCentreBasedFTEDemand[[#This Row],[Education &amp; Care (under 2s)]:[Education &amp; Care (3+)]])*L$63,5)</f>
        <v>8110</v>
      </c>
      <c r="Q113" s="66">
        <f>MROUND(SUM(HighScenarioCentreBasedFTEDemand[[#This Row],[Kindergarten (Under 2s)]:[Kindergarten (3+)]])*M$61,5)</f>
        <v>775</v>
      </c>
      <c r="R113" s="66">
        <f t="shared" ref="R113:R122" si="22">SUM(P113:Q113)</f>
        <v>8885</v>
      </c>
      <c r="U113" s="1">
        <v>2026</v>
      </c>
      <c r="V113" s="66">
        <f>SUM(HighScenarioCentreBasedFTEDemand[[#This Row],[Education &amp; Care (under 2s)]:[Education &amp; Care (3+)]])-HighScenarioQualifiedFTE[[#This Row],[Education &amp; Care]]</f>
        <v>0</v>
      </c>
    </row>
    <row r="114" spans="1:22" outlineLevel="1">
      <c r="A114" s="1">
        <v>2027</v>
      </c>
      <c r="B114" s="83">
        <f>MROUND(('T15'!$T17*B$75),5)</f>
        <v>49355</v>
      </c>
      <c r="C114" s="83">
        <f>MROUND(('T15'!$T17*C$75),5)</f>
        <v>5895</v>
      </c>
      <c r="D114" s="66">
        <f t="shared" si="20"/>
        <v>55250</v>
      </c>
      <c r="F114" s="1">
        <v>2027</v>
      </c>
      <c r="G114" s="66">
        <f>MROUND(((CentreBasedHeadcountEnrolmentsHigh[[#This Row],[Education &amp; Care]]*G$74)*G$68)*'Source-fte_qualstus_x_servtype'!J33,5)</f>
        <v>2210</v>
      </c>
      <c r="H114" s="66">
        <f>MROUND(((CentreBasedHeadcountEnrolmentsHigh[[#This Row],[Education &amp; Care]]*G$75)*G$69)*'Source-fte_qualstus_x_servtype'!J33,5)</f>
        <v>1895</v>
      </c>
      <c r="I114" s="66">
        <f>MROUND(((CentreBasedHeadcountEnrolmentsHigh[[#This Row],[Education &amp; Care]]*SUM(G$76:G$77))*G$70)*'Source-fte_qualstus_x_servtype'!J33,5)</f>
        <v>3900</v>
      </c>
      <c r="J114" s="66">
        <f>MROUND(((CentreBasedHeadcountEnrolmentsHigh[[#This Row],[Kindergarten]]*H$74)*H$68)*'Source-fte_qualstus_x_servtype'!J33,5)</f>
        <v>15</v>
      </c>
      <c r="K114" s="66">
        <f>MROUND(((CentreBasedHeadcountEnrolmentsHigh[[#This Row],[Kindergarten]]*H$75)*H$69)*'Source-fte_qualstus_x_servtype'!J33,5)</f>
        <v>130</v>
      </c>
      <c r="L114" s="66">
        <f>MROUND(((CentreBasedHeadcountEnrolmentsHigh[[#This Row],[Kindergarten]]*SUM(H$76:H$77))*H$70)*'Source-fte_qualstus_x_servtype'!J33,5)</f>
        <v>615</v>
      </c>
      <c r="M114" s="66">
        <f t="shared" si="21"/>
        <v>8765</v>
      </c>
      <c r="O114" s="1">
        <v>2027</v>
      </c>
      <c r="P114" s="66">
        <f>MROUND(SUM(HighScenarioCentreBasedFTEDemand[[#This Row],[Education &amp; Care (under 2s)]:[Education &amp; Care (3+)]])*L$63,5)</f>
        <v>8005</v>
      </c>
      <c r="Q114" s="66">
        <f>MROUND(SUM(HighScenarioCentreBasedFTEDemand[[#This Row],[Kindergarten (Under 2s)]:[Kindergarten (3+)]])*M$61,5)</f>
        <v>760</v>
      </c>
      <c r="R114" s="66">
        <f t="shared" si="22"/>
        <v>8765</v>
      </c>
      <c r="U114" s="1">
        <v>2027</v>
      </c>
      <c r="V114" s="66">
        <f>SUM(HighScenarioCentreBasedFTEDemand[[#This Row],[Education &amp; Care (under 2s)]:[Education &amp; Care (3+)]])-HighScenarioQualifiedFTE[[#This Row],[Education &amp; Care]]</f>
        <v>0</v>
      </c>
    </row>
    <row r="115" spans="1:22" outlineLevel="1">
      <c r="A115" s="1">
        <v>2028</v>
      </c>
      <c r="B115" s="83">
        <f>MROUND(('T15'!$T18*B$75),5)</f>
        <v>49635</v>
      </c>
      <c r="C115" s="83">
        <f>MROUND(('T15'!$T18*C$75),5)</f>
        <v>5930</v>
      </c>
      <c r="D115" s="66">
        <f t="shared" si="20"/>
        <v>55565</v>
      </c>
      <c r="F115" s="1">
        <v>2028</v>
      </c>
      <c r="G115" s="66">
        <f>MROUND(((CentreBasedHeadcountEnrolmentsHigh[[#This Row],[Education &amp; Care]]*G$74)*G$68)*'Source-fte_qualstus_x_servtype'!J34,5)</f>
        <v>2235</v>
      </c>
      <c r="H115" s="66">
        <f>MROUND(((CentreBasedHeadcountEnrolmentsHigh[[#This Row],[Education &amp; Care]]*G$75)*G$69)*'Source-fte_qualstus_x_servtype'!J34,5)</f>
        <v>1910</v>
      </c>
      <c r="I115" s="66">
        <f>MROUND(((CentreBasedHeadcountEnrolmentsHigh[[#This Row],[Education &amp; Care]]*SUM(G$76:G$77))*G$70)*'Source-fte_qualstus_x_servtype'!J34,5)</f>
        <v>3940</v>
      </c>
      <c r="J115" s="66">
        <f>MROUND(((CentreBasedHeadcountEnrolmentsHigh[[#This Row],[Kindergarten]]*H$74)*H$68)*'Source-fte_qualstus_x_servtype'!J34,5)</f>
        <v>15</v>
      </c>
      <c r="K115" s="66">
        <f>MROUND(((CentreBasedHeadcountEnrolmentsHigh[[#This Row],[Kindergarten]]*H$75)*H$69)*'Source-fte_qualstus_x_servtype'!J34,5)</f>
        <v>135</v>
      </c>
      <c r="L115" s="66">
        <f>MROUND(((CentreBasedHeadcountEnrolmentsHigh[[#This Row],[Kindergarten]]*SUM(H$76:H$77))*H$70)*'Source-fte_qualstus_x_servtype'!J34,5)</f>
        <v>625</v>
      </c>
      <c r="M115" s="66">
        <f t="shared" si="21"/>
        <v>8860</v>
      </c>
      <c r="O115" s="1">
        <v>2028</v>
      </c>
      <c r="P115" s="66">
        <f>MROUND(SUM(HighScenarioCentreBasedFTEDemand[[#This Row],[Education &amp; Care (under 2s)]:[Education &amp; Care (3+)]])*L$63,5)</f>
        <v>8085</v>
      </c>
      <c r="Q115" s="66">
        <f>MROUND(SUM(HighScenarioCentreBasedFTEDemand[[#This Row],[Kindergarten (Under 2s)]:[Kindergarten (3+)]])*M$61,5)</f>
        <v>775</v>
      </c>
      <c r="R115" s="66">
        <f t="shared" si="22"/>
        <v>8860</v>
      </c>
      <c r="U115" s="1">
        <v>2028</v>
      </c>
      <c r="V115" s="66">
        <f>SUM(HighScenarioCentreBasedFTEDemand[[#This Row],[Education &amp; Care (under 2s)]:[Education &amp; Care (3+)]])-HighScenarioQualifiedFTE[[#This Row],[Education &amp; Care]]</f>
        <v>0</v>
      </c>
    </row>
    <row r="116" spans="1:22" outlineLevel="1">
      <c r="A116" s="1">
        <v>2029</v>
      </c>
      <c r="B116" s="83">
        <f>MROUND(('T15'!$T19*B$75),5)</f>
        <v>49950</v>
      </c>
      <c r="C116" s="83">
        <f>MROUND(('T15'!$T19*C$75),5)</f>
        <v>5965</v>
      </c>
      <c r="D116" s="66">
        <f t="shared" si="20"/>
        <v>55915</v>
      </c>
      <c r="F116" s="1">
        <v>2029</v>
      </c>
      <c r="G116" s="66">
        <f>MROUND(((CentreBasedHeadcountEnrolmentsHigh[[#This Row],[Education &amp; Care]]*G$74)*G$68)*'Source-fte_qualstus_x_servtype'!J35,5)</f>
        <v>2260</v>
      </c>
      <c r="H116" s="66">
        <f>MROUND(((CentreBasedHeadcountEnrolmentsHigh[[#This Row],[Education &amp; Care]]*G$75)*G$69)*'Source-fte_qualstus_x_servtype'!J35,5)</f>
        <v>1935</v>
      </c>
      <c r="I116" s="66">
        <f>MROUND(((CentreBasedHeadcountEnrolmentsHigh[[#This Row],[Education &amp; Care]]*SUM(G$76:G$77))*G$70)*'Source-fte_qualstus_x_servtype'!J35,5)</f>
        <v>3980</v>
      </c>
      <c r="J116" s="66">
        <f>MROUND(((CentreBasedHeadcountEnrolmentsHigh[[#This Row],[Kindergarten]]*H$74)*H$68)*'Source-fte_qualstus_x_servtype'!J35,5)</f>
        <v>15</v>
      </c>
      <c r="K116" s="66">
        <f>MROUND(((CentreBasedHeadcountEnrolmentsHigh[[#This Row],[Kindergarten]]*H$75)*H$69)*'Source-fte_qualstus_x_servtype'!J35,5)</f>
        <v>135</v>
      </c>
      <c r="L116" s="66">
        <f>MROUND(((CentreBasedHeadcountEnrolmentsHigh[[#This Row],[Kindergarten]]*SUM(H$76:H$77))*H$70)*'Source-fte_qualstus_x_servtype'!J35,5)</f>
        <v>630</v>
      </c>
      <c r="M116" s="66">
        <f t="shared" si="21"/>
        <v>8955</v>
      </c>
      <c r="O116" s="1">
        <v>2029</v>
      </c>
      <c r="P116" s="66">
        <f>MROUND(SUM(HighScenarioCentreBasedFTEDemand[[#This Row],[Education &amp; Care (under 2s)]:[Education &amp; Care (3+)]])*L$63,5)</f>
        <v>8175</v>
      </c>
      <c r="Q116" s="66">
        <f>MROUND(SUM(HighScenarioCentreBasedFTEDemand[[#This Row],[Kindergarten (Under 2s)]:[Kindergarten (3+)]])*M$61,5)</f>
        <v>780</v>
      </c>
      <c r="R116" s="66">
        <f t="shared" si="22"/>
        <v>8955</v>
      </c>
      <c r="U116" s="1">
        <v>2029</v>
      </c>
      <c r="V116" s="66">
        <f>SUM(HighScenarioCentreBasedFTEDemand[[#This Row],[Education &amp; Care (under 2s)]:[Education &amp; Care (3+)]])-HighScenarioQualifiedFTE[[#This Row],[Education &amp; Care]]</f>
        <v>0</v>
      </c>
    </row>
    <row r="117" spans="1:22" outlineLevel="1">
      <c r="A117" s="1">
        <v>2030</v>
      </c>
      <c r="B117" s="83">
        <f>MROUND(('T15'!$T20*B$75),5)</f>
        <v>49985</v>
      </c>
      <c r="C117" s="83">
        <f>MROUND(('T15'!$T20*C$75),5)</f>
        <v>5970</v>
      </c>
      <c r="D117" s="66">
        <f t="shared" si="20"/>
        <v>55955</v>
      </c>
      <c r="F117" s="1">
        <v>2030</v>
      </c>
      <c r="G117" s="66">
        <f>MROUND(((CentreBasedHeadcountEnrolmentsHigh[[#This Row],[Education &amp; Care]]*G$74)*G$68)*'Source-fte_qualstus_x_servtype'!J36,5)</f>
        <v>2270</v>
      </c>
      <c r="H117" s="66">
        <f>MROUND(((CentreBasedHeadcountEnrolmentsHigh[[#This Row],[Education &amp; Care]]*G$75)*G$69)*'Source-fte_qualstus_x_servtype'!J36,5)</f>
        <v>1940</v>
      </c>
      <c r="I117" s="66">
        <f>MROUND(((CentreBasedHeadcountEnrolmentsHigh[[#This Row],[Education &amp; Care]]*SUM(G$76:G$77))*G$70)*'Source-fte_qualstus_x_servtype'!J36,5)</f>
        <v>4000</v>
      </c>
      <c r="J117" s="66">
        <f>MROUND(((CentreBasedHeadcountEnrolmentsHigh[[#This Row],[Kindergarten]]*H$74)*H$68)*'Source-fte_qualstus_x_servtype'!J36,5)</f>
        <v>15</v>
      </c>
      <c r="K117" s="66">
        <f>MROUND(((CentreBasedHeadcountEnrolmentsHigh[[#This Row],[Kindergarten]]*H$75)*H$69)*'Source-fte_qualstus_x_servtype'!J36,5)</f>
        <v>135</v>
      </c>
      <c r="L117" s="66">
        <f>MROUND(((CentreBasedHeadcountEnrolmentsHigh[[#This Row],[Kindergarten]]*SUM(H$76:H$77))*H$70)*'Source-fte_qualstus_x_servtype'!J36,5)</f>
        <v>635</v>
      </c>
      <c r="M117" s="66">
        <f t="shared" si="21"/>
        <v>8995</v>
      </c>
      <c r="O117" s="1">
        <v>2030</v>
      </c>
      <c r="P117" s="66">
        <f>MROUND(SUM(HighScenarioCentreBasedFTEDemand[[#This Row],[Education &amp; Care (under 2s)]:[Education &amp; Care (3+)]])*L$63,5)</f>
        <v>8210</v>
      </c>
      <c r="Q117" s="66">
        <f>MROUND(SUM(HighScenarioCentreBasedFTEDemand[[#This Row],[Kindergarten (Under 2s)]:[Kindergarten (3+)]])*M$61,5)</f>
        <v>785</v>
      </c>
      <c r="R117" s="66">
        <f t="shared" si="22"/>
        <v>8995</v>
      </c>
      <c r="U117" s="1">
        <v>2030</v>
      </c>
      <c r="V117" s="66">
        <f>SUM(HighScenarioCentreBasedFTEDemand[[#This Row],[Education &amp; Care (under 2s)]:[Education &amp; Care (3+)]])-HighScenarioQualifiedFTE[[#This Row],[Education &amp; Care]]</f>
        <v>0</v>
      </c>
    </row>
    <row r="118" spans="1:22" outlineLevel="1">
      <c r="A118" s="1">
        <v>2031</v>
      </c>
      <c r="B118" s="83">
        <f>MROUND(('T15'!$T21*B$75),5)</f>
        <v>49995</v>
      </c>
      <c r="C118" s="83">
        <f>MROUND(('T15'!$T21*C$75),5)</f>
        <v>5970</v>
      </c>
      <c r="D118" s="66">
        <f t="shared" si="20"/>
        <v>55965</v>
      </c>
      <c r="F118" s="1">
        <v>2031</v>
      </c>
      <c r="G118" s="66">
        <f>MROUND(((CentreBasedHeadcountEnrolmentsHigh[[#This Row],[Education &amp; Care]]*G$74)*G$68)*'Source-fte_qualstus_x_servtype'!J37,5)</f>
        <v>2280</v>
      </c>
      <c r="H118" s="66">
        <f>MROUND(((CentreBasedHeadcountEnrolmentsHigh[[#This Row],[Education &amp; Care]]*G$75)*G$69)*'Source-fte_qualstus_x_servtype'!J37,5)</f>
        <v>1950</v>
      </c>
      <c r="I118" s="66">
        <f>MROUND(((CentreBasedHeadcountEnrolmentsHigh[[#This Row],[Education &amp; Care]]*SUM(G$76:G$77))*G$70)*'Source-fte_qualstus_x_servtype'!J37,5)</f>
        <v>4020</v>
      </c>
      <c r="J118" s="66">
        <f>MROUND(((CentreBasedHeadcountEnrolmentsHigh[[#This Row],[Kindergarten]]*H$74)*H$68)*'Source-fte_qualstus_x_servtype'!J37,5)</f>
        <v>15</v>
      </c>
      <c r="K118" s="66">
        <f>MROUND(((CentreBasedHeadcountEnrolmentsHigh[[#This Row],[Kindergarten]]*H$75)*H$69)*'Source-fte_qualstus_x_servtype'!J37,5)</f>
        <v>135</v>
      </c>
      <c r="L118" s="66">
        <f>MROUND(((CentreBasedHeadcountEnrolmentsHigh[[#This Row],[Kindergarten]]*SUM(H$76:H$77))*H$70)*'Source-fte_qualstus_x_servtype'!J37,5)</f>
        <v>635</v>
      </c>
      <c r="M118" s="66">
        <f t="shared" si="21"/>
        <v>9035</v>
      </c>
      <c r="O118" s="1">
        <v>2031</v>
      </c>
      <c r="P118" s="66">
        <f>MROUND(SUM(HighScenarioCentreBasedFTEDemand[[#This Row],[Education &amp; Care (under 2s)]:[Education &amp; Care (3+)]])*L$63,5)</f>
        <v>8250</v>
      </c>
      <c r="Q118" s="66">
        <f>MROUND(SUM(HighScenarioCentreBasedFTEDemand[[#This Row],[Kindergarten (Under 2s)]:[Kindergarten (3+)]])*M$61,5)</f>
        <v>785</v>
      </c>
      <c r="R118" s="66">
        <f t="shared" si="22"/>
        <v>9035</v>
      </c>
      <c r="U118" s="1">
        <v>2031</v>
      </c>
      <c r="V118" s="66">
        <f>SUM(HighScenarioCentreBasedFTEDemand[[#This Row],[Education &amp; Care (under 2s)]:[Education &amp; Care (3+)]])-HighScenarioQualifiedFTE[[#This Row],[Education &amp; Care]]</f>
        <v>0</v>
      </c>
    </row>
    <row r="119" spans="1:22" outlineLevel="1">
      <c r="A119" s="1">
        <v>2032</v>
      </c>
      <c r="B119" s="83">
        <f>MROUND(('T15'!$T22*B$75),5)</f>
        <v>50000</v>
      </c>
      <c r="C119" s="83">
        <f>MROUND(('T15'!$T22*C$75),5)</f>
        <v>5970</v>
      </c>
      <c r="D119" s="66">
        <f t="shared" si="20"/>
        <v>55970</v>
      </c>
      <c r="F119" s="1">
        <v>2032</v>
      </c>
      <c r="G119" s="66">
        <f>MROUND(((CentreBasedHeadcountEnrolmentsHigh[[#This Row],[Education &amp; Care]]*G$74)*G$68)*'Source-fte_qualstus_x_servtype'!J38,5)</f>
        <v>2290</v>
      </c>
      <c r="H119" s="66">
        <f>MROUND(((CentreBasedHeadcountEnrolmentsHigh[[#This Row],[Education &amp; Care]]*G$75)*G$69)*'Source-fte_qualstus_x_servtype'!J38,5)</f>
        <v>1960</v>
      </c>
      <c r="I119" s="66">
        <f>MROUND(((CentreBasedHeadcountEnrolmentsHigh[[#This Row],[Education &amp; Care]]*SUM(G$76:G$77))*G$70)*'Source-fte_qualstus_x_servtype'!J38,5)</f>
        <v>4035</v>
      </c>
      <c r="J119" s="66">
        <f>MROUND(((CentreBasedHeadcountEnrolmentsHigh[[#This Row],[Kindergarten]]*H$74)*H$68)*'Source-fte_qualstus_x_servtype'!J38,5)</f>
        <v>15</v>
      </c>
      <c r="K119" s="66">
        <f>MROUND(((CentreBasedHeadcountEnrolmentsHigh[[#This Row],[Kindergarten]]*H$75)*H$69)*'Source-fte_qualstus_x_servtype'!J38,5)</f>
        <v>135</v>
      </c>
      <c r="L119" s="66">
        <f>MROUND(((CentreBasedHeadcountEnrolmentsHigh[[#This Row],[Kindergarten]]*SUM(H$76:H$77))*H$70)*'Source-fte_qualstus_x_servtype'!J38,5)</f>
        <v>640</v>
      </c>
      <c r="M119" s="66">
        <f t="shared" si="21"/>
        <v>9075</v>
      </c>
      <c r="O119" s="1">
        <v>2032</v>
      </c>
      <c r="P119" s="66">
        <f>MROUND(SUM(HighScenarioCentreBasedFTEDemand[[#This Row],[Education &amp; Care (under 2s)]:[Education &amp; Care (3+)]])*L$63,5)</f>
        <v>8285</v>
      </c>
      <c r="Q119" s="66">
        <f>MROUND(SUM(HighScenarioCentreBasedFTEDemand[[#This Row],[Kindergarten (Under 2s)]:[Kindergarten (3+)]])*M$61,5)</f>
        <v>790</v>
      </c>
      <c r="R119" s="66">
        <f t="shared" si="22"/>
        <v>9075</v>
      </c>
      <c r="U119" s="1">
        <v>2032</v>
      </c>
      <c r="V119" s="66">
        <f>SUM(HighScenarioCentreBasedFTEDemand[[#This Row],[Education &amp; Care (under 2s)]:[Education &amp; Care (3+)]])-HighScenarioQualifiedFTE[[#This Row],[Education &amp; Care]]</f>
        <v>0</v>
      </c>
    </row>
    <row r="120" spans="1:22" outlineLevel="1">
      <c r="A120" s="1">
        <v>2033</v>
      </c>
      <c r="B120" s="83">
        <f>MROUND(('T15'!$T23*B$75),5)</f>
        <v>50005</v>
      </c>
      <c r="C120" s="83">
        <f>MROUND(('T15'!$T23*C$75),5)</f>
        <v>5975</v>
      </c>
      <c r="D120" s="66">
        <f t="shared" si="20"/>
        <v>55980</v>
      </c>
      <c r="F120" s="1">
        <v>2033</v>
      </c>
      <c r="G120" s="66">
        <f>MROUND(((CentreBasedHeadcountEnrolmentsHigh[[#This Row],[Education &amp; Care]]*G$74)*G$68)*'Source-fte_qualstus_x_servtype'!J39,5)</f>
        <v>2300</v>
      </c>
      <c r="H120" s="66">
        <f>MROUND(((CentreBasedHeadcountEnrolmentsHigh[[#This Row],[Education &amp; Care]]*G$75)*G$69)*'Source-fte_qualstus_x_servtype'!J39,5)</f>
        <v>1970</v>
      </c>
      <c r="I120" s="66">
        <f>MROUND(((CentreBasedHeadcountEnrolmentsHigh[[#This Row],[Education &amp; Care]]*SUM(G$76:G$77))*G$70)*'Source-fte_qualstus_x_servtype'!J39,5)</f>
        <v>4055</v>
      </c>
      <c r="J120" s="66">
        <f>MROUND(((CentreBasedHeadcountEnrolmentsHigh[[#This Row],[Kindergarten]]*H$74)*H$68)*'Source-fte_qualstus_x_servtype'!J39,5)</f>
        <v>15</v>
      </c>
      <c r="K120" s="66">
        <f>MROUND(((CentreBasedHeadcountEnrolmentsHigh[[#This Row],[Kindergarten]]*H$75)*H$69)*'Source-fte_qualstus_x_servtype'!J39,5)</f>
        <v>140</v>
      </c>
      <c r="L120" s="66">
        <f>MROUND(((CentreBasedHeadcountEnrolmentsHigh[[#This Row],[Kindergarten]]*SUM(H$76:H$77))*H$70)*'Source-fte_qualstus_x_servtype'!J39,5)</f>
        <v>640</v>
      </c>
      <c r="M120" s="66">
        <f t="shared" si="21"/>
        <v>9120</v>
      </c>
      <c r="O120" s="1">
        <v>2033</v>
      </c>
      <c r="P120" s="66">
        <f>MROUND(SUM(HighScenarioCentreBasedFTEDemand[[#This Row],[Education &amp; Care (under 2s)]:[Education &amp; Care (3+)]])*L$63,5)</f>
        <v>8325</v>
      </c>
      <c r="Q120" s="66">
        <f>MROUND(SUM(HighScenarioCentreBasedFTEDemand[[#This Row],[Kindergarten (Under 2s)]:[Kindergarten (3+)]])*M$61,5)</f>
        <v>795</v>
      </c>
      <c r="R120" s="66">
        <f t="shared" si="22"/>
        <v>9120</v>
      </c>
      <c r="U120" s="1">
        <v>2033</v>
      </c>
      <c r="V120" s="66">
        <f>SUM(HighScenarioCentreBasedFTEDemand[[#This Row],[Education &amp; Care (under 2s)]:[Education &amp; Care (3+)]])-HighScenarioQualifiedFTE[[#This Row],[Education &amp; Care]]</f>
        <v>0</v>
      </c>
    </row>
    <row r="121" spans="1:22" outlineLevel="1">
      <c r="A121" s="1">
        <v>2034</v>
      </c>
      <c r="B121" s="83">
        <f>MROUND(('T15'!$T24*B$75),5)</f>
        <v>50040</v>
      </c>
      <c r="C121" s="83">
        <f>MROUND(('T15'!$T24*C$75),5)</f>
        <v>5975</v>
      </c>
      <c r="D121" s="66">
        <f t="shared" si="20"/>
        <v>56015</v>
      </c>
      <c r="F121" s="1">
        <v>2034</v>
      </c>
      <c r="G121" s="66">
        <f>MROUND(((CentreBasedHeadcountEnrolmentsHigh[[#This Row],[Education &amp; Care]]*G$74)*G$68)*'Source-fte_qualstus_x_servtype'!J40,5)</f>
        <v>2315</v>
      </c>
      <c r="H121" s="66">
        <f>MROUND(((CentreBasedHeadcountEnrolmentsHigh[[#This Row],[Education &amp; Care]]*G$75)*G$69)*'Source-fte_qualstus_x_servtype'!J40,5)</f>
        <v>1980</v>
      </c>
      <c r="I121" s="66">
        <f>MROUND(((CentreBasedHeadcountEnrolmentsHigh[[#This Row],[Education &amp; Care]]*SUM(G$76:G$77))*G$70)*'Source-fte_qualstus_x_servtype'!J40,5)</f>
        <v>4075</v>
      </c>
      <c r="J121" s="66">
        <f>MROUND(((CentreBasedHeadcountEnrolmentsHigh[[#This Row],[Kindergarten]]*H$74)*H$68)*'Source-fte_qualstus_x_servtype'!J40,5)</f>
        <v>15</v>
      </c>
      <c r="K121" s="66">
        <f>MROUND(((CentreBasedHeadcountEnrolmentsHigh[[#This Row],[Kindergarten]]*H$75)*H$69)*'Source-fte_qualstus_x_servtype'!J40,5)</f>
        <v>140</v>
      </c>
      <c r="L121" s="66">
        <f>MROUND(((CentreBasedHeadcountEnrolmentsHigh[[#This Row],[Kindergarten]]*SUM(H$76:H$77))*H$70)*'Source-fte_qualstus_x_servtype'!J40,5)</f>
        <v>645</v>
      </c>
      <c r="M121" s="66">
        <f t="shared" si="21"/>
        <v>9170</v>
      </c>
      <c r="O121" s="1">
        <v>2034</v>
      </c>
      <c r="P121" s="66">
        <f>MROUND(SUM(HighScenarioCentreBasedFTEDemand[[#This Row],[Education &amp; Care (under 2s)]:[Education &amp; Care (3+)]])*L$63,5)</f>
        <v>8370</v>
      </c>
      <c r="Q121" s="66">
        <f>MROUND(SUM(HighScenarioCentreBasedFTEDemand[[#This Row],[Kindergarten (Under 2s)]:[Kindergarten (3+)]])*M$61,5)</f>
        <v>800</v>
      </c>
      <c r="R121" s="66">
        <f t="shared" si="22"/>
        <v>9170</v>
      </c>
      <c r="U121" s="1">
        <v>2034</v>
      </c>
      <c r="V121" s="66">
        <f>SUM(HighScenarioCentreBasedFTEDemand[[#This Row],[Education &amp; Care (under 2s)]:[Education &amp; Care (3+)]])-HighScenarioQualifiedFTE[[#This Row],[Education &amp; Care]]</f>
        <v>0</v>
      </c>
    </row>
    <row r="122" spans="1:22" outlineLevel="1">
      <c r="A122" s="1">
        <v>2035</v>
      </c>
      <c r="B122" s="83">
        <f>MROUND(('T15'!$T25*B$75),5)</f>
        <v>50110</v>
      </c>
      <c r="C122" s="83">
        <f>MROUND(('T15'!$T25*C$75),5)</f>
        <v>5985</v>
      </c>
      <c r="D122" s="66">
        <f t="shared" si="20"/>
        <v>56095</v>
      </c>
      <c r="F122" s="1">
        <v>2035</v>
      </c>
      <c r="G122" s="66">
        <f>MROUND(((CentreBasedHeadcountEnrolmentsHigh[[#This Row],[Education &amp; Care]]*G$74)*G$68)*'Source-fte_qualstus_x_servtype'!J41,5)</f>
        <v>2325</v>
      </c>
      <c r="H122" s="66">
        <f>MROUND(((CentreBasedHeadcountEnrolmentsHigh[[#This Row],[Education &amp; Care]]*G$75)*G$69)*'Source-fte_qualstus_x_servtype'!J41,5)</f>
        <v>1990</v>
      </c>
      <c r="I122" s="66">
        <f>MROUND(((CentreBasedHeadcountEnrolmentsHigh[[#This Row],[Education &amp; Care]]*SUM(G$76:G$77))*G$70)*'Source-fte_qualstus_x_servtype'!J41,5)</f>
        <v>4100</v>
      </c>
      <c r="J122" s="66">
        <f>MROUND(((CentreBasedHeadcountEnrolmentsHigh[[#This Row],[Kindergarten]]*H$74)*H$68)*'Source-fte_qualstus_x_servtype'!J41,5)</f>
        <v>15</v>
      </c>
      <c r="K122" s="66">
        <f>MROUND(((CentreBasedHeadcountEnrolmentsHigh[[#This Row],[Kindergarten]]*H$75)*H$69)*'Source-fte_qualstus_x_servtype'!J41,5)</f>
        <v>140</v>
      </c>
      <c r="L122" s="66">
        <f>MROUND(((CentreBasedHeadcountEnrolmentsHigh[[#This Row],[Kindergarten]]*SUM(H$76:H$77))*H$70)*'Source-fte_qualstus_x_servtype'!J41,5)</f>
        <v>650</v>
      </c>
      <c r="M122" s="66">
        <f t="shared" si="21"/>
        <v>9220</v>
      </c>
      <c r="O122" s="1">
        <v>2035</v>
      </c>
      <c r="P122" s="66">
        <f>MROUND(SUM(HighScenarioCentreBasedFTEDemand[[#This Row],[Education &amp; Care (under 2s)]:[Education &amp; Care (3+)]])*L$63,5)</f>
        <v>8415</v>
      </c>
      <c r="Q122" s="66">
        <f>MROUND(SUM(HighScenarioCentreBasedFTEDemand[[#This Row],[Kindergarten (Under 2s)]:[Kindergarten (3+)]])*M$61,5)</f>
        <v>805</v>
      </c>
      <c r="R122" s="66">
        <f t="shared" si="22"/>
        <v>9220</v>
      </c>
      <c r="U122" s="1">
        <v>2035</v>
      </c>
      <c r="V122" s="66">
        <f>SUM(HighScenarioCentreBasedFTEDemand[[#This Row],[Education &amp; Care (under 2s)]:[Education &amp; Care (3+)]])-HighScenarioQualifiedFTE[[#This Row],[Education &amp; Care]]</f>
        <v>0</v>
      </c>
    </row>
    <row r="124" spans="1:22">
      <c r="A124" t="s">
        <v>379</v>
      </c>
    </row>
    <row r="126" spans="1:22">
      <c r="A126" s="6" t="s">
        <v>380</v>
      </c>
      <c r="F126" s="6" t="s">
        <v>381</v>
      </c>
    </row>
    <row r="127" spans="1:22" ht="29.1">
      <c r="A127" s="1" t="s">
        <v>229</v>
      </c>
      <c r="B127" s="74" t="s">
        <v>296</v>
      </c>
      <c r="C127" s="74" t="s">
        <v>308</v>
      </c>
      <c r="D127" s="74" t="s">
        <v>236</v>
      </c>
      <c r="F127" s="1" t="s">
        <v>229</v>
      </c>
      <c r="G127" s="15" t="s">
        <v>364</v>
      </c>
      <c r="H127" s="15" t="s">
        <v>365</v>
      </c>
      <c r="I127" s="15" t="s">
        <v>366</v>
      </c>
      <c r="J127" s="15" t="s">
        <v>367</v>
      </c>
      <c r="K127" s="15" t="s">
        <v>368</v>
      </c>
      <c r="L127" s="15" t="s">
        <v>369</v>
      </c>
      <c r="M127" s="15" t="s">
        <v>370</v>
      </c>
      <c r="O127" s="1" t="s">
        <v>229</v>
      </c>
      <c r="P127" s="15" t="s">
        <v>296</v>
      </c>
      <c r="Q127" s="15" t="s">
        <v>308</v>
      </c>
      <c r="R127" s="15" t="s">
        <v>370</v>
      </c>
    </row>
    <row r="128" spans="1:22">
      <c r="A128">
        <v>2025</v>
      </c>
      <c r="B128" s="83">
        <v>47530</v>
      </c>
      <c r="C128" s="83">
        <v>5675</v>
      </c>
      <c r="D128" s="66">
        <v>53205</v>
      </c>
      <c r="F128" s="1">
        <v>2025</v>
      </c>
      <c r="G128" s="66">
        <f>MROUND(((Table51[[#This Row],[Education &amp; Care]]*G$74)*G$66)*'Source-fte_qualstus_x_servtype'!J31,5)</f>
        <v>1700</v>
      </c>
      <c r="H128" s="66">
        <f>MROUND(((Table51[[#This Row],[Education &amp; Care]]*G$75)*G$67)*'Source-fte_qualstus_x_servtype'!J31,5)</f>
        <v>935</v>
      </c>
      <c r="I128" s="66">
        <f>MROUND(((Table51[[#This Row],[Education &amp; Care]]*SUM(G$76:G$77))*G$67)*'Source-fte_qualstus_x_servtype'!J31,5)</f>
        <v>2265</v>
      </c>
      <c r="J128" s="66">
        <f>MROUND(((Table51[[#This Row],[Kindergarten]]*H$74)*H$66)*'Source-fte_qualstus_x_servtype'!J31,5)</f>
        <v>10</v>
      </c>
      <c r="K128" s="66">
        <f>MROUND(((Table51[[#This Row],[Kindergarten]]*H$75)*H$67)*'Source-fte_qualstus_x_servtype'!J31,5)</f>
        <v>70</v>
      </c>
      <c r="L128" s="66">
        <f>MROUND(((Table51[[#This Row],[Kindergarten]]*SUM(H$76:H$77))*H$67)*'Source-fte_qualstus_x_servtype'!J31,5)</f>
        <v>405</v>
      </c>
      <c r="M128" s="66">
        <f>SUM(G128:L128)</f>
        <v>5385</v>
      </c>
      <c r="O128" s="1">
        <v>2025</v>
      </c>
      <c r="P128" s="66">
        <f>MROUND(SUM(ComplianceScenarioCentreBasedFTEDemand[[#This Row],[Education &amp; Care (under 2s)]:[Education &amp; Care (3+)]])*L$63,5)</f>
        <v>4900</v>
      </c>
      <c r="Q128" s="66">
        <f>MROUND(SUM(ComplianceScenarioCentreBasedFTEDemand[[#This Row],[Kindergarten (Under 2s)]:[Kindergarten (3+)]])*M$61,5)</f>
        <v>485</v>
      </c>
      <c r="R128" s="66">
        <f>SUM(P128:Q128)</f>
        <v>5385</v>
      </c>
    </row>
    <row r="129" spans="1:18">
      <c r="A129">
        <v>2026</v>
      </c>
      <c r="B129" s="83">
        <v>46565</v>
      </c>
      <c r="C129" s="83">
        <v>5560</v>
      </c>
      <c r="D129" s="66">
        <v>52125</v>
      </c>
      <c r="F129" s="1">
        <v>2026</v>
      </c>
      <c r="G129" s="66">
        <f>MROUND(((Table51[[#This Row],[Education &amp; Care]]*G$74)*G$66)*'Source-fte_qualstus_x_servtype'!J32,5)</f>
        <v>1670</v>
      </c>
      <c r="H129" s="66">
        <f>MROUND(((Table51[[#This Row],[Education &amp; Care]]*G$75)*G$67)*'Source-fte_qualstus_x_servtype'!J32,5)</f>
        <v>920</v>
      </c>
      <c r="I129" s="66">
        <f>MROUND(((Table51[[#This Row],[Education &amp; Care]]*SUM(G$76:G$77))*G$67)*'Source-fte_qualstus_x_servtype'!J32,5)</f>
        <v>2225</v>
      </c>
      <c r="J129" s="66">
        <f>MROUND(((Table51[[#This Row],[Kindergarten]]*H$74)*H$66)*'Source-fte_qualstus_x_servtype'!J32,5)</f>
        <v>10</v>
      </c>
      <c r="K129" s="66">
        <f>MROUND(((Table51[[#This Row],[Kindergarten]]*H$75)*H$67)*'Source-fte_qualstus_x_servtype'!J32,5)</f>
        <v>70</v>
      </c>
      <c r="L129" s="66">
        <f>MROUND(((Table51[[#This Row],[Kindergarten]]*SUM(H$76:H$77))*H$67)*'Source-fte_qualstus_x_servtype'!J32,5)</f>
        <v>400</v>
      </c>
      <c r="M129" s="66">
        <f t="shared" ref="M129:M138" si="23">SUM(G129:L129)</f>
        <v>5295</v>
      </c>
      <c r="O129" s="1">
        <v>2026</v>
      </c>
      <c r="P129" s="66">
        <f>MROUND(SUM(ComplianceScenarioCentreBasedFTEDemand[[#This Row],[Education &amp; Care (under 2s)]:[Education &amp; Care (3+)]])*L$63,5)</f>
        <v>4815</v>
      </c>
      <c r="Q129" s="66">
        <f>MROUND(SUM(ComplianceScenarioCentreBasedFTEDemand[[#This Row],[Kindergarten (Under 2s)]:[Kindergarten (3+)]])*M$61,5)</f>
        <v>480</v>
      </c>
      <c r="R129" s="66">
        <f t="shared" ref="R129:R138" si="24">SUM(P129:Q129)</f>
        <v>5295</v>
      </c>
    </row>
    <row r="130" spans="1:18">
      <c r="A130">
        <v>2027</v>
      </c>
      <c r="B130" s="83">
        <v>45740</v>
      </c>
      <c r="C130" s="83">
        <v>5465</v>
      </c>
      <c r="D130" s="66">
        <v>51205</v>
      </c>
      <c r="F130" s="1">
        <v>2027</v>
      </c>
      <c r="G130" s="66">
        <f>MROUND(((Table51[[#This Row],[Education &amp; Care]]*G$74)*G$66)*'Source-fte_qualstus_x_servtype'!J33,5)</f>
        <v>1650</v>
      </c>
      <c r="H130" s="66">
        <f>MROUND(((Table51[[#This Row],[Education &amp; Care]]*G$75)*G$67)*'Source-fte_qualstus_x_servtype'!J33,5)</f>
        <v>905</v>
      </c>
      <c r="I130" s="66">
        <f>MROUND(((Table51[[#This Row],[Education &amp; Care]]*SUM(G$76:G$77))*G$67)*'Source-fte_qualstus_x_servtype'!J33,5)</f>
        <v>2195</v>
      </c>
      <c r="J130" s="66">
        <f>MROUND(((Table51[[#This Row],[Kindergarten]]*H$74)*H$66)*'Source-fte_qualstus_x_servtype'!J33,5)</f>
        <v>10</v>
      </c>
      <c r="K130" s="66">
        <f>MROUND(((Table51[[#This Row],[Kindergarten]]*H$75)*H$67)*'Source-fte_qualstus_x_servtype'!J33,5)</f>
        <v>70</v>
      </c>
      <c r="L130" s="66">
        <f>MROUND(((Table51[[#This Row],[Kindergarten]]*SUM(H$76:H$77))*H$67)*'Source-fte_qualstus_x_servtype'!J33,5)</f>
        <v>395</v>
      </c>
      <c r="M130" s="66">
        <f t="shared" si="23"/>
        <v>5225</v>
      </c>
      <c r="O130" s="1">
        <v>2027</v>
      </c>
      <c r="P130" s="66">
        <f>MROUND(SUM(ComplianceScenarioCentreBasedFTEDemand[[#This Row],[Education &amp; Care (under 2s)]:[Education &amp; Care (3+)]])*L$63,5)</f>
        <v>4750</v>
      </c>
      <c r="Q130" s="66">
        <f>MROUND(SUM(ComplianceScenarioCentreBasedFTEDemand[[#This Row],[Kindergarten (Under 2s)]:[Kindergarten (3+)]])*M$61,5)</f>
        <v>475</v>
      </c>
      <c r="R130" s="66">
        <f t="shared" si="24"/>
        <v>5225</v>
      </c>
    </row>
    <row r="131" spans="1:18">
      <c r="A131">
        <v>2028</v>
      </c>
      <c r="B131" s="83">
        <v>46000</v>
      </c>
      <c r="C131" s="83">
        <v>5495</v>
      </c>
      <c r="D131" s="66">
        <v>51495</v>
      </c>
      <c r="F131" s="1">
        <v>2028</v>
      </c>
      <c r="G131" s="66">
        <f>MROUND(((Table51[[#This Row],[Education &amp; Care]]*G$74)*G$66)*'Source-fte_qualstus_x_servtype'!J34,5)</f>
        <v>1665</v>
      </c>
      <c r="H131" s="66">
        <f>MROUND(((Table51[[#This Row],[Education &amp; Care]]*G$75)*G$67)*'Source-fte_qualstus_x_servtype'!J34,5)</f>
        <v>915</v>
      </c>
      <c r="I131" s="66">
        <f>MROUND(((Table51[[#This Row],[Education &amp; Care]]*SUM(G$76:G$77))*G$67)*'Source-fte_qualstus_x_servtype'!J34,5)</f>
        <v>2220</v>
      </c>
      <c r="J131" s="66">
        <f>MROUND(((Table51[[#This Row],[Kindergarten]]*H$74)*H$66)*'Source-fte_qualstus_x_servtype'!J34,5)</f>
        <v>10</v>
      </c>
      <c r="K131" s="66">
        <f>MROUND(((Table51[[#This Row],[Kindergarten]]*H$75)*H$67)*'Source-fte_qualstus_x_servtype'!J34,5)</f>
        <v>70</v>
      </c>
      <c r="L131" s="66">
        <f>MROUND(((Table51[[#This Row],[Kindergarten]]*SUM(H$76:H$77))*H$67)*'Source-fte_qualstus_x_servtype'!J34,5)</f>
        <v>395</v>
      </c>
      <c r="M131" s="66">
        <f t="shared" si="23"/>
        <v>5275</v>
      </c>
      <c r="O131" s="1">
        <v>2028</v>
      </c>
      <c r="P131" s="66">
        <f>MROUND(SUM(ComplianceScenarioCentreBasedFTEDemand[[#This Row],[Education &amp; Care (under 2s)]:[Education &amp; Care (3+)]])*L$63,5)</f>
        <v>4800</v>
      </c>
      <c r="Q131" s="66">
        <f>MROUND(SUM(ComplianceScenarioCentreBasedFTEDemand[[#This Row],[Kindergarten (Under 2s)]:[Kindergarten (3+)]])*M$61,5)</f>
        <v>475</v>
      </c>
      <c r="R131" s="66">
        <f t="shared" si="24"/>
        <v>5275</v>
      </c>
    </row>
    <row r="132" spans="1:18">
      <c r="A132">
        <v>2029</v>
      </c>
      <c r="B132" s="83">
        <v>46300</v>
      </c>
      <c r="C132" s="83">
        <v>5530</v>
      </c>
      <c r="D132" s="66">
        <v>51830</v>
      </c>
      <c r="F132" s="1">
        <v>2029</v>
      </c>
      <c r="G132" s="66">
        <f>MROUND(((Table51[[#This Row],[Education &amp; Care]]*G$74)*G$66)*'Source-fte_qualstus_x_servtype'!J35,5)</f>
        <v>1685</v>
      </c>
      <c r="H132" s="66">
        <f>MROUND(((Table51[[#This Row],[Education &amp; Care]]*G$75)*G$67)*'Source-fte_qualstus_x_servtype'!J35,5)</f>
        <v>925</v>
      </c>
      <c r="I132" s="66">
        <f>MROUND(((Table51[[#This Row],[Education &amp; Care]]*SUM(G$76:G$77))*G$67)*'Source-fte_qualstus_x_servtype'!J35,5)</f>
        <v>2245</v>
      </c>
      <c r="J132" s="66">
        <f>MROUND(((Table51[[#This Row],[Kindergarten]]*H$74)*H$66)*'Source-fte_qualstus_x_servtype'!J35,5)</f>
        <v>10</v>
      </c>
      <c r="K132" s="66">
        <f>MROUND(((Table51[[#This Row],[Kindergarten]]*H$75)*H$67)*'Source-fte_qualstus_x_servtype'!J35,5)</f>
        <v>70</v>
      </c>
      <c r="L132" s="66">
        <f>MROUND(((Table51[[#This Row],[Kindergarten]]*SUM(H$76:H$77))*H$67)*'Source-fte_qualstus_x_servtype'!J35,5)</f>
        <v>400</v>
      </c>
      <c r="M132" s="66">
        <f t="shared" si="23"/>
        <v>5335</v>
      </c>
      <c r="O132" s="1">
        <v>2029</v>
      </c>
      <c r="P132" s="66">
        <f>MROUND(SUM(ComplianceScenarioCentreBasedFTEDemand[[#This Row],[Education &amp; Care (under 2s)]:[Education &amp; Care (3+)]])*L$63,5)</f>
        <v>4855</v>
      </c>
      <c r="Q132" s="66">
        <f>MROUND(SUM(ComplianceScenarioCentreBasedFTEDemand[[#This Row],[Kindergarten (Under 2s)]:[Kindergarten (3+)]])*M$61,5)</f>
        <v>480</v>
      </c>
      <c r="R132" s="66">
        <f t="shared" si="24"/>
        <v>5335</v>
      </c>
    </row>
    <row r="133" spans="1:18">
      <c r="A133">
        <v>2030</v>
      </c>
      <c r="B133" s="83">
        <v>46325</v>
      </c>
      <c r="C133" s="83">
        <v>5535</v>
      </c>
      <c r="D133" s="66">
        <v>51860</v>
      </c>
      <c r="F133" s="1">
        <v>2030</v>
      </c>
      <c r="G133" s="66">
        <f>MROUND(((Table51[[#This Row],[Education &amp; Care]]*G$74)*G$66)*'Source-fte_qualstus_x_servtype'!J36,5)</f>
        <v>1690</v>
      </c>
      <c r="H133" s="66">
        <f>MROUND(((Table51[[#This Row],[Education &amp; Care]]*G$75)*G$67)*'Source-fte_qualstus_x_servtype'!J36,5)</f>
        <v>930</v>
      </c>
      <c r="I133" s="66">
        <f>MROUND(((Table51[[#This Row],[Education &amp; Care]]*SUM(G$76:G$77))*G$67)*'Source-fte_qualstus_x_servtype'!J36,5)</f>
        <v>2255</v>
      </c>
      <c r="J133" s="66">
        <f>MROUND(((Table51[[#This Row],[Kindergarten]]*H$74)*H$66)*'Source-fte_qualstus_x_servtype'!J36,5)</f>
        <v>10</v>
      </c>
      <c r="K133" s="66">
        <f>MROUND(((Table51[[#This Row],[Kindergarten]]*H$75)*H$67)*'Source-fte_qualstus_x_servtype'!J36,5)</f>
        <v>70</v>
      </c>
      <c r="L133" s="66">
        <f>MROUND(((Table51[[#This Row],[Kindergarten]]*SUM(H$76:H$77))*H$67)*'Source-fte_qualstus_x_servtype'!J36,5)</f>
        <v>405</v>
      </c>
      <c r="M133" s="66">
        <f t="shared" si="23"/>
        <v>5360</v>
      </c>
      <c r="O133" s="1">
        <v>2030</v>
      </c>
      <c r="P133" s="66">
        <f>MROUND(SUM(ComplianceScenarioCentreBasedFTEDemand[[#This Row],[Education &amp; Care (under 2s)]:[Education &amp; Care (3+)]])*L$63,5)</f>
        <v>4875</v>
      </c>
      <c r="Q133" s="66">
        <f>MROUND(SUM(ComplianceScenarioCentreBasedFTEDemand[[#This Row],[Kindergarten (Under 2s)]:[Kindergarten (3+)]])*M$61,5)</f>
        <v>485</v>
      </c>
      <c r="R133" s="66">
        <f t="shared" si="24"/>
        <v>5360</v>
      </c>
    </row>
    <row r="134" spans="1:18">
      <c r="A134">
        <v>2031</v>
      </c>
      <c r="B134" s="83">
        <v>46340</v>
      </c>
      <c r="C134" s="83">
        <v>5535</v>
      </c>
      <c r="D134" s="66">
        <v>51875</v>
      </c>
      <c r="F134" s="1">
        <v>2031</v>
      </c>
      <c r="G134" s="66">
        <f>MROUND(((Table51[[#This Row],[Education &amp; Care]]*G$74)*G$66)*'Source-fte_qualstus_x_servtype'!J37,5)</f>
        <v>1700</v>
      </c>
      <c r="H134" s="66">
        <f>MROUND(((Table51[[#This Row],[Education &amp; Care]]*G$75)*G$67)*'Source-fte_qualstus_x_servtype'!J37,5)</f>
        <v>935</v>
      </c>
      <c r="I134" s="66">
        <f>MROUND(((Table51[[#This Row],[Education &amp; Care]]*SUM(G$76:G$77))*G$67)*'Source-fte_qualstus_x_servtype'!J37,5)</f>
        <v>2265</v>
      </c>
      <c r="J134" s="66">
        <f>MROUND(((Table51[[#This Row],[Kindergarten]]*H$74)*H$66)*'Source-fte_qualstus_x_servtype'!J37,5)</f>
        <v>10</v>
      </c>
      <c r="K134" s="66">
        <f>MROUND(((Table51[[#This Row],[Kindergarten]]*H$75)*H$67)*'Source-fte_qualstus_x_servtype'!J37,5)</f>
        <v>70</v>
      </c>
      <c r="L134" s="66">
        <f>MROUND(((Table51[[#This Row],[Kindergarten]]*SUM(H$76:H$77))*H$67)*'Source-fte_qualstus_x_servtype'!J37,5)</f>
        <v>405</v>
      </c>
      <c r="M134" s="66">
        <f t="shared" si="23"/>
        <v>5385</v>
      </c>
      <c r="O134" s="1">
        <v>2031</v>
      </c>
      <c r="P134" s="66">
        <f>MROUND(SUM(ComplianceScenarioCentreBasedFTEDemand[[#This Row],[Education &amp; Care (under 2s)]:[Education &amp; Care (3+)]])*L$63,5)</f>
        <v>4900</v>
      </c>
      <c r="Q134" s="66">
        <f>MROUND(SUM(ComplianceScenarioCentreBasedFTEDemand[[#This Row],[Kindergarten (Under 2s)]:[Kindergarten (3+)]])*M$61,5)</f>
        <v>485</v>
      </c>
      <c r="R134" s="66">
        <f t="shared" si="24"/>
        <v>5385</v>
      </c>
    </row>
    <row r="135" spans="1:18">
      <c r="A135">
        <v>2032</v>
      </c>
      <c r="B135" s="83">
        <v>46340</v>
      </c>
      <c r="C135" s="83">
        <v>5535</v>
      </c>
      <c r="D135" s="66">
        <v>51875</v>
      </c>
      <c r="F135" s="1">
        <v>2032</v>
      </c>
      <c r="G135" s="66">
        <f>MROUND(((Table51[[#This Row],[Education &amp; Care]]*G$74)*G$66)*'Source-fte_qualstus_x_servtype'!J38,5)</f>
        <v>1705</v>
      </c>
      <c r="H135" s="66">
        <f>MROUND(((Table51[[#This Row],[Education &amp; Care]]*G$75)*G$67)*'Source-fte_qualstus_x_servtype'!J38,5)</f>
        <v>940</v>
      </c>
      <c r="I135" s="66">
        <f>MROUND(((Table51[[#This Row],[Education &amp; Care]]*SUM(G$76:G$77))*G$67)*'Source-fte_qualstus_x_servtype'!J38,5)</f>
        <v>2275</v>
      </c>
      <c r="J135" s="66">
        <f>MROUND(((Table51[[#This Row],[Kindergarten]]*H$74)*H$66)*'Source-fte_qualstus_x_servtype'!J38,5)</f>
        <v>10</v>
      </c>
      <c r="K135" s="66">
        <f>MROUND(((Table51[[#This Row],[Kindergarten]]*H$75)*H$67)*'Source-fte_qualstus_x_servtype'!J38,5)</f>
        <v>75</v>
      </c>
      <c r="L135" s="66">
        <f>MROUND(((Table51[[#This Row],[Kindergarten]]*SUM(H$76:H$77))*H$67)*'Source-fte_qualstus_x_servtype'!J38,5)</f>
        <v>405</v>
      </c>
      <c r="M135" s="66">
        <f t="shared" si="23"/>
        <v>5410</v>
      </c>
      <c r="O135" s="1">
        <v>2032</v>
      </c>
      <c r="P135" s="66">
        <f>MROUND(SUM(ComplianceScenarioCentreBasedFTEDemand[[#This Row],[Education &amp; Care (under 2s)]:[Education &amp; Care (3+)]])*L$63,5)</f>
        <v>4920</v>
      </c>
      <c r="Q135" s="66">
        <f>MROUND(SUM(ComplianceScenarioCentreBasedFTEDemand[[#This Row],[Kindergarten (Under 2s)]:[Kindergarten (3+)]])*M$61,5)</f>
        <v>490</v>
      </c>
      <c r="R135" s="66">
        <f t="shared" si="24"/>
        <v>5410</v>
      </c>
    </row>
    <row r="136" spans="1:18">
      <c r="A136">
        <v>2033</v>
      </c>
      <c r="B136" s="83">
        <v>46350</v>
      </c>
      <c r="C136" s="83">
        <v>5535</v>
      </c>
      <c r="D136" s="66">
        <v>51885</v>
      </c>
      <c r="F136" s="1">
        <v>2033</v>
      </c>
      <c r="G136" s="66">
        <f>MROUND(((Table51[[#This Row],[Education &amp; Care]]*G$74)*G$66)*'Source-fte_qualstus_x_servtype'!J39,5)</f>
        <v>1715</v>
      </c>
      <c r="H136" s="66">
        <f>MROUND(((Table51[[#This Row],[Education &amp; Care]]*G$75)*G$67)*'Source-fte_qualstus_x_servtype'!J39,5)</f>
        <v>945</v>
      </c>
      <c r="I136" s="66">
        <f>MROUND(((Table51[[#This Row],[Education &amp; Care]]*SUM(G$76:G$77))*G$67)*'Source-fte_qualstus_x_servtype'!J39,5)</f>
        <v>2285</v>
      </c>
      <c r="J136" s="66">
        <f>MROUND(((Table51[[#This Row],[Kindergarten]]*H$74)*H$66)*'Source-fte_qualstus_x_servtype'!J39,5)</f>
        <v>10</v>
      </c>
      <c r="K136" s="66">
        <f>MROUND(((Table51[[#This Row],[Kindergarten]]*H$75)*H$67)*'Source-fte_qualstus_x_servtype'!J39,5)</f>
        <v>75</v>
      </c>
      <c r="L136" s="66">
        <f>MROUND(((Table51[[#This Row],[Kindergarten]]*SUM(H$76:H$77))*H$67)*'Source-fte_qualstus_x_servtype'!J39,5)</f>
        <v>410</v>
      </c>
      <c r="M136" s="66">
        <f t="shared" si="23"/>
        <v>5440</v>
      </c>
      <c r="O136" s="1">
        <v>2033</v>
      </c>
      <c r="P136" s="66">
        <f>MROUND(SUM(ComplianceScenarioCentreBasedFTEDemand[[#This Row],[Education &amp; Care (under 2s)]:[Education &amp; Care (3+)]])*L$63,5)</f>
        <v>4945</v>
      </c>
      <c r="Q136" s="66">
        <f>MROUND(SUM(ComplianceScenarioCentreBasedFTEDemand[[#This Row],[Kindergarten (Under 2s)]:[Kindergarten (3+)]])*M$61,5)</f>
        <v>495</v>
      </c>
      <c r="R136" s="66">
        <f t="shared" si="24"/>
        <v>5440</v>
      </c>
    </row>
    <row r="137" spans="1:18">
      <c r="A137">
        <v>2034</v>
      </c>
      <c r="B137" s="83">
        <v>46385</v>
      </c>
      <c r="C137" s="83">
        <v>5540</v>
      </c>
      <c r="D137" s="66">
        <v>51925</v>
      </c>
      <c r="F137" s="1">
        <v>2034</v>
      </c>
      <c r="G137" s="66">
        <f>MROUND(((Table51[[#This Row],[Education &amp; Care]]*G$74)*G$66)*'Source-fte_qualstus_x_servtype'!J40,5)</f>
        <v>1725</v>
      </c>
      <c r="H137" s="66">
        <f>MROUND(((Table51[[#This Row],[Education &amp; Care]]*G$75)*G$67)*'Source-fte_qualstus_x_servtype'!J40,5)</f>
        <v>950</v>
      </c>
      <c r="I137" s="66">
        <f>MROUND(((Table51[[#This Row],[Education &amp; Care]]*SUM(G$76:G$77))*G$67)*'Source-fte_qualstus_x_servtype'!J40,5)</f>
        <v>2295</v>
      </c>
      <c r="J137" s="66">
        <f>MROUND(((Table51[[#This Row],[Kindergarten]]*H$74)*H$66)*'Source-fte_qualstus_x_servtype'!J40,5)</f>
        <v>10</v>
      </c>
      <c r="K137" s="66">
        <f>MROUND(((Table51[[#This Row],[Kindergarten]]*H$75)*H$67)*'Source-fte_qualstus_x_servtype'!J40,5)</f>
        <v>75</v>
      </c>
      <c r="L137" s="66">
        <f>MROUND(((Table51[[#This Row],[Kindergarten]]*SUM(H$76:H$77))*H$67)*'Source-fte_qualstus_x_servtype'!J40,5)</f>
        <v>410</v>
      </c>
      <c r="M137" s="66">
        <f t="shared" si="23"/>
        <v>5465</v>
      </c>
      <c r="O137" s="1">
        <v>2034</v>
      </c>
      <c r="P137" s="66">
        <f>MROUND(SUM(ComplianceScenarioCentreBasedFTEDemand[[#This Row],[Education &amp; Care (under 2s)]:[Education &amp; Care (3+)]])*L$63,5)</f>
        <v>4970</v>
      </c>
      <c r="Q137" s="66">
        <f>MROUND(SUM(ComplianceScenarioCentreBasedFTEDemand[[#This Row],[Kindergarten (Under 2s)]:[Kindergarten (3+)]])*M$61,5)</f>
        <v>495</v>
      </c>
      <c r="R137" s="66">
        <f t="shared" si="24"/>
        <v>5465</v>
      </c>
    </row>
    <row r="138" spans="1:18">
      <c r="A138">
        <v>2035</v>
      </c>
      <c r="B138" s="83">
        <v>46445</v>
      </c>
      <c r="C138" s="83">
        <v>5550</v>
      </c>
      <c r="D138" s="66">
        <v>51995</v>
      </c>
      <c r="F138" s="1">
        <v>2035</v>
      </c>
      <c r="G138" s="66">
        <f>MROUND(((Table51[[#This Row],[Education &amp; Care]]*G$74)*G$66)*'Source-fte_qualstus_x_servtype'!J41,5)</f>
        <v>1735</v>
      </c>
      <c r="H138" s="66">
        <f>MROUND(((Table51[[#This Row],[Education &amp; Care]]*G$75)*G$67)*'Source-fte_qualstus_x_servtype'!J41,5)</f>
        <v>955</v>
      </c>
      <c r="I138" s="66">
        <f>MROUND(((Table51[[#This Row],[Education &amp; Care]]*SUM(G$76:G$77))*G$67)*'Source-fte_qualstus_x_servtype'!J41,5)</f>
        <v>2310</v>
      </c>
      <c r="J138" s="66">
        <f>MROUND(((Table51[[#This Row],[Kindergarten]]*H$74)*H$66)*'Source-fte_qualstus_x_servtype'!J41,5)</f>
        <v>10</v>
      </c>
      <c r="K138" s="66">
        <f>MROUND(((Table51[[#This Row],[Kindergarten]]*H$75)*H$67)*'Source-fte_qualstus_x_servtype'!J41,5)</f>
        <v>75</v>
      </c>
      <c r="L138" s="66">
        <f>MROUND(((Table51[[#This Row],[Kindergarten]]*SUM(H$76:H$77))*H$67)*'Source-fte_qualstus_x_servtype'!J41,5)</f>
        <v>415</v>
      </c>
      <c r="M138" s="66">
        <f t="shared" si="23"/>
        <v>5500</v>
      </c>
      <c r="O138" s="1">
        <v>2035</v>
      </c>
      <c r="P138" s="66">
        <f>MROUND(SUM(ComplianceScenarioCentreBasedFTEDemand[[#This Row],[Education &amp; Care (under 2s)]:[Education &amp; Care (3+)]])*L$63,5)</f>
        <v>5000</v>
      </c>
      <c r="Q138" s="66">
        <f>MROUND(SUM(ComplianceScenarioCentreBasedFTEDemand[[#This Row],[Kindergarten (Under 2s)]:[Kindergarten (3+)]])*M$61,5)</f>
        <v>500</v>
      </c>
      <c r="R138" s="66">
        <f t="shared" si="24"/>
        <v>5500</v>
      </c>
    </row>
  </sheetData>
  <mergeCells count="3">
    <mergeCell ref="O82:R82"/>
    <mergeCell ref="O96:R96"/>
    <mergeCell ref="O110:R110"/>
  </mergeCells>
  <conditionalFormatting sqref="B33:D57">
    <cfRule type="colorScale" priority="1">
      <colorScale>
        <cfvo type="min"/>
        <cfvo type="percentile" val="50"/>
        <cfvo type="max"/>
        <color rgb="FFF8696B"/>
        <color rgb="FFFFEB84"/>
        <color rgb="FF63BE7B"/>
      </colorScale>
    </cfRule>
  </conditionalFormatting>
  <pageMargins left="0.7" right="0.7" top="0.75" bottom="0.75" header="0.3" footer="0.3"/>
  <tableParts count="18">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07CBB-7AAE-4280-8834-C50DFC4BC3AF}">
  <dimension ref="A1:AV136"/>
  <sheetViews>
    <sheetView topLeftCell="A106" workbookViewId="0">
      <selection activeCell="G124" sqref="G124"/>
    </sheetView>
  </sheetViews>
  <sheetFormatPr defaultColWidth="8.85546875" defaultRowHeight="14.65" outlineLevelRow="1" outlineLevelCol="1"/>
  <cols>
    <col min="1" max="1" width="2.28515625" customWidth="1"/>
    <col min="2" max="2" width="8.85546875" customWidth="1" outlineLevel="1"/>
    <col min="3" max="3" width="17.85546875" style="73" customWidth="1" outlineLevel="1"/>
    <col min="4" max="8" width="15.42578125" style="73" customWidth="1" outlineLevel="1"/>
    <col min="9" max="10" width="2.28515625" customWidth="1"/>
    <col min="11" max="11" width="15.42578125" customWidth="1" outlineLevel="1"/>
    <col min="12" max="12" width="17" customWidth="1" outlineLevel="1"/>
    <col min="13" max="16" width="15.42578125" customWidth="1" outlineLevel="1"/>
    <col min="17" max="17" width="17" customWidth="1" outlineLevel="1"/>
    <col min="18" max="22" width="15.42578125" customWidth="1" outlineLevel="1"/>
    <col min="23" max="24" width="2.28515625" customWidth="1"/>
    <col min="25" max="25" width="15.42578125" hidden="1" customWidth="1" outlineLevel="1"/>
    <col min="26" max="26" width="17" hidden="1" customWidth="1" outlineLevel="1"/>
    <col min="27" max="31" width="15.42578125" hidden="1" customWidth="1" outlineLevel="1"/>
    <col min="32" max="32" width="2.28515625" customWidth="1" collapsed="1"/>
    <col min="33" max="33" width="2.28515625" customWidth="1"/>
    <col min="34" max="40" width="15.42578125" hidden="1" customWidth="1" outlineLevel="1"/>
    <col min="41" max="41" width="2.28515625" customWidth="1" collapsed="1"/>
  </cols>
  <sheetData>
    <row r="1" spans="1:31">
      <c r="A1" s="6" t="s">
        <v>306</v>
      </c>
    </row>
    <row r="2" spans="1:31">
      <c r="A2" s="106" t="s">
        <v>307</v>
      </c>
      <c r="B2" s="20"/>
      <c r="C2" s="107"/>
      <c r="D2" s="107"/>
      <c r="E2" s="107"/>
      <c r="F2" s="107"/>
      <c r="G2" s="107"/>
      <c r="H2" s="107"/>
      <c r="I2" s="20"/>
      <c r="J2" s="20"/>
      <c r="K2" s="20"/>
      <c r="L2" s="20"/>
      <c r="M2" s="20"/>
      <c r="N2" s="20"/>
      <c r="O2" s="20"/>
      <c r="P2" s="20"/>
      <c r="Q2" s="20"/>
      <c r="R2" s="20"/>
      <c r="S2" s="20"/>
      <c r="T2" s="20"/>
      <c r="U2" s="20"/>
      <c r="V2" s="20"/>
      <c r="W2" s="20"/>
      <c r="X2" s="20"/>
      <c r="Y2" s="20"/>
      <c r="Z2" s="20"/>
      <c r="AA2" s="20"/>
      <c r="AB2" s="20"/>
      <c r="AC2" s="20"/>
      <c r="AD2" s="20"/>
      <c r="AE2" s="20"/>
    </row>
    <row r="3" spans="1:31" hidden="1" outlineLevel="1">
      <c r="B3" s="1" t="s">
        <v>229</v>
      </c>
      <c r="C3" s="74" t="s">
        <v>296</v>
      </c>
      <c r="D3" s="74" t="s">
        <v>308</v>
      </c>
      <c r="E3" s="74" t="s">
        <v>309</v>
      </c>
      <c r="F3" s="74" t="s">
        <v>382</v>
      </c>
      <c r="G3" s="74" t="s">
        <v>301</v>
      </c>
      <c r="H3" s="74"/>
    </row>
    <row r="4" spans="1:31" hidden="1" outlineLevel="1">
      <c r="B4" s="1" t="s">
        <v>310</v>
      </c>
      <c r="C4" s="73">
        <v>0.46263809777419834</v>
      </c>
      <c r="D4" s="73">
        <v>0.2979144881695428</v>
      </c>
      <c r="E4" s="73">
        <v>7.234017679113057E-2</v>
      </c>
      <c r="F4" s="93">
        <v>5.8044905726551792E-2</v>
      </c>
      <c r="G4" s="93">
        <v>0.10267135165327636</v>
      </c>
      <c r="H4" s="93"/>
    </row>
    <row r="5" spans="1:31" hidden="1" outlineLevel="1">
      <c r="B5" s="1" t="s">
        <v>311</v>
      </c>
      <c r="C5" s="73">
        <v>0.4799349525258354</v>
      </c>
      <c r="D5" s="73">
        <v>0.29795284058123067</v>
      </c>
      <c r="E5" s="73">
        <v>6.290982531605728E-2</v>
      </c>
      <c r="F5" s="93">
        <v>5.6037874416408749E-2</v>
      </c>
      <c r="G5" s="93">
        <v>9.6954833971567955E-2</v>
      </c>
      <c r="H5" s="93"/>
    </row>
    <row r="6" spans="1:31" hidden="1" outlineLevel="1">
      <c r="B6" s="1" t="s">
        <v>312</v>
      </c>
      <c r="C6" s="73">
        <v>0.48817123064019413</v>
      </c>
      <c r="D6" s="73">
        <v>0.28919820471614155</v>
      </c>
      <c r="E6" s="73">
        <v>6.6516419420310266E-2</v>
      </c>
      <c r="F6" s="93">
        <v>5.5004577845787418E-2</v>
      </c>
      <c r="G6" s="93">
        <v>9.5264010449013045E-2</v>
      </c>
      <c r="H6" s="93"/>
    </row>
    <row r="7" spans="1:31" hidden="1" outlineLevel="1">
      <c r="B7" s="1" t="s">
        <v>313</v>
      </c>
      <c r="C7" s="73">
        <v>0.49301068219987138</v>
      </c>
      <c r="D7" s="73">
        <v>0.28162674108620056</v>
      </c>
      <c r="E7" s="73">
        <v>6.4424091451118479E-2</v>
      </c>
      <c r="F7" s="93">
        <v>5.9854032827005799E-2</v>
      </c>
      <c r="G7" s="93">
        <v>9.4897392194689498E-2</v>
      </c>
      <c r="H7" s="93"/>
    </row>
    <row r="8" spans="1:31" hidden="1" outlineLevel="1">
      <c r="B8" s="1" t="s">
        <v>314</v>
      </c>
      <c r="C8" s="73">
        <v>0.49726216390225958</v>
      </c>
      <c r="D8" s="73">
        <v>0.27768954839500876</v>
      </c>
      <c r="E8" s="73">
        <v>6.388079835668517E-2</v>
      </c>
      <c r="F8" s="93">
        <v>6.0839439556059721E-2</v>
      </c>
      <c r="G8" s="93">
        <v>9.4674556213017749E-2</v>
      </c>
      <c r="H8" s="93"/>
    </row>
    <row r="9" spans="1:31" hidden="1" outlineLevel="1">
      <c r="B9" s="1" t="s">
        <v>315</v>
      </c>
      <c r="C9" s="73">
        <v>0.50989843241896171</v>
      </c>
      <c r="D9" s="73">
        <v>0.27303505327587357</v>
      </c>
      <c r="E9" s="73">
        <v>6.1207991684952071E-2</v>
      </c>
      <c r="F9" s="93">
        <v>5.9384516262361645E-2</v>
      </c>
      <c r="G9" s="93">
        <v>9.1532387962630912E-2</v>
      </c>
      <c r="H9" s="93"/>
    </row>
    <row r="10" spans="1:31" hidden="1" outlineLevel="1">
      <c r="B10" s="1" t="s">
        <v>316</v>
      </c>
      <c r="C10" s="73">
        <v>0.52076802982076076</v>
      </c>
      <c r="D10" s="73">
        <v>0.268889104045893</v>
      </c>
      <c r="E10" s="73">
        <v>5.7444902997809431E-2</v>
      </c>
      <c r="F10" s="93">
        <v>5.9314751836566738E-2</v>
      </c>
      <c r="G10" s="93">
        <v>9.0091616541808361E-2</v>
      </c>
      <c r="H10" s="93"/>
    </row>
    <row r="11" spans="1:31" hidden="1" outlineLevel="1">
      <c r="B11" s="1" t="s">
        <v>317</v>
      </c>
      <c r="C11" s="73">
        <v>0.53601771669646714</v>
      </c>
      <c r="D11" s="73">
        <v>0.25532026785401257</v>
      </c>
      <c r="E11" s="73">
        <v>5.396814266848976E-2</v>
      </c>
      <c r="F11" s="93">
        <v>6.4702170178452478E-2</v>
      </c>
      <c r="G11" s="93">
        <v>8.5685236475826529E-2</v>
      </c>
      <c r="H11" s="93"/>
    </row>
    <row r="12" spans="1:31" hidden="1" outlineLevel="1">
      <c r="B12" s="1" t="s">
        <v>318</v>
      </c>
      <c r="C12" s="73">
        <v>0.55231562830168424</v>
      </c>
      <c r="D12" s="73">
        <v>0.23439910052939947</v>
      </c>
      <c r="E12" s="73">
        <v>5.178170888114219E-2</v>
      </c>
      <c r="F12" s="93">
        <v>7.3816478617798442E-2</v>
      </c>
      <c r="G12" s="93">
        <v>8.4347968563728504E-2</v>
      </c>
      <c r="H12" s="93"/>
    </row>
    <row r="13" spans="1:31" hidden="1" outlineLevel="1">
      <c r="B13" s="1" t="s">
        <v>319</v>
      </c>
      <c r="C13" s="73">
        <v>0.56063235863136363</v>
      </c>
      <c r="D13" s="73">
        <v>0.217489359349953</v>
      </c>
      <c r="E13" s="73">
        <v>5.1340445525399368E-2</v>
      </c>
      <c r="F13" s="93">
        <v>8.3212647172627274E-2</v>
      </c>
      <c r="G13" s="93">
        <v>8.3859377591067388E-2</v>
      </c>
      <c r="H13" s="93"/>
    </row>
    <row r="14" spans="1:31" hidden="1" outlineLevel="1">
      <c r="B14" s="1" t="s">
        <v>320</v>
      </c>
      <c r="C14" s="73">
        <v>0.57809614031002421</v>
      </c>
      <c r="D14" s="73">
        <v>0.19899128354670209</v>
      </c>
      <c r="E14" s="73">
        <v>4.9589051245547834E-2</v>
      </c>
      <c r="F14" s="93">
        <v>9.0414018300847304E-2</v>
      </c>
      <c r="G14" s="93">
        <v>7.9644144311019141E-2</v>
      </c>
      <c r="H14" s="93"/>
    </row>
    <row r="15" spans="1:31" hidden="1" outlineLevel="1">
      <c r="B15" s="1" t="s">
        <v>321</v>
      </c>
      <c r="C15" s="73">
        <v>0.58671001179798143</v>
      </c>
      <c r="D15" s="73">
        <v>0.19045239334161082</v>
      </c>
      <c r="E15" s="73">
        <v>4.9618497586308159E-2</v>
      </c>
      <c r="F15" s="93">
        <v>9.250338741170834E-2</v>
      </c>
      <c r="G15" s="93">
        <v>7.7830613958712214E-2</v>
      </c>
      <c r="H15" s="93"/>
    </row>
    <row r="16" spans="1:31" hidden="1" outlineLevel="1">
      <c r="B16" s="1" t="s">
        <v>322</v>
      </c>
      <c r="C16" s="73">
        <v>0.59902506538575051</v>
      </c>
      <c r="D16" s="73">
        <v>0.18424025319805012</v>
      </c>
      <c r="E16" s="73">
        <v>4.7657816268585326E-2</v>
      </c>
      <c r="F16" s="93">
        <v>9.3687349256586921E-2</v>
      </c>
      <c r="G16" s="93">
        <v>7.2748643945330385E-2</v>
      </c>
      <c r="H16" s="93"/>
    </row>
    <row r="17" spans="1:31" hidden="1" outlineLevel="1">
      <c r="B17" s="1" t="s">
        <v>323</v>
      </c>
      <c r="C17" s="73">
        <v>0.61598869325477001</v>
      </c>
      <c r="D17" s="73">
        <v>0.1742393327427815</v>
      </c>
      <c r="E17" s="73">
        <v>4.5679847916314159E-2</v>
      </c>
      <c r="F17" s="93">
        <v>9.3658866737665603E-2</v>
      </c>
      <c r="G17" s="93">
        <v>6.7507041832966727E-2</v>
      </c>
      <c r="H17" s="93"/>
    </row>
    <row r="18" spans="1:31" hidden="1" outlineLevel="1">
      <c r="B18" s="1" t="s">
        <v>324</v>
      </c>
      <c r="C18" s="73">
        <v>0.63401365986340141</v>
      </c>
      <c r="D18" s="73">
        <v>0.15938340616593835</v>
      </c>
      <c r="E18" s="73">
        <v>4.4679553204467953E-2</v>
      </c>
      <c r="F18" s="93">
        <v>9.5809041909580908E-2</v>
      </c>
      <c r="G18" s="93">
        <v>6.3614363856361433E-2</v>
      </c>
      <c r="H18" s="93"/>
    </row>
    <row r="19" spans="1:31" hidden="1" outlineLevel="1">
      <c r="B19" s="1" t="s">
        <v>325</v>
      </c>
      <c r="C19" s="73">
        <v>0.63074006848109732</v>
      </c>
      <c r="D19" s="73">
        <v>0.1558472901697949</v>
      </c>
      <c r="E19" s="73">
        <v>4.4547909114220637E-2</v>
      </c>
      <c r="F19" s="93">
        <v>0.10309874451321605</v>
      </c>
      <c r="G19" s="93">
        <v>6.3272109288188771E-2</v>
      </c>
      <c r="H19" s="93"/>
    </row>
    <row r="20" spans="1:31" hidden="1" outlineLevel="1">
      <c r="B20" s="1" t="s">
        <v>326</v>
      </c>
      <c r="C20" s="73">
        <v>0.64206272468079828</v>
      </c>
      <c r="D20" s="73">
        <v>0.1528796330730135</v>
      </c>
      <c r="E20" s="73">
        <v>4.2746993925870828E-2</v>
      </c>
      <c r="F20" s="93">
        <v>9.3308540969381432E-2</v>
      </c>
      <c r="G20" s="93">
        <v>6.6949299615718355E-2</v>
      </c>
      <c r="H20" s="93"/>
    </row>
    <row r="21" spans="1:31" hidden="1" outlineLevel="1">
      <c r="B21" s="1" t="s">
        <v>327</v>
      </c>
      <c r="C21" s="73">
        <v>0.65206734657645038</v>
      </c>
      <c r="D21" s="73">
        <v>0.1468989801353244</v>
      </c>
      <c r="E21" s="73">
        <v>4.2565048428777147E-2</v>
      </c>
      <c r="F21" s="93">
        <v>9.0939577456453549E-2</v>
      </c>
      <c r="G21" s="93">
        <v>6.5719132819126905E-2</v>
      </c>
      <c r="H21" s="93"/>
    </row>
    <row r="22" spans="1:31" hidden="1" outlineLevel="1">
      <c r="B22" s="1" t="s">
        <v>328</v>
      </c>
      <c r="C22" s="73">
        <v>0.67153069974275625</v>
      </c>
      <c r="D22" s="73">
        <v>0.14481424611641774</v>
      </c>
      <c r="E22" s="73">
        <v>4.2445211079426483E-2</v>
      </c>
      <c r="F22" s="93">
        <v>9.1067262248987979E-2</v>
      </c>
      <c r="G22" s="93">
        <v>4.8527329650826567E-2</v>
      </c>
      <c r="H22" s="93"/>
    </row>
    <row r="23" spans="1:31" hidden="1" outlineLevel="1">
      <c r="B23" s="1" t="s">
        <v>329</v>
      </c>
      <c r="C23" s="73">
        <v>0.67984597055141938</v>
      </c>
      <c r="D23" s="73">
        <v>0.14195442457634361</v>
      </c>
      <c r="E23" s="73">
        <v>4.2669776747786832E-2</v>
      </c>
      <c r="F23" s="93">
        <v>8.6445509066322146E-2</v>
      </c>
      <c r="G23" s="93">
        <v>4.7515872975975627E-2</v>
      </c>
      <c r="H23" s="93"/>
    </row>
    <row r="24" spans="1:31" hidden="1" outlineLevel="1">
      <c r="B24" s="1" t="s">
        <v>330</v>
      </c>
      <c r="C24" s="73">
        <v>0.68772984218378974</v>
      </c>
      <c r="D24" s="73">
        <v>0.144382919704961</v>
      </c>
      <c r="E24" s="73">
        <v>4.3782965936074981E-2</v>
      </c>
      <c r="F24" s="93">
        <v>7.8918612226028112E-2</v>
      </c>
      <c r="G24" s="93">
        <v>4.3436232584529388E-2</v>
      </c>
      <c r="H24" s="93"/>
    </row>
    <row r="25" spans="1:31" hidden="1" outlineLevel="1">
      <c r="B25" s="1" t="s">
        <v>331</v>
      </c>
      <c r="C25" s="73">
        <v>0.69513654550403958</v>
      </c>
      <c r="D25" s="73">
        <v>0.14195390786709605</v>
      </c>
      <c r="E25" s="73">
        <v>4.1685285340811618E-2</v>
      </c>
      <c r="F25" s="93">
        <v>7.1285125091809329E-2</v>
      </c>
      <c r="G25" s="93">
        <v>4.7930887481573932E-2</v>
      </c>
      <c r="H25" s="93"/>
    </row>
    <row r="26" spans="1:31" hidden="1" outlineLevel="1">
      <c r="B26" s="1" t="s">
        <v>332</v>
      </c>
      <c r="C26" s="73">
        <v>0.70774164751781254</v>
      </c>
      <c r="D26" s="73">
        <v>0.13830707598375516</v>
      </c>
      <c r="E26" s="73">
        <v>4.3157935340243453E-2</v>
      </c>
      <c r="F26" s="93">
        <v>6.2411488210367384E-2</v>
      </c>
      <c r="G26" s="93">
        <v>4.6023375378155429E-2</v>
      </c>
      <c r="H26" s="93"/>
    </row>
    <row r="27" spans="1:31" hidden="1" outlineLevel="1">
      <c r="B27" s="1" t="s">
        <v>333</v>
      </c>
      <c r="C27" s="73">
        <v>0.71228375324174853</v>
      </c>
      <c r="D27" s="73">
        <v>0.13926759917927781</v>
      </c>
      <c r="E27" s="73">
        <v>4.2739004093195712E-2</v>
      </c>
      <c r="F27" s="93">
        <v>5.4753002197619069E-2</v>
      </c>
      <c r="G27" s="93">
        <v>4.8748606959474236E-2</v>
      </c>
      <c r="H27" s="93"/>
    </row>
    <row r="28" spans="1:31" hidden="1" outlineLevel="1">
      <c r="B28" s="1" t="s">
        <v>334</v>
      </c>
      <c r="C28" s="73">
        <v>0.71311122280462413</v>
      </c>
      <c r="D28" s="73">
        <v>0.14137492435043952</v>
      </c>
      <c r="E28" s="73">
        <v>4.3656207366984993E-2</v>
      </c>
      <c r="F28" s="93">
        <v>5.0708285037286256E-2</v>
      </c>
      <c r="G28" s="93">
        <v>4.9195293828021625E-2</v>
      </c>
      <c r="H28" s="93"/>
    </row>
    <row r="29" spans="1:31" hidden="1" outlineLevel="1">
      <c r="B29" s="1" t="s">
        <v>337</v>
      </c>
      <c r="C29" s="73">
        <v>0.71509370382850779</v>
      </c>
      <c r="D29" s="73">
        <v>0.14235205681847637</v>
      </c>
      <c r="E29" s="73">
        <v>4.3572928277041914E-2</v>
      </c>
      <c r="F29" s="93">
        <v>4.9783561004691675E-2</v>
      </c>
      <c r="G29" s="93">
        <v>4.9197750071282305E-2</v>
      </c>
      <c r="H29" s="93"/>
    </row>
    <row r="30" spans="1:31" collapsed="1">
      <c r="J30" s="18"/>
    </row>
    <row r="31" spans="1:31">
      <c r="A31" s="108" t="s">
        <v>336</v>
      </c>
      <c r="B31" s="20"/>
      <c r="C31" s="107"/>
      <c r="D31" s="107"/>
      <c r="E31" s="107"/>
      <c r="F31" s="107"/>
      <c r="G31" s="107"/>
      <c r="H31" s="107"/>
      <c r="I31" s="20"/>
      <c r="J31" s="19"/>
      <c r="K31" s="20"/>
      <c r="L31" s="20"/>
      <c r="M31" s="20"/>
      <c r="N31" s="20"/>
      <c r="O31" s="20"/>
      <c r="P31" s="20"/>
      <c r="Q31" s="20"/>
      <c r="R31" s="20"/>
      <c r="S31" s="20"/>
      <c r="T31" s="20"/>
      <c r="U31" s="20"/>
      <c r="V31" s="20"/>
      <c r="W31" s="20"/>
      <c r="X31" s="20"/>
      <c r="Y31" s="20"/>
      <c r="Z31" s="20"/>
      <c r="AA31" s="20"/>
      <c r="AB31" s="20"/>
      <c r="AC31" s="20"/>
      <c r="AD31" s="20"/>
      <c r="AE31" s="20"/>
    </row>
    <row r="32" spans="1:31" hidden="1" outlineLevel="1">
      <c r="B32" s="97" t="s">
        <v>229</v>
      </c>
      <c r="C32" s="98" t="s">
        <v>296</v>
      </c>
      <c r="D32" s="98" t="s">
        <v>308</v>
      </c>
      <c r="E32" s="98" t="s">
        <v>309</v>
      </c>
      <c r="F32" s="99" t="s">
        <v>382</v>
      </c>
      <c r="G32" s="100" t="s">
        <v>301</v>
      </c>
      <c r="H32" s="92"/>
      <c r="J32" s="18"/>
    </row>
    <row r="33" spans="2:10" hidden="1" outlineLevel="1">
      <c r="B33" s="101" t="s">
        <v>311</v>
      </c>
      <c r="C33" s="102">
        <f>C5-C4</f>
        <v>1.7296854751637059E-2</v>
      </c>
      <c r="D33" s="102">
        <f t="shared" ref="D33:E33" si="0">D5-D4</f>
        <v>3.8352411687869736E-5</v>
      </c>
      <c r="E33" s="102">
        <f t="shared" si="0"/>
        <v>-9.4303514750732897E-3</v>
      </c>
      <c r="F33" s="102">
        <f t="shared" ref="F33:G33" si="1">F5-F4</f>
        <v>-2.0070313101430426E-3</v>
      </c>
      <c r="G33" s="103">
        <f t="shared" si="1"/>
        <v>-5.7165176817084024E-3</v>
      </c>
      <c r="H33" s="93"/>
      <c r="J33" s="18"/>
    </row>
    <row r="34" spans="2:10" hidden="1" outlineLevel="1">
      <c r="B34" s="101" t="s">
        <v>312</v>
      </c>
      <c r="C34" s="102">
        <f t="shared" ref="C34:E49" si="2">C6-C5</f>
        <v>8.2362781143587305E-3</v>
      </c>
      <c r="D34" s="102">
        <f t="shared" si="2"/>
        <v>-8.7546358650891221E-3</v>
      </c>
      <c r="E34" s="102">
        <f t="shared" si="2"/>
        <v>3.6065941042529859E-3</v>
      </c>
      <c r="F34" s="102">
        <f t="shared" ref="F34:G34" si="3">F6-F5</f>
        <v>-1.033296570621331E-3</v>
      </c>
      <c r="G34" s="103">
        <f t="shared" si="3"/>
        <v>-1.6908235225549101E-3</v>
      </c>
      <c r="H34" s="93"/>
      <c r="J34" s="18"/>
    </row>
    <row r="35" spans="2:10" hidden="1" outlineLevel="1">
      <c r="B35" s="101" t="s">
        <v>313</v>
      </c>
      <c r="C35" s="102">
        <f t="shared" si="2"/>
        <v>4.8394515596772436E-3</v>
      </c>
      <c r="D35" s="102">
        <f t="shared" si="2"/>
        <v>-7.5714636299409888E-3</v>
      </c>
      <c r="E35" s="102">
        <f t="shared" si="2"/>
        <v>-2.0923279691917873E-3</v>
      </c>
      <c r="F35" s="102">
        <f t="shared" ref="F35:G35" si="4">F7-F6</f>
        <v>4.8494549812183804E-3</v>
      </c>
      <c r="G35" s="103">
        <f t="shared" si="4"/>
        <v>-3.6661825432354744E-4</v>
      </c>
      <c r="H35" s="93"/>
      <c r="J35" s="18"/>
    </row>
    <row r="36" spans="2:10" hidden="1" outlineLevel="1">
      <c r="B36" s="101" t="s">
        <v>314</v>
      </c>
      <c r="C36" s="102">
        <f t="shared" si="2"/>
        <v>4.2514817023882046E-3</v>
      </c>
      <c r="D36" s="102">
        <f t="shared" si="2"/>
        <v>-3.9371926911918043E-3</v>
      </c>
      <c r="E36" s="102">
        <f t="shared" si="2"/>
        <v>-5.4329309443330864E-4</v>
      </c>
      <c r="F36" s="102">
        <f t="shared" ref="F36:G36" si="5">F8-F7</f>
        <v>9.8540672905392257E-4</v>
      </c>
      <c r="G36" s="103">
        <f t="shared" si="5"/>
        <v>-2.2283598167174845E-4</v>
      </c>
      <c r="H36" s="93"/>
      <c r="J36" s="18"/>
    </row>
    <row r="37" spans="2:10" hidden="1" outlineLevel="1">
      <c r="B37" s="101" t="s">
        <v>315</v>
      </c>
      <c r="C37" s="102">
        <f t="shared" si="2"/>
        <v>1.2636268516702132E-2</v>
      </c>
      <c r="D37" s="102">
        <f t="shared" si="2"/>
        <v>-4.6544951191351824E-3</v>
      </c>
      <c r="E37" s="102">
        <f t="shared" si="2"/>
        <v>-2.6728066717330995E-3</v>
      </c>
      <c r="F37" s="102">
        <f t="shared" ref="F37:G37" si="6">F9-F8</f>
        <v>-1.4549232936980766E-3</v>
      </c>
      <c r="G37" s="103">
        <f t="shared" si="6"/>
        <v>-3.142168250386837E-3</v>
      </c>
      <c r="H37" s="93"/>
      <c r="J37" s="18"/>
    </row>
    <row r="38" spans="2:10" hidden="1" outlineLevel="1">
      <c r="B38" s="101" t="s">
        <v>316</v>
      </c>
      <c r="C38" s="102">
        <f t="shared" si="2"/>
        <v>1.0869597401799047E-2</v>
      </c>
      <c r="D38" s="102">
        <f t="shared" si="2"/>
        <v>-4.1459492299805722E-3</v>
      </c>
      <c r="E38" s="102">
        <f t="shared" si="2"/>
        <v>-3.7630886871426392E-3</v>
      </c>
      <c r="F38" s="102">
        <f t="shared" ref="F38:G38" si="7">F10-F9</f>
        <v>-6.9764425794906215E-5</v>
      </c>
      <c r="G38" s="103">
        <f t="shared" si="7"/>
        <v>-1.4407714208225508E-3</v>
      </c>
      <c r="H38" s="93"/>
      <c r="J38" s="18"/>
    </row>
    <row r="39" spans="2:10" hidden="1" outlineLevel="1">
      <c r="B39" s="101" t="s">
        <v>317</v>
      </c>
      <c r="C39" s="102">
        <f t="shared" si="2"/>
        <v>1.5249686875706381E-2</v>
      </c>
      <c r="D39" s="102">
        <f t="shared" si="2"/>
        <v>-1.3568836191880429E-2</v>
      </c>
      <c r="E39" s="102">
        <f t="shared" si="2"/>
        <v>-3.4767603293196711E-3</v>
      </c>
      <c r="F39" s="102">
        <f t="shared" ref="F39:G39" si="8">F11-F10</f>
        <v>5.3874183418857399E-3</v>
      </c>
      <c r="G39" s="103">
        <f t="shared" si="8"/>
        <v>-4.4063800659818325E-3</v>
      </c>
      <c r="H39" s="93"/>
      <c r="J39" s="18"/>
    </row>
    <row r="40" spans="2:10" hidden="1" outlineLevel="1">
      <c r="B40" s="101" t="s">
        <v>318</v>
      </c>
      <c r="C40" s="102">
        <f t="shared" si="2"/>
        <v>1.6297911605217097E-2</v>
      </c>
      <c r="D40" s="102">
        <f t="shared" si="2"/>
        <v>-2.0921167324613105E-2</v>
      </c>
      <c r="E40" s="102">
        <f t="shared" si="2"/>
        <v>-2.1864337873475706E-3</v>
      </c>
      <c r="F40" s="102">
        <f t="shared" ref="F40:G40" si="9">F12-F11</f>
        <v>9.1143084393459639E-3</v>
      </c>
      <c r="G40" s="103">
        <f t="shared" si="9"/>
        <v>-1.3372679120980252E-3</v>
      </c>
      <c r="H40" s="93"/>
      <c r="J40" s="18"/>
    </row>
    <row r="41" spans="2:10" hidden="1" outlineLevel="1">
      <c r="B41" s="101" t="s">
        <v>319</v>
      </c>
      <c r="C41" s="102">
        <f t="shared" si="2"/>
        <v>8.3167303296793893E-3</v>
      </c>
      <c r="D41" s="102">
        <f t="shared" si="2"/>
        <v>-1.6909741179446464E-2</v>
      </c>
      <c r="E41" s="102">
        <f t="shared" si="2"/>
        <v>-4.4126335574282138E-4</v>
      </c>
      <c r="F41" s="102">
        <f t="shared" ref="F41:G41" si="10">F13-F12</f>
        <v>9.3961685548288321E-3</v>
      </c>
      <c r="G41" s="103">
        <f t="shared" si="10"/>
        <v>-4.885909726611154E-4</v>
      </c>
      <c r="H41" s="93"/>
      <c r="J41" s="18"/>
    </row>
    <row r="42" spans="2:10" hidden="1" outlineLevel="1">
      <c r="B42" s="101" t="s">
        <v>320</v>
      </c>
      <c r="C42" s="102">
        <f t="shared" si="2"/>
        <v>1.7463781678660584E-2</v>
      </c>
      <c r="D42" s="102">
        <f t="shared" si="2"/>
        <v>-1.8498075803250913E-2</v>
      </c>
      <c r="E42" s="102">
        <f t="shared" si="2"/>
        <v>-1.7513942798515342E-3</v>
      </c>
      <c r="F42" s="102">
        <f t="shared" ref="F42:G42" si="11">F14-F13</f>
        <v>7.2013711282200299E-3</v>
      </c>
      <c r="G42" s="103">
        <f t="shared" si="11"/>
        <v>-4.2152332800482473E-3</v>
      </c>
      <c r="H42" s="93"/>
      <c r="J42" s="18"/>
    </row>
    <row r="43" spans="2:10" hidden="1" outlineLevel="1">
      <c r="B43" s="101" t="s">
        <v>321</v>
      </c>
      <c r="C43" s="102">
        <f t="shared" si="2"/>
        <v>8.6138714879572253E-3</v>
      </c>
      <c r="D43" s="102">
        <f t="shared" si="2"/>
        <v>-8.5388902050912707E-3</v>
      </c>
      <c r="E43" s="102">
        <f t="shared" si="2"/>
        <v>2.9446340760325151E-5</v>
      </c>
      <c r="F43" s="102">
        <f t="shared" ref="F43:G43" si="12">F15-F14</f>
        <v>2.0893691108610363E-3</v>
      </c>
      <c r="G43" s="103">
        <f t="shared" si="12"/>
        <v>-1.8135303523069274E-3</v>
      </c>
      <c r="H43" s="93"/>
      <c r="J43" s="18"/>
    </row>
    <row r="44" spans="2:10" hidden="1" outlineLevel="1">
      <c r="B44" s="101" t="s">
        <v>322</v>
      </c>
      <c r="C44" s="102">
        <f t="shared" si="2"/>
        <v>1.2315053587769076E-2</v>
      </c>
      <c r="D44" s="102">
        <f t="shared" si="2"/>
        <v>-6.212140143560696E-3</v>
      </c>
      <c r="E44" s="102">
        <f t="shared" si="2"/>
        <v>-1.960681317722833E-3</v>
      </c>
      <c r="F44" s="102">
        <f t="shared" ref="F44:G44" si="13">F16-F15</f>
        <v>1.183961844878581E-3</v>
      </c>
      <c r="G44" s="103">
        <f t="shared" si="13"/>
        <v>-5.0819700133818285E-3</v>
      </c>
      <c r="H44" s="93"/>
      <c r="J44" s="18"/>
    </row>
    <row r="45" spans="2:10" hidden="1" outlineLevel="1">
      <c r="B45" s="101" t="s">
        <v>323</v>
      </c>
      <c r="C45" s="102">
        <f t="shared" si="2"/>
        <v>1.6963627869019504E-2</v>
      </c>
      <c r="D45" s="102">
        <f t="shared" si="2"/>
        <v>-1.0000920455268625E-2</v>
      </c>
      <c r="E45" s="102">
        <f t="shared" si="2"/>
        <v>-1.9779683522711672E-3</v>
      </c>
      <c r="F45" s="102">
        <f t="shared" ref="F45:G45" si="14">F17-F16</f>
        <v>-2.8482518921318922E-5</v>
      </c>
      <c r="G45" s="103">
        <f t="shared" si="14"/>
        <v>-5.241602112363658E-3</v>
      </c>
      <c r="H45" s="93"/>
      <c r="J45" s="18"/>
    </row>
    <row r="46" spans="2:10" hidden="1" outlineLevel="1">
      <c r="B46" s="101" t="s">
        <v>324</v>
      </c>
      <c r="C46" s="102">
        <f t="shared" si="2"/>
        <v>1.8024966608631399E-2</v>
      </c>
      <c r="D46" s="102">
        <f t="shared" si="2"/>
        <v>-1.4855926576843148E-2</v>
      </c>
      <c r="E46" s="102">
        <f t="shared" si="2"/>
        <v>-1.0002947118462058E-3</v>
      </c>
      <c r="F46" s="102">
        <f t="shared" ref="F46:G46" si="15">F18-F17</f>
        <v>2.1501751719153056E-3</v>
      </c>
      <c r="G46" s="103">
        <f t="shared" si="15"/>
        <v>-3.8926779766052938E-3</v>
      </c>
      <c r="H46" s="93"/>
      <c r="J46" s="18"/>
    </row>
    <row r="47" spans="2:10" hidden="1" outlineLevel="1">
      <c r="B47" s="101" t="s">
        <v>325</v>
      </c>
      <c r="C47" s="102">
        <f t="shared" si="2"/>
        <v>-3.2735913823040974E-3</v>
      </c>
      <c r="D47" s="102">
        <f t="shared" si="2"/>
        <v>-3.5361159961434518E-3</v>
      </c>
      <c r="E47" s="102">
        <f t="shared" si="2"/>
        <v>-1.3164409024731677E-4</v>
      </c>
      <c r="F47" s="102">
        <f t="shared" ref="F47:G47" si="16">F19-F18</f>
        <v>7.289702603635137E-3</v>
      </c>
      <c r="G47" s="103">
        <f t="shared" si="16"/>
        <v>-3.4225456817266187E-4</v>
      </c>
      <c r="H47" s="93"/>
      <c r="J47" s="18"/>
    </row>
    <row r="48" spans="2:10" hidden="1" outlineLevel="1">
      <c r="B48" s="101" t="s">
        <v>326</v>
      </c>
      <c r="C48" s="102">
        <f t="shared" si="2"/>
        <v>1.1322656199700964E-2</v>
      </c>
      <c r="D48" s="102">
        <f t="shared" si="2"/>
        <v>-2.9676570967814009E-3</v>
      </c>
      <c r="E48" s="102">
        <f t="shared" si="2"/>
        <v>-1.8009151883498081E-3</v>
      </c>
      <c r="F48" s="102">
        <f t="shared" ref="F48:G48" si="17">F20-F19</f>
        <v>-9.7902035438346136E-3</v>
      </c>
      <c r="G48" s="103">
        <f t="shared" si="17"/>
        <v>3.6771903275295836E-3</v>
      </c>
      <c r="H48" s="93"/>
      <c r="J48" s="18"/>
    </row>
    <row r="49" spans="1:31" hidden="1" outlineLevel="1">
      <c r="B49" s="101" t="s">
        <v>327</v>
      </c>
      <c r="C49" s="102">
        <f t="shared" si="2"/>
        <v>1.0004621895652099E-2</v>
      </c>
      <c r="D49" s="102">
        <f t="shared" si="2"/>
        <v>-5.980652937689096E-3</v>
      </c>
      <c r="E49" s="102">
        <f t="shared" si="2"/>
        <v>-1.8194549709368152E-4</v>
      </c>
      <c r="F49" s="102">
        <f t="shared" ref="F49:G49" si="18">F21-F20</f>
        <v>-2.3689635129278824E-3</v>
      </c>
      <c r="G49" s="103">
        <f t="shared" si="18"/>
        <v>-1.2301667965914503E-3</v>
      </c>
      <c r="H49" s="93"/>
      <c r="J49" s="18"/>
    </row>
    <row r="50" spans="1:31" hidden="1" outlineLevel="1">
      <c r="B50" s="101" t="s">
        <v>328</v>
      </c>
      <c r="C50" s="102">
        <f t="shared" ref="C50:E57" si="19">C22-C21</f>
        <v>1.9463353166305875E-2</v>
      </c>
      <c r="D50" s="102">
        <f t="shared" si="19"/>
        <v>-2.0847340189066588E-3</v>
      </c>
      <c r="E50" s="102">
        <f t="shared" si="19"/>
        <v>-1.1983734935066409E-4</v>
      </c>
      <c r="F50" s="102">
        <f t="shared" ref="F50:G50" si="20">F22-F21</f>
        <v>1.2768479253442988E-4</v>
      </c>
      <c r="G50" s="103">
        <f t="shared" si="20"/>
        <v>-1.7191803168300338E-2</v>
      </c>
      <c r="H50" s="93"/>
      <c r="J50" s="18"/>
    </row>
    <row r="51" spans="1:31" hidden="1" outlineLevel="1">
      <c r="B51" s="101" t="s">
        <v>329</v>
      </c>
      <c r="C51" s="102">
        <f t="shared" si="19"/>
        <v>8.3152708086631222E-3</v>
      </c>
      <c r="D51" s="102">
        <f t="shared" si="19"/>
        <v>-2.8598215400741367E-3</v>
      </c>
      <c r="E51" s="102">
        <f t="shared" si="19"/>
        <v>2.2456566836034919E-4</v>
      </c>
      <c r="F51" s="102">
        <f t="shared" ref="F51:G51" si="21">F23-F22</f>
        <v>-4.6217531826658331E-3</v>
      </c>
      <c r="G51" s="103">
        <f t="shared" si="21"/>
        <v>-1.0114566748509399E-3</v>
      </c>
      <c r="H51" s="93"/>
      <c r="J51" s="18"/>
    </row>
    <row r="52" spans="1:31" hidden="1" outlineLevel="1">
      <c r="B52" s="101" t="s">
        <v>330</v>
      </c>
      <c r="C52" s="102">
        <f t="shared" si="19"/>
        <v>7.883871632370365E-3</v>
      </c>
      <c r="D52" s="102">
        <f t="shared" si="19"/>
        <v>2.4284951286173972E-3</v>
      </c>
      <c r="E52" s="102">
        <f t="shared" si="19"/>
        <v>1.1131891882881495E-3</v>
      </c>
      <c r="F52" s="102">
        <f t="shared" ref="F52:G52" si="22">F24-F23</f>
        <v>-7.5268968402940339E-3</v>
      </c>
      <c r="G52" s="103">
        <f t="shared" si="22"/>
        <v>-4.079640391446239E-3</v>
      </c>
      <c r="H52" s="93"/>
      <c r="J52" s="18"/>
    </row>
    <row r="53" spans="1:31" hidden="1" outlineLevel="1">
      <c r="B53" s="101" t="s">
        <v>331</v>
      </c>
      <c r="C53" s="102">
        <f t="shared" si="19"/>
        <v>7.4067033202498411E-3</v>
      </c>
      <c r="D53" s="102">
        <f t="shared" si="19"/>
        <v>-2.4290118378649528E-3</v>
      </c>
      <c r="E53" s="102">
        <f t="shared" si="19"/>
        <v>-2.097680595263364E-3</v>
      </c>
      <c r="F53" s="102">
        <f t="shared" ref="F53:G53" si="23">F25-F24</f>
        <v>-7.6334871342187832E-3</v>
      </c>
      <c r="G53" s="103">
        <f t="shared" si="23"/>
        <v>4.4946548970445435E-3</v>
      </c>
      <c r="H53" s="93"/>
      <c r="J53" s="18"/>
    </row>
    <row r="54" spans="1:31" hidden="1" outlineLevel="1">
      <c r="B54" s="101" t="s">
        <v>332</v>
      </c>
      <c r="C54" s="102">
        <f t="shared" si="19"/>
        <v>1.2605102013772962E-2</v>
      </c>
      <c r="D54" s="102">
        <f t="shared" si="19"/>
        <v>-3.6468318833408897E-3</v>
      </c>
      <c r="E54" s="102">
        <f t="shared" si="19"/>
        <v>1.4726499994318354E-3</v>
      </c>
      <c r="F54" s="102">
        <f t="shared" ref="F54:G54" si="24">F26-F25</f>
        <v>-8.8736368814419445E-3</v>
      </c>
      <c r="G54" s="103">
        <f t="shared" si="24"/>
        <v>-1.907512103418503E-3</v>
      </c>
      <c r="H54" s="93"/>
      <c r="J54" s="18"/>
    </row>
    <row r="55" spans="1:31" hidden="1" outlineLevel="1">
      <c r="B55" s="101" t="s">
        <v>333</v>
      </c>
      <c r="C55" s="102">
        <f t="shared" si="19"/>
        <v>4.5421057239359852E-3</v>
      </c>
      <c r="D55" s="102">
        <f t="shared" si="19"/>
        <v>9.6052319552264454E-4</v>
      </c>
      <c r="E55" s="102">
        <f t="shared" si="19"/>
        <v>-4.1893124704774076E-4</v>
      </c>
      <c r="F55" s="102">
        <f t="shared" ref="F55:G55" si="25">F27-F26</f>
        <v>-7.6584860127483154E-3</v>
      </c>
      <c r="G55" s="103">
        <f t="shared" si="25"/>
        <v>2.7252315813188072E-3</v>
      </c>
      <c r="H55" s="93"/>
      <c r="J55" s="18"/>
    </row>
    <row r="56" spans="1:31" hidden="1" outlineLevel="1">
      <c r="B56" s="101" t="s">
        <v>334</v>
      </c>
      <c r="C56" s="102">
        <f t="shared" si="19"/>
        <v>8.2746956287560458E-4</v>
      </c>
      <c r="D56" s="102">
        <f t="shared" si="19"/>
        <v>2.1073251711617169E-3</v>
      </c>
      <c r="E56" s="102">
        <f t="shared" si="19"/>
        <v>9.1720327378928129E-4</v>
      </c>
      <c r="F56" s="102">
        <f t="shared" ref="F56:G56" si="26">F28-F27</f>
        <v>-4.0447171603328128E-3</v>
      </c>
      <c r="G56" s="103">
        <f t="shared" si="26"/>
        <v>4.4668686854738848E-4</v>
      </c>
      <c r="H56" s="93"/>
      <c r="J56" s="18"/>
    </row>
    <row r="57" spans="1:31" hidden="1" outlineLevel="1">
      <c r="B57" s="21" t="s">
        <v>337</v>
      </c>
      <c r="C57" s="104">
        <f t="shared" si="19"/>
        <v>1.9824810238836532E-3</v>
      </c>
      <c r="D57" s="104">
        <f t="shared" si="19"/>
        <v>9.7713246803685094E-4</v>
      </c>
      <c r="E57" s="104">
        <f t="shared" si="19"/>
        <v>-8.3279089943079365E-5</v>
      </c>
      <c r="F57" s="104">
        <f t="shared" ref="F57:G57" si="27">F29-F28</f>
        <v>-9.2472403259458158E-4</v>
      </c>
      <c r="G57" s="105">
        <f t="shared" si="27"/>
        <v>2.4562432606803353E-6</v>
      </c>
      <c r="H57" s="93"/>
      <c r="J57" s="18"/>
    </row>
    <row r="58" spans="1:31" collapsed="1">
      <c r="J58" s="18"/>
    </row>
    <row r="59" spans="1:31">
      <c r="A59" s="106" t="s">
        <v>338</v>
      </c>
      <c r="B59" s="20"/>
      <c r="C59" s="107"/>
      <c r="D59" s="107"/>
      <c r="E59" s="107"/>
      <c r="F59" s="107"/>
      <c r="G59" s="107"/>
      <c r="H59" s="107"/>
      <c r="I59" s="20"/>
      <c r="J59" s="109" t="s">
        <v>339</v>
      </c>
      <c r="K59" s="20"/>
      <c r="L59" s="20"/>
      <c r="M59" s="20"/>
      <c r="N59" s="20"/>
      <c r="O59" s="20"/>
      <c r="P59" s="20"/>
      <c r="Q59" s="20"/>
      <c r="R59" s="109" t="s">
        <v>340</v>
      </c>
      <c r="S59" s="20"/>
      <c r="T59" s="20"/>
      <c r="U59" s="20"/>
      <c r="V59" s="20"/>
      <c r="W59" s="20"/>
      <c r="X59" s="20"/>
      <c r="Y59" s="20"/>
      <c r="Z59" s="20"/>
      <c r="AA59" s="20"/>
      <c r="AB59" s="20"/>
      <c r="AC59" s="20"/>
      <c r="AD59" s="20"/>
      <c r="AE59" s="20"/>
    </row>
    <row r="60" spans="1:31" outlineLevel="1">
      <c r="C60" s="69" t="s">
        <v>296</v>
      </c>
      <c r="D60" s="69" t="s">
        <v>308</v>
      </c>
      <c r="E60" s="69" t="s">
        <v>309</v>
      </c>
      <c r="F60" s="74" t="s">
        <v>382</v>
      </c>
      <c r="G60" s="74" t="s">
        <v>301</v>
      </c>
      <c r="H60" s="74"/>
      <c r="J60" s="18"/>
      <c r="K60" s="69" t="s">
        <v>341</v>
      </c>
      <c r="L60" s="23" t="s">
        <v>296</v>
      </c>
      <c r="M60" s="23" t="s">
        <v>308</v>
      </c>
      <c r="N60" s="23" t="s">
        <v>309</v>
      </c>
      <c r="O60" s="92" t="s">
        <v>382</v>
      </c>
      <c r="P60" s="23" t="s">
        <v>301</v>
      </c>
      <c r="R60" s="17" t="s">
        <v>342</v>
      </c>
      <c r="S60" s="23" t="s">
        <v>296</v>
      </c>
      <c r="T60" s="23" t="s">
        <v>308</v>
      </c>
      <c r="U60" s="23" t="s">
        <v>383</v>
      </c>
      <c r="V60" s="23"/>
    </row>
    <row r="61" spans="1:31" outlineLevel="1">
      <c r="B61" s="75" t="s">
        <v>343</v>
      </c>
      <c r="J61" s="18"/>
      <c r="K61" t="s">
        <v>344</v>
      </c>
      <c r="L61" s="71">
        <v>24.8</v>
      </c>
      <c r="M61" s="71">
        <v>18.399999999999999</v>
      </c>
      <c r="N61" s="71">
        <v>24</v>
      </c>
      <c r="O61" s="71">
        <v>25</v>
      </c>
      <c r="P61" s="71">
        <v>4</v>
      </c>
      <c r="R61" s="18" t="s">
        <v>253</v>
      </c>
      <c r="S61" s="13">
        <v>0.5</v>
      </c>
      <c r="T61" s="13">
        <v>1</v>
      </c>
      <c r="U61" s="13">
        <v>0.5</v>
      </c>
      <c r="V61" s="13"/>
    </row>
    <row r="62" spans="1:31" outlineLevel="1">
      <c r="B62" s="76" t="s">
        <v>240</v>
      </c>
      <c r="C62" s="73">
        <f>MIN(MarketShare29[Education &amp; Care])</f>
        <v>0.46263809777419834</v>
      </c>
      <c r="D62" s="73">
        <f>MIN(MarketShare29[Kindergarten])</f>
        <v>0.13830707598375516</v>
      </c>
      <c r="E62" s="73">
        <f>MIN(MarketShare29[Te Kōhanga Reo*])</f>
        <v>4.1685285340811618E-2</v>
      </c>
      <c r="F62" s="73">
        <f>MIN(MarketShare29[Home-based])</f>
        <v>4.9783561004691675E-2</v>
      </c>
      <c r="G62" s="73">
        <f>MIN(MarketShare29[Playcentre])</f>
        <v>4.3436232584529388E-2</v>
      </c>
      <c r="J62" s="18"/>
      <c r="K62" t="s">
        <v>117</v>
      </c>
      <c r="L62" s="71">
        <f>L61/40</f>
        <v>0.62</v>
      </c>
      <c r="M62" s="71">
        <f t="shared" ref="M62:N62" si="28">M61/40</f>
        <v>0.45999999999999996</v>
      </c>
      <c r="N62" s="71">
        <f t="shared" si="28"/>
        <v>0.6</v>
      </c>
      <c r="O62" s="71">
        <f>O61/40</f>
        <v>0.625</v>
      </c>
      <c r="P62" s="71">
        <f>P61/40</f>
        <v>0.1</v>
      </c>
      <c r="R62" s="18" t="s">
        <v>256</v>
      </c>
      <c r="S62" s="13">
        <f>AVERAGE('Source-fte_qualstus_x_servtype'!T14:AJ14)</f>
        <v>0.64299580596467776</v>
      </c>
      <c r="T62" s="13">
        <v>1</v>
      </c>
      <c r="U62" s="13">
        <f>'Source-fte_qualstus_x_servtype'!C25</f>
        <v>0.66524234322030373</v>
      </c>
      <c r="V62" s="13"/>
    </row>
    <row r="63" spans="1:31" outlineLevel="1">
      <c r="B63" s="76" t="s">
        <v>241</v>
      </c>
      <c r="C63" s="73">
        <f>AVERAGE(MarketShare29[Education &amp; Care])</f>
        <v>0.60083947648602187</v>
      </c>
      <c r="D63" s="73">
        <f>AVERAGE(MarketShare29[Kindergarten])</f>
        <v>0.19964824749897078</v>
      </c>
      <c r="E63" s="73">
        <f>AVERAGE(MarketShare29[Te Kōhanga Reo*])</f>
        <v>5.0638789806336633E-2</v>
      </c>
      <c r="F63" s="73">
        <f>AVERAGE(MarketShare29[Home-based])</f>
        <v>7.4192452541468168E-2</v>
      </c>
      <c r="G63" s="73">
        <f>AVERAGE(MarketShare29[Playcentre])</f>
        <v>7.1455362698995759E-2</v>
      </c>
      <c r="J63" s="18"/>
      <c r="P63" s="71"/>
      <c r="R63" s="18" t="s">
        <v>254</v>
      </c>
      <c r="S63" s="13">
        <v>1</v>
      </c>
      <c r="T63" s="13">
        <v>1</v>
      </c>
      <c r="U63" s="13">
        <v>1</v>
      </c>
      <c r="V63" s="13"/>
    </row>
    <row r="64" spans="1:31" outlineLevel="1">
      <c r="B64" s="76" t="s">
        <v>242</v>
      </c>
      <c r="C64" s="73">
        <f>MEDIAN(MarketShare29[Education &amp; Care])</f>
        <v>0.60750687932026026</v>
      </c>
      <c r="D64" s="73">
        <f>MEDIAN(MarketShare29[Kindergarten])</f>
        <v>0.17923979297041581</v>
      </c>
      <c r="E64" s="73">
        <f>MEDIAN(MarketShare29[Te Kōhanga Reo*])</f>
        <v>4.6668832092449743E-2</v>
      </c>
      <c r="F64" s="73">
        <f>MEDIAN(MarketShare29[Home-based])</f>
        <v>7.2550801854803892E-2</v>
      </c>
      <c r="G64" s="73">
        <f>MEDIAN(MarketShare29[Playcentre])</f>
        <v>7.0127842889148556E-2</v>
      </c>
      <c r="J64" s="18"/>
      <c r="K64" s="6" t="s">
        <v>345</v>
      </c>
      <c r="P64" s="71"/>
    </row>
    <row r="65" spans="2:16" outlineLevel="1">
      <c r="B65" s="76" t="s">
        <v>243</v>
      </c>
      <c r="C65" s="73">
        <f>MAX(MarketShare29[Education &amp; Care])</f>
        <v>0.71509370382850779</v>
      </c>
      <c r="D65" s="73">
        <f>MAX(MarketShare29[Kindergarten])</f>
        <v>0.29795284058123067</v>
      </c>
      <c r="E65" s="73">
        <f>MAX(MarketShare29[Te Kōhanga Reo*])</f>
        <v>7.234017679113057E-2</v>
      </c>
      <c r="F65" s="73">
        <f>MAX(MarketShare29[Home-based])</f>
        <v>0.10309874451321605</v>
      </c>
      <c r="G65" s="73">
        <f>MAX(MarketShare29[Playcentre])</f>
        <v>0.10267135165327636</v>
      </c>
      <c r="J65" s="18"/>
      <c r="K65" s="1" t="s">
        <v>346</v>
      </c>
      <c r="L65" s="23" t="s">
        <v>296</v>
      </c>
      <c r="M65" s="23" t="s">
        <v>308</v>
      </c>
      <c r="N65" s="23" t="s">
        <v>347</v>
      </c>
      <c r="O65" s="74" t="s">
        <v>382</v>
      </c>
      <c r="P65" s="23" t="s">
        <v>301</v>
      </c>
    </row>
    <row r="66" spans="2:16" outlineLevel="1">
      <c r="B66" s="76" t="s">
        <v>275</v>
      </c>
      <c r="C66" s="73">
        <f>C65-C62</f>
        <v>0.25245560605430944</v>
      </c>
      <c r="D66" s="73">
        <f t="shared" ref="D66:E66" si="29">D65-D62</f>
        <v>0.15964576459747551</v>
      </c>
      <c r="E66" s="73">
        <f t="shared" si="29"/>
        <v>3.0654891450318952E-2</v>
      </c>
      <c r="F66" s="73">
        <f t="shared" ref="F66:G66" si="30">F65-F62</f>
        <v>5.3315183508524371E-2</v>
      </c>
      <c r="G66" s="73">
        <f t="shared" si="30"/>
        <v>5.9235119068746969E-2</v>
      </c>
      <c r="J66" s="18"/>
      <c r="K66" t="s">
        <v>348</v>
      </c>
      <c r="L66" s="67">
        <f>1/5</f>
        <v>0.2</v>
      </c>
      <c r="M66" s="67">
        <f>1/5</f>
        <v>0.2</v>
      </c>
      <c r="N66" s="67">
        <f>1/4</f>
        <v>0.25</v>
      </c>
      <c r="O66" s="78">
        <f>1/4</f>
        <v>0.25</v>
      </c>
      <c r="P66" s="91">
        <v>0.2</v>
      </c>
    </row>
    <row r="67" spans="2:16" outlineLevel="1">
      <c r="B67" s="77" t="s">
        <v>349</v>
      </c>
      <c r="J67" s="18"/>
      <c r="K67" t="s">
        <v>350</v>
      </c>
      <c r="L67" s="67">
        <f>1/10</f>
        <v>0.1</v>
      </c>
      <c r="M67" s="67">
        <f>1/10</f>
        <v>0.1</v>
      </c>
      <c r="N67" s="67">
        <f>1/6</f>
        <v>0.16666666666666666</v>
      </c>
      <c r="O67" s="78">
        <f>1/4</f>
        <v>0.25</v>
      </c>
      <c r="P67" s="91">
        <v>0.2</v>
      </c>
    </row>
    <row r="68" spans="2:16" outlineLevel="1">
      <c r="B68" s="76" t="s">
        <v>240</v>
      </c>
      <c r="C68" s="73">
        <f>MIN(C20:C29)</f>
        <v>0.64206272468079828</v>
      </c>
      <c r="D68" s="73">
        <f t="shared" ref="D68:E68" si="31">MIN(D20:D29)</f>
        <v>0.13830707598375516</v>
      </c>
      <c r="E68" s="73">
        <f t="shared" si="31"/>
        <v>4.1685285340811618E-2</v>
      </c>
      <c r="F68" s="73">
        <f t="shared" ref="F68:G68" si="32">MIN(F20:F29)</f>
        <v>4.9783561004691675E-2</v>
      </c>
      <c r="G68" s="73">
        <f t="shared" si="32"/>
        <v>4.3436232584529388E-2</v>
      </c>
      <c r="J68" s="18"/>
      <c r="K68" t="s">
        <v>351</v>
      </c>
      <c r="L68" s="78">
        <f>1/4.02</f>
        <v>0.24875621890547267</v>
      </c>
      <c r="M68" s="78">
        <f>1/4.49</f>
        <v>0.22271714922048996</v>
      </c>
      <c r="N68" s="78"/>
      <c r="O68" s="78"/>
      <c r="P68" s="91"/>
    </row>
    <row r="69" spans="2:16" outlineLevel="1">
      <c r="B69" s="76" t="s">
        <v>241</v>
      </c>
      <c r="C69" s="73">
        <f>AVERAGE(C20:C29)</f>
        <v>0.68766034566319467</v>
      </c>
      <c r="D69" s="73">
        <f t="shared" ref="D69:E69" si="33">AVERAGE(D20:D29)</f>
        <v>0.14341857678051051</v>
      </c>
      <c r="E69" s="73">
        <f t="shared" si="33"/>
        <v>4.2902135653621394E-2</v>
      </c>
      <c r="F69" s="73">
        <f t="shared" ref="F69:G69" si="34">AVERAGE(F20:F29)</f>
        <v>7.2962096350894692E-2</v>
      </c>
      <c r="G69" s="73">
        <f t="shared" si="34"/>
        <v>5.1324378136468438E-2</v>
      </c>
      <c r="J69" s="18"/>
      <c r="K69" t="s">
        <v>352</v>
      </c>
      <c r="L69" s="78">
        <f>1/5.17</f>
        <v>0.19342359767891684</v>
      </c>
      <c r="M69" s="78">
        <f>1/5.73</f>
        <v>0.17452006980802792</v>
      </c>
      <c r="N69" s="78"/>
      <c r="O69" s="78"/>
      <c r="P69" s="91"/>
    </row>
    <row r="70" spans="2:16" outlineLevel="1">
      <c r="B70" s="76" t="s">
        <v>242</v>
      </c>
      <c r="C70" s="73">
        <f>MEDIAN(C20:C29)</f>
        <v>0.69143319384391466</v>
      </c>
      <c r="D70" s="73">
        <f t="shared" ref="D70:E70" si="35">MEDIAN(D20:D29)</f>
        <v>0.14215324069740998</v>
      </c>
      <c r="E70" s="73">
        <f t="shared" si="35"/>
        <v>4.2742999009533267E-2</v>
      </c>
      <c r="F70" s="73">
        <f t="shared" ref="F70:G70" si="36">MEDIAN(F20:F29)</f>
        <v>7.5101868658918713E-2</v>
      </c>
      <c r="G70" s="73">
        <f t="shared" si="36"/>
        <v>4.8637968305150402E-2</v>
      </c>
      <c r="J70" s="18"/>
      <c r="K70" t="s">
        <v>353</v>
      </c>
      <c r="L70" s="78">
        <f>1/6.08</f>
        <v>0.16447368421052633</v>
      </c>
      <c r="M70" s="78">
        <f>1/6.87</f>
        <v>0.14556040756914118</v>
      </c>
      <c r="N70" s="78"/>
      <c r="O70" s="78"/>
      <c r="P70" s="91"/>
    </row>
    <row r="71" spans="2:16" outlineLevel="1">
      <c r="B71" s="76" t="s">
        <v>243</v>
      </c>
      <c r="C71" s="73">
        <f>MAX(C20:C29)</f>
        <v>0.71509370382850779</v>
      </c>
      <c r="D71" s="73">
        <f t="shared" ref="D71:E71" si="37">MAX(D20:D29)</f>
        <v>0.1528796330730135</v>
      </c>
      <c r="E71" s="73">
        <f t="shared" si="37"/>
        <v>4.3782965936074981E-2</v>
      </c>
      <c r="F71" s="73">
        <f t="shared" ref="F71:G71" si="38">MAX(F20:F29)</f>
        <v>9.3308540969381432E-2</v>
      </c>
      <c r="G71" s="73">
        <f t="shared" si="38"/>
        <v>6.6949299615718355E-2</v>
      </c>
      <c r="J71" s="18"/>
      <c r="P71" s="71"/>
    </row>
    <row r="72" spans="2:16" outlineLevel="1">
      <c r="B72" s="76" t="s">
        <v>275</v>
      </c>
      <c r="C72" s="73">
        <f>C71-C68</f>
        <v>7.3030979147709507E-2</v>
      </c>
      <c r="D72" s="73">
        <f t="shared" ref="D72:E72" si="39">D71-D68</f>
        <v>1.4572557089258337E-2</v>
      </c>
      <c r="E72" s="73">
        <f t="shared" si="39"/>
        <v>2.097680595263364E-3</v>
      </c>
      <c r="F72" s="73">
        <f t="shared" ref="F72:G72" si="40">F71-F68</f>
        <v>4.3524979964689757E-2</v>
      </c>
      <c r="G72" s="73">
        <f t="shared" si="40"/>
        <v>2.3513067031188967E-2</v>
      </c>
      <c r="J72" s="18"/>
      <c r="K72" s="6" t="s">
        <v>354</v>
      </c>
      <c r="P72" s="71"/>
    </row>
    <row r="73" spans="2:16" outlineLevel="1">
      <c r="B73" s="77" t="s">
        <v>355</v>
      </c>
      <c r="J73" s="18"/>
      <c r="K73" s="79" t="s">
        <v>346</v>
      </c>
      <c r="L73" s="80" t="s">
        <v>296</v>
      </c>
      <c r="M73" s="80" t="s">
        <v>308</v>
      </c>
      <c r="N73" s="80" t="s">
        <v>347</v>
      </c>
      <c r="O73" s="95" t="s">
        <v>382</v>
      </c>
      <c r="P73" s="80" t="s">
        <v>301</v>
      </c>
    </row>
    <row r="74" spans="2:16" outlineLevel="1">
      <c r="B74" s="76" t="s">
        <v>240</v>
      </c>
      <c r="C74" s="73">
        <f>MIN(C25:C29)</f>
        <v>0.69513654550403958</v>
      </c>
      <c r="D74" s="73">
        <f t="shared" ref="D74:E74" si="41">MIN(D25:D29)</f>
        <v>0.13830707598375516</v>
      </c>
      <c r="E74" s="73">
        <f t="shared" si="41"/>
        <v>4.1685285340811618E-2</v>
      </c>
      <c r="F74" s="73">
        <f t="shared" ref="F74:G74" si="42">MIN(F25:F29)</f>
        <v>4.9783561004691675E-2</v>
      </c>
      <c r="G74" s="73">
        <f t="shared" si="42"/>
        <v>4.6023375378155429E-2</v>
      </c>
      <c r="J74" s="18"/>
      <c r="K74" s="78" t="s">
        <v>356</v>
      </c>
      <c r="L74" s="81">
        <f>SUM('Source-age_x_service'!H7:I10)/SUM('Source-age_x_service'!N7:N10)</f>
        <v>0.20983864431920643</v>
      </c>
      <c r="M74" s="81">
        <f>SUM('Source-age_x_service'!V7:W10)/SUM('Source-age_x_service'!AB7:AB10)</f>
        <v>1.2647467549747198E-2</v>
      </c>
      <c r="N74" s="81">
        <f>SUM('Source-age_x_service'!AC7:AD10)/SUM('Source-age_x_service'!AH7:AH10)</f>
        <v>0.2536810848868889</v>
      </c>
      <c r="O74" s="94">
        <f>SUM('Source-age_x_service'!O7:P10)/SUM('Source-age_x_service'!U7:U10)</f>
        <v>0.33987350187088072</v>
      </c>
      <c r="P74" s="94">
        <f>SUM('Source-age_x_service'!AI7:AJ10)/SUM('Source-age_x_service'!AO7:AO10)</f>
        <v>0.50417738520727573</v>
      </c>
    </row>
    <row r="75" spans="2:16" outlineLevel="1">
      <c r="B75" s="76" t="s">
        <v>241</v>
      </c>
      <c r="C75" s="73">
        <f>AVERAGE(C25:C29)</f>
        <v>0.70867337457934654</v>
      </c>
      <c r="D75" s="73">
        <f t="shared" ref="D75:E75" si="43">AVERAGE(D25:D29)</f>
        <v>0.14065111283980897</v>
      </c>
      <c r="E75" s="73">
        <f t="shared" si="43"/>
        <v>4.2962272083655537E-2</v>
      </c>
      <c r="F75" s="73">
        <f t="shared" ref="F75:G75" si="44">AVERAGE(F25:F29)</f>
        <v>5.7788292308354736E-2</v>
      </c>
      <c r="G75" s="73">
        <f t="shared" si="44"/>
        <v>4.8219182743701502E-2</v>
      </c>
      <c r="J75" s="18"/>
      <c r="K75" s="78" t="s">
        <v>357</v>
      </c>
      <c r="L75" s="81">
        <f>SUM('Source-age_x_service'!J7:J10)/SUM('Source-age_x_service'!N7:N10)</f>
        <v>0.23087873128469985</v>
      </c>
      <c r="M75" s="81">
        <f>SUM('Source-age_x_service'!X7:X10)/SUM('Source-age_x_service'!AB7:AB10)</f>
        <v>0.14979598474320688</v>
      </c>
      <c r="N75" s="81">
        <f>SUM('Source-age_x_service'!AE7:AE10)/SUM('Source-age_x_service'!AH7:AH10)</f>
        <v>0.26121162028958889</v>
      </c>
      <c r="O75" s="94">
        <f>SUM('Source-age_x_service'!Q7:Q10)/SUM('Source-age_x_service'!U7:U10)</f>
        <v>0.249197515622329</v>
      </c>
      <c r="P75" s="94">
        <f>SUM('Source-age_x_service'!AK7:AK10)/SUM('Source-age_x_service'!AO7:AO10)</f>
        <v>0.20051448994923396</v>
      </c>
    </row>
    <row r="76" spans="2:16" outlineLevel="1">
      <c r="B76" s="76" t="s">
        <v>242</v>
      </c>
      <c r="C76" s="73">
        <f>MEDIAN(C25:C29)</f>
        <v>0.71228375324174853</v>
      </c>
      <c r="D76" s="73">
        <f t="shared" ref="D76:E76" si="45">MEDIAN(D25:D29)</f>
        <v>0.14137492435043952</v>
      </c>
      <c r="E76" s="73">
        <f t="shared" si="45"/>
        <v>4.3157935340243453E-2</v>
      </c>
      <c r="F76" s="73">
        <f t="shared" ref="F76:G76" si="46">MEDIAN(F25:F29)</f>
        <v>5.4753002197619069E-2</v>
      </c>
      <c r="G76" s="73">
        <f t="shared" si="46"/>
        <v>4.8748606959474236E-2</v>
      </c>
      <c r="J76" s="18"/>
      <c r="K76" s="78" t="s">
        <v>358</v>
      </c>
      <c r="L76" s="81">
        <f>SUM('Source-age_x_service'!K7:L10)/SUM('Source-age_x_service'!N7:N10)</f>
        <v>0.54245474160811402</v>
      </c>
      <c r="M76" s="81">
        <f>SUM('Source-age_x_service'!Y7:Z10)/SUM('Source-age_x_service'!AB7:AB10)</f>
        <v>0.81230596375033259</v>
      </c>
      <c r="N76" s="81">
        <f>SUM('Source-age_x_service'!AF7:AG10)/SUM('Source-age_x_service'!AH7:AH10)</f>
        <v>0.48510729482352222</v>
      </c>
      <c r="O76" s="94">
        <f>SUM('Source-age_x_service'!R7:S10)/SUM('Source-age_x_service'!U7:U10)</f>
        <v>0.39527816292807083</v>
      </c>
      <c r="P76" s="94">
        <f>SUM('Source-age_x_service'!AL7:AM10)/SUM('Source-age_x_service'!AO7:AO10)</f>
        <v>0.2803287272065017</v>
      </c>
    </row>
    <row r="77" spans="2:16" outlineLevel="1">
      <c r="B77" s="76" t="s">
        <v>243</v>
      </c>
      <c r="C77" s="73">
        <f>MAX(C25:C29)</f>
        <v>0.71509370382850779</v>
      </c>
      <c r="D77" s="73">
        <f t="shared" ref="D77:E77" si="47">MAX(D25:D29)</f>
        <v>0.14235205681847637</v>
      </c>
      <c r="E77" s="73">
        <f t="shared" si="47"/>
        <v>4.3656207366984993E-2</v>
      </c>
      <c r="F77" s="73">
        <f t="shared" ref="F77:G77" si="48">MAX(F25:F29)</f>
        <v>7.1285125091809329E-2</v>
      </c>
      <c r="G77" s="73">
        <f t="shared" si="48"/>
        <v>4.9197750071282305E-2</v>
      </c>
      <c r="J77" s="18"/>
      <c r="K77" s="78" t="s">
        <v>359</v>
      </c>
      <c r="L77" s="81">
        <f>SUM('Source-age_x_service'!M7:M10)/SUM('Source-age_x_service'!N7:N10)</f>
        <v>1.6827882787979743E-2</v>
      </c>
      <c r="M77" s="81">
        <f>SUM('Source-age_x_service'!AA7:AA10)/SUM('Source-age_x_service'!AB7:AB10)</f>
        <v>2.5250583956713285E-2</v>
      </c>
      <c r="N77" s="81"/>
      <c r="O77" s="94">
        <f>SUM('Source-age_x_service'!T7:T10)/SUM('Source-age_x_service'!U7:U10)</f>
        <v>1.5650819578719444E-2</v>
      </c>
      <c r="P77" s="94">
        <f>SUM('Source-age_x_service'!AN7:AN10)/SUM('Source-age_x_service'!AO7:AO10)</f>
        <v>1.4979397636988641E-2</v>
      </c>
    </row>
    <row r="78" spans="2:16" outlineLevel="1">
      <c r="B78" s="76" t="s">
        <v>275</v>
      </c>
      <c r="C78" s="73">
        <f>C77-C74</f>
        <v>1.9957158324468205E-2</v>
      </c>
      <c r="D78" s="73">
        <f t="shared" ref="D78:E78" si="49">D77-D74</f>
        <v>4.0449808347212124E-3</v>
      </c>
      <c r="E78" s="73">
        <f t="shared" si="49"/>
        <v>1.9709220261733759E-3</v>
      </c>
      <c r="F78" s="73">
        <f t="shared" ref="F78:G78" si="50">F77-F74</f>
        <v>2.1501564087117654E-2</v>
      </c>
      <c r="G78" s="73">
        <f t="shared" si="50"/>
        <v>3.174374693126876E-3</v>
      </c>
      <c r="J78" s="18"/>
      <c r="K78" s="78" t="s">
        <v>236</v>
      </c>
      <c r="L78" s="94">
        <f t="shared" ref="L78:O78" si="51">SUM(L74:L77)</f>
        <v>1</v>
      </c>
      <c r="M78" s="94">
        <f t="shared" si="51"/>
        <v>1</v>
      </c>
      <c r="N78" s="94">
        <f t="shared" si="51"/>
        <v>1</v>
      </c>
      <c r="O78" s="94">
        <f t="shared" si="51"/>
        <v>1</v>
      </c>
      <c r="P78" s="94">
        <f>SUM(P74:P77)</f>
        <v>1</v>
      </c>
    </row>
    <row r="79" spans="2:16">
      <c r="J79" s="18"/>
    </row>
    <row r="80" spans="2:16">
      <c r="J80" s="18"/>
    </row>
    <row r="81" spans="1:48">
      <c r="J81" s="18"/>
    </row>
    <row r="82" spans="1:48">
      <c r="A82" s="106" t="s">
        <v>360</v>
      </c>
      <c r="B82" s="20"/>
      <c r="C82" s="107"/>
      <c r="D82" s="107"/>
      <c r="E82" s="107"/>
      <c r="F82" s="107"/>
      <c r="G82" s="107"/>
      <c r="H82" s="107"/>
      <c r="I82" s="20"/>
      <c r="J82" s="109" t="s">
        <v>361</v>
      </c>
      <c r="K82" s="20"/>
      <c r="L82" s="20"/>
      <c r="M82" s="20"/>
      <c r="N82" s="20"/>
      <c r="O82" s="20"/>
      <c r="P82" s="20"/>
      <c r="Q82" s="20"/>
      <c r="R82" s="20"/>
      <c r="S82" s="20"/>
      <c r="T82" s="20"/>
      <c r="U82" s="20"/>
      <c r="V82" s="20"/>
      <c r="W82" s="20"/>
      <c r="X82" s="109" t="s">
        <v>384</v>
      </c>
      <c r="Y82" s="20"/>
      <c r="Z82" s="20"/>
      <c r="AA82" s="20"/>
      <c r="AB82" s="20"/>
      <c r="AC82" s="20"/>
      <c r="AD82" s="20"/>
      <c r="AE82" s="20"/>
      <c r="AG82" s="6" t="s">
        <v>385</v>
      </c>
      <c r="AO82" s="6"/>
    </row>
    <row r="83" spans="1:48" ht="29.1" hidden="1" outlineLevel="1">
      <c r="B83" s="1" t="s">
        <v>229</v>
      </c>
      <c r="C83" s="69" t="s">
        <v>296</v>
      </c>
      <c r="D83" s="69" t="s">
        <v>308</v>
      </c>
      <c r="E83" s="69" t="s">
        <v>302</v>
      </c>
      <c r="F83" s="92" t="s">
        <v>382</v>
      </c>
      <c r="G83" s="69" t="s">
        <v>301</v>
      </c>
      <c r="H83" s="23" t="s">
        <v>236</v>
      </c>
      <c r="J83" s="18"/>
      <c r="K83" s="1" t="s">
        <v>229</v>
      </c>
      <c r="L83" s="15" t="s">
        <v>364</v>
      </c>
      <c r="M83" s="15" t="s">
        <v>365</v>
      </c>
      <c r="N83" s="15" t="s">
        <v>366</v>
      </c>
      <c r="O83" s="15" t="s">
        <v>367</v>
      </c>
      <c r="P83" s="15" t="s">
        <v>368</v>
      </c>
      <c r="Q83" s="15" t="s">
        <v>369</v>
      </c>
      <c r="R83" s="15" t="s">
        <v>386</v>
      </c>
      <c r="S83" s="15" t="s">
        <v>387</v>
      </c>
      <c r="T83" s="96" t="s">
        <v>382</v>
      </c>
      <c r="U83" s="15" t="s">
        <v>301</v>
      </c>
      <c r="V83" s="15" t="s">
        <v>370</v>
      </c>
      <c r="X83" s="18"/>
      <c r="Y83" s="1" t="s">
        <v>229</v>
      </c>
      <c r="Z83" s="15" t="s">
        <v>296</v>
      </c>
      <c r="AA83" s="15" t="s">
        <v>308</v>
      </c>
      <c r="AB83" s="15" t="s">
        <v>302</v>
      </c>
      <c r="AC83" s="96" t="s">
        <v>382</v>
      </c>
      <c r="AD83" s="15" t="s">
        <v>301</v>
      </c>
      <c r="AE83" s="15" t="s">
        <v>370</v>
      </c>
      <c r="AH83" s="1" t="s">
        <v>229</v>
      </c>
      <c r="AI83" s="15" t="s">
        <v>296</v>
      </c>
      <c r="AJ83" s="15" t="s">
        <v>308</v>
      </c>
      <c r="AK83" s="15" t="s">
        <v>302</v>
      </c>
      <c r="AL83" s="96" t="s">
        <v>382</v>
      </c>
      <c r="AM83" s="15" t="s">
        <v>301</v>
      </c>
      <c r="AN83" s="15" t="s">
        <v>370</v>
      </c>
      <c r="AP83" s="1"/>
      <c r="AQ83" s="15"/>
      <c r="AR83" s="15"/>
      <c r="AS83" s="15"/>
      <c r="AT83" s="96"/>
      <c r="AU83" s="15"/>
      <c r="AV83" s="15"/>
    </row>
    <row r="84" spans="1:48" hidden="1" outlineLevel="1">
      <c r="B84" s="1">
        <v>2025</v>
      </c>
      <c r="C84" s="83">
        <f>MROUND(('T15'!$Q15*C$75),5)</f>
        <v>38670</v>
      </c>
      <c r="D84" s="83">
        <f>MROUND(('T15'!$Q15*D$75),5)</f>
        <v>7675</v>
      </c>
      <c r="E84" s="83">
        <f>MROUND(('T15'!$Q15*E$75),5)</f>
        <v>2345</v>
      </c>
      <c r="F84" s="83">
        <f>MROUND(('T15'!$Q15*F$75),5)</f>
        <v>3155</v>
      </c>
      <c r="G84" s="83">
        <f>MROUND(('T15'!$Q15*G$75),5)</f>
        <v>2630</v>
      </c>
      <c r="H84" s="66">
        <f>SUM(C84:G84)</f>
        <v>54475</v>
      </c>
      <c r="J84" s="18"/>
      <c r="K84" s="1">
        <v>2025</v>
      </c>
      <c r="L84" s="66">
        <f>MROUND(((CentreBasedHeadcountEnrolmentsLow32[[#This Row],[Education &amp; Care]]*L$74)*L$68)*'Source-fte_qualstus_x_servtype'!J31,5)</f>
        <v>1720</v>
      </c>
      <c r="M84" s="66">
        <f>MROUND(((CentreBasedHeadcountEnrolmentsLow32[[#This Row],[Education &amp; Care]]*L$75)*L$69)*'Source-fte_qualstus_x_servtype'!J31,5)</f>
        <v>1470</v>
      </c>
      <c r="N84" s="66">
        <f>MROUND(((CentreBasedHeadcountEnrolmentsLow32[[#This Row],[Education &amp; Care]]*SUM(L$76:L$77))*L$70)*'Source-fte_qualstus_x_servtype'!J31,5)</f>
        <v>3030</v>
      </c>
      <c r="O84" s="66">
        <f>MROUND(((CentreBasedHeadcountEnrolmentsLow32[[#This Row],[Kindergarten]]*M$74)*M$68)*'Source-fte_qualstus_x_servtype'!J31,5)</f>
        <v>20</v>
      </c>
      <c r="P84" s="66">
        <f>MROUND(((CentreBasedHeadcountEnrolmentsLow32[[#This Row],[Kindergarten]]*M$75)*M$69)*'Source-fte_qualstus_x_servtype'!J31,5)</f>
        <v>170</v>
      </c>
      <c r="Q84" s="66">
        <f>MROUND(((CentreBasedHeadcountEnrolmentsLow32[[#This Row],[Kindergarten]]*SUM(M$76:M$77))*M$70)*'Source-fte_qualstus_x_servtype'!J31,5)</f>
        <v>795</v>
      </c>
      <c r="R84" s="66">
        <f>MROUND(((CentreBasedHeadcountEnrolmentsLow32[[#This Row],[Kōhanga Reo]]*SUM(N$74))*N$66)*'Source-fte_qualstus_x_servtype'!J31,5)</f>
        <v>125</v>
      </c>
      <c r="S84" s="66">
        <f>MROUND(((CentreBasedHeadcountEnrolmentsLow32[[#This Row],[Kōhanga Reo]]*SUM(N$75:N$77))*N$67)*'Source-fte_qualstus_x_servtype'!J31,5)</f>
        <v>250</v>
      </c>
      <c r="T84" s="66">
        <f>MROUND(((CentreBasedHeadcountEnrolmentsLow32[[#This Row],[Home-based]]*SUM(O$78))*O$67)*'Source-fte_qualstus_x_servtype'!J31,5)</f>
        <v>670</v>
      </c>
      <c r="U84" s="66">
        <f>MROUND(((CentreBasedHeadcountEnrolmentsLow32[[#This Row],[Playcentre]])*P$67)*0.5,5)</f>
        <v>265</v>
      </c>
      <c r="V84" s="66">
        <f>SUM(L84:U84)</f>
        <v>8515</v>
      </c>
      <c r="X84" s="18"/>
      <c r="Y84" s="1">
        <v>2025</v>
      </c>
      <c r="Z84" s="66">
        <f>MROUND(SUM(LowScenarioCentreBasedFTEDemand37[[#This Row],[Education &amp; Care (under 2s)]:[Education &amp; Care (3+)]])*U$62,5)</f>
        <v>4140</v>
      </c>
      <c r="AA84" s="66">
        <f>MROUND(SUM(LowScenarioCentreBasedFTEDemand37[[#This Row],[Kindergarten (Under 2s)]:[Kindergarten (3+)]])*T$61,5)</f>
        <v>985</v>
      </c>
      <c r="AB84" s="66">
        <f>MROUND(SUM(LowScenarioCentreBasedFTEDemand37[[#This Row],[Kōhanga Reo (Under 2s)]:[Kōhanga Reo (2+)]])*U$62,5)</f>
        <v>250</v>
      </c>
      <c r="AC84" s="66">
        <f>MROUND(LowScenarioCentreBasedFTEDemand37[[#This Row],[Home-based]]*U$62,5)</f>
        <v>445</v>
      </c>
      <c r="AD84" s="66">
        <f>MROUND(LowScenarioCentreBasedFTEDemand37[[#This Row],[Playcentre]]*U$62,5)</f>
        <v>175</v>
      </c>
      <c r="AE84" s="66">
        <f>SUM(Z84:AD84)</f>
        <v>5995</v>
      </c>
      <c r="AH84" s="1">
        <v>2025</v>
      </c>
      <c r="AI84" s="84">
        <f>SUM(LowScenarioCentreBasedFTEDemand37[[#This Row],[Education &amp; Care (under 2s)]:[Education &amp; Care (3+)]])-LowScenarioQualifedFTE41[[#This Row],[Education &amp; Care]]</f>
        <v>2080</v>
      </c>
      <c r="AJ84" s="84">
        <f>SUM(LowScenarioCentreBasedFTEDemand37[[#This Row],[Kindergarten (Under 2s)]:[Kindergarten (3+)]])-LowScenarioQualifedFTE41[[#This Row],[Kindergarten]]</f>
        <v>0</v>
      </c>
      <c r="AK84" s="84">
        <f>SUM(LowScenarioCentreBasedFTEDemand37[[#This Row],[Kōhanga Reo (Under 2s)]:[Kōhanga Reo (2+)]])-LowScenarioQualifedFTE41[[#This Row],[Kōhanga Reo]]</f>
        <v>125</v>
      </c>
      <c r="AL84" s="84">
        <f>LowScenarioCentreBasedFTEDemand37[[#This Row],[Home-based]]-LowScenarioQualifedFTE41[[#This Row],[Home-based]]</f>
        <v>225</v>
      </c>
      <c r="AM84" s="84">
        <f>LowScenarioCentreBasedFTEDemand37[[#This Row],[Playcentre]]-LowScenarioQualifedFTE41[[#This Row],[Playcentre]]</f>
        <v>90</v>
      </c>
      <c r="AN84" s="84">
        <f>SUM(AI84:AM84)</f>
        <v>2520</v>
      </c>
      <c r="AP84" s="1"/>
      <c r="AQ84" s="66"/>
      <c r="AR84" s="66"/>
      <c r="AS84" s="66"/>
      <c r="AT84" s="66"/>
      <c r="AU84" s="66"/>
      <c r="AV84" s="66"/>
    </row>
    <row r="85" spans="1:48" hidden="1" outlineLevel="1">
      <c r="B85" s="1">
        <v>2026</v>
      </c>
      <c r="C85" s="83">
        <f>MROUND(('T15'!$Q16*C$75),5)</f>
        <v>37660</v>
      </c>
      <c r="D85" s="83">
        <f>MROUND(('T15'!$Q16*D$75),5)</f>
        <v>7475</v>
      </c>
      <c r="E85" s="83">
        <f>MROUND(('T15'!$Q16*E$75),5)</f>
        <v>2285</v>
      </c>
      <c r="F85" s="83">
        <f>MROUND(('T15'!$Q16*F$75),5)</f>
        <v>3070</v>
      </c>
      <c r="G85" s="83">
        <f>MROUND(('T15'!$Q16*G$75),5)</f>
        <v>2560</v>
      </c>
      <c r="H85" s="66">
        <f>SUM(C85:G85)</f>
        <v>53050</v>
      </c>
      <c r="J85" s="18"/>
      <c r="K85" s="1">
        <v>2026</v>
      </c>
      <c r="L85" s="66">
        <f>MROUND(((CentreBasedHeadcountEnrolmentsLow32[[#This Row],[Education &amp; Care]]*L$74)*L$68)*'Source-fte_qualstus_x_servtype'!J32,5)</f>
        <v>1680</v>
      </c>
      <c r="M85" s="66">
        <f>MROUND(((CentreBasedHeadcountEnrolmentsLow32[[#This Row],[Education &amp; Care]]*L$75)*L$69)*'Source-fte_qualstus_x_servtype'!J32,5)</f>
        <v>1440</v>
      </c>
      <c r="N85" s="66">
        <f>MROUND(((CentreBasedHeadcountEnrolmentsLow32[[#This Row],[Education &amp; Care]]*SUM(L$76:L$77))*L$70)*'Source-fte_qualstus_x_servtype'!J32,5)</f>
        <v>2965</v>
      </c>
      <c r="O85" s="66">
        <f>MROUND(((CentreBasedHeadcountEnrolmentsLow32[[#This Row],[Kindergarten]]*M$74)*M$68)*'Source-fte_qualstus_x_servtype'!J32,5)</f>
        <v>20</v>
      </c>
      <c r="P85" s="66">
        <f>MROUND(((CentreBasedHeadcountEnrolmentsLow32[[#This Row],[Kindergarten]]*M$75)*M$69)*'Source-fte_qualstus_x_servtype'!J32,5)</f>
        <v>165</v>
      </c>
      <c r="Q85" s="66">
        <f>MROUND(((CentreBasedHeadcountEnrolmentsLow32[[#This Row],[Kindergarten]]*SUM(M$76:M$77))*M$70)*'Source-fte_qualstus_x_servtype'!J32,5)</f>
        <v>780</v>
      </c>
      <c r="R85" s="66">
        <f>MROUND(((CentreBasedHeadcountEnrolmentsLow32[[#This Row],[Kōhanga Reo]]*SUM(N$74))*N$66)*'Source-fte_qualstus_x_servtype'!J32,5)</f>
        <v>125</v>
      </c>
      <c r="S85" s="66">
        <f>MROUND(((CentreBasedHeadcountEnrolmentsLow32[[#This Row],[Kōhanga Reo]]*SUM(N$75:N$77))*N$67)*'Source-fte_qualstus_x_servtype'!J32,5)</f>
        <v>245</v>
      </c>
      <c r="T85" s="66">
        <f>MROUND(((CentreBasedHeadcountEnrolmentsLow32[[#This Row],[Home-based]]*SUM(O$78))*O$67)*'Source-fte_qualstus_x_servtype'!J32,5)</f>
        <v>655</v>
      </c>
      <c r="U85" s="66">
        <f>MROUND(((CentreBasedHeadcountEnrolmentsLow32[[#This Row],[Playcentre]])*P$67)*0.5,5)</f>
        <v>255</v>
      </c>
      <c r="V85" s="66">
        <f t="shared" ref="V85:V94" si="52">SUM(L85:U85)</f>
        <v>8330</v>
      </c>
      <c r="X85" s="18"/>
      <c r="Y85" s="1">
        <v>2026</v>
      </c>
      <c r="Z85" s="66">
        <f>MROUND(SUM(LowScenarioCentreBasedFTEDemand37[[#This Row],[Education &amp; Care (under 2s)]:[Education &amp; Care (3+)]])*U$62,5)</f>
        <v>4050</v>
      </c>
      <c r="AA85" s="66">
        <f>MROUND(SUM(LowScenarioCentreBasedFTEDemand37[[#This Row],[Kindergarten (Under 2s)]:[Kindergarten (3+)]])*T$61,5)</f>
        <v>965</v>
      </c>
      <c r="AB85" s="66">
        <f>MROUND(SUM(LowScenarioCentreBasedFTEDemand37[[#This Row],[Kōhanga Reo (Under 2s)]:[Kōhanga Reo (2+)]])*U$62,5)</f>
        <v>245</v>
      </c>
      <c r="AC85" s="66">
        <f>MROUND(LowScenarioCentreBasedFTEDemand37[[#This Row],[Home-based]]*U$62,5)</f>
        <v>435</v>
      </c>
      <c r="AD85" s="66">
        <f>MROUND(LowScenarioCentreBasedFTEDemand37[[#This Row],[Playcentre]]*U$62,5)</f>
        <v>170</v>
      </c>
      <c r="AE85" s="66">
        <f t="shared" ref="AE85:AE94" si="53">SUM(Z85:AD85)</f>
        <v>5865</v>
      </c>
      <c r="AH85" s="1">
        <v>2026</v>
      </c>
      <c r="AI85" s="84">
        <f>SUM(LowScenarioCentreBasedFTEDemand37[[#This Row],[Education &amp; Care (under 2s)]:[Education &amp; Care (3+)]])-LowScenarioQualifedFTE41[[#This Row],[Education &amp; Care]]</f>
        <v>2035</v>
      </c>
      <c r="AJ85" s="84">
        <f>SUM(LowScenarioCentreBasedFTEDemand37[[#This Row],[Kindergarten (Under 2s)]:[Kindergarten (3+)]])-LowScenarioQualifedFTE41[[#This Row],[Kindergarten]]</f>
        <v>0</v>
      </c>
      <c r="AK85" s="84">
        <f>SUM(LowScenarioCentreBasedFTEDemand37[[#This Row],[Kōhanga Reo (Under 2s)]:[Kōhanga Reo (2+)]])-LowScenarioQualifedFTE41[[#This Row],[Kōhanga Reo]]</f>
        <v>125</v>
      </c>
      <c r="AL85" s="84">
        <f>LowScenarioCentreBasedFTEDemand37[[#This Row],[Home-based]]-LowScenarioQualifedFTE41[[#This Row],[Home-based]]</f>
        <v>220</v>
      </c>
      <c r="AM85" s="84">
        <f>LowScenarioCentreBasedFTEDemand37[[#This Row],[Playcentre]]-LowScenarioQualifedFTE41[[#This Row],[Playcentre]]</f>
        <v>85</v>
      </c>
      <c r="AN85" s="84">
        <f t="shared" ref="AN85:AN94" si="54">SUM(AI85:AM85)</f>
        <v>2465</v>
      </c>
      <c r="AP85" s="1"/>
      <c r="AQ85" s="66"/>
      <c r="AR85" s="66"/>
      <c r="AS85" s="66"/>
      <c r="AT85" s="66"/>
      <c r="AU85" s="66"/>
      <c r="AV85" s="66"/>
    </row>
    <row r="86" spans="1:48" hidden="1" outlineLevel="1">
      <c r="B86" s="1">
        <v>2027</v>
      </c>
      <c r="C86" s="83">
        <f>MROUND(('T15'!$Q17*C$75),5)</f>
        <v>36685</v>
      </c>
      <c r="D86" s="83">
        <f>MROUND(('T15'!$Q17*D$75),5)</f>
        <v>7280</v>
      </c>
      <c r="E86" s="83">
        <f>MROUND(('T15'!$Q17*E$75),5)</f>
        <v>2225</v>
      </c>
      <c r="F86" s="83">
        <f>MROUND(('T15'!$Q17*F$75),5)</f>
        <v>2990</v>
      </c>
      <c r="G86" s="83">
        <f>MROUND(('T15'!$Q17*G$75),5)</f>
        <v>2495</v>
      </c>
      <c r="H86" s="66">
        <f t="shared" ref="H86:H94" si="55">SUM(C86:G86)</f>
        <v>51675</v>
      </c>
      <c r="J86" s="18"/>
      <c r="K86" s="1">
        <v>2027</v>
      </c>
      <c r="L86" s="66">
        <f>MROUND(((CentreBasedHeadcountEnrolmentsLow32[[#This Row],[Education &amp; Care]]*L$74)*L$68)*'Source-fte_qualstus_x_servtype'!J33,5)</f>
        <v>1645</v>
      </c>
      <c r="M86" s="66">
        <f>MROUND(((CentreBasedHeadcountEnrolmentsLow32[[#This Row],[Education &amp; Care]]*L$75)*L$69)*'Source-fte_qualstus_x_servtype'!J33,5)</f>
        <v>1410</v>
      </c>
      <c r="N86" s="66">
        <f>MROUND(((CentreBasedHeadcountEnrolmentsLow32[[#This Row],[Education &amp; Care]]*SUM(L$76:L$77))*L$70)*'Source-fte_qualstus_x_servtype'!J33,5)</f>
        <v>2900</v>
      </c>
      <c r="O86" s="66">
        <f>MROUND(((CentreBasedHeadcountEnrolmentsLow32[[#This Row],[Kindergarten]]*M$74)*M$68)*'Source-fte_qualstus_x_servtype'!J33,5)</f>
        <v>20</v>
      </c>
      <c r="P86" s="66">
        <f>MROUND(((CentreBasedHeadcountEnrolmentsLow32[[#This Row],[Kindergarten]]*M$75)*M$69)*'Source-fte_qualstus_x_servtype'!J33,5)</f>
        <v>165</v>
      </c>
      <c r="Q86" s="66">
        <f>MROUND(((CentreBasedHeadcountEnrolmentsLow32[[#This Row],[Kindergarten]]*SUM(M$76:M$77))*M$70)*'Source-fte_qualstus_x_servtype'!J33,5)</f>
        <v>765</v>
      </c>
      <c r="R86" s="66">
        <f>MROUND(((CentreBasedHeadcountEnrolmentsLow32[[#This Row],[Kōhanga Reo]]*SUM(N$74))*N$66)*'Source-fte_qualstus_x_servtype'!J33,5)</f>
        <v>120</v>
      </c>
      <c r="S86" s="66">
        <f>MROUND(((CentreBasedHeadcountEnrolmentsLow32[[#This Row],[Kōhanga Reo]]*SUM(N$75:N$77))*N$67)*'Source-fte_qualstus_x_servtype'!J33,5)</f>
        <v>240</v>
      </c>
      <c r="T86" s="66">
        <f>MROUND(((CentreBasedHeadcountEnrolmentsLow32[[#This Row],[Home-based]]*SUM(O$78))*O$67)*'Source-fte_qualstus_x_servtype'!J33,5)</f>
        <v>640</v>
      </c>
      <c r="U86" s="66">
        <f>MROUND(((CentreBasedHeadcountEnrolmentsLow32[[#This Row],[Playcentre]])*P$67)*0.5,5)</f>
        <v>250</v>
      </c>
      <c r="V86" s="66">
        <f t="shared" si="52"/>
        <v>8155</v>
      </c>
      <c r="X86" s="18"/>
      <c r="Y86" s="1">
        <v>2027</v>
      </c>
      <c r="Z86" s="66">
        <f>MROUND(SUM(LowScenarioCentreBasedFTEDemand37[[#This Row],[Education &amp; Care (under 2s)]:[Education &amp; Care (3+)]])*U$62,5)</f>
        <v>3960</v>
      </c>
      <c r="AA86" s="66">
        <f>MROUND(SUM(LowScenarioCentreBasedFTEDemand37[[#This Row],[Kindergarten (Under 2s)]:[Kindergarten (3+)]])*T$61,5)</f>
        <v>950</v>
      </c>
      <c r="AB86" s="66">
        <f>MROUND(SUM(LowScenarioCentreBasedFTEDemand37[[#This Row],[Kōhanga Reo (Under 2s)]:[Kōhanga Reo (2+)]])*U$62,5)</f>
        <v>240</v>
      </c>
      <c r="AC86" s="66">
        <f>MROUND(LowScenarioCentreBasedFTEDemand37[[#This Row],[Home-based]]*U$62,5)</f>
        <v>425</v>
      </c>
      <c r="AD86" s="66">
        <f>MROUND(LowScenarioCentreBasedFTEDemand37[[#This Row],[Playcentre]]*U$62,5)</f>
        <v>165</v>
      </c>
      <c r="AE86" s="66">
        <f t="shared" si="53"/>
        <v>5740</v>
      </c>
      <c r="AH86" s="1">
        <v>2027</v>
      </c>
      <c r="AI86" s="84">
        <f>SUM(LowScenarioCentreBasedFTEDemand37[[#This Row],[Education &amp; Care (under 2s)]:[Education &amp; Care (3+)]])-LowScenarioQualifedFTE41[[#This Row],[Education &amp; Care]]</f>
        <v>1995</v>
      </c>
      <c r="AJ86" s="84">
        <f>SUM(LowScenarioCentreBasedFTEDemand37[[#This Row],[Kindergarten (Under 2s)]:[Kindergarten (3+)]])-LowScenarioQualifedFTE41[[#This Row],[Kindergarten]]</f>
        <v>0</v>
      </c>
      <c r="AK86" s="84">
        <f>SUM(LowScenarioCentreBasedFTEDemand37[[#This Row],[Kōhanga Reo (Under 2s)]:[Kōhanga Reo (2+)]])-LowScenarioQualifedFTE41[[#This Row],[Kōhanga Reo]]</f>
        <v>120</v>
      </c>
      <c r="AL86" s="84">
        <f>LowScenarioCentreBasedFTEDemand37[[#This Row],[Home-based]]-LowScenarioQualifedFTE41[[#This Row],[Home-based]]</f>
        <v>215</v>
      </c>
      <c r="AM86" s="84">
        <f>LowScenarioCentreBasedFTEDemand37[[#This Row],[Playcentre]]-LowScenarioQualifedFTE41[[#This Row],[Playcentre]]</f>
        <v>85</v>
      </c>
      <c r="AN86" s="84">
        <f t="shared" si="54"/>
        <v>2415</v>
      </c>
      <c r="AP86" s="1"/>
      <c r="AQ86" s="66"/>
      <c r="AR86" s="66"/>
      <c r="AS86" s="66"/>
      <c r="AT86" s="66"/>
      <c r="AU86" s="66"/>
      <c r="AV86" s="66"/>
    </row>
    <row r="87" spans="1:48" hidden="1" outlineLevel="1">
      <c r="B87" s="1">
        <v>2028</v>
      </c>
      <c r="C87" s="83">
        <f>MROUND(('T15'!$Q18*C$75),5)</f>
        <v>36530</v>
      </c>
      <c r="D87" s="83">
        <f>MROUND(('T15'!$Q18*D$75),5)</f>
        <v>7250</v>
      </c>
      <c r="E87" s="83">
        <f>MROUND(('T15'!$Q18*E$75),5)</f>
        <v>2215</v>
      </c>
      <c r="F87" s="83">
        <f>MROUND(('T15'!$Q18*F$75),5)</f>
        <v>2980</v>
      </c>
      <c r="G87" s="83">
        <f>MROUND(('T15'!$Q18*G$75),5)</f>
        <v>2485</v>
      </c>
      <c r="H87" s="66">
        <f t="shared" si="55"/>
        <v>51460</v>
      </c>
      <c r="J87" s="18"/>
      <c r="K87" s="1">
        <v>2028</v>
      </c>
      <c r="L87" s="66">
        <f>MROUND(((CentreBasedHeadcountEnrolmentsLow32[[#This Row],[Education &amp; Care]]*L$74)*L$68)*'Source-fte_qualstus_x_servtype'!J34,5)</f>
        <v>1645</v>
      </c>
      <c r="M87" s="66">
        <f>MROUND(((CentreBasedHeadcountEnrolmentsLow32[[#This Row],[Education &amp; Care]]*L$75)*L$69)*'Source-fte_qualstus_x_servtype'!J34,5)</f>
        <v>1410</v>
      </c>
      <c r="N87" s="66">
        <f>MROUND(((CentreBasedHeadcountEnrolmentsLow32[[#This Row],[Education &amp; Care]]*SUM(L$76:L$77))*L$70)*'Source-fte_qualstus_x_servtype'!J34,5)</f>
        <v>2900</v>
      </c>
      <c r="O87" s="66">
        <f>MROUND(((CentreBasedHeadcountEnrolmentsLow32[[#This Row],[Kindergarten]]*M$74)*M$68)*'Source-fte_qualstus_x_servtype'!J34,5)</f>
        <v>20</v>
      </c>
      <c r="P87" s="66">
        <f>MROUND(((CentreBasedHeadcountEnrolmentsLow32[[#This Row],[Kindergarten]]*M$75)*M$69)*'Source-fte_qualstus_x_servtype'!J34,5)</f>
        <v>165</v>
      </c>
      <c r="Q87" s="66">
        <f>MROUND(((CentreBasedHeadcountEnrolmentsLow32[[#This Row],[Kindergarten]]*SUM(M$76:M$77))*M$70)*'Source-fte_qualstus_x_servtype'!J34,5)</f>
        <v>765</v>
      </c>
      <c r="R87" s="66">
        <f>MROUND(((CentreBasedHeadcountEnrolmentsLow32[[#This Row],[Kōhanga Reo]]*SUM(N$74))*N$66)*'Source-fte_qualstus_x_servtype'!J34,5)</f>
        <v>120</v>
      </c>
      <c r="S87" s="66">
        <f>MROUND(((CentreBasedHeadcountEnrolmentsLow32[[#This Row],[Kōhanga Reo]]*SUM(N$75:N$77))*N$67)*'Source-fte_qualstus_x_servtype'!J34,5)</f>
        <v>240</v>
      </c>
      <c r="T87" s="66">
        <f>MROUND(((CentreBasedHeadcountEnrolmentsLow32[[#This Row],[Home-based]]*SUM(O$78))*O$67)*'Source-fte_qualstus_x_servtype'!J34,5)</f>
        <v>645</v>
      </c>
      <c r="U87" s="66">
        <f>MROUND(((CentreBasedHeadcountEnrolmentsLow32[[#This Row],[Playcentre]])*P$67)*0.5,5)</f>
        <v>250</v>
      </c>
      <c r="V87" s="66">
        <f t="shared" si="52"/>
        <v>8160</v>
      </c>
      <c r="X87" s="18"/>
      <c r="Y87" s="1">
        <v>2028</v>
      </c>
      <c r="Z87" s="66">
        <f>MROUND(SUM(LowScenarioCentreBasedFTEDemand37[[#This Row],[Education &amp; Care (under 2s)]:[Education &amp; Care (3+)]])*U$62,5)</f>
        <v>3960</v>
      </c>
      <c r="AA87" s="66">
        <f>MROUND(SUM(LowScenarioCentreBasedFTEDemand37[[#This Row],[Kindergarten (Under 2s)]:[Kindergarten (3+)]])*T$61,5)</f>
        <v>950</v>
      </c>
      <c r="AB87" s="66">
        <f>MROUND(SUM(LowScenarioCentreBasedFTEDemand37[[#This Row],[Kōhanga Reo (Under 2s)]:[Kōhanga Reo (2+)]])*U$62,5)</f>
        <v>240</v>
      </c>
      <c r="AC87" s="66">
        <f>MROUND(LowScenarioCentreBasedFTEDemand37[[#This Row],[Home-based]]*U$62,5)</f>
        <v>430</v>
      </c>
      <c r="AD87" s="66">
        <f>MROUND(LowScenarioCentreBasedFTEDemand37[[#This Row],[Playcentre]]*U$62,5)</f>
        <v>165</v>
      </c>
      <c r="AE87" s="66">
        <f t="shared" si="53"/>
        <v>5745</v>
      </c>
      <c r="AH87" s="1">
        <v>2028</v>
      </c>
      <c r="AI87" s="84">
        <f>SUM(LowScenarioCentreBasedFTEDemand37[[#This Row],[Education &amp; Care (under 2s)]:[Education &amp; Care (3+)]])-LowScenarioQualifedFTE41[[#This Row],[Education &amp; Care]]</f>
        <v>1995</v>
      </c>
      <c r="AJ87" s="84">
        <f>SUM(LowScenarioCentreBasedFTEDemand37[[#This Row],[Kindergarten (Under 2s)]:[Kindergarten (3+)]])-LowScenarioQualifedFTE41[[#This Row],[Kindergarten]]</f>
        <v>0</v>
      </c>
      <c r="AK87" s="84">
        <f>SUM(LowScenarioCentreBasedFTEDemand37[[#This Row],[Kōhanga Reo (Under 2s)]:[Kōhanga Reo (2+)]])-LowScenarioQualifedFTE41[[#This Row],[Kōhanga Reo]]</f>
        <v>120</v>
      </c>
      <c r="AL87" s="84">
        <f>LowScenarioCentreBasedFTEDemand37[[#This Row],[Home-based]]-LowScenarioQualifedFTE41[[#This Row],[Home-based]]</f>
        <v>215</v>
      </c>
      <c r="AM87" s="84">
        <f>LowScenarioCentreBasedFTEDemand37[[#This Row],[Playcentre]]-LowScenarioQualifedFTE41[[#This Row],[Playcentre]]</f>
        <v>85</v>
      </c>
      <c r="AN87" s="84">
        <f t="shared" si="54"/>
        <v>2415</v>
      </c>
      <c r="AP87" s="1"/>
      <c r="AQ87" s="66"/>
      <c r="AR87" s="66"/>
      <c r="AS87" s="66"/>
      <c r="AT87" s="66"/>
      <c r="AU87" s="66"/>
      <c r="AV87" s="66"/>
    </row>
    <row r="88" spans="1:48" hidden="1" outlineLevel="1">
      <c r="B88" s="1">
        <v>2029</v>
      </c>
      <c r="C88" s="83">
        <f>MROUND(('T15'!$Q19*C$75),5)</f>
        <v>36375</v>
      </c>
      <c r="D88" s="83">
        <f>MROUND(('T15'!$Q19*D$75),5)</f>
        <v>7220</v>
      </c>
      <c r="E88" s="83">
        <f>MROUND(('T15'!$Q19*E$75),5)</f>
        <v>2205</v>
      </c>
      <c r="F88" s="83">
        <f>MROUND(('T15'!$Q19*F$75),5)</f>
        <v>2965</v>
      </c>
      <c r="G88" s="83">
        <f>MROUND(('T15'!$Q19*G$75),5)</f>
        <v>2475</v>
      </c>
      <c r="H88" s="66">
        <f t="shared" si="55"/>
        <v>51240</v>
      </c>
      <c r="J88" s="18"/>
      <c r="K88" s="1">
        <v>2029</v>
      </c>
      <c r="L88" s="66">
        <f>MROUND(((CentreBasedHeadcountEnrolmentsLow32[[#This Row],[Education &amp; Care]]*L$74)*L$68)*'Source-fte_qualstus_x_servtype'!J35,5)</f>
        <v>1645</v>
      </c>
      <c r="M88" s="66">
        <f>MROUND(((CentreBasedHeadcountEnrolmentsLow32[[#This Row],[Education &amp; Care]]*L$75)*L$69)*'Source-fte_qualstus_x_servtype'!J35,5)</f>
        <v>1410</v>
      </c>
      <c r="N88" s="66">
        <f>MROUND(((CentreBasedHeadcountEnrolmentsLow32[[#This Row],[Education &amp; Care]]*SUM(L$76:L$77))*L$70)*'Source-fte_qualstus_x_servtype'!J35,5)</f>
        <v>2900</v>
      </c>
      <c r="O88" s="66">
        <f>MROUND(((CentreBasedHeadcountEnrolmentsLow32[[#This Row],[Kindergarten]]*M$74)*M$68)*'Source-fte_qualstus_x_servtype'!J35,5)</f>
        <v>20</v>
      </c>
      <c r="P88" s="66">
        <f>MROUND(((CentreBasedHeadcountEnrolmentsLow32[[#This Row],[Kindergarten]]*M$75)*M$69)*'Source-fte_qualstus_x_servtype'!J35,5)</f>
        <v>165</v>
      </c>
      <c r="Q88" s="66">
        <f>MROUND(((CentreBasedHeadcountEnrolmentsLow32[[#This Row],[Kindergarten]]*SUM(M$76:M$77))*M$70)*'Source-fte_qualstus_x_servtype'!J35,5)</f>
        <v>765</v>
      </c>
      <c r="R88" s="66">
        <f>MROUND(((CentreBasedHeadcountEnrolmentsLow32[[#This Row],[Kōhanga Reo]]*SUM(N$74))*N$66)*'Source-fte_qualstus_x_servtype'!J35,5)</f>
        <v>120</v>
      </c>
      <c r="S88" s="66">
        <f>MROUND(((CentreBasedHeadcountEnrolmentsLow32[[#This Row],[Kōhanga Reo]]*SUM(N$75:N$77))*N$67)*'Source-fte_qualstus_x_servtype'!J35,5)</f>
        <v>240</v>
      </c>
      <c r="T88" s="66">
        <f>MROUND(((CentreBasedHeadcountEnrolmentsLow32[[#This Row],[Home-based]]*SUM(O$78))*O$67)*'Source-fte_qualstus_x_servtype'!J35,5)</f>
        <v>645</v>
      </c>
      <c r="U88" s="66">
        <f>MROUND(((CentreBasedHeadcountEnrolmentsLow32[[#This Row],[Playcentre]])*P$67)*0.5,5)</f>
        <v>250</v>
      </c>
      <c r="V88" s="66">
        <f t="shared" si="52"/>
        <v>8160</v>
      </c>
      <c r="X88" s="18"/>
      <c r="Y88" s="1">
        <v>2029</v>
      </c>
      <c r="Z88" s="66">
        <f>MROUND(SUM(LowScenarioCentreBasedFTEDemand37[[#This Row],[Education &amp; Care (under 2s)]:[Education &amp; Care (3+)]])*U$62,5)</f>
        <v>3960</v>
      </c>
      <c r="AA88" s="66">
        <f>MROUND(SUM(LowScenarioCentreBasedFTEDemand37[[#This Row],[Kindergarten (Under 2s)]:[Kindergarten (3+)]])*T$61,5)</f>
        <v>950</v>
      </c>
      <c r="AB88" s="66">
        <f>MROUND(SUM(LowScenarioCentreBasedFTEDemand37[[#This Row],[Kōhanga Reo (Under 2s)]:[Kōhanga Reo (2+)]])*U$62,5)</f>
        <v>240</v>
      </c>
      <c r="AC88" s="66">
        <f>MROUND(LowScenarioCentreBasedFTEDemand37[[#This Row],[Home-based]]*U$62,5)</f>
        <v>430</v>
      </c>
      <c r="AD88" s="66">
        <f>MROUND(LowScenarioCentreBasedFTEDemand37[[#This Row],[Playcentre]]*U$62,5)</f>
        <v>165</v>
      </c>
      <c r="AE88" s="66">
        <f t="shared" si="53"/>
        <v>5745</v>
      </c>
      <c r="AH88" s="1">
        <v>2029</v>
      </c>
      <c r="AI88" s="84">
        <f>SUM(LowScenarioCentreBasedFTEDemand37[[#This Row],[Education &amp; Care (under 2s)]:[Education &amp; Care (3+)]])-LowScenarioQualifedFTE41[[#This Row],[Education &amp; Care]]</f>
        <v>1995</v>
      </c>
      <c r="AJ88" s="84">
        <f>SUM(LowScenarioCentreBasedFTEDemand37[[#This Row],[Kindergarten (Under 2s)]:[Kindergarten (3+)]])-LowScenarioQualifedFTE41[[#This Row],[Kindergarten]]</f>
        <v>0</v>
      </c>
      <c r="AK88" s="84">
        <f>SUM(LowScenarioCentreBasedFTEDemand37[[#This Row],[Kōhanga Reo (Under 2s)]:[Kōhanga Reo (2+)]])-LowScenarioQualifedFTE41[[#This Row],[Kōhanga Reo]]</f>
        <v>120</v>
      </c>
      <c r="AL88" s="84">
        <f>LowScenarioCentreBasedFTEDemand37[[#This Row],[Home-based]]-LowScenarioQualifedFTE41[[#This Row],[Home-based]]</f>
        <v>215</v>
      </c>
      <c r="AM88" s="84">
        <f>LowScenarioCentreBasedFTEDemand37[[#This Row],[Playcentre]]-LowScenarioQualifedFTE41[[#This Row],[Playcentre]]</f>
        <v>85</v>
      </c>
      <c r="AN88" s="84">
        <f t="shared" si="54"/>
        <v>2415</v>
      </c>
      <c r="AP88" s="1"/>
      <c r="AQ88" s="66"/>
      <c r="AR88" s="66"/>
      <c r="AS88" s="66"/>
      <c r="AT88" s="66"/>
      <c r="AU88" s="66"/>
      <c r="AV88" s="66"/>
    </row>
    <row r="89" spans="1:48" hidden="1" outlineLevel="1">
      <c r="B89" s="1">
        <v>2030</v>
      </c>
      <c r="C89" s="83">
        <f>MROUND(('T15'!$Q20*C$75),5)</f>
        <v>36120</v>
      </c>
      <c r="D89" s="83">
        <f>MROUND(('T15'!$Q20*D$75),5)</f>
        <v>7170</v>
      </c>
      <c r="E89" s="83">
        <f>MROUND(('T15'!$Q20*E$75),5)</f>
        <v>2190</v>
      </c>
      <c r="F89" s="83">
        <f>MROUND(('T15'!$Q20*F$75),5)</f>
        <v>2945</v>
      </c>
      <c r="G89" s="83">
        <f>MROUND(('T15'!$Q20*G$75),5)</f>
        <v>2455</v>
      </c>
      <c r="H89" s="66">
        <f t="shared" si="55"/>
        <v>50880</v>
      </c>
      <c r="J89" s="18"/>
      <c r="K89" s="1">
        <v>2030</v>
      </c>
      <c r="L89" s="66">
        <f>MROUND(((CentreBasedHeadcountEnrolmentsLow32[[#This Row],[Education &amp; Care]]*L$74)*L$68)*'Source-fte_qualstus_x_servtype'!J36,5)</f>
        <v>1640</v>
      </c>
      <c r="M89" s="66">
        <f>MROUND(((CentreBasedHeadcountEnrolmentsLow32[[#This Row],[Education &amp; Care]]*L$75)*L$69)*'Source-fte_qualstus_x_servtype'!J36,5)</f>
        <v>1405</v>
      </c>
      <c r="N89" s="66">
        <f>MROUND(((CentreBasedHeadcountEnrolmentsLow32[[#This Row],[Education &amp; Care]]*SUM(L$76:L$77))*L$70)*'Source-fte_qualstus_x_servtype'!J36,5)</f>
        <v>2895</v>
      </c>
      <c r="O89" s="66">
        <f>MROUND(((CentreBasedHeadcountEnrolmentsLow32[[#This Row],[Kindergarten]]*M$74)*M$68)*'Source-fte_qualstus_x_servtype'!J36,5)</f>
        <v>20</v>
      </c>
      <c r="P89" s="66">
        <f>MROUND(((CentreBasedHeadcountEnrolmentsLow32[[#This Row],[Kindergarten]]*M$75)*M$69)*'Source-fte_qualstus_x_servtype'!J36,5)</f>
        <v>165</v>
      </c>
      <c r="Q89" s="66">
        <f>MROUND(((CentreBasedHeadcountEnrolmentsLow32[[#This Row],[Kindergarten]]*SUM(M$76:M$77))*M$70)*'Source-fte_qualstus_x_servtype'!J36,5)</f>
        <v>760</v>
      </c>
      <c r="R89" s="66">
        <f>MROUND(((CentreBasedHeadcountEnrolmentsLow32[[#This Row],[Kōhanga Reo]]*SUM(N$74))*N$66)*'Source-fte_qualstus_x_servtype'!J36,5)</f>
        <v>120</v>
      </c>
      <c r="S89" s="66">
        <f>MROUND(((CentreBasedHeadcountEnrolmentsLow32[[#This Row],[Kōhanga Reo]]*SUM(N$75:N$77))*N$67)*'Source-fte_qualstus_x_servtype'!J36,5)</f>
        <v>235</v>
      </c>
      <c r="T89" s="66">
        <f>MROUND(((CentreBasedHeadcountEnrolmentsLow32[[#This Row],[Home-based]]*SUM(O$78))*O$67)*'Source-fte_qualstus_x_servtype'!J36,5)</f>
        <v>640</v>
      </c>
      <c r="U89" s="66">
        <f>MROUND(((CentreBasedHeadcountEnrolmentsLow32[[#This Row],[Playcentre]])*P$67)*0.5,5)</f>
        <v>245</v>
      </c>
      <c r="V89" s="66">
        <f t="shared" si="52"/>
        <v>8125</v>
      </c>
      <c r="X89" s="18"/>
      <c r="Y89" s="1">
        <v>2030</v>
      </c>
      <c r="Z89" s="66">
        <f>MROUND(SUM(LowScenarioCentreBasedFTEDemand37[[#This Row],[Education &amp; Care (under 2s)]:[Education &amp; Care (3+)]])*U$62,5)</f>
        <v>3950</v>
      </c>
      <c r="AA89" s="66">
        <f>MROUND(SUM(LowScenarioCentreBasedFTEDemand37[[#This Row],[Kindergarten (Under 2s)]:[Kindergarten (3+)]])*T$61,5)</f>
        <v>945</v>
      </c>
      <c r="AB89" s="66">
        <f>MROUND(SUM(LowScenarioCentreBasedFTEDemand37[[#This Row],[Kōhanga Reo (Under 2s)]:[Kōhanga Reo (2+)]])*U$62,5)</f>
        <v>235</v>
      </c>
      <c r="AC89" s="66">
        <f>MROUND(LowScenarioCentreBasedFTEDemand37[[#This Row],[Home-based]]*U$62,5)</f>
        <v>425</v>
      </c>
      <c r="AD89" s="66">
        <f>MROUND(LowScenarioCentreBasedFTEDemand37[[#This Row],[Playcentre]]*U$62,5)</f>
        <v>165</v>
      </c>
      <c r="AE89" s="66">
        <f t="shared" si="53"/>
        <v>5720</v>
      </c>
      <c r="AH89" s="1">
        <v>2030</v>
      </c>
      <c r="AI89" s="84">
        <f>SUM(LowScenarioCentreBasedFTEDemand37[[#This Row],[Education &amp; Care (under 2s)]:[Education &amp; Care (3+)]])-LowScenarioQualifedFTE41[[#This Row],[Education &amp; Care]]</f>
        <v>1990</v>
      </c>
      <c r="AJ89" s="84">
        <f>SUM(LowScenarioCentreBasedFTEDemand37[[#This Row],[Kindergarten (Under 2s)]:[Kindergarten (3+)]])-LowScenarioQualifedFTE41[[#This Row],[Kindergarten]]</f>
        <v>0</v>
      </c>
      <c r="AK89" s="84">
        <f>SUM(LowScenarioCentreBasedFTEDemand37[[#This Row],[Kōhanga Reo (Under 2s)]:[Kōhanga Reo (2+)]])-LowScenarioQualifedFTE41[[#This Row],[Kōhanga Reo]]</f>
        <v>120</v>
      </c>
      <c r="AL89" s="84">
        <f>LowScenarioCentreBasedFTEDemand37[[#This Row],[Home-based]]-LowScenarioQualifedFTE41[[#This Row],[Home-based]]</f>
        <v>215</v>
      </c>
      <c r="AM89" s="84">
        <f>LowScenarioCentreBasedFTEDemand37[[#This Row],[Playcentre]]-LowScenarioQualifedFTE41[[#This Row],[Playcentre]]</f>
        <v>80</v>
      </c>
      <c r="AN89" s="84">
        <f t="shared" si="54"/>
        <v>2405</v>
      </c>
      <c r="AP89" s="1"/>
      <c r="AQ89" s="66"/>
      <c r="AR89" s="66"/>
      <c r="AS89" s="66"/>
      <c r="AT89" s="66"/>
      <c r="AU89" s="66"/>
      <c r="AV89" s="66"/>
    </row>
    <row r="90" spans="1:48" hidden="1" outlineLevel="1">
      <c r="B90" s="1">
        <v>2031</v>
      </c>
      <c r="C90" s="83">
        <f>MROUND(('T15'!$Q21*C$75),5)</f>
        <v>35870</v>
      </c>
      <c r="D90" s="83">
        <f>MROUND(('T15'!$Q21*D$75),5)</f>
        <v>7120</v>
      </c>
      <c r="E90" s="83">
        <f>MROUND(('T15'!$Q21*E$75),5)</f>
        <v>2175</v>
      </c>
      <c r="F90" s="83">
        <f>MROUND(('T15'!$Q21*F$75),5)</f>
        <v>2925</v>
      </c>
      <c r="G90" s="83">
        <f>MROUND(('T15'!$Q21*G$75),5)</f>
        <v>2440</v>
      </c>
      <c r="H90" s="66">
        <f t="shared" si="55"/>
        <v>50530</v>
      </c>
      <c r="J90" s="18"/>
      <c r="K90" s="1">
        <v>2031</v>
      </c>
      <c r="L90" s="66">
        <f>MROUND(((CentreBasedHeadcountEnrolmentsLow32[[#This Row],[Education &amp; Care]]*L$74)*L$68)*'Source-fte_qualstus_x_servtype'!J37,5)</f>
        <v>1635</v>
      </c>
      <c r="M90" s="66">
        <f>MROUND(((CentreBasedHeadcountEnrolmentsLow32[[#This Row],[Education &amp; Care]]*L$75)*L$69)*'Source-fte_qualstus_x_servtype'!J37,5)</f>
        <v>1400</v>
      </c>
      <c r="N90" s="66">
        <f>MROUND(((CentreBasedHeadcountEnrolmentsLow32[[#This Row],[Education &amp; Care]]*SUM(L$76:L$77))*L$70)*'Source-fte_qualstus_x_servtype'!J37,5)</f>
        <v>2885</v>
      </c>
      <c r="O90" s="66">
        <f>MROUND(((CentreBasedHeadcountEnrolmentsLow32[[#This Row],[Kindergarten]]*M$74)*M$68)*'Source-fte_qualstus_x_servtype'!J37,5)</f>
        <v>20</v>
      </c>
      <c r="P90" s="66">
        <f>MROUND(((CentreBasedHeadcountEnrolmentsLow32[[#This Row],[Kindergarten]]*M$75)*M$69)*'Source-fte_qualstus_x_servtype'!J37,5)</f>
        <v>165</v>
      </c>
      <c r="Q90" s="66">
        <f>MROUND(((CentreBasedHeadcountEnrolmentsLow32[[#This Row],[Kindergarten]]*SUM(M$76:M$77))*M$70)*'Source-fte_qualstus_x_servtype'!J37,5)</f>
        <v>760</v>
      </c>
      <c r="R90" s="66">
        <f>MROUND(((CentreBasedHeadcountEnrolmentsLow32[[#This Row],[Kōhanga Reo]]*SUM(N$74))*N$66)*'Source-fte_qualstus_x_servtype'!J37,5)</f>
        <v>120</v>
      </c>
      <c r="S90" s="66">
        <f>MROUND(((CentreBasedHeadcountEnrolmentsLow32[[#This Row],[Kōhanga Reo]]*SUM(N$75:N$77))*N$67)*'Source-fte_qualstus_x_servtype'!J37,5)</f>
        <v>235</v>
      </c>
      <c r="T90" s="66">
        <f>MROUND(((CentreBasedHeadcountEnrolmentsLow32[[#This Row],[Home-based]]*SUM(O$78))*O$67)*'Source-fte_qualstus_x_servtype'!J37,5)</f>
        <v>640</v>
      </c>
      <c r="U90" s="66">
        <f>MROUND(((CentreBasedHeadcountEnrolmentsLow32[[#This Row],[Playcentre]])*P$67)*0.5,5)</f>
        <v>245</v>
      </c>
      <c r="V90" s="66">
        <f t="shared" si="52"/>
        <v>8105</v>
      </c>
      <c r="X90" s="18"/>
      <c r="Y90" s="1">
        <v>2031</v>
      </c>
      <c r="Z90" s="66">
        <f>MROUND(SUM(LowScenarioCentreBasedFTEDemand37[[#This Row],[Education &amp; Care (under 2s)]:[Education &amp; Care (3+)]])*U$62,5)</f>
        <v>3940</v>
      </c>
      <c r="AA90" s="66">
        <f>MROUND(SUM(LowScenarioCentreBasedFTEDemand37[[#This Row],[Kindergarten (Under 2s)]:[Kindergarten (3+)]])*T$61,5)</f>
        <v>945</v>
      </c>
      <c r="AB90" s="66">
        <f>MROUND(SUM(LowScenarioCentreBasedFTEDemand37[[#This Row],[Kōhanga Reo (Under 2s)]:[Kōhanga Reo (2+)]])*U$62,5)</f>
        <v>235</v>
      </c>
      <c r="AC90" s="66">
        <f>MROUND(LowScenarioCentreBasedFTEDemand37[[#This Row],[Home-based]]*U$62,5)</f>
        <v>425</v>
      </c>
      <c r="AD90" s="66">
        <f>MROUND(LowScenarioCentreBasedFTEDemand37[[#This Row],[Playcentre]]*U$62,5)</f>
        <v>165</v>
      </c>
      <c r="AE90" s="66">
        <f t="shared" si="53"/>
        <v>5710</v>
      </c>
      <c r="AH90" s="1">
        <v>2031</v>
      </c>
      <c r="AI90" s="84">
        <f>SUM(LowScenarioCentreBasedFTEDemand37[[#This Row],[Education &amp; Care (under 2s)]:[Education &amp; Care (3+)]])-LowScenarioQualifedFTE41[[#This Row],[Education &amp; Care]]</f>
        <v>1980</v>
      </c>
      <c r="AJ90" s="84">
        <f>SUM(LowScenarioCentreBasedFTEDemand37[[#This Row],[Kindergarten (Under 2s)]:[Kindergarten (3+)]])-LowScenarioQualifedFTE41[[#This Row],[Kindergarten]]</f>
        <v>0</v>
      </c>
      <c r="AK90" s="84">
        <f>SUM(LowScenarioCentreBasedFTEDemand37[[#This Row],[Kōhanga Reo (Under 2s)]:[Kōhanga Reo (2+)]])-LowScenarioQualifedFTE41[[#This Row],[Kōhanga Reo]]</f>
        <v>120</v>
      </c>
      <c r="AL90" s="84">
        <f>LowScenarioCentreBasedFTEDemand37[[#This Row],[Home-based]]-LowScenarioQualifedFTE41[[#This Row],[Home-based]]</f>
        <v>215</v>
      </c>
      <c r="AM90" s="84">
        <f>LowScenarioCentreBasedFTEDemand37[[#This Row],[Playcentre]]-LowScenarioQualifedFTE41[[#This Row],[Playcentre]]</f>
        <v>80</v>
      </c>
      <c r="AN90" s="84">
        <f t="shared" si="54"/>
        <v>2395</v>
      </c>
      <c r="AP90" s="1"/>
      <c r="AQ90" s="66"/>
      <c r="AR90" s="66"/>
      <c r="AS90" s="66"/>
      <c r="AT90" s="66"/>
      <c r="AU90" s="66"/>
      <c r="AV90" s="66"/>
    </row>
    <row r="91" spans="1:48" hidden="1" outlineLevel="1">
      <c r="B91" s="1">
        <v>2032</v>
      </c>
      <c r="C91" s="83">
        <f>MROUND(('T15'!$Q22*C$75),5)</f>
        <v>35630</v>
      </c>
      <c r="D91" s="83">
        <f>MROUND(('T15'!$Q22*D$75),5)</f>
        <v>7070</v>
      </c>
      <c r="E91" s="83">
        <f>MROUND(('T15'!$Q22*E$75),5)</f>
        <v>2160</v>
      </c>
      <c r="F91" s="83">
        <f>MROUND(('T15'!$Q22*F$75),5)</f>
        <v>2905</v>
      </c>
      <c r="G91" s="83">
        <f>MROUND(('T15'!$Q22*G$75),5)</f>
        <v>2425</v>
      </c>
      <c r="H91" s="66">
        <f t="shared" si="55"/>
        <v>50190</v>
      </c>
      <c r="J91" s="18"/>
      <c r="K91" s="1">
        <v>2032</v>
      </c>
      <c r="L91" s="66">
        <f>MROUND(((CentreBasedHeadcountEnrolmentsLow32[[#This Row],[Education &amp; Care]]*L$74)*L$68)*'Source-fte_qualstus_x_servtype'!J38,5)</f>
        <v>1635</v>
      </c>
      <c r="M91" s="66">
        <f>MROUND(((CentreBasedHeadcountEnrolmentsLow32[[#This Row],[Education &amp; Care]]*L$75)*L$69)*'Source-fte_qualstus_x_servtype'!J38,5)</f>
        <v>1395</v>
      </c>
      <c r="N91" s="66">
        <f>MROUND(((CentreBasedHeadcountEnrolmentsLow32[[#This Row],[Education &amp; Care]]*SUM(L$76:L$77))*L$70)*'Source-fte_qualstus_x_servtype'!J38,5)</f>
        <v>2880</v>
      </c>
      <c r="O91" s="66">
        <f>MROUND(((CentreBasedHeadcountEnrolmentsLow32[[#This Row],[Kindergarten]]*M$74)*M$68)*'Source-fte_qualstus_x_servtype'!J38,5)</f>
        <v>15</v>
      </c>
      <c r="P91" s="66">
        <f>MROUND(((CentreBasedHeadcountEnrolmentsLow32[[#This Row],[Kindergarten]]*M$75)*M$69)*'Source-fte_qualstus_x_servtype'!J38,5)</f>
        <v>160</v>
      </c>
      <c r="Q91" s="66">
        <f>MROUND(((CentreBasedHeadcountEnrolmentsLow32[[#This Row],[Kindergarten]]*SUM(M$76:M$77))*M$70)*'Source-fte_qualstus_x_servtype'!J38,5)</f>
        <v>755</v>
      </c>
      <c r="R91" s="66">
        <f>MROUND(((CentreBasedHeadcountEnrolmentsLow32[[#This Row],[Kōhanga Reo]]*SUM(N$74))*N$66)*'Source-fte_qualstus_x_servtype'!J38,5)</f>
        <v>120</v>
      </c>
      <c r="S91" s="66">
        <f>MROUND(((CentreBasedHeadcountEnrolmentsLow32[[#This Row],[Kōhanga Reo]]*SUM(N$75:N$77))*N$67)*'Source-fte_qualstus_x_servtype'!J38,5)</f>
        <v>235</v>
      </c>
      <c r="T91" s="66">
        <f>MROUND(((CentreBasedHeadcountEnrolmentsLow32[[#This Row],[Home-based]]*SUM(O$78))*O$67)*'Source-fte_qualstus_x_servtype'!J38,5)</f>
        <v>640</v>
      </c>
      <c r="U91" s="66">
        <f>MROUND(((CentreBasedHeadcountEnrolmentsLow32[[#This Row],[Playcentre]])*P$67)*0.5,5)</f>
        <v>245</v>
      </c>
      <c r="V91" s="66">
        <f t="shared" si="52"/>
        <v>8080</v>
      </c>
      <c r="X91" s="18"/>
      <c r="Y91" s="1">
        <v>2032</v>
      </c>
      <c r="Z91" s="66">
        <f>MROUND(SUM(LowScenarioCentreBasedFTEDemand37[[#This Row],[Education &amp; Care (under 2s)]:[Education &amp; Care (3+)]])*U$62,5)</f>
        <v>3930</v>
      </c>
      <c r="AA91" s="66">
        <f>MROUND(SUM(LowScenarioCentreBasedFTEDemand37[[#This Row],[Kindergarten (Under 2s)]:[Kindergarten (3+)]])*T$61,5)</f>
        <v>930</v>
      </c>
      <c r="AB91" s="66">
        <f>MROUND(SUM(LowScenarioCentreBasedFTEDemand37[[#This Row],[Kōhanga Reo (Under 2s)]:[Kōhanga Reo (2+)]])*U$62,5)</f>
        <v>235</v>
      </c>
      <c r="AC91" s="66">
        <f>MROUND(LowScenarioCentreBasedFTEDemand37[[#This Row],[Home-based]]*U$62,5)</f>
        <v>425</v>
      </c>
      <c r="AD91" s="66">
        <f>MROUND(LowScenarioCentreBasedFTEDemand37[[#This Row],[Playcentre]]*U$62,5)</f>
        <v>165</v>
      </c>
      <c r="AE91" s="66">
        <f t="shared" si="53"/>
        <v>5685</v>
      </c>
      <c r="AH91" s="1">
        <v>2032</v>
      </c>
      <c r="AI91" s="84">
        <f>SUM(LowScenarioCentreBasedFTEDemand37[[#This Row],[Education &amp; Care (under 2s)]:[Education &amp; Care (3+)]])-LowScenarioQualifedFTE41[[#This Row],[Education &amp; Care]]</f>
        <v>1980</v>
      </c>
      <c r="AJ91" s="84">
        <f>SUM(LowScenarioCentreBasedFTEDemand37[[#This Row],[Kindergarten (Under 2s)]:[Kindergarten (3+)]])-LowScenarioQualifedFTE41[[#This Row],[Kindergarten]]</f>
        <v>0</v>
      </c>
      <c r="AK91" s="84">
        <f>SUM(LowScenarioCentreBasedFTEDemand37[[#This Row],[Kōhanga Reo (Under 2s)]:[Kōhanga Reo (2+)]])-LowScenarioQualifedFTE41[[#This Row],[Kōhanga Reo]]</f>
        <v>120</v>
      </c>
      <c r="AL91" s="84">
        <f>LowScenarioCentreBasedFTEDemand37[[#This Row],[Home-based]]-LowScenarioQualifedFTE41[[#This Row],[Home-based]]</f>
        <v>215</v>
      </c>
      <c r="AM91" s="84">
        <f>LowScenarioCentreBasedFTEDemand37[[#This Row],[Playcentre]]-LowScenarioQualifedFTE41[[#This Row],[Playcentre]]</f>
        <v>80</v>
      </c>
      <c r="AN91" s="84">
        <f t="shared" si="54"/>
        <v>2395</v>
      </c>
      <c r="AP91" s="1"/>
      <c r="AQ91" s="66"/>
      <c r="AR91" s="66"/>
      <c r="AS91" s="66"/>
      <c r="AT91" s="66"/>
      <c r="AU91" s="66"/>
      <c r="AV91" s="66"/>
    </row>
    <row r="92" spans="1:48" hidden="1" outlineLevel="1">
      <c r="B92" s="1">
        <v>2033</v>
      </c>
      <c r="C92" s="83">
        <f>MROUND(('T15'!$Q23*C$75),5)</f>
        <v>35425</v>
      </c>
      <c r="D92" s="83">
        <f>MROUND(('T15'!$Q23*D$75),5)</f>
        <v>7030</v>
      </c>
      <c r="E92" s="83">
        <f>MROUND(('T15'!$Q23*E$75),5)</f>
        <v>2145</v>
      </c>
      <c r="F92" s="83">
        <f>MROUND(('T15'!$Q23*F$75),5)</f>
        <v>2890</v>
      </c>
      <c r="G92" s="83">
        <f>MROUND(('T15'!$Q23*G$75),5)</f>
        <v>2410</v>
      </c>
      <c r="H92" s="66">
        <f t="shared" si="55"/>
        <v>49900</v>
      </c>
      <c r="J92" s="18"/>
      <c r="K92" s="1">
        <v>2033</v>
      </c>
      <c r="L92" s="66">
        <f>MROUND(((CentreBasedHeadcountEnrolmentsLow32[[#This Row],[Education &amp; Care]]*L$74)*L$68)*'Source-fte_qualstus_x_servtype'!J39,5)</f>
        <v>1630</v>
      </c>
      <c r="M92" s="66">
        <f>MROUND(((CentreBasedHeadcountEnrolmentsLow32[[#This Row],[Education &amp; Care]]*L$75)*L$69)*'Source-fte_qualstus_x_servtype'!J39,5)</f>
        <v>1395</v>
      </c>
      <c r="N92" s="66">
        <f>MROUND(((CentreBasedHeadcountEnrolmentsLow32[[#This Row],[Education &amp; Care]]*SUM(L$76:L$77))*L$70)*'Source-fte_qualstus_x_servtype'!J39,5)</f>
        <v>2875</v>
      </c>
      <c r="O92" s="66">
        <f>MROUND(((CentreBasedHeadcountEnrolmentsLow32[[#This Row],[Kindergarten]]*M$74)*M$68)*'Source-fte_qualstus_x_servtype'!J39,5)</f>
        <v>15</v>
      </c>
      <c r="P92" s="66">
        <f>MROUND(((CentreBasedHeadcountEnrolmentsLow32[[#This Row],[Kindergarten]]*M$75)*M$69)*'Source-fte_qualstus_x_servtype'!J39,5)</f>
        <v>160</v>
      </c>
      <c r="Q92" s="66">
        <f>MROUND(((CentreBasedHeadcountEnrolmentsLow32[[#This Row],[Kindergarten]]*SUM(M$76:M$77))*M$70)*'Source-fte_qualstus_x_servtype'!J39,5)</f>
        <v>755</v>
      </c>
      <c r="R92" s="66">
        <f>MROUND(((CentreBasedHeadcountEnrolmentsLow32[[#This Row],[Kōhanga Reo]]*SUM(N$74))*N$66)*'Source-fte_qualstus_x_servtype'!J39,5)</f>
        <v>120</v>
      </c>
      <c r="S92" s="66">
        <f>MROUND(((CentreBasedHeadcountEnrolmentsLow32[[#This Row],[Kōhanga Reo]]*SUM(N$75:N$77))*N$67)*'Source-fte_qualstus_x_servtype'!J39,5)</f>
        <v>235</v>
      </c>
      <c r="T92" s="66">
        <f>MROUND(((CentreBasedHeadcountEnrolmentsLow32[[#This Row],[Home-based]]*SUM(O$78))*O$67)*'Source-fte_qualstus_x_servtype'!J39,5)</f>
        <v>635</v>
      </c>
      <c r="U92" s="66">
        <f>MROUND(((CentreBasedHeadcountEnrolmentsLow32[[#This Row],[Playcentre]])*P$67)*0.5,5)</f>
        <v>240</v>
      </c>
      <c r="V92" s="66">
        <f t="shared" si="52"/>
        <v>8060</v>
      </c>
      <c r="X92" s="18"/>
      <c r="Y92" s="1">
        <v>2033</v>
      </c>
      <c r="Z92" s="66">
        <f>MROUND(SUM(LowScenarioCentreBasedFTEDemand37[[#This Row],[Education &amp; Care (under 2s)]:[Education &amp; Care (3+)]])*U$62,5)</f>
        <v>3925</v>
      </c>
      <c r="AA92" s="66">
        <f>MROUND(SUM(LowScenarioCentreBasedFTEDemand37[[#This Row],[Kindergarten (Under 2s)]:[Kindergarten (3+)]])*T$61,5)</f>
        <v>930</v>
      </c>
      <c r="AB92" s="66">
        <f>MROUND(SUM(LowScenarioCentreBasedFTEDemand37[[#This Row],[Kōhanga Reo (Under 2s)]:[Kōhanga Reo (2+)]])*U$62,5)</f>
        <v>235</v>
      </c>
      <c r="AC92" s="66">
        <f>MROUND(LowScenarioCentreBasedFTEDemand37[[#This Row],[Home-based]]*U$62,5)</f>
        <v>420</v>
      </c>
      <c r="AD92" s="66">
        <f>MROUND(LowScenarioCentreBasedFTEDemand37[[#This Row],[Playcentre]]*U$62,5)</f>
        <v>160</v>
      </c>
      <c r="AE92" s="66">
        <f t="shared" si="53"/>
        <v>5670</v>
      </c>
      <c r="AH92" s="1">
        <v>2033</v>
      </c>
      <c r="AI92" s="84">
        <f>SUM(LowScenarioCentreBasedFTEDemand37[[#This Row],[Education &amp; Care (under 2s)]:[Education &amp; Care (3+)]])-LowScenarioQualifedFTE41[[#This Row],[Education &amp; Care]]</f>
        <v>1975</v>
      </c>
      <c r="AJ92" s="84">
        <f>SUM(LowScenarioCentreBasedFTEDemand37[[#This Row],[Kindergarten (Under 2s)]:[Kindergarten (3+)]])-LowScenarioQualifedFTE41[[#This Row],[Kindergarten]]</f>
        <v>0</v>
      </c>
      <c r="AK92" s="84">
        <f>SUM(LowScenarioCentreBasedFTEDemand37[[#This Row],[Kōhanga Reo (Under 2s)]:[Kōhanga Reo (2+)]])-LowScenarioQualifedFTE41[[#This Row],[Kōhanga Reo]]</f>
        <v>120</v>
      </c>
      <c r="AL92" s="84">
        <f>LowScenarioCentreBasedFTEDemand37[[#This Row],[Home-based]]-LowScenarioQualifedFTE41[[#This Row],[Home-based]]</f>
        <v>215</v>
      </c>
      <c r="AM92" s="84">
        <f>LowScenarioCentreBasedFTEDemand37[[#This Row],[Playcentre]]-LowScenarioQualifedFTE41[[#This Row],[Playcentre]]</f>
        <v>80</v>
      </c>
      <c r="AN92" s="84">
        <f t="shared" si="54"/>
        <v>2390</v>
      </c>
      <c r="AP92" s="1"/>
      <c r="AQ92" s="66"/>
      <c r="AR92" s="66"/>
      <c r="AS92" s="66"/>
      <c r="AT92" s="66"/>
      <c r="AU92" s="66"/>
      <c r="AV92" s="66"/>
    </row>
    <row r="93" spans="1:48" hidden="1" outlineLevel="1">
      <c r="B93" s="1">
        <v>2034</v>
      </c>
      <c r="C93" s="83">
        <f>MROUND(('T15'!$Q24*C$75),5)</f>
        <v>35255</v>
      </c>
      <c r="D93" s="83">
        <f>MROUND(('T15'!$Q24*D$75),5)</f>
        <v>6995</v>
      </c>
      <c r="E93" s="83">
        <f>MROUND(('T15'!$Q24*E$75),5)</f>
        <v>2135</v>
      </c>
      <c r="F93" s="83">
        <f>MROUND(('T15'!$Q24*F$75),5)</f>
        <v>2875</v>
      </c>
      <c r="G93" s="83">
        <f>MROUND(('T15'!$Q24*G$75),5)</f>
        <v>2400</v>
      </c>
      <c r="H93" s="66">
        <f t="shared" si="55"/>
        <v>49660</v>
      </c>
      <c r="J93" s="18"/>
      <c r="K93" s="1">
        <v>2034</v>
      </c>
      <c r="L93" s="66">
        <f>MROUND(((CentreBasedHeadcountEnrolmentsLow32[[#This Row],[Education &amp; Care]]*L$74)*L$68)*'Source-fte_qualstus_x_servtype'!J40,5)</f>
        <v>1630</v>
      </c>
      <c r="M93" s="66">
        <f>MROUND(((CentreBasedHeadcountEnrolmentsLow32[[#This Row],[Education &amp; Care]]*L$75)*L$69)*'Source-fte_qualstus_x_servtype'!J40,5)</f>
        <v>1395</v>
      </c>
      <c r="N93" s="66">
        <f>MROUND(((CentreBasedHeadcountEnrolmentsLow32[[#This Row],[Education &amp; Care]]*SUM(L$76:L$77))*L$70)*'Source-fte_qualstus_x_servtype'!J40,5)</f>
        <v>2875</v>
      </c>
      <c r="O93" s="66">
        <f>MROUND(((CentreBasedHeadcountEnrolmentsLow32[[#This Row],[Kindergarten]]*M$74)*M$68)*'Source-fte_qualstus_x_servtype'!J40,5)</f>
        <v>15</v>
      </c>
      <c r="P93" s="66">
        <f>MROUND(((CentreBasedHeadcountEnrolmentsLow32[[#This Row],[Kindergarten]]*M$75)*M$69)*'Source-fte_qualstus_x_servtype'!J40,5)</f>
        <v>160</v>
      </c>
      <c r="Q93" s="66">
        <f>MROUND(((CentreBasedHeadcountEnrolmentsLow32[[#This Row],[Kindergarten]]*SUM(M$76:M$77))*M$70)*'Source-fte_qualstus_x_servtype'!J40,5)</f>
        <v>755</v>
      </c>
      <c r="R93" s="66">
        <f>MROUND(((CentreBasedHeadcountEnrolmentsLow32[[#This Row],[Kōhanga Reo]]*SUM(N$74))*N$66)*'Source-fte_qualstus_x_servtype'!J40,5)</f>
        <v>120</v>
      </c>
      <c r="S93" s="66">
        <f>MROUND(((CentreBasedHeadcountEnrolmentsLow32[[#This Row],[Kōhanga Reo]]*SUM(N$75:N$77))*N$67)*'Source-fte_qualstus_x_servtype'!J40,5)</f>
        <v>235</v>
      </c>
      <c r="T93" s="66">
        <f>MROUND(((CentreBasedHeadcountEnrolmentsLow32[[#This Row],[Home-based]]*SUM(O$78))*O$67)*'Source-fte_qualstus_x_servtype'!J40,5)</f>
        <v>635</v>
      </c>
      <c r="U93" s="66">
        <f>MROUND(((CentreBasedHeadcountEnrolmentsLow32[[#This Row],[Playcentre]])*P$67)*0.5,5)</f>
        <v>240</v>
      </c>
      <c r="V93" s="66">
        <f t="shared" si="52"/>
        <v>8060</v>
      </c>
      <c r="X93" s="18"/>
      <c r="Y93" s="1">
        <v>2034</v>
      </c>
      <c r="Z93" s="66">
        <f>MROUND(SUM(LowScenarioCentreBasedFTEDemand37[[#This Row],[Education &amp; Care (under 2s)]:[Education &amp; Care (3+)]])*U$62,5)</f>
        <v>3925</v>
      </c>
      <c r="AA93" s="66">
        <f>MROUND(SUM(LowScenarioCentreBasedFTEDemand37[[#This Row],[Kindergarten (Under 2s)]:[Kindergarten (3+)]])*T$61,5)</f>
        <v>930</v>
      </c>
      <c r="AB93" s="66">
        <f>MROUND(SUM(LowScenarioCentreBasedFTEDemand37[[#This Row],[Kōhanga Reo (Under 2s)]:[Kōhanga Reo (2+)]])*U$62,5)</f>
        <v>235</v>
      </c>
      <c r="AC93" s="66">
        <f>MROUND(LowScenarioCentreBasedFTEDemand37[[#This Row],[Home-based]]*U$62,5)</f>
        <v>420</v>
      </c>
      <c r="AD93" s="66">
        <f>MROUND(LowScenarioCentreBasedFTEDemand37[[#This Row],[Playcentre]]*U$62,5)</f>
        <v>160</v>
      </c>
      <c r="AE93" s="66">
        <f t="shared" si="53"/>
        <v>5670</v>
      </c>
      <c r="AH93" s="1">
        <v>2034</v>
      </c>
      <c r="AI93" s="84">
        <f>SUM(LowScenarioCentreBasedFTEDemand37[[#This Row],[Education &amp; Care (under 2s)]:[Education &amp; Care (3+)]])-LowScenarioQualifedFTE41[[#This Row],[Education &amp; Care]]</f>
        <v>1975</v>
      </c>
      <c r="AJ93" s="84">
        <f>SUM(LowScenarioCentreBasedFTEDemand37[[#This Row],[Kindergarten (Under 2s)]:[Kindergarten (3+)]])-LowScenarioQualifedFTE41[[#This Row],[Kindergarten]]</f>
        <v>0</v>
      </c>
      <c r="AK93" s="84">
        <f>SUM(LowScenarioCentreBasedFTEDemand37[[#This Row],[Kōhanga Reo (Under 2s)]:[Kōhanga Reo (2+)]])-LowScenarioQualifedFTE41[[#This Row],[Kōhanga Reo]]</f>
        <v>120</v>
      </c>
      <c r="AL93" s="84">
        <f>LowScenarioCentreBasedFTEDemand37[[#This Row],[Home-based]]-LowScenarioQualifedFTE41[[#This Row],[Home-based]]</f>
        <v>215</v>
      </c>
      <c r="AM93" s="84">
        <f>LowScenarioCentreBasedFTEDemand37[[#This Row],[Playcentre]]-LowScenarioQualifedFTE41[[#This Row],[Playcentre]]</f>
        <v>80</v>
      </c>
      <c r="AN93" s="84">
        <f t="shared" si="54"/>
        <v>2390</v>
      </c>
      <c r="AP93" s="1"/>
      <c r="AQ93" s="66"/>
      <c r="AR93" s="66"/>
      <c r="AS93" s="66"/>
      <c r="AT93" s="66"/>
      <c r="AU93" s="66"/>
      <c r="AV93" s="66"/>
    </row>
    <row r="94" spans="1:48" hidden="1" outlineLevel="1">
      <c r="B94" s="1">
        <v>2035</v>
      </c>
      <c r="C94" s="83">
        <f>MROUND(('T15'!$Q25*C$75),5)</f>
        <v>35145</v>
      </c>
      <c r="D94" s="83">
        <f>MROUND(('T15'!$Q25*D$75),5)</f>
        <v>6975</v>
      </c>
      <c r="E94" s="83">
        <f>MROUND(('T15'!$Q25*E$75),5)</f>
        <v>2130</v>
      </c>
      <c r="F94" s="83">
        <f>MROUND(('T15'!$Q25*F$75),5)</f>
        <v>2865</v>
      </c>
      <c r="G94" s="83">
        <f>MROUND(('T15'!$Q25*G$75),5)</f>
        <v>2390</v>
      </c>
      <c r="H94" s="66">
        <f t="shared" si="55"/>
        <v>49505</v>
      </c>
      <c r="J94" s="18"/>
      <c r="K94" s="1">
        <v>2035</v>
      </c>
      <c r="L94" s="66">
        <f>MROUND(((CentreBasedHeadcountEnrolmentsLow32[[#This Row],[Education &amp; Care]]*L$74)*L$68)*'Source-fte_qualstus_x_servtype'!J41,5)</f>
        <v>1630</v>
      </c>
      <c r="M94" s="66">
        <f>MROUND(((CentreBasedHeadcountEnrolmentsLow32[[#This Row],[Education &amp; Care]]*L$75)*L$69)*'Source-fte_qualstus_x_servtype'!J41,5)</f>
        <v>1395</v>
      </c>
      <c r="N94" s="66">
        <f>MROUND(((CentreBasedHeadcountEnrolmentsLow32[[#This Row],[Education &amp; Care]]*SUM(L$76:L$77))*L$70)*'Source-fte_qualstus_x_servtype'!J41,5)</f>
        <v>2875</v>
      </c>
      <c r="O94" s="66">
        <f>MROUND(((CentreBasedHeadcountEnrolmentsLow32[[#This Row],[Kindergarten]]*M$74)*M$68)*'Source-fte_qualstus_x_servtype'!J41,5)</f>
        <v>15</v>
      </c>
      <c r="P94" s="66">
        <f>MROUND(((CentreBasedHeadcountEnrolmentsLow32[[#This Row],[Kindergarten]]*M$75)*M$69)*'Source-fte_qualstus_x_servtype'!J41,5)</f>
        <v>160</v>
      </c>
      <c r="Q94" s="66">
        <f>MROUND(((CentreBasedHeadcountEnrolmentsLow32[[#This Row],[Kindergarten]]*SUM(M$76:M$77))*M$70)*'Source-fte_qualstus_x_servtype'!J41,5)</f>
        <v>755</v>
      </c>
      <c r="R94" s="66">
        <f>MROUND(((CentreBasedHeadcountEnrolmentsLow32[[#This Row],[Kōhanga Reo]]*SUM(N$74))*N$66)*'Source-fte_qualstus_x_servtype'!J41,5)</f>
        <v>120</v>
      </c>
      <c r="S94" s="66">
        <f>MROUND(((CentreBasedHeadcountEnrolmentsLow32[[#This Row],[Kōhanga Reo]]*SUM(N$75:N$77))*N$67)*'Source-fte_qualstus_x_servtype'!J41,5)</f>
        <v>235</v>
      </c>
      <c r="T94" s="66">
        <f>MROUND(((CentreBasedHeadcountEnrolmentsLow32[[#This Row],[Home-based]]*SUM(O$78))*O$67)*'Source-fte_qualstus_x_servtype'!J41,5)</f>
        <v>635</v>
      </c>
      <c r="U94" s="66">
        <f>MROUND(((CentreBasedHeadcountEnrolmentsLow32[[#This Row],[Playcentre]])*P$67)*0.5,5)</f>
        <v>240</v>
      </c>
      <c r="V94" s="66">
        <f t="shared" si="52"/>
        <v>8060</v>
      </c>
      <c r="X94" s="18"/>
      <c r="Y94" s="1">
        <v>2035</v>
      </c>
      <c r="Z94" s="66">
        <f>MROUND(SUM(LowScenarioCentreBasedFTEDemand37[[#This Row],[Education &amp; Care (under 2s)]:[Education &amp; Care (3+)]])*U$62,5)</f>
        <v>3925</v>
      </c>
      <c r="AA94" s="66">
        <f>MROUND(SUM(LowScenarioCentreBasedFTEDemand37[[#This Row],[Kindergarten (Under 2s)]:[Kindergarten (3+)]])*T$61,5)</f>
        <v>930</v>
      </c>
      <c r="AB94" s="66">
        <f>MROUND(SUM(LowScenarioCentreBasedFTEDemand37[[#This Row],[Kōhanga Reo (Under 2s)]:[Kōhanga Reo (2+)]])*U$62,5)</f>
        <v>235</v>
      </c>
      <c r="AC94" s="66">
        <f>MROUND(LowScenarioCentreBasedFTEDemand37[[#This Row],[Home-based]]*U$62,5)</f>
        <v>420</v>
      </c>
      <c r="AD94" s="66">
        <f>MROUND(LowScenarioCentreBasedFTEDemand37[[#This Row],[Playcentre]]*U$62,5)</f>
        <v>160</v>
      </c>
      <c r="AE94" s="66">
        <f t="shared" si="53"/>
        <v>5670</v>
      </c>
      <c r="AH94" s="1">
        <v>2035</v>
      </c>
      <c r="AI94" s="84">
        <f>SUM(LowScenarioCentreBasedFTEDemand37[[#This Row],[Education &amp; Care (under 2s)]:[Education &amp; Care (3+)]])-LowScenarioQualifedFTE41[[#This Row],[Education &amp; Care]]</f>
        <v>1975</v>
      </c>
      <c r="AJ94" s="84">
        <f>SUM(LowScenarioCentreBasedFTEDemand37[[#This Row],[Kindergarten (Under 2s)]:[Kindergarten (3+)]])-LowScenarioQualifedFTE41[[#This Row],[Kindergarten]]</f>
        <v>0</v>
      </c>
      <c r="AK94" s="84">
        <f>SUM(LowScenarioCentreBasedFTEDemand37[[#This Row],[Kōhanga Reo (Under 2s)]:[Kōhanga Reo (2+)]])-LowScenarioQualifedFTE41[[#This Row],[Kōhanga Reo]]</f>
        <v>120</v>
      </c>
      <c r="AL94" s="84">
        <f>LowScenarioCentreBasedFTEDemand37[[#This Row],[Home-based]]-LowScenarioQualifedFTE41[[#This Row],[Home-based]]</f>
        <v>215</v>
      </c>
      <c r="AM94" s="84">
        <f>LowScenarioCentreBasedFTEDemand37[[#This Row],[Playcentre]]-LowScenarioQualifedFTE41[[#This Row],[Playcentre]]</f>
        <v>80</v>
      </c>
      <c r="AN94" s="84">
        <f t="shared" si="54"/>
        <v>2390</v>
      </c>
      <c r="AP94" s="1"/>
      <c r="AQ94" s="66"/>
      <c r="AR94" s="66"/>
      <c r="AS94" s="66"/>
      <c r="AT94" s="66"/>
      <c r="AU94" s="66"/>
      <c r="AV94" s="66"/>
    </row>
    <row r="95" spans="1:48" collapsed="1">
      <c r="C95" s="82"/>
      <c r="D95" s="82"/>
      <c r="E95" s="82"/>
      <c r="F95" s="82"/>
      <c r="G95" s="82"/>
      <c r="H95" s="82"/>
      <c r="J95" s="18"/>
      <c r="X95" s="18"/>
    </row>
    <row r="96" spans="1:48">
      <c r="A96" s="106" t="s">
        <v>371</v>
      </c>
      <c r="B96" s="20"/>
      <c r="C96" s="107"/>
      <c r="D96" s="107"/>
      <c r="E96" s="107"/>
      <c r="F96" s="107"/>
      <c r="G96" s="107"/>
      <c r="H96" s="107"/>
      <c r="I96" s="20"/>
      <c r="J96" s="109" t="s">
        <v>372</v>
      </c>
      <c r="K96" s="20"/>
      <c r="L96" s="20"/>
      <c r="M96" s="20"/>
      <c r="N96" s="20"/>
      <c r="O96" s="20"/>
      <c r="P96" s="20"/>
      <c r="Q96" s="20"/>
      <c r="R96" s="20"/>
      <c r="S96" s="20"/>
      <c r="T96" s="20"/>
      <c r="U96" s="20"/>
      <c r="V96" s="20"/>
      <c r="W96" s="106"/>
      <c r="X96" s="109" t="s">
        <v>373</v>
      </c>
      <c r="Y96" s="20"/>
      <c r="Z96" s="20"/>
      <c r="AA96" s="20"/>
      <c r="AB96" s="20"/>
      <c r="AC96" s="20"/>
      <c r="AD96" s="20"/>
      <c r="AE96" s="20"/>
      <c r="AG96" s="6" t="s">
        <v>388</v>
      </c>
    </row>
    <row r="97" spans="1:40" ht="29.1" outlineLevel="1">
      <c r="B97" s="1" t="s">
        <v>229</v>
      </c>
      <c r="C97" s="69" t="s">
        <v>296</v>
      </c>
      <c r="D97" s="69" t="s">
        <v>308</v>
      </c>
      <c r="E97" s="69" t="s">
        <v>302</v>
      </c>
      <c r="F97" s="92" t="s">
        <v>382</v>
      </c>
      <c r="G97" s="69" t="s">
        <v>301</v>
      </c>
      <c r="H97" s="23" t="s">
        <v>236</v>
      </c>
      <c r="J97" s="18"/>
      <c r="K97" s="1" t="s">
        <v>229</v>
      </c>
      <c r="L97" s="15" t="s">
        <v>364</v>
      </c>
      <c r="M97" s="15" t="s">
        <v>365</v>
      </c>
      <c r="N97" s="15" t="s">
        <v>366</v>
      </c>
      <c r="O97" s="15" t="s">
        <v>367</v>
      </c>
      <c r="P97" s="15" t="s">
        <v>368</v>
      </c>
      <c r="Q97" s="15" t="s">
        <v>369</v>
      </c>
      <c r="R97" s="15" t="s">
        <v>386</v>
      </c>
      <c r="S97" s="15" t="s">
        <v>387</v>
      </c>
      <c r="T97" s="96" t="s">
        <v>382</v>
      </c>
      <c r="U97" s="15" t="s">
        <v>301</v>
      </c>
      <c r="V97" s="15" t="s">
        <v>370</v>
      </c>
      <c r="X97" s="18"/>
      <c r="Y97" s="1" t="s">
        <v>229</v>
      </c>
      <c r="Z97" s="15" t="s">
        <v>296</v>
      </c>
      <c r="AA97" s="15" t="s">
        <v>308</v>
      </c>
      <c r="AB97" s="15" t="s">
        <v>302</v>
      </c>
      <c r="AC97" s="96" t="s">
        <v>382</v>
      </c>
      <c r="AD97" s="15" t="s">
        <v>301</v>
      </c>
      <c r="AE97" s="15" t="s">
        <v>370</v>
      </c>
      <c r="AH97" s="1" t="s">
        <v>229</v>
      </c>
      <c r="AI97" s="15" t="s">
        <v>296</v>
      </c>
      <c r="AJ97" s="15" t="s">
        <v>308</v>
      </c>
      <c r="AK97" s="15" t="s">
        <v>302</v>
      </c>
      <c r="AL97" s="96" t="s">
        <v>382</v>
      </c>
      <c r="AM97" s="15" t="s">
        <v>301</v>
      </c>
      <c r="AN97" s="15" t="s">
        <v>370</v>
      </c>
    </row>
    <row r="98" spans="1:40" outlineLevel="1">
      <c r="B98" s="1">
        <v>2025</v>
      </c>
      <c r="C98" s="83">
        <f>MROUND(('T15'!$S15*C$75),5)</f>
        <v>43535</v>
      </c>
      <c r="D98" s="83">
        <f>MROUND(('T15'!$S15*D$75),5)</f>
        <v>8640</v>
      </c>
      <c r="E98" s="83">
        <f>MROUND(('T15'!$S15*E$75),5)</f>
        <v>2640</v>
      </c>
      <c r="F98" s="83">
        <f>MROUND(('T15'!$S15*F$75),5)</f>
        <v>3550</v>
      </c>
      <c r="G98" s="83">
        <f>MROUND(('T15'!$S15*G$75),5)</f>
        <v>2960</v>
      </c>
      <c r="H98" s="66">
        <f>SUM(C98:G98)</f>
        <v>61325</v>
      </c>
      <c r="J98" s="18"/>
      <c r="K98" s="1">
        <v>2025</v>
      </c>
      <c r="L98" s="66">
        <f>MROUND(((CentreBasedHeadcountEnrolmentsMedium33[[#This Row],[Education &amp; Care]]*L$74)*L$68)*'Source-fte_qualstus_x_servtype'!J31,5)</f>
        <v>1935</v>
      </c>
      <c r="M98" s="66">
        <f>MROUND(((CentreBasedHeadcountEnrolmentsMedium33[[#This Row],[Education &amp; Care]]*L$75)*L$69)*'Source-fte_qualstus_x_servtype'!J31,5)</f>
        <v>1655</v>
      </c>
      <c r="N98" s="66">
        <f>MROUND(((CentreBasedHeadcountEnrolmentsMedium33[[#This Row],[Education &amp; Care]]*SUM(L$76:L$77))*L$70)*'Source-fte_qualstus_x_servtype'!J31,5)</f>
        <v>3410</v>
      </c>
      <c r="O98" s="66">
        <f>MROUND(((CentreBasedHeadcountEnrolmentsMedium33[[#This Row],[Kindergarten]]*M$74)*M$68)*'Source-fte_qualstus_x_servtype'!J31,5)</f>
        <v>20</v>
      </c>
      <c r="P98" s="66">
        <f>MROUND(((CentreBasedHeadcountEnrolmentsMedium33[[#This Row],[Kindergarten]]*M$75)*M$69)*'Source-fte_qualstus_x_servtype'!J31,5)</f>
        <v>190</v>
      </c>
      <c r="Q98" s="66">
        <f>MROUND(((CentreBasedHeadcountEnrolmentsMedium33[[#This Row],[Kindergarten]]*SUM(M$76:M$77))*M$70)*'Source-fte_qualstus_x_servtype'!J31,5)</f>
        <v>895</v>
      </c>
      <c r="R98" s="66">
        <f>MROUND(((CentreBasedHeadcountEnrolmentsMedium33[[#This Row],[Kōhanga Reo]]*SUM(N$74))*N$66)*'Source-fte_qualstus_x_servtype'!J31,5)</f>
        <v>145</v>
      </c>
      <c r="S98" s="66">
        <f>MROUND(((CentreBasedHeadcountEnrolmentsMedium33[[#This Row],[Kōhanga Reo]]*SUM(N$75:N$77))*N$67)*'Source-fte_qualstus_x_servtype'!J31,5)</f>
        <v>280</v>
      </c>
      <c r="T98" s="66">
        <f>MROUND(((CentreBasedHeadcountEnrolmentsMedium33[[#This Row],[Home-based]]*SUM(O$78))*O$67)*'Source-fte_qualstus_x_servtype'!J31,5)</f>
        <v>755</v>
      </c>
      <c r="U98" s="66">
        <f>MROUND(((CentreBasedHeadcountEnrolmentsMedium33[[#This Row],[Playcentre]]*SUM(P$78))*P$67)*0.5,5)</f>
        <v>295</v>
      </c>
      <c r="V98" s="66">
        <f>SUM(L98:U98)</f>
        <v>9580</v>
      </c>
      <c r="X98" s="18"/>
      <c r="Y98" s="1">
        <v>2025</v>
      </c>
      <c r="Z98" s="66">
        <f>MROUND(SUM(MediumScenarioCentreBasedFTEDemand38[[#This Row],[Education &amp; Care (under 2s)]:[Education &amp; Care (3+)]])*U$62,5)</f>
        <v>4655</v>
      </c>
      <c r="AA98" s="66">
        <f>MROUND(SUM(MediumScenarioCentreBasedFTEDemand38[[#This Row],[Kindergarten (Under 2s)]:[Kindergarten (3+)]])*T$62,5)</f>
        <v>1105</v>
      </c>
      <c r="AB98" s="66">
        <f>MROUND(SUM(MediumScenarioCentreBasedFTEDemand38[[#This Row],[Kōhanga Reo (Under 2s)]:[Kōhanga Reo (2+)]])*U$62,5)</f>
        <v>285</v>
      </c>
      <c r="AC98" s="66">
        <f>MROUND(MediumScenarioCentreBasedFTEDemand38[[#This Row],[Home-based]]*U$62,5)</f>
        <v>500</v>
      </c>
      <c r="AD98" s="66">
        <f>MROUND(MediumScenarioCentreBasedFTEDemand38[[#This Row],[Playcentre]]*U$62,5)</f>
        <v>195</v>
      </c>
      <c r="AE98" s="66">
        <f>SUM(Z98:AD98)</f>
        <v>6740</v>
      </c>
      <c r="AH98" s="1">
        <v>2025</v>
      </c>
      <c r="AI98" s="84">
        <f>SUM(MediumScenarioCentreBasedFTEDemand38[[#This Row],[Education &amp; Care (under 2s)]:[Education &amp; Care (3+)]])-MediumScenarioQualifiedFTE42[[#This Row],[Education &amp; Care]]</f>
        <v>2345</v>
      </c>
      <c r="AJ98" s="84">
        <f>SUM(MediumScenarioCentreBasedFTEDemand38[[#This Row],[Kindergarten (Under 2s)]:[Kindergarten (3+)]])-MediumScenarioQualifiedFTE42[[#This Row],[Kindergarten]]</f>
        <v>0</v>
      </c>
      <c r="AK98" s="84">
        <f>SUM(MediumScenarioCentreBasedFTEDemand38[[#This Row],[Kōhanga Reo (Under 2s)]:[Kōhanga Reo (2+)]])-MediumScenarioQualifiedFTE42[[#This Row],[Kōhanga Reo]]</f>
        <v>140</v>
      </c>
      <c r="AL98" s="84">
        <f>MediumScenarioCentreBasedFTEDemand38[[#This Row],[Home-based]]-MediumScenarioQualifiedFTE42[[#This Row],[Home-based]]</f>
        <v>255</v>
      </c>
      <c r="AM98" s="84">
        <f>MediumScenarioCentreBasedFTEDemand38[[#This Row],[Playcentre]]-MediumScenarioQualifiedFTE42[[#This Row],[Playcentre]]</f>
        <v>100</v>
      </c>
      <c r="AN98" s="84">
        <f>SUM(AI98:AM98)</f>
        <v>2840</v>
      </c>
    </row>
    <row r="99" spans="1:40" outlineLevel="1">
      <c r="B99" s="1">
        <v>2026</v>
      </c>
      <c r="C99" s="83">
        <f>MROUND(('T15'!$S16*C$75),5)</f>
        <v>42650</v>
      </c>
      <c r="D99" s="83">
        <f>MROUND(('T15'!$S16*D$75),5)</f>
        <v>8465</v>
      </c>
      <c r="E99" s="83">
        <f>MROUND(('T15'!$S16*E$75),5)</f>
        <v>2585</v>
      </c>
      <c r="F99" s="83">
        <f>MROUND(('T15'!$S16*F$75),5)</f>
        <v>3480</v>
      </c>
      <c r="G99" s="83">
        <f>MROUND(('T15'!$S16*G$75),5)</f>
        <v>2900</v>
      </c>
      <c r="H99" s="66">
        <f t="shared" ref="H99:H108" si="56">SUM(C99:G99)</f>
        <v>60080</v>
      </c>
      <c r="J99" s="18"/>
      <c r="K99" s="1">
        <v>2026</v>
      </c>
      <c r="L99" s="66">
        <f>MROUND(((CentreBasedHeadcountEnrolmentsMedium33[[#This Row],[Education &amp; Care]]*L$74)*L$68)*'Source-fte_qualstus_x_servtype'!J32,5)</f>
        <v>1905</v>
      </c>
      <c r="M99" s="66">
        <f>MROUND(((CentreBasedHeadcountEnrolmentsMedium33[[#This Row],[Education &amp; Care]]*L$75)*L$69)*'Source-fte_qualstus_x_servtype'!J32,5)</f>
        <v>1630</v>
      </c>
      <c r="N99" s="66">
        <f>MROUND(((CentreBasedHeadcountEnrolmentsMedium33[[#This Row],[Education &amp; Care]]*SUM(L$76:L$77))*L$70)*'Source-fte_qualstus_x_servtype'!J32,5)</f>
        <v>3355</v>
      </c>
      <c r="O99" s="66">
        <f>MROUND(((CentreBasedHeadcountEnrolmentsMedium33[[#This Row],[Kindergarten]]*M$74)*M$68)*'Source-fte_qualstus_x_servtype'!J32,5)</f>
        <v>20</v>
      </c>
      <c r="P99" s="66">
        <f>MROUND(((CentreBasedHeadcountEnrolmentsMedium33[[#This Row],[Kindergarten]]*M$75)*M$69)*'Source-fte_qualstus_x_servtype'!J32,5)</f>
        <v>190</v>
      </c>
      <c r="Q99" s="66">
        <f>MROUND(((CentreBasedHeadcountEnrolmentsMedium33[[#This Row],[Kindergarten]]*SUM(M$76:M$77))*M$70)*'Source-fte_qualstus_x_servtype'!J32,5)</f>
        <v>885</v>
      </c>
      <c r="R99" s="66">
        <f>MROUND(((CentreBasedHeadcountEnrolmentsMedium33[[#This Row],[Kōhanga Reo]]*SUM(N$74))*N$66)*'Source-fte_qualstus_x_servtype'!J32,5)</f>
        <v>140</v>
      </c>
      <c r="S99" s="66">
        <f>MROUND(((CentreBasedHeadcountEnrolmentsMedium33[[#This Row],[Kōhanga Reo]]*SUM(N$75:N$77))*N$67)*'Source-fte_qualstus_x_servtype'!J32,5)</f>
        <v>275</v>
      </c>
      <c r="T99" s="66">
        <f>MROUND(((CentreBasedHeadcountEnrolmentsMedium33[[#This Row],[Home-based]]*SUM(O$78))*O$67)*'Source-fte_qualstus_x_servtype'!J32,5)</f>
        <v>745</v>
      </c>
      <c r="U99" s="66">
        <f>MROUND(((CentreBasedHeadcountEnrolmentsMedium33[[#This Row],[Playcentre]]*SUM(P$78))*P$67)*0.5,5)</f>
        <v>290</v>
      </c>
      <c r="V99" s="66">
        <f t="shared" ref="V99:V108" si="57">SUM(L99:U99)</f>
        <v>9435</v>
      </c>
      <c r="X99" s="18"/>
      <c r="Y99" s="1">
        <v>2026</v>
      </c>
      <c r="Z99" s="66">
        <f>MROUND(SUM(MediumScenarioCentreBasedFTEDemand38[[#This Row],[Education &amp; Care (under 2s)]:[Education &amp; Care (3+)]])*U$62,5)</f>
        <v>4585</v>
      </c>
      <c r="AA99" s="66">
        <f>MROUND(SUM(MediumScenarioCentreBasedFTEDemand38[[#This Row],[Kindergarten (Under 2s)]:[Kindergarten (3+)]])*T$62,5)</f>
        <v>1095</v>
      </c>
      <c r="AB99" s="66">
        <f>MROUND(SUM(MediumScenarioCentreBasedFTEDemand38[[#This Row],[Kōhanga Reo (Under 2s)]:[Kōhanga Reo (2+)]])*U$62,5)</f>
        <v>275</v>
      </c>
      <c r="AC99" s="66">
        <f>MROUND(MediumScenarioCentreBasedFTEDemand38[[#This Row],[Home-based]]*U$62,5)</f>
        <v>495</v>
      </c>
      <c r="AD99" s="66">
        <f>MROUND(MediumScenarioCentreBasedFTEDemand38[[#This Row],[Playcentre]]*U$62,5)</f>
        <v>195</v>
      </c>
      <c r="AE99" s="66">
        <f t="shared" ref="AE99:AE108" si="58">SUM(Z99:AD99)</f>
        <v>6645</v>
      </c>
      <c r="AH99" s="1">
        <v>2026</v>
      </c>
      <c r="AI99" s="84">
        <f>SUM(MediumScenarioCentreBasedFTEDemand38[[#This Row],[Education &amp; Care (under 2s)]:[Education &amp; Care (3+)]])-MediumScenarioQualifiedFTE42[[#This Row],[Education &amp; Care]]</f>
        <v>2305</v>
      </c>
      <c r="AJ99" s="84">
        <f>SUM(MediumScenarioCentreBasedFTEDemand38[[#This Row],[Kindergarten (Under 2s)]:[Kindergarten (3+)]])-MediumScenarioQualifiedFTE42[[#This Row],[Kindergarten]]</f>
        <v>0</v>
      </c>
      <c r="AK99" s="84">
        <f>SUM(MediumScenarioCentreBasedFTEDemand38[[#This Row],[Kōhanga Reo (Under 2s)]:[Kōhanga Reo (2+)]])-MediumScenarioQualifiedFTE42[[#This Row],[Kōhanga Reo]]</f>
        <v>140</v>
      </c>
      <c r="AL99" s="84">
        <f>MediumScenarioCentreBasedFTEDemand38[[#This Row],[Home-based]]-MediumScenarioQualifiedFTE42[[#This Row],[Home-based]]</f>
        <v>250</v>
      </c>
      <c r="AM99" s="84">
        <f>MediumScenarioCentreBasedFTEDemand38[[#This Row],[Playcentre]]-MediumScenarioQualifiedFTE42[[#This Row],[Playcentre]]</f>
        <v>95</v>
      </c>
      <c r="AN99" s="84">
        <f t="shared" ref="AN99:AN108" si="59">SUM(AI99:AM99)</f>
        <v>2790</v>
      </c>
    </row>
    <row r="100" spans="1:40" outlineLevel="1">
      <c r="B100" s="1">
        <v>2027</v>
      </c>
      <c r="C100" s="83">
        <f>MROUND(('T15'!$S17*C$75),5)</f>
        <v>41895</v>
      </c>
      <c r="D100" s="83">
        <f>MROUND(('T15'!$S17*D$75),5)</f>
        <v>8315</v>
      </c>
      <c r="E100" s="83">
        <f>MROUND(('T15'!$S17*E$75),5)</f>
        <v>2540</v>
      </c>
      <c r="F100" s="83">
        <f>MROUND(('T15'!$S17*F$75),5)</f>
        <v>3415</v>
      </c>
      <c r="G100" s="83">
        <f>MROUND(('T15'!$S17*G$75),5)</f>
        <v>2850</v>
      </c>
      <c r="H100" s="66">
        <f t="shared" si="56"/>
        <v>59015</v>
      </c>
      <c r="J100" s="18"/>
      <c r="K100" s="1">
        <v>2027</v>
      </c>
      <c r="L100" s="66">
        <f>MROUND(((CentreBasedHeadcountEnrolmentsMedium33[[#This Row],[Education &amp; Care]]*L$74)*L$68)*'Source-fte_qualstus_x_servtype'!J33,5)</f>
        <v>1880</v>
      </c>
      <c r="M100" s="66">
        <f>MROUND(((CentreBasedHeadcountEnrolmentsMedium33[[#This Row],[Education &amp; Care]]*L$75)*L$69)*'Source-fte_qualstus_x_servtype'!J33,5)</f>
        <v>1605</v>
      </c>
      <c r="N100" s="66">
        <f>MROUND(((CentreBasedHeadcountEnrolmentsMedium33[[#This Row],[Education &amp; Care]]*SUM(L$76:L$77))*L$70)*'Source-fte_qualstus_x_servtype'!J33,5)</f>
        <v>3310</v>
      </c>
      <c r="O100" s="66">
        <f>MROUND(((CentreBasedHeadcountEnrolmentsMedium33[[#This Row],[Kindergarten]]*M$74)*M$68)*'Source-fte_qualstus_x_servtype'!J33,5)</f>
        <v>20</v>
      </c>
      <c r="P100" s="66">
        <f>MROUND(((CentreBasedHeadcountEnrolmentsMedium33[[#This Row],[Kindergarten]]*M$75)*M$69)*'Source-fte_qualstus_x_servtype'!J33,5)</f>
        <v>185</v>
      </c>
      <c r="Q100" s="66">
        <f>MROUND(((CentreBasedHeadcountEnrolmentsMedium33[[#This Row],[Kindergarten]]*SUM(M$76:M$77))*M$70)*'Source-fte_qualstus_x_servtype'!J33,5)</f>
        <v>870</v>
      </c>
      <c r="R100" s="66">
        <f>MROUND(((CentreBasedHeadcountEnrolmentsMedium33[[#This Row],[Kōhanga Reo]]*SUM(N$74))*N$66)*'Source-fte_qualstus_x_servtype'!J33,5)</f>
        <v>140</v>
      </c>
      <c r="S100" s="66">
        <f>MROUND(((CentreBasedHeadcountEnrolmentsMedium33[[#This Row],[Kōhanga Reo]]*SUM(N$75:N$77))*N$67)*'Source-fte_qualstus_x_servtype'!J33,5)</f>
        <v>270</v>
      </c>
      <c r="T100" s="66">
        <f>MROUND(((CentreBasedHeadcountEnrolmentsMedium33[[#This Row],[Home-based]]*SUM(O$78))*O$67)*'Source-fte_qualstus_x_servtype'!J33,5)</f>
        <v>735</v>
      </c>
      <c r="U100" s="66">
        <f>MROUND(((CentreBasedHeadcountEnrolmentsMedium33[[#This Row],[Playcentre]]*SUM(P$78))*P$67)*0.5,5)</f>
        <v>285</v>
      </c>
      <c r="V100" s="66">
        <f t="shared" si="57"/>
        <v>9300</v>
      </c>
      <c r="X100" s="18"/>
      <c r="Y100" s="1">
        <v>2027</v>
      </c>
      <c r="Z100" s="66">
        <f>MROUND(SUM(MediumScenarioCentreBasedFTEDemand38[[#This Row],[Education &amp; Care (under 2s)]:[Education &amp; Care (3+)]])*U$62,5)</f>
        <v>4520</v>
      </c>
      <c r="AA100" s="66">
        <f>MROUND(SUM(MediumScenarioCentreBasedFTEDemand38[[#This Row],[Kindergarten (Under 2s)]:[Kindergarten (3+)]])*T$62,5)</f>
        <v>1075</v>
      </c>
      <c r="AB100" s="66">
        <f>MROUND(SUM(MediumScenarioCentreBasedFTEDemand38[[#This Row],[Kōhanga Reo (Under 2s)]:[Kōhanga Reo (2+)]])*U$62,5)</f>
        <v>275</v>
      </c>
      <c r="AC100" s="66">
        <f>MROUND(MediumScenarioCentreBasedFTEDemand38[[#This Row],[Home-based]]*U$62,5)</f>
        <v>490</v>
      </c>
      <c r="AD100" s="66">
        <f>MROUND(MediumScenarioCentreBasedFTEDemand38[[#This Row],[Playcentre]]*U$62,5)</f>
        <v>190</v>
      </c>
      <c r="AE100" s="66">
        <f t="shared" si="58"/>
        <v>6550</v>
      </c>
      <c r="AH100" s="1">
        <v>2027</v>
      </c>
      <c r="AI100" s="84">
        <f>SUM(MediumScenarioCentreBasedFTEDemand38[[#This Row],[Education &amp; Care (under 2s)]:[Education &amp; Care (3+)]])-MediumScenarioQualifiedFTE42[[#This Row],[Education &amp; Care]]</f>
        <v>2275</v>
      </c>
      <c r="AJ100" s="84">
        <f>SUM(MediumScenarioCentreBasedFTEDemand38[[#This Row],[Kindergarten (Under 2s)]:[Kindergarten (3+)]])-MediumScenarioQualifiedFTE42[[#This Row],[Kindergarten]]</f>
        <v>0</v>
      </c>
      <c r="AK100" s="84">
        <f>SUM(MediumScenarioCentreBasedFTEDemand38[[#This Row],[Kōhanga Reo (Under 2s)]:[Kōhanga Reo (2+)]])-MediumScenarioQualifiedFTE42[[#This Row],[Kōhanga Reo]]</f>
        <v>135</v>
      </c>
      <c r="AL100" s="84">
        <f>MediumScenarioCentreBasedFTEDemand38[[#This Row],[Home-based]]-MediumScenarioQualifiedFTE42[[#This Row],[Home-based]]</f>
        <v>245</v>
      </c>
      <c r="AM100" s="84">
        <f>MediumScenarioCentreBasedFTEDemand38[[#This Row],[Playcentre]]-MediumScenarioQualifiedFTE42[[#This Row],[Playcentre]]</f>
        <v>95</v>
      </c>
      <c r="AN100" s="84">
        <f t="shared" si="59"/>
        <v>2750</v>
      </c>
    </row>
    <row r="101" spans="1:40" outlineLevel="1">
      <c r="B101" s="1">
        <v>2028</v>
      </c>
      <c r="C101" s="83">
        <f>MROUND(('T15'!$S18*C$75),5)</f>
        <v>42130</v>
      </c>
      <c r="D101" s="83">
        <f>MROUND(('T15'!$S18*D$75),5)</f>
        <v>8360</v>
      </c>
      <c r="E101" s="83">
        <f>MROUND(('T15'!$S18*E$75),5)</f>
        <v>2555</v>
      </c>
      <c r="F101" s="83">
        <f>MROUND(('T15'!$S18*F$75),5)</f>
        <v>3435</v>
      </c>
      <c r="G101" s="83">
        <f>MROUND(('T15'!$S18*G$75),5)</f>
        <v>2865</v>
      </c>
      <c r="H101" s="66">
        <f t="shared" si="56"/>
        <v>59345</v>
      </c>
      <c r="J101" s="18"/>
      <c r="K101" s="1">
        <v>2028</v>
      </c>
      <c r="L101" s="66">
        <f>MROUND(((CentreBasedHeadcountEnrolmentsMedium33[[#This Row],[Education &amp; Care]]*L$74)*L$68)*'Source-fte_qualstus_x_servtype'!J34,5)</f>
        <v>1900</v>
      </c>
      <c r="M101" s="66">
        <f>MROUND(((CentreBasedHeadcountEnrolmentsMedium33[[#This Row],[Education &amp; Care]]*L$75)*L$69)*'Source-fte_qualstus_x_servtype'!J34,5)</f>
        <v>1625</v>
      </c>
      <c r="N101" s="66">
        <f>MROUND(((CentreBasedHeadcountEnrolmentsMedium33[[#This Row],[Education &amp; Care]]*SUM(L$76:L$77))*L$70)*'Source-fte_qualstus_x_servtype'!J34,5)</f>
        <v>3345</v>
      </c>
      <c r="O101" s="66">
        <f>MROUND(((CentreBasedHeadcountEnrolmentsMedium33[[#This Row],[Kindergarten]]*M$74)*M$68)*'Source-fte_qualstus_x_servtype'!J34,5)</f>
        <v>20</v>
      </c>
      <c r="P101" s="66">
        <f>MROUND(((CentreBasedHeadcountEnrolmentsMedium33[[#This Row],[Kindergarten]]*M$75)*M$69)*'Source-fte_qualstus_x_servtype'!J34,5)</f>
        <v>190</v>
      </c>
      <c r="Q101" s="66">
        <f>MROUND(((CentreBasedHeadcountEnrolmentsMedium33[[#This Row],[Kindergarten]]*SUM(M$76:M$77))*M$70)*'Source-fte_qualstus_x_servtype'!J34,5)</f>
        <v>880</v>
      </c>
      <c r="R101" s="66">
        <f>MROUND(((CentreBasedHeadcountEnrolmentsMedium33[[#This Row],[Kōhanga Reo]]*SUM(N$74))*N$66)*'Source-fte_qualstus_x_servtype'!J34,5)</f>
        <v>140</v>
      </c>
      <c r="S101" s="66">
        <f>MROUND(((CentreBasedHeadcountEnrolmentsMedium33[[#This Row],[Kōhanga Reo]]*SUM(N$75:N$77))*N$67)*'Source-fte_qualstus_x_servtype'!J34,5)</f>
        <v>275</v>
      </c>
      <c r="T101" s="66">
        <f>MROUND(((CentreBasedHeadcountEnrolmentsMedium33[[#This Row],[Home-based]]*SUM(O$78))*O$67)*'Source-fte_qualstus_x_servtype'!J34,5)</f>
        <v>740</v>
      </c>
      <c r="U101" s="66">
        <f>MROUND(((CentreBasedHeadcountEnrolmentsMedium33[[#This Row],[Playcentre]]*SUM(P$78))*P$67)*0.5,5)</f>
        <v>285</v>
      </c>
      <c r="V101" s="66">
        <f t="shared" si="57"/>
        <v>9400</v>
      </c>
      <c r="X101" s="18"/>
      <c r="Y101" s="1">
        <v>2028</v>
      </c>
      <c r="Z101" s="66">
        <f>MROUND(SUM(MediumScenarioCentreBasedFTEDemand38[[#This Row],[Education &amp; Care (under 2s)]:[Education &amp; Care (3+)]])*U$62,5)</f>
        <v>4570</v>
      </c>
      <c r="AA101" s="66">
        <f>MROUND(SUM(MediumScenarioCentreBasedFTEDemand38[[#This Row],[Kindergarten (Under 2s)]:[Kindergarten (3+)]])*T$62,5)</f>
        <v>1090</v>
      </c>
      <c r="AB101" s="66">
        <f>MROUND(SUM(MediumScenarioCentreBasedFTEDemand38[[#This Row],[Kōhanga Reo (Under 2s)]:[Kōhanga Reo (2+)]])*U$62,5)</f>
        <v>275</v>
      </c>
      <c r="AC101" s="66">
        <f>MROUND(MediumScenarioCentreBasedFTEDemand38[[#This Row],[Home-based]]*U$62,5)</f>
        <v>490</v>
      </c>
      <c r="AD101" s="66">
        <f>MROUND(MediumScenarioCentreBasedFTEDemand38[[#This Row],[Playcentre]]*U$62,5)</f>
        <v>190</v>
      </c>
      <c r="AE101" s="66">
        <f t="shared" si="58"/>
        <v>6615</v>
      </c>
      <c r="AH101" s="1">
        <v>2028</v>
      </c>
      <c r="AI101" s="84">
        <f>SUM(MediumScenarioCentreBasedFTEDemand38[[#This Row],[Education &amp; Care (under 2s)]:[Education &amp; Care (3+)]])-MediumScenarioQualifiedFTE42[[#This Row],[Education &amp; Care]]</f>
        <v>2300</v>
      </c>
      <c r="AJ101" s="84">
        <f>SUM(MediumScenarioCentreBasedFTEDemand38[[#This Row],[Kindergarten (Under 2s)]:[Kindergarten (3+)]])-MediumScenarioQualifiedFTE42[[#This Row],[Kindergarten]]</f>
        <v>0</v>
      </c>
      <c r="AK101" s="84">
        <f>SUM(MediumScenarioCentreBasedFTEDemand38[[#This Row],[Kōhanga Reo (Under 2s)]:[Kōhanga Reo (2+)]])-MediumScenarioQualifiedFTE42[[#This Row],[Kōhanga Reo]]</f>
        <v>140</v>
      </c>
      <c r="AL101" s="84">
        <f>MediumScenarioCentreBasedFTEDemand38[[#This Row],[Home-based]]-MediumScenarioQualifiedFTE42[[#This Row],[Home-based]]</f>
        <v>250</v>
      </c>
      <c r="AM101" s="84">
        <f>MediumScenarioCentreBasedFTEDemand38[[#This Row],[Playcentre]]-MediumScenarioQualifiedFTE42[[#This Row],[Playcentre]]</f>
        <v>95</v>
      </c>
      <c r="AN101" s="84">
        <f t="shared" si="59"/>
        <v>2785</v>
      </c>
    </row>
    <row r="102" spans="1:40" outlineLevel="1">
      <c r="B102" s="1">
        <v>2029</v>
      </c>
      <c r="C102" s="83">
        <f>MROUND(('T15'!$S19*C$75),5)</f>
        <v>42405</v>
      </c>
      <c r="D102" s="83">
        <f>MROUND(('T15'!$S19*D$75),5)</f>
        <v>8415</v>
      </c>
      <c r="E102" s="83">
        <f>MROUND(('T15'!$S19*E$75),5)</f>
        <v>2570</v>
      </c>
      <c r="F102" s="83">
        <f>MROUND(('T15'!$S19*F$75),5)</f>
        <v>3460</v>
      </c>
      <c r="G102" s="83">
        <f>MROUND(('T15'!$S19*G$75),5)</f>
        <v>2885</v>
      </c>
      <c r="H102" s="66">
        <f t="shared" si="56"/>
        <v>59735</v>
      </c>
      <c r="J102" s="18"/>
      <c r="K102" s="1">
        <v>2029</v>
      </c>
      <c r="L102" s="66">
        <f>MROUND(((CentreBasedHeadcountEnrolmentsMedium33[[#This Row],[Education &amp; Care]]*L$74)*L$68)*'Source-fte_qualstus_x_servtype'!J35,5)</f>
        <v>1920</v>
      </c>
      <c r="M102" s="66">
        <f>MROUND(((CentreBasedHeadcountEnrolmentsMedium33[[#This Row],[Education &amp; Care]]*L$75)*L$69)*'Source-fte_qualstus_x_servtype'!J35,5)</f>
        <v>1640</v>
      </c>
      <c r="N102" s="66">
        <f>MROUND(((CentreBasedHeadcountEnrolmentsMedium33[[#This Row],[Education &amp; Care]]*SUM(L$76:L$77))*L$70)*'Source-fte_qualstus_x_servtype'!J35,5)</f>
        <v>3380</v>
      </c>
      <c r="O102" s="66">
        <f>MROUND(((CentreBasedHeadcountEnrolmentsMedium33[[#This Row],[Kindergarten]]*M$74)*M$68)*'Source-fte_qualstus_x_servtype'!J35,5)</f>
        <v>20</v>
      </c>
      <c r="P102" s="66">
        <f>MROUND(((CentreBasedHeadcountEnrolmentsMedium33[[#This Row],[Kindergarten]]*M$75)*M$69)*'Source-fte_qualstus_x_servtype'!J35,5)</f>
        <v>190</v>
      </c>
      <c r="Q102" s="66">
        <f>MROUND(((CentreBasedHeadcountEnrolmentsMedium33[[#This Row],[Kindergarten]]*SUM(M$76:M$77))*M$70)*'Source-fte_qualstus_x_servtype'!J35,5)</f>
        <v>890</v>
      </c>
      <c r="R102" s="66">
        <f>MROUND(((CentreBasedHeadcountEnrolmentsMedium33[[#This Row],[Kōhanga Reo]]*SUM(N$74))*N$66)*'Source-fte_qualstus_x_servtype'!J35,5)</f>
        <v>140</v>
      </c>
      <c r="S102" s="66">
        <f>MROUND(((CentreBasedHeadcountEnrolmentsMedium33[[#This Row],[Kōhanga Reo]]*SUM(N$75:N$77))*N$67)*'Source-fte_qualstus_x_servtype'!J35,5)</f>
        <v>275</v>
      </c>
      <c r="T102" s="66">
        <f>MROUND(((CentreBasedHeadcountEnrolmentsMedium33[[#This Row],[Home-based]]*SUM(O$78))*O$67)*'Source-fte_qualstus_x_servtype'!J35,5)</f>
        <v>750</v>
      </c>
      <c r="U102" s="66">
        <f>MROUND(((CentreBasedHeadcountEnrolmentsMedium33[[#This Row],[Playcentre]]*SUM(P$78))*P$67)*0.5,5)</f>
        <v>290</v>
      </c>
      <c r="V102" s="66">
        <f t="shared" si="57"/>
        <v>9495</v>
      </c>
      <c r="X102" s="18"/>
      <c r="Y102" s="1">
        <v>2029</v>
      </c>
      <c r="Z102" s="66">
        <f>MROUND(SUM(MediumScenarioCentreBasedFTEDemand38[[#This Row],[Education &amp; Care (under 2s)]:[Education &amp; Care (3+)]])*U$62,5)</f>
        <v>4615</v>
      </c>
      <c r="AA102" s="66">
        <f>MROUND(SUM(MediumScenarioCentreBasedFTEDemand38[[#This Row],[Kindergarten (Under 2s)]:[Kindergarten (3+)]])*T$62,5)</f>
        <v>1100</v>
      </c>
      <c r="AB102" s="66">
        <f>MROUND(SUM(MediumScenarioCentreBasedFTEDemand38[[#This Row],[Kōhanga Reo (Under 2s)]:[Kōhanga Reo (2+)]])*U$62,5)</f>
        <v>275</v>
      </c>
      <c r="AC102" s="66">
        <f>MROUND(MediumScenarioCentreBasedFTEDemand38[[#This Row],[Home-based]]*U$62,5)</f>
        <v>500</v>
      </c>
      <c r="AD102" s="66">
        <f>MROUND(MediumScenarioCentreBasedFTEDemand38[[#This Row],[Playcentre]]*U$62,5)</f>
        <v>195</v>
      </c>
      <c r="AE102" s="66">
        <f t="shared" si="58"/>
        <v>6685</v>
      </c>
      <c r="AH102" s="1">
        <v>2029</v>
      </c>
      <c r="AI102" s="84">
        <f>SUM(MediumScenarioCentreBasedFTEDemand38[[#This Row],[Education &amp; Care (under 2s)]:[Education &amp; Care (3+)]])-MediumScenarioQualifiedFTE42[[#This Row],[Education &amp; Care]]</f>
        <v>2325</v>
      </c>
      <c r="AJ102" s="84">
        <f>SUM(MediumScenarioCentreBasedFTEDemand38[[#This Row],[Kindergarten (Under 2s)]:[Kindergarten (3+)]])-MediumScenarioQualifiedFTE42[[#This Row],[Kindergarten]]</f>
        <v>0</v>
      </c>
      <c r="AK102" s="84">
        <f>SUM(MediumScenarioCentreBasedFTEDemand38[[#This Row],[Kōhanga Reo (Under 2s)]:[Kōhanga Reo (2+)]])-MediumScenarioQualifiedFTE42[[#This Row],[Kōhanga Reo]]</f>
        <v>140</v>
      </c>
      <c r="AL102" s="84">
        <f>MediumScenarioCentreBasedFTEDemand38[[#This Row],[Home-based]]-MediumScenarioQualifiedFTE42[[#This Row],[Home-based]]</f>
        <v>250</v>
      </c>
      <c r="AM102" s="84">
        <f>MediumScenarioCentreBasedFTEDemand38[[#This Row],[Playcentre]]-MediumScenarioQualifiedFTE42[[#This Row],[Playcentre]]</f>
        <v>95</v>
      </c>
      <c r="AN102" s="84">
        <f t="shared" si="59"/>
        <v>2810</v>
      </c>
    </row>
    <row r="103" spans="1:40" outlineLevel="1">
      <c r="B103" s="1">
        <v>2030</v>
      </c>
      <c r="C103" s="83">
        <f>MROUND(('T15'!$S20*C$75),5)</f>
        <v>42430</v>
      </c>
      <c r="D103" s="83">
        <f>MROUND(('T15'!$S20*D$75),5)</f>
        <v>8420</v>
      </c>
      <c r="E103" s="83">
        <f>MROUND(('T15'!$S20*E$75),5)</f>
        <v>2570</v>
      </c>
      <c r="F103" s="83">
        <f>MROUND(('T15'!$S20*F$75),5)</f>
        <v>3460</v>
      </c>
      <c r="G103" s="83">
        <f>MROUND(('T15'!$S20*G$75),5)</f>
        <v>2885</v>
      </c>
      <c r="H103" s="66">
        <f t="shared" si="56"/>
        <v>59765</v>
      </c>
      <c r="J103" s="18"/>
      <c r="K103" s="1">
        <v>2030</v>
      </c>
      <c r="L103" s="66">
        <f>MROUND(((CentreBasedHeadcountEnrolmentsMedium33[[#This Row],[Education &amp; Care]]*L$74)*L$68)*'Source-fte_qualstus_x_servtype'!J36,5)</f>
        <v>1930</v>
      </c>
      <c r="M103" s="66">
        <f>MROUND(((CentreBasedHeadcountEnrolmentsMedium33[[#This Row],[Education &amp; Care]]*L$75)*L$69)*'Source-fte_qualstus_x_servtype'!J36,5)</f>
        <v>1650</v>
      </c>
      <c r="N103" s="66">
        <f>MROUND(((CentreBasedHeadcountEnrolmentsMedium33[[#This Row],[Education &amp; Care]]*SUM(L$76:L$77))*L$70)*'Source-fte_qualstus_x_servtype'!J36,5)</f>
        <v>3400</v>
      </c>
      <c r="O103" s="66">
        <f>MROUND(((CentreBasedHeadcountEnrolmentsMedium33[[#This Row],[Kindergarten]]*M$74)*M$68)*'Source-fte_qualstus_x_servtype'!J36,5)</f>
        <v>20</v>
      </c>
      <c r="P103" s="66">
        <f>MROUND(((CentreBasedHeadcountEnrolmentsMedium33[[#This Row],[Kindergarten]]*M$75)*M$69)*'Source-fte_qualstus_x_servtype'!J36,5)</f>
        <v>190</v>
      </c>
      <c r="Q103" s="66">
        <f>MROUND(((CentreBasedHeadcountEnrolmentsMedium33[[#This Row],[Kindergarten]]*SUM(M$76:M$77))*M$70)*'Source-fte_qualstus_x_servtype'!J36,5)</f>
        <v>895</v>
      </c>
      <c r="R103" s="66">
        <f>MROUND(((CentreBasedHeadcountEnrolmentsMedium33[[#This Row],[Kōhanga Reo]]*SUM(N$74))*N$66)*'Source-fte_qualstus_x_servtype'!J36,5)</f>
        <v>140</v>
      </c>
      <c r="S103" s="66">
        <f>MROUND(((CentreBasedHeadcountEnrolmentsMedium33[[#This Row],[Kōhanga Reo]]*SUM(N$75:N$77))*N$67)*'Source-fte_qualstus_x_servtype'!J36,5)</f>
        <v>280</v>
      </c>
      <c r="T103" s="66">
        <f>MROUND(((CentreBasedHeadcountEnrolmentsMedium33[[#This Row],[Home-based]]*SUM(O$78))*O$67)*'Source-fte_qualstus_x_servtype'!J36,5)</f>
        <v>755</v>
      </c>
      <c r="U103" s="66">
        <f>MROUND(((CentreBasedHeadcountEnrolmentsMedium33[[#This Row],[Playcentre]]*SUM(P$78))*P$67)*0.5,5)</f>
        <v>290</v>
      </c>
      <c r="V103" s="66">
        <f t="shared" si="57"/>
        <v>9550</v>
      </c>
      <c r="X103" s="18"/>
      <c r="Y103" s="1">
        <v>2030</v>
      </c>
      <c r="Z103" s="66">
        <f>MROUND(SUM(MediumScenarioCentreBasedFTEDemand38[[#This Row],[Education &amp; Care (under 2s)]:[Education &amp; Care (3+)]])*U$62,5)</f>
        <v>4645</v>
      </c>
      <c r="AA103" s="66">
        <f>MROUND(SUM(MediumScenarioCentreBasedFTEDemand38[[#This Row],[Kindergarten (Under 2s)]:[Kindergarten (3+)]])*T$62,5)</f>
        <v>1105</v>
      </c>
      <c r="AB103" s="66">
        <f>MROUND(SUM(MediumScenarioCentreBasedFTEDemand38[[#This Row],[Kōhanga Reo (Under 2s)]:[Kōhanga Reo (2+)]])*U$62,5)</f>
        <v>280</v>
      </c>
      <c r="AC103" s="66">
        <f>MROUND(MediumScenarioCentreBasedFTEDemand38[[#This Row],[Home-based]]*U$62,5)</f>
        <v>500</v>
      </c>
      <c r="AD103" s="66">
        <f>MROUND(MediumScenarioCentreBasedFTEDemand38[[#This Row],[Playcentre]]*U$62,5)</f>
        <v>195</v>
      </c>
      <c r="AE103" s="66">
        <f t="shared" si="58"/>
        <v>6725</v>
      </c>
      <c r="AH103" s="1">
        <v>2030</v>
      </c>
      <c r="AI103" s="84">
        <f>SUM(MediumScenarioCentreBasedFTEDemand38[[#This Row],[Education &amp; Care (under 2s)]:[Education &amp; Care (3+)]])-MediumScenarioQualifiedFTE42[[#This Row],[Education &amp; Care]]</f>
        <v>2335</v>
      </c>
      <c r="AJ103" s="84">
        <f>SUM(MediumScenarioCentreBasedFTEDemand38[[#This Row],[Kindergarten (Under 2s)]:[Kindergarten (3+)]])-MediumScenarioQualifiedFTE42[[#This Row],[Kindergarten]]</f>
        <v>0</v>
      </c>
      <c r="AK103" s="84">
        <f>SUM(MediumScenarioCentreBasedFTEDemand38[[#This Row],[Kōhanga Reo (Under 2s)]:[Kōhanga Reo (2+)]])-MediumScenarioQualifiedFTE42[[#This Row],[Kōhanga Reo]]</f>
        <v>140</v>
      </c>
      <c r="AL103" s="84">
        <f>MediumScenarioCentreBasedFTEDemand38[[#This Row],[Home-based]]-MediumScenarioQualifiedFTE42[[#This Row],[Home-based]]</f>
        <v>255</v>
      </c>
      <c r="AM103" s="84">
        <f>MediumScenarioCentreBasedFTEDemand38[[#This Row],[Playcentre]]-MediumScenarioQualifiedFTE42[[#This Row],[Playcentre]]</f>
        <v>95</v>
      </c>
      <c r="AN103" s="84">
        <f t="shared" si="59"/>
        <v>2825</v>
      </c>
    </row>
    <row r="104" spans="1:40" outlineLevel="1">
      <c r="B104" s="1">
        <v>2031</v>
      </c>
      <c r="C104" s="83">
        <f>MROUND(('T15'!$S21*C$75),5)</f>
        <v>42440</v>
      </c>
      <c r="D104" s="83">
        <f>MROUND(('T15'!$S21*D$75),5)</f>
        <v>8425</v>
      </c>
      <c r="E104" s="83">
        <f>MROUND(('T15'!$S21*E$75),5)</f>
        <v>2575</v>
      </c>
      <c r="F104" s="83">
        <f>MROUND(('T15'!$S21*F$75),5)</f>
        <v>3460</v>
      </c>
      <c r="G104" s="83">
        <f>MROUND(('T15'!$S21*G$75),5)</f>
        <v>2890</v>
      </c>
      <c r="H104" s="66">
        <f t="shared" si="56"/>
        <v>59790</v>
      </c>
      <c r="J104" s="18"/>
      <c r="K104" s="1">
        <v>2031</v>
      </c>
      <c r="L104" s="66">
        <f>MROUND(((CentreBasedHeadcountEnrolmentsMedium33[[#This Row],[Education &amp; Care]]*L$74)*L$68)*'Source-fte_qualstus_x_servtype'!J37,5)</f>
        <v>1935</v>
      </c>
      <c r="M104" s="66">
        <f>MROUND(((CentreBasedHeadcountEnrolmentsMedium33[[#This Row],[Education &amp; Care]]*L$75)*L$69)*'Source-fte_qualstus_x_servtype'!J37,5)</f>
        <v>1655</v>
      </c>
      <c r="N104" s="66">
        <f>MROUND(((CentreBasedHeadcountEnrolmentsMedium33[[#This Row],[Education &amp; Care]]*SUM(L$76:L$77))*L$70)*'Source-fte_qualstus_x_servtype'!J37,5)</f>
        <v>3415</v>
      </c>
      <c r="O104" s="66">
        <f>MROUND(((CentreBasedHeadcountEnrolmentsMedium33[[#This Row],[Kindergarten]]*M$74)*M$68)*'Source-fte_qualstus_x_servtype'!J37,5)</f>
        <v>20</v>
      </c>
      <c r="P104" s="66">
        <f>MROUND(((CentreBasedHeadcountEnrolmentsMedium33[[#This Row],[Kindergarten]]*M$75)*M$69)*'Source-fte_qualstus_x_servtype'!J37,5)</f>
        <v>195</v>
      </c>
      <c r="Q104" s="66">
        <f>MROUND(((CentreBasedHeadcountEnrolmentsMedium33[[#This Row],[Kindergarten]]*SUM(M$76:M$77))*M$70)*'Source-fte_qualstus_x_servtype'!J37,5)</f>
        <v>900</v>
      </c>
      <c r="R104" s="66">
        <f>MROUND(((CentreBasedHeadcountEnrolmentsMedium33[[#This Row],[Kōhanga Reo]]*SUM(N$74))*N$66)*'Source-fte_qualstus_x_servtype'!J37,5)</f>
        <v>145</v>
      </c>
      <c r="S104" s="66">
        <f>MROUND(((CentreBasedHeadcountEnrolmentsMedium33[[#This Row],[Kōhanga Reo]]*SUM(N$75:N$77))*N$67)*'Source-fte_qualstus_x_servtype'!J37,5)</f>
        <v>280</v>
      </c>
      <c r="T104" s="66">
        <f>MROUND(((CentreBasedHeadcountEnrolmentsMedium33[[#This Row],[Home-based]]*SUM(O$78))*O$67)*'Source-fte_qualstus_x_servtype'!J37,5)</f>
        <v>755</v>
      </c>
      <c r="U104" s="66">
        <f>MROUND(((CentreBasedHeadcountEnrolmentsMedium33[[#This Row],[Playcentre]]*SUM(P$78))*P$67)*0.5,5)</f>
        <v>290</v>
      </c>
      <c r="V104" s="66">
        <f t="shared" si="57"/>
        <v>9590</v>
      </c>
      <c r="X104" s="18"/>
      <c r="Y104" s="1">
        <v>2031</v>
      </c>
      <c r="Z104" s="66">
        <f>MROUND(SUM(MediumScenarioCentreBasedFTEDemand38[[#This Row],[Education &amp; Care (under 2s)]:[Education &amp; Care (3+)]])*U$62,5)</f>
        <v>4660</v>
      </c>
      <c r="AA104" s="66">
        <f>MROUND(SUM(MediumScenarioCentreBasedFTEDemand38[[#This Row],[Kindergarten (Under 2s)]:[Kindergarten (3+)]])*T$62,5)</f>
        <v>1115</v>
      </c>
      <c r="AB104" s="66">
        <f>MROUND(SUM(MediumScenarioCentreBasedFTEDemand38[[#This Row],[Kōhanga Reo (Under 2s)]:[Kōhanga Reo (2+)]])*U$62,5)</f>
        <v>285</v>
      </c>
      <c r="AC104" s="66">
        <f>MROUND(MediumScenarioCentreBasedFTEDemand38[[#This Row],[Home-based]]*U$62,5)</f>
        <v>500</v>
      </c>
      <c r="AD104" s="66">
        <f>MROUND(MediumScenarioCentreBasedFTEDemand38[[#This Row],[Playcentre]]*U$62,5)</f>
        <v>195</v>
      </c>
      <c r="AE104" s="66">
        <f t="shared" si="58"/>
        <v>6755</v>
      </c>
      <c r="AH104" s="1">
        <v>2031</v>
      </c>
      <c r="AI104" s="84">
        <f>SUM(MediumScenarioCentreBasedFTEDemand38[[#This Row],[Education &amp; Care (under 2s)]:[Education &amp; Care (3+)]])-MediumScenarioQualifiedFTE42[[#This Row],[Education &amp; Care]]</f>
        <v>2345</v>
      </c>
      <c r="AJ104" s="84">
        <f>SUM(MediumScenarioCentreBasedFTEDemand38[[#This Row],[Kindergarten (Under 2s)]:[Kindergarten (3+)]])-MediumScenarioQualifiedFTE42[[#This Row],[Kindergarten]]</f>
        <v>0</v>
      </c>
      <c r="AK104" s="84">
        <f>SUM(MediumScenarioCentreBasedFTEDemand38[[#This Row],[Kōhanga Reo (Under 2s)]:[Kōhanga Reo (2+)]])-MediumScenarioQualifiedFTE42[[#This Row],[Kōhanga Reo]]</f>
        <v>140</v>
      </c>
      <c r="AL104" s="84">
        <f>MediumScenarioCentreBasedFTEDemand38[[#This Row],[Home-based]]-MediumScenarioQualifiedFTE42[[#This Row],[Home-based]]</f>
        <v>255</v>
      </c>
      <c r="AM104" s="84">
        <f>MediumScenarioCentreBasedFTEDemand38[[#This Row],[Playcentre]]-MediumScenarioQualifiedFTE42[[#This Row],[Playcentre]]</f>
        <v>95</v>
      </c>
      <c r="AN104" s="84">
        <f t="shared" si="59"/>
        <v>2835</v>
      </c>
    </row>
    <row r="105" spans="1:40" outlineLevel="1">
      <c r="B105" s="1">
        <v>2032</v>
      </c>
      <c r="C105" s="83">
        <f>MROUND(('T15'!$S22*C$75),5)</f>
        <v>42440</v>
      </c>
      <c r="D105" s="83">
        <f>MROUND(('T15'!$S22*D$75),5)</f>
        <v>8425</v>
      </c>
      <c r="E105" s="83">
        <f>MROUND(('T15'!$S22*E$75),5)</f>
        <v>2575</v>
      </c>
      <c r="F105" s="83">
        <f>MROUND(('T15'!$S22*F$75),5)</f>
        <v>3460</v>
      </c>
      <c r="G105" s="83">
        <f>MROUND(('T15'!$S22*G$75),5)</f>
        <v>2890</v>
      </c>
      <c r="H105" s="66">
        <f t="shared" si="56"/>
        <v>59790</v>
      </c>
      <c r="J105" s="18"/>
      <c r="K105" s="1">
        <v>2032</v>
      </c>
      <c r="L105" s="66">
        <f>MROUND(((CentreBasedHeadcountEnrolmentsMedium33[[#This Row],[Education &amp; Care]]*L$74)*L$68)*'Source-fte_qualstus_x_servtype'!J38,5)</f>
        <v>1945</v>
      </c>
      <c r="M105" s="66">
        <f>MROUND(((CentreBasedHeadcountEnrolmentsMedium33[[#This Row],[Education &amp; Care]]*L$75)*L$69)*'Source-fte_qualstus_x_servtype'!J38,5)</f>
        <v>1665</v>
      </c>
      <c r="N105" s="66">
        <f>MROUND(((CentreBasedHeadcountEnrolmentsMedium33[[#This Row],[Education &amp; Care]]*SUM(L$76:L$77))*L$70)*'Source-fte_qualstus_x_servtype'!J38,5)</f>
        <v>3430</v>
      </c>
      <c r="O105" s="66">
        <f>MROUND(((CentreBasedHeadcountEnrolmentsMedium33[[#This Row],[Kindergarten]]*M$74)*M$68)*'Source-fte_qualstus_x_servtype'!J38,5)</f>
        <v>20</v>
      </c>
      <c r="P105" s="66">
        <f>MROUND(((CentreBasedHeadcountEnrolmentsMedium33[[#This Row],[Kindergarten]]*M$75)*M$69)*'Source-fte_qualstus_x_servtype'!J38,5)</f>
        <v>195</v>
      </c>
      <c r="Q105" s="66">
        <f>MROUND(((CentreBasedHeadcountEnrolmentsMedium33[[#This Row],[Kindergarten]]*SUM(M$76:M$77))*M$70)*'Source-fte_qualstus_x_servtype'!J38,5)</f>
        <v>900</v>
      </c>
      <c r="R105" s="66">
        <f>MROUND(((CentreBasedHeadcountEnrolmentsMedium33[[#This Row],[Kōhanga Reo]]*SUM(N$74))*N$66)*'Source-fte_qualstus_x_servtype'!J38,5)</f>
        <v>145</v>
      </c>
      <c r="S105" s="66">
        <f>MROUND(((CentreBasedHeadcountEnrolmentsMedium33[[#This Row],[Kōhanga Reo]]*SUM(N$75:N$77))*N$67)*'Source-fte_qualstus_x_servtype'!J38,5)</f>
        <v>280</v>
      </c>
      <c r="T105" s="66">
        <f>MROUND(((CentreBasedHeadcountEnrolmentsMedium33[[#This Row],[Home-based]]*SUM(O$78))*O$67)*'Source-fte_qualstus_x_servtype'!J38,5)</f>
        <v>760</v>
      </c>
      <c r="U105" s="66">
        <f>MROUND(((CentreBasedHeadcountEnrolmentsMedium33[[#This Row],[Playcentre]]*SUM(P$78))*P$67)*0.5,5)</f>
        <v>290</v>
      </c>
      <c r="V105" s="66">
        <f t="shared" si="57"/>
        <v>9630</v>
      </c>
      <c r="X105" s="18"/>
      <c r="Y105" s="1">
        <v>2032</v>
      </c>
      <c r="Z105" s="66">
        <f>MROUND(SUM(MediumScenarioCentreBasedFTEDemand38[[#This Row],[Education &amp; Care (under 2s)]:[Education &amp; Care (3+)]])*U$62,5)</f>
        <v>4685</v>
      </c>
      <c r="AA105" s="66">
        <f>MROUND(SUM(MediumScenarioCentreBasedFTEDemand38[[#This Row],[Kindergarten (Under 2s)]:[Kindergarten (3+)]])*T$62,5)</f>
        <v>1115</v>
      </c>
      <c r="AB105" s="66">
        <f>MROUND(SUM(MediumScenarioCentreBasedFTEDemand38[[#This Row],[Kōhanga Reo (Under 2s)]:[Kōhanga Reo (2+)]])*U$62,5)</f>
        <v>285</v>
      </c>
      <c r="AC105" s="66">
        <f>MROUND(MediumScenarioCentreBasedFTEDemand38[[#This Row],[Home-based]]*U$62,5)</f>
        <v>505</v>
      </c>
      <c r="AD105" s="66">
        <f>MROUND(MediumScenarioCentreBasedFTEDemand38[[#This Row],[Playcentre]]*U$62,5)</f>
        <v>195</v>
      </c>
      <c r="AE105" s="66">
        <f t="shared" si="58"/>
        <v>6785</v>
      </c>
      <c r="AH105" s="1">
        <v>2032</v>
      </c>
      <c r="AI105" s="84">
        <f>SUM(MediumScenarioCentreBasedFTEDemand38[[#This Row],[Education &amp; Care (under 2s)]:[Education &amp; Care (3+)]])-MediumScenarioQualifiedFTE42[[#This Row],[Education &amp; Care]]</f>
        <v>2355</v>
      </c>
      <c r="AJ105" s="84">
        <f>SUM(MediumScenarioCentreBasedFTEDemand38[[#This Row],[Kindergarten (Under 2s)]:[Kindergarten (3+)]])-MediumScenarioQualifiedFTE42[[#This Row],[Kindergarten]]</f>
        <v>0</v>
      </c>
      <c r="AK105" s="84">
        <f>SUM(MediumScenarioCentreBasedFTEDemand38[[#This Row],[Kōhanga Reo (Under 2s)]:[Kōhanga Reo (2+)]])-MediumScenarioQualifiedFTE42[[#This Row],[Kōhanga Reo]]</f>
        <v>140</v>
      </c>
      <c r="AL105" s="84">
        <f>MediumScenarioCentreBasedFTEDemand38[[#This Row],[Home-based]]-MediumScenarioQualifiedFTE42[[#This Row],[Home-based]]</f>
        <v>255</v>
      </c>
      <c r="AM105" s="84">
        <f>MediumScenarioCentreBasedFTEDemand38[[#This Row],[Playcentre]]-MediumScenarioQualifiedFTE42[[#This Row],[Playcentre]]</f>
        <v>95</v>
      </c>
      <c r="AN105" s="84">
        <f t="shared" si="59"/>
        <v>2845</v>
      </c>
    </row>
    <row r="106" spans="1:40" outlineLevel="1">
      <c r="B106" s="1">
        <v>2033</v>
      </c>
      <c r="C106" s="83">
        <f>MROUND(('T15'!$S23*C$75),5)</f>
        <v>42455</v>
      </c>
      <c r="D106" s="83">
        <f>MROUND(('T15'!$S23*D$75),5)</f>
        <v>8425</v>
      </c>
      <c r="E106" s="83">
        <f>MROUND(('T15'!$S23*E$75),5)</f>
        <v>2575</v>
      </c>
      <c r="F106" s="83">
        <f>MROUND(('T15'!$S23*F$75),5)</f>
        <v>3460</v>
      </c>
      <c r="G106" s="83">
        <f>MROUND(('T15'!$S23*G$75),5)</f>
        <v>2890</v>
      </c>
      <c r="H106" s="66">
        <f t="shared" si="56"/>
        <v>59805</v>
      </c>
      <c r="J106" s="18"/>
      <c r="K106" s="1">
        <v>2033</v>
      </c>
      <c r="L106" s="66">
        <f>MROUND(((CentreBasedHeadcountEnrolmentsMedium33[[#This Row],[Education &amp; Care]]*L$74)*L$68)*'Source-fte_qualstus_x_servtype'!J39,5)</f>
        <v>1955</v>
      </c>
      <c r="M106" s="66">
        <f>MROUND(((CentreBasedHeadcountEnrolmentsMedium33[[#This Row],[Education &amp; Care]]*L$75)*L$69)*'Source-fte_qualstus_x_servtype'!J39,5)</f>
        <v>1670</v>
      </c>
      <c r="N106" s="66">
        <f>MROUND(((CentreBasedHeadcountEnrolmentsMedium33[[#This Row],[Education &amp; Care]]*SUM(L$76:L$77))*L$70)*'Source-fte_qualstus_x_servtype'!J39,5)</f>
        <v>3445</v>
      </c>
      <c r="O106" s="66">
        <f>MROUND(((CentreBasedHeadcountEnrolmentsMedium33[[#This Row],[Kindergarten]]*M$74)*M$68)*'Source-fte_qualstus_x_servtype'!J39,5)</f>
        <v>20</v>
      </c>
      <c r="P106" s="66">
        <f>MROUND(((CentreBasedHeadcountEnrolmentsMedium33[[#This Row],[Kindergarten]]*M$75)*M$69)*'Source-fte_qualstus_x_servtype'!J39,5)</f>
        <v>195</v>
      </c>
      <c r="Q106" s="66">
        <f>MROUND(((CentreBasedHeadcountEnrolmentsMedium33[[#This Row],[Kindergarten]]*SUM(M$76:M$77))*M$70)*'Source-fte_qualstus_x_servtype'!J39,5)</f>
        <v>905</v>
      </c>
      <c r="R106" s="66">
        <f>MROUND(((CentreBasedHeadcountEnrolmentsMedium33[[#This Row],[Kōhanga Reo]]*SUM(N$74))*N$66)*'Source-fte_qualstus_x_servtype'!J39,5)</f>
        <v>145</v>
      </c>
      <c r="S106" s="66">
        <f>MROUND(((CentreBasedHeadcountEnrolmentsMedium33[[#This Row],[Kōhanga Reo]]*SUM(N$75:N$77))*N$67)*'Source-fte_qualstus_x_servtype'!J39,5)</f>
        <v>285</v>
      </c>
      <c r="T106" s="66">
        <f>MROUND(((CentreBasedHeadcountEnrolmentsMedium33[[#This Row],[Home-based]]*SUM(O$78))*O$67)*'Source-fte_qualstus_x_servtype'!J39,5)</f>
        <v>765</v>
      </c>
      <c r="U106" s="66">
        <f>MROUND(((CentreBasedHeadcountEnrolmentsMedium33[[#This Row],[Playcentre]]*SUM(P$78))*P$67)*0.5,5)</f>
        <v>290</v>
      </c>
      <c r="V106" s="66">
        <f t="shared" si="57"/>
        <v>9675</v>
      </c>
      <c r="X106" s="18"/>
      <c r="Y106" s="1">
        <v>2033</v>
      </c>
      <c r="Z106" s="66">
        <f>MROUND(SUM(MediumScenarioCentreBasedFTEDemand38[[#This Row],[Education &amp; Care (under 2s)]:[Education &amp; Care (3+)]])*U$62,5)</f>
        <v>4705</v>
      </c>
      <c r="AA106" s="66">
        <f>MROUND(SUM(MediumScenarioCentreBasedFTEDemand38[[#This Row],[Kindergarten (Under 2s)]:[Kindergarten (3+)]])*T$62,5)</f>
        <v>1120</v>
      </c>
      <c r="AB106" s="66">
        <f>MROUND(SUM(MediumScenarioCentreBasedFTEDemand38[[#This Row],[Kōhanga Reo (Under 2s)]:[Kōhanga Reo (2+)]])*U$62,5)</f>
        <v>285</v>
      </c>
      <c r="AC106" s="66">
        <f>MROUND(MediumScenarioCentreBasedFTEDemand38[[#This Row],[Home-based]]*U$62,5)</f>
        <v>510</v>
      </c>
      <c r="AD106" s="66">
        <f>MROUND(MediumScenarioCentreBasedFTEDemand38[[#This Row],[Playcentre]]*U$62,5)</f>
        <v>195</v>
      </c>
      <c r="AE106" s="66">
        <f t="shared" si="58"/>
        <v>6815</v>
      </c>
      <c r="AH106" s="1">
        <v>2033</v>
      </c>
      <c r="AI106" s="84">
        <f>SUM(MediumScenarioCentreBasedFTEDemand38[[#This Row],[Education &amp; Care (under 2s)]:[Education &amp; Care (3+)]])-MediumScenarioQualifiedFTE42[[#This Row],[Education &amp; Care]]</f>
        <v>2365</v>
      </c>
      <c r="AJ106" s="84">
        <f>SUM(MediumScenarioCentreBasedFTEDemand38[[#This Row],[Kindergarten (Under 2s)]:[Kindergarten (3+)]])-MediumScenarioQualifiedFTE42[[#This Row],[Kindergarten]]</f>
        <v>0</v>
      </c>
      <c r="AK106" s="84">
        <f>SUM(MediumScenarioCentreBasedFTEDemand38[[#This Row],[Kōhanga Reo (Under 2s)]:[Kōhanga Reo (2+)]])-MediumScenarioQualifiedFTE42[[#This Row],[Kōhanga Reo]]</f>
        <v>145</v>
      </c>
      <c r="AL106" s="84">
        <f>MediumScenarioCentreBasedFTEDemand38[[#This Row],[Home-based]]-MediumScenarioQualifiedFTE42[[#This Row],[Home-based]]</f>
        <v>255</v>
      </c>
      <c r="AM106" s="84">
        <f>MediumScenarioCentreBasedFTEDemand38[[#This Row],[Playcentre]]-MediumScenarioQualifiedFTE42[[#This Row],[Playcentre]]</f>
        <v>95</v>
      </c>
      <c r="AN106" s="84">
        <f t="shared" si="59"/>
        <v>2860</v>
      </c>
    </row>
    <row r="107" spans="1:40" outlineLevel="1">
      <c r="B107" s="1">
        <v>2034</v>
      </c>
      <c r="C107" s="83">
        <f>MROUND(('T15'!$S24*C$75),5)</f>
        <v>42485</v>
      </c>
      <c r="D107" s="83">
        <f>MROUND(('T15'!$S24*D$75),5)</f>
        <v>8430</v>
      </c>
      <c r="E107" s="83">
        <f>MROUND(('T15'!$S24*E$75),5)</f>
        <v>2575</v>
      </c>
      <c r="F107" s="83">
        <f>MROUND(('T15'!$S24*F$75),5)</f>
        <v>3465</v>
      </c>
      <c r="G107" s="83">
        <f>MROUND(('T15'!$S24*G$75),5)</f>
        <v>2890</v>
      </c>
      <c r="H107" s="66">
        <f t="shared" si="56"/>
        <v>59845</v>
      </c>
      <c r="J107" s="18"/>
      <c r="K107" s="1">
        <v>2034</v>
      </c>
      <c r="L107" s="66">
        <f>MROUND(((CentreBasedHeadcountEnrolmentsMedium33[[#This Row],[Education &amp; Care]]*L$74)*L$68)*'Source-fte_qualstus_x_servtype'!J40,5)</f>
        <v>1965</v>
      </c>
      <c r="M107" s="66">
        <f>MROUND(((CentreBasedHeadcountEnrolmentsMedium33[[#This Row],[Education &amp; Care]]*L$75)*L$69)*'Source-fte_qualstus_x_servtype'!J40,5)</f>
        <v>1680</v>
      </c>
      <c r="N107" s="66">
        <f>MROUND(((CentreBasedHeadcountEnrolmentsMedium33[[#This Row],[Education &amp; Care]]*SUM(L$76:L$77))*L$70)*'Source-fte_qualstus_x_servtype'!J40,5)</f>
        <v>3460</v>
      </c>
      <c r="O107" s="66">
        <f>MROUND(((CentreBasedHeadcountEnrolmentsMedium33[[#This Row],[Kindergarten]]*M$74)*M$68)*'Source-fte_qualstus_x_servtype'!J40,5)</f>
        <v>20</v>
      </c>
      <c r="P107" s="66">
        <f>MROUND(((CentreBasedHeadcountEnrolmentsMedium33[[#This Row],[Kindergarten]]*M$75)*M$69)*'Source-fte_qualstus_x_servtype'!J40,5)</f>
        <v>195</v>
      </c>
      <c r="Q107" s="66">
        <f>MROUND(((CentreBasedHeadcountEnrolmentsMedium33[[#This Row],[Kindergarten]]*SUM(M$76:M$77))*M$70)*'Source-fte_qualstus_x_servtype'!J40,5)</f>
        <v>910</v>
      </c>
      <c r="R107" s="66">
        <f>MROUND(((CentreBasedHeadcountEnrolmentsMedium33[[#This Row],[Kōhanga Reo]]*SUM(N$74))*N$66)*'Source-fte_qualstus_x_servtype'!J40,5)</f>
        <v>145</v>
      </c>
      <c r="S107" s="66">
        <f>MROUND(((CentreBasedHeadcountEnrolmentsMedium33[[#This Row],[Kōhanga Reo]]*SUM(N$75:N$77))*N$67)*'Source-fte_qualstus_x_servtype'!J40,5)</f>
        <v>285</v>
      </c>
      <c r="T107" s="66">
        <f>MROUND(((CentreBasedHeadcountEnrolmentsMedium33[[#This Row],[Home-based]]*SUM(O$78))*O$67)*'Source-fte_qualstus_x_servtype'!J40,5)</f>
        <v>765</v>
      </c>
      <c r="U107" s="66">
        <f>MROUND(((CentreBasedHeadcountEnrolmentsMedium33[[#This Row],[Playcentre]]*SUM(P$78))*P$67)*0.5,5)</f>
        <v>290</v>
      </c>
      <c r="V107" s="66">
        <f t="shared" si="57"/>
        <v>9715</v>
      </c>
      <c r="X107" s="18"/>
      <c r="Y107" s="1">
        <v>2034</v>
      </c>
      <c r="Z107" s="66">
        <f>MROUND(SUM(MediumScenarioCentreBasedFTEDemand38[[#This Row],[Education &amp; Care (under 2s)]:[Education &amp; Care (3+)]])*U$62,5)</f>
        <v>4725</v>
      </c>
      <c r="AA107" s="66">
        <f>MROUND(SUM(MediumScenarioCentreBasedFTEDemand38[[#This Row],[Kindergarten (Under 2s)]:[Kindergarten (3+)]])*T$62,5)</f>
        <v>1125</v>
      </c>
      <c r="AB107" s="66">
        <f>MROUND(SUM(MediumScenarioCentreBasedFTEDemand38[[#This Row],[Kōhanga Reo (Under 2s)]:[Kōhanga Reo (2+)]])*U$62,5)</f>
        <v>285</v>
      </c>
      <c r="AC107" s="66">
        <f>MROUND(MediumScenarioCentreBasedFTEDemand38[[#This Row],[Home-based]]*U$62,5)</f>
        <v>510</v>
      </c>
      <c r="AD107" s="66">
        <f>MROUND(MediumScenarioCentreBasedFTEDemand38[[#This Row],[Playcentre]]*U$62,5)</f>
        <v>195</v>
      </c>
      <c r="AE107" s="66">
        <f t="shared" si="58"/>
        <v>6840</v>
      </c>
      <c r="AH107" s="1">
        <v>2034</v>
      </c>
      <c r="AI107" s="84">
        <f>SUM(MediumScenarioCentreBasedFTEDemand38[[#This Row],[Education &amp; Care (under 2s)]:[Education &amp; Care (3+)]])-MediumScenarioQualifiedFTE42[[#This Row],[Education &amp; Care]]</f>
        <v>2380</v>
      </c>
      <c r="AJ107" s="84">
        <f>SUM(MediumScenarioCentreBasedFTEDemand38[[#This Row],[Kindergarten (Under 2s)]:[Kindergarten (3+)]])-MediumScenarioQualifiedFTE42[[#This Row],[Kindergarten]]</f>
        <v>0</v>
      </c>
      <c r="AK107" s="84">
        <f>SUM(MediumScenarioCentreBasedFTEDemand38[[#This Row],[Kōhanga Reo (Under 2s)]:[Kōhanga Reo (2+)]])-MediumScenarioQualifiedFTE42[[#This Row],[Kōhanga Reo]]</f>
        <v>145</v>
      </c>
      <c r="AL107" s="84">
        <f>MediumScenarioCentreBasedFTEDemand38[[#This Row],[Home-based]]-MediumScenarioQualifiedFTE42[[#This Row],[Home-based]]</f>
        <v>255</v>
      </c>
      <c r="AM107" s="84">
        <f>MediumScenarioCentreBasedFTEDemand38[[#This Row],[Playcentre]]-MediumScenarioQualifiedFTE42[[#This Row],[Playcentre]]</f>
        <v>95</v>
      </c>
      <c r="AN107" s="84">
        <f t="shared" si="59"/>
        <v>2875</v>
      </c>
    </row>
    <row r="108" spans="1:40" outlineLevel="1">
      <c r="B108" s="1">
        <v>2035</v>
      </c>
      <c r="C108" s="83">
        <f>MROUND(('T15'!$S25*C$75),5)</f>
        <v>42540</v>
      </c>
      <c r="D108" s="83">
        <f>MROUND(('T15'!$S25*D$75),5)</f>
        <v>8445</v>
      </c>
      <c r="E108" s="83">
        <f>MROUND(('T15'!$S25*E$75),5)</f>
        <v>2580</v>
      </c>
      <c r="F108" s="83">
        <f>MROUND(('T15'!$S25*F$75),5)</f>
        <v>3470</v>
      </c>
      <c r="G108" s="83">
        <f>MROUND(('T15'!$S25*G$75),5)</f>
        <v>2895</v>
      </c>
      <c r="H108" s="66">
        <f t="shared" si="56"/>
        <v>59930</v>
      </c>
      <c r="J108" s="18"/>
      <c r="K108" s="1">
        <v>2035</v>
      </c>
      <c r="L108" s="66">
        <f>MROUND(((CentreBasedHeadcountEnrolmentsMedium33[[#This Row],[Education &amp; Care]]*L$74)*L$68)*'Source-fte_qualstus_x_servtype'!J41,5)</f>
        <v>1975</v>
      </c>
      <c r="M108" s="66">
        <f>MROUND(((CentreBasedHeadcountEnrolmentsMedium33[[#This Row],[Education &amp; Care]]*L$75)*L$69)*'Source-fte_qualstus_x_servtype'!J41,5)</f>
        <v>1690</v>
      </c>
      <c r="N108" s="66">
        <f>MROUND(((CentreBasedHeadcountEnrolmentsMedium33[[#This Row],[Education &amp; Care]]*SUM(L$76:L$77))*L$70)*'Source-fte_qualstus_x_servtype'!J41,5)</f>
        <v>3480</v>
      </c>
      <c r="O108" s="66">
        <f>MROUND(((CentreBasedHeadcountEnrolmentsMedium33[[#This Row],[Kindergarten]]*M$74)*M$68)*'Source-fte_qualstus_x_servtype'!J41,5)</f>
        <v>20</v>
      </c>
      <c r="P108" s="66">
        <f>MROUND(((CentreBasedHeadcountEnrolmentsMedium33[[#This Row],[Kindergarten]]*M$75)*M$69)*'Source-fte_qualstus_x_servtype'!J41,5)</f>
        <v>195</v>
      </c>
      <c r="Q108" s="66">
        <f>MROUND(((CentreBasedHeadcountEnrolmentsMedium33[[#This Row],[Kindergarten]]*SUM(M$76:M$77))*M$70)*'Source-fte_qualstus_x_servtype'!J41,5)</f>
        <v>915</v>
      </c>
      <c r="R108" s="66">
        <f>MROUND(((CentreBasedHeadcountEnrolmentsMedium33[[#This Row],[Kōhanga Reo]]*SUM(N$74))*N$66)*'Source-fte_qualstus_x_servtype'!J41,5)</f>
        <v>145</v>
      </c>
      <c r="S108" s="66">
        <f>MROUND(((CentreBasedHeadcountEnrolmentsMedium33[[#This Row],[Kōhanga Reo]]*SUM(N$75:N$77))*N$67)*'Source-fte_qualstus_x_servtype'!J41,5)</f>
        <v>285</v>
      </c>
      <c r="T108" s="66">
        <f>MROUND(((CentreBasedHeadcountEnrolmentsMedium33[[#This Row],[Home-based]]*SUM(O$78))*O$67)*'Source-fte_qualstus_x_servtype'!J41,5)</f>
        <v>770</v>
      </c>
      <c r="U108" s="66">
        <f>MROUND(((CentreBasedHeadcountEnrolmentsMedium33[[#This Row],[Playcentre]]*SUM(P$78))*P$67)*0.5,5)</f>
        <v>290</v>
      </c>
      <c r="V108" s="66">
        <f t="shared" si="57"/>
        <v>9765</v>
      </c>
      <c r="X108" s="18"/>
      <c r="Y108" s="1">
        <v>2035</v>
      </c>
      <c r="Z108" s="66">
        <f>MROUND(SUM(MediumScenarioCentreBasedFTEDemand38[[#This Row],[Education &amp; Care (under 2s)]:[Education &amp; Care (3+)]])*U$62,5)</f>
        <v>4755</v>
      </c>
      <c r="AA108" s="66">
        <f>MROUND(SUM(MediumScenarioCentreBasedFTEDemand38[[#This Row],[Kindergarten (Under 2s)]:[Kindergarten (3+)]])*T$62,5)</f>
        <v>1130</v>
      </c>
      <c r="AB108" s="66">
        <f>MROUND(SUM(MediumScenarioCentreBasedFTEDemand38[[#This Row],[Kōhanga Reo (Under 2s)]:[Kōhanga Reo (2+)]])*U$62,5)</f>
        <v>285</v>
      </c>
      <c r="AC108" s="66">
        <f>MROUND(MediumScenarioCentreBasedFTEDemand38[[#This Row],[Home-based]]*U$62,5)</f>
        <v>510</v>
      </c>
      <c r="AD108" s="66">
        <f>MROUND(MediumScenarioCentreBasedFTEDemand38[[#This Row],[Playcentre]]*U$62,5)</f>
        <v>195</v>
      </c>
      <c r="AE108" s="66">
        <f t="shared" si="58"/>
        <v>6875</v>
      </c>
      <c r="AH108" s="1">
        <v>2035</v>
      </c>
      <c r="AI108" s="84">
        <f>SUM(MediumScenarioCentreBasedFTEDemand38[[#This Row],[Education &amp; Care (under 2s)]:[Education &amp; Care (3+)]])-MediumScenarioQualifiedFTE42[[#This Row],[Education &amp; Care]]</f>
        <v>2390</v>
      </c>
      <c r="AJ108" s="84">
        <f>SUM(MediumScenarioCentreBasedFTEDemand38[[#This Row],[Kindergarten (Under 2s)]:[Kindergarten (3+)]])-MediumScenarioQualifiedFTE42[[#This Row],[Kindergarten]]</f>
        <v>0</v>
      </c>
      <c r="AK108" s="84">
        <f>SUM(MediumScenarioCentreBasedFTEDemand38[[#This Row],[Kōhanga Reo (Under 2s)]:[Kōhanga Reo (2+)]])-MediumScenarioQualifiedFTE42[[#This Row],[Kōhanga Reo]]</f>
        <v>145</v>
      </c>
      <c r="AL108" s="84">
        <f>MediumScenarioCentreBasedFTEDemand38[[#This Row],[Home-based]]-MediumScenarioQualifiedFTE42[[#This Row],[Home-based]]</f>
        <v>260</v>
      </c>
      <c r="AM108" s="84">
        <f>MediumScenarioCentreBasedFTEDemand38[[#This Row],[Playcentre]]-MediumScenarioQualifiedFTE42[[#This Row],[Playcentre]]</f>
        <v>95</v>
      </c>
      <c r="AN108" s="84">
        <f t="shared" si="59"/>
        <v>2890</v>
      </c>
    </row>
    <row r="109" spans="1:40">
      <c r="J109" s="18"/>
      <c r="X109" s="18"/>
    </row>
    <row r="110" spans="1:40">
      <c r="A110" s="106" t="s">
        <v>375</v>
      </c>
      <c r="B110" s="20"/>
      <c r="C110" s="107"/>
      <c r="D110" s="107"/>
      <c r="E110" s="107"/>
      <c r="F110" s="107"/>
      <c r="G110" s="107"/>
      <c r="H110" s="107"/>
      <c r="I110" s="20"/>
      <c r="J110" s="109" t="s">
        <v>376</v>
      </c>
      <c r="K110" s="20"/>
      <c r="L110" s="20"/>
      <c r="M110" s="20"/>
      <c r="N110" s="20"/>
      <c r="O110" s="20"/>
      <c r="P110" s="20"/>
      <c r="Q110" s="20"/>
      <c r="R110" s="20"/>
      <c r="S110" s="20"/>
      <c r="T110" s="20"/>
      <c r="U110" s="20"/>
      <c r="V110" s="20"/>
      <c r="W110" s="20"/>
      <c r="X110" s="109" t="s">
        <v>373</v>
      </c>
      <c r="Y110" s="20"/>
      <c r="Z110" s="20"/>
      <c r="AA110" s="20"/>
      <c r="AB110" s="20"/>
      <c r="AC110" s="20"/>
      <c r="AD110" s="20"/>
      <c r="AE110" s="20"/>
      <c r="AG110" s="6" t="s">
        <v>389</v>
      </c>
    </row>
    <row r="111" spans="1:40" ht="29.1" outlineLevel="1">
      <c r="B111" s="1" t="s">
        <v>229</v>
      </c>
      <c r="C111" s="69" t="s">
        <v>296</v>
      </c>
      <c r="D111" s="69" t="s">
        <v>308</v>
      </c>
      <c r="E111" s="69" t="s">
        <v>302</v>
      </c>
      <c r="F111" s="92" t="s">
        <v>382</v>
      </c>
      <c r="G111" s="69" t="s">
        <v>301</v>
      </c>
      <c r="H111" s="23" t="s">
        <v>236</v>
      </c>
      <c r="J111" s="18"/>
      <c r="K111" s="1" t="s">
        <v>229</v>
      </c>
      <c r="L111" s="15" t="s">
        <v>364</v>
      </c>
      <c r="M111" s="15" t="s">
        <v>365</v>
      </c>
      <c r="N111" s="15" t="s">
        <v>366</v>
      </c>
      <c r="O111" s="15" t="s">
        <v>367</v>
      </c>
      <c r="P111" s="15" t="s">
        <v>368</v>
      </c>
      <c r="Q111" s="15" t="s">
        <v>369</v>
      </c>
      <c r="R111" s="15" t="s">
        <v>386</v>
      </c>
      <c r="S111" s="15" t="s">
        <v>387</v>
      </c>
      <c r="T111" s="96" t="s">
        <v>382</v>
      </c>
      <c r="U111" s="15" t="s">
        <v>301</v>
      </c>
      <c r="V111" s="15" t="s">
        <v>370</v>
      </c>
      <c r="X111" s="18"/>
      <c r="Y111" s="1" t="s">
        <v>229</v>
      </c>
      <c r="Z111" s="15" t="s">
        <v>296</v>
      </c>
      <c r="AA111" s="15" t="s">
        <v>308</v>
      </c>
      <c r="AB111" s="15" t="s">
        <v>302</v>
      </c>
      <c r="AC111" s="96" t="s">
        <v>382</v>
      </c>
      <c r="AD111" s="15" t="s">
        <v>301</v>
      </c>
      <c r="AE111" s="15" t="s">
        <v>370</v>
      </c>
      <c r="AH111" s="1" t="s">
        <v>229</v>
      </c>
      <c r="AI111" s="15" t="s">
        <v>296</v>
      </c>
      <c r="AJ111" s="15" t="s">
        <v>308</v>
      </c>
      <c r="AK111" s="15" t="s">
        <v>302</v>
      </c>
      <c r="AL111" s="96" t="s">
        <v>382</v>
      </c>
      <c r="AM111" s="15" t="s">
        <v>301</v>
      </c>
      <c r="AN111" s="15" t="s">
        <v>370</v>
      </c>
    </row>
    <row r="112" spans="1:40" outlineLevel="1">
      <c r="B112" s="1">
        <v>2025</v>
      </c>
      <c r="C112" s="83">
        <f>MROUND(('T15'!$T15*C$75),5)</f>
        <v>46945</v>
      </c>
      <c r="D112" s="83">
        <f>MROUND(('T15'!$T15*D$75),5)</f>
        <v>9315</v>
      </c>
      <c r="E112" s="83">
        <f>MROUND(('T15'!$T15*E$75),5)</f>
        <v>2845</v>
      </c>
      <c r="F112" s="83">
        <f>MROUND(('T15'!$T15*F$75),5)</f>
        <v>3830</v>
      </c>
      <c r="G112" s="83">
        <f>MROUND(('T15'!$T15*G$75),5)</f>
        <v>3195</v>
      </c>
      <c r="H112" s="66">
        <f>SUM(C112:G112)</f>
        <v>66130</v>
      </c>
      <c r="J112" s="18"/>
      <c r="K112" s="1">
        <v>2025</v>
      </c>
      <c r="L112" s="66">
        <f>MROUND(((CentreBasedHeadcountEnrolmentsHigh34[[#This Row],[Education &amp; Care]]*L$74)*L$68)*'Source-fte_qualstus_x_servtype'!J31,5)</f>
        <v>2085</v>
      </c>
      <c r="M112" s="66">
        <f>MROUND(((CentreBasedHeadcountEnrolmentsHigh34[[#This Row],[Education &amp; Care]]*L$75)*L$69)*'Source-fte_qualstus_x_servtype'!J31,5)</f>
        <v>1785</v>
      </c>
      <c r="N112" s="66">
        <f>MROUND(((CentreBasedHeadcountEnrolmentsHigh34[[#This Row],[Education &amp; Care]]*SUM(L$76:L$77))*L$70)*'Source-fte_qualstus_x_servtype'!J31,5)</f>
        <v>3680</v>
      </c>
      <c r="O112" s="66">
        <f>MROUND(((CentreBasedHeadcountEnrolmentsHigh34[[#This Row],[Kindergarten]]*M$74)*M$68)*'Source-fte_qualstus_x_servtype'!J31,5)</f>
        <v>20</v>
      </c>
      <c r="P112" s="66">
        <f>MROUND(((CentreBasedHeadcountEnrolmentsHigh34[[#This Row],[Kindergarten]]*M$75)*M$69)*'Source-fte_qualstus_x_servtype'!J31,5)</f>
        <v>205</v>
      </c>
      <c r="Q112" s="66">
        <f>MROUND(((CentreBasedHeadcountEnrolmentsHigh34[[#This Row],[Kindergarten]]*SUM(M$76:M$77))*M$70)*'Source-fte_qualstus_x_servtype'!J31,5)</f>
        <v>965</v>
      </c>
      <c r="R112" s="66">
        <f>MROUND(((CentreBasedHeadcountEnrolmentsHigh34[[#This Row],[Kōhanga Reo]]*SUM(N$74))*N$66)*'Source-fte_qualstus_x_servtype'!J31,5)</f>
        <v>155</v>
      </c>
      <c r="S112" s="66">
        <f>MROUND(((CentreBasedHeadcountEnrolmentsHigh34[[#This Row],[Kōhanga Reo]]*SUM(N$75:N$77))*N$67)*'Source-fte_qualstus_x_servtype'!J31,5)</f>
        <v>300</v>
      </c>
      <c r="T112" s="66">
        <f>MROUND(((CentreBasedHeadcountEnrolmentsHigh34[[#This Row],[Home-based]]*SUM(O$78))*O$67)*'Source-fte_qualstus_x_servtype'!J31,5)</f>
        <v>815</v>
      </c>
      <c r="U112" s="66">
        <f>MROUND(((CentreBasedHeadcountEnrolmentsHigh34[[#This Row],[Playcentre]]*SUM(P$78))*P$67)*0.5,5)</f>
        <v>320</v>
      </c>
      <c r="V112" s="66">
        <f>SUM(L112:U112)</f>
        <v>10330</v>
      </c>
      <c r="X112" s="18"/>
      <c r="Y112" s="1">
        <v>2025</v>
      </c>
      <c r="Z112" s="66">
        <f>MROUND(SUM(HighScenarioCentreBasedFTEDemand39[[#This Row],[Education &amp; Care (under 2s)]:[Education &amp; Care (3+)]])*U$62,5)</f>
        <v>5025</v>
      </c>
      <c r="AA112" s="66">
        <f>MROUND(SUM(HighScenarioCentreBasedFTEDemand39[[#This Row],[Kindergarten (Under 2s)]:[Kindergarten (3+)]])*T$61,5)</f>
        <v>1190</v>
      </c>
      <c r="AB112" s="66">
        <f>MROUND(SUM(HighScenarioCentreBasedFTEDemand39[[#This Row],[Kōhanga Reo (Under 2s)]:[Kōhanga Reo (2+)]])*U$62,5)</f>
        <v>305</v>
      </c>
      <c r="AC112" s="66">
        <f>MROUND(HighScenarioCentreBasedFTEDemand39[[#This Row],[Home-based]]*U$62,5)</f>
        <v>540</v>
      </c>
      <c r="AD112" s="66">
        <f>MROUND(HighScenarioCentreBasedFTEDemand39[[#This Row],[Playcentre]]*U$62,5)</f>
        <v>215</v>
      </c>
      <c r="AE112" s="66">
        <f>SUM(Z112:AD112)</f>
        <v>7275</v>
      </c>
      <c r="AH112" s="1">
        <v>2025</v>
      </c>
      <c r="AI112" s="84">
        <f>SUM(HighScenarioCentreBasedFTEDemand39[[#This Row],[Education &amp; Care (under 2s)]:[Education &amp; Care (3+)]])-HighScenarioQualifiedFTE43[[#This Row],[Education &amp; Care]]</f>
        <v>2525</v>
      </c>
      <c r="AJ112" s="84">
        <f>SUM(HighScenarioCentreBasedFTEDemand39[[#This Row],[Kindergarten (Under 2s)]:[Kindergarten (3+)]])-HighScenarioQualifiedFTE43[[#This Row],[Kindergarten]]</f>
        <v>0</v>
      </c>
      <c r="AK112" s="84">
        <f>SUM(HighScenarioCentreBasedFTEDemand39[[#This Row],[Kōhanga Reo (Under 2s)]:[Kōhanga Reo (2+)]])-HighScenarioQualifiedFTE43[[#This Row],[Kōhanga Reo]]</f>
        <v>150</v>
      </c>
      <c r="AL112" s="84">
        <f>HighScenarioCentreBasedFTEDemand39[[#This Row],[Home-based]]-HighScenarioQualifiedFTE43[[#This Row],[Home-based]]</f>
        <v>275</v>
      </c>
      <c r="AM112" s="84">
        <f>HighScenarioCentreBasedFTEDemand39[[#This Row],[Playcentre]]-HighScenarioQualifiedFTE43[[#This Row],[Playcentre]]</f>
        <v>105</v>
      </c>
      <c r="AN112" s="84">
        <f>SUM(AI112:AM112)</f>
        <v>3055</v>
      </c>
    </row>
    <row r="113" spans="1:40" outlineLevel="1">
      <c r="B113" s="1">
        <v>2026</v>
      </c>
      <c r="C113" s="83">
        <f>MROUND(('T15'!$T16*C$75),5)</f>
        <v>46000</v>
      </c>
      <c r="D113" s="83">
        <f>MROUND(('T15'!$T16*D$75),5)</f>
        <v>9130</v>
      </c>
      <c r="E113" s="83">
        <f>MROUND(('T15'!$T16*E$75),5)</f>
        <v>2790</v>
      </c>
      <c r="F113" s="83">
        <f>MROUND(('T15'!$T16*F$75),5)</f>
        <v>3750</v>
      </c>
      <c r="G113" s="83">
        <f>MROUND(('T15'!$T16*G$75),5)</f>
        <v>3130</v>
      </c>
      <c r="H113" s="66">
        <f t="shared" ref="H113:H122" si="60">SUM(C113:G113)</f>
        <v>64800</v>
      </c>
      <c r="J113" s="18"/>
      <c r="K113" s="1">
        <v>2026</v>
      </c>
      <c r="L113" s="66">
        <f>MROUND(((CentreBasedHeadcountEnrolmentsHigh34[[#This Row],[Education &amp; Care]]*L$74)*L$68)*'Source-fte_qualstus_x_servtype'!J32,5)</f>
        <v>2055</v>
      </c>
      <c r="M113" s="66">
        <f>MROUND(((CentreBasedHeadcountEnrolmentsHigh34[[#This Row],[Education &amp; Care]]*L$75)*L$69)*'Source-fte_qualstus_x_servtype'!J32,5)</f>
        <v>1755</v>
      </c>
      <c r="N113" s="66">
        <f>MROUND(((CentreBasedHeadcountEnrolmentsHigh34[[#This Row],[Education &amp; Care]]*SUM(L$76:L$77))*L$70)*'Source-fte_qualstus_x_servtype'!J32,5)</f>
        <v>3620</v>
      </c>
      <c r="O113" s="66">
        <f>MROUND(((CentreBasedHeadcountEnrolmentsHigh34[[#This Row],[Kindergarten]]*M$74)*M$68)*'Source-fte_qualstus_x_servtype'!J32,5)</f>
        <v>20</v>
      </c>
      <c r="P113" s="66">
        <f>MROUND(((CentreBasedHeadcountEnrolmentsHigh34[[#This Row],[Kindergarten]]*M$75)*M$69)*'Source-fte_qualstus_x_servtype'!J32,5)</f>
        <v>205</v>
      </c>
      <c r="Q113" s="66">
        <f>MROUND(((CentreBasedHeadcountEnrolmentsHigh34[[#This Row],[Kindergarten]]*SUM(M$76:M$77))*M$70)*'Source-fte_qualstus_x_servtype'!J32,5)</f>
        <v>950</v>
      </c>
      <c r="R113" s="66">
        <f>MROUND(((CentreBasedHeadcountEnrolmentsHigh34[[#This Row],[Kōhanga Reo]]*SUM(N$74))*N$66)*'Source-fte_qualstus_x_servtype'!J32,5)</f>
        <v>150</v>
      </c>
      <c r="S113" s="66">
        <f>MROUND(((CentreBasedHeadcountEnrolmentsHigh34[[#This Row],[Kōhanga Reo]]*SUM(N$75:N$77))*N$67)*'Source-fte_qualstus_x_servtype'!J32,5)</f>
        <v>295</v>
      </c>
      <c r="T113" s="66">
        <f>MROUND(((CentreBasedHeadcountEnrolmentsHigh34[[#This Row],[Home-based]]*SUM(O$78))*O$67)*'Source-fte_qualstus_x_servtype'!J32,5)</f>
        <v>800</v>
      </c>
      <c r="U113" s="66">
        <f>MROUND(((CentreBasedHeadcountEnrolmentsHigh34[[#This Row],[Playcentre]]*SUM(P$78))*P$67)*0.5,5)</f>
        <v>315</v>
      </c>
      <c r="V113" s="66">
        <f t="shared" ref="V113:V122" si="61">SUM(L113:U113)</f>
        <v>10165</v>
      </c>
      <c r="X113" s="18"/>
      <c r="Y113" s="1">
        <v>2026</v>
      </c>
      <c r="Z113" s="66">
        <f>MROUND(SUM(HighScenarioCentreBasedFTEDemand39[[#This Row],[Education &amp; Care (under 2s)]:[Education &amp; Care (3+)]])*U$62,5)</f>
        <v>4945</v>
      </c>
      <c r="AA113" s="66">
        <f>MROUND(SUM(HighScenarioCentreBasedFTEDemand39[[#This Row],[Kindergarten (Under 2s)]:[Kindergarten (3+)]])*T$61,5)</f>
        <v>1175</v>
      </c>
      <c r="AB113" s="66">
        <f>MROUND(SUM(HighScenarioCentreBasedFTEDemand39[[#This Row],[Kōhanga Reo (Under 2s)]:[Kōhanga Reo (2+)]])*U$62,5)</f>
        <v>295</v>
      </c>
      <c r="AC113" s="66">
        <f>MROUND(HighScenarioCentreBasedFTEDemand39[[#This Row],[Home-based]]*U$62,5)</f>
        <v>530</v>
      </c>
      <c r="AD113" s="66">
        <f>MROUND(HighScenarioCentreBasedFTEDemand39[[#This Row],[Playcentre]]*U$62,5)</f>
        <v>210</v>
      </c>
      <c r="AE113" s="66">
        <f t="shared" ref="AE113:AE122" si="62">SUM(Z113:AD113)</f>
        <v>7155</v>
      </c>
      <c r="AH113" s="1">
        <v>2026</v>
      </c>
      <c r="AI113" s="84">
        <f>SUM(HighScenarioCentreBasedFTEDemand39[[#This Row],[Education &amp; Care (under 2s)]:[Education &amp; Care (3+)]])-HighScenarioQualifiedFTE43[[#This Row],[Education &amp; Care]]</f>
        <v>2485</v>
      </c>
      <c r="AJ113" s="84">
        <f>SUM(HighScenarioCentreBasedFTEDemand39[[#This Row],[Kindergarten (Under 2s)]:[Kindergarten (3+)]])-HighScenarioQualifiedFTE43[[#This Row],[Kindergarten]]</f>
        <v>0</v>
      </c>
      <c r="AK113" s="84">
        <f>SUM(HighScenarioCentreBasedFTEDemand39[[#This Row],[Kōhanga Reo (Under 2s)]:[Kōhanga Reo (2+)]])-HighScenarioQualifiedFTE43[[#This Row],[Kōhanga Reo]]</f>
        <v>150</v>
      </c>
      <c r="AL113" s="84">
        <f>HighScenarioCentreBasedFTEDemand39[[#This Row],[Home-based]]-HighScenarioQualifiedFTE43[[#This Row],[Home-based]]</f>
        <v>270</v>
      </c>
      <c r="AM113" s="84">
        <f>HighScenarioCentreBasedFTEDemand39[[#This Row],[Playcentre]]-HighScenarioQualifiedFTE43[[#This Row],[Playcentre]]</f>
        <v>105</v>
      </c>
      <c r="AN113" s="84">
        <f t="shared" ref="AN113:AN122" si="63">SUM(AI113:AM113)</f>
        <v>3010</v>
      </c>
    </row>
    <row r="114" spans="1:40" outlineLevel="1">
      <c r="B114" s="1">
        <v>2027</v>
      </c>
      <c r="C114" s="83">
        <f>MROUND(('T15'!$T17*C$75),5)</f>
        <v>45205</v>
      </c>
      <c r="D114" s="83">
        <f>MROUND(('T15'!$T17*D$75),5)</f>
        <v>8970</v>
      </c>
      <c r="E114" s="83">
        <f>MROUND(('T15'!$T17*E$75),5)</f>
        <v>2740</v>
      </c>
      <c r="F114" s="83">
        <f>MROUND(('T15'!$T17*F$75),5)</f>
        <v>3685</v>
      </c>
      <c r="G114" s="83">
        <f>MROUND(('T15'!$T17*G$75),5)</f>
        <v>3075</v>
      </c>
      <c r="H114" s="66">
        <f t="shared" si="60"/>
        <v>63675</v>
      </c>
      <c r="J114" s="18"/>
      <c r="K114" s="1">
        <v>2027</v>
      </c>
      <c r="L114" s="66">
        <f>MROUND(((CentreBasedHeadcountEnrolmentsHigh34[[#This Row],[Education &amp; Care]]*L$74)*L$68)*'Source-fte_qualstus_x_servtype'!J33,5)</f>
        <v>2025</v>
      </c>
      <c r="M114" s="66">
        <f>MROUND(((CentreBasedHeadcountEnrolmentsHigh34[[#This Row],[Education &amp; Care]]*L$75)*L$69)*'Source-fte_qualstus_x_servtype'!J33,5)</f>
        <v>1735</v>
      </c>
      <c r="N114" s="66">
        <f>MROUND(((CentreBasedHeadcountEnrolmentsHigh34[[#This Row],[Education &amp; Care]]*SUM(L$76:L$77))*L$70)*'Source-fte_qualstus_x_servtype'!J33,5)</f>
        <v>3575</v>
      </c>
      <c r="O114" s="66">
        <f>MROUND(((CentreBasedHeadcountEnrolmentsHigh34[[#This Row],[Kindergarten]]*M$74)*M$68)*'Source-fte_qualstus_x_servtype'!J33,5)</f>
        <v>20</v>
      </c>
      <c r="P114" s="66">
        <f>MROUND(((CentreBasedHeadcountEnrolmentsHigh34[[#This Row],[Kindergarten]]*M$75)*M$69)*'Source-fte_qualstus_x_servtype'!J33,5)</f>
        <v>200</v>
      </c>
      <c r="Q114" s="66">
        <f>MROUND(((CentreBasedHeadcountEnrolmentsHigh34[[#This Row],[Kindergarten]]*SUM(M$76:M$77))*M$70)*'Source-fte_qualstus_x_servtype'!J33,5)</f>
        <v>940</v>
      </c>
      <c r="R114" s="66">
        <f>MROUND(((CentreBasedHeadcountEnrolmentsHigh34[[#This Row],[Kōhanga Reo]]*SUM(N$74))*N$66)*'Source-fte_qualstus_x_servtype'!J33,5)</f>
        <v>150</v>
      </c>
      <c r="S114" s="66">
        <f>MROUND(((CentreBasedHeadcountEnrolmentsHigh34[[#This Row],[Kōhanga Reo]]*SUM(N$75:N$77))*N$67)*'Source-fte_qualstus_x_servtype'!J33,5)</f>
        <v>295</v>
      </c>
      <c r="T114" s="66">
        <f>MROUND(((CentreBasedHeadcountEnrolmentsHigh34[[#This Row],[Home-based]]*SUM(O$78))*O$67)*'Source-fte_qualstus_x_servtype'!J33,5)</f>
        <v>790</v>
      </c>
      <c r="U114" s="66">
        <f>MROUND(((CentreBasedHeadcountEnrolmentsHigh34[[#This Row],[Playcentre]]*SUM(P$78))*P$67)*0.5,5)</f>
        <v>310</v>
      </c>
      <c r="V114" s="66">
        <f t="shared" si="61"/>
        <v>10040</v>
      </c>
      <c r="X114" s="18"/>
      <c r="Y114" s="1">
        <v>2027</v>
      </c>
      <c r="Z114" s="66">
        <f>MROUND(SUM(HighScenarioCentreBasedFTEDemand39[[#This Row],[Education &amp; Care (under 2s)]:[Education &amp; Care (3+)]])*U$62,5)</f>
        <v>4880</v>
      </c>
      <c r="AA114" s="66">
        <f>MROUND(SUM(HighScenarioCentreBasedFTEDemand39[[#This Row],[Kindergarten (Under 2s)]:[Kindergarten (3+)]])*T$61,5)</f>
        <v>1160</v>
      </c>
      <c r="AB114" s="66">
        <f>MROUND(SUM(HighScenarioCentreBasedFTEDemand39[[#This Row],[Kōhanga Reo (Under 2s)]:[Kōhanga Reo (2+)]])*U$62,5)</f>
        <v>295</v>
      </c>
      <c r="AC114" s="66">
        <f>MROUND(HighScenarioCentreBasedFTEDemand39[[#This Row],[Home-based]]*U$62,5)</f>
        <v>525</v>
      </c>
      <c r="AD114" s="66">
        <f>MROUND(HighScenarioCentreBasedFTEDemand39[[#This Row],[Playcentre]]*U$62,5)</f>
        <v>205</v>
      </c>
      <c r="AE114" s="66">
        <f t="shared" si="62"/>
        <v>7065</v>
      </c>
      <c r="AH114" s="1">
        <v>2027</v>
      </c>
      <c r="AI114" s="84">
        <f>SUM(HighScenarioCentreBasedFTEDemand39[[#This Row],[Education &amp; Care (under 2s)]:[Education &amp; Care (3+)]])-HighScenarioQualifiedFTE43[[#This Row],[Education &amp; Care]]</f>
        <v>2455</v>
      </c>
      <c r="AJ114" s="84">
        <f>SUM(HighScenarioCentreBasedFTEDemand39[[#This Row],[Kindergarten (Under 2s)]:[Kindergarten (3+)]])-HighScenarioQualifiedFTE43[[#This Row],[Kindergarten]]</f>
        <v>0</v>
      </c>
      <c r="AK114" s="84">
        <f>SUM(HighScenarioCentreBasedFTEDemand39[[#This Row],[Kōhanga Reo (Under 2s)]:[Kōhanga Reo (2+)]])-HighScenarioQualifiedFTE43[[#This Row],[Kōhanga Reo]]</f>
        <v>150</v>
      </c>
      <c r="AL114" s="84">
        <f>HighScenarioCentreBasedFTEDemand39[[#This Row],[Home-based]]-HighScenarioQualifiedFTE43[[#This Row],[Home-based]]</f>
        <v>265</v>
      </c>
      <c r="AM114" s="84">
        <f>HighScenarioCentreBasedFTEDemand39[[#This Row],[Playcentre]]-HighScenarioQualifiedFTE43[[#This Row],[Playcentre]]</f>
        <v>105</v>
      </c>
      <c r="AN114" s="84">
        <f t="shared" si="63"/>
        <v>2975</v>
      </c>
    </row>
    <row r="115" spans="1:40" outlineLevel="1">
      <c r="B115" s="1">
        <v>2028</v>
      </c>
      <c r="C115" s="83">
        <f>MROUND(('T15'!$T18*C$75),5)</f>
        <v>45460</v>
      </c>
      <c r="D115" s="83">
        <f>MROUND(('T15'!$T18*D$75),5)</f>
        <v>9025</v>
      </c>
      <c r="E115" s="83">
        <f>MROUND(('T15'!$T18*E$75),5)</f>
        <v>2755</v>
      </c>
      <c r="F115" s="83">
        <f>MROUND(('T15'!$T18*F$75),5)</f>
        <v>3705</v>
      </c>
      <c r="G115" s="83">
        <f>MROUND(('T15'!$T18*G$75),5)</f>
        <v>3095</v>
      </c>
      <c r="H115" s="66">
        <f t="shared" si="60"/>
        <v>64040</v>
      </c>
      <c r="J115" s="18"/>
      <c r="K115" s="1">
        <v>2028</v>
      </c>
      <c r="L115" s="66">
        <f>MROUND(((CentreBasedHeadcountEnrolmentsHigh34[[#This Row],[Education &amp; Care]]*L$74)*L$68)*'Source-fte_qualstus_x_servtype'!J34,5)</f>
        <v>2050</v>
      </c>
      <c r="M115" s="66">
        <f>MROUND(((CentreBasedHeadcountEnrolmentsHigh34[[#This Row],[Education &amp; Care]]*L$75)*L$69)*'Source-fte_qualstus_x_servtype'!J34,5)</f>
        <v>1750</v>
      </c>
      <c r="N115" s="66">
        <f>MROUND(((CentreBasedHeadcountEnrolmentsHigh34[[#This Row],[Education &amp; Care]]*SUM(L$76:L$77))*L$70)*'Source-fte_qualstus_x_servtype'!J34,5)</f>
        <v>3610</v>
      </c>
      <c r="O115" s="66">
        <f>MROUND(((CentreBasedHeadcountEnrolmentsHigh34[[#This Row],[Kindergarten]]*M$74)*M$68)*'Source-fte_qualstus_x_servtype'!J34,5)</f>
        <v>20</v>
      </c>
      <c r="P115" s="66">
        <f>MROUND(((CentreBasedHeadcountEnrolmentsHigh34[[#This Row],[Kindergarten]]*M$75)*M$69)*'Source-fte_qualstus_x_servtype'!J34,5)</f>
        <v>205</v>
      </c>
      <c r="Q115" s="66">
        <f>MROUND(((CentreBasedHeadcountEnrolmentsHigh34[[#This Row],[Kindergarten]]*SUM(M$76:M$77))*M$70)*'Source-fte_qualstus_x_servtype'!J34,5)</f>
        <v>950</v>
      </c>
      <c r="R115" s="66">
        <f>MROUND(((CentreBasedHeadcountEnrolmentsHigh34[[#This Row],[Kōhanga Reo]]*SUM(N$74))*N$66)*'Source-fte_qualstus_x_servtype'!J34,5)</f>
        <v>150</v>
      </c>
      <c r="S115" s="66">
        <f>MROUND(((CentreBasedHeadcountEnrolmentsHigh34[[#This Row],[Kōhanga Reo]]*SUM(N$75:N$77))*N$67)*'Source-fte_qualstus_x_servtype'!J34,5)</f>
        <v>295</v>
      </c>
      <c r="T115" s="66">
        <f>MROUND(((CentreBasedHeadcountEnrolmentsHigh34[[#This Row],[Home-based]]*SUM(O$78))*O$67)*'Source-fte_qualstus_x_servtype'!J34,5)</f>
        <v>800</v>
      </c>
      <c r="U115" s="66">
        <f>MROUND(((CentreBasedHeadcountEnrolmentsHigh34[[#This Row],[Playcentre]]*SUM(P$78))*P$67)*0.5,5)</f>
        <v>310</v>
      </c>
      <c r="V115" s="66">
        <f t="shared" si="61"/>
        <v>10140</v>
      </c>
      <c r="X115" s="18"/>
      <c r="Y115" s="1">
        <v>2028</v>
      </c>
      <c r="Z115" s="66">
        <f>MROUND(SUM(HighScenarioCentreBasedFTEDemand39[[#This Row],[Education &amp; Care (under 2s)]:[Education &amp; Care (3+)]])*U$62,5)</f>
        <v>4930</v>
      </c>
      <c r="AA115" s="66">
        <f>MROUND(SUM(HighScenarioCentreBasedFTEDemand39[[#This Row],[Kindergarten (Under 2s)]:[Kindergarten (3+)]])*T$61,5)</f>
        <v>1175</v>
      </c>
      <c r="AB115" s="66">
        <f>MROUND(SUM(HighScenarioCentreBasedFTEDemand39[[#This Row],[Kōhanga Reo (Under 2s)]:[Kōhanga Reo (2+)]])*U$62,5)</f>
        <v>295</v>
      </c>
      <c r="AC115" s="66">
        <f>MROUND(HighScenarioCentreBasedFTEDemand39[[#This Row],[Home-based]]*U$62,5)</f>
        <v>530</v>
      </c>
      <c r="AD115" s="66">
        <f>MROUND(HighScenarioCentreBasedFTEDemand39[[#This Row],[Playcentre]]*U$62,5)</f>
        <v>205</v>
      </c>
      <c r="AE115" s="66">
        <f t="shared" si="62"/>
        <v>7135</v>
      </c>
      <c r="AH115" s="1">
        <v>2028</v>
      </c>
      <c r="AI115" s="84">
        <f>SUM(HighScenarioCentreBasedFTEDemand39[[#This Row],[Education &amp; Care (under 2s)]:[Education &amp; Care (3+)]])-HighScenarioQualifiedFTE43[[#This Row],[Education &amp; Care]]</f>
        <v>2480</v>
      </c>
      <c r="AJ115" s="84">
        <f>SUM(HighScenarioCentreBasedFTEDemand39[[#This Row],[Kindergarten (Under 2s)]:[Kindergarten (3+)]])-HighScenarioQualifiedFTE43[[#This Row],[Kindergarten]]</f>
        <v>0</v>
      </c>
      <c r="AK115" s="84">
        <f>SUM(HighScenarioCentreBasedFTEDemand39[[#This Row],[Kōhanga Reo (Under 2s)]:[Kōhanga Reo (2+)]])-HighScenarioQualifiedFTE43[[#This Row],[Kōhanga Reo]]</f>
        <v>150</v>
      </c>
      <c r="AL115" s="84">
        <f>HighScenarioCentreBasedFTEDemand39[[#This Row],[Home-based]]-HighScenarioQualifiedFTE43[[#This Row],[Home-based]]</f>
        <v>270</v>
      </c>
      <c r="AM115" s="84">
        <f>HighScenarioCentreBasedFTEDemand39[[#This Row],[Playcentre]]-HighScenarioQualifiedFTE43[[#This Row],[Playcentre]]</f>
        <v>105</v>
      </c>
      <c r="AN115" s="84">
        <f t="shared" si="63"/>
        <v>3005</v>
      </c>
    </row>
    <row r="116" spans="1:40" outlineLevel="1">
      <c r="B116" s="1">
        <v>2029</v>
      </c>
      <c r="C116" s="83">
        <f>MROUND(('T15'!$T19*C$75),5)</f>
        <v>45750</v>
      </c>
      <c r="D116" s="83">
        <f>MROUND(('T15'!$T19*D$75),5)</f>
        <v>9080</v>
      </c>
      <c r="E116" s="83">
        <f>MROUND(('T15'!$T19*E$75),5)</f>
        <v>2775</v>
      </c>
      <c r="F116" s="83">
        <f>MROUND(('T15'!$T19*F$75),5)</f>
        <v>3730</v>
      </c>
      <c r="G116" s="83">
        <f>MROUND(('T15'!$T19*G$75),5)</f>
        <v>3115</v>
      </c>
      <c r="H116" s="66">
        <f t="shared" si="60"/>
        <v>64450</v>
      </c>
      <c r="J116" s="18"/>
      <c r="K116" s="1">
        <v>2029</v>
      </c>
      <c r="L116" s="66">
        <f>MROUND(((CentreBasedHeadcountEnrolmentsHigh34[[#This Row],[Education &amp; Care]]*L$74)*L$68)*'Source-fte_qualstus_x_servtype'!J35,5)</f>
        <v>2070</v>
      </c>
      <c r="M116" s="66">
        <f>MROUND(((CentreBasedHeadcountEnrolmentsHigh34[[#This Row],[Education &amp; Care]]*L$75)*L$69)*'Source-fte_qualstus_x_servtype'!J35,5)</f>
        <v>1770</v>
      </c>
      <c r="N116" s="66">
        <f>MROUND(((CentreBasedHeadcountEnrolmentsHigh34[[#This Row],[Education &amp; Care]]*SUM(L$76:L$77))*L$70)*'Source-fte_qualstus_x_servtype'!J35,5)</f>
        <v>3650</v>
      </c>
      <c r="O116" s="66">
        <f>MROUND(((CentreBasedHeadcountEnrolmentsHigh34[[#This Row],[Kindergarten]]*M$74)*M$68)*'Source-fte_qualstus_x_servtype'!J35,5)</f>
        <v>20</v>
      </c>
      <c r="P116" s="66">
        <f>MROUND(((CentreBasedHeadcountEnrolmentsHigh34[[#This Row],[Kindergarten]]*M$75)*M$69)*'Source-fte_qualstus_x_servtype'!J35,5)</f>
        <v>205</v>
      </c>
      <c r="Q116" s="66">
        <f>MROUND(((CentreBasedHeadcountEnrolmentsHigh34[[#This Row],[Kindergarten]]*SUM(M$76:M$77))*M$70)*'Source-fte_qualstus_x_servtype'!J35,5)</f>
        <v>960</v>
      </c>
      <c r="R116" s="66">
        <f>MROUND(((CentreBasedHeadcountEnrolmentsHigh34[[#This Row],[Kōhanga Reo]]*SUM(N$74))*N$66)*'Source-fte_qualstus_x_servtype'!J35,5)</f>
        <v>155</v>
      </c>
      <c r="S116" s="66">
        <f>MROUND(((CentreBasedHeadcountEnrolmentsHigh34[[#This Row],[Kōhanga Reo]]*SUM(N$75:N$77))*N$67)*'Source-fte_qualstus_x_servtype'!J35,5)</f>
        <v>300</v>
      </c>
      <c r="T116" s="66">
        <f>MROUND(((CentreBasedHeadcountEnrolmentsHigh34[[#This Row],[Home-based]]*SUM(O$78))*O$67)*'Source-fte_qualstus_x_servtype'!J35,5)</f>
        <v>810</v>
      </c>
      <c r="U116" s="66">
        <f>MROUND(((CentreBasedHeadcountEnrolmentsHigh34[[#This Row],[Playcentre]]*SUM(P$78))*P$67)*0.5,5)</f>
        <v>310</v>
      </c>
      <c r="V116" s="66">
        <f t="shared" si="61"/>
        <v>10250</v>
      </c>
      <c r="X116" s="18"/>
      <c r="Y116" s="1">
        <v>2029</v>
      </c>
      <c r="Z116" s="66">
        <f>MROUND(SUM(HighScenarioCentreBasedFTEDemand39[[#This Row],[Education &amp; Care (under 2s)]:[Education &amp; Care (3+)]])*U$62,5)</f>
        <v>4985</v>
      </c>
      <c r="AA116" s="66">
        <f>MROUND(SUM(HighScenarioCentreBasedFTEDemand39[[#This Row],[Kindergarten (Under 2s)]:[Kindergarten (3+)]])*T$61,5)</f>
        <v>1185</v>
      </c>
      <c r="AB116" s="66">
        <f>MROUND(SUM(HighScenarioCentreBasedFTEDemand39[[#This Row],[Kōhanga Reo (Under 2s)]:[Kōhanga Reo (2+)]])*U$62,5)</f>
        <v>305</v>
      </c>
      <c r="AC116" s="66">
        <f>MROUND(HighScenarioCentreBasedFTEDemand39[[#This Row],[Home-based]]*U$62,5)</f>
        <v>540</v>
      </c>
      <c r="AD116" s="66">
        <f>MROUND(HighScenarioCentreBasedFTEDemand39[[#This Row],[Playcentre]]*U$62,5)</f>
        <v>205</v>
      </c>
      <c r="AE116" s="66">
        <f t="shared" si="62"/>
        <v>7220</v>
      </c>
      <c r="AH116" s="1">
        <v>2029</v>
      </c>
      <c r="AI116" s="84">
        <f>SUM(HighScenarioCentreBasedFTEDemand39[[#This Row],[Education &amp; Care (under 2s)]:[Education &amp; Care (3+)]])-HighScenarioQualifiedFTE43[[#This Row],[Education &amp; Care]]</f>
        <v>2505</v>
      </c>
      <c r="AJ116" s="84">
        <f>SUM(HighScenarioCentreBasedFTEDemand39[[#This Row],[Kindergarten (Under 2s)]:[Kindergarten (3+)]])-HighScenarioQualifiedFTE43[[#This Row],[Kindergarten]]</f>
        <v>0</v>
      </c>
      <c r="AK116" s="84">
        <f>SUM(HighScenarioCentreBasedFTEDemand39[[#This Row],[Kōhanga Reo (Under 2s)]:[Kōhanga Reo (2+)]])-HighScenarioQualifiedFTE43[[#This Row],[Kōhanga Reo]]</f>
        <v>150</v>
      </c>
      <c r="AL116" s="84">
        <f>HighScenarioCentreBasedFTEDemand39[[#This Row],[Home-based]]-HighScenarioQualifiedFTE43[[#This Row],[Home-based]]</f>
        <v>270</v>
      </c>
      <c r="AM116" s="84">
        <f>HighScenarioCentreBasedFTEDemand39[[#This Row],[Playcentre]]-HighScenarioQualifiedFTE43[[#This Row],[Playcentre]]</f>
        <v>105</v>
      </c>
      <c r="AN116" s="84">
        <f t="shared" si="63"/>
        <v>3030</v>
      </c>
    </row>
    <row r="117" spans="1:40" outlineLevel="1">
      <c r="B117" s="1">
        <v>2030</v>
      </c>
      <c r="C117" s="83">
        <f>MROUND(('T15'!$T20*C$75),5)</f>
        <v>45785</v>
      </c>
      <c r="D117" s="83">
        <f>MROUND(('T15'!$T20*D$75),5)</f>
        <v>9085</v>
      </c>
      <c r="E117" s="83">
        <f>MROUND(('T15'!$T20*E$75),5)</f>
        <v>2775</v>
      </c>
      <c r="F117" s="83">
        <f>MROUND(('T15'!$T20*F$75),5)</f>
        <v>3735</v>
      </c>
      <c r="G117" s="83">
        <f>MROUND(('T15'!$T20*G$75),5)</f>
        <v>3115</v>
      </c>
      <c r="H117" s="66">
        <f t="shared" si="60"/>
        <v>64495</v>
      </c>
      <c r="J117" s="18"/>
      <c r="K117" s="1">
        <v>2030</v>
      </c>
      <c r="L117" s="66">
        <f>MROUND(((CentreBasedHeadcountEnrolmentsHigh34[[#This Row],[Education &amp; Care]]*L$74)*L$68)*'Source-fte_qualstus_x_servtype'!J36,5)</f>
        <v>2080</v>
      </c>
      <c r="M117" s="66">
        <f>MROUND(((CentreBasedHeadcountEnrolmentsHigh34[[#This Row],[Education &amp; Care]]*L$75)*L$69)*'Source-fte_qualstus_x_servtype'!J36,5)</f>
        <v>1780</v>
      </c>
      <c r="N117" s="66">
        <f>MROUND(((CentreBasedHeadcountEnrolmentsHigh34[[#This Row],[Education &amp; Care]]*SUM(L$76:L$77))*L$70)*'Source-fte_qualstus_x_servtype'!J36,5)</f>
        <v>3665</v>
      </c>
      <c r="O117" s="66">
        <f>MROUND(((CentreBasedHeadcountEnrolmentsHigh34[[#This Row],[Kindergarten]]*M$74)*M$68)*'Source-fte_qualstus_x_servtype'!J36,5)</f>
        <v>20</v>
      </c>
      <c r="P117" s="66">
        <f>MROUND(((CentreBasedHeadcountEnrolmentsHigh34[[#This Row],[Kindergarten]]*M$75)*M$69)*'Source-fte_qualstus_x_servtype'!J36,5)</f>
        <v>205</v>
      </c>
      <c r="Q117" s="66">
        <f>MROUND(((CentreBasedHeadcountEnrolmentsHigh34[[#This Row],[Kindergarten]]*SUM(M$76:M$77))*M$70)*'Source-fte_qualstus_x_servtype'!J36,5)</f>
        <v>965</v>
      </c>
      <c r="R117" s="66">
        <f>MROUND(((CentreBasedHeadcountEnrolmentsHigh34[[#This Row],[Kōhanga Reo]]*SUM(N$74))*N$66)*'Source-fte_qualstus_x_servtype'!J36,5)</f>
        <v>155</v>
      </c>
      <c r="S117" s="66">
        <f>MROUND(((CentreBasedHeadcountEnrolmentsHigh34[[#This Row],[Kōhanga Reo]]*SUM(N$75:N$77))*N$67)*'Source-fte_qualstus_x_servtype'!J36,5)</f>
        <v>300</v>
      </c>
      <c r="T117" s="66">
        <f>MROUND(((CentreBasedHeadcountEnrolmentsHigh34[[#This Row],[Home-based]]*SUM(O$78))*O$67)*'Source-fte_qualstus_x_servtype'!J36,5)</f>
        <v>815</v>
      </c>
      <c r="U117" s="66">
        <f>MROUND(((CentreBasedHeadcountEnrolmentsHigh34[[#This Row],[Playcentre]]*SUM(P$78))*P$67)*0.5,5)</f>
        <v>310</v>
      </c>
      <c r="V117" s="66">
        <f t="shared" si="61"/>
        <v>10295</v>
      </c>
      <c r="X117" s="18"/>
      <c r="Y117" s="1">
        <v>2030</v>
      </c>
      <c r="Z117" s="66">
        <f>MROUND(SUM(HighScenarioCentreBasedFTEDemand39[[#This Row],[Education &amp; Care (under 2s)]:[Education &amp; Care (3+)]])*U$62,5)</f>
        <v>5005</v>
      </c>
      <c r="AA117" s="66">
        <f>MROUND(SUM(HighScenarioCentreBasedFTEDemand39[[#This Row],[Kindergarten (Under 2s)]:[Kindergarten (3+)]])*T$61,5)</f>
        <v>1190</v>
      </c>
      <c r="AB117" s="66">
        <f>MROUND(SUM(HighScenarioCentreBasedFTEDemand39[[#This Row],[Kōhanga Reo (Under 2s)]:[Kōhanga Reo (2+)]])*U$62,5)</f>
        <v>305</v>
      </c>
      <c r="AC117" s="66">
        <f>MROUND(HighScenarioCentreBasedFTEDemand39[[#This Row],[Home-based]]*U$62,5)</f>
        <v>540</v>
      </c>
      <c r="AD117" s="66">
        <f>MROUND(HighScenarioCentreBasedFTEDemand39[[#This Row],[Playcentre]]*U$62,5)</f>
        <v>205</v>
      </c>
      <c r="AE117" s="66">
        <f t="shared" si="62"/>
        <v>7245</v>
      </c>
      <c r="AH117" s="1">
        <v>2030</v>
      </c>
      <c r="AI117" s="84">
        <f>SUM(HighScenarioCentreBasedFTEDemand39[[#This Row],[Education &amp; Care (under 2s)]:[Education &amp; Care (3+)]])-HighScenarioQualifiedFTE43[[#This Row],[Education &amp; Care]]</f>
        <v>2520</v>
      </c>
      <c r="AJ117" s="84">
        <f>SUM(HighScenarioCentreBasedFTEDemand39[[#This Row],[Kindergarten (Under 2s)]:[Kindergarten (3+)]])-HighScenarioQualifiedFTE43[[#This Row],[Kindergarten]]</f>
        <v>0</v>
      </c>
      <c r="AK117" s="84">
        <f>SUM(HighScenarioCentreBasedFTEDemand39[[#This Row],[Kōhanga Reo (Under 2s)]:[Kōhanga Reo (2+)]])-HighScenarioQualifiedFTE43[[#This Row],[Kōhanga Reo]]</f>
        <v>150</v>
      </c>
      <c r="AL117" s="84">
        <f>HighScenarioCentreBasedFTEDemand39[[#This Row],[Home-based]]-HighScenarioQualifiedFTE43[[#This Row],[Home-based]]</f>
        <v>275</v>
      </c>
      <c r="AM117" s="84">
        <f>HighScenarioCentreBasedFTEDemand39[[#This Row],[Playcentre]]-HighScenarioQualifiedFTE43[[#This Row],[Playcentre]]</f>
        <v>105</v>
      </c>
      <c r="AN117" s="84">
        <f t="shared" si="63"/>
        <v>3050</v>
      </c>
    </row>
    <row r="118" spans="1:40" outlineLevel="1">
      <c r="B118" s="1">
        <v>2031</v>
      </c>
      <c r="C118" s="83">
        <f>MROUND(('T15'!$T21*C$75),5)</f>
        <v>45790</v>
      </c>
      <c r="D118" s="83">
        <f>MROUND(('T15'!$T21*D$75),5)</f>
        <v>9090</v>
      </c>
      <c r="E118" s="83">
        <f>MROUND(('T15'!$T21*E$75),5)</f>
        <v>2775</v>
      </c>
      <c r="F118" s="83">
        <f>MROUND(('T15'!$T21*F$75),5)</f>
        <v>3735</v>
      </c>
      <c r="G118" s="83">
        <f>MROUND(('T15'!$T21*G$75),5)</f>
        <v>3115</v>
      </c>
      <c r="H118" s="66">
        <f t="shared" si="60"/>
        <v>64505</v>
      </c>
      <c r="J118" s="18"/>
      <c r="K118" s="1">
        <v>2031</v>
      </c>
      <c r="L118" s="66">
        <f>MROUND(((CentreBasedHeadcountEnrolmentsHigh34[[#This Row],[Education &amp; Care]]*L$74)*L$68)*'Source-fte_qualstus_x_servtype'!J37,5)</f>
        <v>2090</v>
      </c>
      <c r="M118" s="66">
        <f>MROUND(((CentreBasedHeadcountEnrolmentsHigh34[[#This Row],[Education &amp; Care]]*L$75)*L$69)*'Source-fte_qualstus_x_servtype'!J37,5)</f>
        <v>1790</v>
      </c>
      <c r="N118" s="66">
        <f>MROUND(((CentreBasedHeadcountEnrolmentsHigh34[[#This Row],[Education &amp; Care]]*SUM(L$76:L$77))*L$70)*'Source-fte_qualstus_x_servtype'!J37,5)</f>
        <v>3685</v>
      </c>
      <c r="O118" s="66">
        <f>MROUND(((CentreBasedHeadcountEnrolmentsHigh34[[#This Row],[Kindergarten]]*M$74)*M$68)*'Source-fte_qualstus_x_servtype'!J37,5)</f>
        <v>20</v>
      </c>
      <c r="P118" s="66">
        <f>MROUND(((CentreBasedHeadcountEnrolmentsHigh34[[#This Row],[Kindergarten]]*M$75)*M$69)*'Source-fte_qualstus_x_servtype'!J37,5)</f>
        <v>210</v>
      </c>
      <c r="Q118" s="66">
        <f>MROUND(((CentreBasedHeadcountEnrolmentsHigh34[[#This Row],[Kindergarten]]*SUM(M$76:M$77))*M$70)*'Source-fte_qualstus_x_servtype'!J37,5)</f>
        <v>970</v>
      </c>
      <c r="R118" s="66">
        <f>MROUND(((CentreBasedHeadcountEnrolmentsHigh34[[#This Row],[Kōhanga Reo]]*SUM(N$74))*N$66)*'Source-fte_qualstus_x_servtype'!J37,5)</f>
        <v>155</v>
      </c>
      <c r="S118" s="66">
        <f>MROUND(((CentreBasedHeadcountEnrolmentsHigh34[[#This Row],[Kōhanga Reo]]*SUM(N$75:N$77))*N$67)*'Source-fte_qualstus_x_servtype'!J37,5)</f>
        <v>300</v>
      </c>
      <c r="T118" s="66">
        <f>MROUND(((CentreBasedHeadcountEnrolmentsHigh34[[#This Row],[Home-based]]*SUM(O$78))*O$67)*'Source-fte_qualstus_x_servtype'!J37,5)</f>
        <v>815</v>
      </c>
      <c r="U118" s="66">
        <f>MROUND(((CentreBasedHeadcountEnrolmentsHigh34[[#This Row],[Playcentre]]*SUM(P$78))*P$67)*0.5,5)</f>
        <v>310</v>
      </c>
      <c r="V118" s="66">
        <f t="shared" si="61"/>
        <v>10345</v>
      </c>
      <c r="X118" s="18"/>
      <c r="Y118" s="1">
        <v>2031</v>
      </c>
      <c r="Z118" s="66">
        <f>MROUND(SUM(HighScenarioCentreBasedFTEDemand39[[#This Row],[Education &amp; Care (under 2s)]:[Education &amp; Care (3+)]])*U$62,5)</f>
        <v>5035</v>
      </c>
      <c r="AA118" s="66">
        <f>MROUND(SUM(HighScenarioCentreBasedFTEDemand39[[#This Row],[Kindergarten (Under 2s)]:[Kindergarten (3+)]])*T$61,5)</f>
        <v>1200</v>
      </c>
      <c r="AB118" s="66">
        <f>MROUND(SUM(HighScenarioCentreBasedFTEDemand39[[#This Row],[Kōhanga Reo (Under 2s)]:[Kōhanga Reo (2+)]])*U$62,5)</f>
        <v>305</v>
      </c>
      <c r="AC118" s="66">
        <f>MROUND(HighScenarioCentreBasedFTEDemand39[[#This Row],[Home-based]]*U$62,5)</f>
        <v>540</v>
      </c>
      <c r="AD118" s="66">
        <f>MROUND(HighScenarioCentreBasedFTEDemand39[[#This Row],[Playcentre]]*U$62,5)</f>
        <v>205</v>
      </c>
      <c r="AE118" s="66">
        <f t="shared" si="62"/>
        <v>7285</v>
      </c>
      <c r="AH118" s="1">
        <v>2031</v>
      </c>
      <c r="AI118" s="84">
        <f>SUM(HighScenarioCentreBasedFTEDemand39[[#This Row],[Education &amp; Care (under 2s)]:[Education &amp; Care (3+)]])-HighScenarioQualifiedFTE43[[#This Row],[Education &amp; Care]]</f>
        <v>2530</v>
      </c>
      <c r="AJ118" s="84">
        <f>SUM(HighScenarioCentreBasedFTEDemand39[[#This Row],[Kindergarten (Under 2s)]:[Kindergarten (3+)]])-HighScenarioQualifiedFTE43[[#This Row],[Kindergarten]]</f>
        <v>0</v>
      </c>
      <c r="AK118" s="84">
        <f>SUM(HighScenarioCentreBasedFTEDemand39[[#This Row],[Kōhanga Reo (Under 2s)]:[Kōhanga Reo (2+)]])-HighScenarioQualifiedFTE43[[#This Row],[Kōhanga Reo]]</f>
        <v>150</v>
      </c>
      <c r="AL118" s="84">
        <f>HighScenarioCentreBasedFTEDemand39[[#This Row],[Home-based]]-HighScenarioQualifiedFTE43[[#This Row],[Home-based]]</f>
        <v>275</v>
      </c>
      <c r="AM118" s="84">
        <f>HighScenarioCentreBasedFTEDemand39[[#This Row],[Playcentre]]-HighScenarioQualifiedFTE43[[#This Row],[Playcentre]]</f>
        <v>105</v>
      </c>
      <c r="AN118" s="84">
        <f t="shared" si="63"/>
        <v>3060</v>
      </c>
    </row>
    <row r="119" spans="1:40" outlineLevel="1">
      <c r="B119" s="1">
        <v>2032</v>
      </c>
      <c r="C119" s="83">
        <f>MROUND(('T15'!$T22*C$75),5)</f>
        <v>45795</v>
      </c>
      <c r="D119" s="83">
        <f>MROUND(('T15'!$T22*D$75),5)</f>
        <v>9090</v>
      </c>
      <c r="E119" s="83">
        <f>MROUND(('T15'!$T22*E$75),5)</f>
        <v>2775</v>
      </c>
      <c r="F119" s="83">
        <f>MROUND(('T15'!$T22*F$75),5)</f>
        <v>3735</v>
      </c>
      <c r="G119" s="83">
        <f>MROUND(('T15'!$T22*G$75),5)</f>
        <v>3115</v>
      </c>
      <c r="H119" s="66">
        <f t="shared" si="60"/>
        <v>64510</v>
      </c>
      <c r="J119" s="18"/>
      <c r="K119" s="1">
        <v>2032</v>
      </c>
      <c r="L119" s="66">
        <f>MROUND(((CentreBasedHeadcountEnrolmentsHigh34[[#This Row],[Education &amp; Care]]*L$74)*L$68)*'Source-fte_qualstus_x_servtype'!J38,5)</f>
        <v>2100</v>
      </c>
      <c r="M119" s="66">
        <f>MROUND(((CentreBasedHeadcountEnrolmentsHigh34[[#This Row],[Education &amp; Care]]*L$75)*L$69)*'Source-fte_qualstus_x_servtype'!J38,5)</f>
        <v>1795</v>
      </c>
      <c r="N119" s="66">
        <f>MROUND(((CentreBasedHeadcountEnrolmentsHigh34[[#This Row],[Education &amp; Care]]*SUM(L$76:L$77))*L$70)*'Source-fte_qualstus_x_servtype'!J38,5)</f>
        <v>3700</v>
      </c>
      <c r="O119" s="66">
        <f>MROUND(((CentreBasedHeadcountEnrolmentsHigh34[[#This Row],[Kindergarten]]*M$74)*M$68)*'Source-fte_qualstus_x_servtype'!J38,5)</f>
        <v>20</v>
      </c>
      <c r="P119" s="66">
        <f>MROUND(((CentreBasedHeadcountEnrolmentsHigh34[[#This Row],[Kindergarten]]*M$75)*M$69)*'Source-fte_qualstus_x_servtype'!J38,5)</f>
        <v>210</v>
      </c>
      <c r="Q119" s="66">
        <f>MROUND(((CentreBasedHeadcountEnrolmentsHigh34[[#This Row],[Kindergarten]]*SUM(M$76:M$77))*M$70)*'Source-fte_qualstus_x_servtype'!J38,5)</f>
        <v>975</v>
      </c>
      <c r="R119" s="66">
        <f>MROUND(((CentreBasedHeadcountEnrolmentsHigh34[[#This Row],[Kōhanga Reo]]*SUM(N$74))*N$66)*'Source-fte_qualstus_x_servtype'!J38,5)</f>
        <v>155</v>
      </c>
      <c r="S119" s="66">
        <f>MROUND(((CentreBasedHeadcountEnrolmentsHigh34[[#This Row],[Kōhanga Reo]]*SUM(N$75:N$77))*N$67)*'Source-fte_qualstus_x_servtype'!J38,5)</f>
        <v>305</v>
      </c>
      <c r="T119" s="66">
        <f>MROUND(((CentreBasedHeadcountEnrolmentsHigh34[[#This Row],[Home-based]]*SUM(O$78))*O$67)*'Source-fte_qualstus_x_servtype'!J38,5)</f>
        <v>820</v>
      </c>
      <c r="U119" s="66">
        <f>MROUND(((CentreBasedHeadcountEnrolmentsHigh34[[#This Row],[Playcentre]]*SUM(P$78))*P$67)*0.5,5)</f>
        <v>310</v>
      </c>
      <c r="V119" s="66">
        <f t="shared" si="61"/>
        <v>10390</v>
      </c>
      <c r="X119" s="18"/>
      <c r="Y119" s="1">
        <v>2032</v>
      </c>
      <c r="Z119" s="66">
        <f>MROUND(SUM(HighScenarioCentreBasedFTEDemand39[[#This Row],[Education &amp; Care (under 2s)]:[Education &amp; Care (3+)]])*U$62,5)</f>
        <v>5055</v>
      </c>
      <c r="AA119" s="66">
        <f>MROUND(SUM(HighScenarioCentreBasedFTEDemand39[[#This Row],[Kindergarten (Under 2s)]:[Kindergarten (3+)]])*T$61,5)</f>
        <v>1205</v>
      </c>
      <c r="AB119" s="66">
        <f>MROUND(SUM(HighScenarioCentreBasedFTEDemand39[[#This Row],[Kōhanga Reo (Under 2s)]:[Kōhanga Reo (2+)]])*U$62,5)</f>
        <v>305</v>
      </c>
      <c r="AC119" s="66">
        <f>MROUND(HighScenarioCentreBasedFTEDemand39[[#This Row],[Home-based]]*U$62,5)</f>
        <v>545</v>
      </c>
      <c r="AD119" s="66">
        <f>MROUND(HighScenarioCentreBasedFTEDemand39[[#This Row],[Playcentre]]*U$62,5)</f>
        <v>205</v>
      </c>
      <c r="AE119" s="66">
        <f t="shared" si="62"/>
        <v>7315</v>
      </c>
      <c r="AH119" s="1">
        <v>2032</v>
      </c>
      <c r="AI119" s="84">
        <f>SUM(HighScenarioCentreBasedFTEDemand39[[#This Row],[Education &amp; Care (under 2s)]:[Education &amp; Care (3+)]])-HighScenarioQualifiedFTE43[[#This Row],[Education &amp; Care]]</f>
        <v>2540</v>
      </c>
      <c r="AJ119" s="84">
        <f>SUM(HighScenarioCentreBasedFTEDemand39[[#This Row],[Kindergarten (Under 2s)]:[Kindergarten (3+)]])-HighScenarioQualifiedFTE43[[#This Row],[Kindergarten]]</f>
        <v>0</v>
      </c>
      <c r="AK119" s="84">
        <f>SUM(HighScenarioCentreBasedFTEDemand39[[#This Row],[Kōhanga Reo (Under 2s)]:[Kōhanga Reo (2+)]])-HighScenarioQualifiedFTE43[[#This Row],[Kōhanga Reo]]</f>
        <v>155</v>
      </c>
      <c r="AL119" s="84">
        <f>HighScenarioCentreBasedFTEDemand39[[#This Row],[Home-based]]-HighScenarioQualifiedFTE43[[#This Row],[Home-based]]</f>
        <v>275</v>
      </c>
      <c r="AM119" s="84">
        <f>HighScenarioCentreBasedFTEDemand39[[#This Row],[Playcentre]]-HighScenarioQualifiedFTE43[[#This Row],[Playcentre]]</f>
        <v>105</v>
      </c>
      <c r="AN119" s="84">
        <f t="shared" si="63"/>
        <v>3075</v>
      </c>
    </row>
    <row r="120" spans="1:40" outlineLevel="1">
      <c r="B120" s="1">
        <v>2033</v>
      </c>
      <c r="C120" s="83">
        <f>MROUND(('T15'!$T23*C$75),5)</f>
        <v>45800</v>
      </c>
      <c r="D120" s="83">
        <f>MROUND(('T15'!$T23*D$75),5)</f>
        <v>9090</v>
      </c>
      <c r="E120" s="83">
        <f>MROUND(('T15'!$T23*E$75),5)</f>
        <v>2775</v>
      </c>
      <c r="F120" s="83">
        <f>MROUND(('T15'!$T23*F$75),5)</f>
        <v>3735</v>
      </c>
      <c r="G120" s="83">
        <f>MROUND(('T15'!$T23*G$75),5)</f>
        <v>3115</v>
      </c>
      <c r="H120" s="66">
        <f t="shared" si="60"/>
        <v>64515</v>
      </c>
      <c r="J120" s="18"/>
      <c r="K120" s="1">
        <v>2033</v>
      </c>
      <c r="L120" s="66">
        <f>MROUND(((CentreBasedHeadcountEnrolmentsHigh34[[#This Row],[Education &amp; Care]]*L$74)*L$68)*'Source-fte_qualstus_x_servtype'!J39,5)</f>
        <v>2110</v>
      </c>
      <c r="M120" s="66">
        <f>MROUND(((CentreBasedHeadcountEnrolmentsHigh34[[#This Row],[Education &amp; Care]]*L$75)*L$69)*'Source-fte_qualstus_x_servtype'!J39,5)</f>
        <v>1805</v>
      </c>
      <c r="N120" s="66">
        <f>MROUND(((CentreBasedHeadcountEnrolmentsHigh34[[#This Row],[Education &amp; Care]]*SUM(L$76:L$77))*L$70)*'Source-fte_qualstus_x_servtype'!J39,5)</f>
        <v>3715</v>
      </c>
      <c r="O120" s="66">
        <f>MROUND(((CentreBasedHeadcountEnrolmentsHigh34[[#This Row],[Kindergarten]]*M$74)*M$68)*'Source-fte_qualstus_x_servtype'!J39,5)</f>
        <v>25</v>
      </c>
      <c r="P120" s="66">
        <f>MROUND(((CentreBasedHeadcountEnrolmentsHigh34[[#This Row],[Kindergarten]]*M$75)*M$69)*'Source-fte_qualstus_x_servtype'!J39,5)</f>
        <v>210</v>
      </c>
      <c r="Q120" s="66">
        <f>MROUND(((CentreBasedHeadcountEnrolmentsHigh34[[#This Row],[Kindergarten]]*SUM(M$76:M$77))*M$70)*'Source-fte_qualstus_x_servtype'!J39,5)</f>
        <v>975</v>
      </c>
      <c r="R120" s="66">
        <f>MROUND(((CentreBasedHeadcountEnrolmentsHigh34[[#This Row],[Kōhanga Reo]]*SUM(N$74))*N$66)*'Source-fte_qualstus_x_servtype'!J39,5)</f>
        <v>155</v>
      </c>
      <c r="S120" s="66">
        <f>MROUND(((CentreBasedHeadcountEnrolmentsHigh34[[#This Row],[Kōhanga Reo]]*SUM(N$75:N$77))*N$67)*'Source-fte_qualstus_x_servtype'!J39,5)</f>
        <v>305</v>
      </c>
      <c r="T120" s="66">
        <f>MROUND(((CentreBasedHeadcountEnrolmentsHigh34[[#This Row],[Home-based]]*SUM(O$78))*O$67)*'Source-fte_qualstus_x_servtype'!J39,5)</f>
        <v>825</v>
      </c>
      <c r="U120" s="66">
        <f>MROUND(((CentreBasedHeadcountEnrolmentsHigh34[[#This Row],[Playcentre]]*SUM(P$78))*P$67)*0.5,5)</f>
        <v>310</v>
      </c>
      <c r="V120" s="66">
        <f t="shared" si="61"/>
        <v>10435</v>
      </c>
      <c r="X120" s="18"/>
      <c r="Y120" s="1">
        <v>2033</v>
      </c>
      <c r="Z120" s="66">
        <f>MROUND(SUM(HighScenarioCentreBasedFTEDemand39[[#This Row],[Education &amp; Care (under 2s)]:[Education &amp; Care (3+)]])*U$62,5)</f>
        <v>5075</v>
      </c>
      <c r="AA120" s="66">
        <f>MROUND(SUM(HighScenarioCentreBasedFTEDemand39[[#This Row],[Kindergarten (Under 2s)]:[Kindergarten (3+)]])*T$61,5)</f>
        <v>1210</v>
      </c>
      <c r="AB120" s="66">
        <f>MROUND(SUM(HighScenarioCentreBasedFTEDemand39[[#This Row],[Kōhanga Reo (Under 2s)]:[Kōhanga Reo (2+)]])*U$62,5)</f>
        <v>305</v>
      </c>
      <c r="AC120" s="66">
        <f>MROUND(HighScenarioCentreBasedFTEDemand39[[#This Row],[Home-based]]*U$62,5)</f>
        <v>550</v>
      </c>
      <c r="AD120" s="66">
        <f>MROUND(HighScenarioCentreBasedFTEDemand39[[#This Row],[Playcentre]]*U$62,5)</f>
        <v>205</v>
      </c>
      <c r="AE120" s="66">
        <f t="shared" si="62"/>
        <v>7345</v>
      </c>
      <c r="AH120" s="1">
        <v>2033</v>
      </c>
      <c r="AI120" s="84">
        <f>SUM(HighScenarioCentreBasedFTEDemand39[[#This Row],[Education &amp; Care (under 2s)]:[Education &amp; Care (3+)]])-HighScenarioQualifiedFTE43[[#This Row],[Education &amp; Care]]</f>
        <v>2555</v>
      </c>
      <c r="AJ120" s="84">
        <f>SUM(HighScenarioCentreBasedFTEDemand39[[#This Row],[Kindergarten (Under 2s)]:[Kindergarten (3+)]])-HighScenarioQualifiedFTE43[[#This Row],[Kindergarten]]</f>
        <v>0</v>
      </c>
      <c r="AK120" s="84">
        <f>SUM(HighScenarioCentreBasedFTEDemand39[[#This Row],[Kōhanga Reo (Under 2s)]:[Kōhanga Reo (2+)]])-HighScenarioQualifiedFTE43[[#This Row],[Kōhanga Reo]]</f>
        <v>155</v>
      </c>
      <c r="AL120" s="84">
        <f>HighScenarioCentreBasedFTEDemand39[[#This Row],[Home-based]]-HighScenarioQualifiedFTE43[[#This Row],[Home-based]]</f>
        <v>275</v>
      </c>
      <c r="AM120" s="84">
        <f>HighScenarioCentreBasedFTEDemand39[[#This Row],[Playcentre]]-HighScenarioQualifiedFTE43[[#This Row],[Playcentre]]</f>
        <v>105</v>
      </c>
      <c r="AN120" s="84">
        <f t="shared" si="63"/>
        <v>3090</v>
      </c>
    </row>
    <row r="121" spans="1:40" outlineLevel="1">
      <c r="B121" s="1">
        <v>2034</v>
      </c>
      <c r="C121" s="83">
        <f>MROUND(('T15'!$T24*C$75),5)</f>
        <v>45835</v>
      </c>
      <c r="D121" s="83">
        <f>MROUND(('T15'!$T24*D$75),5)</f>
        <v>9095</v>
      </c>
      <c r="E121" s="83">
        <f>MROUND(('T15'!$T24*E$75),5)</f>
        <v>2780</v>
      </c>
      <c r="F121" s="83">
        <f>MROUND(('T15'!$T24*F$75),5)</f>
        <v>3735</v>
      </c>
      <c r="G121" s="83">
        <f>MROUND(('T15'!$T24*G$75),5)</f>
        <v>3120</v>
      </c>
      <c r="H121" s="66">
        <f t="shared" si="60"/>
        <v>64565</v>
      </c>
      <c r="J121" s="18"/>
      <c r="K121" s="1">
        <v>2034</v>
      </c>
      <c r="L121" s="66">
        <f>MROUND(((CentreBasedHeadcountEnrolmentsHigh34[[#This Row],[Education &amp; Care]]*L$74)*L$68)*'Source-fte_qualstus_x_servtype'!J40,5)</f>
        <v>2120</v>
      </c>
      <c r="M121" s="66">
        <f>MROUND(((CentreBasedHeadcountEnrolmentsHigh34[[#This Row],[Education &amp; Care]]*L$75)*L$69)*'Source-fte_qualstus_x_servtype'!J40,5)</f>
        <v>1815</v>
      </c>
      <c r="N121" s="66">
        <f>MROUND(((CentreBasedHeadcountEnrolmentsHigh34[[#This Row],[Education &amp; Care]]*SUM(L$76:L$77))*L$70)*'Source-fte_qualstus_x_servtype'!J40,5)</f>
        <v>3735</v>
      </c>
      <c r="O121" s="66">
        <f>MROUND(((CentreBasedHeadcountEnrolmentsHigh34[[#This Row],[Kindergarten]]*M$74)*M$68)*'Source-fte_qualstus_x_servtype'!J40,5)</f>
        <v>25</v>
      </c>
      <c r="P121" s="66">
        <f>MROUND(((CentreBasedHeadcountEnrolmentsHigh34[[#This Row],[Kindergarten]]*M$75)*M$69)*'Source-fte_qualstus_x_servtype'!J40,5)</f>
        <v>210</v>
      </c>
      <c r="Q121" s="66">
        <f>MROUND(((CentreBasedHeadcountEnrolmentsHigh34[[#This Row],[Kindergarten]]*SUM(M$76:M$77))*M$70)*'Source-fte_qualstus_x_servtype'!J40,5)</f>
        <v>980</v>
      </c>
      <c r="R121" s="66">
        <f>MROUND(((CentreBasedHeadcountEnrolmentsHigh34[[#This Row],[Kōhanga Reo]]*SUM(N$74))*N$66)*'Source-fte_qualstus_x_servtype'!J40,5)</f>
        <v>155</v>
      </c>
      <c r="S121" s="66">
        <f>MROUND(((CentreBasedHeadcountEnrolmentsHigh34[[#This Row],[Kōhanga Reo]]*SUM(N$75:N$77))*N$67)*'Source-fte_qualstus_x_servtype'!J40,5)</f>
        <v>305</v>
      </c>
      <c r="T121" s="66">
        <f>MROUND(((CentreBasedHeadcountEnrolmentsHigh34[[#This Row],[Home-based]]*SUM(O$78))*O$67)*'Source-fte_qualstus_x_servtype'!J40,5)</f>
        <v>825</v>
      </c>
      <c r="U121" s="66">
        <f>MROUND(((CentreBasedHeadcountEnrolmentsHigh34[[#This Row],[Playcentre]]*SUM(P$78))*P$67)*0.5,5)</f>
        <v>310</v>
      </c>
      <c r="V121" s="66">
        <f t="shared" si="61"/>
        <v>10480</v>
      </c>
      <c r="X121" s="18"/>
      <c r="Y121" s="1">
        <v>2034</v>
      </c>
      <c r="Z121" s="66">
        <f>MROUND(SUM(HighScenarioCentreBasedFTEDemand39[[#This Row],[Education &amp; Care (under 2s)]:[Education &amp; Care (3+)]])*U$62,5)</f>
        <v>5100</v>
      </c>
      <c r="AA121" s="66">
        <f>MROUND(SUM(HighScenarioCentreBasedFTEDemand39[[#This Row],[Kindergarten (Under 2s)]:[Kindergarten (3+)]])*T$61,5)</f>
        <v>1215</v>
      </c>
      <c r="AB121" s="66">
        <f>MROUND(SUM(HighScenarioCentreBasedFTEDemand39[[#This Row],[Kōhanga Reo (Under 2s)]:[Kōhanga Reo (2+)]])*U$62,5)</f>
        <v>305</v>
      </c>
      <c r="AC121" s="66">
        <f>MROUND(HighScenarioCentreBasedFTEDemand39[[#This Row],[Home-based]]*U$62,5)</f>
        <v>550</v>
      </c>
      <c r="AD121" s="66">
        <f>MROUND(HighScenarioCentreBasedFTEDemand39[[#This Row],[Playcentre]]*U$62,5)</f>
        <v>205</v>
      </c>
      <c r="AE121" s="66">
        <f t="shared" si="62"/>
        <v>7375</v>
      </c>
      <c r="AH121" s="1">
        <v>2034</v>
      </c>
      <c r="AI121" s="84">
        <f>SUM(HighScenarioCentreBasedFTEDemand39[[#This Row],[Education &amp; Care (under 2s)]:[Education &amp; Care (3+)]])-HighScenarioQualifiedFTE43[[#This Row],[Education &amp; Care]]</f>
        <v>2570</v>
      </c>
      <c r="AJ121" s="84">
        <f>SUM(HighScenarioCentreBasedFTEDemand39[[#This Row],[Kindergarten (Under 2s)]:[Kindergarten (3+)]])-HighScenarioQualifiedFTE43[[#This Row],[Kindergarten]]</f>
        <v>0</v>
      </c>
      <c r="AK121" s="84">
        <f>SUM(HighScenarioCentreBasedFTEDemand39[[#This Row],[Kōhanga Reo (Under 2s)]:[Kōhanga Reo (2+)]])-HighScenarioQualifiedFTE43[[#This Row],[Kōhanga Reo]]</f>
        <v>155</v>
      </c>
      <c r="AL121" s="84">
        <f>HighScenarioCentreBasedFTEDemand39[[#This Row],[Home-based]]-HighScenarioQualifiedFTE43[[#This Row],[Home-based]]</f>
        <v>275</v>
      </c>
      <c r="AM121" s="84">
        <f>HighScenarioCentreBasedFTEDemand39[[#This Row],[Playcentre]]-HighScenarioQualifiedFTE43[[#This Row],[Playcentre]]</f>
        <v>105</v>
      </c>
      <c r="AN121" s="84">
        <f t="shared" si="63"/>
        <v>3105</v>
      </c>
    </row>
    <row r="122" spans="1:40" outlineLevel="1">
      <c r="B122" s="1">
        <v>2035</v>
      </c>
      <c r="C122" s="83">
        <f>MROUND(('T15'!$T25*C$75),5)</f>
        <v>45895</v>
      </c>
      <c r="D122" s="83">
        <f>MROUND(('T15'!$T25*D$75),5)</f>
        <v>9110</v>
      </c>
      <c r="E122" s="83">
        <f>MROUND(('T15'!$T25*E$75),5)</f>
        <v>2780</v>
      </c>
      <c r="F122" s="83">
        <f>MROUND(('T15'!$T25*F$75),5)</f>
        <v>3745</v>
      </c>
      <c r="G122" s="83">
        <f>MROUND(('T15'!$T25*G$75),5)</f>
        <v>3125</v>
      </c>
      <c r="H122" s="66">
        <f t="shared" si="60"/>
        <v>64655</v>
      </c>
      <c r="J122" s="18"/>
      <c r="K122" s="1">
        <v>2035</v>
      </c>
      <c r="L122" s="66">
        <f>MROUND(((CentreBasedHeadcountEnrolmentsHigh34[[#This Row],[Education &amp; Care]]*L$74)*L$68)*'Source-fte_qualstus_x_servtype'!J41,5)</f>
        <v>2130</v>
      </c>
      <c r="M122" s="66">
        <f>MROUND(((CentreBasedHeadcountEnrolmentsHigh34[[#This Row],[Education &amp; Care]]*L$75)*L$69)*'Source-fte_qualstus_x_servtype'!J41,5)</f>
        <v>1825</v>
      </c>
      <c r="N122" s="66">
        <f>MROUND(((CentreBasedHeadcountEnrolmentsHigh34[[#This Row],[Education &amp; Care]]*SUM(L$76:L$77))*L$70)*'Source-fte_qualstus_x_servtype'!J41,5)</f>
        <v>3755</v>
      </c>
      <c r="O122" s="66">
        <f>MROUND(((CentreBasedHeadcountEnrolmentsHigh34[[#This Row],[Kindergarten]]*M$74)*M$68)*'Source-fte_qualstus_x_servtype'!J41,5)</f>
        <v>25</v>
      </c>
      <c r="P122" s="66">
        <f>MROUND(((CentreBasedHeadcountEnrolmentsHigh34[[#This Row],[Kindergarten]]*M$75)*M$69)*'Source-fte_qualstus_x_servtype'!J41,5)</f>
        <v>210</v>
      </c>
      <c r="Q122" s="66">
        <f>MROUND(((CentreBasedHeadcountEnrolmentsHigh34[[#This Row],[Kindergarten]]*SUM(M$76:M$77))*M$70)*'Source-fte_qualstus_x_servtype'!J41,5)</f>
        <v>990</v>
      </c>
      <c r="R122" s="66">
        <f>MROUND(((CentreBasedHeadcountEnrolmentsHigh34[[#This Row],[Kōhanga Reo]]*SUM(N$74))*N$66)*'Source-fte_qualstus_x_servtype'!J41,5)</f>
        <v>155</v>
      </c>
      <c r="S122" s="66">
        <f>MROUND(((CentreBasedHeadcountEnrolmentsHigh34[[#This Row],[Kōhanga Reo]]*SUM(N$75:N$77))*N$67)*'Source-fte_qualstus_x_servtype'!J41,5)</f>
        <v>310</v>
      </c>
      <c r="T122" s="66">
        <f>MROUND(((CentreBasedHeadcountEnrolmentsHigh34[[#This Row],[Home-based]]*SUM(O$78))*O$67)*'Source-fte_qualstus_x_servtype'!J41,5)</f>
        <v>835</v>
      </c>
      <c r="U122" s="66">
        <f>MROUND(((CentreBasedHeadcountEnrolmentsHigh34[[#This Row],[Playcentre]]*SUM(P$78))*P$67)*0.5,5)</f>
        <v>315</v>
      </c>
      <c r="V122" s="66">
        <f t="shared" si="61"/>
        <v>10550</v>
      </c>
      <c r="X122" s="18"/>
      <c r="Y122" s="1">
        <v>2035</v>
      </c>
      <c r="Z122" s="66">
        <f>MROUND(SUM(HighScenarioCentreBasedFTEDemand39[[#This Row],[Education &amp; Care (under 2s)]:[Education &amp; Care (3+)]])*U$62,5)</f>
        <v>5130</v>
      </c>
      <c r="AA122" s="66">
        <f>MROUND(SUM(HighScenarioCentreBasedFTEDemand39[[#This Row],[Kindergarten (Under 2s)]:[Kindergarten (3+)]])*T$61,5)</f>
        <v>1225</v>
      </c>
      <c r="AB122" s="66">
        <f>MROUND(SUM(HighScenarioCentreBasedFTEDemand39[[#This Row],[Kōhanga Reo (Under 2s)]:[Kōhanga Reo (2+)]])*U$62,5)</f>
        <v>310</v>
      </c>
      <c r="AC122" s="66">
        <f>MROUND(HighScenarioCentreBasedFTEDemand39[[#This Row],[Home-based]]*U$62,5)</f>
        <v>555</v>
      </c>
      <c r="AD122" s="66">
        <f>MROUND(HighScenarioCentreBasedFTEDemand39[[#This Row],[Playcentre]]*U$62,5)</f>
        <v>210</v>
      </c>
      <c r="AE122" s="66">
        <f t="shared" si="62"/>
        <v>7430</v>
      </c>
      <c r="AH122" s="1">
        <v>2035</v>
      </c>
      <c r="AI122" s="84">
        <f>SUM(HighScenarioCentreBasedFTEDemand39[[#This Row],[Education &amp; Care (under 2s)]:[Education &amp; Care (3+)]])-HighScenarioQualifiedFTE43[[#This Row],[Education &amp; Care]]</f>
        <v>2580</v>
      </c>
      <c r="AJ122" s="84">
        <f>SUM(HighScenarioCentreBasedFTEDemand39[[#This Row],[Kindergarten (Under 2s)]:[Kindergarten (3+)]])-HighScenarioQualifiedFTE43[[#This Row],[Kindergarten]]</f>
        <v>0</v>
      </c>
      <c r="AK122" s="84">
        <f>SUM(HighScenarioCentreBasedFTEDemand39[[#This Row],[Kōhanga Reo (Under 2s)]:[Kōhanga Reo (2+)]])-HighScenarioQualifiedFTE43[[#This Row],[Kōhanga Reo]]</f>
        <v>155</v>
      </c>
      <c r="AL122" s="84">
        <f>HighScenarioCentreBasedFTEDemand39[[#This Row],[Home-based]]-HighScenarioQualifiedFTE43[[#This Row],[Home-based]]</f>
        <v>280</v>
      </c>
      <c r="AM122" s="84">
        <f>HighScenarioCentreBasedFTEDemand39[[#This Row],[Playcentre]]-HighScenarioQualifiedFTE43[[#This Row],[Playcentre]]</f>
        <v>105</v>
      </c>
      <c r="AN122" s="84">
        <f t="shared" si="63"/>
        <v>3120</v>
      </c>
    </row>
    <row r="124" spans="1:40">
      <c r="A124" s="6" t="s">
        <v>390</v>
      </c>
      <c r="J124" s="6" t="s">
        <v>391</v>
      </c>
    </row>
    <row r="125" spans="1:40" ht="29.1" outlineLevel="1">
      <c r="B125" s="1" t="s">
        <v>229</v>
      </c>
      <c r="C125" s="69" t="s">
        <v>296</v>
      </c>
      <c r="D125" s="69" t="s">
        <v>308</v>
      </c>
      <c r="E125" s="69" t="s">
        <v>302</v>
      </c>
      <c r="F125" s="92" t="s">
        <v>382</v>
      </c>
      <c r="G125" s="69" t="s">
        <v>301</v>
      </c>
      <c r="H125" s="23" t="s">
        <v>236</v>
      </c>
      <c r="K125" s="1" t="s">
        <v>229</v>
      </c>
      <c r="L125" s="15" t="s">
        <v>364</v>
      </c>
      <c r="M125" s="15" t="s">
        <v>365</v>
      </c>
      <c r="N125" s="15" t="s">
        <v>366</v>
      </c>
      <c r="O125" s="15" t="s">
        <v>367</v>
      </c>
      <c r="P125" s="15" t="s">
        <v>368</v>
      </c>
      <c r="Q125" s="15" t="s">
        <v>369</v>
      </c>
      <c r="R125" s="15" t="s">
        <v>386</v>
      </c>
      <c r="S125" s="15" t="s">
        <v>387</v>
      </c>
      <c r="T125" s="96" t="s">
        <v>382</v>
      </c>
      <c r="U125" s="15" t="s">
        <v>301</v>
      </c>
      <c r="V125" s="15" t="s">
        <v>370</v>
      </c>
    </row>
    <row r="126" spans="1:40" outlineLevel="1">
      <c r="B126" s="1">
        <v>2025</v>
      </c>
      <c r="C126" s="83">
        <v>43535</v>
      </c>
      <c r="D126" s="83">
        <v>8640</v>
      </c>
      <c r="E126" s="83">
        <v>2640</v>
      </c>
      <c r="F126" s="83">
        <v>3550</v>
      </c>
      <c r="G126" s="83">
        <v>2960</v>
      </c>
      <c r="H126" s="66">
        <v>66040</v>
      </c>
      <c r="K126" s="1">
        <v>2025</v>
      </c>
      <c r="L126" s="66">
        <f>MROUND(((ComplianceScenarioHeadcountEnrolments[[#This Row],[Education &amp; Care]]*L$74)*L$66)*'Source-fte_qualstus_x_servtype'!J31,1)</f>
        <v>1556</v>
      </c>
      <c r="M126" s="66">
        <f>MROUND(((ComplianceScenarioHeadcountEnrolments[[#This Row],[Education &amp; Care]]*L$75)*L$67)*'Source-fte_qualstus_x_servtype'!J31,5)</f>
        <v>855</v>
      </c>
      <c r="N126" s="66">
        <f>MROUND(((ComplianceScenarioHeadcountEnrolments[[#This Row],[Education &amp; Care]]*SUM(L$76:L$77))*L$67)*'Source-fte_qualstus_x_servtype'!J31,5)</f>
        <v>2075</v>
      </c>
      <c r="O126" s="66">
        <f>MROUND(((ComplianceScenarioHeadcountEnrolments[[#This Row],[Kindergarten]]*M$74)*M$66)*'Source-fte_qualstus_x_servtype'!J31,5)</f>
        <v>20</v>
      </c>
      <c r="P126" s="66">
        <f>MROUND(((ComplianceScenarioHeadcountEnrolments[[#This Row],[Kindergarten]]*M$75)*M$67)*'Source-fte_qualstus_x_servtype'!J31,5)</f>
        <v>110</v>
      </c>
      <c r="Q126" s="66">
        <f>MROUND(((ComplianceScenarioHeadcountEnrolments[[#This Row],[Kindergarten]]*SUM(M$76:M$77))*M$67)*'Source-fte_qualstus_x_servtype'!J31,5)</f>
        <v>615</v>
      </c>
      <c r="R126" s="66">
        <f>MROUND(((ComplianceScenarioHeadcountEnrolments[[#This Row],[Kōhanga Reo]]*SUM(N$74))*N$66)*'Source-fte_qualstus_x_servtype'!J31,5)</f>
        <v>145</v>
      </c>
      <c r="S126" s="66">
        <f>MROUND(((ComplianceScenarioHeadcountEnrolments[[#This Row],[Kōhanga Reo]]*SUM(N$75:N$77))*N$67)*'Source-fte_qualstus_x_servtype'!J31,5)</f>
        <v>280</v>
      </c>
      <c r="T126" s="66">
        <f>MROUND(((ComplianceScenarioHeadcountEnrolments[[#This Row],[Home-based]]*SUM(O$78))*O$67)*'Source-fte_qualstus_x_servtype'!J31,5)</f>
        <v>755</v>
      </c>
      <c r="U126" s="66">
        <f>MROUND(((ComplianceScenarioHeadcountEnrolments[[#This Row],[Playcentre]]*SUM(P$78))*P$67)*0.5,5)</f>
        <v>295</v>
      </c>
      <c r="V126" s="66">
        <f>SUM(L126:U126)</f>
        <v>6706</v>
      </c>
    </row>
    <row r="127" spans="1:40" outlineLevel="1">
      <c r="B127" s="1">
        <v>2026</v>
      </c>
      <c r="C127" s="83">
        <v>42650</v>
      </c>
      <c r="D127" s="83">
        <v>8465</v>
      </c>
      <c r="E127" s="83">
        <v>2585</v>
      </c>
      <c r="F127" s="83">
        <v>3480</v>
      </c>
      <c r="G127" s="83">
        <v>2900</v>
      </c>
      <c r="H127" s="66">
        <v>64690</v>
      </c>
      <c r="K127" s="1">
        <v>2026</v>
      </c>
      <c r="L127" s="66">
        <f>MROUND(((ComplianceScenarioHeadcountEnrolments[[#This Row],[Education &amp; Care]]*L$74)*L$66)*'Source-fte_qualstus_x_servtype'!J32,1)</f>
        <v>1531</v>
      </c>
      <c r="M127" s="66">
        <f>MROUND(((ComplianceScenarioHeadcountEnrolments[[#This Row],[Education &amp; Care]]*L$75)*L$67)*'Source-fte_qualstus_x_servtype'!J32,5)</f>
        <v>840</v>
      </c>
      <c r="N127" s="66">
        <f>MROUND(((ComplianceScenarioHeadcountEnrolments[[#This Row],[Education &amp; Care]]*SUM(L$76:L$77))*L$67)*'Source-fte_qualstus_x_servtype'!J32,5)</f>
        <v>2040</v>
      </c>
      <c r="O127" s="66">
        <f>MROUND(((ComplianceScenarioHeadcountEnrolments[[#This Row],[Kindergarten]]*M$74)*M$66)*'Source-fte_qualstus_x_servtype'!J32,5)</f>
        <v>20</v>
      </c>
      <c r="P127" s="66">
        <f>MROUND(((ComplianceScenarioHeadcountEnrolments[[#This Row],[Kindergarten]]*M$75)*M$67)*'Source-fte_qualstus_x_servtype'!J32,5)</f>
        <v>110</v>
      </c>
      <c r="Q127" s="66">
        <f>MROUND(((ComplianceScenarioHeadcountEnrolments[[#This Row],[Kindergarten]]*SUM(M$76:M$77))*M$67)*'Source-fte_qualstus_x_servtype'!J32,5)</f>
        <v>605</v>
      </c>
      <c r="R127" s="66">
        <f>MROUND(((ComplianceScenarioHeadcountEnrolments[[#This Row],[Kōhanga Reo]]*SUM(N$74))*N$66)*'Source-fte_qualstus_x_servtype'!J32,5)</f>
        <v>140</v>
      </c>
      <c r="S127" s="66">
        <f>MROUND(((ComplianceScenarioHeadcountEnrolments[[#This Row],[Kōhanga Reo]]*SUM(N$75:N$77))*N$67)*'Source-fte_qualstus_x_servtype'!J32,5)</f>
        <v>275</v>
      </c>
      <c r="T127" s="66">
        <f>MROUND(((ComplianceScenarioHeadcountEnrolments[[#This Row],[Home-based]]*SUM(O$78))*O$67)*'Source-fte_qualstus_x_servtype'!J32,5)</f>
        <v>745</v>
      </c>
      <c r="U127" s="66">
        <f>MROUND(((ComplianceScenarioHeadcountEnrolments[[#This Row],[Playcentre]]*SUM(P$78))*P$67)*0.5,5)</f>
        <v>290</v>
      </c>
      <c r="V127" s="66">
        <f t="shared" ref="V127:V136" si="64">SUM(L127:U127)</f>
        <v>6596</v>
      </c>
    </row>
    <row r="128" spans="1:40" outlineLevel="1">
      <c r="B128" s="1">
        <v>2027</v>
      </c>
      <c r="C128" s="83">
        <v>41895</v>
      </c>
      <c r="D128" s="83">
        <v>8315</v>
      </c>
      <c r="E128" s="83">
        <v>2540</v>
      </c>
      <c r="F128" s="83">
        <v>3415</v>
      </c>
      <c r="G128" s="83">
        <v>2850</v>
      </c>
      <c r="H128" s="66">
        <v>63540</v>
      </c>
      <c r="K128" s="1">
        <v>2027</v>
      </c>
      <c r="L128" s="66">
        <f>MROUND(((ComplianceScenarioHeadcountEnrolments[[#This Row],[Education &amp; Care]]*L$74)*L$66)*'Source-fte_qualstus_x_servtype'!J33,1)</f>
        <v>1511</v>
      </c>
      <c r="M128" s="66">
        <f>MROUND(((ComplianceScenarioHeadcountEnrolments[[#This Row],[Education &amp; Care]]*L$75)*L$67)*'Source-fte_qualstus_x_servtype'!J33,5)</f>
        <v>830</v>
      </c>
      <c r="N128" s="66">
        <f>MROUND(((ComplianceScenarioHeadcountEnrolments[[#This Row],[Education &amp; Care]]*SUM(L$76:L$77))*L$67)*'Source-fte_qualstus_x_servtype'!J33,5)</f>
        <v>2015</v>
      </c>
      <c r="O128" s="66">
        <f>MROUND(((ComplianceScenarioHeadcountEnrolments[[#This Row],[Kindergarten]]*M$74)*M$66)*'Source-fte_qualstus_x_servtype'!J33,5)</f>
        <v>20</v>
      </c>
      <c r="P128" s="66">
        <f>MROUND(((ComplianceScenarioHeadcountEnrolments[[#This Row],[Kindergarten]]*M$75)*M$67)*'Source-fte_qualstus_x_servtype'!J33,5)</f>
        <v>105</v>
      </c>
      <c r="Q128" s="66">
        <f>MROUND(((ComplianceScenarioHeadcountEnrolments[[#This Row],[Kindergarten]]*SUM(M$76:M$77))*M$67)*'Source-fte_qualstus_x_servtype'!J33,5)</f>
        <v>600</v>
      </c>
      <c r="R128" s="66">
        <f>MROUND(((ComplianceScenarioHeadcountEnrolments[[#This Row],[Kōhanga Reo]]*SUM(N$74))*N$66)*'Source-fte_qualstus_x_servtype'!J33,5)</f>
        <v>140</v>
      </c>
      <c r="S128" s="66">
        <f>MROUND(((ComplianceScenarioHeadcountEnrolments[[#This Row],[Kōhanga Reo]]*SUM(N$75:N$77))*N$67)*'Source-fte_qualstus_x_servtype'!J33,5)</f>
        <v>270</v>
      </c>
      <c r="T128" s="66">
        <f>MROUND(((ComplianceScenarioHeadcountEnrolments[[#This Row],[Home-based]]*SUM(O$78))*O$67)*'Source-fte_qualstus_x_servtype'!J33,5)</f>
        <v>735</v>
      </c>
      <c r="U128" s="66">
        <f>MROUND(((ComplianceScenarioHeadcountEnrolments[[#This Row],[Playcentre]]*SUM(P$78))*P$67)*0.5,5)</f>
        <v>285</v>
      </c>
      <c r="V128" s="66">
        <f t="shared" si="64"/>
        <v>6511</v>
      </c>
    </row>
    <row r="129" spans="2:22" outlineLevel="1">
      <c r="B129" s="1">
        <v>2028</v>
      </c>
      <c r="C129" s="83">
        <v>42130</v>
      </c>
      <c r="D129" s="83">
        <v>8360</v>
      </c>
      <c r="E129" s="83">
        <v>2555</v>
      </c>
      <c r="F129" s="83">
        <v>3435</v>
      </c>
      <c r="G129" s="83">
        <v>2865</v>
      </c>
      <c r="H129" s="66">
        <v>63905</v>
      </c>
      <c r="K129" s="1">
        <v>2028</v>
      </c>
      <c r="L129" s="66">
        <f>MROUND(((ComplianceScenarioHeadcountEnrolments[[#This Row],[Education &amp; Care]]*L$74)*L$66)*'Source-fte_qualstus_x_servtype'!J34,1)</f>
        <v>1526</v>
      </c>
      <c r="M129" s="66">
        <f>MROUND(((ComplianceScenarioHeadcountEnrolments[[#This Row],[Education &amp; Care]]*L$75)*L$67)*'Source-fte_qualstus_x_servtype'!J34,5)</f>
        <v>840</v>
      </c>
      <c r="N129" s="66">
        <f>MROUND(((ComplianceScenarioHeadcountEnrolments[[#This Row],[Education &amp; Care]]*SUM(L$76:L$77))*L$67)*'Source-fte_qualstus_x_servtype'!J34,5)</f>
        <v>2035</v>
      </c>
      <c r="O129" s="66">
        <f>MROUND(((ComplianceScenarioHeadcountEnrolments[[#This Row],[Kindergarten]]*M$74)*M$66)*'Source-fte_qualstus_x_servtype'!J34,5)</f>
        <v>20</v>
      </c>
      <c r="P129" s="66">
        <f>MROUND(((ComplianceScenarioHeadcountEnrolments[[#This Row],[Kindergarten]]*M$75)*M$67)*'Source-fte_qualstus_x_servtype'!J34,5)</f>
        <v>110</v>
      </c>
      <c r="Q129" s="66">
        <f>MROUND(((ComplianceScenarioHeadcountEnrolments[[#This Row],[Kindergarten]]*SUM(M$76:M$77))*M$67)*'Source-fte_qualstus_x_servtype'!J34,5)</f>
        <v>605</v>
      </c>
      <c r="R129" s="66">
        <f>MROUND(((ComplianceScenarioHeadcountEnrolments[[#This Row],[Kōhanga Reo]]*SUM(N$74))*N$66)*'Source-fte_qualstus_x_servtype'!J34,5)</f>
        <v>140</v>
      </c>
      <c r="S129" s="66">
        <f>MROUND(((ComplianceScenarioHeadcountEnrolments[[#This Row],[Kōhanga Reo]]*SUM(N$75:N$77))*N$67)*'Source-fte_qualstus_x_servtype'!J34,5)</f>
        <v>275</v>
      </c>
      <c r="T129" s="66">
        <f>MROUND(((ComplianceScenarioHeadcountEnrolments[[#This Row],[Home-based]]*SUM(O$78))*O$67)*'Source-fte_qualstus_x_servtype'!J34,5)</f>
        <v>740</v>
      </c>
      <c r="U129" s="66">
        <f>MROUND(((ComplianceScenarioHeadcountEnrolments[[#This Row],[Playcentre]]*SUM(P$78))*P$67)*0.5,5)</f>
        <v>285</v>
      </c>
      <c r="V129" s="66">
        <f t="shared" si="64"/>
        <v>6576</v>
      </c>
    </row>
    <row r="130" spans="2:22" outlineLevel="1">
      <c r="B130" s="1">
        <v>2029</v>
      </c>
      <c r="C130" s="83">
        <v>42405</v>
      </c>
      <c r="D130" s="83">
        <v>8415</v>
      </c>
      <c r="E130" s="83">
        <v>2570</v>
      </c>
      <c r="F130" s="83">
        <v>3460</v>
      </c>
      <c r="G130" s="83">
        <v>2885</v>
      </c>
      <c r="H130" s="66">
        <v>64330</v>
      </c>
      <c r="K130" s="1">
        <v>2029</v>
      </c>
      <c r="L130" s="66">
        <f>MROUND(((ComplianceScenarioHeadcountEnrolments[[#This Row],[Education &amp; Care]]*L$74)*L$66)*'Source-fte_qualstus_x_servtype'!J35,1)</f>
        <v>1543</v>
      </c>
      <c r="M130" s="66">
        <f>MROUND(((ComplianceScenarioHeadcountEnrolments[[#This Row],[Education &amp; Care]]*L$75)*L$67)*'Source-fte_qualstus_x_servtype'!J35,5)</f>
        <v>850</v>
      </c>
      <c r="N130" s="66">
        <f>MROUND(((ComplianceScenarioHeadcountEnrolments[[#This Row],[Education &amp; Care]]*SUM(L$76:L$77))*L$67)*'Source-fte_qualstus_x_servtype'!J35,5)</f>
        <v>2055</v>
      </c>
      <c r="O130" s="66">
        <f>MROUND(((ComplianceScenarioHeadcountEnrolments[[#This Row],[Kindergarten]]*M$74)*M$66)*'Source-fte_qualstus_x_servtype'!J35,5)</f>
        <v>20</v>
      </c>
      <c r="P130" s="66">
        <f>MROUND(((ComplianceScenarioHeadcountEnrolments[[#This Row],[Kindergarten]]*M$75)*M$67)*'Source-fte_qualstus_x_servtype'!J35,5)</f>
        <v>110</v>
      </c>
      <c r="Q130" s="66">
        <f>MROUND(((ComplianceScenarioHeadcountEnrolments[[#This Row],[Kindergarten]]*SUM(M$76:M$77))*M$67)*'Source-fte_qualstus_x_servtype'!J35,5)</f>
        <v>610</v>
      </c>
      <c r="R130" s="66">
        <f>MROUND(((ComplianceScenarioHeadcountEnrolments[[#This Row],[Kōhanga Reo]]*SUM(N$74))*N$66)*'Source-fte_qualstus_x_servtype'!J35,5)</f>
        <v>140</v>
      </c>
      <c r="S130" s="66">
        <f>MROUND(((ComplianceScenarioHeadcountEnrolments[[#This Row],[Kōhanga Reo]]*SUM(N$75:N$77))*N$67)*'Source-fte_qualstus_x_servtype'!J35,5)</f>
        <v>275</v>
      </c>
      <c r="T130" s="66">
        <f>MROUND(((ComplianceScenarioHeadcountEnrolments[[#This Row],[Home-based]]*SUM(O$78))*O$67)*'Source-fte_qualstus_x_servtype'!J35,5)</f>
        <v>750</v>
      </c>
      <c r="U130" s="66">
        <f>MROUND(((ComplianceScenarioHeadcountEnrolments[[#This Row],[Playcentre]]*SUM(P$78))*P$67)*0.5,5)</f>
        <v>290</v>
      </c>
      <c r="V130" s="66">
        <f t="shared" si="64"/>
        <v>6643</v>
      </c>
    </row>
    <row r="131" spans="2:22" outlineLevel="1">
      <c r="B131" s="1">
        <v>2030</v>
      </c>
      <c r="C131" s="83">
        <v>42430</v>
      </c>
      <c r="D131" s="83">
        <v>8420</v>
      </c>
      <c r="E131" s="83">
        <v>2570</v>
      </c>
      <c r="F131" s="83">
        <v>3460</v>
      </c>
      <c r="G131" s="83">
        <v>2885</v>
      </c>
      <c r="H131" s="66">
        <v>64370</v>
      </c>
      <c r="K131" s="1">
        <v>2030</v>
      </c>
      <c r="L131" s="66">
        <f>MROUND(((ComplianceScenarioHeadcountEnrolments[[#This Row],[Education &amp; Care]]*L$74)*L$66)*'Source-fte_qualstus_x_servtype'!J36,1)</f>
        <v>1550</v>
      </c>
      <c r="M131" s="66">
        <f>MROUND(((ComplianceScenarioHeadcountEnrolments[[#This Row],[Education &amp; Care]]*L$75)*L$67)*'Source-fte_qualstus_x_servtype'!J36,5)</f>
        <v>855</v>
      </c>
      <c r="N131" s="66">
        <f>MROUND(((ComplianceScenarioHeadcountEnrolments[[#This Row],[Education &amp; Care]]*SUM(L$76:L$77))*L$67)*'Source-fte_qualstus_x_servtype'!J36,5)</f>
        <v>2065</v>
      </c>
      <c r="O131" s="66">
        <f>MROUND(((ComplianceScenarioHeadcountEnrolments[[#This Row],[Kindergarten]]*M$74)*M$66)*'Source-fte_qualstus_x_servtype'!J36,5)</f>
        <v>20</v>
      </c>
      <c r="P131" s="66">
        <f>MROUND(((ComplianceScenarioHeadcountEnrolments[[#This Row],[Kindergarten]]*M$75)*M$67)*'Source-fte_qualstus_x_servtype'!J36,5)</f>
        <v>110</v>
      </c>
      <c r="Q131" s="66">
        <f>MROUND(((ComplianceScenarioHeadcountEnrolments[[#This Row],[Kindergarten]]*SUM(M$76:M$77))*M$67)*'Source-fte_qualstus_x_servtype'!J36,5)</f>
        <v>615</v>
      </c>
      <c r="R131" s="66">
        <f>MROUND(((ComplianceScenarioHeadcountEnrolments[[#This Row],[Kōhanga Reo]]*SUM(N$74))*N$66)*'Source-fte_qualstus_x_servtype'!J36,5)</f>
        <v>140</v>
      </c>
      <c r="S131" s="66">
        <f>MROUND(((ComplianceScenarioHeadcountEnrolments[[#This Row],[Kōhanga Reo]]*SUM(N$75:N$77))*N$67)*'Source-fte_qualstus_x_servtype'!J36,5)</f>
        <v>280</v>
      </c>
      <c r="T131" s="66">
        <f>MROUND(((ComplianceScenarioHeadcountEnrolments[[#This Row],[Home-based]]*SUM(O$78))*O$67)*'Source-fte_qualstus_x_servtype'!J36,5)</f>
        <v>755</v>
      </c>
      <c r="U131" s="66">
        <f>MROUND(((ComplianceScenarioHeadcountEnrolments[[#This Row],[Playcentre]]*SUM(P$78))*P$67)*0.5,5)</f>
        <v>290</v>
      </c>
      <c r="V131" s="66">
        <f t="shared" si="64"/>
        <v>6680</v>
      </c>
    </row>
    <row r="132" spans="2:22" outlineLevel="1">
      <c r="B132" s="1">
        <v>2031</v>
      </c>
      <c r="C132" s="83">
        <v>42440</v>
      </c>
      <c r="D132" s="83">
        <v>8425</v>
      </c>
      <c r="E132" s="83">
        <v>2575</v>
      </c>
      <c r="F132" s="83">
        <v>3460</v>
      </c>
      <c r="G132" s="83">
        <v>2890</v>
      </c>
      <c r="H132" s="66">
        <v>64375</v>
      </c>
      <c r="K132" s="1">
        <v>2031</v>
      </c>
      <c r="L132" s="66">
        <f>MROUND(((ComplianceScenarioHeadcountEnrolments[[#This Row],[Education &amp; Care]]*L$74)*L$66)*'Source-fte_qualstus_x_servtype'!J37,1)</f>
        <v>1557</v>
      </c>
      <c r="M132" s="66">
        <f>MROUND(((ComplianceScenarioHeadcountEnrolments[[#This Row],[Education &amp; Care]]*L$75)*L$67)*'Source-fte_qualstus_x_servtype'!J37,5)</f>
        <v>855</v>
      </c>
      <c r="N132" s="66">
        <f>MROUND(((ComplianceScenarioHeadcountEnrolments[[#This Row],[Education &amp; Care]]*SUM(L$76:L$77))*L$67)*'Source-fte_qualstus_x_servtype'!J37,5)</f>
        <v>2075</v>
      </c>
      <c r="O132" s="66">
        <f>MROUND(((ComplianceScenarioHeadcountEnrolments[[#This Row],[Kindergarten]]*M$74)*M$66)*'Source-fte_qualstus_x_servtype'!J37,5)</f>
        <v>20</v>
      </c>
      <c r="P132" s="66">
        <f>MROUND(((ComplianceScenarioHeadcountEnrolments[[#This Row],[Kindergarten]]*M$75)*M$67)*'Source-fte_qualstus_x_servtype'!J37,5)</f>
        <v>110</v>
      </c>
      <c r="Q132" s="66">
        <f>MROUND(((ComplianceScenarioHeadcountEnrolments[[#This Row],[Kindergarten]]*SUM(M$76:M$77))*M$67)*'Source-fte_qualstus_x_servtype'!J37,5)</f>
        <v>615</v>
      </c>
      <c r="R132" s="66">
        <f>MROUND(((ComplianceScenarioHeadcountEnrolments[[#This Row],[Kōhanga Reo]]*SUM(N$74))*N$66)*'Source-fte_qualstus_x_servtype'!J37,5)</f>
        <v>145</v>
      </c>
      <c r="S132" s="66">
        <f>MROUND(((ComplianceScenarioHeadcountEnrolments[[#This Row],[Kōhanga Reo]]*SUM(N$75:N$77))*N$67)*'Source-fte_qualstus_x_servtype'!J37,5)</f>
        <v>280</v>
      </c>
      <c r="T132" s="66">
        <f>MROUND(((ComplianceScenarioHeadcountEnrolments[[#This Row],[Home-based]]*SUM(O$78))*O$67)*'Source-fte_qualstus_x_servtype'!J37,5)</f>
        <v>755</v>
      </c>
      <c r="U132" s="66">
        <f>MROUND(((ComplianceScenarioHeadcountEnrolments[[#This Row],[Playcentre]]*SUM(P$78))*P$67)*0.5,5)</f>
        <v>290</v>
      </c>
      <c r="V132" s="66">
        <f t="shared" si="64"/>
        <v>6702</v>
      </c>
    </row>
    <row r="133" spans="2:22" outlineLevel="1">
      <c r="B133" s="1">
        <v>2032</v>
      </c>
      <c r="C133" s="83">
        <v>42440</v>
      </c>
      <c r="D133" s="83">
        <v>8425</v>
      </c>
      <c r="E133" s="83">
        <v>2575</v>
      </c>
      <c r="F133" s="83">
        <v>3460</v>
      </c>
      <c r="G133" s="83">
        <v>2890</v>
      </c>
      <c r="H133" s="66">
        <v>64375</v>
      </c>
      <c r="K133" s="1">
        <v>2032</v>
      </c>
      <c r="L133" s="66">
        <f>MROUND(((ComplianceScenarioHeadcountEnrolments[[#This Row],[Education &amp; Care]]*L$74)*L$66)*'Source-fte_qualstus_x_servtype'!J38,1)</f>
        <v>1564</v>
      </c>
      <c r="M133" s="66">
        <f>MROUND(((ComplianceScenarioHeadcountEnrolments[[#This Row],[Education &amp; Care]]*L$75)*L$67)*'Source-fte_qualstus_x_servtype'!J38,5)</f>
        <v>860</v>
      </c>
      <c r="N133" s="66">
        <f>MROUND(((ComplianceScenarioHeadcountEnrolments[[#This Row],[Education &amp; Care]]*SUM(L$76:L$77))*L$67)*'Source-fte_qualstus_x_servtype'!J38,5)</f>
        <v>2085</v>
      </c>
      <c r="O133" s="66">
        <f>MROUND(((ComplianceScenarioHeadcountEnrolments[[#This Row],[Kindergarten]]*M$74)*M$66)*'Source-fte_qualstus_x_servtype'!J38,5)</f>
        <v>20</v>
      </c>
      <c r="P133" s="66">
        <f>MROUND(((ComplianceScenarioHeadcountEnrolments[[#This Row],[Kindergarten]]*M$75)*M$67)*'Source-fte_qualstus_x_servtype'!J38,5)</f>
        <v>110</v>
      </c>
      <c r="Q133" s="66">
        <f>MROUND(((ComplianceScenarioHeadcountEnrolments[[#This Row],[Kindergarten]]*SUM(M$76:M$77))*M$67)*'Source-fte_qualstus_x_servtype'!J38,5)</f>
        <v>620</v>
      </c>
      <c r="R133" s="66">
        <f>MROUND(((ComplianceScenarioHeadcountEnrolments[[#This Row],[Kōhanga Reo]]*SUM(N$74))*N$66)*'Source-fte_qualstus_x_servtype'!J38,5)</f>
        <v>145</v>
      </c>
      <c r="S133" s="66">
        <f>MROUND(((ComplianceScenarioHeadcountEnrolments[[#This Row],[Kōhanga Reo]]*SUM(N$75:N$77))*N$67)*'Source-fte_qualstus_x_servtype'!J38,5)</f>
        <v>280</v>
      </c>
      <c r="T133" s="66">
        <f>MROUND(((ComplianceScenarioHeadcountEnrolments[[#This Row],[Home-based]]*SUM(O$78))*O$67)*'Source-fte_qualstus_x_servtype'!J38,5)</f>
        <v>760</v>
      </c>
      <c r="U133" s="66">
        <f>MROUND(((ComplianceScenarioHeadcountEnrolments[[#This Row],[Playcentre]]*SUM(P$78))*P$67)*0.5,5)</f>
        <v>290</v>
      </c>
      <c r="V133" s="66">
        <f t="shared" si="64"/>
        <v>6734</v>
      </c>
    </row>
    <row r="134" spans="2:22" outlineLevel="1">
      <c r="B134" s="1">
        <v>2033</v>
      </c>
      <c r="C134" s="83">
        <v>42455</v>
      </c>
      <c r="D134" s="83">
        <v>8425</v>
      </c>
      <c r="E134" s="83">
        <v>2575</v>
      </c>
      <c r="F134" s="83">
        <v>3460</v>
      </c>
      <c r="G134" s="83">
        <v>2890</v>
      </c>
      <c r="H134" s="66">
        <v>64385</v>
      </c>
      <c r="K134" s="1">
        <v>2033</v>
      </c>
      <c r="L134" s="66">
        <f>MROUND(((ComplianceScenarioHeadcountEnrolments[[#This Row],[Education &amp; Care]]*L$74)*L$66)*'Source-fte_qualstus_x_servtype'!J39,1)</f>
        <v>1571</v>
      </c>
      <c r="M134" s="66">
        <f>MROUND(((ComplianceScenarioHeadcountEnrolments[[#This Row],[Education &amp; Care]]*L$75)*L$67)*'Source-fte_qualstus_x_servtype'!J39,5)</f>
        <v>865</v>
      </c>
      <c r="N134" s="66">
        <f>MROUND(((ComplianceScenarioHeadcountEnrolments[[#This Row],[Education &amp; Care]]*SUM(L$76:L$77))*L$67)*'Source-fte_qualstus_x_servtype'!J39,5)</f>
        <v>2095</v>
      </c>
      <c r="O134" s="66">
        <f>MROUND(((ComplianceScenarioHeadcountEnrolments[[#This Row],[Kindergarten]]*M$74)*M$66)*'Source-fte_qualstus_x_servtype'!J39,5)</f>
        <v>20</v>
      </c>
      <c r="P134" s="66">
        <f>MROUND(((ComplianceScenarioHeadcountEnrolments[[#This Row],[Kindergarten]]*M$75)*M$67)*'Source-fte_qualstus_x_servtype'!J39,5)</f>
        <v>110</v>
      </c>
      <c r="Q134" s="66">
        <f>MROUND(((ComplianceScenarioHeadcountEnrolments[[#This Row],[Kindergarten]]*SUM(M$76:M$77))*M$67)*'Source-fte_qualstus_x_servtype'!J39,5)</f>
        <v>620</v>
      </c>
      <c r="R134" s="66">
        <f>MROUND(((ComplianceScenarioHeadcountEnrolments[[#This Row],[Kōhanga Reo]]*SUM(N$74))*N$66)*'Source-fte_qualstus_x_servtype'!J39,5)</f>
        <v>145</v>
      </c>
      <c r="S134" s="66">
        <f>MROUND(((ComplianceScenarioHeadcountEnrolments[[#This Row],[Kōhanga Reo]]*SUM(N$75:N$77))*N$67)*'Source-fte_qualstus_x_servtype'!J39,5)</f>
        <v>285</v>
      </c>
      <c r="T134" s="66">
        <f>MROUND(((ComplianceScenarioHeadcountEnrolments[[#This Row],[Home-based]]*SUM(O$78))*O$67)*'Source-fte_qualstus_x_servtype'!J39,5)</f>
        <v>765</v>
      </c>
      <c r="U134" s="66">
        <f>MROUND(((ComplianceScenarioHeadcountEnrolments[[#This Row],[Playcentre]]*SUM(P$78))*P$67)*0.5,5)</f>
        <v>290</v>
      </c>
      <c r="V134" s="66">
        <f t="shared" si="64"/>
        <v>6766</v>
      </c>
    </row>
    <row r="135" spans="2:22" outlineLevel="1">
      <c r="B135" s="1">
        <v>2034</v>
      </c>
      <c r="C135" s="83">
        <v>42485</v>
      </c>
      <c r="D135" s="83">
        <v>8430</v>
      </c>
      <c r="E135" s="83">
        <v>2575</v>
      </c>
      <c r="F135" s="83">
        <v>3465</v>
      </c>
      <c r="G135" s="83">
        <v>2890</v>
      </c>
      <c r="H135" s="66">
        <v>64435</v>
      </c>
      <c r="K135" s="1">
        <v>2034</v>
      </c>
      <c r="L135" s="66">
        <f>MROUND(((ComplianceScenarioHeadcountEnrolments[[#This Row],[Education &amp; Care]]*L$74)*L$66)*'Source-fte_qualstus_x_servtype'!J40,1)</f>
        <v>1579</v>
      </c>
      <c r="M135" s="66">
        <f>MROUND(((ComplianceScenarioHeadcountEnrolments[[#This Row],[Education &amp; Care]]*L$75)*L$67)*'Source-fte_qualstus_x_servtype'!J40,5)</f>
        <v>870</v>
      </c>
      <c r="N135" s="66">
        <f>MROUND(((ComplianceScenarioHeadcountEnrolments[[#This Row],[Education &amp; Care]]*SUM(L$76:L$77))*L$67)*'Source-fte_qualstus_x_servtype'!J40,5)</f>
        <v>2105</v>
      </c>
      <c r="O135" s="66">
        <f>MROUND(((ComplianceScenarioHeadcountEnrolments[[#This Row],[Kindergarten]]*M$74)*M$66)*'Source-fte_qualstus_x_servtype'!J40,5)</f>
        <v>20</v>
      </c>
      <c r="P135" s="66">
        <f>MROUND(((ComplianceScenarioHeadcountEnrolments[[#This Row],[Kindergarten]]*M$75)*M$67)*'Source-fte_qualstus_x_servtype'!J40,5)</f>
        <v>110</v>
      </c>
      <c r="Q135" s="66">
        <f>MROUND(((ComplianceScenarioHeadcountEnrolments[[#This Row],[Kindergarten]]*SUM(M$76:M$77))*M$67)*'Source-fte_qualstus_x_servtype'!J40,5)</f>
        <v>625</v>
      </c>
      <c r="R135" s="66">
        <f>MROUND(((ComplianceScenarioHeadcountEnrolments[[#This Row],[Kōhanga Reo]]*SUM(N$74))*N$66)*'Source-fte_qualstus_x_servtype'!J40,5)</f>
        <v>145</v>
      </c>
      <c r="S135" s="66">
        <f>MROUND(((ComplianceScenarioHeadcountEnrolments[[#This Row],[Kōhanga Reo]]*SUM(N$75:N$77))*N$67)*'Source-fte_qualstus_x_servtype'!J40,5)</f>
        <v>285</v>
      </c>
      <c r="T135" s="66">
        <f>MROUND(((ComplianceScenarioHeadcountEnrolments[[#This Row],[Home-based]]*SUM(O$78))*O$67)*'Source-fte_qualstus_x_servtype'!J40,5)</f>
        <v>765</v>
      </c>
      <c r="U135" s="66">
        <f>MROUND(((ComplianceScenarioHeadcountEnrolments[[#This Row],[Playcentre]]*SUM(P$78))*P$67)*0.5,5)</f>
        <v>290</v>
      </c>
      <c r="V135" s="66">
        <f t="shared" si="64"/>
        <v>6794</v>
      </c>
    </row>
    <row r="136" spans="2:22" outlineLevel="1">
      <c r="B136" s="1">
        <v>2035</v>
      </c>
      <c r="C136" s="83">
        <v>42540</v>
      </c>
      <c r="D136" s="83">
        <v>8445</v>
      </c>
      <c r="E136" s="83">
        <v>2580</v>
      </c>
      <c r="F136" s="83">
        <v>3470</v>
      </c>
      <c r="G136" s="83">
        <v>2895</v>
      </c>
      <c r="H136" s="66">
        <v>64525</v>
      </c>
      <c r="K136" s="1">
        <v>2035</v>
      </c>
      <c r="L136" s="66">
        <f>MROUND(((ComplianceScenarioHeadcountEnrolments[[#This Row],[Education &amp; Care]]*L$74)*L$66)*'Source-fte_qualstus_x_servtype'!J41,1)</f>
        <v>1588</v>
      </c>
      <c r="M136" s="66">
        <f>MROUND(((ComplianceScenarioHeadcountEnrolments[[#This Row],[Education &amp; Care]]*L$75)*L$67)*'Source-fte_qualstus_x_servtype'!J41,5)</f>
        <v>875</v>
      </c>
      <c r="N136" s="66">
        <f>MROUND(((ComplianceScenarioHeadcountEnrolments[[#This Row],[Education &amp; Care]]*SUM(L$76:L$77))*L$67)*'Source-fte_qualstus_x_servtype'!J41,5)</f>
        <v>2115</v>
      </c>
      <c r="O136" s="66">
        <f>MROUND(((ComplianceScenarioHeadcountEnrolments[[#This Row],[Kindergarten]]*M$74)*M$66)*'Source-fte_qualstus_x_servtype'!J41,5)</f>
        <v>20</v>
      </c>
      <c r="P136" s="66">
        <f>MROUND(((ComplianceScenarioHeadcountEnrolments[[#This Row],[Kindergarten]]*M$75)*M$67)*'Source-fte_qualstus_x_servtype'!J41,5)</f>
        <v>115</v>
      </c>
      <c r="Q136" s="66">
        <f>MROUND(((ComplianceScenarioHeadcountEnrolments[[#This Row],[Kindergarten]]*SUM(M$76:M$77))*M$67)*'Source-fte_qualstus_x_servtype'!J41,5)</f>
        <v>630</v>
      </c>
      <c r="R136" s="66">
        <f>MROUND(((ComplianceScenarioHeadcountEnrolments[[#This Row],[Kōhanga Reo]]*SUM(N$74))*N$66)*'Source-fte_qualstus_x_servtype'!J41,5)</f>
        <v>145</v>
      </c>
      <c r="S136" s="66">
        <f>MROUND(((ComplianceScenarioHeadcountEnrolments[[#This Row],[Kōhanga Reo]]*SUM(N$75:N$77))*N$67)*'Source-fte_qualstus_x_servtype'!J41,5)</f>
        <v>285</v>
      </c>
      <c r="T136" s="66">
        <f>MROUND(((ComplianceScenarioHeadcountEnrolments[[#This Row],[Home-based]]*SUM(O$78))*O$67)*'Source-fte_qualstus_x_servtype'!J41,5)</f>
        <v>770</v>
      </c>
      <c r="U136" s="66">
        <f>MROUND(((ComplianceScenarioHeadcountEnrolments[[#This Row],[Playcentre]]*SUM(P$78))*P$67)*0.5,5)</f>
        <v>290</v>
      </c>
      <c r="V136" s="66">
        <f t="shared" si="64"/>
        <v>6833</v>
      </c>
    </row>
  </sheetData>
  <conditionalFormatting sqref="C33:H57">
    <cfRule type="colorScale" priority="1">
      <colorScale>
        <cfvo type="min"/>
        <cfvo type="percentile" val="50"/>
        <cfvo type="max"/>
        <color rgb="FFF8696B"/>
        <color rgb="FFFFEB84"/>
        <color rgb="FF63BE7B"/>
      </colorScale>
    </cfRule>
  </conditionalFormatting>
  <pageMargins left="0.7" right="0.7" top="0.75" bottom="0.75" header="0.3" footer="0.3"/>
  <ignoredErrors>
    <ignoredError sqref="H84:H94 H98 H112 AE112 L61:N61" calculatedColumn="1"/>
    <ignoredError sqref="B4:B29 B33:B57" numberStoredAsText="1"/>
    <ignoredError sqref="C68:E72 C74:F78" formulaRange="1"/>
  </ignoredErrors>
  <tableParts count="1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8DB18-3A51-49A2-9866-669D1FB1DE20}">
  <sheetPr>
    <tabColor theme="6" tint="0.79998168889431442"/>
  </sheetPr>
  <dimension ref="A1:AG28"/>
  <sheetViews>
    <sheetView topLeftCell="A23" zoomScaleNormal="100" workbookViewId="0">
      <selection activeCell="L5" sqref="L5"/>
    </sheetView>
  </sheetViews>
  <sheetFormatPr defaultColWidth="8.85546875" defaultRowHeight="14.65"/>
  <cols>
    <col min="1" max="1" width="9.42578125" customWidth="1"/>
    <col min="2" max="11" width="15.140625" customWidth="1"/>
    <col min="12" max="12" width="13" customWidth="1"/>
  </cols>
  <sheetData>
    <row r="1" spans="1:33">
      <c r="A1" s="1" t="s">
        <v>392</v>
      </c>
    </row>
    <row r="2" spans="1:33">
      <c r="A2" t="s">
        <v>393</v>
      </c>
    </row>
    <row r="3" spans="1:33">
      <c r="B3" s="177" t="s">
        <v>394</v>
      </c>
      <c r="C3" s="177"/>
      <c r="D3" s="177"/>
      <c r="E3" s="177"/>
      <c r="F3" s="177"/>
      <c r="G3" s="23"/>
      <c r="H3" s="177" t="s">
        <v>395</v>
      </c>
      <c r="I3" s="177"/>
      <c r="J3" s="177"/>
      <c r="K3" s="177"/>
      <c r="O3" s="35"/>
      <c r="P3" s="35"/>
      <c r="Q3" s="25"/>
      <c r="R3" s="25"/>
      <c r="S3" s="25"/>
      <c r="T3" s="25"/>
      <c r="U3" s="25"/>
      <c r="V3" s="25"/>
      <c r="W3" s="25"/>
    </row>
    <row r="4" spans="1:33" ht="72.95">
      <c r="A4" s="72" t="s">
        <v>229</v>
      </c>
      <c r="B4" s="15" t="s">
        <v>396</v>
      </c>
      <c r="C4" s="15" t="s">
        <v>397</v>
      </c>
      <c r="D4" s="15" t="s">
        <v>398</v>
      </c>
      <c r="E4" s="15" t="s">
        <v>399</v>
      </c>
      <c r="F4" s="15" t="s">
        <v>400</v>
      </c>
      <c r="G4" s="15" t="s">
        <v>401</v>
      </c>
      <c r="H4" s="15" t="s">
        <v>402</v>
      </c>
      <c r="I4" s="15" t="s">
        <v>403</v>
      </c>
      <c r="J4" s="15" t="s">
        <v>404</v>
      </c>
      <c r="K4" s="15" t="s">
        <v>405</v>
      </c>
      <c r="L4" s="15" t="s">
        <v>406</v>
      </c>
      <c r="O4" s="33"/>
      <c r="P4" s="26"/>
      <c r="Q4" s="27"/>
      <c r="R4" s="27"/>
      <c r="S4" s="27"/>
      <c r="T4" s="27"/>
      <c r="U4" s="27"/>
      <c r="V4" s="27"/>
      <c r="W4" s="28"/>
      <c r="Z4" s="8"/>
      <c r="AA4" s="7"/>
      <c r="AB4" s="8"/>
      <c r="AC4" s="8"/>
      <c r="AD4" s="8"/>
      <c r="AE4" s="7"/>
      <c r="AF4" s="8"/>
      <c r="AG4" s="8"/>
    </row>
    <row r="5" spans="1:33">
      <c r="A5" s="23">
        <v>2016</v>
      </c>
      <c r="B5" s="66"/>
      <c r="C5" s="66">
        <f>SUM('T22'!B27:D27,'T22'!F27:H27)</f>
        <v>6325</v>
      </c>
      <c r="D5" s="66">
        <f>SUM('Source-fte_qualstus_x_servtype'!J7:K7,'Source-fte_qualstus_x_servtype'!J10:K10)*'Source-fte_qualstus_x_servtype'!J24</f>
        <v>8118.8249999999998</v>
      </c>
      <c r="E5" s="66"/>
      <c r="F5" s="66"/>
      <c r="G5" s="65">
        <f>'T20'!X131</f>
        <v>11255</v>
      </c>
      <c r="H5" s="66">
        <f>C5*0.5</f>
        <v>3162.5</v>
      </c>
      <c r="I5" s="66">
        <f>SUM('Source-fte_qualstus_x_servtype'!K7,'Source-fte_qualstus_x_servtype'!K10)*'Source-fte_qualstus_x_servtype'!J24</f>
        <v>5506.0499999999993</v>
      </c>
      <c r="J5" s="66">
        <f>C5*0.8</f>
        <v>5060</v>
      </c>
      <c r="K5" s="66">
        <f>C5</f>
        <v>6325</v>
      </c>
      <c r="L5" s="65">
        <f>G5</f>
        <v>11255</v>
      </c>
      <c r="O5" s="33"/>
      <c r="P5" s="26"/>
      <c r="Q5" s="27"/>
      <c r="R5" s="27"/>
      <c r="S5" s="27"/>
      <c r="T5" s="27"/>
      <c r="U5" s="27"/>
      <c r="V5" s="27"/>
      <c r="W5" s="28"/>
    </row>
    <row r="6" spans="1:33">
      <c r="A6" s="23">
        <v>2017</v>
      </c>
      <c r="B6" s="66"/>
      <c r="C6" s="66">
        <f>SUM('T22'!B28:D28,'T22'!F28:H28)</f>
        <v>6380</v>
      </c>
      <c r="D6" s="66">
        <f>SUM('Source-fte_qualstus_x_servtype'!L7:M7,'Source-fte_qualstus_x_servtype'!L10:M10)*'Source-fte_qualstus_x_servtype'!J24</f>
        <v>8504.1</v>
      </c>
      <c r="E6" s="66"/>
      <c r="F6" s="66"/>
      <c r="G6" s="65">
        <f>'T20'!X132</f>
        <v>11470</v>
      </c>
      <c r="H6" s="66">
        <f t="shared" ref="H6:H13" si="0">C6*0.5</f>
        <v>3190</v>
      </c>
      <c r="I6" s="66">
        <f>SUM('Source-fte_qualstus_x_servtype'!M7,'Source-fte_qualstus_x_servtype'!M10)*'Source-fte_qualstus_x_servtype'!J24</f>
        <v>5586.0749999999998</v>
      </c>
      <c r="J6" s="66">
        <f t="shared" ref="J6:J13" si="1">C6*0.8</f>
        <v>5104</v>
      </c>
      <c r="K6" s="66">
        <f t="shared" ref="K6:K13" si="2">C6</f>
        <v>6380</v>
      </c>
      <c r="L6" s="65">
        <f t="shared" ref="L6:L24" si="3">G6</f>
        <v>11470</v>
      </c>
      <c r="O6" s="34"/>
      <c r="P6" s="26"/>
      <c r="Q6" s="27"/>
      <c r="R6" s="27"/>
      <c r="S6" s="27"/>
      <c r="T6" s="27"/>
      <c r="U6" s="27"/>
      <c r="V6" s="27"/>
      <c r="W6" s="28"/>
      <c r="X6" s="24"/>
    </row>
    <row r="7" spans="1:33">
      <c r="A7" s="23">
        <v>2018</v>
      </c>
      <c r="B7" s="66"/>
      <c r="C7" s="66">
        <f>SUM('T22'!B29:D29,'T22'!F29:H29)</f>
        <v>6450</v>
      </c>
      <c r="D7" s="66">
        <f>SUM('Source-fte_qualstus_x_servtype'!N7:O7,'Source-fte_qualstus_x_servtype'!N10:O10)*'Source-fte_qualstus_x_servtype'!J24</f>
        <v>8716.9499999999989</v>
      </c>
      <c r="E7" s="66"/>
      <c r="F7" s="66"/>
      <c r="G7" s="65">
        <f>'T20'!X133</f>
        <v>12015</v>
      </c>
      <c r="H7" s="66">
        <f t="shared" si="0"/>
        <v>3225</v>
      </c>
      <c r="I7" s="66">
        <f>SUM('Source-fte_qualstus_x_servtype'!O7,'Source-fte_qualstus_x_servtype'!O10)*'Source-fte_qualstus_x_servtype'!J24</f>
        <v>5603.4</v>
      </c>
      <c r="J7" s="66">
        <f t="shared" si="1"/>
        <v>5160</v>
      </c>
      <c r="K7" s="66">
        <f t="shared" si="2"/>
        <v>6450</v>
      </c>
      <c r="L7" s="65">
        <f t="shared" si="3"/>
        <v>12015</v>
      </c>
      <c r="O7" s="33"/>
      <c r="P7" s="26"/>
      <c r="Q7" s="27"/>
      <c r="R7" s="27"/>
      <c r="S7" s="27"/>
      <c r="T7" s="27"/>
      <c r="U7" s="27"/>
      <c r="V7" s="27"/>
      <c r="W7" s="28"/>
    </row>
    <row r="8" spans="1:33">
      <c r="A8" s="23">
        <v>2019</v>
      </c>
      <c r="B8" s="66"/>
      <c r="C8" s="66">
        <f>SUM('T22'!B30:D30,'T22'!F30:H30)</f>
        <v>6470</v>
      </c>
      <c r="D8" s="66">
        <f>SUM('Source-fte_qualstus_x_servtype'!P7:Q7,'Source-fte_qualstus_x_servtype'!P10:Q10)*'Source-fte_qualstus_x_servtype'!L24</f>
        <v>8911.257599999999</v>
      </c>
      <c r="E8" s="66"/>
      <c r="F8" s="66"/>
      <c r="G8" s="65">
        <f>'T20'!X134</f>
        <v>12625</v>
      </c>
      <c r="H8" s="66">
        <f t="shared" si="0"/>
        <v>3235</v>
      </c>
      <c r="I8" s="66">
        <f>SUM('Source-fte_qualstus_x_servtype'!Q7,'Source-fte_qualstus_x_servtype'!Q10)*'Source-fte_qualstus_x_servtype'!L24</f>
        <v>5736.9535999999998</v>
      </c>
      <c r="J8" s="66">
        <f t="shared" si="1"/>
        <v>5176</v>
      </c>
      <c r="K8" s="66">
        <f t="shared" si="2"/>
        <v>6470</v>
      </c>
      <c r="L8" s="65">
        <f t="shared" si="3"/>
        <v>12625</v>
      </c>
      <c r="O8" s="34"/>
      <c r="P8" s="26"/>
      <c r="Q8" s="27"/>
      <c r="R8" s="27"/>
      <c r="S8" s="27"/>
      <c r="T8" s="27"/>
      <c r="U8" s="27"/>
      <c r="V8" s="27"/>
      <c r="W8" s="28"/>
      <c r="X8" s="24"/>
    </row>
    <row r="9" spans="1:33">
      <c r="A9" s="23">
        <v>2020</v>
      </c>
      <c r="B9" s="66"/>
      <c r="C9" s="66">
        <f>SUM('T22'!B31:D31,'T22'!F31:H31)</f>
        <v>6125</v>
      </c>
      <c r="D9" s="66">
        <f>SUM('Source-fte_qualstus_x_servtype'!R7:S7,'Source-fte_qualstus_x_servtype'!R10:S10)*'Source-fte_qualstus_x_servtype'!L25</f>
        <v>8599.0928000000004</v>
      </c>
      <c r="E9" s="66"/>
      <c r="F9" s="66"/>
      <c r="G9" s="65">
        <f>'T20'!X135</f>
        <v>12795</v>
      </c>
      <c r="H9" s="66">
        <f t="shared" si="0"/>
        <v>3062.5</v>
      </c>
      <c r="I9" s="66">
        <f>SUM('Source-fte_qualstus_x_servtype'!S7,'Source-fte_qualstus_x_servtype'!S10)*'Source-fte_qualstus_x_servtype'!L25</f>
        <v>5739.1117999999997</v>
      </c>
      <c r="J9" s="66">
        <f t="shared" si="1"/>
        <v>4900</v>
      </c>
      <c r="K9" s="66">
        <f t="shared" si="2"/>
        <v>6125</v>
      </c>
      <c r="L9" s="65">
        <f t="shared" si="3"/>
        <v>12795</v>
      </c>
      <c r="O9" s="33"/>
      <c r="P9" s="26"/>
      <c r="Q9" s="29"/>
      <c r="R9" s="29"/>
      <c r="S9" s="29"/>
      <c r="T9" s="29"/>
      <c r="U9" s="29"/>
      <c r="V9" s="29"/>
      <c r="W9" s="30"/>
    </row>
    <row r="10" spans="1:33">
      <c r="A10" s="23">
        <v>2021</v>
      </c>
      <c r="B10" s="66"/>
      <c r="C10" s="66">
        <f>SUM('T22'!B32:D32,'T22'!F32:H32)</f>
        <v>6255</v>
      </c>
      <c r="D10" s="66">
        <f>SUM('Source-fte_qualstus_x_servtype'!T7:U7,'Source-fte_qualstus_x_servtype'!T10:U10)*'Source-fte_qualstus_x_servtype'!L26</f>
        <v>9522.4140000000007</v>
      </c>
      <c r="E10" s="66"/>
      <c r="F10" s="66"/>
      <c r="G10" s="65">
        <f>'T20'!X136</f>
        <v>12915</v>
      </c>
      <c r="H10" s="66">
        <f t="shared" si="0"/>
        <v>3127.5</v>
      </c>
      <c r="I10" s="66">
        <f>SUM('Source-fte_qualstus_x_servtype'!U7,'Source-fte_qualstus_x_servtype'!U10)*'Source-fte_qualstus_x_servtype'!L26</f>
        <v>6149.2128000000002</v>
      </c>
      <c r="J10" s="66">
        <f t="shared" si="1"/>
        <v>5004</v>
      </c>
      <c r="K10" s="66">
        <f t="shared" si="2"/>
        <v>6255</v>
      </c>
      <c r="L10" s="65">
        <f t="shared" si="3"/>
        <v>12915</v>
      </c>
      <c r="O10" s="34"/>
      <c r="P10" s="26"/>
      <c r="Q10" s="29"/>
      <c r="R10" s="29"/>
      <c r="S10" s="29"/>
      <c r="T10" s="29"/>
      <c r="U10" s="29"/>
      <c r="V10" s="29"/>
      <c r="W10" s="30"/>
      <c r="X10" s="24"/>
    </row>
    <row r="11" spans="1:33">
      <c r="A11" s="23">
        <v>2022</v>
      </c>
      <c r="B11" s="66"/>
      <c r="C11" s="66">
        <f>SUM('T22'!B33:D33,'T22'!F33:H33)</f>
        <v>5825</v>
      </c>
      <c r="D11" s="66">
        <f>SUM('Source-fte_qualstus_x_servtype'!V7:W7,'Source-fte_qualstus_x_servtype'!V10:W10)*'Source-fte_qualstus_x_servtype'!L27</f>
        <v>9050.6344000000008</v>
      </c>
      <c r="E11" s="66"/>
      <c r="F11" s="66"/>
      <c r="G11" s="65">
        <f>'T20'!X137</f>
        <v>12910</v>
      </c>
      <c r="H11" s="66">
        <f t="shared" si="0"/>
        <v>2912.5</v>
      </c>
      <c r="I11" s="66">
        <f>SUM('Source-fte_qualstus_x_servtype'!W7,'Source-fte_qualstus_x_servtype'!W10)*'Source-fte_qualstus_x_servtype'!L27</f>
        <v>6014.9918000000007</v>
      </c>
      <c r="J11" s="66">
        <f t="shared" si="1"/>
        <v>4660</v>
      </c>
      <c r="K11" s="66">
        <f t="shared" si="2"/>
        <v>5825</v>
      </c>
      <c r="L11" s="65">
        <f t="shared" si="3"/>
        <v>12910</v>
      </c>
      <c r="O11" s="33"/>
      <c r="P11" s="26"/>
      <c r="Q11" s="29"/>
      <c r="R11" s="29"/>
      <c r="S11" s="29"/>
      <c r="T11" s="29"/>
      <c r="U11" s="29"/>
      <c r="V11" s="29"/>
      <c r="W11" s="30"/>
    </row>
    <row r="12" spans="1:33">
      <c r="A12" s="23">
        <v>2023</v>
      </c>
      <c r="B12" s="66"/>
      <c r="C12" s="66">
        <f>SUM('T22'!B34:D34,'T22'!F34:H34)</f>
        <v>6425</v>
      </c>
      <c r="D12" s="66">
        <f>SUM('Source-fte_qualstus_x_servtype'!X7:Y7,'Source-fte_qualstus_x_servtype'!X10:Y10)*'Source-fte_qualstus_x_servtype'!J25</f>
        <v>9845.26</v>
      </c>
      <c r="E12" s="66"/>
      <c r="F12" s="66"/>
      <c r="G12" s="65">
        <f>'T20'!X138</f>
        <v>12535</v>
      </c>
      <c r="H12" s="66">
        <f t="shared" si="0"/>
        <v>3212.5</v>
      </c>
      <c r="I12" s="66">
        <f>SUM('Source-fte_qualstus_x_servtype'!Y7,'Source-fte_qualstus_x_servtype'!Y10)*'Source-fte_qualstus_x_servtype'!J25</f>
        <v>6484.4520000000002</v>
      </c>
      <c r="J12" s="66">
        <f t="shared" si="1"/>
        <v>5140</v>
      </c>
      <c r="K12" s="66">
        <f t="shared" si="2"/>
        <v>6425</v>
      </c>
      <c r="L12" s="65">
        <f t="shared" si="3"/>
        <v>12535</v>
      </c>
      <c r="O12" s="34"/>
      <c r="P12" s="26"/>
      <c r="Q12" s="29"/>
      <c r="R12" s="29"/>
      <c r="S12" s="29"/>
      <c r="T12" s="29"/>
      <c r="U12" s="29"/>
      <c r="V12" s="29"/>
      <c r="W12" s="30"/>
      <c r="X12" s="24"/>
    </row>
    <row r="13" spans="1:33">
      <c r="A13" s="23">
        <v>2024</v>
      </c>
      <c r="B13" s="66">
        <f>D13</f>
        <v>9787.8510000000006</v>
      </c>
      <c r="C13" s="66">
        <f>SUM('T22'!B35:D35,'T22'!F35:H35)</f>
        <v>6650</v>
      </c>
      <c r="D13" s="66">
        <f>SUM('Source-fte_qualstus_x_servtype'!Z7:AA7,'Source-fte_qualstus_x_servtype'!Z10:AA10)*'Source-fte_qualstus_x_servtype'!J30</f>
        <v>9787.8510000000006</v>
      </c>
      <c r="E13" s="66">
        <f>D13</f>
        <v>9787.8510000000006</v>
      </c>
      <c r="F13" s="66">
        <f>D13</f>
        <v>9787.8510000000006</v>
      </c>
      <c r="G13" s="65">
        <f>'T20'!X139</f>
        <v>12350</v>
      </c>
      <c r="H13" s="66">
        <f t="shared" si="0"/>
        <v>3325</v>
      </c>
      <c r="I13" s="66">
        <f>SUM('Source-fte_qualstus_x_servtype'!AA7,'Source-fte_qualstus_x_servtype'!AA10)*'Source-fte_qualstus_x_servtype'!J30</f>
        <v>6701.0111999999999</v>
      </c>
      <c r="J13" s="66">
        <f t="shared" si="1"/>
        <v>5320</v>
      </c>
      <c r="K13" s="66">
        <f t="shared" si="2"/>
        <v>6650</v>
      </c>
      <c r="L13" s="65">
        <f t="shared" si="3"/>
        <v>12350</v>
      </c>
      <c r="O13" s="33"/>
      <c r="P13" s="26"/>
      <c r="Q13" s="29"/>
      <c r="R13" s="29"/>
      <c r="S13" s="29"/>
      <c r="T13" s="29"/>
      <c r="U13" s="29"/>
      <c r="V13" s="29"/>
      <c r="W13" s="30"/>
    </row>
    <row r="14" spans="1:33">
      <c r="A14" s="23">
        <v>2025</v>
      </c>
      <c r="B14" s="66">
        <f>'T17'!M84</f>
        <v>7430</v>
      </c>
      <c r="C14" s="66"/>
      <c r="D14" s="66"/>
      <c r="E14" s="66">
        <f>'T17'!M98</f>
        <v>8365</v>
      </c>
      <c r="F14" s="66">
        <f>'T17'!M112</f>
        <v>9025</v>
      </c>
      <c r="G14" s="65">
        <f>'T20'!X140</f>
        <v>12060</v>
      </c>
      <c r="H14" s="66">
        <f>'T17'!R84</f>
        <v>4040</v>
      </c>
      <c r="I14" s="66"/>
      <c r="J14" s="66">
        <f>'T17'!R98</f>
        <v>5625</v>
      </c>
      <c r="K14" s="66">
        <f>'T17'!R112</f>
        <v>9025</v>
      </c>
      <c r="L14" s="65">
        <f t="shared" si="3"/>
        <v>12060</v>
      </c>
      <c r="O14" s="34"/>
      <c r="P14" s="26"/>
      <c r="Q14" s="29"/>
      <c r="R14" s="29"/>
      <c r="S14" s="29"/>
      <c r="T14" s="29"/>
      <c r="U14" s="29"/>
      <c r="V14" s="29"/>
      <c r="W14" s="30"/>
      <c r="X14" s="24"/>
    </row>
    <row r="15" spans="1:33">
      <c r="A15" s="23">
        <v>2026</v>
      </c>
      <c r="B15" s="66">
        <f>'T17'!M85</f>
        <v>7270</v>
      </c>
      <c r="C15" s="66"/>
      <c r="D15" s="66"/>
      <c r="E15" s="66">
        <f>'T17'!M99</f>
        <v>8240</v>
      </c>
      <c r="F15" s="66">
        <f>'T17'!M113</f>
        <v>8885</v>
      </c>
      <c r="G15" s="65">
        <f>'T20'!X104</f>
        <v>12195</v>
      </c>
      <c r="H15" s="66">
        <f>'T17'!R85</f>
        <v>3950</v>
      </c>
      <c r="I15" s="66"/>
      <c r="J15" s="66">
        <f>'T17'!R99</f>
        <v>5540</v>
      </c>
      <c r="K15" s="66">
        <f>'T17'!R113</f>
        <v>8885</v>
      </c>
      <c r="L15" s="65">
        <f t="shared" si="3"/>
        <v>12195</v>
      </c>
      <c r="O15" s="33"/>
      <c r="P15" s="26"/>
      <c r="Q15" s="29"/>
      <c r="R15" s="29"/>
      <c r="S15" s="29"/>
      <c r="T15" s="29"/>
      <c r="U15" s="29"/>
      <c r="V15" s="29"/>
      <c r="W15" s="30"/>
    </row>
    <row r="16" spans="1:33">
      <c r="A16" s="23">
        <v>2027</v>
      </c>
      <c r="B16" s="66">
        <f>'T17'!M86</f>
        <v>7110</v>
      </c>
      <c r="C16" s="66"/>
      <c r="D16" s="66"/>
      <c r="E16" s="66">
        <f>'T17'!M100</f>
        <v>8130</v>
      </c>
      <c r="F16" s="66">
        <f>'T17'!M114</f>
        <v>8765</v>
      </c>
      <c r="G16" s="65">
        <f>'T20'!X105</f>
        <v>12255</v>
      </c>
      <c r="H16" s="66">
        <f>'T17'!R86</f>
        <v>3865</v>
      </c>
      <c r="I16" s="66"/>
      <c r="J16" s="66">
        <f>'T17'!R100</f>
        <v>5465</v>
      </c>
      <c r="K16" s="66">
        <f>'T17'!R114</f>
        <v>8765</v>
      </c>
      <c r="L16" s="65">
        <f t="shared" si="3"/>
        <v>12255</v>
      </c>
      <c r="O16" s="34"/>
      <c r="P16" s="26"/>
      <c r="Q16" s="29"/>
      <c r="R16" s="29"/>
      <c r="S16" s="29"/>
      <c r="T16" s="29"/>
      <c r="U16" s="29"/>
      <c r="V16" s="29"/>
      <c r="W16" s="30"/>
      <c r="X16" s="24"/>
    </row>
    <row r="17" spans="1:24">
      <c r="A17" s="23">
        <v>2028</v>
      </c>
      <c r="B17" s="66">
        <f>'T17'!M87</f>
        <v>7115</v>
      </c>
      <c r="C17" s="66"/>
      <c r="D17" s="66"/>
      <c r="E17" s="66">
        <f>'T17'!M101</f>
        <v>8210</v>
      </c>
      <c r="F17" s="66">
        <f>'T17'!M115</f>
        <v>8860</v>
      </c>
      <c r="G17" s="65">
        <f>'T20'!X106</f>
        <v>12335</v>
      </c>
      <c r="H17" s="66">
        <f>'T17'!R87</f>
        <v>3870</v>
      </c>
      <c r="I17" s="66"/>
      <c r="J17" s="66">
        <f>'T17'!R101</f>
        <v>5520</v>
      </c>
      <c r="K17" s="66">
        <f>'T17'!R115</f>
        <v>8860</v>
      </c>
      <c r="L17" s="65">
        <f t="shared" si="3"/>
        <v>12335</v>
      </c>
      <c r="O17" s="33"/>
      <c r="P17" s="26"/>
      <c r="Q17" s="29"/>
      <c r="R17" s="29"/>
      <c r="S17" s="29"/>
      <c r="T17" s="29"/>
      <c r="U17" s="29"/>
      <c r="V17" s="29"/>
      <c r="W17" s="30"/>
    </row>
    <row r="18" spans="1:24">
      <c r="A18" s="23">
        <v>2029</v>
      </c>
      <c r="B18" s="66">
        <f>'T17'!M88</f>
        <v>7115</v>
      </c>
      <c r="C18" s="66"/>
      <c r="D18" s="66"/>
      <c r="E18" s="66">
        <f>'T17'!M102</f>
        <v>8300</v>
      </c>
      <c r="F18" s="66">
        <f>'T17'!M116</f>
        <v>8955</v>
      </c>
      <c r="G18" s="65">
        <f>'T20'!X107</f>
        <v>12435</v>
      </c>
      <c r="H18" s="66">
        <f>'T17'!R88</f>
        <v>3870</v>
      </c>
      <c r="I18" s="66"/>
      <c r="J18" s="66">
        <f>'T17'!R102</f>
        <v>5580</v>
      </c>
      <c r="K18" s="66">
        <f>'T17'!R116</f>
        <v>8955</v>
      </c>
      <c r="L18" s="65">
        <f t="shared" si="3"/>
        <v>12435</v>
      </c>
      <c r="O18" s="34"/>
      <c r="P18" s="26"/>
      <c r="Q18" s="29"/>
      <c r="R18" s="29"/>
      <c r="S18" s="29"/>
      <c r="T18" s="29"/>
      <c r="U18" s="29"/>
      <c r="V18" s="29"/>
      <c r="W18" s="30"/>
      <c r="X18" s="24"/>
    </row>
    <row r="19" spans="1:24">
      <c r="A19" s="23">
        <v>2030</v>
      </c>
      <c r="B19" s="66">
        <f>'T17'!M89</f>
        <v>7090</v>
      </c>
      <c r="C19" s="66"/>
      <c r="D19" s="66"/>
      <c r="E19" s="66">
        <f>'T17'!M103</f>
        <v>8340</v>
      </c>
      <c r="F19" s="66">
        <f>'T17'!M117</f>
        <v>8995</v>
      </c>
      <c r="G19" s="65">
        <f>'T20'!X108</f>
        <v>12560</v>
      </c>
      <c r="H19" s="66">
        <f>'T17'!R89</f>
        <v>3855</v>
      </c>
      <c r="I19" s="66"/>
      <c r="J19" s="66">
        <f>'T17'!R103</f>
        <v>5605</v>
      </c>
      <c r="K19" s="66">
        <f>'T17'!R117</f>
        <v>8995</v>
      </c>
      <c r="L19" s="65">
        <f t="shared" si="3"/>
        <v>12560</v>
      </c>
      <c r="O19" s="33"/>
      <c r="P19" s="26"/>
      <c r="Q19" s="29"/>
      <c r="R19" s="29"/>
      <c r="S19" s="29"/>
      <c r="T19" s="29"/>
      <c r="U19" s="29"/>
      <c r="V19" s="29"/>
      <c r="W19" s="30"/>
    </row>
    <row r="20" spans="1:24">
      <c r="A20" s="23">
        <v>2031</v>
      </c>
      <c r="B20" s="66">
        <f>'T17'!M90</f>
        <v>7080</v>
      </c>
      <c r="C20" s="66"/>
      <c r="D20" s="66"/>
      <c r="E20" s="66">
        <f>'T17'!M104</f>
        <v>8380</v>
      </c>
      <c r="F20" s="66">
        <f>'T17'!M118</f>
        <v>9035</v>
      </c>
      <c r="G20" s="65">
        <f>'T20'!X109</f>
        <v>12695</v>
      </c>
      <c r="H20" s="66">
        <f>'T17'!R90</f>
        <v>3850</v>
      </c>
      <c r="I20" s="66"/>
      <c r="J20" s="66">
        <f>'T17'!R104</f>
        <v>5630</v>
      </c>
      <c r="K20" s="66">
        <f>'T17'!R118</f>
        <v>9035</v>
      </c>
      <c r="L20" s="65">
        <f t="shared" si="3"/>
        <v>12695</v>
      </c>
      <c r="O20" s="34"/>
      <c r="P20" s="26"/>
      <c r="Q20" s="29"/>
      <c r="R20" s="29"/>
      <c r="S20" s="29"/>
      <c r="T20" s="29"/>
      <c r="U20" s="29"/>
      <c r="V20" s="29"/>
      <c r="W20" s="30"/>
      <c r="X20" s="24"/>
    </row>
    <row r="21" spans="1:24">
      <c r="A21" s="23">
        <v>2032</v>
      </c>
      <c r="B21" s="66">
        <f>'T17'!M91</f>
        <v>7055</v>
      </c>
      <c r="C21" s="66"/>
      <c r="D21" s="66"/>
      <c r="E21" s="66">
        <f>'T17'!M105</f>
        <v>8415</v>
      </c>
      <c r="F21" s="66">
        <f>'T17'!M119</f>
        <v>9075</v>
      </c>
      <c r="G21" s="65">
        <f>'T20'!X110</f>
        <v>12855</v>
      </c>
      <c r="H21" s="66">
        <f>'T17'!R91</f>
        <v>3835</v>
      </c>
      <c r="I21" s="66"/>
      <c r="J21" s="66">
        <f>'T17'!R105</f>
        <v>5655</v>
      </c>
      <c r="K21" s="66">
        <f>'T17'!R119</f>
        <v>9075</v>
      </c>
      <c r="L21" s="65">
        <f t="shared" si="3"/>
        <v>12855</v>
      </c>
      <c r="O21" s="33"/>
      <c r="P21" s="26"/>
      <c r="Q21" s="29"/>
      <c r="R21" s="29"/>
      <c r="S21" s="31"/>
      <c r="T21" s="31"/>
      <c r="U21" s="31"/>
      <c r="V21" s="31"/>
      <c r="W21" s="32"/>
    </row>
    <row r="22" spans="1:24">
      <c r="A22" s="23">
        <v>2033</v>
      </c>
      <c r="B22" s="66">
        <f>'T17'!M92</f>
        <v>7050</v>
      </c>
      <c r="C22" s="66"/>
      <c r="D22" s="66"/>
      <c r="E22" s="66">
        <f>'T17'!M106</f>
        <v>8460</v>
      </c>
      <c r="F22" s="66">
        <f>'T17'!M120</f>
        <v>9120</v>
      </c>
      <c r="G22" s="65">
        <f>'T20'!X111</f>
        <v>13010</v>
      </c>
      <c r="H22" s="66">
        <f>'T17'!R92</f>
        <v>3830</v>
      </c>
      <c r="I22" s="66"/>
      <c r="J22" s="66">
        <f>'T17'!R106</f>
        <v>5685</v>
      </c>
      <c r="K22" s="66">
        <f>'T17'!R120</f>
        <v>9120</v>
      </c>
      <c r="L22" s="65">
        <f t="shared" si="3"/>
        <v>13010</v>
      </c>
      <c r="O22" s="34"/>
      <c r="P22" s="26"/>
      <c r="Q22" s="29"/>
      <c r="R22" s="29"/>
      <c r="S22" s="31"/>
      <c r="T22" s="31"/>
      <c r="U22" s="31"/>
      <c r="V22" s="31"/>
      <c r="W22" s="32"/>
      <c r="X22" s="24"/>
    </row>
    <row r="23" spans="1:24">
      <c r="A23" s="23">
        <v>2034</v>
      </c>
      <c r="B23" s="66">
        <f>'T17'!M93</f>
        <v>7045</v>
      </c>
      <c r="C23" s="66"/>
      <c r="D23" s="66"/>
      <c r="E23" s="66">
        <f>'T17'!M107</f>
        <v>8505</v>
      </c>
      <c r="F23" s="66">
        <f>'T17'!M121</f>
        <v>9170</v>
      </c>
      <c r="G23" s="65">
        <f>'T20'!X112</f>
        <v>13190</v>
      </c>
      <c r="H23" s="66">
        <f>'T17'!R93</f>
        <v>3830</v>
      </c>
      <c r="I23" s="66"/>
      <c r="J23" s="66">
        <f>'T17'!R107</f>
        <v>5720</v>
      </c>
      <c r="K23" s="66">
        <f>'T17'!R121</f>
        <v>9170</v>
      </c>
      <c r="L23" s="65">
        <f t="shared" si="3"/>
        <v>13190</v>
      </c>
      <c r="O23" s="33"/>
      <c r="P23" s="26"/>
      <c r="Q23" s="29"/>
      <c r="R23" s="29"/>
      <c r="S23" s="29"/>
      <c r="T23" s="29"/>
      <c r="U23" s="29"/>
      <c r="V23" s="29"/>
      <c r="W23" s="32"/>
    </row>
    <row r="24" spans="1:24">
      <c r="A24" s="23">
        <v>2035</v>
      </c>
      <c r="B24" s="66">
        <f>'T17'!M94</f>
        <v>7055</v>
      </c>
      <c r="C24" s="66"/>
      <c r="D24" s="66"/>
      <c r="E24" s="66">
        <f>'T17'!M108</f>
        <v>8545</v>
      </c>
      <c r="F24" s="66">
        <f>'T17'!M122</f>
        <v>9220</v>
      </c>
      <c r="G24" s="65">
        <f>'T20'!X113</f>
        <v>13385</v>
      </c>
      <c r="H24" s="66">
        <f>'T17'!R94</f>
        <v>3835</v>
      </c>
      <c r="I24" s="66"/>
      <c r="J24" s="66">
        <f>'T17'!R108</f>
        <v>5745</v>
      </c>
      <c r="K24" s="66">
        <f>'T17'!R122</f>
        <v>9220</v>
      </c>
      <c r="L24" s="65">
        <f t="shared" si="3"/>
        <v>13385</v>
      </c>
      <c r="O24" s="34"/>
      <c r="P24" s="26"/>
      <c r="Q24" s="29"/>
      <c r="R24" s="29"/>
      <c r="S24" s="29"/>
      <c r="T24" s="29"/>
      <c r="U24" s="29"/>
      <c r="V24" s="29"/>
      <c r="W24" s="32"/>
      <c r="X24" s="24"/>
    </row>
    <row r="25" spans="1:24">
      <c r="O25" s="34"/>
      <c r="P25" s="26"/>
      <c r="Q25" s="29"/>
      <c r="R25" s="29"/>
      <c r="S25" s="29"/>
      <c r="T25" s="29"/>
      <c r="U25" s="29"/>
      <c r="V25" s="29"/>
      <c r="W25" s="32"/>
      <c r="X25" s="24"/>
    </row>
    <row r="28" spans="1:24">
      <c r="M28" s="84"/>
    </row>
  </sheetData>
  <mergeCells count="2">
    <mergeCell ref="B3:F3"/>
    <mergeCell ref="H3:K3"/>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1FA9B-EF09-4BA4-ACF4-0255BB016ED2}">
  <sheetPr>
    <tabColor theme="6" tint="0.79998168889431442"/>
  </sheetPr>
  <dimension ref="A1:AH25"/>
  <sheetViews>
    <sheetView zoomScaleNormal="100" workbookViewId="0">
      <selection activeCell="C12" sqref="C12"/>
    </sheetView>
  </sheetViews>
  <sheetFormatPr defaultColWidth="8.85546875" defaultRowHeight="14.65"/>
  <cols>
    <col min="1" max="1" width="9.42578125" customWidth="1"/>
    <col min="2" max="12" width="15.140625" customWidth="1"/>
    <col min="13" max="13" width="13" customWidth="1"/>
  </cols>
  <sheetData>
    <row r="1" spans="1:34">
      <c r="A1" s="1" t="s">
        <v>392</v>
      </c>
    </row>
    <row r="2" spans="1:34">
      <c r="A2" t="s">
        <v>393</v>
      </c>
    </row>
    <row r="3" spans="1:34">
      <c r="B3" s="177" t="s">
        <v>394</v>
      </c>
      <c r="C3" s="177"/>
      <c r="D3" s="177"/>
      <c r="E3" s="177"/>
      <c r="F3" s="177"/>
      <c r="G3" s="23"/>
      <c r="H3" s="23"/>
      <c r="I3" s="177" t="s">
        <v>395</v>
      </c>
      <c r="J3" s="177"/>
      <c r="K3" s="177"/>
      <c r="L3" s="177"/>
      <c r="P3" s="35"/>
      <c r="Q3" s="35"/>
      <c r="R3" s="25"/>
      <c r="S3" s="25"/>
      <c r="T3" s="25"/>
      <c r="U3" s="25"/>
      <c r="V3" s="25"/>
      <c r="W3" s="25"/>
      <c r="X3" s="25"/>
    </row>
    <row r="4" spans="1:34" ht="43.7">
      <c r="A4" s="72" t="s">
        <v>229</v>
      </c>
      <c r="B4" s="15" t="s">
        <v>407</v>
      </c>
      <c r="C4" s="15" t="s">
        <v>408</v>
      </c>
      <c r="D4" s="15" t="s">
        <v>403</v>
      </c>
      <c r="E4" s="15" t="s">
        <v>409</v>
      </c>
      <c r="F4" s="15" t="s">
        <v>410</v>
      </c>
      <c r="G4" s="15" t="s">
        <v>411</v>
      </c>
      <c r="H4" s="15" t="s">
        <v>412</v>
      </c>
      <c r="I4" s="15" t="s">
        <v>413</v>
      </c>
      <c r="J4" s="15" t="s">
        <v>403</v>
      </c>
      <c r="K4" s="15" t="s">
        <v>414</v>
      </c>
      <c r="L4" s="15" t="s">
        <v>415</v>
      </c>
      <c r="M4" s="15" t="s">
        <v>416</v>
      </c>
      <c r="P4" s="33"/>
      <c r="Q4" s="26"/>
      <c r="R4" s="27"/>
      <c r="S4" s="27"/>
      <c r="T4" s="27"/>
      <c r="U4" s="27"/>
      <c r="V4" s="27"/>
      <c r="W4" s="27"/>
      <c r="X4" s="28"/>
      <c r="AA4" s="8"/>
      <c r="AB4" s="7"/>
      <c r="AC4" s="8"/>
      <c r="AD4" s="8"/>
      <c r="AE4" s="8"/>
      <c r="AF4" s="7"/>
      <c r="AG4" s="8"/>
      <c r="AH4" s="8"/>
    </row>
    <row r="5" spans="1:34">
      <c r="A5" s="23">
        <v>2016</v>
      </c>
      <c r="B5" s="66"/>
      <c r="C5" s="66"/>
      <c r="D5" s="66">
        <f>SUM('Source-fte_qualstus_x_servtype'!J7:K7)*'Source-fte_qualstus_x_servtype'!J24</f>
        <v>7344.9749999999995</v>
      </c>
      <c r="E5" s="66"/>
      <c r="F5" s="66"/>
      <c r="G5" s="66">
        <f>'T22'!L27</f>
        <v>7560</v>
      </c>
      <c r="H5" s="65">
        <f>'T20'!X131</f>
        <v>11255</v>
      </c>
      <c r="I5" s="66"/>
      <c r="J5" s="66">
        <f>SUM('Source-fte_qualstus_x_servtype'!K7)*'Source-fte_qualstus_x_servtype'!J24</f>
        <v>4866.6750000000002</v>
      </c>
      <c r="K5" s="66"/>
      <c r="L5" s="66"/>
      <c r="M5" s="65"/>
      <c r="P5" s="33"/>
      <c r="Q5" s="26"/>
      <c r="R5" s="27"/>
      <c r="S5" s="27"/>
      <c r="T5" s="27"/>
      <c r="U5" s="27"/>
      <c r="V5" s="27"/>
      <c r="W5" s="27"/>
      <c r="X5" s="28"/>
    </row>
    <row r="6" spans="1:34">
      <c r="A6" s="23">
        <v>2017</v>
      </c>
      <c r="B6" s="66"/>
      <c r="C6" s="66"/>
      <c r="D6" s="66">
        <f>SUM('Source-fte_qualstus_x_servtype'!L7:M7)*'Source-fte_qualstus_x_servtype'!J24</f>
        <v>7710.45</v>
      </c>
      <c r="E6" s="66"/>
      <c r="F6" s="66"/>
      <c r="G6" s="66">
        <f>'T22'!L28</f>
        <v>7690</v>
      </c>
      <c r="H6" s="65">
        <f>'T20'!X132</f>
        <v>11470</v>
      </c>
      <c r="I6" s="66"/>
      <c r="J6" s="66">
        <f>SUM('Source-fte_qualstus_x_servtype'!M7)*'Source-fte_qualstus_x_servtype'!J24</f>
        <v>4934.3249999999998</v>
      </c>
      <c r="K6" s="66"/>
      <c r="L6" s="66"/>
      <c r="M6" s="65"/>
      <c r="P6" s="34"/>
      <c r="Q6" s="26"/>
      <c r="R6" s="27"/>
      <c r="S6" s="27"/>
      <c r="T6" s="27"/>
      <c r="U6" s="27"/>
      <c r="V6" s="27"/>
      <c r="W6" s="27"/>
      <c r="X6" s="28"/>
      <c r="Y6" s="24"/>
    </row>
    <row r="7" spans="1:34">
      <c r="A7" s="23">
        <v>2018</v>
      </c>
      <c r="B7" s="66"/>
      <c r="C7" s="66"/>
      <c r="D7" s="66">
        <f>SUM('Source-fte_qualstus_x_servtype'!N7:O7)*'Source-fte_qualstus_x_servtype'!J24</f>
        <v>7918.3499999999995</v>
      </c>
      <c r="E7" s="66"/>
      <c r="F7" s="66"/>
      <c r="G7" s="66">
        <f>'T22'!L29</f>
        <v>7655</v>
      </c>
      <c r="H7" s="65">
        <f>'T20'!X133</f>
        <v>12015</v>
      </c>
      <c r="I7" s="66"/>
      <c r="J7" s="66">
        <f>SUM('Source-fte_qualstus_x_servtype'!O7)*'Source-fte_qualstus_x_servtype'!J24</f>
        <v>4962.375</v>
      </c>
      <c r="K7" s="66"/>
      <c r="L7" s="66"/>
      <c r="M7" s="65"/>
      <c r="P7" s="33"/>
      <c r="Q7" s="26"/>
      <c r="R7" s="27"/>
      <c r="S7" s="27"/>
      <c r="T7" s="27"/>
      <c r="U7" s="27"/>
      <c r="V7" s="27"/>
      <c r="W7" s="27"/>
      <c r="X7" s="28"/>
    </row>
    <row r="8" spans="1:34">
      <c r="A8" s="23">
        <v>2019</v>
      </c>
      <c r="B8" s="66"/>
      <c r="C8" s="66"/>
      <c r="D8" s="66">
        <f>SUM('Source-fte_qualstus_x_servtype'!P7:Q7)*'Source-fte_qualstus_x_servtype'!L24</f>
        <v>8265.6224000000002</v>
      </c>
      <c r="E8" s="66"/>
      <c r="F8" s="66"/>
      <c r="G8" s="66">
        <f>'T22'!L30</f>
        <v>7625</v>
      </c>
      <c r="H8" s="65">
        <f>'T20'!X134</f>
        <v>12625</v>
      </c>
      <c r="I8" s="66"/>
      <c r="J8" s="66">
        <f>SUM('Source-fte_qualstus_x_servtype'!Q7)*'Source-fte_qualstus_x_servtype'!L24</f>
        <v>5121.1552000000001</v>
      </c>
      <c r="K8" s="66"/>
      <c r="L8" s="66"/>
      <c r="M8" s="65"/>
      <c r="P8" s="34"/>
      <c r="Q8" s="26"/>
      <c r="R8" s="27"/>
      <c r="S8" s="27"/>
      <c r="T8" s="27"/>
      <c r="U8" s="27"/>
      <c r="V8" s="27"/>
      <c r="W8" s="27"/>
      <c r="X8" s="28"/>
      <c r="Y8" s="24"/>
    </row>
    <row r="9" spans="1:34">
      <c r="A9" s="23">
        <v>2020</v>
      </c>
      <c r="B9" s="66"/>
      <c r="C9" s="66"/>
      <c r="D9" s="66">
        <f>SUM('Source-fte_qualstus_x_servtype'!R7:S7)*'Source-fte_qualstus_x_servtype'!L25</f>
        <v>7895.5457999999999</v>
      </c>
      <c r="E9" s="66"/>
      <c r="F9" s="66"/>
      <c r="G9" s="66">
        <f>'T22'!L31</f>
        <v>7100</v>
      </c>
      <c r="H9" s="65">
        <f>'T20'!X135</f>
        <v>12795</v>
      </c>
      <c r="I9" s="66"/>
      <c r="J9" s="66">
        <f>SUM('Source-fte_qualstus_x_servtype'!S7)*'Source-fte_qualstus_x_servtype'!L25</f>
        <v>5105.5032000000001</v>
      </c>
      <c r="K9" s="66"/>
      <c r="L9" s="66"/>
      <c r="M9" s="65"/>
      <c r="P9" s="33"/>
      <c r="Q9" s="26"/>
      <c r="R9" s="29"/>
      <c r="S9" s="29"/>
      <c r="T9" s="29"/>
      <c r="U9" s="29"/>
      <c r="V9" s="29"/>
      <c r="W9" s="29"/>
      <c r="X9" s="30"/>
    </row>
    <row r="10" spans="1:34">
      <c r="A10" s="23">
        <v>2021</v>
      </c>
      <c r="B10" s="66"/>
      <c r="C10" s="66"/>
      <c r="D10" s="66">
        <f>SUM('Source-fte_qualstus_x_servtype'!T7:U7)*'Source-fte_qualstus_x_servtype'!L26</f>
        <v>8837.4024000000009</v>
      </c>
      <c r="E10" s="66"/>
      <c r="F10" s="66"/>
      <c r="G10" s="66">
        <f>'T22'!L32</f>
        <v>7145</v>
      </c>
      <c r="H10" s="65">
        <f>'T20'!X136</f>
        <v>12915</v>
      </c>
      <c r="I10" s="66"/>
      <c r="J10" s="66">
        <f>SUM('Source-fte_qualstus_x_servtype'!U7)*'Source-fte_qualstus_x_servtype'!L26</f>
        <v>5514.3852000000006</v>
      </c>
      <c r="K10" s="66"/>
      <c r="L10" s="66"/>
      <c r="M10" s="65"/>
      <c r="P10" s="34"/>
      <c r="Q10" s="26"/>
      <c r="R10" s="29"/>
      <c r="S10" s="29"/>
      <c r="T10" s="29"/>
      <c r="U10" s="29"/>
      <c r="V10" s="29"/>
      <c r="W10" s="29"/>
      <c r="X10" s="30"/>
      <c r="Y10" s="24"/>
    </row>
    <row r="11" spans="1:34">
      <c r="A11" s="23">
        <v>2022</v>
      </c>
      <c r="B11" s="66"/>
      <c r="C11" s="66"/>
      <c r="D11" s="66">
        <f>SUM('Source-fte_qualstus_x_servtype'!V7:W7)*'Source-fte_qualstus_x_servtype'!L27</f>
        <v>8375.9538000000011</v>
      </c>
      <c r="E11" s="66"/>
      <c r="F11" s="66"/>
      <c r="G11" s="66">
        <f>'T22'!L33</f>
        <v>6505</v>
      </c>
      <c r="H11" s="65">
        <f>'T20'!X137</f>
        <v>12910</v>
      </c>
      <c r="I11" s="66"/>
      <c r="J11" s="66">
        <f>SUM('Source-fte_qualstus_x_servtype'!W7)*'Source-fte_qualstus_x_servtype'!L27</f>
        <v>5411.7282000000005</v>
      </c>
      <c r="K11" s="66"/>
      <c r="L11" s="66"/>
      <c r="M11" s="65"/>
      <c r="P11" s="33"/>
      <c r="Q11" s="26"/>
      <c r="R11" s="29"/>
      <c r="S11" s="29"/>
      <c r="T11" s="29"/>
      <c r="U11" s="29"/>
      <c r="V11" s="29"/>
      <c r="W11" s="29"/>
      <c r="X11" s="30"/>
    </row>
    <row r="12" spans="1:34">
      <c r="A12" s="23">
        <v>2023</v>
      </c>
      <c r="B12" s="66"/>
      <c r="C12" s="66"/>
      <c r="D12" s="66">
        <f>SUM('Source-fte_qualstus_x_servtype'!X7:Y7)*'Source-fte_qualstus_x_servtype'!J25</f>
        <v>9144.74</v>
      </c>
      <c r="E12" s="66"/>
      <c r="F12" s="66"/>
      <c r="G12" s="66">
        <f>'T22'!L34</f>
        <v>6990</v>
      </c>
      <c r="H12" s="65">
        <f>'T20'!X138</f>
        <v>12535</v>
      </c>
      <c r="I12" s="66"/>
      <c r="J12" s="66">
        <f>SUM('Source-fte_qualstus_x_servtype'!Y7)*'Source-fte_qualstus_x_servtype'!J25</f>
        <v>5836.26</v>
      </c>
      <c r="K12" s="66"/>
      <c r="L12" s="66"/>
      <c r="M12" s="65"/>
      <c r="P12" s="34"/>
      <c r="Q12" s="26"/>
      <c r="R12" s="29"/>
      <c r="S12" s="29"/>
      <c r="T12" s="29"/>
      <c r="U12" s="29"/>
      <c r="V12" s="29"/>
      <c r="W12" s="29"/>
      <c r="X12" s="30"/>
      <c r="Y12" s="24"/>
    </row>
    <row r="13" spans="1:34">
      <c r="A13" s="23">
        <v>2024</v>
      </c>
      <c r="B13" s="66">
        <f>D13</f>
        <v>8918.8559999999998</v>
      </c>
      <c r="C13" s="66"/>
      <c r="D13" s="66">
        <f>SUM('Source-fte_qualstus_x_servtype'!Z7:AA7)*'Source-fte_qualstus_x_servtype'!J30</f>
        <v>8918.8559999999998</v>
      </c>
      <c r="E13" s="66">
        <f>D13</f>
        <v>8918.8559999999998</v>
      </c>
      <c r="F13" s="66">
        <f>D13</f>
        <v>8918.8559999999998</v>
      </c>
      <c r="G13" s="66">
        <f>'T22'!L35</f>
        <v>7180</v>
      </c>
      <c r="H13" s="65">
        <f>'T20'!X139</f>
        <v>12350</v>
      </c>
      <c r="I13" s="66">
        <f>J13</f>
        <v>5919.3396000000002</v>
      </c>
      <c r="J13" s="66">
        <f>SUM('Source-fte_qualstus_x_servtype'!AA7)*'Source-fte_qualstus_x_servtype'!J30</f>
        <v>5919.3396000000002</v>
      </c>
      <c r="K13" s="66">
        <f>J13</f>
        <v>5919.3396000000002</v>
      </c>
      <c r="L13" s="66">
        <f>J13</f>
        <v>5919.3396000000002</v>
      </c>
      <c r="M13" s="65"/>
      <c r="P13" s="33"/>
      <c r="Q13" s="26"/>
      <c r="R13" s="29"/>
      <c r="S13" s="29"/>
      <c r="T13" s="29"/>
      <c r="U13" s="29"/>
      <c r="V13" s="29"/>
      <c r="W13" s="29"/>
      <c r="X13" s="30"/>
    </row>
    <row r="14" spans="1:34">
      <c r="A14" s="23">
        <v>2025</v>
      </c>
      <c r="B14" s="66">
        <f>SUM('T17'!G84:I84)</f>
        <v>6785</v>
      </c>
      <c r="C14" s="66"/>
      <c r="D14" s="66"/>
      <c r="E14" s="66">
        <f>SUM('T17'!G98:I98)</f>
        <v>7635</v>
      </c>
      <c r="F14" s="66">
        <f>SUM('T17'!G112:I112)</f>
        <v>8240</v>
      </c>
      <c r="G14" s="66">
        <f>E14</f>
        <v>7635</v>
      </c>
      <c r="H14" s="65">
        <f>'T20'!X140</f>
        <v>12060</v>
      </c>
      <c r="I14" s="66">
        <f>'T17'!P84</f>
        <v>3395</v>
      </c>
      <c r="J14" s="66"/>
      <c r="K14" s="66">
        <f>'T17'!P98</f>
        <v>4895</v>
      </c>
      <c r="L14" s="66">
        <f>'T17'!P112</f>
        <v>8240</v>
      </c>
      <c r="M14" s="65"/>
      <c r="P14" s="34"/>
      <c r="Q14" s="26"/>
      <c r="R14" s="29"/>
      <c r="S14" s="29"/>
      <c r="T14" s="29"/>
      <c r="U14" s="29"/>
      <c r="V14" s="29"/>
      <c r="W14" s="29"/>
      <c r="X14" s="30"/>
      <c r="Y14" s="24"/>
    </row>
    <row r="15" spans="1:34">
      <c r="A15" s="23">
        <v>2026</v>
      </c>
      <c r="B15" s="66">
        <f>SUM('T17'!G85:I85)</f>
        <v>6640</v>
      </c>
      <c r="C15" s="66"/>
      <c r="D15" s="66"/>
      <c r="E15" s="66">
        <f>SUM('T17'!G99:I99)</f>
        <v>7520</v>
      </c>
      <c r="F15" s="66">
        <f>SUM('T17'!G113:I113)</f>
        <v>8110</v>
      </c>
      <c r="G15" s="66"/>
      <c r="H15" s="65">
        <f>'T20'!X104</f>
        <v>12195</v>
      </c>
      <c r="I15" s="66">
        <f>'T17'!P85</f>
        <v>3320</v>
      </c>
      <c r="J15" s="66"/>
      <c r="K15" s="66">
        <f>'T17'!P99</f>
        <v>4820</v>
      </c>
      <c r="L15" s="66">
        <f>'T17'!P113</f>
        <v>8110</v>
      </c>
      <c r="M15" s="65"/>
      <c r="P15" s="33"/>
      <c r="Q15" s="26"/>
      <c r="R15" s="29"/>
      <c r="S15" s="29"/>
      <c r="T15" s="29"/>
      <c r="U15" s="29"/>
      <c r="V15" s="29"/>
      <c r="W15" s="29"/>
      <c r="X15" s="30"/>
    </row>
    <row r="16" spans="1:34">
      <c r="A16" s="23">
        <v>2027</v>
      </c>
      <c r="B16" s="66">
        <f>SUM('T17'!G86:I86)</f>
        <v>6495</v>
      </c>
      <c r="C16" s="66"/>
      <c r="D16" s="66"/>
      <c r="E16" s="66">
        <f>SUM('T17'!G100:I100)</f>
        <v>7420</v>
      </c>
      <c r="F16" s="66">
        <f>SUM('T17'!G114:I114)</f>
        <v>8005</v>
      </c>
      <c r="G16" s="66"/>
      <c r="H16" s="65">
        <f>'T20'!X105</f>
        <v>12255</v>
      </c>
      <c r="I16" s="66">
        <f>'T17'!P86</f>
        <v>3250</v>
      </c>
      <c r="J16" s="66"/>
      <c r="K16" s="66">
        <f>'T17'!P100</f>
        <v>4755</v>
      </c>
      <c r="L16" s="66">
        <f>'T17'!P114</f>
        <v>8005</v>
      </c>
      <c r="M16" s="65"/>
      <c r="P16" s="34"/>
      <c r="Q16" s="26"/>
      <c r="R16" s="29"/>
      <c r="S16" s="29"/>
      <c r="T16" s="29"/>
      <c r="U16" s="29"/>
      <c r="V16" s="29"/>
      <c r="W16" s="29"/>
      <c r="X16" s="30"/>
      <c r="Y16" s="24"/>
    </row>
    <row r="17" spans="1:25">
      <c r="A17" s="23">
        <v>2028</v>
      </c>
      <c r="B17" s="66">
        <f>SUM('T17'!G87:I87)</f>
        <v>6495</v>
      </c>
      <c r="C17" s="66"/>
      <c r="D17" s="66"/>
      <c r="E17" s="66">
        <f>SUM('T17'!G101:I101)</f>
        <v>7490</v>
      </c>
      <c r="F17" s="66">
        <f>SUM('T17'!G115:I115)</f>
        <v>8085</v>
      </c>
      <c r="G17" s="66"/>
      <c r="H17" s="65">
        <f>'T20'!X106</f>
        <v>12335</v>
      </c>
      <c r="I17" s="66">
        <f>'T17'!P87</f>
        <v>3250</v>
      </c>
      <c r="J17" s="66"/>
      <c r="K17" s="66">
        <f>'T17'!P101</f>
        <v>4800</v>
      </c>
      <c r="L17" s="66">
        <f>'T17'!P115</f>
        <v>8085</v>
      </c>
      <c r="M17" s="65"/>
      <c r="P17" s="33"/>
      <c r="Q17" s="26"/>
      <c r="R17" s="29"/>
      <c r="S17" s="29"/>
      <c r="T17" s="29"/>
      <c r="U17" s="29"/>
      <c r="V17" s="29"/>
      <c r="W17" s="29"/>
      <c r="X17" s="30"/>
    </row>
    <row r="18" spans="1:25">
      <c r="A18" s="23">
        <v>2029</v>
      </c>
      <c r="B18" s="66">
        <f>SUM('T17'!G88:I88)</f>
        <v>6495</v>
      </c>
      <c r="C18" s="66"/>
      <c r="D18" s="66"/>
      <c r="E18" s="66">
        <f>SUM('T17'!G102:I102)</f>
        <v>7575</v>
      </c>
      <c r="F18" s="66">
        <f>SUM('T17'!G116:I116)</f>
        <v>8175</v>
      </c>
      <c r="G18" s="66"/>
      <c r="H18" s="65">
        <f>'T20'!X107</f>
        <v>12435</v>
      </c>
      <c r="I18" s="66">
        <f>'T17'!P88</f>
        <v>3250</v>
      </c>
      <c r="J18" s="66"/>
      <c r="K18" s="66">
        <f>'T17'!P102</f>
        <v>4855</v>
      </c>
      <c r="L18" s="66">
        <f>'T17'!P116</f>
        <v>8175</v>
      </c>
      <c r="M18" s="65"/>
      <c r="P18" s="34"/>
      <c r="Q18" s="26"/>
      <c r="R18" s="29"/>
      <c r="S18" s="29"/>
      <c r="T18" s="29"/>
      <c r="U18" s="29"/>
      <c r="V18" s="29"/>
      <c r="W18" s="29"/>
      <c r="X18" s="30"/>
      <c r="Y18" s="24"/>
    </row>
    <row r="19" spans="1:25">
      <c r="A19" s="23">
        <v>2030</v>
      </c>
      <c r="B19" s="66">
        <f>SUM('T17'!G89:I89)</f>
        <v>6475</v>
      </c>
      <c r="C19" s="66"/>
      <c r="D19" s="66"/>
      <c r="E19" s="66">
        <f>SUM('T17'!G103:I103)</f>
        <v>7615</v>
      </c>
      <c r="F19" s="66">
        <f>SUM('T17'!G117:I117)</f>
        <v>8210</v>
      </c>
      <c r="G19" s="66"/>
      <c r="H19" s="65">
        <f>'T20'!X108</f>
        <v>12560</v>
      </c>
      <c r="I19" s="66">
        <f>'T17'!P89</f>
        <v>3240</v>
      </c>
      <c r="J19" s="66"/>
      <c r="K19" s="66">
        <f>'T17'!P103</f>
        <v>4880</v>
      </c>
      <c r="L19" s="66">
        <f>'T17'!P117</f>
        <v>8210</v>
      </c>
      <c r="M19" s="65"/>
      <c r="P19" s="33"/>
      <c r="Q19" s="26"/>
      <c r="R19" s="29"/>
      <c r="S19" s="29"/>
      <c r="T19" s="29"/>
      <c r="U19" s="29"/>
      <c r="V19" s="29"/>
      <c r="W19" s="29"/>
      <c r="X19" s="30"/>
    </row>
    <row r="20" spans="1:25">
      <c r="A20" s="23">
        <v>2031</v>
      </c>
      <c r="B20" s="66">
        <f>SUM('T17'!G90:I90)</f>
        <v>6465</v>
      </c>
      <c r="C20" s="66"/>
      <c r="D20" s="66"/>
      <c r="E20" s="66">
        <f>SUM('T17'!G104:I104)</f>
        <v>7650</v>
      </c>
      <c r="F20" s="66">
        <f>SUM('T17'!G118:I118)</f>
        <v>8250</v>
      </c>
      <c r="G20" s="66"/>
      <c r="H20" s="65">
        <f>'T20'!X109</f>
        <v>12695</v>
      </c>
      <c r="I20" s="66">
        <f>'T17'!P90</f>
        <v>3235</v>
      </c>
      <c r="J20" s="66"/>
      <c r="K20" s="66">
        <f>'T17'!P104</f>
        <v>4900</v>
      </c>
      <c r="L20" s="66">
        <f>'T17'!P118</f>
        <v>8250</v>
      </c>
      <c r="M20" s="65"/>
      <c r="P20" s="34"/>
      <c r="Q20" s="26"/>
      <c r="R20" s="29"/>
      <c r="S20" s="29"/>
      <c r="T20" s="29"/>
      <c r="U20" s="29"/>
      <c r="V20" s="29"/>
      <c r="W20" s="29"/>
      <c r="X20" s="30"/>
      <c r="Y20" s="24"/>
    </row>
    <row r="21" spans="1:25">
      <c r="A21" s="23">
        <v>2032</v>
      </c>
      <c r="B21" s="66">
        <f>SUM('T17'!G91:I91)</f>
        <v>6445</v>
      </c>
      <c r="C21" s="66"/>
      <c r="D21" s="66"/>
      <c r="E21" s="66">
        <f>SUM('T17'!G105:I105)</f>
        <v>7680</v>
      </c>
      <c r="F21" s="66">
        <f>SUM('T17'!G119:I119)</f>
        <v>8285</v>
      </c>
      <c r="G21" s="66"/>
      <c r="H21" s="65">
        <f>'T20'!X110</f>
        <v>12855</v>
      </c>
      <c r="I21" s="66">
        <f>'T17'!P91</f>
        <v>3225</v>
      </c>
      <c r="J21" s="66"/>
      <c r="K21" s="66">
        <f>'T17'!P105</f>
        <v>4920</v>
      </c>
      <c r="L21" s="66">
        <f>'T17'!P119</f>
        <v>8285</v>
      </c>
      <c r="M21" s="65"/>
      <c r="P21" s="33"/>
      <c r="Q21" s="26"/>
      <c r="R21" s="29"/>
      <c r="S21" s="29"/>
      <c r="T21" s="31"/>
      <c r="U21" s="31"/>
      <c r="V21" s="31"/>
      <c r="W21" s="31"/>
      <c r="X21" s="32"/>
    </row>
    <row r="22" spans="1:25">
      <c r="A22" s="23">
        <v>2033</v>
      </c>
      <c r="B22" s="66">
        <f>SUM('T17'!G92:I92)</f>
        <v>6440</v>
      </c>
      <c r="C22" s="66"/>
      <c r="D22" s="66"/>
      <c r="E22" s="66">
        <f>SUM('T17'!G106:I106)</f>
        <v>7720</v>
      </c>
      <c r="F22" s="66">
        <f>SUM('T17'!G120:I120)</f>
        <v>8325</v>
      </c>
      <c r="G22" s="66"/>
      <c r="H22" s="65">
        <f>'T20'!X111</f>
        <v>13010</v>
      </c>
      <c r="I22" s="66">
        <f>'T17'!P92</f>
        <v>3220</v>
      </c>
      <c r="J22" s="66"/>
      <c r="K22" s="66">
        <f>'T17'!P106</f>
        <v>4945</v>
      </c>
      <c r="L22" s="66">
        <f>'T17'!P120</f>
        <v>8325</v>
      </c>
      <c r="M22" s="65"/>
      <c r="P22" s="34"/>
      <c r="Q22" s="26"/>
      <c r="R22" s="29"/>
      <c r="S22" s="29"/>
      <c r="T22" s="31"/>
      <c r="U22" s="31"/>
      <c r="V22" s="31"/>
      <c r="W22" s="31"/>
      <c r="X22" s="32"/>
      <c r="Y22" s="24"/>
    </row>
    <row r="23" spans="1:25">
      <c r="A23" s="23">
        <v>2034</v>
      </c>
      <c r="B23" s="66">
        <f>SUM('T17'!G93:I93)</f>
        <v>6435</v>
      </c>
      <c r="C23" s="66"/>
      <c r="D23" s="66"/>
      <c r="E23" s="66">
        <f>SUM('T17'!G107:I107)</f>
        <v>7760</v>
      </c>
      <c r="F23" s="66">
        <f>SUM('T17'!G121:I121)</f>
        <v>8370</v>
      </c>
      <c r="G23" s="66"/>
      <c r="H23" s="65">
        <f>'T20'!X112</f>
        <v>13190</v>
      </c>
      <c r="I23" s="66">
        <f>'T17'!P93</f>
        <v>3220</v>
      </c>
      <c r="J23" s="66"/>
      <c r="K23" s="66">
        <f>'T17'!P107</f>
        <v>4975</v>
      </c>
      <c r="L23" s="66">
        <f>'T17'!P121</f>
        <v>8370</v>
      </c>
      <c r="M23" s="65"/>
      <c r="P23" s="33"/>
      <c r="Q23" s="26"/>
      <c r="R23" s="29"/>
      <c r="S23" s="29"/>
      <c r="T23" s="29"/>
      <c r="U23" s="29"/>
      <c r="V23" s="29"/>
      <c r="W23" s="29"/>
      <c r="X23" s="32"/>
    </row>
    <row r="24" spans="1:25">
      <c r="A24" s="23">
        <v>2035</v>
      </c>
      <c r="B24" s="66">
        <f>SUM('T17'!G94:I94)</f>
        <v>6445</v>
      </c>
      <c r="C24" s="66"/>
      <c r="D24" s="66"/>
      <c r="E24" s="66">
        <f>SUM('T17'!G108:I108)</f>
        <v>7800</v>
      </c>
      <c r="F24" s="66">
        <f>SUM('T17'!G122:I122)</f>
        <v>8415</v>
      </c>
      <c r="G24" s="66"/>
      <c r="H24" s="65">
        <f>'T20'!X113</f>
        <v>13385</v>
      </c>
      <c r="I24" s="66">
        <f>'T17'!P94</f>
        <v>3225</v>
      </c>
      <c r="J24" s="66"/>
      <c r="K24" s="66">
        <f>'T17'!P108</f>
        <v>5000</v>
      </c>
      <c r="L24" s="66">
        <f>'T17'!P122</f>
        <v>8415</v>
      </c>
      <c r="M24" s="65"/>
      <c r="P24" s="34"/>
      <c r="Q24" s="26"/>
      <c r="R24" s="29"/>
      <c r="S24" s="29"/>
      <c r="T24" s="29"/>
      <c r="U24" s="29"/>
      <c r="V24" s="29"/>
      <c r="W24" s="29"/>
      <c r="X24" s="32"/>
      <c r="Y24" s="24"/>
    </row>
    <row r="25" spans="1:25">
      <c r="P25" s="34"/>
      <c r="Q25" s="26"/>
      <c r="R25" s="29"/>
      <c r="S25" s="29"/>
      <c r="T25" s="29"/>
      <c r="U25" s="29"/>
      <c r="V25" s="29"/>
      <c r="W25" s="29"/>
      <c r="X25" s="32"/>
      <c r="Y25" s="24"/>
    </row>
  </sheetData>
  <mergeCells count="2">
    <mergeCell ref="B3:F3"/>
    <mergeCell ref="I3:L3"/>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7084D-2A19-4397-B48A-B0D532C4C8E6}">
  <dimension ref="A1:AN140"/>
  <sheetViews>
    <sheetView workbookViewId="0">
      <pane xSplit="1" ySplit="3" topLeftCell="B4" activePane="bottomRight" state="frozen"/>
      <selection pane="bottomRight" activeCell="H15" sqref="H15"/>
      <selection pane="bottomLeft" activeCell="A4" sqref="A4"/>
      <selection pane="topRight" activeCell="B1" sqref="B1"/>
    </sheetView>
  </sheetViews>
  <sheetFormatPr defaultColWidth="8.85546875" defaultRowHeight="14.65"/>
  <cols>
    <col min="2" max="8" width="14.140625" customWidth="1"/>
    <col min="9" max="9" width="2.140625" style="40" customWidth="1"/>
    <col min="10" max="24" width="14.28515625" customWidth="1"/>
    <col min="25" max="25" width="2.140625" style="40" customWidth="1"/>
    <col min="26" max="39" width="14.28515625" customWidth="1"/>
  </cols>
  <sheetData>
    <row r="1" spans="1:40">
      <c r="A1" s="1" t="s">
        <v>417</v>
      </c>
      <c r="B1" s="1"/>
      <c r="C1" s="1"/>
    </row>
    <row r="2" spans="1:40" s="10" customFormat="1" ht="30" customHeight="1">
      <c r="B2" s="180" t="s">
        <v>418</v>
      </c>
      <c r="C2" s="180"/>
      <c r="D2" s="180"/>
      <c r="E2" s="180"/>
      <c r="F2" s="180"/>
      <c r="G2" s="180"/>
      <c r="H2" s="180"/>
      <c r="I2" s="60"/>
      <c r="J2" s="179" t="s">
        <v>419</v>
      </c>
      <c r="K2" s="180"/>
      <c r="L2" s="180"/>
      <c r="M2" s="180"/>
      <c r="N2" s="180"/>
      <c r="O2" s="180"/>
      <c r="P2" s="180"/>
      <c r="Q2" s="179" t="s">
        <v>420</v>
      </c>
      <c r="R2" s="180"/>
      <c r="S2" s="180"/>
      <c r="T2" s="180"/>
      <c r="U2" s="180"/>
      <c r="V2" s="180"/>
      <c r="W2" s="180"/>
      <c r="X2" s="54"/>
      <c r="Y2" s="60"/>
      <c r="Z2" s="179" t="s">
        <v>421</v>
      </c>
      <c r="AA2" s="179"/>
      <c r="AB2" s="179"/>
      <c r="AC2" s="179"/>
      <c r="AD2" s="179"/>
      <c r="AE2" s="179"/>
      <c r="AF2" s="179"/>
      <c r="AG2" s="179" t="s">
        <v>422</v>
      </c>
      <c r="AH2" s="179"/>
      <c r="AI2" s="179"/>
      <c r="AJ2" s="179"/>
      <c r="AK2" s="179"/>
      <c r="AL2" s="179"/>
      <c r="AM2" s="179"/>
    </row>
    <row r="3" spans="1:40" s="49" customFormat="1" ht="36">
      <c r="A3" s="56" t="s">
        <v>229</v>
      </c>
      <c r="B3" s="57" t="s">
        <v>423</v>
      </c>
      <c r="C3" s="57" t="s">
        <v>296</v>
      </c>
      <c r="D3" s="57" t="s">
        <v>382</v>
      </c>
      <c r="E3" s="57" t="s">
        <v>424</v>
      </c>
      <c r="F3" s="57" t="s">
        <v>308</v>
      </c>
      <c r="G3" s="57" t="s">
        <v>301</v>
      </c>
      <c r="H3" s="57" t="s">
        <v>347</v>
      </c>
      <c r="I3" s="61"/>
      <c r="J3" s="57" t="s">
        <v>423</v>
      </c>
      <c r="K3" s="57" t="s">
        <v>296</v>
      </c>
      <c r="L3" s="57" t="s">
        <v>382</v>
      </c>
      <c r="M3" s="57" t="s">
        <v>424</v>
      </c>
      <c r="N3" s="57" t="s">
        <v>308</v>
      </c>
      <c r="O3" s="57" t="s">
        <v>301</v>
      </c>
      <c r="P3" s="57" t="s">
        <v>347</v>
      </c>
      <c r="Q3" s="57" t="s">
        <v>423</v>
      </c>
      <c r="R3" s="57" t="s">
        <v>296</v>
      </c>
      <c r="S3" s="57" t="s">
        <v>382</v>
      </c>
      <c r="T3" s="57" t="s">
        <v>424</v>
      </c>
      <c r="U3" s="57" t="s">
        <v>308</v>
      </c>
      <c r="V3" s="57" t="s">
        <v>301</v>
      </c>
      <c r="W3" s="57" t="s">
        <v>347</v>
      </c>
      <c r="X3" s="57" t="s">
        <v>425</v>
      </c>
      <c r="Y3" s="61"/>
      <c r="Z3" s="57" t="s">
        <v>423</v>
      </c>
      <c r="AA3" s="57" t="s">
        <v>296</v>
      </c>
      <c r="AB3" s="57" t="s">
        <v>382</v>
      </c>
      <c r="AC3" s="57" t="s">
        <v>424</v>
      </c>
      <c r="AD3" s="57" t="s">
        <v>308</v>
      </c>
      <c r="AE3" s="57" t="s">
        <v>301</v>
      </c>
      <c r="AF3" s="57" t="s">
        <v>347</v>
      </c>
      <c r="AG3" s="57" t="s">
        <v>423</v>
      </c>
      <c r="AH3" s="57" t="s">
        <v>296</v>
      </c>
      <c r="AI3" s="57" t="s">
        <v>382</v>
      </c>
      <c r="AJ3" s="57" t="s">
        <v>424</v>
      </c>
      <c r="AK3" s="57" t="s">
        <v>308</v>
      </c>
      <c r="AL3" s="57" t="s">
        <v>301</v>
      </c>
      <c r="AM3" s="57" t="s">
        <v>347</v>
      </c>
      <c r="AN3" s="56"/>
    </row>
    <row r="4" spans="1:40">
      <c r="A4">
        <v>2015</v>
      </c>
      <c r="B4" s="51">
        <v>149</v>
      </c>
      <c r="C4" s="51">
        <v>44248</v>
      </c>
      <c r="D4" s="51">
        <v>11078</v>
      </c>
      <c r="E4" s="51">
        <v>133</v>
      </c>
      <c r="F4" s="51">
        <v>5505</v>
      </c>
      <c r="G4" s="51">
        <v>2185</v>
      </c>
      <c r="H4" s="51">
        <v>1662</v>
      </c>
      <c r="J4" s="51">
        <f>B4*SUM('T5'!$H$42:$I$42)</f>
        <v>28.983561413173089</v>
      </c>
      <c r="K4" s="51">
        <f>C4*SUM('T5'!$H$42:$I$42)</f>
        <v>8607.1451369804217</v>
      </c>
      <c r="L4" s="51">
        <f>D4*SUM('T5'!$H$42:$I$42)</f>
        <v>2154.8986129874593</v>
      </c>
      <c r="M4" s="51">
        <f>E4*SUM('T5'!$H$42:$I$42)</f>
        <v>25.87123267081893</v>
      </c>
      <c r="N4" s="51">
        <f>F4*SUM('T5'!$H$42:$I$42)</f>
        <v>1070.8356079162272</v>
      </c>
      <c r="O4" s="51">
        <f>G4*SUM('T5'!$H$42:$I$42)</f>
        <v>425.02739387773954</v>
      </c>
      <c r="P4" s="51">
        <f>H4*SUM('T5'!$H$42:$I$42)</f>
        <v>323.29314811203807</v>
      </c>
      <c r="Q4" s="51">
        <f>B4*SUM('T5'!$J$40:$L$40)</f>
        <v>113.52043044286543</v>
      </c>
      <c r="R4" s="51">
        <f>C4*SUM('T5'!$J$40:$L$40)</f>
        <v>33711.758431113485</v>
      </c>
      <c r="S4" s="51">
        <f>D4*SUM('T5'!$J$40:$L$40)</f>
        <v>8440.1297211145193</v>
      </c>
      <c r="T4" s="51">
        <f>E4*SUM('T5'!$J$40:$L$40)</f>
        <v>101.33031710671881</v>
      </c>
      <c r="U4" s="51">
        <f>F4*SUM('T5'!$J$40:$L$40)</f>
        <v>4194.1608697179481</v>
      </c>
      <c r="V4" s="51">
        <f>G4*SUM('T5'!$J$40:$L$40)</f>
        <v>1664.7123524675233</v>
      </c>
      <c r="W4" s="51">
        <f>H4*SUM('T5'!$J$40:$L$40)</f>
        <v>1266.2480227922306</v>
      </c>
      <c r="X4" s="51">
        <f>SUM(J4:W4)</f>
        <v>62127.914838713164</v>
      </c>
      <c r="Z4" s="51">
        <f>B4*'T21'!$E$4</f>
        <v>72.682926829268297</v>
      </c>
      <c r="AA4" s="51">
        <f>C4*'T21'!$E$5</f>
        <v>10385.525323275862</v>
      </c>
      <c r="AB4" s="51">
        <f>D4*'T21'!$E$6</f>
        <v>11045.936324167873</v>
      </c>
      <c r="AC4" s="51">
        <f>E4*'T21'!$E$7</f>
        <v>122.37847222222221</v>
      </c>
      <c r="AD4" s="51">
        <f>F4*'T21'!$E$8</f>
        <v>72.256737836891844</v>
      </c>
      <c r="AE4" s="51">
        <f>G4*'T21'!$E$9</f>
        <v>1185.8668958742633</v>
      </c>
      <c r="AF4" s="51">
        <f>H4*'T21'!$E$10</f>
        <v>476.27134348113833</v>
      </c>
      <c r="AG4" s="51">
        <f>B4*SUM('T21'!$F$4)</f>
        <v>76.317073170731703</v>
      </c>
      <c r="AH4" s="51">
        <f>C4*SUM('T21'!$F$5)</f>
        <v>33862.474676724138</v>
      </c>
      <c r="AI4" s="51">
        <f>D4*SUM('T21'!$F$6)</f>
        <v>32.063675832127352</v>
      </c>
      <c r="AJ4" s="51">
        <f>E4*SUM('T21'!$F$7)</f>
        <v>10.621527777777777</v>
      </c>
      <c r="AK4" s="51">
        <f>F4*SUM('T21'!$F$8)</f>
        <v>5432.7432621631078</v>
      </c>
      <c r="AL4" s="51">
        <f>G4*SUM('T21'!$F$9)</f>
        <v>999.13310412573674</v>
      </c>
      <c r="AM4" s="51">
        <f>H4*SUM('T21'!$F$10)</f>
        <v>1185.7286565188617</v>
      </c>
      <c r="AN4" s="24"/>
    </row>
    <row r="5" spans="1:40">
      <c r="A5">
        <v>2016</v>
      </c>
      <c r="B5" s="51">
        <v>169</v>
      </c>
      <c r="C5" s="51">
        <v>47007</v>
      </c>
      <c r="D5" s="51">
        <v>13634</v>
      </c>
      <c r="E5" s="51">
        <v>133</v>
      </c>
      <c r="F5" s="51">
        <v>5570</v>
      </c>
      <c r="G5" s="51">
        <v>2185</v>
      </c>
      <c r="H5" s="51">
        <v>1692</v>
      </c>
      <c r="J5" s="51">
        <f>B5*SUM('T5'!$H$42:$I$42)</f>
        <v>32.873972341115781</v>
      </c>
      <c r="K5" s="51">
        <f>C5*SUM('T5'!$H$42:$I$42)</f>
        <v>9143.8273244901156</v>
      </c>
      <c r="L5" s="51">
        <f>D5*SUM('T5'!$H$42:$I$42)</f>
        <v>2652.0931295785363</v>
      </c>
      <c r="M5" s="51">
        <f>E5*SUM('T5'!$H$42:$I$42)</f>
        <v>25.87123267081893</v>
      </c>
      <c r="N5" s="51">
        <f>F5*SUM('T5'!$H$42:$I$42)</f>
        <v>1083.4794434320409</v>
      </c>
      <c r="O5" s="51">
        <f>G5*SUM('T5'!$H$42:$I$42)</f>
        <v>425.02739387773954</v>
      </c>
      <c r="P5" s="51">
        <f>H5*SUM('T5'!$H$42:$I$42)</f>
        <v>329.12876450395208</v>
      </c>
      <c r="Q5" s="51">
        <f>B5*SUM('T5'!$J$40:$L$40)</f>
        <v>128.75807211304871</v>
      </c>
      <c r="R5" s="51">
        <f>C5*SUM('T5'!$J$40:$L$40)</f>
        <v>35813.791099515271</v>
      </c>
      <c r="S5" s="51">
        <f>D5*SUM('T5'!$J$40:$L$40)</f>
        <v>10387.500326563943</v>
      </c>
      <c r="T5" s="51">
        <f>E5*SUM('T5'!$J$40:$L$40)</f>
        <v>101.33031710671881</v>
      </c>
      <c r="U5" s="51">
        <f>F5*SUM('T5'!$J$40:$L$40)</f>
        <v>4243.6832051460433</v>
      </c>
      <c r="V5" s="51">
        <f>G5*SUM('T5'!$J$40:$L$40)</f>
        <v>1664.7123524675233</v>
      </c>
      <c r="W5" s="51">
        <f>H5*SUM('T5'!$J$40:$L$40)</f>
        <v>1289.1044852975056</v>
      </c>
      <c r="X5" s="51">
        <f t="shared" ref="X5:X14" si="0">SUM(J5:W5)</f>
        <v>67321.181119104367</v>
      </c>
      <c r="Z5" s="51">
        <f>B5*'T21'!$E$4</f>
        <v>82.439024390243901</v>
      </c>
      <c r="AA5" s="51">
        <f>C5*'T21'!$E$5</f>
        <v>11033.09502963362</v>
      </c>
      <c r="AB5" s="51">
        <f>D5*'T21'!$E$6</f>
        <v>13594.538350217077</v>
      </c>
      <c r="AC5" s="51">
        <f>E5*'T21'!$E$7</f>
        <v>122.37847222222221</v>
      </c>
      <c r="AD5" s="51">
        <f>F5*'T21'!$E$8</f>
        <v>73.109905495274774</v>
      </c>
      <c r="AE5" s="51">
        <f>G5*'T21'!$E$9</f>
        <v>1185.8668958742633</v>
      </c>
      <c r="AF5" s="51">
        <f>H5*'T21'!$E$10</f>
        <v>484.86829913964266</v>
      </c>
      <c r="AG5" s="51">
        <f>B5*SUM('T21'!$F$4)</f>
        <v>86.560975609756099</v>
      </c>
      <c r="AH5" s="51">
        <f>C5*SUM('T21'!$F$5)</f>
        <v>35973.904970366384</v>
      </c>
      <c r="AI5" s="51">
        <f>D5*SUM('T21'!$F$6)</f>
        <v>39.461649782923296</v>
      </c>
      <c r="AJ5" s="51">
        <f>E5*SUM('T21'!$F$7)</f>
        <v>10.621527777777777</v>
      </c>
      <c r="AK5" s="51">
        <f>F5*SUM('T21'!$F$8)</f>
        <v>5496.8900945047253</v>
      </c>
      <c r="AL5" s="51">
        <f>G5*SUM('T21'!$F$9)</f>
        <v>999.13310412573674</v>
      </c>
      <c r="AM5" s="51">
        <f>H5*SUM('T21'!$F$10)</f>
        <v>1207.1317008603573</v>
      </c>
    </row>
    <row r="6" spans="1:40">
      <c r="A6">
        <v>2017</v>
      </c>
      <c r="B6" s="51">
        <v>169</v>
      </c>
      <c r="C6" s="51">
        <v>49756</v>
      </c>
      <c r="D6" s="51">
        <v>12665</v>
      </c>
      <c r="E6" s="51">
        <v>175</v>
      </c>
      <c r="F6" s="51">
        <v>5575</v>
      </c>
      <c r="G6" s="51">
        <v>2105</v>
      </c>
      <c r="H6" s="51">
        <v>1669</v>
      </c>
      <c r="J6" s="51">
        <f>B6*SUM('T5'!$H$42:$I$42)</f>
        <v>32.873972341115781</v>
      </c>
      <c r="K6" s="51">
        <f>C6*SUM('T5'!$H$42:$I$42)</f>
        <v>9678.5643065358399</v>
      </c>
      <c r="L6" s="51">
        <f>D6*SUM('T5'!$H$42:$I$42)</f>
        <v>2463.6027201197126</v>
      </c>
      <c r="M6" s="51">
        <f>E6*SUM('T5'!$H$42:$I$42)</f>
        <v>34.041095619498591</v>
      </c>
      <c r="N6" s="51">
        <f>F6*SUM('T5'!$H$42:$I$42)</f>
        <v>1084.4520461640266</v>
      </c>
      <c r="O6" s="51">
        <f>G6*SUM('T5'!$H$42:$I$42)</f>
        <v>409.46575016596876</v>
      </c>
      <c r="P6" s="51">
        <f>H6*SUM('T5'!$H$42:$I$42)</f>
        <v>324.65479193681801</v>
      </c>
      <c r="Q6" s="51">
        <f>B6*SUM('T5'!$J$40:$L$40)</f>
        <v>128.75807211304871</v>
      </c>
      <c r="R6" s="51">
        <f>C6*SUM('T5'!$J$40:$L$40)</f>
        <v>37908.204947081962</v>
      </c>
      <c r="S6" s="51">
        <f>D6*SUM('T5'!$J$40:$L$40)</f>
        <v>9649.2365876435615</v>
      </c>
      <c r="T6" s="51">
        <f>E6*SUM('T5'!$J$40:$L$40)</f>
        <v>133.3293646141037</v>
      </c>
      <c r="U6" s="51">
        <f>F6*SUM('T5'!$J$40:$L$40)</f>
        <v>4247.4926155635894</v>
      </c>
      <c r="V6" s="51">
        <f>G6*SUM('T5'!$J$40:$L$40)</f>
        <v>1603.7617857867901</v>
      </c>
      <c r="W6" s="51">
        <f>H6*SUM('T5'!$J$40:$L$40)</f>
        <v>1271.5811973767948</v>
      </c>
      <c r="X6" s="51">
        <f t="shared" si="0"/>
        <v>68970.019253062826</v>
      </c>
      <c r="Z6" s="51">
        <f>B6*'T21'!$E$4</f>
        <v>82.439024390243901</v>
      </c>
      <c r="AA6" s="51">
        <f>C6*'T21'!$E$5</f>
        <v>11678.317618534482</v>
      </c>
      <c r="AB6" s="51">
        <f>D6*'T21'!$E$6</f>
        <v>12628.342981186686</v>
      </c>
      <c r="AC6" s="51">
        <f>E6*'T21'!$E$7</f>
        <v>161.02430555555554</v>
      </c>
      <c r="AD6" s="51">
        <f>F6*'T21'!$E$8</f>
        <v>73.175533776688837</v>
      </c>
      <c r="AE6" s="51">
        <f>G6*'T21'!$E$9</f>
        <v>1142.4484282907661</v>
      </c>
      <c r="AF6" s="51">
        <f>H6*'T21'!$E$10</f>
        <v>478.27729980145602</v>
      </c>
      <c r="AG6" s="51">
        <f>B6*SUM('T21'!$F$4)</f>
        <v>86.560975609756099</v>
      </c>
      <c r="AH6" s="51">
        <f>C6*SUM('T21'!$F$5)</f>
        <v>38077.682381465522</v>
      </c>
      <c r="AI6" s="51">
        <f>D6*SUM('T21'!$F$6)</f>
        <v>36.657018813314032</v>
      </c>
      <c r="AJ6" s="51">
        <f>E6*SUM('T21'!$F$7)</f>
        <v>13.975694444444443</v>
      </c>
      <c r="AK6" s="51">
        <f>F6*SUM('T21'!$F$8)</f>
        <v>5501.824466223311</v>
      </c>
      <c r="AL6" s="51">
        <f>G6*SUM('T21'!$F$9)</f>
        <v>962.55157170923383</v>
      </c>
      <c r="AM6" s="51">
        <f>H6*SUM('T21'!$F$10)</f>
        <v>1190.7227001985441</v>
      </c>
    </row>
    <row r="7" spans="1:40">
      <c r="A7">
        <v>2018</v>
      </c>
      <c r="B7" s="51">
        <v>169</v>
      </c>
      <c r="C7" s="51">
        <v>52762</v>
      </c>
      <c r="D7" s="51">
        <v>13200</v>
      </c>
      <c r="E7" s="51">
        <v>175</v>
      </c>
      <c r="F7" s="51">
        <v>5570</v>
      </c>
      <c r="G7" s="51">
        <v>2050</v>
      </c>
      <c r="H7" s="51">
        <v>1629</v>
      </c>
      <c r="J7" s="51">
        <f>B7*SUM('T5'!$H$42:$I$42)</f>
        <v>32.873972341115781</v>
      </c>
      <c r="K7" s="51">
        <f>C7*SUM('T5'!$H$42:$I$42)</f>
        <v>10263.293069005627</v>
      </c>
      <c r="L7" s="51">
        <f>D7*SUM('T5'!$H$42:$I$42)</f>
        <v>2567.6712124421797</v>
      </c>
      <c r="M7" s="51">
        <f>E7*SUM('T5'!$H$42:$I$42)</f>
        <v>34.041095619498591</v>
      </c>
      <c r="N7" s="51">
        <f>F7*SUM('T5'!$H$42:$I$42)</f>
        <v>1083.4794434320409</v>
      </c>
      <c r="O7" s="51">
        <f>G7*SUM('T5'!$H$42:$I$42)</f>
        <v>398.76712011412639</v>
      </c>
      <c r="P7" s="51">
        <f>H7*SUM('T5'!$H$42:$I$42)</f>
        <v>316.87397008093262</v>
      </c>
      <c r="Q7" s="51">
        <f>B7*SUM('T5'!$J$40:$L$40)</f>
        <v>128.75807211304871</v>
      </c>
      <c r="R7" s="51">
        <f>C7*SUM('T5'!$J$40:$L$40)</f>
        <v>40198.422490110512</v>
      </c>
      <c r="S7" s="51">
        <f>D7*SUM('T5'!$J$40:$L$40)</f>
        <v>10056.843502320964</v>
      </c>
      <c r="T7" s="51">
        <f>E7*SUM('T5'!$J$40:$L$40)</f>
        <v>133.3293646141037</v>
      </c>
      <c r="U7" s="51">
        <f>F7*SUM('T5'!$J$40:$L$40)</f>
        <v>4243.6832051460433</v>
      </c>
      <c r="V7" s="51">
        <f>G7*SUM('T5'!$J$40:$L$40)</f>
        <v>1561.8582711937861</v>
      </c>
      <c r="W7" s="51">
        <f>H7*SUM('T5'!$J$40:$L$40)</f>
        <v>1241.1059140364282</v>
      </c>
      <c r="X7" s="51">
        <f t="shared" si="0"/>
        <v>72261.000702570411</v>
      </c>
      <c r="Z7" s="51">
        <f>B7*'T21'!$E$4</f>
        <v>82.439024390243901</v>
      </c>
      <c r="AA7" s="51">
        <f>C7*'T21'!$E$5</f>
        <v>12383.861126077585</v>
      </c>
      <c r="AB7" s="51">
        <f>D7*'T21'!$E$6</f>
        <v>13161.794500723588</v>
      </c>
      <c r="AC7" s="51">
        <f>E7*'T21'!$E$7</f>
        <v>161.02430555555554</v>
      </c>
      <c r="AD7" s="51">
        <f>F7*'T21'!$E$8</f>
        <v>73.109905495274774</v>
      </c>
      <c r="AE7" s="51">
        <f>G7*'T21'!$E$9</f>
        <v>1112.5982318271119</v>
      </c>
      <c r="AF7" s="51">
        <f>H7*'T21'!$E$10</f>
        <v>466.81469225678359</v>
      </c>
      <c r="AG7" s="51">
        <f>B7*SUM('T21'!$F$4)</f>
        <v>86.560975609756099</v>
      </c>
      <c r="AH7" s="51">
        <f>C7*SUM('T21'!$F$5)</f>
        <v>40378.138873922413</v>
      </c>
      <c r="AI7" s="51">
        <f>D7*SUM('T21'!$F$6)</f>
        <v>38.205499276410997</v>
      </c>
      <c r="AJ7" s="51">
        <f>E7*SUM('T21'!$F$7)</f>
        <v>13.975694444444443</v>
      </c>
      <c r="AK7" s="51">
        <f>F7*SUM('T21'!$F$8)</f>
        <v>5496.8900945047253</v>
      </c>
      <c r="AL7" s="51">
        <f>G7*SUM('T21'!$F$9)</f>
        <v>937.40176817288807</v>
      </c>
      <c r="AM7" s="51">
        <f>H7*SUM('T21'!$F$10)</f>
        <v>1162.1853077432165</v>
      </c>
    </row>
    <row r="8" spans="1:40">
      <c r="A8">
        <v>2019</v>
      </c>
      <c r="B8" s="51">
        <v>169</v>
      </c>
      <c r="C8" s="51">
        <v>56297</v>
      </c>
      <c r="D8" s="51">
        <v>13165</v>
      </c>
      <c r="E8" s="51">
        <v>281</v>
      </c>
      <c r="F8" s="51">
        <v>5530</v>
      </c>
      <c r="G8" s="51">
        <v>2079</v>
      </c>
      <c r="H8" s="51">
        <v>1691</v>
      </c>
      <c r="J8" s="51">
        <f>B8*SUM('T5'!$H$42:$I$42)</f>
        <v>32.873972341115781</v>
      </c>
      <c r="K8" s="51">
        <f>C8*SUM('T5'!$H$42:$I$42)</f>
        <v>10950.923200519499</v>
      </c>
      <c r="L8" s="51">
        <f>D8*SUM('T5'!$H$42:$I$42)</f>
        <v>2560.8629933182797</v>
      </c>
      <c r="M8" s="51">
        <f>E8*SUM('T5'!$H$42:$I$42)</f>
        <v>54.660273537594882</v>
      </c>
      <c r="N8" s="51">
        <f>F8*SUM('T5'!$H$42:$I$42)</f>
        <v>1075.6986215761556</v>
      </c>
      <c r="O8" s="51">
        <f>G8*SUM('T5'!$H$42:$I$42)</f>
        <v>404.40821595964326</v>
      </c>
      <c r="P8" s="51">
        <f>H8*SUM('T5'!$H$42:$I$42)</f>
        <v>328.934243957555</v>
      </c>
      <c r="Q8" s="51">
        <f>B8*SUM('T5'!$J$40:$L$40)</f>
        <v>128.75807211304871</v>
      </c>
      <c r="R8" s="51">
        <f>C8*SUM('T5'!$J$40:$L$40)</f>
        <v>42891.675655315405</v>
      </c>
      <c r="S8" s="51">
        <f>D8*SUM('T5'!$J$40:$L$40)</f>
        <v>10030.177629398144</v>
      </c>
      <c r="T8" s="51">
        <f>E8*SUM('T5'!$J$40:$L$40)</f>
        <v>214.08886546607508</v>
      </c>
      <c r="U8" s="51">
        <f>F8*SUM('T5'!$J$40:$L$40)</f>
        <v>4213.207921805677</v>
      </c>
      <c r="V8" s="51">
        <f>G8*SUM('T5'!$J$40:$L$40)</f>
        <v>1583.9528516155519</v>
      </c>
      <c r="W8" s="51">
        <f>H8*SUM('T5'!$J$40:$L$40)</f>
        <v>1288.3426032139962</v>
      </c>
      <c r="X8" s="51">
        <f t="shared" si="0"/>
        <v>75758.565120137748</v>
      </c>
      <c r="Z8" s="51">
        <f>B8*'T21'!$E$4</f>
        <v>82.439024390243901</v>
      </c>
      <c r="AA8" s="51">
        <f>C8*'T21'!$E$5</f>
        <v>13213.567147090516</v>
      </c>
      <c r="AB8" s="51">
        <f>D8*'T21'!$E$6</f>
        <v>13126.895803183792</v>
      </c>
      <c r="AC8" s="51">
        <f>E8*'T21'!$E$7</f>
        <v>258.55902777777777</v>
      </c>
      <c r="AD8" s="51">
        <f>F8*'T21'!$E$8</f>
        <v>72.584879243962206</v>
      </c>
      <c r="AE8" s="51">
        <f>G8*'T21'!$E$9</f>
        <v>1128.3374263261296</v>
      </c>
      <c r="AF8" s="51">
        <f>H8*'T21'!$E$10</f>
        <v>484.58173395102585</v>
      </c>
      <c r="AG8" s="51">
        <f>B8*SUM('T21'!$F$4)</f>
        <v>86.560975609756099</v>
      </c>
      <c r="AH8" s="51">
        <f>C8*SUM('T21'!$F$5)</f>
        <v>43083.432852909486</v>
      </c>
      <c r="AI8" s="51">
        <f>D8*SUM('T21'!$F$6)</f>
        <v>38.104196816208393</v>
      </c>
      <c r="AJ8" s="51">
        <f>E8*SUM('T21'!$F$7)</f>
        <v>22.440972222222221</v>
      </c>
      <c r="AK8" s="51">
        <f>F8*SUM('T21'!$F$8)</f>
        <v>5457.415120756038</v>
      </c>
      <c r="AL8" s="51">
        <f>G8*SUM('T21'!$F$9)</f>
        <v>950.66257367387038</v>
      </c>
      <c r="AM8" s="51">
        <f>H8*SUM('T21'!$F$10)</f>
        <v>1206.4182660489741</v>
      </c>
    </row>
    <row r="9" spans="1:40">
      <c r="A9">
        <v>2020</v>
      </c>
      <c r="B9" s="51">
        <v>124</v>
      </c>
      <c r="C9" s="51">
        <v>58476</v>
      </c>
      <c r="D9" s="51">
        <v>12085</v>
      </c>
      <c r="E9" s="51">
        <v>278</v>
      </c>
      <c r="F9" s="51">
        <v>5490</v>
      </c>
      <c r="G9" s="51">
        <v>2079</v>
      </c>
      <c r="H9" s="51">
        <v>1691</v>
      </c>
      <c r="J9" s="51">
        <f>B9*SUM('T5'!$H$42:$I$42)</f>
        <v>24.120547753244718</v>
      </c>
      <c r="K9" s="51">
        <f>C9*SUM('T5'!$H$42:$I$42)</f>
        <v>11374.783471118855</v>
      </c>
      <c r="L9" s="51">
        <f>D9*SUM('T5'!$H$42:$I$42)</f>
        <v>2350.7808032093744</v>
      </c>
      <c r="M9" s="51">
        <f>E9*SUM('T5'!$H$42:$I$42)</f>
        <v>54.076711898403481</v>
      </c>
      <c r="N9" s="51">
        <f>F9*SUM('T5'!$H$42:$I$42)</f>
        <v>1067.9177997202701</v>
      </c>
      <c r="O9" s="51">
        <f>G9*SUM('T5'!$H$42:$I$42)</f>
        <v>404.40821595964326</v>
      </c>
      <c r="P9" s="51">
        <f>H9*SUM('T5'!$H$42:$I$42)</f>
        <v>328.934243957555</v>
      </c>
      <c r="Q9" s="51">
        <f>B9*SUM('T5'!$J$40:$L$40)</f>
        <v>94.473378355136333</v>
      </c>
      <c r="R9" s="51">
        <f>C9*SUM('T5'!$J$40:$L$40)</f>
        <v>44551.816715281871</v>
      </c>
      <c r="S9" s="51">
        <f>D9*SUM('T5'!$J$40:$L$40)</f>
        <v>9207.3449792082465</v>
      </c>
      <c r="T9" s="51">
        <f>E9*SUM('T5'!$J$40:$L$40)</f>
        <v>211.80321921554759</v>
      </c>
      <c r="U9" s="51">
        <f>F9*SUM('T5'!$J$40:$L$40)</f>
        <v>4182.7326384653106</v>
      </c>
      <c r="V9" s="51">
        <f>G9*SUM('T5'!$J$40:$L$40)</f>
        <v>1583.9528516155519</v>
      </c>
      <c r="W9" s="51">
        <f>H9*SUM('T5'!$J$40:$L$40)</f>
        <v>1288.3426032139962</v>
      </c>
      <c r="X9" s="51">
        <f t="shared" si="0"/>
        <v>76725.488178973028</v>
      </c>
      <c r="Z9" s="51">
        <f>B9*'T21'!$E$4</f>
        <v>60.487804878048777</v>
      </c>
      <c r="AA9" s="51">
        <f>C9*'T21'!$E$5</f>
        <v>13725.004040948275</v>
      </c>
      <c r="AB9" s="51">
        <f>D9*'T21'!$E$6</f>
        <v>12050.021707670043</v>
      </c>
      <c r="AC9" s="51">
        <f>E9*'T21'!$E$7</f>
        <v>255.79861111111109</v>
      </c>
      <c r="AD9" s="51">
        <f>F9*'T21'!$E$8</f>
        <v>72.059852992649638</v>
      </c>
      <c r="AE9" s="51">
        <f>G9*'T21'!$E$9</f>
        <v>1128.3374263261296</v>
      </c>
      <c r="AF9" s="51">
        <f>H9*'T21'!$E$10</f>
        <v>484.58173395102585</v>
      </c>
      <c r="AG9" s="51">
        <f>B9*SUM('T21'!$F$4)</f>
        <v>63.512195121951223</v>
      </c>
      <c r="AH9" s="51">
        <f>C9*SUM('T21'!$F$5)</f>
        <v>44750.995959051725</v>
      </c>
      <c r="AI9" s="51">
        <f>D9*SUM('T21'!$F$6)</f>
        <v>34.978292329956581</v>
      </c>
      <c r="AJ9" s="51">
        <f>E9*SUM('T21'!$F$7)</f>
        <v>22.201388888888886</v>
      </c>
      <c r="AK9" s="51">
        <f>F9*SUM('T21'!$F$8)</f>
        <v>5417.9401470073508</v>
      </c>
      <c r="AL9" s="51">
        <f>G9*SUM('T21'!$F$9)</f>
        <v>950.66257367387038</v>
      </c>
      <c r="AM9" s="51">
        <f>H9*SUM('T21'!$F$10)</f>
        <v>1206.4182660489741</v>
      </c>
    </row>
    <row r="10" spans="1:40">
      <c r="A10">
        <v>2021</v>
      </c>
      <c r="B10" s="52">
        <v>106</v>
      </c>
      <c r="C10" s="52">
        <v>60657</v>
      </c>
      <c r="D10" s="52">
        <v>10950</v>
      </c>
      <c r="E10" s="52">
        <v>258</v>
      </c>
      <c r="F10" s="52">
        <v>5425</v>
      </c>
      <c r="G10" s="52">
        <v>2056</v>
      </c>
      <c r="H10" s="52">
        <v>1622</v>
      </c>
      <c r="J10" s="51">
        <f>B10*SUM('T5'!$H$42:$I$42)</f>
        <v>20.619177918096291</v>
      </c>
      <c r="K10" s="51">
        <f>C10*SUM('T5'!$H$42:$I$42)</f>
        <v>11799.032782811006</v>
      </c>
      <c r="L10" s="51">
        <f>D10*SUM('T5'!$H$42:$I$42)</f>
        <v>2129.9999830486263</v>
      </c>
      <c r="M10" s="51">
        <f>E10*SUM('T5'!$H$42:$I$42)</f>
        <v>50.186300970460785</v>
      </c>
      <c r="N10" s="51">
        <f>F10*SUM('T5'!$H$42:$I$42)</f>
        <v>1055.2739642044564</v>
      </c>
      <c r="O10" s="51">
        <f>G10*SUM('T5'!$H$42:$I$42)</f>
        <v>399.93424339250919</v>
      </c>
      <c r="P10" s="51">
        <f>H10*SUM('T5'!$H$42:$I$42)</f>
        <v>315.51232625615268</v>
      </c>
      <c r="Q10" s="51">
        <f>B10*SUM('T5'!$J$40:$L$40)</f>
        <v>80.759500851971382</v>
      </c>
      <c r="R10" s="51">
        <f>C10*SUM('T5'!$J$40:$L$40)</f>
        <v>46213.481539415363</v>
      </c>
      <c r="S10" s="51">
        <f>D10*SUM('T5'!$J$40:$L$40)</f>
        <v>8342.6088144253463</v>
      </c>
      <c r="T10" s="51">
        <f>E10*SUM('T5'!$J$40:$L$40)</f>
        <v>196.56557754536431</v>
      </c>
      <c r="U10" s="51">
        <f>F10*SUM('T5'!$J$40:$L$40)</f>
        <v>4133.2103030372145</v>
      </c>
      <c r="V10" s="51">
        <f>G10*SUM('T5'!$J$40:$L$40)</f>
        <v>1566.4295636948411</v>
      </c>
      <c r="W10" s="51">
        <f>H10*SUM('T5'!$J$40:$L$40)</f>
        <v>1235.772739451864</v>
      </c>
      <c r="X10" s="51">
        <f t="shared" si="0"/>
        <v>77539.38681702326</v>
      </c>
      <c r="Z10" s="51">
        <f>B10*'T21'!$E$4</f>
        <v>51.707317073170728</v>
      </c>
      <c r="AA10" s="51">
        <f>C10*'T21'!$E$5</f>
        <v>14236.910358297413</v>
      </c>
      <c r="AB10" s="51">
        <f>D10*'T21'!$E$6</f>
        <v>10918.306801736613</v>
      </c>
      <c r="AC10" s="51">
        <f>E10*'T21'!$E$7</f>
        <v>237.39583333333331</v>
      </c>
      <c r="AD10" s="51">
        <f>F10*'T21'!$E$8</f>
        <v>71.206685334266723</v>
      </c>
      <c r="AE10" s="51">
        <f>G10*'T21'!$E$9</f>
        <v>1115.8546168958742</v>
      </c>
      <c r="AF10" s="51">
        <f>H10*'T21'!$E$10</f>
        <v>464.80873593646595</v>
      </c>
      <c r="AG10" s="51">
        <f>B10*SUM('T21'!$F$4)</f>
        <v>54.292682926829272</v>
      </c>
      <c r="AH10" s="51">
        <f>C10*SUM('T21'!$F$5)</f>
        <v>46420.089641702587</v>
      </c>
      <c r="AI10" s="51">
        <f>D10*SUM('T21'!$F$6)</f>
        <v>31.693198263386392</v>
      </c>
      <c r="AJ10" s="51">
        <f>E10*SUM('T21'!$F$7)</f>
        <v>20.604166666666664</v>
      </c>
      <c r="AK10" s="51">
        <f>F10*SUM('T21'!$F$8)</f>
        <v>5353.7933146657333</v>
      </c>
      <c r="AL10" s="51">
        <f>G10*SUM('T21'!$F$9)</f>
        <v>940.14538310412581</v>
      </c>
      <c r="AM10" s="51">
        <f>H10*SUM('T21'!$F$10)</f>
        <v>1157.1912640635342</v>
      </c>
    </row>
    <row r="11" spans="1:40">
      <c r="A11">
        <v>2022</v>
      </c>
      <c r="B11" s="52">
        <v>91</v>
      </c>
      <c r="C11" s="52">
        <v>61954</v>
      </c>
      <c r="D11" s="52">
        <v>9695</v>
      </c>
      <c r="E11" s="52">
        <v>278</v>
      </c>
      <c r="F11" s="52">
        <v>5395</v>
      </c>
      <c r="G11" s="52">
        <v>2031</v>
      </c>
      <c r="H11" s="52">
        <v>1615</v>
      </c>
      <c r="J11" s="51">
        <f>B11*SUM('T5'!$H$42:$I$42)</f>
        <v>17.701369722139269</v>
      </c>
      <c r="K11" s="51">
        <f>C11*SUM('T5'!$H$42:$I$42)</f>
        <v>12051.325931488091</v>
      </c>
      <c r="L11" s="51">
        <f>D11*SUM('T5'!$H$42:$I$42)</f>
        <v>1885.8766973202221</v>
      </c>
      <c r="M11" s="51">
        <f>E11*SUM('T5'!$H$42:$I$42)</f>
        <v>54.076711898403481</v>
      </c>
      <c r="N11" s="51">
        <f>F11*SUM('T5'!$H$42:$I$42)</f>
        <v>1049.4383478125424</v>
      </c>
      <c r="O11" s="51">
        <f>G11*SUM('T5'!$H$42:$I$42)</f>
        <v>395.07122973258083</v>
      </c>
      <c r="P11" s="51">
        <f>H11*SUM('T5'!$H$42:$I$42)</f>
        <v>314.15068243137273</v>
      </c>
      <c r="Q11" s="51">
        <f>B11*SUM('T5'!$J$40:$L$40)</f>
        <v>69.331269599333922</v>
      </c>
      <c r="R11" s="51">
        <f>C11*SUM('T5'!$J$40:$L$40)</f>
        <v>47201.642601726744</v>
      </c>
      <c r="S11" s="51">
        <f>D11*SUM('T5'!$J$40:$L$40)</f>
        <v>7386.4467996213443</v>
      </c>
      <c r="T11" s="51">
        <f>E11*SUM('T5'!$J$40:$L$40)</f>
        <v>211.80321921554759</v>
      </c>
      <c r="U11" s="51">
        <f>F11*SUM('T5'!$J$40:$L$40)</f>
        <v>4110.3538405319396</v>
      </c>
      <c r="V11" s="51">
        <f>G11*SUM('T5'!$J$40:$L$40)</f>
        <v>1547.3825116071121</v>
      </c>
      <c r="W11" s="51">
        <f>H11*SUM('T5'!$J$40:$L$40)</f>
        <v>1230.4395648672999</v>
      </c>
      <c r="X11" s="51">
        <f t="shared" si="0"/>
        <v>77525.040777574672</v>
      </c>
      <c r="Z11" s="51">
        <f>B11*'T21'!$E$4</f>
        <v>44.390243902439025</v>
      </c>
      <c r="AA11" s="51">
        <f>C11*'T21'!$E$5</f>
        <v>14541.331492456897</v>
      </c>
      <c r="AB11" s="51">
        <f>D11*'T21'!$E$6</f>
        <v>9666.9392185238794</v>
      </c>
      <c r="AC11" s="51">
        <f>E11*'T21'!$E$7</f>
        <v>255.79861111111109</v>
      </c>
      <c r="AD11" s="51">
        <f>F11*'T21'!$E$8</f>
        <v>70.812915645782297</v>
      </c>
      <c r="AE11" s="51">
        <f>G11*'T21'!$E$9</f>
        <v>1102.2863457760313</v>
      </c>
      <c r="AF11" s="51">
        <f>H11*'T21'!$E$10</f>
        <v>462.80277961614826</v>
      </c>
      <c r="AG11" s="51">
        <f>B11*SUM('T21'!$F$4)</f>
        <v>46.609756097560975</v>
      </c>
      <c r="AH11" s="51">
        <f>C11*SUM('T21'!$F$5)</f>
        <v>47412.668507543109</v>
      </c>
      <c r="AI11" s="51">
        <f>D11*SUM('T21'!$F$6)</f>
        <v>28.060781476121562</v>
      </c>
      <c r="AJ11" s="51">
        <f>E11*SUM('T21'!$F$7)</f>
        <v>22.201388888888886</v>
      </c>
      <c r="AK11" s="51">
        <f>F11*SUM('T21'!$F$8)</f>
        <v>5324.1870843542174</v>
      </c>
      <c r="AL11" s="51">
        <f>G11*SUM('T21'!$F$9)</f>
        <v>928.71365422396866</v>
      </c>
      <c r="AM11" s="51">
        <f>H11*SUM('T21'!$F$10)</f>
        <v>1152.1972203838518</v>
      </c>
    </row>
    <row r="12" spans="1:40">
      <c r="A12">
        <v>2023</v>
      </c>
      <c r="B12" s="52">
        <v>41</v>
      </c>
      <c r="C12" s="52">
        <v>61628</v>
      </c>
      <c r="D12" s="52">
        <v>7780</v>
      </c>
      <c r="E12" s="52">
        <v>278</v>
      </c>
      <c r="F12" s="52">
        <v>5487</v>
      </c>
      <c r="G12" s="52">
        <v>2031</v>
      </c>
      <c r="H12" s="52">
        <v>1529</v>
      </c>
      <c r="J12" s="51">
        <f>B12*SUM('T5'!$H$42:$I$42)</f>
        <v>7.9753424022825277</v>
      </c>
      <c r="K12" s="51">
        <f>C12*SUM('T5'!$H$42:$I$42)</f>
        <v>11987.912233362624</v>
      </c>
      <c r="L12" s="51">
        <f>D12*SUM('T5'!$H$42:$I$42)</f>
        <v>1513.3698509697088</v>
      </c>
      <c r="M12" s="51">
        <f>E12*SUM('T5'!$H$42:$I$42)</f>
        <v>54.076711898403481</v>
      </c>
      <c r="N12" s="51">
        <f>F12*SUM('T5'!$H$42:$I$42)</f>
        <v>1067.3342380810786</v>
      </c>
      <c r="O12" s="51">
        <f>G12*SUM('T5'!$H$42:$I$42)</f>
        <v>395.07122973258083</v>
      </c>
      <c r="P12" s="51">
        <f>H12*SUM('T5'!$H$42:$I$42)</f>
        <v>297.42191544121914</v>
      </c>
      <c r="Q12" s="51">
        <f>B12*SUM('T5'!$J$40:$L$40)</f>
        <v>31.237165423875723</v>
      </c>
      <c r="R12" s="51">
        <f>C12*SUM('T5'!$J$40:$L$40)</f>
        <v>46953.269042502754</v>
      </c>
      <c r="S12" s="51">
        <f>D12*SUM('T5'!$J$40:$L$40)</f>
        <v>5927.4426097012956</v>
      </c>
      <c r="T12" s="51">
        <f>E12*SUM('T5'!$J$40:$L$40)</f>
        <v>211.80321921554759</v>
      </c>
      <c r="U12" s="51">
        <f>F12*SUM('T5'!$J$40:$L$40)</f>
        <v>4180.4469922147828</v>
      </c>
      <c r="V12" s="51">
        <f>G12*SUM('T5'!$J$40:$L$40)</f>
        <v>1547.3825116071121</v>
      </c>
      <c r="W12" s="51">
        <f>H12*SUM('T5'!$J$40:$L$40)</f>
        <v>1164.9177056855117</v>
      </c>
      <c r="X12" s="51">
        <f t="shared" si="0"/>
        <v>75339.660768238769</v>
      </c>
      <c r="Z12" s="51">
        <f>B12*'T21'!$E$4</f>
        <v>20</v>
      </c>
      <c r="AA12" s="51">
        <f>C12*'T21'!$E$5</f>
        <v>14464.815463362069</v>
      </c>
      <c r="AB12" s="51">
        <f>D12*'T21'!$E$6</f>
        <v>7757.4819102749643</v>
      </c>
      <c r="AC12" s="51">
        <f>E12*'T21'!$E$7</f>
        <v>255.79861111111109</v>
      </c>
      <c r="AD12" s="51">
        <f>F12*'T21'!$E$8</f>
        <v>72.020476023801194</v>
      </c>
      <c r="AE12" s="51">
        <f>G12*'T21'!$E$9</f>
        <v>1102.2863457760313</v>
      </c>
      <c r="AF12" s="51">
        <f>H12*'T21'!$E$10</f>
        <v>438.15817339510261</v>
      </c>
      <c r="AG12" s="51">
        <f>B12*SUM('T21'!$F$4)</f>
        <v>21</v>
      </c>
      <c r="AH12" s="51">
        <f>C12*SUM('T21'!$F$5)</f>
        <v>47163.184536637935</v>
      </c>
      <c r="AI12" s="51">
        <f>D12*SUM('T21'!$F$6)</f>
        <v>22.518089725036177</v>
      </c>
      <c r="AJ12" s="51">
        <f>E12*SUM('T21'!$F$7)</f>
        <v>22.201388888888886</v>
      </c>
      <c r="AK12" s="51">
        <f>F12*SUM('T21'!$F$8)</f>
        <v>5414.9795239761988</v>
      </c>
      <c r="AL12" s="51">
        <f>G12*SUM('T21'!$F$9)</f>
        <v>928.71365422396866</v>
      </c>
      <c r="AM12" s="51">
        <f>H12*SUM('T21'!$F$10)</f>
        <v>1090.8418266048975</v>
      </c>
    </row>
    <row r="13" spans="1:40">
      <c r="A13">
        <v>2024</v>
      </c>
      <c r="B13" s="52">
        <v>41</v>
      </c>
      <c r="C13" s="52">
        <v>61388</v>
      </c>
      <c r="D13" s="52">
        <v>7050</v>
      </c>
      <c r="E13" s="52">
        <v>278</v>
      </c>
      <c r="F13" s="52">
        <v>5423</v>
      </c>
      <c r="G13" s="52">
        <v>2006</v>
      </c>
      <c r="H13" s="52">
        <v>1571</v>
      </c>
      <c r="J13" s="51">
        <f>B13*SUM('T5'!$H$42:$I$42)</f>
        <v>7.9753424022825277</v>
      </c>
      <c r="K13" s="51">
        <f>C13*SUM('T5'!$H$42:$I$42)</f>
        <v>11941.227302227311</v>
      </c>
      <c r="L13" s="51">
        <f>D13*SUM('T5'!$H$42:$I$42)</f>
        <v>1371.3698520998005</v>
      </c>
      <c r="M13" s="51">
        <f>E13*SUM('T5'!$H$42:$I$42)</f>
        <v>54.076711898403481</v>
      </c>
      <c r="N13" s="51">
        <f>F13*SUM('T5'!$H$42:$I$42)</f>
        <v>1054.8849231116621</v>
      </c>
      <c r="O13" s="51">
        <f>G13*SUM('T5'!$H$42:$I$42)</f>
        <v>390.20821607265242</v>
      </c>
      <c r="P13" s="51">
        <f>H13*SUM('T5'!$H$42:$I$42)</f>
        <v>305.59177838989882</v>
      </c>
      <c r="Q13" s="51">
        <f>B13*SUM('T5'!$J$40:$L$40)</f>
        <v>31.237165423875723</v>
      </c>
      <c r="R13" s="51">
        <f>C13*SUM('T5'!$J$40:$L$40)</f>
        <v>46770.417342460561</v>
      </c>
      <c r="S13" s="51">
        <f>D13*SUM('T5'!$J$40:$L$40)</f>
        <v>5371.2686887396058</v>
      </c>
      <c r="T13" s="51">
        <f>E13*SUM('T5'!$J$40:$L$40)</f>
        <v>211.80321921554759</v>
      </c>
      <c r="U13" s="51">
        <f>F13*SUM('T5'!$J$40:$L$40)</f>
        <v>4131.6865388701963</v>
      </c>
      <c r="V13" s="51">
        <f>G13*SUM('T5'!$J$40:$L$40)</f>
        <v>1528.335459519383</v>
      </c>
      <c r="W13" s="51">
        <f>H13*SUM('T5'!$J$40:$L$40)</f>
        <v>1196.9167531928965</v>
      </c>
      <c r="X13" s="51">
        <f t="shared" si="0"/>
        <v>74366.999293624089</v>
      </c>
      <c r="Z13" s="51">
        <f>B13*'T21'!$E$4</f>
        <v>20</v>
      </c>
      <c r="AA13" s="51">
        <f>C13*'T21'!$E$5</f>
        <v>14408.484644396551</v>
      </c>
      <c r="AB13" s="51">
        <f>D13*'T21'!$E$6</f>
        <v>7029.5947901591899</v>
      </c>
      <c r="AC13" s="51">
        <f>E13*'T21'!$E$7</f>
        <v>255.79861111111109</v>
      </c>
      <c r="AD13" s="51">
        <f>F13*'T21'!$E$8</f>
        <v>71.180434021701089</v>
      </c>
      <c r="AE13" s="51">
        <f>G13*'T21'!$E$9</f>
        <v>1088.7180746561885</v>
      </c>
      <c r="AF13" s="51">
        <f>H13*'T21'!$E$10</f>
        <v>450.1939113170086</v>
      </c>
      <c r="AG13" s="51">
        <f>B13*SUM('T21'!$F$4)</f>
        <v>21</v>
      </c>
      <c r="AH13" s="51">
        <f>C13*SUM('T21'!$F$5)</f>
        <v>46979.515355603449</v>
      </c>
      <c r="AI13" s="51">
        <f>D13*SUM('T21'!$F$6)</f>
        <v>20.405209840810418</v>
      </c>
      <c r="AJ13" s="51">
        <f>E13*SUM('T21'!$F$7)</f>
        <v>22.201388888888886</v>
      </c>
      <c r="AK13" s="51">
        <f>F13*SUM('T21'!$F$8)</f>
        <v>5351.8195659782987</v>
      </c>
      <c r="AL13" s="51">
        <f>G13*SUM('T21'!$F$9)</f>
        <v>917.28192534381139</v>
      </c>
      <c r="AM13" s="51">
        <f>H13*SUM('T21'!$F$10)</f>
        <v>1120.8060886829915</v>
      </c>
    </row>
    <row r="14" spans="1:40">
      <c r="A14">
        <v>2025</v>
      </c>
      <c r="B14" s="52">
        <v>41</v>
      </c>
      <c r="C14" s="52">
        <f>SUMIF('Source-AKL-service-directory'!A4:A1415,"Education &amp; Care Service",'Source-AKL-service-directory'!C4:C1415)</f>
        <v>59392</v>
      </c>
      <c r="D14" s="52">
        <f>SUMIF('Source-AKL-service-directory'!A4:A1415,"Homebased Network",'Source-AKL-service-directory'!C4:C1415)</f>
        <v>6910</v>
      </c>
      <c r="E14" s="52">
        <f>SUMIF('Source-AKL-service-directory'!A4:A1415,"Hospital Based",'Source-AKL-service-directory'!C4:C1415)</f>
        <v>288</v>
      </c>
      <c r="F14" s="52">
        <f>SUMIF('Source-AKL-service-directory'!A4:A1415,"Free Kindergarten",'Source-AKL-service-directory'!C4:C1415)</f>
        <v>5864</v>
      </c>
      <c r="G14" s="52">
        <f>SUMIF('Source-AKL-service-directory'!A4:A1415,"Playcentre",'Source-AKL-service-directory'!C4:C1415)</f>
        <v>2036</v>
      </c>
      <c r="H14" s="52">
        <f>SUMIF('Source-AKL-service-directory'!A4:A1415,"Te Kōhanga Reo",'Source-AKL-service-directory'!C4:C1415)</f>
        <v>1511</v>
      </c>
      <c r="J14" s="51">
        <f>B14*SUM('T5'!$H$42:$I$42)</f>
        <v>7.9753424022825277</v>
      </c>
      <c r="K14" s="51">
        <f>C14*SUM('T5'!$H$42:$I$42)</f>
        <v>11552.964291618631</v>
      </c>
      <c r="L14" s="51">
        <f>D14*SUM('T5'!$H$42:$I$42)</f>
        <v>1344.1369756042016</v>
      </c>
      <c r="M14" s="51">
        <f>E14*SUM('T5'!$H$42:$I$42)</f>
        <v>56.021917362374829</v>
      </c>
      <c r="N14" s="51">
        <f>F14*SUM('T5'!$H$42:$I$42)</f>
        <v>1140.6684840727985</v>
      </c>
      <c r="O14" s="51">
        <f>G14*SUM('T5'!$H$42:$I$42)</f>
        <v>396.04383246456649</v>
      </c>
      <c r="P14" s="51">
        <f>H14*SUM('T5'!$H$42:$I$42)</f>
        <v>293.92054560607068</v>
      </c>
      <c r="Q14" s="51">
        <f>B14*SUM('T5'!$J$40:$L$40)</f>
        <v>31.237165423875723</v>
      </c>
      <c r="R14" s="51">
        <f>C14*SUM('T5'!$J$40:$L$40)</f>
        <v>45249.700703776267</v>
      </c>
      <c r="S14" s="51">
        <f>D14*SUM('T5'!$J$40:$L$40)</f>
        <v>5264.6051970483231</v>
      </c>
      <c r="T14" s="51">
        <f>E14*SUM('T5'!$J$40:$L$40)</f>
        <v>219.42204005063923</v>
      </c>
      <c r="U14" s="51">
        <f>F14*SUM('T5'!$J$40:$L$40)</f>
        <v>4467.6765376977373</v>
      </c>
      <c r="V14" s="51">
        <f>G14*SUM('T5'!$J$40:$L$40)</f>
        <v>1551.1919220246577</v>
      </c>
      <c r="W14" s="51">
        <f>H14*SUM('T5'!$J$40:$L$40)</f>
        <v>1151.2038281823468</v>
      </c>
      <c r="X14" s="51">
        <f t="shared" si="0"/>
        <v>72726.768783334788</v>
      </c>
      <c r="Z14" s="51">
        <f>B14*'T21'!$E$4</f>
        <v>20</v>
      </c>
      <c r="AA14" s="51">
        <f>C14*'T21'!$E$5</f>
        <v>13940</v>
      </c>
      <c r="AB14" s="51">
        <f>D14*'T21'!$E$6</f>
        <v>6890</v>
      </c>
      <c r="AC14" s="51">
        <f>E14*'T21'!$E$7</f>
        <v>265</v>
      </c>
      <c r="AD14" s="51">
        <f>F14*'T21'!$E$8</f>
        <v>76.968848442422129</v>
      </c>
      <c r="AE14" s="51">
        <f>G14*'T21'!$E$9</f>
        <v>1105</v>
      </c>
      <c r="AF14" s="51">
        <f>H14*'T21'!$E$10</f>
        <v>433</v>
      </c>
      <c r="AG14" s="51">
        <f>B14*SUM('T21'!$F$4)</f>
        <v>21</v>
      </c>
      <c r="AH14" s="51">
        <f>C14*SUM('T21'!$F$5)</f>
        <v>45452</v>
      </c>
      <c r="AI14" s="51">
        <f>D14*SUM('T21'!$F$6)</f>
        <v>20</v>
      </c>
      <c r="AJ14" s="51">
        <f>E14*SUM('T21'!$F$7)</f>
        <v>23</v>
      </c>
      <c r="AK14" s="51">
        <f>F14*SUM('T21'!$F$8)</f>
        <v>5787.0311515575777</v>
      </c>
      <c r="AL14" s="51">
        <f>G14*SUM('T21'!$F$9)</f>
        <v>931</v>
      </c>
      <c r="AM14" s="51">
        <f>H14*SUM('T21'!$F$10)</f>
        <v>1078</v>
      </c>
    </row>
    <row r="16" spans="1:40">
      <c r="A16" t="s">
        <v>240</v>
      </c>
      <c r="B16" s="24">
        <f>MIN(B4:B14)</f>
        <v>41</v>
      </c>
      <c r="C16" s="24">
        <f>MIN(C4:C14)</f>
        <v>44248</v>
      </c>
      <c r="D16" s="24">
        <f t="shared" ref="D16:H16" si="1">MIN(D4:D14)</f>
        <v>6910</v>
      </c>
      <c r="E16" s="24">
        <f t="shared" si="1"/>
        <v>133</v>
      </c>
      <c r="F16" s="24">
        <f t="shared" si="1"/>
        <v>5395</v>
      </c>
      <c r="G16" s="24">
        <f t="shared" si="1"/>
        <v>2006</v>
      </c>
      <c r="H16" s="24">
        <f t="shared" si="1"/>
        <v>1511</v>
      </c>
      <c r="J16" s="24">
        <f>MIN(J4:J14)</f>
        <v>7.9753424022825277</v>
      </c>
      <c r="K16" s="24">
        <f t="shared" ref="K16:W16" si="2">MIN(K4:K14)</f>
        <v>8607.1451369804217</v>
      </c>
      <c r="L16" s="24">
        <f t="shared" si="2"/>
        <v>1344.1369756042016</v>
      </c>
      <c r="M16" s="24">
        <f t="shared" si="2"/>
        <v>25.87123267081893</v>
      </c>
      <c r="N16" s="24">
        <f t="shared" si="2"/>
        <v>1049.4383478125424</v>
      </c>
      <c r="O16" s="24">
        <f t="shared" si="2"/>
        <v>390.20821607265242</v>
      </c>
      <c r="P16" s="24">
        <f t="shared" si="2"/>
        <v>293.92054560607068</v>
      </c>
      <c r="Q16" s="24">
        <f t="shared" si="2"/>
        <v>31.237165423875723</v>
      </c>
      <c r="R16" s="24">
        <f t="shared" si="2"/>
        <v>33711.758431113485</v>
      </c>
      <c r="S16" s="24">
        <f t="shared" si="2"/>
        <v>5264.6051970483231</v>
      </c>
      <c r="T16" s="24">
        <f t="shared" si="2"/>
        <v>101.33031710671881</v>
      </c>
      <c r="U16" s="24">
        <f t="shared" si="2"/>
        <v>4110.3538405319396</v>
      </c>
      <c r="V16" s="24">
        <f t="shared" si="2"/>
        <v>1528.335459519383</v>
      </c>
      <c r="W16" s="24">
        <f t="shared" si="2"/>
        <v>1151.2038281823468</v>
      </c>
      <c r="X16" s="24"/>
      <c r="Z16" s="24">
        <f>MIN(Z4:Z14)</f>
        <v>20</v>
      </c>
      <c r="AA16" s="24">
        <f t="shared" ref="AA16:AM16" si="3">MIN(AA4:AA14)</f>
        <v>10385.525323275862</v>
      </c>
      <c r="AB16" s="24">
        <f t="shared" si="3"/>
        <v>6890</v>
      </c>
      <c r="AC16" s="24">
        <f t="shared" si="3"/>
        <v>122.37847222222221</v>
      </c>
      <c r="AD16" s="24">
        <f t="shared" si="3"/>
        <v>70.812915645782297</v>
      </c>
      <c r="AE16" s="24">
        <f t="shared" si="3"/>
        <v>1088.7180746561885</v>
      </c>
      <c r="AF16" s="24">
        <f t="shared" si="3"/>
        <v>433</v>
      </c>
      <c r="AG16" s="24">
        <f t="shared" si="3"/>
        <v>21</v>
      </c>
      <c r="AH16" s="24">
        <f t="shared" si="3"/>
        <v>33862.474676724138</v>
      </c>
      <c r="AI16" s="24">
        <f t="shared" si="3"/>
        <v>20</v>
      </c>
      <c r="AJ16" s="24">
        <f t="shared" si="3"/>
        <v>10.621527777777777</v>
      </c>
      <c r="AK16" s="24">
        <f t="shared" si="3"/>
        <v>5324.1870843542174</v>
      </c>
      <c r="AL16" s="24">
        <f t="shared" si="3"/>
        <v>917.28192534381139</v>
      </c>
      <c r="AM16" s="24">
        <f t="shared" si="3"/>
        <v>1078</v>
      </c>
    </row>
    <row r="17" spans="1:39">
      <c r="A17" t="s">
        <v>241</v>
      </c>
      <c r="B17" s="24">
        <f>AVERAGE(B4:B14)</f>
        <v>115.36363636363636</v>
      </c>
      <c r="C17" s="24">
        <f>AVERAGE(C4:C14)</f>
        <v>55778.63636363636</v>
      </c>
      <c r="D17" s="24">
        <f t="shared" ref="D17:H17" si="4">AVERAGE(D4:D14)</f>
        <v>10746.545454545454</v>
      </c>
      <c r="E17" s="24">
        <f t="shared" si="4"/>
        <v>232.27272727272728</v>
      </c>
      <c r="F17" s="24">
        <f t="shared" si="4"/>
        <v>5530.363636363636</v>
      </c>
      <c r="G17" s="24">
        <f t="shared" si="4"/>
        <v>2076.6363636363635</v>
      </c>
      <c r="H17" s="24">
        <f t="shared" si="4"/>
        <v>1625.6363636363637</v>
      </c>
      <c r="J17" s="24">
        <f>AVERAGE(J4:J14)</f>
        <v>22.440597579814916</v>
      </c>
      <c r="K17" s="24">
        <f t="shared" ref="K17:W17" si="5">AVERAGE(K4:K14)</f>
        <v>10850.090822741638</v>
      </c>
      <c r="L17" s="24">
        <f t="shared" si="5"/>
        <v>2090.4238936998272</v>
      </c>
      <c r="M17" s="24">
        <f t="shared" si="5"/>
        <v>45.18181782224358</v>
      </c>
      <c r="N17" s="24">
        <f t="shared" si="5"/>
        <v>1075.7693563202999</v>
      </c>
      <c r="O17" s="24">
        <f t="shared" si="5"/>
        <v>403.9484401227046</v>
      </c>
      <c r="P17" s="24">
        <f t="shared" si="5"/>
        <v>316.21967369759682</v>
      </c>
      <c r="Q17" s="24">
        <f t="shared" si="5"/>
        <v>87.893487633920827</v>
      </c>
      <c r="R17" s="24">
        <f t="shared" si="5"/>
        <v>42496.743688027287</v>
      </c>
      <c r="S17" s="24">
        <f t="shared" si="5"/>
        <v>8187.6004414350282</v>
      </c>
      <c r="T17" s="24">
        <f t="shared" si="5"/>
        <v>176.96442939690129</v>
      </c>
      <c r="U17" s="24">
        <f t="shared" si="5"/>
        <v>4213.484969836044</v>
      </c>
      <c r="V17" s="24">
        <f t="shared" si="5"/>
        <v>1582.1520394181666</v>
      </c>
      <c r="W17" s="24">
        <f t="shared" si="5"/>
        <v>1238.5432197555335</v>
      </c>
      <c r="X17" s="24"/>
      <c r="Z17" s="24">
        <f>AVERAGE(Z4:Z14)</f>
        <v>56.274944567627493</v>
      </c>
      <c r="AA17" s="24">
        <f t="shared" ref="AA17:AM17" si="6">AVERAGE(AA4:AA14)</f>
        <v>13091.901113097572</v>
      </c>
      <c r="AB17" s="24">
        <f t="shared" si="6"/>
        <v>10715.44112616761</v>
      </c>
      <c r="AC17" s="24">
        <f t="shared" si="6"/>
        <v>213.72316919191917</v>
      </c>
      <c r="AD17" s="24">
        <f t="shared" si="6"/>
        <v>72.589652209883212</v>
      </c>
      <c r="AE17" s="24">
        <f t="shared" si="6"/>
        <v>1127.0546079657081</v>
      </c>
      <c r="AF17" s="24">
        <f t="shared" si="6"/>
        <v>465.85079116779974</v>
      </c>
      <c r="AG17" s="24">
        <f t="shared" si="6"/>
        <v>59.088691796008874</v>
      </c>
      <c r="AH17" s="24">
        <f t="shared" si="6"/>
        <v>42686.735250538797</v>
      </c>
      <c r="AI17" s="24">
        <f t="shared" si="6"/>
        <v>31.104328377845022</v>
      </c>
      <c r="AJ17" s="24">
        <f t="shared" si="6"/>
        <v>18.54955808080808</v>
      </c>
      <c r="AK17" s="24">
        <f t="shared" si="6"/>
        <v>5457.7739841537541</v>
      </c>
      <c r="AL17" s="24">
        <f t="shared" si="6"/>
        <v>949.58175567065564</v>
      </c>
      <c r="AM17" s="24">
        <f t="shared" si="6"/>
        <v>1159.7855724685639</v>
      </c>
    </row>
    <row r="18" spans="1:39">
      <c r="A18" t="s">
        <v>242</v>
      </c>
      <c r="B18" s="24">
        <f>MEDIAN(B4:B14)</f>
        <v>124</v>
      </c>
      <c r="C18" s="24">
        <f>MEDIAN(C4:C14)</f>
        <v>58476</v>
      </c>
      <c r="D18" s="24">
        <f t="shared" ref="D18:H18" si="7">MEDIAN(D4:D14)</f>
        <v>11078</v>
      </c>
      <c r="E18" s="24">
        <f t="shared" si="7"/>
        <v>278</v>
      </c>
      <c r="F18" s="24">
        <f t="shared" si="7"/>
        <v>5505</v>
      </c>
      <c r="G18" s="24">
        <f t="shared" si="7"/>
        <v>2056</v>
      </c>
      <c r="H18" s="24">
        <f t="shared" si="7"/>
        <v>1629</v>
      </c>
      <c r="J18" s="24">
        <f>MEDIAN(J4:J14)</f>
        <v>24.120547753244718</v>
      </c>
      <c r="K18" s="24">
        <f t="shared" ref="K18:W18" si="8">MEDIAN(K4:K14)</f>
        <v>11374.783471118855</v>
      </c>
      <c r="L18" s="24">
        <f t="shared" si="8"/>
        <v>2154.8986129874593</v>
      </c>
      <c r="M18" s="24">
        <f t="shared" si="8"/>
        <v>54.076711898403481</v>
      </c>
      <c r="N18" s="24">
        <f t="shared" si="8"/>
        <v>1070.8356079162272</v>
      </c>
      <c r="O18" s="24">
        <f t="shared" si="8"/>
        <v>399.93424339250919</v>
      </c>
      <c r="P18" s="24">
        <f t="shared" si="8"/>
        <v>316.87397008093262</v>
      </c>
      <c r="Q18" s="24">
        <f t="shared" si="8"/>
        <v>94.473378355136333</v>
      </c>
      <c r="R18" s="24">
        <f t="shared" si="8"/>
        <v>44551.816715281871</v>
      </c>
      <c r="S18" s="24">
        <f t="shared" si="8"/>
        <v>8440.1297211145193</v>
      </c>
      <c r="T18" s="24">
        <f t="shared" si="8"/>
        <v>211.80321921554759</v>
      </c>
      <c r="U18" s="24">
        <f t="shared" si="8"/>
        <v>4194.1608697179481</v>
      </c>
      <c r="V18" s="24">
        <f t="shared" si="8"/>
        <v>1566.4295636948411</v>
      </c>
      <c r="W18" s="24">
        <f t="shared" si="8"/>
        <v>1241.1059140364282</v>
      </c>
      <c r="X18" s="24"/>
      <c r="Z18" s="24">
        <f>MEDIAN(Z4:Z14)</f>
        <v>60.487804878048777</v>
      </c>
      <c r="AA18" s="24">
        <f t="shared" ref="AA18:AM18" si="9">MEDIAN(AA4:AA14)</f>
        <v>13725.004040948275</v>
      </c>
      <c r="AB18" s="24">
        <f t="shared" si="9"/>
        <v>11045.936324167873</v>
      </c>
      <c r="AC18" s="24">
        <f t="shared" si="9"/>
        <v>255.79861111111109</v>
      </c>
      <c r="AD18" s="24">
        <f t="shared" si="9"/>
        <v>72.256737836891844</v>
      </c>
      <c r="AE18" s="24">
        <f t="shared" si="9"/>
        <v>1115.8546168958742</v>
      </c>
      <c r="AF18" s="24">
        <f t="shared" si="9"/>
        <v>466.81469225678359</v>
      </c>
      <c r="AG18" s="24">
        <f t="shared" si="9"/>
        <v>63.512195121951223</v>
      </c>
      <c r="AH18" s="24">
        <f t="shared" si="9"/>
        <v>44750.995959051725</v>
      </c>
      <c r="AI18" s="24">
        <f t="shared" si="9"/>
        <v>32.063675832127352</v>
      </c>
      <c r="AJ18" s="24">
        <f t="shared" si="9"/>
        <v>22.201388888888886</v>
      </c>
      <c r="AK18" s="24">
        <f t="shared" si="9"/>
        <v>5432.7432621631078</v>
      </c>
      <c r="AL18" s="24">
        <f t="shared" si="9"/>
        <v>940.14538310412581</v>
      </c>
      <c r="AM18" s="24">
        <f t="shared" si="9"/>
        <v>1162.1853077432165</v>
      </c>
    </row>
    <row r="19" spans="1:39">
      <c r="A19" t="s">
        <v>243</v>
      </c>
      <c r="B19" s="24">
        <f>MAX(B4:B14)</f>
        <v>169</v>
      </c>
      <c r="C19" s="24">
        <f>MAX(C4:C14)</f>
        <v>61954</v>
      </c>
      <c r="D19" s="24">
        <f t="shared" ref="D19:H19" si="10">MAX(D4:D14)</f>
        <v>13634</v>
      </c>
      <c r="E19" s="24">
        <f t="shared" si="10"/>
        <v>288</v>
      </c>
      <c r="F19" s="24">
        <f t="shared" si="10"/>
        <v>5864</v>
      </c>
      <c r="G19" s="24">
        <f t="shared" si="10"/>
        <v>2185</v>
      </c>
      <c r="H19" s="24">
        <f t="shared" si="10"/>
        <v>1692</v>
      </c>
      <c r="J19" s="24">
        <f>MAX(J4:J14)</f>
        <v>32.873972341115781</v>
      </c>
      <c r="K19" s="24">
        <f t="shared" ref="K19:W19" si="11">MAX(K4:K14)</f>
        <v>12051.325931488091</v>
      </c>
      <c r="L19" s="24">
        <f t="shared" si="11"/>
        <v>2652.0931295785363</v>
      </c>
      <c r="M19" s="24">
        <f t="shared" si="11"/>
        <v>56.021917362374829</v>
      </c>
      <c r="N19" s="24">
        <f t="shared" si="11"/>
        <v>1140.6684840727985</v>
      </c>
      <c r="O19" s="24">
        <f t="shared" si="11"/>
        <v>425.02739387773954</v>
      </c>
      <c r="P19" s="24">
        <f t="shared" si="11"/>
        <v>329.12876450395208</v>
      </c>
      <c r="Q19" s="24">
        <f t="shared" si="11"/>
        <v>128.75807211304871</v>
      </c>
      <c r="R19" s="24">
        <f t="shared" si="11"/>
        <v>47201.642601726744</v>
      </c>
      <c r="S19" s="24">
        <f t="shared" si="11"/>
        <v>10387.500326563943</v>
      </c>
      <c r="T19" s="24">
        <f t="shared" si="11"/>
        <v>219.42204005063923</v>
      </c>
      <c r="U19" s="24">
        <f t="shared" si="11"/>
        <v>4467.6765376977373</v>
      </c>
      <c r="V19" s="24">
        <f t="shared" si="11"/>
        <v>1664.7123524675233</v>
      </c>
      <c r="W19" s="24">
        <f t="shared" si="11"/>
        <v>1289.1044852975056</v>
      </c>
      <c r="X19" s="24"/>
      <c r="Z19" s="24">
        <f>MAX(Z4:Z14)</f>
        <v>82.439024390243901</v>
      </c>
      <c r="AA19" s="24">
        <f t="shared" ref="AA19:AM19" si="12">MAX(AA4:AA14)</f>
        <v>14541.331492456897</v>
      </c>
      <c r="AB19" s="24">
        <f t="shared" si="12"/>
        <v>13594.538350217077</v>
      </c>
      <c r="AC19" s="24">
        <f t="shared" si="12"/>
        <v>265</v>
      </c>
      <c r="AD19" s="24">
        <f t="shared" si="12"/>
        <v>76.968848442422129</v>
      </c>
      <c r="AE19" s="24">
        <f t="shared" si="12"/>
        <v>1185.8668958742633</v>
      </c>
      <c r="AF19" s="24">
        <f t="shared" si="12"/>
        <v>484.86829913964266</v>
      </c>
      <c r="AG19" s="24">
        <f t="shared" si="12"/>
        <v>86.560975609756099</v>
      </c>
      <c r="AH19" s="24">
        <f t="shared" si="12"/>
        <v>47412.668507543109</v>
      </c>
      <c r="AI19" s="24">
        <f t="shared" si="12"/>
        <v>39.461649782923296</v>
      </c>
      <c r="AJ19" s="24">
        <f t="shared" si="12"/>
        <v>23</v>
      </c>
      <c r="AK19" s="24">
        <f t="shared" si="12"/>
        <v>5787.0311515575777</v>
      </c>
      <c r="AL19" s="24">
        <f t="shared" si="12"/>
        <v>999.13310412573674</v>
      </c>
      <c r="AM19" s="24">
        <f t="shared" si="12"/>
        <v>1207.1317008603573</v>
      </c>
    </row>
    <row r="21" spans="1:39">
      <c r="A21" s="6" t="s">
        <v>426</v>
      </c>
    </row>
    <row r="22" spans="1:39">
      <c r="A22" s="1" t="s">
        <v>229</v>
      </c>
      <c r="D22" s="50"/>
      <c r="E22" s="50"/>
      <c r="F22" s="50"/>
      <c r="G22" s="50"/>
      <c r="H22" s="50"/>
    </row>
    <row r="23" spans="1:39">
      <c r="A23">
        <v>2015</v>
      </c>
      <c r="E23" s="51"/>
      <c r="F23" s="51"/>
      <c r="G23" s="51"/>
      <c r="H23" s="51"/>
      <c r="M23" s="51"/>
      <c r="N23" s="51"/>
      <c r="O23" s="51"/>
      <c r="P23" s="51"/>
      <c r="T23" s="51"/>
      <c r="U23" s="51"/>
      <c r="V23" s="51"/>
      <c r="W23" s="51"/>
      <c r="X23" s="51"/>
      <c r="AC23" s="51"/>
      <c r="AD23" s="51"/>
      <c r="AE23" s="51"/>
      <c r="AF23" s="51"/>
      <c r="AJ23" s="51"/>
      <c r="AK23" s="51"/>
      <c r="AL23" s="51"/>
      <c r="AM23" s="51"/>
    </row>
    <row r="24" spans="1:39">
      <c r="A24">
        <v>2016</v>
      </c>
      <c r="B24" s="53">
        <f t="shared" ref="B24:C24" si="13">(B5/B4)-1</f>
        <v>0.13422818791946312</v>
      </c>
      <c r="C24" s="53">
        <f t="shared" si="13"/>
        <v>6.2353100705116571E-2</v>
      </c>
      <c r="D24" s="53">
        <f t="shared" ref="D24:H32" si="14">(D5/D4)-1</f>
        <v>0.23072756815309625</v>
      </c>
      <c r="E24" s="53">
        <f t="shared" si="14"/>
        <v>0</v>
      </c>
      <c r="F24" s="53">
        <f t="shared" si="14"/>
        <v>1.180744777475029E-2</v>
      </c>
      <c r="G24" s="53">
        <f t="shared" si="14"/>
        <v>0</v>
      </c>
      <c r="H24" s="53">
        <f t="shared" si="14"/>
        <v>1.8050541516245522E-2</v>
      </c>
      <c r="J24" s="53">
        <f t="shared" ref="J24:K24" si="15">(J5/J4)-1</f>
        <v>0.13422818791946289</v>
      </c>
      <c r="K24" s="53">
        <f t="shared" si="15"/>
        <v>6.2353100705116571E-2</v>
      </c>
      <c r="L24" s="53">
        <f t="shared" ref="L24:P32" si="16">(L5/L4)-1</f>
        <v>0.23072756815309647</v>
      </c>
      <c r="M24" s="53">
        <f t="shared" si="16"/>
        <v>0</v>
      </c>
      <c r="N24" s="53">
        <f t="shared" si="16"/>
        <v>1.1807447774750068E-2</v>
      </c>
      <c r="O24" s="53">
        <f t="shared" si="16"/>
        <v>0</v>
      </c>
      <c r="P24" s="53">
        <f t="shared" si="16"/>
        <v>1.80505415162453E-2</v>
      </c>
      <c r="Q24" s="53">
        <f t="shared" ref="Q24:R24" si="17">(Q5/Q4)-1</f>
        <v>0.13422818791946312</v>
      </c>
      <c r="R24" s="53">
        <f t="shared" si="17"/>
        <v>6.2353100705116571E-2</v>
      </c>
      <c r="S24" s="53">
        <f t="shared" ref="S24:W32" si="18">(S5/S4)-1</f>
        <v>0.23072756815309625</v>
      </c>
      <c r="T24" s="53">
        <f t="shared" si="18"/>
        <v>0</v>
      </c>
      <c r="U24" s="53">
        <f t="shared" si="18"/>
        <v>1.1807447774750068E-2</v>
      </c>
      <c r="V24" s="53">
        <f t="shared" si="18"/>
        <v>0</v>
      </c>
      <c r="W24" s="53">
        <f t="shared" si="18"/>
        <v>1.8050541516245522E-2</v>
      </c>
      <c r="X24" s="53"/>
      <c r="Z24" s="53">
        <f t="shared" ref="Z24:AA24" si="19">(Z5/Z4)-1</f>
        <v>0.13422818791946289</v>
      </c>
      <c r="AA24" s="53">
        <f t="shared" si="19"/>
        <v>6.2353100705116571E-2</v>
      </c>
      <c r="AB24" s="53">
        <f t="shared" ref="AB24:AF32" si="20">(AB5/AB4)-1</f>
        <v>0.23072756815309625</v>
      </c>
      <c r="AC24" s="53">
        <f t="shared" si="20"/>
        <v>0</v>
      </c>
      <c r="AD24" s="53">
        <f t="shared" si="20"/>
        <v>1.180744777475029E-2</v>
      </c>
      <c r="AE24" s="53">
        <f t="shared" si="20"/>
        <v>0</v>
      </c>
      <c r="AF24" s="53">
        <f t="shared" si="20"/>
        <v>1.8050541516245522E-2</v>
      </c>
      <c r="AG24" s="53">
        <f t="shared" ref="AG24:AH24" si="21">(AG5/AG4)-1</f>
        <v>0.13422818791946312</v>
      </c>
      <c r="AH24" s="53">
        <f t="shared" si="21"/>
        <v>6.2353100705116793E-2</v>
      </c>
      <c r="AI24" s="53">
        <f t="shared" ref="AI24:AM32" si="22">(AI5/AI4)-1</f>
        <v>0.23072756815309603</v>
      </c>
      <c r="AJ24" s="53">
        <f t="shared" si="22"/>
        <v>0</v>
      </c>
      <c r="AK24" s="53">
        <f t="shared" si="22"/>
        <v>1.180744777475029E-2</v>
      </c>
      <c r="AL24" s="53">
        <f t="shared" si="22"/>
        <v>0</v>
      </c>
      <c r="AM24" s="53">
        <f t="shared" si="22"/>
        <v>1.8050541516245522E-2</v>
      </c>
    </row>
    <row r="25" spans="1:39">
      <c r="A25">
        <v>2017</v>
      </c>
      <c r="B25" s="53">
        <f t="shared" ref="B25:C25" si="23">(B6/B5)-1</f>
        <v>0</v>
      </c>
      <c r="C25" s="53">
        <f t="shared" si="23"/>
        <v>5.8480651817814477E-2</v>
      </c>
      <c r="D25" s="53">
        <f t="shared" si="14"/>
        <v>-7.1072319201994971E-2</v>
      </c>
      <c r="E25" s="53">
        <f t="shared" si="14"/>
        <v>0.31578947368421062</v>
      </c>
      <c r="F25" s="53">
        <f t="shared" si="14"/>
        <v>8.9766606822272443E-4</v>
      </c>
      <c r="G25" s="53">
        <f t="shared" si="14"/>
        <v>-3.6613272311212808E-2</v>
      </c>
      <c r="H25" s="53">
        <f t="shared" si="14"/>
        <v>-1.3593380614657202E-2</v>
      </c>
      <c r="J25" s="53">
        <f t="shared" ref="J25:K25" si="24">(J6/J5)-1</f>
        <v>0</v>
      </c>
      <c r="K25" s="53">
        <f t="shared" si="24"/>
        <v>5.8480651817814477E-2</v>
      </c>
      <c r="L25" s="53">
        <f t="shared" si="16"/>
        <v>-7.1072319201995082E-2</v>
      </c>
      <c r="M25" s="53">
        <f t="shared" si="16"/>
        <v>0.3157894736842104</v>
      </c>
      <c r="N25" s="53">
        <f t="shared" si="16"/>
        <v>8.9766606822272443E-4</v>
      </c>
      <c r="O25" s="53">
        <f t="shared" si="16"/>
        <v>-3.6613272311212808E-2</v>
      </c>
      <c r="P25" s="53">
        <f t="shared" si="16"/>
        <v>-1.3593380614657091E-2</v>
      </c>
      <c r="Q25" s="53">
        <f t="shared" ref="Q25:R25" si="25">(Q6/Q5)-1</f>
        <v>0</v>
      </c>
      <c r="R25" s="53">
        <f t="shared" si="25"/>
        <v>5.8480651817814255E-2</v>
      </c>
      <c r="S25" s="53">
        <f t="shared" si="18"/>
        <v>-7.1072319201995082E-2</v>
      </c>
      <c r="T25" s="53">
        <f t="shared" si="18"/>
        <v>0.31578947368421062</v>
      </c>
      <c r="U25" s="53">
        <f t="shared" si="18"/>
        <v>8.9766606822272443E-4</v>
      </c>
      <c r="V25" s="53">
        <f t="shared" si="18"/>
        <v>-3.6613272311212808E-2</v>
      </c>
      <c r="W25" s="53">
        <f t="shared" si="18"/>
        <v>-1.3593380614657202E-2</v>
      </c>
      <c r="X25" s="53"/>
      <c r="Z25" s="53">
        <f t="shared" ref="Z25:AA25" si="26">(Z6/Z5)-1</f>
        <v>0</v>
      </c>
      <c r="AA25" s="53">
        <f t="shared" si="26"/>
        <v>5.8480651817814477E-2</v>
      </c>
      <c r="AB25" s="53">
        <f t="shared" si="20"/>
        <v>-7.1072319201994971E-2</v>
      </c>
      <c r="AC25" s="53">
        <f t="shared" si="20"/>
        <v>0.3157894736842104</v>
      </c>
      <c r="AD25" s="53">
        <f t="shared" si="20"/>
        <v>8.9766606822250239E-4</v>
      </c>
      <c r="AE25" s="53">
        <f t="shared" si="20"/>
        <v>-3.6613272311212919E-2</v>
      </c>
      <c r="AF25" s="53">
        <f t="shared" si="20"/>
        <v>-1.3593380614657202E-2</v>
      </c>
      <c r="AG25" s="53">
        <f t="shared" ref="AG25:AH25" si="27">(AG6/AG5)-1</f>
        <v>0</v>
      </c>
      <c r="AH25" s="53">
        <f t="shared" si="27"/>
        <v>5.8480651817814255E-2</v>
      </c>
      <c r="AI25" s="53">
        <f t="shared" si="22"/>
        <v>-7.1072319201995082E-2</v>
      </c>
      <c r="AJ25" s="53">
        <f t="shared" si="22"/>
        <v>0.3157894736842104</v>
      </c>
      <c r="AK25" s="53">
        <f t="shared" si="22"/>
        <v>8.9766606822250239E-4</v>
      </c>
      <c r="AL25" s="53">
        <f t="shared" si="22"/>
        <v>-3.6613272311212808E-2</v>
      </c>
      <c r="AM25" s="53">
        <f t="shared" si="22"/>
        <v>-1.3593380614657091E-2</v>
      </c>
    </row>
    <row r="26" spans="1:39">
      <c r="A26">
        <v>2018</v>
      </c>
      <c r="B26" s="53">
        <f t="shared" ref="B26:C26" si="28">(B7/B6)-1</f>
        <v>0</v>
      </c>
      <c r="C26" s="53">
        <f t="shared" si="28"/>
        <v>6.0414824342792883E-2</v>
      </c>
      <c r="D26" s="53">
        <f t="shared" si="14"/>
        <v>4.2242400315831041E-2</v>
      </c>
      <c r="E26" s="53">
        <f t="shared" si="14"/>
        <v>0</v>
      </c>
      <c r="F26" s="53">
        <f t="shared" si="14"/>
        <v>-8.9686098654706559E-4</v>
      </c>
      <c r="G26" s="53">
        <f t="shared" si="14"/>
        <v>-2.6128266033254133E-2</v>
      </c>
      <c r="H26" s="53">
        <f t="shared" si="14"/>
        <v>-2.3966446974236111E-2</v>
      </c>
      <c r="J26" s="53">
        <f t="shared" ref="J26:K26" si="29">(J7/J6)-1</f>
        <v>0</v>
      </c>
      <c r="K26" s="53">
        <f t="shared" si="29"/>
        <v>6.0414824342792883E-2</v>
      </c>
      <c r="L26" s="53">
        <f t="shared" si="16"/>
        <v>4.2242400315831041E-2</v>
      </c>
      <c r="M26" s="53">
        <f t="shared" si="16"/>
        <v>0</v>
      </c>
      <c r="N26" s="53">
        <f t="shared" si="16"/>
        <v>-8.9686098654717661E-4</v>
      </c>
      <c r="O26" s="53">
        <f t="shared" si="16"/>
        <v>-2.6128266033254022E-2</v>
      </c>
      <c r="P26" s="53">
        <f t="shared" si="16"/>
        <v>-2.3966446974236111E-2</v>
      </c>
      <c r="Q26" s="53">
        <f t="shared" ref="Q26:R26" si="30">(Q7/Q6)-1</f>
        <v>0</v>
      </c>
      <c r="R26" s="53">
        <f t="shared" si="30"/>
        <v>6.0414824342792883E-2</v>
      </c>
      <c r="S26" s="53">
        <f t="shared" si="18"/>
        <v>4.2242400315831041E-2</v>
      </c>
      <c r="T26" s="53">
        <f t="shared" si="18"/>
        <v>0</v>
      </c>
      <c r="U26" s="53">
        <f t="shared" si="18"/>
        <v>-8.9686098654717661E-4</v>
      </c>
      <c r="V26" s="53">
        <f t="shared" si="18"/>
        <v>-2.6128266033254133E-2</v>
      </c>
      <c r="W26" s="53">
        <f t="shared" si="18"/>
        <v>-2.3966446974236111E-2</v>
      </c>
      <c r="X26" s="53"/>
      <c r="Z26" s="53">
        <f t="shared" ref="Z26:AA26" si="31">(Z7/Z6)-1</f>
        <v>0</v>
      </c>
      <c r="AA26" s="53">
        <f t="shared" si="31"/>
        <v>6.0414824342792883E-2</v>
      </c>
      <c r="AB26" s="53">
        <f t="shared" si="20"/>
        <v>4.2242400315831041E-2</v>
      </c>
      <c r="AC26" s="53">
        <f t="shared" si="20"/>
        <v>0</v>
      </c>
      <c r="AD26" s="53">
        <f t="shared" si="20"/>
        <v>-8.9686098654695456E-4</v>
      </c>
      <c r="AE26" s="53">
        <f t="shared" si="20"/>
        <v>-2.6128266033254022E-2</v>
      </c>
      <c r="AF26" s="53">
        <f t="shared" si="20"/>
        <v>-2.3966446974236111E-2</v>
      </c>
      <c r="AG26" s="53">
        <f t="shared" ref="AG26:AH26" si="32">(AG7/AG6)-1</f>
        <v>0</v>
      </c>
      <c r="AH26" s="53">
        <f t="shared" si="32"/>
        <v>6.0414824342792661E-2</v>
      </c>
      <c r="AI26" s="53">
        <f t="shared" si="22"/>
        <v>4.2242400315831041E-2</v>
      </c>
      <c r="AJ26" s="53">
        <f t="shared" si="22"/>
        <v>0</v>
      </c>
      <c r="AK26" s="53">
        <f t="shared" si="22"/>
        <v>-8.9686098654706559E-4</v>
      </c>
      <c r="AL26" s="53">
        <f t="shared" si="22"/>
        <v>-2.6128266033254133E-2</v>
      </c>
      <c r="AM26" s="53">
        <f t="shared" si="22"/>
        <v>-2.3966446974236E-2</v>
      </c>
    </row>
    <row r="27" spans="1:39">
      <c r="A27">
        <v>2019</v>
      </c>
      <c r="B27" s="53">
        <f t="shared" ref="B27:C27" si="33">(B8/B7)-1</f>
        <v>0</v>
      </c>
      <c r="C27" s="53">
        <f t="shared" si="33"/>
        <v>6.6998976536143395E-2</v>
      </c>
      <c r="D27" s="53">
        <f t="shared" si="14"/>
        <v>-2.6515151515151825E-3</v>
      </c>
      <c r="E27" s="53">
        <f t="shared" si="14"/>
        <v>0.60571428571428565</v>
      </c>
      <c r="F27" s="53">
        <f t="shared" si="14"/>
        <v>-7.1813285457810183E-3</v>
      </c>
      <c r="G27" s="53">
        <f t="shared" si="14"/>
        <v>1.4146341463414647E-2</v>
      </c>
      <c r="H27" s="53">
        <f t="shared" si="14"/>
        <v>3.8060159607120836E-2</v>
      </c>
      <c r="J27" s="53">
        <f t="shared" ref="J27:K27" si="34">(J8/J7)-1</f>
        <v>0</v>
      </c>
      <c r="K27" s="53">
        <f t="shared" si="34"/>
        <v>6.6998976536143395E-2</v>
      </c>
      <c r="L27" s="53">
        <f t="shared" si="16"/>
        <v>-2.6515151515152935E-3</v>
      </c>
      <c r="M27" s="53">
        <f t="shared" si="16"/>
        <v>0.60571428571428565</v>
      </c>
      <c r="N27" s="53">
        <f t="shared" si="16"/>
        <v>-7.1813285457809073E-3</v>
      </c>
      <c r="O27" s="53">
        <f t="shared" si="16"/>
        <v>1.4146341463414647E-2</v>
      </c>
      <c r="P27" s="53">
        <f t="shared" si="16"/>
        <v>3.8060159607121058E-2</v>
      </c>
      <c r="Q27" s="53">
        <f t="shared" ref="Q27:R27" si="35">(Q8/Q7)-1</f>
        <v>0</v>
      </c>
      <c r="R27" s="53">
        <f t="shared" si="35"/>
        <v>6.6998976536143395E-2</v>
      </c>
      <c r="S27" s="53">
        <f t="shared" si="18"/>
        <v>-2.6515151515150714E-3</v>
      </c>
      <c r="T27" s="53">
        <f t="shared" si="18"/>
        <v>0.60571428571428565</v>
      </c>
      <c r="U27" s="53">
        <f t="shared" si="18"/>
        <v>-7.1813285457809073E-3</v>
      </c>
      <c r="V27" s="53">
        <f t="shared" si="18"/>
        <v>1.4146341463414647E-2</v>
      </c>
      <c r="W27" s="53">
        <f t="shared" si="18"/>
        <v>3.8060159607120836E-2</v>
      </c>
      <c r="X27" s="53"/>
      <c r="Z27" s="53">
        <f t="shared" ref="Z27:AA27" si="36">(Z8/Z7)-1</f>
        <v>0</v>
      </c>
      <c r="AA27" s="53">
        <f t="shared" si="36"/>
        <v>6.6998976536143395E-2</v>
      </c>
      <c r="AB27" s="53">
        <f t="shared" si="20"/>
        <v>-2.6515151515150714E-3</v>
      </c>
      <c r="AC27" s="53">
        <f t="shared" si="20"/>
        <v>0.60571428571428587</v>
      </c>
      <c r="AD27" s="53">
        <f t="shared" si="20"/>
        <v>-7.1813285457810183E-3</v>
      </c>
      <c r="AE27" s="53">
        <f t="shared" si="20"/>
        <v>1.4146341463414647E-2</v>
      </c>
      <c r="AF27" s="53">
        <f t="shared" si="20"/>
        <v>3.8060159607121058E-2</v>
      </c>
      <c r="AG27" s="53">
        <f t="shared" ref="AG27:AH27" si="37">(AG8/AG7)-1</f>
        <v>0</v>
      </c>
      <c r="AH27" s="53">
        <f t="shared" si="37"/>
        <v>6.6998976536143617E-2</v>
      </c>
      <c r="AI27" s="53">
        <f t="shared" si="22"/>
        <v>-2.6515151515150714E-3</v>
      </c>
      <c r="AJ27" s="53">
        <f t="shared" si="22"/>
        <v>0.60571428571428587</v>
      </c>
      <c r="AK27" s="53">
        <f t="shared" si="22"/>
        <v>-7.1813285457809073E-3</v>
      </c>
      <c r="AL27" s="53">
        <f t="shared" si="22"/>
        <v>1.4146341463414647E-2</v>
      </c>
      <c r="AM27" s="53">
        <f t="shared" si="22"/>
        <v>3.8060159607120836E-2</v>
      </c>
    </row>
    <row r="28" spans="1:39">
      <c r="A28">
        <v>2020</v>
      </c>
      <c r="B28" s="53">
        <f t="shared" ref="B28:C28" si="38">(B9/B8)-1</f>
        <v>-0.26627218934911245</v>
      </c>
      <c r="C28" s="53">
        <f t="shared" si="38"/>
        <v>3.870543723466624E-2</v>
      </c>
      <c r="D28" s="53">
        <f t="shared" si="14"/>
        <v>-8.2035700721610372E-2</v>
      </c>
      <c r="E28" s="53">
        <f t="shared" si="14"/>
        <v>-1.0676156583629859E-2</v>
      </c>
      <c r="F28" s="53">
        <f t="shared" si="14"/>
        <v>-7.2332730560579206E-3</v>
      </c>
      <c r="G28" s="53">
        <f t="shared" si="14"/>
        <v>0</v>
      </c>
      <c r="H28" s="53">
        <f t="shared" si="14"/>
        <v>0</v>
      </c>
      <c r="J28" s="53">
        <f t="shared" ref="J28:K28" si="39">(J9/J8)-1</f>
        <v>-0.26627218934911234</v>
      </c>
      <c r="K28" s="53">
        <f t="shared" si="39"/>
        <v>3.8705437234666018E-2</v>
      </c>
      <c r="L28" s="53">
        <f t="shared" si="16"/>
        <v>-8.203570072161015E-2</v>
      </c>
      <c r="M28" s="53">
        <f t="shared" si="16"/>
        <v>-1.0676156583629859E-2</v>
      </c>
      <c r="N28" s="53">
        <f t="shared" si="16"/>
        <v>-7.2332730560579206E-3</v>
      </c>
      <c r="O28" s="53">
        <f t="shared" si="16"/>
        <v>0</v>
      </c>
      <c r="P28" s="53">
        <f t="shared" si="16"/>
        <v>0</v>
      </c>
      <c r="Q28" s="53">
        <f t="shared" ref="Q28:R28" si="40">(Q9/Q8)-1</f>
        <v>-0.26627218934911245</v>
      </c>
      <c r="R28" s="53">
        <f t="shared" si="40"/>
        <v>3.8705437234666018E-2</v>
      </c>
      <c r="S28" s="53">
        <f t="shared" si="18"/>
        <v>-8.2035700721610372E-2</v>
      </c>
      <c r="T28" s="53">
        <f t="shared" si="18"/>
        <v>-1.0676156583629859E-2</v>
      </c>
      <c r="U28" s="53">
        <f t="shared" si="18"/>
        <v>-7.2332730560578096E-3</v>
      </c>
      <c r="V28" s="53">
        <f t="shared" si="18"/>
        <v>0</v>
      </c>
      <c r="W28" s="53">
        <f t="shared" si="18"/>
        <v>0</v>
      </c>
      <c r="X28" s="53"/>
      <c r="Z28" s="53">
        <f t="shared" ref="Z28:AA28" si="41">(Z9/Z8)-1</f>
        <v>-0.26627218934911245</v>
      </c>
      <c r="AA28" s="53">
        <f t="shared" si="41"/>
        <v>3.870543723466624E-2</v>
      </c>
      <c r="AB28" s="53">
        <f t="shared" si="20"/>
        <v>-8.2035700721610372E-2</v>
      </c>
      <c r="AC28" s="53">
        <f t="shared" si="20"/>
        <v>-1.067615658362997E-2</v>
      </c>
      <c r="AD28" s="53">
        <f t="shared" si="20"/>
        <v>-7.2332730560579206E-3</v>
      </c>
      <c r="AE28" s="53">
        <f t="shared" si="20"/>
        <v>0</v>
      </c>
      <c r="AF28" s="53">
        <f t="shared" si="20"/>
        <v>0</v>
      </c>
      <c r="AG28" s="53">
        <f t="shared" ref="AG28:AH28" si="42">(AG9/AG8)-1</f>
        <v>-0.26627218934911245</v>
      </c>
      <c r="AH28" s="53">
        <f t="shared" si="42"/>
        <v>3.8705437234666018E-2</v>
      </c>
      <c r="AI28" s="53">
        <f t="shared" si="22"/>
        <v>-8.2035700721610372E-2</v>
      </c>
      <c r="AJ28" s="53">
        <f t="shared" si="22"/>
        <v>-1.067615658362997E-2</v>
      </c>
      <c r="AK28" s="53">
        <f t="shared" si="22"/>
        <v>-7.2332730560578096E-3</v>
      </c>
      <c r="AL28" s="53">
        <f t="shared" si="22"/>
        <v>0</v>
      </c>
      <c r="AM28" s="53">
        <f t="shared" si="22"/>
        <v>0</v>
      </c>
    </row>
    <row r="29" spans="1:39">
      <c r="A29">
        <v>2021</v>
      </c>
      <c r="B29" s="53">
        <f t="shared" ref="B29:C29" si="43">(B10/B9)-1</f>
        <v>-0.14516129032258063</v>
      </c>
      <c r="C29" s="53">
        <f t="shared" si="43"/>
        <v>3.7297352760106817E-2</v>
      </c>
      <c r="D29" s="53">
        <f t="shared" si="14"/>
        <v>-9.3918080264791093E-2</v>
      </c>
      <c r="E29" s="53">
        <f t="shared" si="14"/>
        <v>-7.1942446043165464E-2</v>
      </c>
      <c r="F29" s="53">
        <f t="shared" si="14"/>
        <v>-1.1839708561020013E-2</v>
      </c>
      <c r="G29" s="53">
        <f t="shared" si="14"/>
        <v>-1.1063011063011108E-2</v>
      </c>
      <c r="H29" s="53">
        <f t="shared" si="14"/>
        <v>-4.0804257835600266E-2</v>
      </c>
      <c r="J29" s="53">
        <f t="shared" ref="J29:K29" si="44">(J10/J9)-1</f>
        <v>-0.14516129032258063</v>
      </c>
      <c r="K29" s="53">
        <f t="shared" si="44"/>
        <v>3.7297352760106595E-2</v>
      </c>
      <c r="L29" s="53">
        <f t="shared" si="16"/>
        <v>-9.3918080264791093E-2</v>
      </c>
      <c r="M29" s="53">
        <f t="shared" si="16"/>
        <v>-7.1942446043165464E-2</v>
      </c>
      <c r="N29" s="53">
        <f t="shared" si="16"/>
        <v>-1.1839708561019902E-2</v>
      </c>
      <c r="O29" s="53">
        <f t="shared" si="16"/>
        <v>-1.1063011063010997E-2</v>
      </c>
      <c r="P29" s="53">
        <f t="shared" si="16"/>
        <v>-4.0804257835600266E-2</v>
      </c>
      <c r="Q29" s="53">
        <f t="shared" ref="Q29:R29" si="45">(Q10/Q9)-1</f>
        <v>-0.14516129032258063</v>
      </c>
      <c r="R29" s="53">
        <f t="shared" si="45"/>
        <v>3.7297352760106817E-2</v>
      </c>
      <c r="S29" s="53">
        <f t="shared" si="18"/>
        <v>-9.3918080264790982E-2</v>
      </c>
      <c r="T29" s="53">
        <f t="shared" si="18"/>
        <v>-7.1942446043165464E-2</v>
      </c>
      <c r="U29" s="53">
        <f t="shared" si="18"/>
        <v>-1.1839708561020124E-2</v>
      </c>
      <c r="V29" s="53">
        <f t="shared" si="18"/>
        <v>-1.1063011063011108E-2</v>
      </c>
      <c r="W29" s="53">
        <f t="shared" si="18"/>
        <v>-4.0804257835600155E-2</v>
      </c>
      <c r="X29" s="53"/>
      <c r="Z29" s="53">
        <f t="shared" ref="Z29:AA29" si="46">(Z10/Z9)-1</f>
        <v>-0.14516129032258063</v>
      </c>
      <c r="AA29" s="53">
        <f t="shared" si="46"/>
        <v>3.7297352760106595E-2</v>
      </c>
      <c r="AB29" s="53">
        <f t="shared" si="20"/>
        <v>-9.3918080264791093E-2</v>
      </c>
      <c r="AC29" s="53">
        <f t="shared" si="20"/>
        <v>-7.1942446043165464E-2</v>
      </c>
      <c r="AD29" s="53">
        <f t="shared" si="20"/>
        <v>-1.1839708561020013E-2</v>
      </c>
      <c r="AE29" s="53">
        <f t="shared" si="20"/>
        <v>-1.1063011063011108E-2</v>
      </c>
      <c r="AF29" s="53">
        <f t="shared" si="20"/>
        <v>-4.0804257835600266E-2</v>
      </c>
      <c r="AG29" s="53">
        <f t="shared" ref="AG29:AH29" si="47">(AG10/AG9)-1</f>
        <v>-0.14516129032258063</v>
      </c>
      <c r="AH29" s="53">
        <f t="shared" si="47"/>
        <v>3.7297352760106817E-2</v>
      </c>
      <c r="AI29" s="53">
        <f t="shared" si="22"/>
        <v>-9.3918080264791093E-2</v>
      </c>
      <c r="AJ29" s="53">
        <f t="shared" si="22"/>
        <v>-7.1942446043165464E-2</v>
      </c>
      <c r="AK29" s="53">
        <f t="shared" si="22"/>
        <v>-1.1839708561020124E-2</v>
      </c>
      <c r="AL29" s="53">
        <f t="shared" si="22"/>
        <v>-1.1063011063010997E-2</v>
      </c>
      <c r="AM29" s="53">
        <f t="shared" si="22"/>
        <v>-4.0804257835600155E-2</v>
      </c>
    </row>
    <row r="30" spans="1:39">
      <c r="A30">
        <v>2022</v>
      </c>
      <c r="B30" s="53">
        <f t="shared" ref="B30:C30" si="48">(B11/B10)-1</f>
        <v>-0.14150943396226412</v>
      </c>
      <c r="C30" s="53">
        <f t="shared" si="48"/>
        <v>2.1382527985228439E-2</v>
      </c>
      <c r="D30" s="53">
        <f t="shared" si="14"/>
        <v>-0.11461187214611868</v>
      </c>
      <c r="E30" s="53">
        <f t="shared" si="14"/>
        <v>7.7519379844961156E-2</v>
      </c>
      <c r="F30" s="53">
        <f t="shared" si="14"/>
        <v>-5.5299539170506895E-3</v>
      </c>
      <c r="G30" s="53">
        <f t="shared" si="14"/>
        <v>-1.2159533073929918E-2</v>
      </c>
      <c r="H30" s="53">
        <f t="shared" si="14"/>
        <v>-4.3156596794081681E-3</v>
      </c>
      <c r="J30" s="53">
        <f t="shared" ref="J30:K30" si="49">(J11/J10)-1</f>
        <v>-0.14150943396226412</v>
      </c>
      <c r="K30" s="53">
        <f t="shared" si="49"/>
        <v>2.1382527985228439E-2</v>
      </c>
      <c r="L30" s="53">
        <f t="shared" si="16"/>
        <v>-0.11461187214611868</v>
      </c>
      <c r="M30" s="53">
        <f t="shared" si="16"/>
        <v>7.7519379844961156E-2</v>
      </c>
      <c r="N30" s="53">
        <f t="shared" si="16"/>
        <v>-5.5299539170506895E-3</v>
      </c>
      <c r="O30" s="53">
        <f t="shared" si="16"/>
        <v>-1.2159533073929918E-2</v>
      </c>
      <c r="P30" s="53">
        <f t="shared" si="16"/>
        <v>-4.3156596794081681E-3</v>
      </c>
      <c r="Q30" s="53">
        <f t="shared" ref="Q30:R30" si="50">(Q11/Q10)-1</f>
        <v>-0.14150943396226412</v>
      </c>
      <c r="R30" s="53">
        <f t="shared" si="50"/>
        <v>2.1382527985228217E-2</v>
      </c>
      <c r="S30" s="53">
        <f t="shared" si="18"/>
        <v>-0.1146118721461189</v>
      </c>
      <c r="T30" s="53">
        <f t="shared" si="18"/>
        <v>7.7519379844961156E-2</v>
      </c>
      <c r="U30" s="53">
        <f t="shared" si="18"/>
        <v>-5.5299539170506895E-3</v>
      </c>
      <c r="V30" s="53">
        <f t="shared" si="18"/>
        <v>-1.2159533073929918E-2</v>
      </c>
      <c r="W30" s="53">
        <f t="shared" si="18"/>
        <v>-4.3156596794081681E-3</v>
      </c>
      <c r="X30" s="53"/>
      <c r="Z30" s="53">
        <f t="shared" ref="Z30:AA30" si="51">(Z11/Z10)-1</f>
        <v>-0.14150943396226412</v>
      </c>
      <c r="AA30" s="53">
        <f t="shared" si="51"/>
        <v>2.1382527985228439E-2</v>
      </c>
      <c r="AB30" s="53">
        <f t="shared" si="20"/>
        <v>-0.11461187214611857</v>
      </c>
      <c r="AC30" s="53">
        <f t="shared" si="20"/>
        <v>7.7519379844961156E-2</v>
      </c>
      <c r="AD30" s="53">
        <f t="shared" si="20"/>
        <v>-5.5299539170506895E-3</v>
      </c>
      <c r="AE30" s="53">
        <f t="shared" si="20"/>
        <v>-1.2159533073930029E-2</v>
      </c>
      <c r="AF30" s="53">
        <f t="shared" si="20"/>
        <v>-4.3156596794081681E-3</v>
      </c>
      <c r="AG30" s="53">
        <f t="shared" ref="AG30:AH30" si="52">(AG11/AG10)-1</f>
        <v>-0.14150943396226423</v>
      </c>
      <c r="AH30" s="53">
        <f t="shared" si="52"/>
        <v>2.1382527985228439E-2</v>
      </c>
      <c r="AI30" s="53">
        <f t="shared" si="22"/>
        <v>-0.11461187214611868</v>
      </c>
      <c r="AJ30" s="53">
        <f t="shared" si="22"/>
        <v>7.7519379844961156E-2</v>
      </c>
      <c r="AK30" s="53">
        <f t="shared" si="22"/>
        <v>-5.5299539170508005E-3</v>
      </c>
      <c r="AL30" s="53">
        <f t="shared" si="22"/>
        <v>-1.2159533073929918E-2</v>
      </c>
      <c r="AM30" s="53">
        <f t="shared" si="22"/>
        <v>-4.3156596794081681E-3</v>
      </c>
    </row>
    <row r="31" spans="1:39">
      <c r="A31">
        <v>2023</v>
      </c>
      <c r="B31" s="53">
        <f t="shared" ref="B31:C31" si="53">(B12/B11)-1</f>
        <v>-0.5494505494505495</v>
      </c>
      <c r="C31" s="53">
        <f t="shared" si="53"/>
        <v>-5.2619685573167541E-3</v>
      </c>
      <c r="D31" s="53">
        <f t="shared" si="14"/>
        <v>-0.1975244971634863</v>
      </c>
      <c r="E31" s="53">
        <f t="shared" si="14"/>
        <v>0</v>
      </c>
      <c r="F31" s="53">
        <f t="shared" si="14"/>
        <v>1.7052826691380973E-2</v>
      </c>
      <c r="G31" s="53">
        <f t="shared" si="14"/>
        <v>0</v>
      </c>
      <c r="H31" s="53">
        <f t="shared" si="14"/>
        <v>-5.3250773993808065E-2</v>
      </c>
      <c r="J31" s="53">
        <f t="shared" ref="J31:K31" si="54">(J12/J11)-1</f>
        <v>-0.5494505494505495</v>
      </c>
      <c r="K31" s="53">
        <f t="shared" si="54"/>
        <v>-5.2619685573167541E-3</v>
      </c>
      <c r="L31" s="53">
        <f t="shared" si="16"/>
        <v>-0.19752449716348641</v>
      </c>
      <c r="M31" s="53">
        <f t="shared" si="16"/>
        <v>0</v>
      </c>
      <c r="N31" s="53">
        <f t="shared" si="16"/>
        <v>1.7052826691380751E-2</v>
      </c>
      <c r="O31" s="53">
        <f t="shared" si="16"/>
        <v>0</v>
      </c>
      <c r="P31" s="53">
        <f t="shared" si="16"/>
        <v>-5.3250773993808065E-2</v>
      </c>
      <c r="Q31" s="53">
        <f t="shared" ref="Q31:R31" si="55">(Q12/Q11)-1</f>
        <v>-0.5494505494505495</v>
      </c>
      <c r="R31" s="53">
        <f t="shared" si="55"/>
        <v>-5.2619685573167541E-3</v>
      </c>
      <c r="S31" s="53">
        <f t="shared" si="18"/>
        <v>-0.1975244971634863</v>
      </c>
      <c r="T31" s="53">
        <f t="shared" si="18"/>
        <v>0</v>
      </c>
      <c r="U31" s="53">
        <f t="shared" si="18"/>
        <v>1.7052826691380973E-2</v>
      </c>
      <c r="V31" s="53">
        <f t="shared" si="18"/>
        <v>0</v>
      </c>
      <c r="W31" s="53">
        <f t="shared" si="18"/>
        <v>-5.3250773993808065E-2</v>
      </c>
      <c r="X31" s="53"/>
      <c r="Z31" s="53">
        <f t="shared" ref="Z31:AA31" si="56">(Z12/Z11)-1</f>
        <v>-0.5494505494505495</v>
      </c>
      <c r="AA31" s="53">
        <f t="shared" si="56"/>
        <v>-5.2619685573167541E-3</v>
      </c>
      <c r="AB31" s="53">
        <f t="shared" si="20"/>
        <v>-0.19752449716348641</v>
      </c>
      <c r="AC31" s="53">
        <f t="shared" si="20"/>
        <v>0</v>
      </c>
      <c r="AD31" s="53">
        <f t="shared" si="20"/>
        <v>1.7052826691380751E-2</v>
      </c>
      <c r="AE31" s="53">
        <f t="shared" si="20"/>
        <v>0</v>
      </c>
      <c r="AF31" s="53">
        <f t="shared" si="20"/>
        <v>-5.3250773993808065E-2</v>
      </c>
      <c r="AG31" s="53">
        <f t="shared" ref="AG31:AH31" si="57">(AG12/AG11)-1</f>
        <v>-0.5494505494505495</v>
      </c>
      <c r="AH31" s="53">
        <f t="shared" si="57"/>
        <v>-5.2619685573167541E-3</v>
      </c>
      <c r="AI31" s="53">
        <f t="shared" si="22"/>
        <v>-0.19752449716348641</v>
      </c>
      <c r="AJ31" s="53">
        <f t="shared" si="22"/>
        <v>0</v>
      </c>
      <c r="AK31" s="53">
        <f t="shared" si="22"/>
        <v>1.7052826691380973E-2</v>
      </c>
      <c r="AL31" s="53">
        <f t="shared" si="22"/>
        <v>0</v>
      </c>
      <c r="AM31" s="53">
        <f t="shared" si="22"/>
        <v>-5.3250773993808065E-2</v>
      </c>
    </row>
    <row r="32" spans="1:39">
      <c r="A32">
        <v>2024</v>
      </c>
      <c r="B32" s="53">
        <f t="shared" ref="B32:C32" si="58">(B13/B12)-1</f>
        <v>0</v>
      </c>
      <c r="C32" s="53">
        <f t="shared" si="58"/>
        <v>-3.8943337444018455E-3</v>
      </c>
      <c r="D32" s="53">
        <f t="shared" si="14"/>
        <v>-9.3830334190231346E-2</v>
      </c>
      <c r="E32" s="53">
        <f t="shared" si="14"/>
        <v>0</v>
      </c>
      <c r="F32" s="53">
        <f t="shared" si="14"/>
        <v>-1.1663932932385657E-2</v>
      </c>
      <c r="G32" s="53">
        <f t="shared" si="14"/>
        <v>-1.2309207287050761E-2</v>
      </c>
      <c r="H32" s="53">
        <f t="shared" si="14"/>
        <v>2.7468933943754159E-2</v>
      </c>
      <c r="J32" s="53">
        <f t="shared" ref="J32:K32" si="59">(J13/J12)-1</f>
        <v>0</v>
      </c>
      <c r="K32" s="53">
        <f t="shared" si="59"/>
        <v>-3.8943337444019566E-3</v>
      </c>
      <c r="L32" s="53">
        <f t="shared" si="16"/>
        <v>-9.3830334190231235E-2</v>
      </c>
      <c r="M32" s="53">
        <f t="shared" si="16"/>
        <v>0</v>
      </c>
      <c r="N32" s="53">
        <f t="shared" si="16"/>
        <v>-1.1663932932385546E-2</v>
      </c>
      <c r="O32" s="53">
        <f t="shared" si="16"/>
        <v>-1.2309207287050872E-2</v>
      </c>
      <c r="P32" s="53">
        <f t="shared" si="16"/>
        <v>2.7468933943754159E-2</v>
      </c>
      <c r="Q32" s="53">
        <f t="shared" ref="Q32:R32" si="60">(Q13/Q12)-1</f>
        <v>0</v>
      </c>
      <c r="R32" s="53">
        <f t="shared" si="60"/>
        <v>-3.8943337444017345E-3</v>
      </c>
      <c r="S32" s="53">
        <f t="shared" si="18"/>
        <v>-9.3830334190231346E-2</v>
      </c>
      <c r="T32" s="53">
        <f t="shared" si="18"/>
        <v>0</v>
      </c>
      <c r="U32" s="53">
        <f t="shared" si="18"/>
        <v>-1.1663932932385657E-2</v>
      </c>
      <c r="V32" s="53">
        <f t="shared" si="18"/>
        <v>-1.230920728705065E-2</v>
      </c>
      <c r="W32" s="53">
        <f t="shared" si="18"/>
        <v>2.7468933943753937E-2</v>
      </c>
      <c r="X32" s="53"/>
      <c r="Z32" s="53">
        <f t="shared" ref="Z32:AA32" si="61">(Z13/Z12)-1</f>
        <v>0</v>
      </c>
      <c r="AA32" s="53">
        <f t="shared" si="61"/>
        <v>-3.8943337444019566E-3</v>
      </c>
      <c r="AB32" s="53">
        <f t="shared" si="20"/>
        <v>-9.3830334190231346E-2</v>
      </c>
      <c r="AC32" s="53">
        <f t="shared" si="20"/>
        <v>0</v>
      </c>
      <c r="AD32" s="53">
        <f t="shared" si="20"/>
        <v>-1.1663932932385657E-2</v>
      </c>
      <c r="AE32" s="53">
        <f t="shared" si="20"/>
        <v>-1.2309207287050761E-2</v>
      </c>
      <c r="AF32" s="53">
        <f t="shared" si="20"/>
        <v>2.7468933943753937E-2</v>
      </c>
      <c r="AG32" s="53">
        <f t="shared" ref="AG32:AH32" si="62">(AG13/AG12)-1</f>
        <v>0</v>
      </c>
      <c r="AH32" s="53">
        <f t="shared" si="62"/>
        <v>-3.8943337444019566E-3</v>
      </c>
      <c r="AI32" s="53">
        <f t="shared" si="22"/>
        <v>-9.3830334190231346E-2</v>
      </c>
      <c r="AJ32" s="53">
        <f t="shared" si="22"/>
        <v>0</v>
      </c>
      <c r="AK32" s="53">
        <f t="shared" si="22"/>
        <v>-1.1663932932385657E-2</v>
      </c>
      <c r="AL32" s="53">
        <f t="shared" si="22"/>
        <v>-1.2309207287050761E-2</v>
      </c>
      <c r="AM32" s="53">
        <f t="shared" si="22"/>
        <v>2.7468933943754159E-2</v>
      </c>
    </row>
    <row r="34" spans="1:39">
      <c r="A34" s="6" t="s">
        <v>427</v>
      </c>
    </row>
    <row r="35" spans="1:39">
      <c r="A35" s="1" t="s">
        <v>240</v>
      </c>
      <c r="B35" s="36">
        <f t="shared" ref="B35:C35" si="63">MIN(B23:B32)</f>
        <v>-0.5494505494505495</v>
      </c>
      <c r="C35" s="36">
        <f t="shared" si="63"/>
        <v>-5.2619685573167541E-3</v>
      </c>
      <c r="D35" s="36">
        <f>MIN(D23:D32)</f>
        <v>-0.1975244971634863</v>
      </c>
      <c r="E35" s="36">
        <f t="shared" ref="E35:H35" si="64">MIN(E23:E32)</f>
        <v>-7.1942446043165464E-2</v>
      </c>
      <c r="F35" s="36">
        <f t="shared" si="64"/>
        <v>-1.1839708561020013E-2</v>
      </c>
      <c r="G35" s="36">
        <f t="shared" si="64"/>
        <v>-3.6613272311212808E-2</v>
      </c>
      <c r="H35" s="36">
        <f t="shared" si="64"/>
        <v>-5.3250773993808065E-2</v>
      </c>
      <c r="J35" s="36">
        <f t="shared" ref="J35:K35" si="65">MIN(J23:J32)</f>
        <v>-0.5494505494505495</v>
      </c>
      <c r="K35" s="36">
        <f t="shared" si="65"/>
        <v>-5.2619685573167541E-3</v>
      </c>
      <c r="L35" s="36">
        <f>MIN(L23:L32)</f>
        <v>-0.19752449716348641</v>
      </c>
      <c r="M35" s="36">
        <f t="shared" ref="M35:R35" si="66">MIN(M23:M32)</f>
        <v>-7.1942446043165464E-2</v>
      </c>
      <c r="N35" s="36">
        <f t="shared" si="66"/>
        <v>-1.1839708561019902E-2</v>
      </c>
      <c r="O35" s="36">
        <f t="shared" si="66"/>
        <v>-3.6613272311212808E-2</v>
      </c>
      <c r="P35" s="36">
        <f t="shared" si="66"/>
        <v>-5.3250773993808065E-2</v>
      </c>
      <c r="Q35" s="36">
        <f t="shared" si="66"/>
        <v>-0.5494505494505495</v>
      </c>
      <c r="R35" s="36">
        <f t="shared" si="66"/>
        <v>-5.2619685573167541E-3</v>
      </c>
      <c r="S35" s="36">
        <f>MIN(S23:S32)</f>
        <v>-0.1975244971634863</v>
      </c>
      <c r="T35" s="36">
        <f t="shared" ref="T35:W35" si="67">MIN(T23:T32)</f>
        <v>-7.1942446043165464E-2</v>
      </c>
      <c r="U35" s="36">
        <f t="shared" si="67"/>
        <v>-1.1839708561020124E-2</v>
      </c>
      <c r="V35" s="36">
        <f t="shared" si="67"/>
        <v>-3.6613272311212808E-2</v>
      </c>
      <c r="W35" s="36">
        <f t="shared" si="67"/>
        <v>-5.3250773993808065E-2</v>
      </c>
      <c r="X35" s="36"/>
      <c r="Z35" s="36">
        <f t="shared" ref="Z35:AA35" si="68">MIN(Z23:Z32)</f>
        <v>-0.5494505494505495</v>
      </c>
      <c r="AA35" s="36">
        <f t="shared" si="68"/>
        <v>-5.2619685573167541E-3</v>
      </c>
      <c r="AB35" s="36">
        <f>MIN(AB23:AB32)</f>
        <v>-0.19752449716348641</v>
      </c>
      <c r="AC35" s="36">
        <f t="shared" ref="AC35:AH35" si="69">MIN(AC23:AC32)</f>
        <v>-7.1942446043165464E-2</v>
      </c>
      <c r="AD35" s="36">
        <f t="shared" si="69"/>
        <v>-1.1839708561020013E-2</v>
      </c>
      <c r="AE35" s="36">
        <f t="shared" si="69"/>
        <v>-3.6613272311212919E-2</v>
      </c>
      <c r="AF35" s="36">
        <f t="shared" si="69"/>
        <v>-5.3250773993808065E-2</v>
      </c>
      <c r="AG35" s="36">
        <f t="shared" si="69"/>
        <v>-0.5494505494505495</v>
      </c>
      <c r="AH35" s="36">
        <f t="shared" si="69"/>
        <v>-5.2619685573167541E-3</v>
      </c>
      <c r="AI35" s="36">
        <f>MIN(AI23:AI32)</f>
        <v>-0.19752449716348641</v>
      </c>
      <c r="AJ35" s="36">
        <f t="shared" ref="AJ35:AM35" si="70">MIN(AJ23:AJ32)</f>
        <v>-7.1942446043165464E-2</v>
      </c>
      <c r="AK35" s="36">
        <f t="shared" si="70"/>
        <v>-1.1839708561020124E-2</v>
      </c>
      <c r="AL35" s="36">
        <f t="shared" si="70"/>
        <v>-3.6613272311212808E-2</v>
      </c>
      <c r="AM35" s="36">
        <f t="shared" si="70"/>
        <v>-5.3250773993808065E-2</v>
      </c>
    </row>
    <row r="36" spans="1:39">
      <c r="A36" s="1" t="s">
        <v>241</v>
      </c>
      <c r="B36" s="36">
        <f t="shared" ref="B36:C36" si="71">AVERAGE(B23:B32)</f>
        <v>-0.10757391946278262</v>
      </c>
      <c r="C36" s="36">
        <f t="shared" si="71"/>
        <v>3.7386285453350022E-2</v>
      </c>
      <c r="D36" s="36">
        <f>AVERAGE(D23:D32)</f>
        <v>-4.2519372263424518E-2</v>
      </c>
      <c r="E36" s="36">
        <f t="shared" ref="E36:H36" si="72">AVERAGE(E23:E32)</f>
        <v>0.10182272629074024</v>
      </c>
      <c r="F36" s="36">
        <f t="shared" si="72"/>
        <v>-1.6207908293875972E-3</v>
      </c>
      <c r="G36" s="36">
        <f t="shared" si="72"/>
        <v>-9.347438700560453E-3</v>
      </c>
      <c r="H36" s="36">
        <f t="shared" si="72"/>
        <v>-5.8167648922876998E-3</v>
      </c>
      <c r="J36" s="36">
        <f t="shared" ref="J36:K36" si="73">AVERAGE(J23:J32)</f>
        <v>-0.10757391946278264</v>
      </c>
      <c r="K36" s="36">
        <f t="shared" si="73"/>
        <v>3.738628545334996E-2</v>
      </c>
      <c r="L36" s="36">
        <f>AVERAGE(L23:L32)</f>
        <v>-4.251937226342449E-2</v>
      </c>
      <c r="M36" s="36">
        <f t="shared" ref="M36:R36" si="74">AVERAGE(M23:M32)</f>
        <v>0.10182272629074021</v>
      </c>
      <c r="N36" s="36">
        <f t="shared" si="74"/>
        <v>-1.6207908293876219E-3</v>
      </c>
      <c r="O36" s="36">
        <f t="shared" si="74"/>
        <v>-9.3474387005604408E-3</v>
      </c>
      <c r="P36" s="36">
        <f t="shared" si="74"/>
        <v>-5.8167648922876868E-3</v>
      </c>
      <c r="Q36" s="36">
        <f t="shared" si="74"/>
        <v>-0.10757391946278262</v>
      </c>
      <c r="R36" s="36">
        <f t="shared" si="74"/>
        <v>3.738628545334996E-2</v>
      </c>
      <c r="S36" s="36">
        <f>AVERAGE(S23:S32)</f>
        <v>-4.2519372263424532E-2</v>
      </c>
      <c r="T36" s="36">
        <f t="shared" ref="T36:W36" si="75">AVERAGE(T23:T32)</f>
        <v>0.10182272629074024</v>
      </c>
      <c r="U36" s="36">
        <f t="shared" si="75"/>
        <v>-1.6207908293876219E-3</v>
      </c>
      <c r="V36" s="36">
        <f t="shared" si="75"/>
        <v>-9.3474387005604408E-3</v>
      </c>
      <c r="W36" s="36">
        <f t="shared" si="75"/>
        <v>-5.8167648922877119E-3</v>
      </c>
      <c r="X36" s="36"/>
      <c r="Z36" s="36">
        <f t="shared" ref="Z36:AA36" si="76">AVERAGE(Z23:Z32)</f>
        <v>-0.10757391946278265</v>
      </c>
      <c r="AA36" s="36">
        <f t="shared" si="76"/>
        <v>3.7386285453349988E-2</v>
      </c>
      <c r="AB36" s="36">
        <f>AVERAGE(AB23:AB32)</f>
        <v>-4.2519372263424504E-2</v>
      </c>
      <c r="AC36" s="36">
        <f t="shared" ref="AC36:AH36" si="77">AVERAGE(AC23:AC32)</f>
        <v>0.10182272629074023</v>
      </c>
      <c r="AD36" s="36">
        <f t="shared" si="77"/>
        <v>-1.6207908293876343E-3</v>
      </c>
      <c r="AE36" s="36">
        <f t="shared" si="77"/>
        <v>-9.3474387005604651E-3</v>
      </c>
      <c r="AF36" s="36">
        <f t="shared" si="77"/>
        <v>-5.8167648922876998E-3</v>
      </c>
      <c r="AG36" s="36">
        <f t="shared" si="77"/>
        <v>-0.10757391946278264</v>
      </c>
      <c r="AH36" s="36">
        <f t="shared" si="77"/>
        <v>3.7386285453349988E-2</v>
      </c>
      <c r="AI36" s="36">
        <f>AVERAGE(AI23:AI32)</f>
        <v>-4.2519372263424553E-2</v>
      </c>
      <c r="AJ36" s="36">
        <f t="shared" ref="AJ36:AM36" si="78">AVERAGE(AJ23:AJ32)</f>
        <v>0.10182272629074023</v>
      </c>
      <c r="AK36" s="36">
        <f t="shared" si="78"/>
        <v>-1.6207908293876219E-3</v>
      </c>
      <c r="AL36" s="36">
        <f t="shared" si="78"/>
        <v>-9.3474387005604408E-3</v>
      </c>
      <c r="AM36" s="36">
        <f t="shared" si="78"/>
        <v>-5.8167648922876625E-3</v>
      </c>
    </row>
    <row r="37" spans="1:39">
      <c r="A37" s="1" t="s">
        <v>242</v>
      </c>
      <c r="B37" s="36">
        <f t="shared" ref="B37:C37" si="79">MEDIAN(B23:B32)</f>
        <v>0</v>
      </c>
      <c r="C37" s="36">
        <f t="shared" si="79"/>
        <v>3.870543723466624E-2</v>
      </c>
      <c r="D37" s="36">
        <f>MEDIAN(D23:D32)</f>
        <v>-8.2035700721610372E-2</v>
      </c>
      <c r="E37" s="36">
        <f t="shared" ref="E37:H37" si="80">MEDIAN(E23:E32)</f>
        <v>0</v>
      </c>
      <c r="F37" s="36">
        <f t="shared" si="80"/>
        <v>-5.5299539170506895E-3</v>
      </c>
      <c r="G37" s="36">
        <f t="shared" si="80"/>
        <v>-1.1063011063011108E-2</v>
      </c>
      <c r="H37" s="36">
        <f t="shared" si="80"/>
        <v>-4.3156596794081681E-3</v>
      </c>
      <c r="J37" s="36">
        <f t="shared" ref="J37:K37" si="81">MEDIAN(J23:J32)</f>
        <v>0</v>
      </c>
      <c r="K37" s="36">
        <f t="shared" si="81"/>
        <v>3.8705437234666018E-2</v>
      </c>
      <c r="L37" s="36">
        <f>MEDIAN(L23:L32)</f>
        <v>-8.203570072161015E-2</v>
      </c>
      <c r="M37" s="36">
        <f t="shared" ref="M37:R37" si="82">MEDIAN(M23:M32)</f>
        <v>0</v>
      </c>
      <c r="N37" s="36">
        <f t="shared" si="82"/>
        <v>-5.5299539170506895E-3</v>
      </c>
      <c r="O37" s="36">
        <f t="shared" si="82"/>
        <v>-1.1063011063010997E-2</v>
      </c>
      <c r="P37" s="36">
        <f t="shared" si="82"/>
        <v>-4.3156596794081681E-3</v>
      </c>
      <c r="Q37" s="36">
        <f t="shared" si="82"/>
        <v>0</v>
      </c>
      <c r="R37" s="36">
        <f t="shared" si="82"/>
        <v>3.8705437234666018E-2</v>
      </c>
      <c r="S37" s="36">
        <f>MEDIAN(S23:S32)</f>
        <v>-8.2035700721610372E-2</v>
      </c>
      <c r="T37" s="36">
        <f t="shared" ref="T37:W37" si="83">MEDIAN(T23:T32)</f>
        <v>0</v>
      </c>
      <c r="U37" s="36">
        <f t="shared" si="83"/>
        <v>-5.5299539170506895E-3</v>
      </c>
      <c r="V37" s="36">
        <f t="shared" si="83"/>
        <v>-1.1063011063011108E-2</v>
      </c>
      <c r="W37" s="36">
        <f t="shared" si="83"/>
        <v>-4.3156596794081681E-3</v>
      </c>
      <c r="X37" s="36"/>
      <c r="Z37" s="36">
        <f t="shared" ref="Z37:AA37" si="84">MEDIAN(Z23:Z32)</f>
        <v>0</v>
      </c>
      <c r="AA37" s="36">
        <f t="shared" si="84"/>
        <v>3.870543723466624E-2</v>
      </c>
      <c r="AB37" s="36">
        <f>MEDIAN(AB23:AB32)</f>
        <v>-8.2035700721610372E-2</v>
      </c>
      <c r="AC37" s="36">
        <f t="shared" ref="AC37:AH37" si="85">MEDIAN(AC23:AC32)</f>
        <v>0</v>
      </c>
      <c r="AD37" s="36">
        <f t="shared" si="85"/>
        <v>-5.5299539170506895E-3</v>
      </c>
      <c r="AE37" s="36">
        <f t="shared" si="85"/>
        <v>-1.1063011063011108E-2</v>
      </c>
      <c r="AF37" s="36">
        <f t="shared" si="85"/>
        <v>-4.3156596794081681E-3</v>
      </c>
      <c r="AG37" s="36">
        <f t="shared" si="85"/>
        <v>0</v>
      </c>
      <c r="AH37" s="36">
        <f t="shared" si="85"/>
        <v>3.8705437234666018E-2</v>
      </c>
      <c r="AI37" s="36">
        <f>MEDIAN(AI23:AI32)</f>
        <v>-8.2035700721610372E-2</v>
      </c>
      <c r="AJ37" s="36">
        <f t="shared" ref="AJ37:AM37" si="86">MEDIAN(AJ23:AJ32)</f>
        <v>0</v>
      </c>
      <c r="AK37" s="36">
        <f t="shared" si="86"/>
        <v>-5.5299539170508005E-3</v>
      </c>
      <c r="AL37" s="36">
        <f t="shared" si="86"/>
        <v>-1.1063011063010997E-2</v>
      </c>
      <c r="AM37" s="36">
        <f t="shared" si="86"/>
        <v>-4.3156596794081681E-3</v>
      </c>
    </row>
    <row r="38" spans="1:39">
      <c r="A38" s="1" t="s">
        <v>243</v>
      </c>
      <c r="B38" s="36">
        <f t="shared" ref="B38:C38" si="87">MAX(B23:B32)</f>
        <v>0.13422818791946312</v>
      </c>
      <c r="C38" s="36">
        <f t="shared" si="87"/>
        <v>6.6998976536143395E-2</v>
      </c>
      <c r="D38" s="36">
        <f>MAX(D23:D32)</f>
        <v>0.23072756815309625</v>
      </c>
      <c r="E38" s="36">
        <f t="shared" ref="E38:H38" si="88">MAX(E23:E32)</f>
        <v>0.60571428571428565</v>
      </c>
      <c r="F38" s="36">
        <f t="shared" si="88"/>
        <v>1.7052826691380973E-2</v>
      </c>
      <c r="G38" s="36">
        <f t="shared" si="88"/>
        <v>1.4146341463414647E-2</v>
      </c>
      <c r="H38" s="36">
        <f t="shared" si="88"/>
        <v>3.8060159607120836E-2</v>
      </c>
      <c r="J38" s="36">
        <f t="shared" ref="J38:K38" si="89">MAX(J23:J32)</f>
        <v>0.13422818791946289</v>
      </c>
      <c r="K38" s="36">
        <f t="shared" si="89"/>
        <v>6.6998976536143395E-2</v>
      </c>
      <c r="L38" s="36">
        <f>MAX(L23:L32)</f>
        <v>0.23072756815309647</v>
      </c>
      <c r="M38" s="36">
        <f t="shared" ref="M38:R38" si="90">MAX(M23:M32)</f>
        <v>0.60571428571428565</v>
      </c>
      <c r="N38" s="36">
        <f t="shared" si="90"/>
        <v>1.7052826691380751E-2</v>
      </c>
      <c r="O38" s="36">
        <f t="shared" si="90"/>
        <v>1.4146341463414647E-2</v>
      </c>
      <c r="P38" s="36">
        <f t="shared" si="90"/>
        <v>3.8060159607121058E-2</v>
      </c>
      <c r="Q38" s="36">
        <f t="shared" si="90"/>
        <v>0.13422818791946312</v>
      </c>
      <c r="R38" s="36">
        <f t="shared" si="90"/>
        <v>6.6998976536143395E-2</v>
      </c>
      <c r="S38" s="36">
        <f>MAX(S23:S32)</f>
        <v>0.23072756815309625</v>
      </c>
      <c r="T38" s="36">
        <f t="shared" ref="T38:W38" si="91">MAX(T23:T32)</f>
        <v>0.60571428571428565</v>
      </c>
      <c r="U38" s="36">
        <f t="shared" si="91"/>
        <v>1.7052826691380973E-2</v>
      </c>
      <c r="V38" s="36">
        <f t="shared" si="91"/>
        <v>1.4146341463414647E-2</v>
      </c>
      <c r="W38" s="36">
        <f t="shared" si="91"/>
        <v>3.8060159607120836E-2</v>
      </c>
      <c r="X38" s="36"/>
      <c r="Z38" s="36">
        <f t="shared" ref="Z38:AA38" si="92">MAX(Z23:Z32)</f>
        <v>0.13422818791946289</v>
      </c>
      <c r="AA38" s="36">
        <f t="shared" si="92"/>
        <v>6.6998976536143395E-2</v>
      </c>
      <c r="AB38" s="36">
        <f>MAX(AB23:AB32)</f>
        <v>0.23072756815309625</v>
      </c>
      <c r="AC38" s="36">
        <f t="shared" ref="AC38:AH38" si="93">MAX(AC23:AC32)</f>
        <v>0.60571428571428587</v>
      </c>
      <c r="AD38" s="36">
        <f t="shared" si="93"/>
        <v>1.7052826691380751E-2</v>
      </c>
      <c r="AE38" s="36">
        <f t="shared" si="93"/>
        <v>1.4146341463414647E-2</v>
      </c>
      <c r="AF38" s="36">
        <f t="shared" si="93"/>
        <v>3.8060159607121058E-2</v>
      </c>
      <c r="AG38" s="36">
        <f t="shared" si="93"/>
        <v>0.13422818791946312</v>
      </c>
      <c r="AH38" s="36">
        <f t="shared" si="93"/>
        <v>6.6998976536143617E-2</v>
      </c>
      <c r="AI38" s="36">
        <f>MAX(AI23:AI32)</f>
        <v>0.23072756815309603</v>
      </c>
      <c r="AJ38" s="36">
        <f t="shared" ref="AJ38:AM38" si="94">MAX(AJ23:AJ32)</f>
        <v>0.60571428571428587</v>
      </c>
      <c r="AK38" s="36">
        <f t="shared" si="94"/>
        <v>1.7052826691380973E-2</v>
      </c>
      <c r="AL38" s="36">
        <f t="shared" si="94"/>
        <v>1.4146341463414647E-2</v>
      </c>
      <c r="AM38" s="36">
        <f t="shared" si="94"/>
        <v>3.8060159607120836E-2</v>
      </c>
    </row>
    <row r="40" spans="1:39">
      <c r="A40" s="6" t="s">
        <v>428</v>
      </c>
    </row>
    <row r="41" spans="1:39">
      <c r="A41" s="1" t="s">
        <v>240</v>
      </c>
      <c r="B41" s="44">
        <f>MIN(B28:B32)</f>
        <v>-0.5494505494505495</v>
      </c>
      <c r="C41" s="44">
        <f t="shared" ref="C41:H41" si="95">MIN(C28:C32)</f>
        <v>-5.2619685573167541E-3</v>
      </c>
      <c r="D41" s="44">
        <f t="shared" si="95"/>
        <v>-0.1975244971634863</v>
      </c>
      <c r="E41" s="44">
        <f t="shared" si="95"/>
        <v>-7.1942446043165464E-2</v>
      </c>
      <c r="F41" s="44">
        <f t="shared" si="95"/>
        <v>-1.1839708561020013E-2</v>
      </c>
      <c r="G41" s="44">
        <f t="shared" si="95"/>
        <v>-1.2309207287050761E-2</v>
      </c>
      <c r="H41" s="44">
        <f t="shared" si="95"/>
        <v>-5.3250773993808065E-2</v>
      </c>
      <c r="J41" s="44">
        <f>MIN(J28:J32)</f>
        <v>-0.5494505494505495</v>
      </c>
      <c r="K41" s="44">
        <f t="shared" ref="K41:P41" si="96">MIN(K28:K32)</f>
        <v>-5.2619685573167541E-3</v>
      </c>
      <c r="L41" s="44">
        <f t="shared" si="96"/>
        <v>-0.19752449716348641</v>
      </c>
      <c r="M41" s="44">
        <f t="shared" si="96"/>
        <v>-7.1942446043165464E-2</v>
      </c>
      <c r="N41" s="44">
        <f t="shared" si="96"/>
        <v>-1.1839708561019902E-2</v>
      </c>
      <c r="O41" s="44">
        <f t="shared" si="96"/>
        <v>-1.2309207287050872E-2</v>
      </c>
      <c r="P41" s="44">
        <f t="shared" si="96"/>
        <v>-5.3250773993808065E-2</v>
      </c>
      <c r="Q41" s="44">
        <f>MIN(Q28:Q32)</f>
        <v>-0.5494505494505495</v>
      </c>
      <c r="R41" s="44">
        <f t="shared" ref="R41:W41" si="97">MIN(R28:R32)</f>
        <v>-5.2619685573167541E-3</v>
      </c>
      <c r="S41" s="44">
        <f t="shared" si="97"/>
        <v>-0.1975244971634863</v>
      </c>
      <c r="T41" s="44">
        <f t="shared" si="97"/>
        <v>-7.1942446043165464E-2</v>
      </c>
      <c r="U41" s="44">
        <f t="shared" si="97"/>
        <v>-1.1839708561020124E-2</v>
      </c>
      <c r="V41" s="44">
        <f t="shared" si="97"/>
        <v>-1.230920728705065E-2</v>
      </c>
      <c r="W41" s="44">
        <f t="shared" si="97"/>
        <v>-5.3250773993808065E-2</v>
      </c>
      <c r="X41" s="44"/>
      <c r="Z41" s="44">
        <f>MIN(Z28:Z32)</f>
        <v>-0.5494505494505495</v>
      </c>
      <c r="AA41" s="44">
        <f t="shared" ref="AA41:AF41" si="98">MIN(AA28:AA32)</f>
        <v>-5.2619685573167541E-3</v>
      </c>
      <c r="AB41" s="44">
        <f t="shared" si="98"/>
        <v>-0.19752449716348641</v>
      </c>
      <c r="AC41" s="44">
        <f t="shared" si="98"/>
        <v>-7.1942446043165464E-2</v>
      </c>
      <c r="AD41" s="44">
        <f t="shared" si="98"/>
        <v>-1.1839708561020013E-2</v>
      </c>
      <c r="AE41" s="44">
        <f t="shared" si="98"/>
        <v>-1.2309207287050761E-2</v>
      </c>
      <c r="AF41" s="44">
        <f t="shared" si="98"/>
        <v>-5.3250773993808065E-2</v>
      </c>
      <c r="AG41" s="44">
        <f>MIN(AG28:AG32)</f>
        <v>-0.5494505494505495</v>
      </c>
      <c r="AH41" s="44">
        <f t="shared" ref="AH41:AM41" si="99">MIN(AH28:AH32)</f>
        <v>-5.2619685573167541E-3</v>
      </c>
      <c r="AI41" s="44">
        <f t="shared" si="99"/>
        <v>-0.19752449716348641</v>
      </c>
      <c r="AJ41" s="44">
        <f t="shared" si="99"/>
        <v>-7.1942446043165464E-2</v>
      </c>
      <c r="AK41" s="44">
        <f t="shared" si="99"/>
        <v>-1.1839708561020124E-2</v>
      </c>
      <c r="AL41" s="44">
        <f t="shared" si="99"/>
        <v>-1.2309207287050761E-2</v>
      </c>
      <c r="AM41" s="44">
        <f t="shared" si="99"/>
        <v>-5.3250773993808065E-2</v>
      </c>
    </row>
    <row r="42" spans="1:39">
      <c r="A42" s="1" t="s">
        <v>241</v>
      </c>
      <c r="B42" s="44">
        <f>AVERAGE(B28:B32)</f>
        <v>-0.22047869261690134</v>
      </c>
      <c r="C42" s="44">
        <f t="shared" ref="C42:H42" si="100">AVERAGE(C28:C32)</f>
        <v>1.7645803135656578E-2</v>
      </c>
      <c r="D42" s="44">
        <f t="shared" si="100"/>
        <v>-0.11638409689724756</v>
      </c>
      <c r="E42" s="44">
        <f t="shared" si="100"/>
        <v>-1.0198445563668335E-3</v>
      </c>
      <c r="F42" s="44">
        <f t="shared" si="100"/>
        <v>-3.8428083550266614E-3</v>
      </c>
      <c r="G42" s="44">
        <f t="shared" si="100"/>
        <v>-7.1063502847983576E-3</v>
      </c>
      <c r="H42" s="44">
        <f t="shared" si="100"/>
        <v>-1.4180351513012468E-2</v>
      </c>
      <c r="J42" s="44">
        <f>AVERAGE(J28:J32)</f>
        <v>-0.22047869261690128</v>
      </c>
      <c r="K42" s="44">
        <f t="shared" ref="K42:P42" si="101">AVERAGE(K28:K32)</f>
        <v>1.7645803135656467E-2</v>
      </c>
      <c r="L42" s="44">
        <f t="shared" si="101"/>
        <v>-0.11638409689724752</v>
      </c>
      <c r="M42" s="44">
        <f t="shared" si="101"/>
        <v>-1.0198445563668335E-3</v>
      </c>
      <c r="N42" s="44">
        <f t="shared" si="101"/>
        <v>-3.8428083550266614E-3</v>
      </c>
      <c r="O42" s="44">
        <f t="shared" si="101"/>
        <v>-7.1063502847983576E-3</v>
      </c>
      <c r="P42" s="44">
        <f t="shared" si="101"/>
        <v>-1.4180351513012468E-2</v>
      </c>
      <c r="Q42" s="44">
        <f>AVERAGE(Q28:Q32)</f>
        <v>-0.22047869261690134</v>
      </c>
      <c r="R42" s="44">
        <f t="shared" ref="R42:W42" si="102">AVERAGE(R28:R32)</f>
        <v>1.7645803135656512E-2</v>
      </c>
      <c r="S42" s="44">
        <f t="shared" si="102"/>
        <v>-0.11638409689724757</v>
      </c>
      <c r="T42" s="44">
        <f t="shared" si="102"/>
        <v>-1.0198445563668335E-3</v>
      </c>
      <c r="U42" s="44">
        <f t="shared" si="102"/>
        <v>-3.8428083550266614E-3</v>
      </c>
      <c r="V42" s="44">
        <f t="shared" si="102"/>
        <v>-7.1063502847983351E-3</v>
      </c>
      <c r="W42" s="44">
        <f t="shared" si="102"/>
        <v>-1.4180351513012491E-2</v>
      </c>
      <c r="X42" s="44"/>
      <c r="Z42" s="44">
        <f>AVERAGE(Z28:Z32)</f>
        <v>-0.22047869261690134</v>
      </c>
      <c r="AA42" s="44">
        <f t="shared" ref="AA42:AF42" si="103">AVERAGE(AA28:AA32)</f>
        <v>1.7645803135656512E-2</v>
      </c>
      <c r="AB42" s="44">
        <f t="shared" si="103"/>
        <v>-0.11638409689724756</v>
      </c>
      <c r="AC42" s="44">
        <f t="shared" si="103"/>
        <v>-1.0198445563668556E-3</v>
      </c>
      <c r="AD42" s="44">
        <f t="shared" si="103"/>
        <v>-3.8428083550267056E-3</v>
      </c>
      <c r="AE42" s="44">
        <f t="shared" si="103"/>
        <v>-7.1063502847983793E-3</v>
      </c>
      <c r="AF42" s="44">
        <f t="shared" si="103"/>
        <v>-1.4180351513012512E-2</v>
      </c>
      <c r="AG42" s="44">
        <f>AVERAGE(AG28:AG32)</f>
        <v>-0.22047869261690139</v>
      </c>
      <c r="AH42" s="44">
        <f t="shared" ref="AH42:AM42" si="104">AVERAGE(AH28:AH32)</f>
        <v>1.7645803135656512E-2</v>
      </c>
      <c r="AI42" s="44">
        <f t="shared" si="104"/>
        <v>-0.11638409689724757</v>
      </c>
      <c r="AJ42" s="44">
        <f t="shared" si="104"/>
        <v>-1.0198445563668556E-3</v>
      </c>
      <c r="AK42" s="44">
        <f t="shared" si="104"/>
        <v>-3.8428083550266835E-3</v>
      </c>
      <c r="AL42" s="44">
        <f t="shared" si="104"/>
        <v>-7.1063502847983351E-3</v>
      </c>
      <c r="AM42" s="44">
        <f t="shared" si="104"/>
        <v>-1.4180351513012446E-2</v>
      </c>
    </row>
    <row r="43" spans="1:39">
      <c r="A43" s="1" t="s">
        <v>242</v>
      </c>
      <c r="B43" s="44">
        <f>MEDIAN(B28:B32)</f>
        <v>-0.14516129032258063</v>
      </c>
      <c r="C43" s="44">
        <f t="shared" ref="C43:H43" si="105">MEDIAN(C28:C32)</f>
        <v>2.1382527985228439E-2</v>
      </c>
      <c r="D43" s="44">
        <f t="shared" si="105"/>
        <v>-9.3918080264791093E-2</v>
      </c>
      <c r="E43" s="44">
        <f t="shared" si="105"/>
        <v>0</v>
      </c>
      <c r="F43" s="44">
        <f t="shared" si="105"/>
        <v>-7.2332730560579206E-3</v>
      </c>
      <c r="G43" s="44">
        <f t="shared" si="105"/>
        <v>-1.1063011063011108E-2</v>
      </c>
      <c r="H43" s="44">
        <f t="shared" si="105"/>
        <v>-4.3156596794081681E-3</v>
      </c>
      <c r="J43" s="44">
        <f>MEDIAN(J28:J32)</f>
        <v>-0.14516129032258063</v>
      </c>
      <c r="K43" s="44">
        <f t="shared" ref="K43:P43" si="106">MEDIAN(K28:K32)</f>
        <v>2.1382527985228439E-2</v>
      </c>
      <c r="L43" s="44">
        <f t="shared" si="106"/>
        <v>-9.3918080264791093E-2</v>
      </c>
      <c r="M43" s="44">
        <f t="shared" si="106"/>
        <v>0</v>
      </c>
      <c r="N43" s="44">
        <f t="shared" si="106"/>
        <v>-7.2332730560579206E-3</v>
      </c>
      <c r="O43" s="44">
        <f t="shared" si="106"/>
        <v>-1.1063011063010997E-2</v>
      </c>
      <c r="P43" s="44">
        <f t="shared" si="106"/>
        <v>-4.3156596794081681E-3</v>
      </c>
      <c r="Q43" s="44">
        <f>MEDIAN(Q28:Q32)</f>
        <v>-0.14516129032258063</v>
      </c>
      <c r="R43" s="44">
        <f t="shared" ref="R43:W43" si="107">MEDIAN(R28:R32)</f>
        <v>2.1382527985228217E-2</v>
      </c>
      <c r="S43" s="44">
        <f t="shared" si="107"/>
        <v>-9.3918080264790982E-2</v>
      </c>
      <c r="T43" s="44">
        <f t="shared" si="107"/>
        <v>0</v>
      </c>
      <c r="U43" s="44">
        <f t="shared" si="107"/>
        <v>-7.2332730560578096E-3</v>
      </c>
      <c r="V43" s="44">
        <f t="shared" si="107"/>
        <v>-1.1063011063011108E-2</v>
      </c>
      <c r="W43" s="44">
        <f t="shared" si="107"/>
        <v>-4.3156596794081681E-3</v>
      </c>
      <c r="X43" s="44"/>
      <c r="Z43" s="44">
        <f>MEDIAN(Z28:Z32)</f>
        <v>-0.14516129032258063</v>
      </c>
      <c r="AA43" s="44">
        <f t="shared" ref="AA43:AF43" si="108">MEDIAN(AA28:AA32)</f>
        <v>2.1382527985228439E-2</v>
      </c>
      <c r="AB43" s="44">
        <f t="shared" si="108"/>
        <v>-9.3918080264791093E-2</v>
      </c>
      <c r="AC43" s="44">
        <f t="shared" si="108"/>
        <v>0</v>
      </c>
      <c r="AD43" s="44">
        <f t="shared" si="108"/>
        <v>-7.2332730560579206E-3</v>
      </c>
      <c r="AE43" s="44">
        <f t="shared" si="108"/>
        <v>-1.1063011063011108E-2</v>
      </c>
      <c r="AF43" s="44">
        <f t="shared" si="108"/>
        <v>-4.3156596794081681E-3</v>
      </c>
      <c r="AG43" s="44">
        <f>MEDIAN(AG28:AG32)</f>
        <v>-0.14516129032258063</v>
      </c>
      <c r="AH43" s="44">
        <f t="shared" ref="AH43:AM43" si="109">MEDIAN(AH28:AH32)</f>
        <v>2.1382527985228439E-2</v>
      </c>
      <c r="AI43" s="44">
        <f t="shared" si="109"/>
        <v>-9.3918080264791093E-2</v>
      </c>
      <c r="AJ43" s="44">
        <f t="shared" si="109"/>
        <v>0</v>
      </c>
      <c r="AK43" s="44">
        <f t="shared" si="109"/>
        <v>-7.2332730560578096E-3</v>
      </c>
      <c r="AL43" s="44">
        <f t="shared" si="109"/>
        <v>-1.1063011063010997E-2</v>
      </c>
      <c r="AM43" s="44">
        <f t="shared" si="109"/>
        <v>-4.3156596794081681E-3</v>
      </c>
    </row>
    <row r="44" spans="1:39">
      <c r="A44" s="1" t="s">
        <v>243</v>
      </c>
      <c r="B44" s="44">
        <f>MAX(B28:B32)</f>
        <v>0</v>
      </c>
      <c r="C44" s="44">
        <f t="shared" ref="C44:H44" si="110">MAX(C28:C32)</f>
        <v>3.870543723466624E-2</v>
      </c>
      <c r="D44" s="44">
        <f t="shared" si="110"/>
        <v>-8.2035700721610372E-2</v>
      </c>
      <c r="E44" s="44">
        <f t="shared" si="110"/>
        <v>7.7519379844961156E-2</v>
      </c>
      <c r="F44" s="44">
        <f t="shared" si="110"/>
        <v>1.7052826691380973E-2</v>
      </c>
      <c r="G44" s="44">
        <f t="shared" si="110"/>
        <v>0</v>
      </c>
      <c r="H44" s="44">
        <f t="shared" si="110"/>
        <v>2.7468933943754159E-2</v>
      </c>
      <c r="J44" s="44">
        <f>MAX(J28:J32)</f>
        <v>0</v>
      </c>
      <c r="K44" s="44">
        <f t="shared" ref="K44:P44" si="111">MAX(K28:K32)</f>
        <v>3.8705437234666018E-2</v>
      </c>
      <c r="L44" s="44">
        <f t="shared" si="111"/>
        <v>-8.203570072161015E-2</v>
      </c>
      <c r="M44" s="44">
        <f t="shared" si="111"/>
        <v>7.7519379844961156E-2</v>
      </c>
      <c r="N44" s="44">
        <f t="shared" si="111"/>
        <v>1.7052826691380751E-2</v>
      </c>
      <c r="O44" s="44">
        <f t="shared" si="111"/>
        <v>0</v>
      </c>
      <c r="P44" s="44">
        <f t="shared" si="111"/>
        <v>2.7468933943754159E-2</v>
      </c>
      <c r="Q44" s="44">
        <f>MAX(Q28:Q32)</f>
        <v>0</v>
      </c>
      <c r="R44" s="44">
        <f t="shared" ref="R44:W44" si="112">MAX(R28:R32)</f>
        <v>3.8705437234666018E-2</v>
      </c>
      <c r="S44" s="44">
        <f t="shared" si="112"/>
        <v>-8.2035700721610372E-2</v>
      </c>
      <c r="T44" s="44">
        <f t="shared" si="112"/>
        <v>7.7519379844961156E-2</v>
      </c>
      <c r="U44" s="44">
        <f t="shared" si="112"/>
        <v>1.7052826691380973E-2</v>
      </c>
      <c r="V44" s="44">
        <f t="shared" si="112"/>
        <v>0</v>
      </c>
      <c r="W44" s="44">
        <f t="shared" si="112"/>
        <v>2.7468933943753937E-2</v>
      </c>
      <c r="X44" s="44"/>
      <c r="Z44" s="44">
        <f>MAX(Z28:Z32)</f>
        <v>0</v>
      </c>
      <c r="AA44" s="44">
        <f t="shared" ref="AA44:AF44" si="113">MAX(AA28:AA32)</f>
        <v>3.870543723466624E-2</v>
      </c>
      <c r="AB44" s="44">
        <f t="shared" si="113"/>
        <v>-8.2035700721610372E-2</v>
      </c>
      <c r="AC44" s="44">
        <f t="shared" si="113"/>
        <v>7.7519379844961156E-2</v>
      </c>
      <c r="AD44" s="44">
        <f t="shared" si="113"/>
        <v>1.7052826691380751E-2</v>
      </c>
      <c r="AE44" s="44">
        <f t="shared" si="113"/>
        <v>0</v>
      </c>
      <c r="AF44" s="44">
        <f t="shared" si="113"/>
        <v>2.7468933943753937E-2</v>
      </c>
      <c r="AG44" s="44">
        <f>MAX(AG28:AG32)</f>
        <v>0</v>
      </c>
      <c r="AH44" s="44">
        <f t="shared" ref="AH44:AM44" si="114">MAX(AH28:AH32)</f>
        <v>3.8705437234666018E-2</v>
      </c>
      <c r="AI44" s="44">
        <f t="shared" si="114"/>
        <v>-8.2035700721610372E-2</v>
      </c>
      <c r="AJ44" s="44">
        <f t="shared" si="114"/>
        <v>7.7519379844961156E-2</v>
      </c>
      <c r="AK44" s="44">
        <f t="shared" si="114"/>
        <v>1.7052826691380973E-2</v>
      </c>
      <c r="AL44" s="44">
        <f t="shared" si="114"/>
        <v>0</v>
      </c>
      <c r="AM44" s="44">
        <f t="shared" si="114"/>
        <v>2.7468933943754159E-2</v>
      </c>
    </row>
    <row r="46" spans="1:39">
      <c r="A46" s="6" t="s">
        <v>429</v>
      </c>
    </row>
    <row r="47" spans="1:39">
      <c r="A47" s="1" t="s">
        <v>240</v>
      </c>
      <c r="B47" s="44">
        <f>MIN(B30:B32)</f>
        <v>-0.5494505494505495</v>
      </c>
      <c r="C47" s="44">
        <f t="shared" ref="C47:H47" si="115">MIN(C30:C32)</f>
        <v>-5.2619685573167541E-3</v>
      </c>
      <c r="D47" s="44">
        <f t="shared" si="115"/>
        <v>-0.1975244971634863</v>
      </c>
      <c r="E47" s="44">
        <f t="shared" si="115"/>
        <v>0</v>
      </c>
      <c r="F47" s="44">
        <f t="shared" si="115"/>
        <v>-1.1663932932385657E-2</v>
      </c>
      <c r="G47" s="44">
        <f t="shared" si="115"/>
        <v>-1.2309207287050761E-2</v>
      </c>
      <c r="H47" s="44">
        <f t="shared" si="115"/>
        <v>-5.3250773993808065E-2</v>
      </c>
      <c r="J47" s="44">
        <f>MIN(J30:J32)</f>
        <v>-0.5494505494505495</v>
      </c>
      <c r="K47" s="44">
        <f t="shared" ref="K47:P47" si="116">MIN(K30:K32)</f>
        <v>-5.2619685573167541E-3</v>
      </c>
      <c r="L47" s="44">
        <f t="shared" si="116"/>
        <v>-0.19752449716348641</v>
      </c>
      <c r="M47" s="44">
        <f t="shared" si="116"/>
        <v>0</v>
      </c>
      <c r="N47" s="44">
        <f t="shared" si="116"/>
        <v>-1.1663932932385546E-2</v>
      </c>
      <c r="O47" s="44">
        <f t="shared" si="116"/>
        <v>-1.2309207287050872E-2</v>
      </c>
      <c r="P47" s="44">
        <f t="shared" si="116"/>
        <v>-5.3250773993808065E-2</v>
      </c>
      <c r="Q47" s="44">
        <f>MIN(Q30:Q32)</f>
        <v>-0.5494505494505495</v>
      </c>
      <c r="R47" s="44">
        <f t="shared" ref="R47:W47" si="117">MIN(R30:R32)</f>
        <v>-5.2619685573167541E-3</v>
      </c>
      <c r="S47" s="44">
        <f t="shared" si="117"/>
        <v>-0.1975244971634863</v>
      </c>
      <c r="T47" s="44">
        <f t="shared" si="117"/>
        <v>0</v>
      </c>
      <c r="U47" s="44">
        <f t="shared" si="117"/>
        <v>-1.1663932932385657E-2</v>
      </c>
      <c r="V47" s="44">
        <f t="shared" si="117"/>
        <v>-1.230920728705065E-2</v>
      </c>
      <c r="W47" s="44">
        <f t="shared" si="117"/>
        <v>-5.3250773993808065E-2</v>
      </c>
      <c r="X47" s="44"/>
      <c r="Z47" s="44">
        <f>MIN(Z30:Z32)</f>
        <v>-0.5494505494505495</v>
      </c>
      <c r="AA47" s="44">
        <f t="shared" ref="AA47:AF47" si="118">MIN(AA30:AA32)</f>
        <v>-5.2619685573167541E-3</v>
      </c>
      <c r="AB47" s="44">
        <f t="shared" si="118"/>
        <v>-0.19752449716348641</v>
      </c>
      <c r="AC47" s="44">
        <f t="shared" si="118"/>
        <v>0</v>
      </c>
      <c r="AD47" s="44">
        <f t="shared" si="118"/>
        <v>-1.1663932932385657E-2</v>
      </c>
      <c r="AE47" s="44">
        <f t="shared" si="118"/>
        <v>-1.2309207287050761E-2</v>
      </c>
      <c r="AF47" s="44">
        <f t="shared" si="118"/>
        <v>-5.3250773993808065E-2</v>
      </c>
      <c r="AG47" s="44">
        <f>MIN(AG30:AG32)</f>
        <v>-0.5494505494505495</v>
      </c>
      <c r="AH47" s="44">
        <f t="shared" ref="AH47:AM47" si="119">MIN(AH30:AH32)</f>
        <v>-5.2619685573167541E-3</v>
      </c>
      <c r="AI47" s="44">
        <f t="shared" si="119"/>
        <v>-0.19752449716348641</v>
      </c>
      <c r="AJ47" s="44">
        <f t="shared" si="119"/>
        <v>0</v>
      </c>
      <c r="AK47" s="44">
        <f t="shared" si="119"/>
        <v>-1.1663932932385657E-2</v>
      </c>
      <c r="AL47" s="44">
        <f t="shared" si="119"/>
        <v>-1.2309207287050761E-2</v>
      </c>
      <c r="AM47" s="44">
        <f t="shared" si="119"/>
        <v>-5.3250773993808065E-2</v>
      </c>
    </row>
    <row r="48" spans="1:39">
      <c r="A48" s="1" t="s">
        <v>241</v>
      </c>
      <c r="B48" s="44">
        <f>AVERAGE(B30:B32)</f>
        <v>-0.23031999447093787</v>
      </c>
      <c r="C48" s="44">
        <f t="shared" ref="C48:H48" si="120">AVERAGE(C30:C32)</f>
        <v>4.0754085611699464E-3</v>
      </c>
      <c r="D48" s="44">
        <f t="shared" si="120"/>
        <v>-0.13532223449994543</v>
      </c>
      <c r="E48" s="44">
        <f t="shared" si="120"/>
        <v>2.5839793281653717E-2</v>
      </c>
      <c r="F48" s="44">
        <f t="shared" si="120"/>
        <v>-4.7020052685124249E-5</v>
      </c>
      <c r="G48" s="44">
        <f t="shared" si="120"/>
        <v>-8.1562467869935595E-3</v>
      </c>
      <c r="H48" s="44">
        <f t="shared" si="120"/>
        <v>-1.0032499909820691E-2</v>
      </c>
      <c r="J48" s="44">
        <f>AVERAGE(J30:J32)</f>
        <v>-0.23031999447093787</v>
      </c>
      <c r="K48" s="44">
        <f t="shared" ref="K48:P48" si="121">AVERAGE(K30:K32)</f>
        <v>4.0754085611699091E-3</v>
      </c>
      <c r="L48" s="44">
        <f t="shared" si="121"/>
        <v>-0.13532223449994543</v>
      </c>
      <c r="M48" s="44">
        <f t="shared" si="121"/>
        <v>2.5839793281653717E-2</v>
      </c>
      <c r="N48" s="44">
        <f t="shared" si="121"/>
        <v>-4.7020052685161261E-5</v>
      </c>
      <c r="O48" s="44">
        <f t="shared" si="121"/>
        <v>-8.156246786993596E-3</v>
      </c>
      <c r="P48" s="44">
        <f t="shared" si="121"/>
        <v>-1.0032499909820691E-2</v>
      </c>
      <c r="Q48" s="44">
        <f>AVERAGE(Q30:Q32)</f>
        <v>-0.23031999447093787</v>
      </c>
      <c r="R48" s="44">
        <f t="shared" ref="R48:W48" si="122">AVERAGE(R30:R32)</f>
        <v>4.0754085611699091E-3</v>
      </c>
      <c r="S48" s="44">
        <f t="shared" si="122"/>
        <v>-0.13532223449994552</v>
      </c>
      <c r="T48" s="44">
        <f t="shared" si="122"/>
        <v>2.5839793281653717E-2</v>
      </c>
      <c r="U48" s="44">
        <f t="shared" si="122"/>
        <v>-4.7020052685124249E-5</v>
      </c>
      <c r="V48" s="44">
        <f t="shared" si="122"/>
        <v>-8.1562467869935231E-3</v>
      </c>
      <c r="W48" s="44">
        <f t="shared" si="122"/>
        <v>-1.0032499909820766E-2</v>
      </c>
      <c r="X48" s="44"/>
      <c r="Z48" s="44">
        <f>AVERAGE(Z30:Z32)</f>
        <v>-0.23031999447093787</v>
      </c>
      <c r="AA48" s="44">
        <f t="shared" ref="AA48:AF48" si="123">AVERAGE(AA30:AA32)</f>
        <v>4.0754085611699091E-3</v>
      </c>
      <c r="AB48" s="44">
        <f t="shared" si="123"/>
        <v>-0.13532223449994543</v>
      </c>
      <c r="AC48" s="44">
        <f t="shared" si="123"/>
        <v>2.5839793281653717E-2</v>
      </c>
      <c r="AD48" s="44">
        <f t="shared" si="123"/>
        <v>-4.7020052685198266E-5</v>
      </c>
      <c r="AE48" s="44">
        <f t="shared" si="123"/>
        <v>-8.156246786993596E-3</v>
      </c>
      <c r="AF48" s="44">
        <f t="shared" si="123"/>
        <v>-1.0032499909820766E-2</v>
      </c>
      <c r="AG48" s="44">
        <f>AVERAGE(AG30:AG32)</f>
        <v>-0.2303199944709379</v>
      </c>
      <c r="AH48" s="44">
        <f t="shared" ref="AH48:AM48" si="124">AVERAGE(AH30:AH32)</f>
        <v>4.0754085611699091E-3</v>
      </c>
      <c r="AI48" s="44">
        <f t="shared" si="124"/>
        <v>-0.13532223449994549</v>
      </c>
      <c r="AJ48" s="44">
        <f t="shared" si="124"/>
        <v>2.5839793281653717E-2</v>
      </c>
      <c r="AK48" s="44">
        <f t="shared" si="124"/>
        <v>-4.7020052685161261E-5</v>
      </c>
      <c r="AL48" s="44">
        <f t="shared" si="124"/>
        <v>-8.1562467869935595E-3</v>
      </c>
      <c r="AM48" s="44">
        <f t="shared" si="124"/>
        <v>-1.0032499909820691E-2</v>
      </c>
    </row>
    <row r="49" spans="1:39">
      <c r="A49" s="1" t="s">
        <v>243</v>
      </c>
      <c r="B49" s="44">
        <f>MAX(B30:B32)</f>
        <v>0</v>
      </c>
      <c r="C49" s="44">
        <f t="shared" ref="C49:H49" si="125">MAX(C30:C32)</f>
        <v>2.1382527985228439E-2</v>
      </c>
      <c r="D49" s="44">
        <f t="shared" si="125"/>
        <v>-9.3830334190231346E-2</v>
      </c>
      <c r="E49" s="44">
        <f t="shared" si="125"/>
        <v>7.7519379844961156E-2</v>
      </c>
      <c r="F49" s="44">
        <f t="shared" si="125"/>
        <v>1.7052826691380973E-2</v>
      </c>
      <c r="G49" s="44">
        <f t="shared" si="125"/>
        <v>0</v>
      </c>
      <c r="H49" s="44">
        <f t="shared" si="125"/>
        <v>2.7468933943754159E-2</v>
      </c>
      <c r="J49" s="44">
        <f>MAX(J30:J32)</f>
        <v>0</v>
      </c>
      <c r="K49" s="44">
        <f t="shared" ref="K49:P49" si="126">MAX(K30:K32)</f>
        <v>2.1382527985228439E-2</v>
      </c>
      <c r="L49" s="44">
        <f t="shared" si="126"/>
        <v>-9.3830334190231235E-2</v>
      </c>
      <c r="M49" s="44">
        <f t="shared" si="126"/>
        <v>7.7519379844961156E-2</v>
      </c>
      <c r="N49" s="44">
        <f t="shared" si="126"/>
        <v>1.7052826691380751E-2</v>
      </c>
      <c r="O49" s="44">
        <f t="shared" si="126"/>
        <v>0</v>
      </c>
      <c r="P49" s="44">
        <f t="shared" si="126"/>
        <v>2.7468933943754159E-2</v>
      </c>
      <c r="Q49" s="44">
        <f>MAX(Q30:Q32)</f>
        <v>0</v>
      </c>
      <c r="R49" s="44">
        <f t="shared" ref="R49:W49" si="127">MAX(R30:R32)</f>
        <v>2.1382527985228217E-2</v>
      </c>
      <c r="S49" s="44">
        <f t="shared" si="127"/>
        <v>-9.3830334190231346E-2</v>
      </c>
      <c r="T49" s="44">
        <f t="shared" si="127"/>
        <v>7.7519379844961156E-2</v>
      </c>
      <c r="U49" s="44">
        <f t="shared" si="127"/>
        <v>1.7052826691380973E-2</v>
      </c>
      <c r="V49" s="44">
        <f t="shared" si="127"/>
        <v>0</v>
      </c>
      <c r="W49" s="44">
        <f t="shared" si="127"/>
        <v>2.7468933943753937E-2</v>
      </c>
      <c r="X49" s="44"/>
      <c r="Z49" s="44">
        <f>MAX(Z30:Z32)</f>
        <v>0</v>
      </c>
      <c r="AA49" s="44">
        <f t="shared" ref="AA49:AF49" si="128">MAX(AA30:AA32)</f>
        <v>2.1382527985228439E-2</v>
      </c>
      <c r="AB49" s="44">
        <f t="shared" si="128"/>
        <v>-9.3830334190231346E-2</v>
      </c>
      <c r="AC49" s="44">
        <f t="shared" si="128"/>
        <v>7.7519379844961156E-2</v>
      </c>
      <c r="AD49" s="44">
        <f t="shared" si="128"/>
        <v>1.7052826691380751E-2</v>
      </c>
      <c r="AE49" s="44">
        <f t="shared" si="128"/>
        <v>0</v>
      </c>
      <c r="AF49" s="44">
        <f t="shared" si="128"/>
        <v>2.7468933943753937E-2</v>
      </c>
      <c r="AG49" s="44">
        <f>MAX(AG30:AG32)</f>
        <v>0</v>
      </c>
      <c r="AH49" s="44">
        <f t="shared" ref="AH49:AM49" si="129">MAX(AH30:AH32)</f>
        <v>2.1382527985228439E-2</v>
      </c>
      <c r="AI49" s="44">
        <f t="shared" si="129"/>
        <v>-9.3830334190231346E-2</v>
      </c>
      <c r="AJ49" s="44">
        <f t="shared" si="129"/>
        <v>7.7519379844961156E-2</v>
      </c>
      <c r="AK49" s="44">
        <f t="shared" si="129"/>
        <v>1.7052826691380973E-2</v>
      </c>
      <c r="AL49" s="44">
        <f t="shared" si="129"/>
        <v>0</v>
      </c>
      <c r="AM49" s="44">
        <f t="shared" si="129"/>
        <v>2.7468933943754159E-2</v>
      </c>
    </row>
    <row r="52" spans="1:39">
      <c r="B52" s="177" t="s">
        <v>430</v>
      </c>
      <c r="C52" s="177"/>
      <c r="D52" s="177"/>
      <c r="E52" s="177"/>
      <c r="F52" s="177"/>
      <c r="G52" s="177"/>
      <c r="H52" s="177"/>
    </row>
    <row r="53" spans="1:39">
      <c r="A53">
        <v>2026</v>
      </c>
      <c r="B53">
        <f t="shared" ref="B53:H53" si="130">IF(B$41&gt;0,MROUND(B14+(B14*B$41),5),MROUND(B14-(B14*ABS(B$41)),5))</f>
        <v>20</v>
      </c>
      <c r="C53">
        <f t="shared" si="130"/>
        <v>59080</v>
      </c>
      <c r="D53">
        <f t="shared" si="130"/>
        <v>5545</v>
      </c>
      <c r="E53">
        <f t="shared" si="130"/>
        <v>265</v>
      </c>
      <c r="F53">
        <f t="shared" si="130"/>
        <v>5795</v>
      </c>
      <c r="G53">
        <f t="shared" si="130"/>
        <v>2010</v>
      </c>
      <c r="H53">
        <f t="shared" si="130"/>
        <v>1430</v>
      </c>
      <c r="J53" s="51">
        <f>B53*SUM('T5'!$H$42:$I$42)</f>
        <v>3.8904109279426962</v>
      </c>
      <c r="K53" s="51">
        <f>C53*SUM('T5'!$H$42:$I$42)</f>
        <v>11492.273881142724</v>
      </c>
      <c r="L53" s="51">
        <f>D53*SUM('T5'!$H$42:$I$42)</f>
        <v>1078.6164297721125</v>
      </c>
      <c r="M53" s="51">
        <f>E53*SUM('T5'!$H$42:$I$42)</f>
        <v>51.547944795240724</v>
      </c>
      <c r="N53" s="51">
        <f>F53*SUM('T5'!$H$42:$I$42)</f>
        <v>1127.2465663713963</v>
      </c>
      <c r="O53" s="51">
        <f>G53*SUM('T5'!$H$42:$I$42)</f>
        <v>390.98629825824099</v>
      </c>
      <c r="P53" s="51">
        <f>H53*SUM('T5'!$H$42:$I$42)</f>
        <v>278.1643813479028</v>
      </c>
      <c r="Q53" s="51">
        <f>B53*SUM('T5'!$J$40:$L$40)</f>
        <v>15.23764167018328</v>
      </c>
      <c r="R53" s="51">
        <f>C53*SUM('T5'!$J$40:$L$40)</f>
        <v>45011.993493721406</v>
      </c>
      <c r="S53" s="51">
        <f>D53*SUM('T5'!$J$40:$L$40)</f>
        <v>4224.6361530583144</v>
      </c>
      <c r="T53" s="51">
        <f>E53*SUM('T5'!$J$40:$L$40)</f>
        <v>201.89875212992845</v>
      </c>
      <c r="U53" s="51">
        <f>F53*SUM('T5'!$J$40:$L$40)</f>
        <v>4415.1066739356056</v>
      </c>
      <c r="V53" s="51">
        <f>G53*SUM('T5'!$J$40:$L$40)</f>
        <v>1531.3829878534195</v>
      </c>
      <c r="W53" s="51">
        <f>H53*SUM('T5'!$J$40:$L$40)</f>
        <v>1089.4913794181045</v>
      </c>
      <c r="X53" s="51"/>
      <c r="Z53" s="51">
        <f>B53*'T21'!$E$4</f>
        <v>9.7560975609756095</v>
      </c>
      <c r="AA53" s="51">
        <f>C53*'T21'!$E$5</f>
        <v>13866.769935344828</v>
      </c>
      <c r="AB53" s="51">
        <f>D53*'T21'!$E$6</f>
        <v>5528.9507959479015</v>
      </c>
      <c r="AC53" s="51">
        <f>E53*'T21'!$E$7</f>
        <v>243.83680555555554</v>
      </c>
      <c r="AD53" s="51">
        <f>F53*'T21'!$E$8</f>
        <v>76.063178158907945</v>
      </c>
      <c r="AE53" s="51">
        <f>G53*'T21'!$E$9</f>
        <v>1090.8889980353633</v>
      </c>
      <c r="AF53" s="51">
        <f>H53*'T21'!$E$10</f>
        <v>409.78821972203838</v>
      </c>
      <c r="AG53" s="51">
        <f>B53*SUM('T21'!$F$4)</f>
        <v>10.24390243902439</v>
      </c>
      <c r="AH53" s="51">
        <f>C53*SUM('T21'!$F$5)</f>
        <v>45213.230064655174</v>
      </c>
      <c r="AI53" s="51">
        <f>D53*SUM('T21'!$F$6)</f>
        <v>16.049204052098407</v>
      </c>
      <c r="AJ53" s="51">
        <f>E53*SUM('T21'!$F$7)</f>
        <v>21.163194444444443</v>
      </c>
      <c r="AK53" s="51">
        <f>F53*SUM('T21'!$F$8)</f>
        <v>5718.9368218410918</v>
      </c>
      <c r="AL53" s="51">
        <f>G53*SUM('T21'!$F$9)</f>
        <v>919.11100196463656</v>
      </c>
      <c r="AM53" s="51">
        <f>H53*SUM('T21'!$F$10)</f>
        <v>1020.2117802779617</v>
      </c>
    </row>
    <row r="54" spans="1:39">
      <c r="A54">
        <v>2027</v>
      </c>
      <c r="B54">
        <f t="shared" ref="B54:B62" si="131">IF(B$41&gt;0,MROUND(B53+(B53*B$41),5),MROUND(B53-(B53*ABS(B$41)),5))</f>
        <v>10</v>
      </c>
      <c r="C54">
        <f t="shared" ref="C54:C62" si="132">IF(C$41&gt;0,MROUND(C53+(C53*C$41),5),MROUND(C53-(C53*ABS(C$41)),5))</f>
        <v>58770</v>
      </c>
      <c r="D54">
        <f t="shared" ref="D54:D62" si="133">IF(D$41&gt;0,MROUND(D53+(D53*D$41),5),MROUND(D53-(D53*ABS(D$41)),5))</f>
        <v>4450</v>
      </c>
      <c r="E54">
        <f t="shared" ref="E54:E62" si="134">IF(E$41&gt;0,MROUND(E53+(E53*E$41),5),MROUND(E53-(E53*ABS(E$41)),5))</f>
        <v>245</v>
      </c>
      <c r="F54">
        <f t="shared" ref="F54:F62" si="135">IF(F$41&gt;0,MROUND(F53+(F53*F$41),5),MROUND(F53-(F53*ABS(F$41)),5))</f>
        <v>5725</v>
      </c>
      <c r="G54">
        <f t="shared" ref="G54:G62" si="136">IF(G$41&gt;0,MROUND(G53+(G53*G$41),5),MROUND(G53-(G53*ABS(G$41)),5))</f>
        <v>1985</v>
      </c>
      <c r="H54">
        <f t="shared" ref="H54:H62" si="137">IF(H$41&gt;0,MROUND(H53+(H53*H$41),5),MROUND(H53-(H53*ABS(H$41)),5))</f>
        <v>1355</v>
      </c>
      <c r="J54" s="51">
        <f>B54*SUM('T5'!$H$42:$I$42)</f>
        <v>1.9452054639713481</v>
      </c>
      <c r="K54" s="51">
        <f>C54*SUM('T5'!$H$42:$I$42)</f>
        <v>11431.972511759614</v>
      </c>
      <c r="L54" s="51">
        <f>D54*SUM('T5'!$H$42:$I$42)</f>
        <v>865.61643146724987</v>
      </c>
      <c r="M54" s="51">
        <f>E54*SUM('T5'!$H$42:$I$42)</f>
        <v>47.657533867298028</v>
      </c>
      <c r="N54" s="51">
        <f>F54*SUM('T5'!$H$42:$I$42)</f>
        <v>1113.6301281235967</v>
      </c>
      <c r="O54" s="51">
        <f>G54*SUM('T5'!$H$42:$I$42)</f>
        <v>386.12328459831258</v>
      </c>
      <c r="P54" s="51">
        <f>H54*SUM('T5'!$H$42:$I$42)</f>
        <v>263.57534036811768</v>
      </c>
      <c r="Q54" s="51">
        <f>B54*SUM('T5'!$J$40:$L$40)</f>
        <v>7.6188208350916398</v>
      </c>
      <c r="R54" s="51">
        <f>C54*SUM('T5'!$J$40:$L$40)</f>
        <v>44775.810047833569</v>
      </c>
      <c r="S54" s="51">
        <f>D54*SUM('T5'!$J$40:$L$40)</f>
        <v>3390.3752716157796</v>
      </c>
      <c r="T54" s="51">
        <f>E54*SUM('T5'!$J$40:$L$40)</f>
        <v>186.66111045974517</v>
      </c>
      <c r="U54" s="51">
        <f>F54*SUM('T5'!$J$40:$L$40)</f>
        <v>4361.7749280899634</v>
      </c>
      <c r="V54" s="51">
        <f>G54*SUM('T5'!$J$40:$L$40)</f>
        <v>1512.3359357656905</v>
      </c>
      <c r="W54" s="51">
        <f>H54*SUM('T5'!$J$40:$L$40)</f>
        <v>1032.3502231549171</v>
      </c>
      <c r="X54" s="51"/>
      <c r="Z54" s="51">
        <f>B54*'T21'!$E$4</f>
        <v>4.8780487804878048</v>
      </c>
      <c r="AA54" s="51">
        <f>C54*'T21'!$E$5</f>
        <v>13794.009294181034</v>
      </c>
      <c r="AB54" s="51">
        <f>D54*'T21'!$E$6</f>
        <v>4437.1201157742407</v>
      </c>
      <c r="AC54" s="51">
        <f>E54*'T21'!$E$7</f>
        <v>225.43402777777777</v>
      </c>
      <c r="AD54" s="51">
        <f>F54*'T21'!$E$8</f>
        <v>75.144382219110966</v>
      </c>
      <c r="AE54" s="51">
        <f>G54*'T21'!$E$9</f>
        <v>1077.3207269155205</v>
      </c>
      <c r="AF54" s="51">
        <f>H54*'T21'!$E$10</f>
        <v>388.29583057577764</v>
      </c>
      <c r="AG54" s="51">
        <f>B54*SUM('T21'!$F$4)</f>
        <v>5.1219512195121952</v>
      </c>
      <c r="AH54" s="51">
        <f>C54*SUM('T21'!$F$5)</f>
        <v>44975.990705818971</v>
      </c>
      <c r="AI54" s="51">
        <f>D54*SUM('T21'!$F$6)</f>
        <v>12.879884225759767</v>
      </c>
      <c r="AJ54" s="51">
        <f>E54*SUM('T21'!$F$7)</f>
        <v>19.565972222222221</v>
      </c>
      <c r="AK54" s="51">
        <f>F54*SUM('T21'!$F$8)</f>
        <v>5649.8556177808887</v>
      </c>
      <c r="AL54" s="51">
        <f>G54*SUM('T21'!$F$9)</f>
        <v>907.67927308447941</v>
      </c>
      <c r="AM54" s="51">
        <f>H54*SUM('T21'!$F$10)</f>
        <v>966.70416942422241</v>
      </c>
    </row>
    <row r="55" spans="1:39">
      <c r="A55">
        <v>2028</v>
      </c>
      <c r="B55">
        <f t="shared" si="131"/>
        <v>5</v>
      </c>
      <c r="C55">
        <f t="shared" si="132"/>
        <v>58460</v>
      </c>
      <c r="D55">
        <f t="shared" si="133"/>
        <v>3570</v>
      </c>
      <c r="E55">
        <f t="shared" si="134"/>
        <v>225</v>
      </c>
      <c r="F55">
        <f t="shared" si="135"/>
        <v>5655</v>
      </c>
      <c r="G55">
        <f t="shared" si="136"/>
        <v>1960</v>
      </c>
      <c r="H55">
        <f t="shared" si="137"/>
        <v>1285</v>
      </c>
      <c r="J55" s="51">
        <f>B55*SUM('T5'!$H$42:$I$42)</f>
        <v>0.97260273198567404</v>
      </c>
      <c r="K55" s="51">
        <f>C55*SUM('T5'!$H$42:$I$42)</f>
        <v>11371.671142376501</v>
      </c>
      <c r="L55" s="51">
        <f>D55*SUM('T5'!$H$42:$I$42)</f>
        <v>694.43835063777124</v>
      </c>
      <c r="M55" s="51">
        <f>E55*SUM('T5'!$H$42:$I$42)</f>
        <v>43.767122939355332</v>
      </c>
      <c r="N55" s="51">
        <f>F55*SUM('T5'!$H$42:$I$42)</f>
        <v>1100.0136898757974</v>
      </c>
      <c r="O55" s="51">
        <f>G55*SUM('T5'!$H$42:$I$42)</f>
        <v>381.26027093838422</v>
      </c>
      <c r="P55" s="51">
        <f>H55*SUM('T5'!$H$42:$I$42)</f>
        <v>249.95890212031824</v>
      </c>
      <c r="Q55" s="51">
        <f>B55*SUM('T5'!$J$40:$L$40)</f>
        <v>3.8094104175458199</v>
      </c>
      <c r="R55" s="51">
        <f>C55*SUM('T5'!$J$40:$L$40)</f>
        <v>44539.626601945725</v>
      </c>
      <c r="S55" s="51">
        <f>D55*SUM('T5'!$J$40:$L$40)</f>
        <v>2719.9190381277153</v>
      </c>
      <c r="T55" s="51">
        <f>E55*SUM('T5'!$J$40:$L$40)</f>
        <v>171.42346878956189</v>
      </c>
      <c r="U55" s="51">
        <f>F55*SUM('T5'!$J$40:$L$40)</f>
        <v>4308.4431822443221</v>
      </c>
      <c r="V55" s="51">
        <f>G55*SUM('T5'!$J$40:$L$40)</f>
        <v>1493.2888836779614</v>
      </c>
      <c r="W55" s="51">
        <f>H55*SUM('T5'!$J$40:$L$40)</f>
        <v>979.01847730927568</v>
      </c>
      <c r="X55" s="51"/>
      <c r="Z55" s="51">
        <f>B55*'T21'!$E$4</f>
        <v>2.4390243902439024</v>
      </c>
      <c r="AA55" s="51">
        <f>C55*'T21'!$E$5</f>
        <v>13721.248653017241</v>
      </c>
      <c r="AB55" s="51">
        <f>D55*'T21'!$E$6</f>
        <v>3559.6671490593344</v>
      </c>
      <c r="AC55" s="51">
        <f>E55*'T21'!$E$7</f>
        <v>207.03125</v>
      </c>
      <c r="AD55" s="51">
        <f>F55*'T21'!$E$8</f>
        <v>74.225586279313973</v>
      </c>
      <c r="AE55" s="51">
        <f>G55*'T21'!$E$9</f>
        <v>1063.7524557956779</v>
      </c>
      <c r="AF55" s="51">
        <f>H55*'T21'!$E$10</f>
        <v>368.23626737260093</v>
      </c>
      <c r="AG55" s="51">
        <f>B55*SUM('T21'!$F$4)</f>
        <v>2.5609756097560976</v>
      </c>
      <c r="AH55" s="51">
        <f>C55*SUM('T21'!$F$5)</f>
        <v>44738.751346982761</v>
      </c>
      <c r="AI55" s="51">
        <f>D55*SUM('T21'!$F$6)</f>
        <v>10.332850940665701</v>
      </c>
      <c r="AJ55" s="51">
        <f>E55*SUM('T21'!$F$7)</f>
        <v>17.96875</v>
      </c>
      <c r="AK55" s="51">
        <f>F55*SUM('T21'!$F$8)</f>
        <v>5580.7744137206864</v>
      </c>
      <c r="AL55" s="51">
        <f>G55*SUM('T21'!$F$9)</f>
        <v>896.24754420432225</v>
      </c>
      <c r="AM55" s="51">
        <f>H55*SUM('T21'!$F$10)</f>
        <v>916.76373262739912</v>
      </c>
    </row>
    <row r="56" spans="1:39">
      <c r="A56">
        <v>2029</v>
      </c>
      <c r="B56">
        <f t="shared" si="131"/>
        <v>0</v>
      </c>
      <c r="C56">
        <f t="shared" si="132"/>
        <v>58150</v>
      </c>
      <c r="D56">
        <f t="shared" si="133"/>
        <v>2865</v>
      </c>
      <c r="E56">
        <f t="shared" si="134"/>
        <v>210</v>
      </c>
      <c r="F56">
        <f t="shared" si="135"/>
        <v>5590</v>
      </c>
      <c r="G56">
        <f t="shared" si="136"/>
        <v>1935</v>
      </c>
      <c r="H56">
        <f t="shared" si="137"/>
        <v>1215</v>
      </c>
      <c r="J56" s="51">
        <f>B56*SUM('T5'!$H$42:$I$42)</f>
        <v>0</v>
      </c>
      <c r="K56" s="51">
        <f>C56*SUM('T5'!$H$42:$I$42)</f>
        <v>11311.36977299339</v>
      </c>
      <c r="L56" s="51">
        <f>D56*SUM('T5'!$H$42:$I$42)</f>
        <v>557.30136542779121</v>
      </c>
      <c r="M56" s="51">
        <f>E56*SUM('T5'!$H$42:$I$42)</f>
        <v>40.84931474339831</v>
      </c>
      <c r="N56" s="51">
        <f>F56*SUM('T5'!$H$42:$I$42)</f>
        <v>1087.3698543599837</v>
      </c>
      <c r="O56" s="51">
        <f>G56*SUM('T5'!$H$42:$I$42)</f>
        <v>376.39725727845587</v>
      </c>
      <c r="P56" s="51">
        <f>H56*SUM('T5'!$H$42:$I$42)</f>
        <v>236.34246387251881</v>
      </c>
      <c r="Q56" s="51">
        <f>B56*SUM('T5'!$J$40:$L$40)</f>
        <v>0</v>
      </c>
      <c r="R56" s="51">
        <f>C56*SUM('T5'!$J$40:$L$40)</f>
        <v>44303.443156057889</v>
      </c>
      <c r="S56" s="51">
        <f>D56*SUM('T5'!$J$40:$L$40)</f>
        <v>2182.7921692537548</v>
      </c>
      <c r="T56" s="51">
        <f>E56*SUM('T5'!$J$40:$L$40)</f>
        <v>159.99523753692444</v>
      </c>
      <c r="U56" s="51">
        <f>F56*SUM('T5'!$J$40:$L$40)</f>
        <v>4258.9208468162269</v>
      </c>
      <c r="V56" s="51">
        <f>G56*SUM('T5'!$J$40:$L$40)</f>
        <v>1474.2418315902323</v>
      </c>
      <c r="W56" s="51">
        <f>H56*SUM('T5'!$J$40:$L$40)</f>
        <v>925.68673146363426</v>
      </c>
      <c r="X56" s="51"/>
      <c r="Z56" s="51">
        <f>B56*'T21'!$E$4</f>
        <v>0</v>
      </c>
      <c r="AA56" s="51">
        <f>C56*'T21'!$E$5</f>
        <v>13648.488011853447</v>
      </c>
      <c r="AB56" s="51">
        <f>D56*'T21'!$E$6</f>
        <v>2856.7076700434154</v>
      </c>
      <c r="AC56" s="51">
        <f>E56*'T21'!$E$7</f>
        <v>193.22916666666666</v>
      </c>
      <c r="AD56" s="51">
        <f>F56*'T21'!$E$8</f>
        <v>73.372418620931043</v>
      </c>
      <c r="AE56" s="51">
        <f>G56*'T21'!$E$9</f>
        <v>1050.184184675835</v>
      </c>
      <c r="AF56" s="51">
        <f>H56*'T21'!$E$10</f>
        <v>348.17670416942423</v>
      </c>
      <c r="AG56" s="51">
        <f>B56*SUM('T21'!$F$4)</f>
        <v>0</v>
      </c>
      <c r="AH56" s="51">
        <f>C56*SUM('T21'!$F$5)</f>
        <v>44501.511988146551</v>
      </c>
      <c r="AI56" s="51">
        <f>D56*SUM('T21'!$F$6)</f>
        <v>8.2923299565846591</v>
      </c>
      <c r="AJ56" s="51">
        <f>E56*SUM('T21'!$F$7)</f>
        <v>16.770833333333332</v>
      </c>
      <c r="AK56" s="51">
        <f>F56*SUM('T21'!$F$8)</f>
        <v>5516.6275813790689</v>
      </c>
      <c r="AL56" s="51">
        <f>G56*SUM('T21'!$F$9)</f>
        <v>884.8158153241651</v>
      </c>
      <c r="AM56" s="51">
        <f>H56*SUM('T21'!$F$10)</f>
        <v>866.82329583057583</v>
      </c>
    </row>
    <row r="57" spans="1:39">
      <c r="A57">
        <v>2030</v>
      </c>
      <c r="B57">
        <f t="shared" si="131"/>
        <v>0</v>
      </c>
      <c r="C57">
        <f t="shared" si="132"/>
        <v>57845</v>
      </c>
      <c r="D57">
        <f t="shared" si="133"/>
        <v>2300</v>
      </c>
      <c r="E57">
        <f t="shared" si="134"/>
        <v>195</v>
      </c>
      <c r="F57">
        <f t="shared" si="135"/>
        <v>5525</v>
      </c>
      <c r="G57">
        <f t="shared" si="136"/>
        <v>1910</v>
      </c>
      <c r="H57">
        <f t="shared" si="137"/>
        <v>1150</v>
      </c>
      <c r="J57" s="51">
        <f>B57*SUM('T5'!$H$42:$I$42)</f>
        <v>0</v>
      </c>
      <c r="K57" s="51">
        <f>C57*SUM('T5'!$H$42:$I$42)</f>
        <v>11252.041006342264</v>
      </c>
      <c r="L57" s="51">
        <f>D57*SUM('T5'!$H$42:$I$42)</f>
        <v>447.39725671341006</v>
      </c>
      <c r="M57" s="51">
        <f>E57*SUM('T5'!$H$42:$I$42)</f>
        <v>37.931506547441288</v>
      </c>
      <c r="N57" s="51">
        <f>F57*SUM('T5'!$H$42:$I$42)</f>
        <v>1074.7260188441699</v>
      </c>
      <c r="O57" s="51">
        <f>G57*SUM('T5'!$H$42:$I$42)</f>
        <v>371.53424361852751</v>
      </c>
      <c r="P57" s="51">
        <f>H57*SUM('T5'!$H$42:$I$42)</f>
        <v>223.69862835670503</v>
      </c>
      <c r="Q57" s="51">
        <f>B57*SUM('T5'!$J$40:$L$40)</f>
        <v>0</v>
      </c>
      <c r="R57" s="51">
        <f>C57*SUM('T5'!$J$40:$L$40)</f>
        <v>44071.069120587592</v>
      </c>
      <c r="S57" s="51">
        <f>D57*SUM('T5'!$J$40:$L$40)</f>
        <v>1752.3287920710773</v>
      </c>
      <c r="T57" s="51">
        <f>E57*SUM('T5'!$J$40:$L$40)</f>
        <v>148.56700628428698</v>
      </c>
      <c r="U57" s="51">
        <f>F57*SUM('T5'!$J$40:$L$40)</f>
        <v>4209.3985113881308</v>
      </c>
      <c r="V57" s="51">
        <f>G57*SUM('T5'!$J$40:$L$40)</f>
        <v>1455.1947795025033</v>
      </c>
      <c r="W57" s="51">
        <f>H57*SUM('T5'!$J$40:$L$40)</f>
        <v>876.16439603553863</v>
      </c>
      <c r="X57" s="51"/>
      <c r="Z57" s="51">
        <f>B57*'T21'!$E$4</f>
        <v>0</v>
      </c>
      <c r="AA57" s="51">
        <f>C57*'T21'!$E$5</f>
        <v>13576.900929418103</v>
      </c>
      <c r="AB57" s="51">
        <f>D57*'T21'!$E$6</f>
        <v>2293.3429811866858</v>
      </c>
      <c r="AC57" s="51">
        <f>E57*'T21'!$E$7</f>
        <v>179.42708333333331</v>
      </c>
      <c r="AD57" s="51">
        <f>F57*'T21'!$E$8</f>
        <v>72.519250962548128</v>
      </c>
      <c r="AE57" s="51">
        <f>G57*'T21'!$E$9</f>
        <v>1036.6159135559922</v>
      </c>
      <c r="AF57" s="51">
        <f>H57*'T21'!$E$10</f>
        <v>329.5499669093316</v>
      </c>
      <c r="AG57" s="51">
        <f>B57*SUM('T21'!$F$4)</f>
        <v>0</v>
      </c>
      <c r="AH57" s="51">
        <f>C57*SUM('T21'!$F$5)</f>
        <v>44268.099070581899</v>
      </c>
      <c r="AI57" s="51">
        <f>D57*SUM('T21'!$F$6)</f>
        <v>6.6570188133140373</v>
      </c>
      <c r="AJ57" s="51">
        <f>E57*SUM('T21'!$F$7)</f>
        <v>15.572916666666666</v>
      </c>
      <c r="AK57" s="51">
        <f>F57*SUM('T21'!$F$8)</f>
        <v>5452.4807490374515</v>
      </c>
      <c r="AL57" s="51">
        <f>G57*SUM('T21'!$F$9)</f>
        <v>873.38408644400795</v>
      </c>
      <c r="AM57" s="51">
        <f>H57*SUM('T21'!$F$10)</f>
        <v>820.45003309066851</v>
      </c>
    </row>
    <row r="58" spans="1:39">
      <c r="A58">
        <v>2031</v>
      </c>
      <c r="B58">
        <f t="shared" si="131"/>
        <v>0</v>
      </c>
      <c r="C58">
        <f t="shared" si="132"/>
        <v>57540</v>
      </c>
      <c r="D58">
        <f t="shared" si="133"/>
        <v>1845</v>
      </c>
      <c r="E58">
        <f t="shared" si="134"/>
        <v>180</v>
      </c>
      <c r="F58">
        <f t="shared" si="135"/>
        <v>5460</v>
      </c>
      <c r="G58">
        <f t="shared" si="136"/>
        <v>1885</v>
      </c>
      <c r="H58">
        <f t="shared" si="137"/>
        <v>1090</v>
      </c>
      <c r="J58" s="51">
        <f>B58*SUM('T5'!$H$42:$I$42)</f>
        <v>0</v>
      </c>
      <c r="K58" s="51">
        <f>C58*SUM('T5'!$H$42:$I$42)</f>
        <v>11192.712239691136</v>
      </c>
      <c r="L58" s="51">
        <f>D58*SUM('T5'!$H$42:$I$42)</f>
        <v>358.89040810271371</v>
      </c>
      <c r="M58" s="51">
        <f>E58*SUM('T5'!$H$42:$I$42)</f>
        <v>35.013698351484265</v>
      </c>
      <c r="N58" s="51">
        <f>F58*SUM('T5'!$H$42:$I$42)</f>
        <v>1062.082183328356</v>
      </c>
      <c r="O58" s="51">
        <f>G58*SUM('T5'!$H$42:$I$42)</f>
        <v>366.6712299585991</v>
      </c>
      <c r="P58" s="51">
        <f>H58*SUM('T5'!$H$42:$I$42)</f>
        <v>212.02739557287694</v>
      </c>
      <c r="Q58" s="51">
        <f>B58*SUM('T5'!$J$40:$L$40)</f>
        <v>0</v>
      </c>
      <c r="R58" s="51">
        <f>C58*SUM('T5'!$J$40:$L$40)</f>
        <v>43838.695085117295</v>
      </c>
      <c r="S58" s="51">
        <f>D58*SUM('T5'!$J$40:$L$40)</f>
        <v>1405.6724440744076</v>
      </c>
      <c r="T58" s="51">
        <f>E58*SUM('T5'!$J$40:$L$40)</f>
        <v>137.13877503164952</v>
      </c>
      <c r="U58" s="51">
        <f>F58*SUM('T5'!$J$40:$L$40)</f>
        <v>4159.8761759600357</v>
      </c>
      <c r="V58" s="51">
        <f>G58*SUM('T5'!$J$40:$L$40)</f>
        <v>1436.1477274147742</v>
      </c>
      <c r="W58" s="51">
        <f>H58*SUM('T5'!$J$40:$L$40)</f>
        <v>830.45147102498868</v>
      </c>
      <c r="X58" s="51"/>
      <c r="Z58" s="51">
        <f>B58*'T21'!$E$4</f>
        <v>0</v>
      </c>
      <c r="AA58" s="51">
        <f>C58*'T21'!$E$5</f>
        <v>13505.313846982759</v>
      </c>
      <c r="AB58" s="51">
        <f>D58*'T21'!$E$6</f>
        <v>1839.6599131693199</v>
      </c>
      <c r="AC58" s="51">
        <f>E58*'T21'!$E$7</f>
        <v>165.625</v>
      </c>
      <c r="AD58" s="51">
        <f>F58*'T21'!$E$8</f>
        <v>71.666083304165213</v>
      </c>
      <c r="AE58" s="51">
        <f>G58*'T21'!$E$9</f>
        <v>1023.0476424361493</v>
      </c>
      <c r="AF58" s="51">
        <f>H58*'T21'!$E$10</f>
        <v>312.356055592323</v>
      </c>
      <c r="AG58" s="51">
        <f>B58*SUM('T21'!$F$4)</f>
        <v>0</v>
      </c>
      <c r="AH58" s="51">
        <f>C58*SUM('T21'!$F$5)</f>
        <v>44034.686153017246</v>
      </c>
      <c r="AI58" s="51">
        <f>D58*SUM('T21'!$F$6)</f>
        <v>5.340086830680173</v>
      </c>
      <c r="AJ58" s="51">
        <f>E58*SUM('T21'!$F$7)</f>
        <v>14.374999999999998</v>
      </c>
      <c r="AK58" s="51">
        <f>F58*SUM('T21'!$F$8)</f>
        <v>5388.3339166958349</v>
      </c>
      <c r="AL58" s="51">
        <f>G58*SUM('T21'!$F$9)</f>
        <v>861.95235756385068</v>
      </c>
      <c r="AM58" s="51">
        <f>H58*SUM('T21'!$F$10)</f>
        <v>777.64394440767705</v>
      </c>
    </row>
    <row r="59" spans="1:39">
      <c r="A59">
        <v>2032</v>
      </c>
      <c r="B59">
        <f t="shared" si="131"/>
        <v>0</v>
      </c>
      <c r="C59">
        <f t="shared" si="132"/>
        <v>57235</v>
      </c>
      <c r="D59">
        <f t="shared" si="133"/>
        <v>1480</v>
      </c>
      <c r="E59">
        <f t="shared" si="134"/>
        <v>165</v>
      </c>
      <c r="F59">
        <f t="shared" si="135"/>
        <v>5395</v>
      </c>
      <c r="G59">
        <f t="shared" si="136"/>
        <v>1860</v>
      </c>
      <c r="H59">
        <f t="shared" si="137"/>
        <v>1030</v>
      </c>
      <c r="J59" s="51">
        <f>B59*SUM('T5'!$H$42:$I$42)</f>
        <v>0</v>
      </c>
      <c r="K59" s="51">
        <f>C59*SUM('T5'!$H$42:$I$42)</f>
        <v>11133.38347304001</v>
      </c>
      <c r="L59" s="51">
        <f>D59*SUM('T5'!$H$42:$I$42)</f>
        <v>287.89040866775952</v>
      </c>
      <c r="M59" s="51">
        <f>E59*SUM('T5'!$H$42:$I$42)</f>
        <v>32.095890155527243</v>
      </c>
      <c r="N59" s="51">
        <f>F59*SUM('T5'!$H$42:$I$42)</f>
        <v>1049.4383478125424</v>
      </c>
      <c r="O59" s="51">
        <f>G59*SUM('T5'!$H$42:$I$42)</f>
        <v>361.80821629867074</v>
      </c>
      <c r="P59" s="51">
        <f>H59*SUM('T5'!$H$42:$I$42)</f>
        <v>200.35616278904885</v>
      </c>
      <c r="Q59" s="51">
        <f>B59*SUM('T5'!$J$40:$L$40)</f>
        <v>0</v>
      </c>
      <c r="R59" s="51">
        <f>C59*SUM('T5'!$J$40:$L$40)</f>
        <v>43606.321049646998</v>
      </c>
      <c r="S59" s="51">
        <f>D59*SUM('T5'!$J$40:$L$40)</f>
        <v>1127.5854835935627</v>
      </c>
      <c r="T59" s="51">
        <f>E59*SUM('T5'!$J$40:$L$40)</f>
        <v>125.71054377901206</v>
      </c>
      <c r="U59" s="51">
        <f>F59*SUM('T5'!$J$40:$L$40)</f>
        <v>4110.3538405319396</v>
      </c>
      <c r="V59" s="51">
        <f>G59*SUM('T5'!$J$40:$L$40)</f>
        <v>1417.1006753270449</v>
      </c>
      <c r="W59" s="51">
        <f>H59*SUM('T5'!$J$40:$L$40)</f>
        <v>784.73854601443895</v>
      </c>
      <c r="X59" s="51"/>
      <c r="Z59" s="51">
        <f>B59*'T21'!$E$4</f>
        <v>0</v>
      </c>
      <c r="AA59" s="51">
        <f>C59*'T21'!$E$5</f>
        <v>13433.726764547413</v>
      </c>
      <c r="AB59" s="51">
        <f>D59*'T21'!$E$6</f>
        <v>1475.7163531114327</v>
      </c>
      <c r="AC59" s="51">
        <f>E59*'T21'!$E$7</f>
        <v>151.82291666666666</v>
      </c>
      <c r="AD59" s="51">
        <f>F59*'T21'!$E$8</f>
        <v>70.812915645782297</v>
      </c>
      <c r="AE59" s="51">
        <f>G59*'T21'!$E$9</f>
        <v>1009.4793713163065</v>
      </c>
      <c r="AF59" s="51">
        <f>H59*'T21'!$E$10</f>
        <v>295.1621442753144</v>
      </c>
      <c r="AG59" s="51">
        <f>B59*SUM('T21'!$F$4)</f>
        <v>0</v>
      </c>
      <c r="AH59" s="51">
        <f>C59*SUM('T21'!$F$5)</f>
        <v>43801.273235452587</v>
      </c>
      <c r="AI59" s="51">
        <f>D59*SUM('T21'!$F$6)</f>
        <v>4.2836468885672936</v>
      </c>
      <c r="AJ59" s="51">
        <f>E59*SUM('T21'!$F$7)</f>
        <v>13.177083333333332</v>
      </c>
      <c r="AK59" s="51">
        <f>F59*SUM('T21'!$F$8)</f>
        <v>5324.1870843542174</v>
      </c>
      <c r="AL59" s="51">
        <f>G59*SUM('T21'!$F$9)</f>
        <v>850.52062868369353</v>
      </c>
      <c r="AM59" s="51">
        <f>H59*SUM('T21'!$F$10)</f>
        <v>734.83785572468571</v>
      </c>
    </row>
    <row r="60" spans="1:39">
      <c r="A60">
        <v>2033</v>
      </c>
      <c r="B60">
        <f t="shared" si="131"/>
        <v>0</v>
      </c>
      <c r="C60">
        <f t="shared" si="132"/>
        <v>56935</v>
      </c>
      <c r="D60">
        <f t="shared" si="133"/>
        <v>1190</v>
      </c>
      <c r="E60">
        <f t="shared" si="134"/>
        <v>155</v>
      </c>
      <c r="F60">
        <f t="shared" si="135"/>
        <v>5330</v>
      </c>
      <c r="G60">
        <f t="shared" si="136"/>
        <v>1835</v>
      </c>
      <c r="H60">
        <f t="shared" si="137"/>
        <v>975</v>
      </c>
      <c r="J60" s="51">
        <f>B60*SUM('T5'!$H$42:$I$42)</f>
        <v>0</v>
      </c>
      <c r="K60" s="51">
        <f>C60*SUM('T5'!$H$42:$I$42)</f>
        <v>11075.027309120871</v>
      </c>
      <c r="L60" s="51">
        <f>D60*SUM('T5'!$H$42:$I$42)</f>
        <v>231.47945021259042</v>
      </c>
      <c r="M60" s="51">
        <f>E60*SUM('T5'!$H$42:$I$42)</f>
        <v>30.150684691555895</v>
      </c>
      <c r="N60" s="51">
        <f>F60*SUM('T5'!$H$42:$I$42)</f>
        <v>1036.7945122967285</v>
      </c>
      <c r="O60" s="51">
        <f>G60*SUM('T5'!$H$42:$I$42)</f>
        <v>356.94520263874239</v>
      </c>
      <c r="P60" s="51">
        <f>H60*SUM('T5'!$H$42:$I$42)</f>
        <v>189.65753273720645</v>
      </c>
      <c r="Q60" s="51">
        <f>B60*SUM('T5'!$J$40:$L$40)</f>
        <v>0</v>
      </c>
      <c r="R60" s="51">
        <f>C60*SUM('T5'!$J$40:$L$40)</f>
        <v>43377.756424594249</v>
      </c>
      <c r="S60" s="51">
        <f>D60*SUM('T5'!$J$40:$L$40)</f>
        <v>906.63967937590519</v>
      </c>
      <c r="T60" s="51">
        <f>E60*SUM('T5'!$J$40:$L$40)</f>
        <v>118.09172294392042</v>
      </c>
      <c r="U60" s="51">
        <f>F60*SUM('T5'!$J$40:$L$40)</f>
        <v>4060.8315051038439</v>
      </c>
      <c r="V60" s="51">
        <f>G60*SUM('T5'!$J$40:$L$40)</f>
        <v>1398.0536232393158</v>
      </c>
      <c r="W60" s="51">
        <f>H60*SUM('T5'!$J$40:$L$40)</f>
        <v>742.83503142143491</v>
      </c>
      <c r="X60" s="51"/>
      <c r="Z60" s="51">
        <f>B60*'T21'!$E$4</f>
        <v>0</v>
      </c>
      <c r="AA60" s="51">
        <f>C60*'T21'!$E$5</f>
        <v>13363.313240840516</v>
      </c>
      <c r="AB60" s="51">
        <f>D60*'T21'!$E$6</f>
        <v>1186.5557163531114</v>
      </c>
      <c r="AC60" s="51">
        <f>E60*'T21'!$E$7</f>
        <v>142.62152777777777</v>
      </c>
      <c r="AD60" s="51">
        <f>F60*'T21'!$E$8</f>
        <v>69.959747987399368</v>
      </c>
      <c r="AE60" s="51">
        <f>G60*'T21'!$E$9</f>
        <v>995.91110019646362</v>
      </c>
      <c r="AF60" s="51">
        <f>H60*'T21'!$E$10</f>
        <v>279.40105890138983</v>
      </c>
      <c r="AG60" s="51">
        <f>B60*SUM('T21'!$F$4)</f>
        <v>0</v>
      </c>
      <c r="AH60" s="51">
        <f>C60*SUM('T21'!$F$5)</f>
        <v>43571.686759159486</v>
      </c>
      <c r="AI60" s="51">
        <f>D60*SUM('T21'!$F$6)</f>
        <v>3.4442836468885671</v>
      </c>
      <c r="AJ60" s="51">
        <f>E60*SUM('T21'!$F$7)</f>
        <v>12.378472222222221</v>
      </c>
      <c r="AK60" s="51">
        <f>F60*SUM('T21'!$F$8)</f>
        <v>5260.0402520126008</v>
      </c>
      <c r="AL60" s="51">
        <f>G60*SUM('T21'!$F$9)</f>
        <v>839.08889980353638</v>
      </c>
      <c r="AM60" s="51">
        <f>H60*SUM('T21'!$F$10)</f>
        <v>695.59894109861023</v>
      </c>
    </row>
    <row r="61" spans="1:39">
      <c r="A61">
        <v>2034</v>
      </c>
      <c r="B61">
        <f t="shared" si="131"/>
        <v>0</v>
      </c>
      <c r="C61">
        <f t="shared" si="132"/>
        <v>56635</v>
      </c>
      <c r="D61">
        <f t="shared" si="133"/>
        <v>955</v>
      </c>
      <c r="E61">
        <f t="shared" si="134"/>
        <v>145</v>
      </c>
      <c r="F61">
        <f t="shared" si="135"/>
        <v>5265</v>
      </c>
      <c r="G61">
        <f t="shared" si="136"/>
        <v>1810</v>
      </c>
      <c r="H61">
        <f t="shared" si="137"/>
        <v>925</v>
      </c>
      <c r="J61" s="51">
        <f>B61*SUM('T5'!$H$42:$I$42)</f>
        <v>0</v>
      </c>
      <c r="K61" s="51">
        <f>C61*SUM('T5'!$H$42:$I$42)</f>
        <v>11016.67114520173</v>
      </c>
      <c r="L61" s="51">
        <f>D61*SUM('T5'!$H$42:$I$42)</f>
        <v>185.76712180926376</v>
      </c>
      <c r="M61" s="51">
        <f>E61*SUM('T5'!$H$42:$I$42)</f>
        <v>28.205479227584547</v>
      </c>
      <c r="N61" s="51">
        <f>F61*SUM('T5'!$H$42:$I$42)</f>
        <v>1024.1506767809149</v>
      </c>
      <c r="O61" s="51">
        <f>G61*SUM('T5'!$H$42:$I$42)</f>
        <v>352.08218897881403</v>
      </c>
      <c r="P61" s="51">
        <f>H61*SUM('T5'!$H$42:$I$42)</f>
        <v>179.93150541734971</v>
      </c>
      <c r="Q61" s="51">
        <f>B61*SUM('T5'!$J$40:$L$40)</f>
        <v>0</v>
      </c>
      <c r="R61" s="51">
        <f>C61*SUM('T5'!$J$40:$L$40)</f>
        <v>43149.191799541499</v>
      </c>
      <c r="S61" s="51">
        <f>D61*SUM('T5'!$J$40:$L$40)</f>
        <v>727.59738975125163</v>
      </c>
      <c r="T61" s="51">
        <f>E61*SUM('T5'!$J$40:$L$40)</f>
        <v>110.47290210882878</v>
      </c>
      <c r="U61" s="51">
        <f>F61*SUM('T5'!$J$40:$L$40)</f>
        <v>4011.3091696757483</v>
      </c>
      <c r="V61" s="51">
        <f>G61*SUM('T5'!$J$40:$L$40)</f>
        <v>1379.0065711515867</v>
      </c>
      <c r="W61" s="51">
        <f>H61*SUM('T5'!$J$40:$L$40)</f>
        <v>704.74092724597665</v>
      </c>
      <c r="X61" s="51"/>
      <c r="Z61" s="51">
        <f>B61*'T21'!$E$4</f>
        <v>0</v>
      </c>
      <c r="AA61" s="51">
        <f>C61*'T21'!$E$5</f>
        <v>13292.89971713362</v>
      </c>
      <c r="AB61" s="51">
        <f>D61*'T21'!$E$6</f>
        <v>952.23589001447181</v>
      </c>
      <c r="AC61" s="51">
        <f>E61*'T21'!$E$7</f>
        <v>133.42013888888889</v>
      </c>
      <c r="AD61" s="51">
        <f>F61*'T21'!$E$8</f>
        <v>69.106580329016452</v>
      </c>
      <c r="AE61" s="51">
        <f>G61*'T21'!$E$9</f>
        <v>982.34282907662077</v>
      </c>
      <c r="AF61" s="51">
        <f>H61*'T21'!$E$10</f>
        <v>265.07279947054934</v>
      </c>
      <c r="AG61" s="51">
        <f>B61*SUM('T21'!$F$4)</f>
        <v>0</v>
      </c>
      <c r="AH61" s="51">
        <f>C61*SUM('T21'!$F$5)</f>
        <v>43342.100282866384</v>
      </c>
      <c r="AI61" s="51">
        <f>D61*SUM('T21'!$F$6)</f>
        <v>2.7641099855282198</v>
      </c>
      <c r="AJ61" s="51">
        <f>E61*SUM('T21'!$F$7)</f>
        <v>11.579861111111111</v>
      </c>
      <c r="AK61" s="51">
        <f>F61*SUM('T21'!$F$8)</f>
        <v>5195.8934196709833</v>
      </c>
      <c r="AL61" s="51">
        <f>G61*SUM('T21'!$F$9)</f>
        <v>827.65717092337923</v>
      </c>
      <c r="AM61" s="51">
        <f>H61*SUM('T21'!$F$10)</f>
        <v>659.92720052945072</v>
      </c>
    </row>
    <row r="62" spans="1:39">
      <c r="A62">
        <v>2035</v>
      </c>
      <c r="B62">
        <f t="shared" si="131"/>
        <v>0</v>
      </c>
      <c r="C62">
        <f t="shared" si="132"/>
        <v>56335</v>
      </c>
      <c r="D62">
        <f t="shared" si="133"/>
        <v>765</v>
      </c>
      <c r="E62">
        <f t="shared" si="134"/>
        <v>135</v>
      </c>
      <c r="F62">
        <f t="shared" si="135"/>
        <v>5205</v>
      </c>
      <c r="G62">
        <f t="shared" si="136"/>
        <v>1790</v>
      </c>
      <c r="H62">
        <f t="shared" si="137"/>
        <v>875</v>
      </c>
      <c r="J62" s="51">
        <f>B62*SUM('T5'!$H$42:$I$42)</f>
        <v>0</v>
      </c>
      <c r="K62" s="51">
        <f>C62*SUM('T5'!$H$42:$I$42)</f>
        <v>10958.31498128259</v>
      </c>
      <c r="L62" s="51">
        <f>D62*SUM('T5'!$H$42:$I$42)</f>
        <v>148.80821799380814</v>
      </c>
      <c r="M62" s="51">
        <f>E62*SUM('T5'!$H$42:$I$42)</f>
        <v>26.260273763613199</v>
      </c>
      <c r="N62" s="51">
        <f>F62*SUM('T5'!$H$42:$I$42)</f>
        <v>1012.4794439970867</v>
      </c>
      <c r="O62" s="51">
        <f>G62*SUM('T5'!$H$42:$I$42)</f>
        <v>348.19177805087133</v>
      </c>
      <c r="P62" s="51">
        <f>H62*SUM('T5'!$H$42:$I$42)</f>
        <v>170.20547809749297</v>
      </c>
      <c r="Q62" s="51">
        <f>B62*SUM('T5'!$J$40:$L$40)</f>
        <v>0</v>
      </c>
      <c r="R62" s="51">
        <f>C62*SUM('T5'!$J$40:$L$40)</f>
        <v>42920.627174488749</v>
      </c>
      <c r="S62" s="51">
        <f>D62*SUM('T5'!$J$40:$L$40)</f>
        <v>582.83979388451041</v>
      </c>
      <c r="T62" s="51">
        <f>E62*SUM('T5'!$J$40:$L$40)</f>
        <v>102.85408127373714</v>
      </c>
      <c r="U62" s="51">
        <f>F62*SUM('T5'!$J$40:$L$40)</f>
        <v>3965.5962446651984</v>
      </c>
      <c r="V62" s="51">
        <f>G62*SUM('T5'!$J$40:$L$40)</f>
        <v>1363.7689294814036</v>
      </c>
      <c r="W62" s="51">
        <f>H62*SUM('T5'!$J$40:$L$40)</f>
        <v>666.64682307051851</v>
      </c>
      <c r="X62" s="51"/>
      <c r="Z62" s="51">
        <f>B62*'T21'!$E$4</f>
        <v>0</v>
      </c>
      <c r="AA62" s="51">
        <f>C62*'T21'!$E$5</f>
        <v>13222.486193426725</v>
      </c>
      <c r="AB62" s="51">
        <f>D62*'T21'!$E$6</f>
        <v>762.78581765557169</v>
      </c>
      <c r="AC62" s="51">
        <f>E62*'T21'!$E$7</f>
        <v>124.21875</v>
      </c>
      <c r="AD62" s="51">
        <f>F62*'T21'!$E$8</f>
        <v>68.319040952047601</v>
      </c>
      <c r="AE62" s="51">
        <f>G62*'T21'!$E$9</f>
        <v>971.48821218074647</v>
      </c>
      <c r="AF62" s="51">
        <f>H62*'T21'!$E$10</f>
        <v>250.74454003970882</v>
      </c>
      <c r="AG62" s="51">
        <f>B62*SUM('T21'!$F$4)</f>
        <v>0</v>
      </c>
      <c r="AH62" s="51">
        <f>C62*SUM('T21'!$F$5)</f>
        <v>43112.513806573275</v>
      </c>
      <c r="AI62" s="51">
        <f>D62*SUM('T21'!$F$6)</f>
        <v>2.2141823444283646</v>
      </c>
      <c r="AJ62" s="51">
        <f>E62*SUM('T21'!$F$7)</f>
        <v>10.78125</v>
      </c>
      <c r="AK62" s="51">
        <f>F62*SUM('T21'!$F$8)</f>
        <v>5136.6809590479525</v>
      </c>
      <c r="AL62" s="51">
        <f>G62*SUM('T21'!$F$9)</f>
        <v>818.51178781925353</v>
      </c>
      <c r="AM62" s="51">
        <f>H62*SUM('T21'!$F$10)</f>
        <v>624.2554599602912</v>
      </c>
    </row>
    <row r="63" spans="1:39">
      <c r="J63" s="51"/>
      <c r="K63" s="51"/>
      <c r="L63" s="51"/>
      <c r="M63" s="51"/>
      <c r="N63" s="51"/>
      <c r="O63" s="51"/>
      <c r="P63" s="51"/>
      <c r="Q63" s="51"/>
      <c r="R63" s="51"/>
      <c r="S63" s="51"/>
      <c r="T63" s="51"/>
      <c r="U63" s="51"/>
      <c r="V63" s="51"/>
      <c r="W63" s="51"/>
      <c r="X63" s="51"/>
      <c r="Z63" s="51"/>
      <c r="AA63" s="51"/>
      <c r="AB63" s="51"/>
      <c r="AC63" s="51"/>
      <c r="AD63" s="51"/>
      <c r="AE63" s="51"/>
      <c r="AF63" s="51"/>
      <c r="AG63" s="51"/>
      <c r="AH63" s="51"/>
      <c r="AI63" s="51"/>
      <c r="AJ63" s="51"/>
      <c r="AK63" s="51"/>
      <c r="AL63" s="51"/>
      <c r="AM63" s="51"/>
    </row>
    <row r="64" spans="1:39">
      <c r="B64" s="177" t="s">
        <v>431</v>
      </c>
      <c r="C64" s="177"/>
      <c r="D64" s="177"/>
      <c r="E64" s="177"/>
      <c r="F64" s="177"/>
      <c r="G64" s="177"/>
      <c r="H64" s="177"/>
    </row>
    <row r="65" spans="1:39">
      <c r="A65">
        <v>2026</v>
      </c>
      <c r="B65">
        <f t="shared" ref="B65:H65" si="138">IF(B$42&gt;0,MROUND(B14+(B$14*B$42),5),MROUND(B$14-(B$14*ABS(B$42)),5))</f>
        <v>30</v>
      </c>
      <c r="C65">
        <f t="shared" si="138"/>
        <v>60440</v>
      </c>
      <c r="D65">
        <f t="shared" si="138"/>
        <v>6105</v>
      </c>
      <c r="E65">
        <f t="shared" si="138"/>
        <v>290</v>
      </c>
      <c r="F65">
        <f t="shared" si="138"/>
        <v>5840</v>
      </c>
      <c r="G65">
        <f t="shared" si="138"/>
        <v>2020</v>
      </c>
      <c r="H65">
        <f t="shared" si="138"/>
        <v>1490</v>
      </c>
      <c r="J65" s="51">
        <f>B65*SUM('T5'!$H$42:$I$42)</f>
        <v>5.8356163919140442</v>
      </c>
      <c r="K65" s="51">
        <f>C65*SUM('T5'!$H$42:$I$42)</f>
        <v>11756.821824242828</v>
      </c>
      <c r="L65" s="51">
        <f>D65*SUM('T5'!$H$42:$I$42)</f>
        <v>1187.547935754508</v>
      </c>
      <c r="M65" s="51">
        <f>E65*SUM('T5'!$H$42:$I$42)</f>
        <v>56.410958455169094</v>
      </c>
      <c r="N65" s="51">
        <f>F65*SUM('T5'!$H$42:$I$42)</f>
        <v>1135.9999909592673</v>
      </c>
      <c r="O65" s="51">
        <f>G65*SUM('T5'!$H$42:$I$42)</f>
        <v>392.93150372221231</v>
      </c>
      <c r="P65" s="51">
        <f>H65*SUM('T5'!$H$42:$I$42)</f>
        <v>289.83561413173089</v>
      </c>
      <c r="Q65" s="51">
        <f>B65*SUM('T5'!$J$40:$L$40)</f>
        <v>22.856462505274919</v>
      </c>
      <c r="R65" s="51">
        <f>C65*SUM('T5'!$J$40:$L$40)</f>
        <v>46048.153127293874</v>
      </c>
      <c r="S65" s="51">
        <f>D65*SUM('T5'!$J$40:$L$40)</f>
        <v>4651.2901198234458</v>
      </c>
      <c r="T65" s="51">
        <f>E65*SUM('T5'!$J$40:$L$40)</f>
        <v>220.94580421765755</v>
      </c>
      <c r="U65" s="51">
        <f>F65*SUM('T5'!$J$40:$L$40)</f>
        <v>4449.3913676935172</v>
      </c>
      <c r="V65" s="51">
        <f>G65*SUM('T5'!$J$40:$L$40)</f>
        <v>1539.0018086885111</v>
      </c>
      <c r="W65" s="51">
        <f>H65*SUM('T5'!$J$40:$L$40)</f>
        <v>1135.2043044286543</v>
      </c>
      <c r="X65" s="51"/>
      <c r="Z65" s="51">
        <f>B65*'T21'!$E$4</f>
        <v>14.634146341463413</v>
      </c>
      <c r="AA65" s="51">
        <f>C65*'T21'!$E$5</f>
        <v>14185.977909482759</v>
      </c>
      <c r="AB65" s="51">
        <f>D65*'T21'!$E$6</f>
        <v>6087.3299565846601</v>
      </c>
      <c r="AC65" s="51">
        <f>E65*'T21'!$E$7</f>
        <v>266.84027777777777</v>
      </c>
      <c r="AD65" s="51">
        <f>F65*'T21'!$E$8</f>
        <v>76.653832691634591</v>
      </c>
      <c r="AE65" s="51">
        <f>G65*'T21'!$E$9</f>
        <v>1096.3163064833007</v>
      </c>
      <c r="AF65" s="51">
        <f>H65*'T21'!$E$10</f>
        <v>426.98213103904703</v>
      </c>
      <c r="AG65" s="51">
        <f>B65*SUM('T21'!$F$4)</f>
        <v>15.365853658536587</v>
      </c>
      <c r="AH65" s="51">
        <f>C65*SUM('T21'!$F$5)</f>
        <v>46254.022090517246</v>
      </c>
      <c r="AI65" s="51">
        <f>D65*SUM('T21'!$F$6)</f>
        <v>17.670043415340086</v>
      </c>
      <c r="AJ65" s="51">
        <f>E65*SUM('T21'!$F$7)</f>
        <v>23.159722222222221</v>
      </c>
      <c r="AK65" s="51">
        <f>F65*SUM('T21'!$F$8)</f>
        <v>5763.3461673083657</v>
      </c>
      <c r="AL65" s="51">
        <f>G65*SUM('T21'!$F$9)</f>
        <v>923.68369351669946</v>
      </c>
      <c r="AM65" s="51">
        <f>H65*SUM('T21'!$F$10)</f>
        <v>1063.0178689609531</v>
      </c>
    </row>
    <row r="66" spans="1:39">
      <c r="A66">
        <v>2027</v>
      </c>
      <c r="B66">
        <f t="shared" ref="B66:B74" si="139">IF(B$42&gt;0,MROUND(B65+(B65*B$42),5),MROUND(B65-(B65*ABS(B$42)),5))</f>
        <v>25</v>
      </c>
      <c r="C66">
        <f t="shared" ref="C66:C74" si="140">IF(C$42&gt;0,MROUND(C65+(C65*C$42),5),MROUND(C65-(C65*ABS(C$42)),5))</f>
        <v>61505</v>
      </c>
      <c r="D66">
        <f t="shared" ref="D66:D74" si="141">IF(D$42&gt;0,MROUND(D65+(D65*D$42),5),MROUND(D65-(D65*ABS(D$42)),5))</f>
        <v>5395</v>
      </c>
      <c r="E66">
        <f t="shared" ref="E66:E74" si="142">IF(E$42&gt;0,MROUND(E65+(E65*E$42),5),MROUND(E65-(E65*ABS(E$42)),5))</f>
        <v>290</v>
      </c>
      <c r="F66">
        <f t="shared" ref="F66:F74" si="143">IF(F$42&gt;0,MROUND(F65+(F65*F$42),5),MROUND(F65-(F65*ABS(F$42)),5))</f>
        <v>5820</v>
      </c>
      <c r="G66">
        <f t="shared" ref="G66:G74" si="144">IF(G$42&gt;0,MROUND(G65+(G65*G$42),5),MROUND(G65-(G65*ABS(G$42)),5))</f>
        <v>2005</v>
      </c>
      <c r="H66">
        <f t="shared" ref="H66:H74" si="145">IF(H$42&gt;0,MROUND(H65+(H65*H$42),5),MROUND(H65-(H65*ABS(H$42)),5))</f>
        <v>1470</v>
      </c>
      <c r="J66" s="51">
        <f>B66*SUM('T5'!$H$42:$I$42)</f>
        <v>4.8630136599283702</v>
      </c>
      <c r="K66" s="51">
        <f>C66*SUM('T5'!$H$42:$I$42)</f>
        <v>11963.986206155776</v>
      </c>
      <c r="L66" s="51">
        <f>D66*SUM('T5'!$H$42:$I$42)</f>
        <v>1049.4383478125424</v>
      </c>
      <c r="M66" s="51">
        <f>E66*SUM('T5'!$H$42:$I$42)</f>
        <v>56.410958455169094</v>
      </c>
      <c r="N66" s="51">
        <f>F66*SUM('T5'!$H$42:$I$42)</f>
        <v>1132.1095800313246</v>
      </c>
      <c r="O66" s="51">
        <f>G66*SUM('T5'!$H$42:$I$42)</f>
        <v>390.01369552625528</v>
      </c>
      <c r="P66" s="51">
        <f>H66*SUM('T5'!$H$42:$I$42)</f>
        <v>285.9452032037882</v>
      </c>
      <c r="Q66" s="51">
        <f>B66*SUM('T5'!$J$40:$L$40)</f>
        <v>19.047052087729099</v>
      </c>
      <c r="R66" s="51">
        <f>C66*SUM('T5'!$J$40:$L$40)</f>
        <v>46859.557546231132</v>
      </c>
      <c r="S66" s="51">
        <f>D66*SUM('T5'!$J$40:$L$40)</f>
        <v>4110.3538405319396</v>
      </c>
      <c r="T66" s="51">
        <f>E66*SUM('T5'!$J$40:$L$40)</f>
        <v>220.94580421765755</v>
      </c>
      <c r="U66" s="51">
        <f>F66*SUM('T5'!$J$40:$L$40)</f>
        <v>4434.1537260233345</v>
      </c>
      <c r="V66" s="51">
        <f>G66*SUM('T5'!$J$40:$L$40)</f>
        <v>1527.5735774358739</v>
      </c>
      <c r="W66" s="51">
        <f>H66*SUM('T5'!$J$40:$L$40)</f>
        <v>1119.9666627584711</v>
      </c>
      <c r="X66" s="51"/>
      <c r="Z66" s="51">
        <f>B66*'T21'!$E$4</f>
        <v>12.195121951219512</v>
      </c>
      <c r="AA66" s="51">
        <f>C66*'T21'!$E$5</f>
        <v>14435.945918642241</v>
      </c>
      <c r="AB66" s="51">
        <f>D66*'T21'!$E$6</f>
        <v>5379.3849493487696</v>
      </c>
      <c r="AC66" s="51">
        <f>E66*'T21'!$E$7</f>
        <v>266.84027777777777</v>
      </c>
      <c r="AD66" s="51">
        <f>F66*'T21'!$E$8</f>
        <v>76.391319565978307</v>
      </c>
      <c r="AE66" s="51">
        <f>G66*'T21'!$E$9</f>
        <v>1088.1753438113949</v>
      </c>
      <c r="AF66" s="51">
        <f>H66*'T21'!$E$10</f>
        <v>421.25082726671081</v>
      </c>
      <c r="AG66" s="51">
        <f>B66*SUM('T21'!$F$4)</f>
        <v>12.804878048780488</v>
      </c>
      <c r="AH66" s="51">
        <f>C66*SUM('T21'!$F$5)</f>
        <v>47069.054081357761</v>
      </c>
      <c r="AI66" s="51">
        <f>D66*SUM('T21'!$F$6)</f>
        <v>15.615050651230099</v>
      </c>
      <c r="AJ66" s="51">
        <f>E66*SUM('T21'!$F$7)</f>
        <v>23.159722222222221</v>
      </c>
      <c r="AK66" s="51">
        <f>F66*SUM('T21'!$F$8)</f>
        <v>5743.6086804340221</v>
      </c>
      <c r="AL66" s="51">
        <f>G66*SUM('T21'!$F$9)</f>
        <v>916.8246561886051</v>
      </c>
      <c r="AM66" s="51">
        <f>H66*SUM('T21'!$F$10)</f>
        <v>1048.7491727332892</v>
      </c>
    </row>
    <row r="67" spans="1:39">
      <c r="A67">
        <v>2028</v>
      </c>
      <c r="B67">
        <f t="shared" si="139"/>
        <v>20</v>
      </c>
      <c r="C67">
        <f t="shared" si="140"/>
        <v>62590</v>
      </c>
      <c r="D67">
        <f t="shared" si="141"/>
        <v>4765</v>
      </c>
      <c r="E67">
        <f t="shared" si="142"/>
        <v>290</v>
      </c>
      <c r="F67">
        <f t="shared" si="143"/>
        <v>5800</v>
      </c>
      <c r="G67">
        <f t="shared" si="144"/>
        <v>1990</v>
      </c>
      <c r="H67">
        <f t="shared" si="145"/>
        <v>1450</v>
      </c>
      <c r="J67" s="51">
        <f>B67*SUM('T5'!$H$42:$I$42)</f>
        <v>3.8904109279426962</v>
      </c>
      <c r="K67" s="51">
        <f>C67*SUM('T5'!$H$42:$I$42)</f>
        <v>12175.040998996668</v>
      </c>
      <c r="L67" s="51">
        <f>D67*SUM('T5'!$H$42:$I$42)</f>
        <v>926.8904035823474</v>
      </c>
      <c r="M67" s="51">
        <f>E67*SUM('T5'!$H$42:$I$42)</f>
        <v>56.410958455169094</v>
      </c>
      <c r="N67" s="51">
        <f>F67*SUM('T5'!$H$42:$I$42)</f>
        <v>1128.219169103382</v>
      </c>
      <c r="O67" s="51">
        <f>G67*SUM('T5'!$H$42:$I$42)</f>
        <v>387.0958873302983</v>
      </c>
      <c r="P67" s="51">
        <f>H67*SUM('T5'!$H$42:$I$42)</f>
        <v>282.0547922758455</v>
      </c>
      <c r="Q67" s="51">
        <f>B67*SUM('T5'!$J$40:$L$40)</f>
        <v>15.23764167018328</v>
      </c>
      <c r="R67" s="51">
        <f>C67*SUM('T5'!$J$40:$L$40)</f>
        <v>47686.199606838571</v>
      </c>
      <c r="S67" s="51">
        <f>D67*SUM('T5'!$J$40:$L$40)</f>
        <v>3630.3681279211664</v>
      </c>
      <c r="T67" s="51">
        <f>E67*SUM('T5'!$J$40:$L$40)</f>
        <v>220.94580421765755</v>
      </c>
      <c r="U67" s="51">
        <f>F67*SUM('T5'!$J$40:$L$40)</f>
        <v>4418.9160843531508</v>
      </c>
      <c r="V67" s="51">
        <f>G67*SUM('T5'!$J$40:$L$40)</f>
        <v>1516.1453461832364</v>
      </c>
      <c r="W67" s="51">
        <f>H67*SUM('T5'!$J$40:$L$40)</f>
        <v>1104.7290210882877</v>
      </c>
      <c r="X67" s="51"/>
      <c r="Z67" s="51">
        <f>B67*'T21'!$E$4</f>
        <v>9.7560975609756095</v>
      </c>
      <c r="AA67" s="51">
        <f>C67*'T21'!$E$5</f>
        <v>14690.608162715516</v>
      </c>
      <c r="AB67" s="51">
        <f>D67*'T21'!$E$6</f>
        <v>4751.208393632417</v>
      </c>
      <c r="AC67" s="51">
        <f>E67*'T21'!$E$7</f>
        <v>266.84027777777777</v>
      </c>
      <c r="AD67" s="51">
        <f>F67*'T21'!$E$8</f>
        <v>76.128806440322023</v>
      </c>
      <c r="AE67" s="51">
        <f>G67*'T21'!$E$9</f>
        <v>1080.0343811394891</v>
      </c>
      <c r="AF67" s="51">
        <f>H67*'T21'!$E$10</f>
        <v>415.5195234943746</v>
      </c>
      <c r="AG67" s="51">
        <f>B67*SUM('T21'!$F$4)</f>
        <v>10.24390243902439</v>
      </c>
      <c r="AH67" s="51">
        <f>C67*SUM('T21'!$F$5)</f>
        <v>47899.391837284486</v>
      </c>
      <c r="AI67" s="51">
        <f>D67*SUM('T21'!$F$6)</f>
        <v>13.791606367583212</v>
      </c>
      <c r="AJ67" s="51">
        <f>E67*SUM('T21'!$F$7)</f>
        <v>23.159722222222221</v>
      </c>
      <c r="AK67" s="51">
        <f>F67*SUM('T21'!$F$8)</f>
        <v>5723.8711935596775</v>
      </c>
      <c r="AL67" s="51">
        <f>G67*SUM('T21'!$F$9)</f>
        <v>909.96561886051086</v>
      </c>
      <c r="AM67" s="51">
        <f>H67*SUM('T21'!$F$10)</f>
        <v>1034.4804765056256</v>
      </c>
    </row>
    <row r="68" spans="1:39">
      <c r="A68">
        <v>2029</v>
      </c>
      <c r="B68">
        <f t="shared" si="139"/>
        <v>15</v>
      </c>
      <c r="C68">
        <f t="shared" si="140"/>
        <v>63695</v>
      </c>
      <c r="D68">
        <f t="shared" si="141"/>
        <v>4210</v>
      </c>
      <c r="E68">
        <f t="shared" si="142"/>
        <v>290</v>
      </c>
      <c r="F68">
        <f t="shared" si="143"/>
        <v>5780</v>
      </c>
      <c r="G68">
        <f t="shared" si="144"/>
        <v>1975</v>
      </c>
      <c r="H68">
        <f t="shared" si="145"/>
        <v>1430</v>
      </c>
      <c r="J68" s="51">
        <f>B68*SUM('T5'!$H$42:$I$42)</f>
        <v>2.9178081959570221</v>
      </c>
      <c r="K68" s="51">
        <f>C68*SUM('T5'!$H$42:$I$42)</f>
        <v>12389.986202765502</v>
      </c>
      <c r="L68" s="51">
        <f>D68*SUM('T5'!$H$42:$I$42)</f>
        <v>818.93150033193751</v>
      </c>
      <c r="M68" s="51">
        <f>E68*SUM('T5'!$H$42:$I$42)</f>
        <v>56.410958455169094</v>
      </c>
      <c r="N68" s="51">
        <f>F68*SUM('T5'!$H$42:$I$42)</f>
        <v>1124.3287581754391</v>
      </c>
      <c r="O68" s="51">
        <f>G68*SUM('T5'!$H$42:$I$42)</f>
        <v>384.17807913434126</v>
      </c>
      <c r="P68" s="51">
        <f>H68*SUM('T5'!$H$42:$I$42)</f>
        <v>278.1643813479028</v>
      </c>
      <c r="Q68" s="51">
        <f>B68*SUM('T5'!$J$40:$L$40)</f>
        <v>11.42823125263746</v>
      </c>
      <c r="R68" s="51">
        <f>C68*SUM('T5'!$J$40:$L$40)</f>
        <v>48528.079309116198</v>
      </c>
      <c r="S68" s="51">
        <f>D68*SUM('T5'!$J$40:$L$40)</f>
        <v>3207.5235715735803</v>
      </c>
      <c r="T68" s="51">
        <f>E68*SUM('T5'!$J$40:$L$40)</f>
        <v>220.94580421765755</v>
      </c>
      <c r="U68" s="51">
        <f>F68*SUM('T5'!$J$40:$L$40)</f>
        <v>4403.6784426829681</v>
      </c>
      <c r="V68" s="51">
        <f>G68*SUM('T5'!$J$40:$L$40)</f>
        <v>1504.7171149305989</v>
      </c>
      <c r="W68" s="51">
        <f>H68*SUM('T5'!$J$40:$L$40)</f>
        <v>1089.4913794181045</v>
      </c>
      <c r="X68" s="51"/>
      <c r="Z68" s="51">
        <f>B68*'T21'!$E$4</f>
        <v>7.3170731707317067</v>
      </c>
      <c r="AA68" s="51">
        <f>C68*'T21'!$E$5</f>
        <v>14949.964641702585</v>
      </c>
      <c r="AB68" s="51">
        <f>D68*'T21'!$E$6</f>
        <v>4197.8147612156299</v>
      </c>
      <c r="AC68" s="51">
        <f>E68*'T21'!$E$7</f>
        <v>266.84027777777777</v>
      </c>
      <c r="AD68" s="51">
        <f>F68*'T21'!$E$8</f>
        <v>75.866293314665739</v>
      </c>
      <c r="AE68" s="51">
        <f>G68*'T21'!$E$9</f>
        <v>1071.8934184675834</v>
      </c>
      <c r="AF68" s="51">
        <f>H68*'T21'!$E$10</f>
        <v>409.78821972203838</v>
      </c>
      <c r="AG68" s="51">
        <f>B68*SUM('T21'!$F$4)</f>
        <v>7.6829268292682933</v>
      </c>
      <c r="AH68" s="51">
        <f>C68*SUM('T21'!$F$5)</f>
        <v>48745.035358297413</v>
      </c>
      <c r="AI68" s="51">
        <f>D68*SUM('T21'!$F$6)</f>
        <v>12.185238784370476</v>
      </c>
      <c r="AJ68" s="51">
        <f>E68*SUM('T21'!$F$7)</f>
        <v>23.159722222222221</v>
      </c>
      <c r="AK68" s="51">
        <f>F68*SUM('T21'!$F$8)</f>
        <v>5704.1337066853339</v>
      </c>
      <c r="AL68" s="51">
        <f>G68*SUM('T21'!$F$9)</f>
        <v>903.1065815324165</v>
      </c>
      <c r="AM68" s="51">
        <f>H68*SUM('T21'!$F$10)</f>
        <v>1020.2117802779617</v>
      </c>
    </row>
    <row r="69" spans="1:39">
      <c r="A69">
        <v>2030</v>
      </c>
      <c r="B69">
        <f t="shared" si="139"/>
        <v>10</v>
      </c>
      <c r="C69">
        <f t="shared" si="140"/>
        <v>64820</v>
      </c>
      <c r="D69">
        <f t="shared" si="141"/>
        <v>3720</v>
      </c>
      <c r="E69">
        <f t="shared" si="142"/>
        <v>290</v>
      </c>
      <c r="F69">
        <f t="shared" si="143"/>
        <v>5760</v>
      </c>
      <c r="G69">
        <f t="shared" si="144"/>
        <v>1960</v>
      </c>
      <c r="H69">
        <f t="shared" si="145"/>
        <v>1410</v>
      </c>
      <c r="J69" s="51">
        <f>B69*SUM('T5'!$H$42:$I$42)</f>
        <v>1.9452054639713481</v>
      </c>
      <c r="K69" s="51">
        <f>C69*SUM('T5'!$H$42:$I$42)</f>
        <v>12608.821817462278</v>
      </c>
      <c r="L69" s="51">
        <f>D69*SUM('T5'!$H$42:$I$42)</f>
        <v>723.61643259734149</v>
      </c>
      <c r="M69" s="51">
        <f>E69*SUM('T5'!$H$42:$I$42)</f>
        <v>56.410958455169094</v>
      </c>
      <c r="N69" s="51">
        <f>F69*SUM('T5'!$H$42:$I$42)</f>
        <v>1120.4383472474965</v>
      </c>
      <c r="O69" s="51">
        <f>G69*SUM('T5'!$H$42:$I$42)</f>
        <v>381.26027093838422</v>
      </c>
      <c r="P69" s="51">
        <f>H69*SUM('T5'!$H$42:$I$42)</f>
        <v>274.27397041996011</v>
      </c>
      <c r="Q69" s="51">
        <f>B69*SUM('T5'!$J$40:$L$40)</f>
        <v>7.6188208350916398</v>
      </c>
      <c r="R69" s="51">
        <f>C69*SUM('T5'!$J$40:$L$40)</f>
        <v>49385.196653064006</v>
      </c>
      <c r="S69" s="51">
        <f>D69*SUM('T5'!$J$40:$L$40)</f>
        <v>2834.2013506540898</v>
      </c>
      <c r="T69" s="51">
        <f>E69*SUM('T5'!$J$40:$L$40)</f>
        <v>220.94580421765755</v>
      </c>
      <c r="U69" s="51">
        <f>F69*SUM('T5'!$J$40:$L$40)</f>
        <v>4388.4408010127845</v>
      </c>
      <c r="V69" s="51">
        <f>G69*SUM('T5'!$J$40:$L$40)</f>
        <v>1493.2888836779614</v>
      </c>
      <c r="W69" s="51">
        <f>H69*SUM('T5'!$J$40:$L$40)</f>
        <v>1074.2537377479212</v>
      </c>
      <c r="X69" s="51"/>
      <c r="Z69" s="51">
        <f>B69*'T21'!$E$4</f>
        <v>4.8780487804878048</v>
      </c>
      <c r="AA69" s="51">
        <f>C69*'T21'!$E$5</f>
        <v>15214.015355603447</v>
      </c>
      <c r="AB69" s="51">
        <f>D69*'T21'!$E$6</f>
        <v>3709.2329956584663</v>
      </c>
      <c r="AC69" s="51">
        <f>E69*'T21'!$E$7</f>
        <v>266.84027777777777</v>
      </c>
      <c r="AD69" s="51">
        <f>F69*'T21'!$E$8</f>
        <v>75.603780189009456</v>
      </c>
      <c r="AE69" s="51">
        <f>G69*'T21'!$E$9</f>
        <v>1063.7524557956779</v>
      </c>
      <c r="AF69" s="51">
        <f>H69*'T21'!$E$10</f>
        <v>404.05691594970222</v>
      </c>
      <c r="AG69" s="51">
        <f>B69*SUM('T21'!$F$4)</f>
        <v>5.1219512195121952</v>
      </c>
      <c r="AH69" s="51">
        <f>C69*SUM('T21'!$F$5)</f>
        <v>49605.984644396551</v>
      </c>
      <c r="AI69" s="51">
        <f>D69*SUM('T21'!$F$6)</f>
        <v>10.767004341534008</v>
      </c>
      <c r="AJ69" s="51">
        <f>E69*SUM('T21'!$F$7)</f>
        <v>23.159722222222221</v>
      </c>
      <c r="AK69" s="51">
        <f>F69*SUM('T21'!$F$8)</f>
        <v>5684.3962198109903</v>
      </c>
      <c r="AL69" s="51">
        <f>G69*SUM('T21'!$F$9)</f>
        <v>896.24754420432225</v>
      </c>
      <c r="AM69" s="51">
        <f>H69*SUM('T21'!$F$10)</f>
        <v>1005.9430840502979</v>
      </c>
    </row>
    <row r="70" spans="1:39">
      <c r="A70">
        <v>2031</v>
      </c>
      <c r="B70">
        <f t="shared" si="139"/>
        <v>10</v>
      </c>
      <c r="C70">
        <f t="shared" si="140"/>
        <v>65965</v>
      </c>
      <c r="D70">
        <f t="shared" si="141"/>
        <v>3285</v>
      </c>
      <c r="E70">
        <f t="shared" si="142"/>
        <v>290</v>
      </c>
      <c r="F70">
        <f t="shared" si="143"/>
        <v>5740</v>
      </c>
      <c r="G70">
        <f t="shared" si="144"/>
        <v>1945</v>
      </c>
      <c r="H70">
        <f t="shared" si="145"/>
        <v>1390</v>
      </c>
      <c r="J70" s="51">
        <f>B70*SUM('T5'!$H$42:$I$42)</f>
        <v>1.9452054639713481</v>
      </c>
      <c r="K70" s="51">
        <f>C70*SUM('T5'!$H$42:$I$42)</f>
        <v>12831.547843086997</v>
      </c>
      <c r="L70" s="51">
        <f>D70*SUM('T5'!$H$42:$I$42)</f>
        <v>638.99999491458789</v>
      </c>
      <c r="M70" s="51">
        <f>E70*SUM('T5'!$H$42:$I$42)</f>
        <v>56.410958455169094</v>
      </c>
      <c r="N70" s="51">
        <f>F70*SUM('T5'!$H$42:$I$42)</f>
        <v>1116.5479363195539</v>
      </c>
      <c r="O70" s="51">
        <f>G70*SUM('T5'!$H$42:$I$42)</f>
        <v>378.34246274242719</v>
      </c>
      <c r="P70" s="51">
        <f>H70*SUM('T5'!$H$42:$I$42)</f>
        <v>270.38355949201741</v>
      </c>
      <c r="Q70" s="51">
        <f>B70*SUM('T5'!$J$40:$L$40)</f>
        <v>7.6188208350916398</v>
      </c>
      <c r="R70" s="51">
        <f>C70*SUM('T5'!$J$40:$L$40)</f>
        <v>50257.551638682002</v>
      </c>
      <c r="S70" s="51">
        <f>D70*SUM('T5'!$J$40:$L$40)</f>
        <v>2502.7826443276035</v>
      </c>
      <c r="T70" s="51">
        <f>E70*SUM('T5'!$J$40:$L$40)</f>
        <v>220.94580421765755</v>
      </c>
      <c r="U70" s="51">
        <f>F70*SUM('T5'!$J$40:$L$40)</f>
        <v>4373.2031593426009</v>
      </c>
      <c r="V70" s="51">
        <f>G70*SUM('T5'!$J$40:$L$40)</f>
        <v>1481.8606524253239</v>
      </c>
      <c r="W70" s="51">
        <f>H70*SUM('T5'!$J$40:$L$40)</f>
        <v>1059.016096077738</v>
      </c>
      <c r="X70" s="51"/>
      <c r="Z70" s="51">
        <f>B70*'T21'!$E$4</f>
        <v>4.8780487804878048</v>
      </c>
      <c r="AA70" s="51">
        <f>C70*'T21'!$E$5</f>
        <v>15482.760304418103</v>
      </c>
      <c r="AB70" s="51">
        <f>D70*'T21'!$E$6</f>
        <v>3275.4920405209841</v>
      </c>
      <c r="AC70" s="51">
        <f>E70*'T21'!$E$7</f>
        <v>266.84027777777777</v>
      </c>
      <c r="AD70" s="51">
        <f>F70*'T21'!$E$8</f>
        <v>75.341267063353172</v>
      </c>
      <c r="AE70" s="51">
        <f>G70*'T21'!$E$9</f>
        <v>1055.6114931237721</v>
      </c>
      <c r="AF70" s="51">
        <f>H70*'T21'!$E$10</f>
        <v>398.325612177366</v>
      </c>
      <c r="AG70" s="51">
        <f>B70*SUM('T21'!$F$4)</f>
        <v>5.1219512195121952</v>
      </c>
      <c r="AH70" s="51">
        <f>C70*SUM('T21'!$F$5)</f>
        <v>50482.239695581899</v>
      </c>
      <c r="AI70" s="51">
        <f>D70*SUM('T21'!$F$6)</f>
        <v>9.5079594790159181</v>
      </c>
      <c r="AJ70" s="51">
        <f>E70*SUM('T21'!$F$7)</f>
        <v>23.159722222222221</v>
      </c>
      <c r="AK70" s="51">
        <f>F70*SUM('T21'!$F$8)</f>
        <v>5664.6587329366466</v>
      </c>
      <c r="AL70" s="51">
        <f>G70*SUM('T21'!$F$9)</f>
        <v>889.38850687622789</v>
      </c>
      <c r="AM70" s="51">
        <f>H70*SUM('T21'!$F$10)</f>
        <v>991.67438782263412</v>
      </c>
    </row>
    <row r="71" spans="1:39">
      <c r="A71">
        <v>2032</v>
      </c>
      <c r="B71">
        <f t="shared" si="139"/>
        <v>10</v>
      </c>
      <c r="C71">
        <f t="shared" si="140"/>
        <v>67130</v>
      </c>
      <c r="D71">
        <f t="shared" si="141"/>
        <v>2905</v>
      </c>
      <c r="E71">
        <f t="shared" si="142"/>
        <v>290</v>
      </c>
      <c r="F71">
        <f t="shared" si="143"/>
        <v>5720</v>
      </c>
      <c r="G71">
        <f t="shared" si="144"/>
        <v>1930</v>
      </c>
      <c r="H71">
        <f t="shared" si="145"/>
        <v>1370</v>
      </c>
      <c r="J71" s="51">
        <f>B71*SUM('T5'!$H$42:$I$42)</f>
        <v>1.9452054639713481</v>
      </c>
      <c r="K71" s="51">
        <f>C71*SUM('T5'!$H$42:$I$42)</f>
        <v>13058.164279639661</v>
      </c>
      <c r="L71" s="51">
        <f>D71*SUM('T5'!$H$42:$I$42)</f>
        <v>565.0821872836766</v>
      </c>
      <c r="M71" s="51">
        <f>E71*SUM('T5'!$H$42:$I$42)</f>
        <v>56.410958455169094</v>
      </c>
      <c r="N71" s="51">
        <f>F71*SUM('T5'!$H$42:$I$42)</f>
        <v>1112.6575253916112</v>
      </c>
      <c r="O71" s="51">
        <f>G71*SUM('T5'!$H$42:$I$42)</f>
        <v>375.42465454647021</v>
      </c>
      <c r="P71" s="51">
        <f>H71*SUM('T5'!$H$42:$I$42)</f>
        <v>266.49314856407472</v>
      </c>
      <c r="Q71" s="51">
        <f>B71*SUM('T5'!$J$40:$L$40)</f>
        <v>7.6188208350916398</v>
      </c>
      <c r="R71" s="51">
        <f>C71*SUM('T5'!$J$40:$L$40)</f>
        <v>51145.144265970179</v>
      </c>
      <c r="S71" s="51">
        <f>D71*SUM('T5'!$J$40:$L$40)</f>
        <v>2213.2674525941216</v>
      </c>
      <c r="T71" s="51">
        <f>E71*SUM('T5'!$J$40:$L$40)</f>
        <v>220.94580421765755</v>
      </c>
      <c r="U71" s="51">
        <f>F71*SUM('T5'!$J$40:$L$40)</f>
        <v>4357.9655176724182</v>
      </c>
      <c r="V71" s="51">
        <f>G71*SUM('T5'!$J$40:$L$40)</f>
        <v>1470.4324211726864</v>
      </c>
      <c r="W71" s="51">
        <f>H71*SUM('T5'!$J$40:$L$40)</f>
        <v>1043.7784544075546</v>
      </c>
      <c r="X71" s="51"/>
      <c r="Z71" s="51">
        <f>B71*'T21'!$E$4</f>
        <v>4.8780487804878048</v>
      </c>
      <c r="AA71" s="51">
        <f>C71*'T21'!$E$5</f>
        <v>15756.199488146551</v>
      </c>
      <c r="AB71" s="51">
        <f>D71*'T21'!$E$6</f>
        <v>2896.5918958031839</v>
      </c>
      <c r="AC71" s="51">
        <f>E71*'T21'!$E$7</f>
        <v>266.84027777777777</v>
      </c>
      <c r="AD71" s="51">
        <f>F71*'T21'!$E$8</f>
        <v>75.078753937696888</v>
      </c>
      <c r="AE71" s="51">
        <f>G71*'T21'!$E$9</f>
        <v>1047.4705304518664</v>
      </c>
      <c r="AF71" s="51">
        <f>H71*'T21'!$E$10</f>
        <v>392.59430840502978</v>
      </c>
      <c r="AG71" s="51">
        <f>B71*SUM('T21'!$F$4)</f>
        <v>5.1219512195121952</v>
      </c>
      <c r="AH71" s="51">
        <f>C71*SUM('T21'!$F$5)</f>
        <v>51373.800511853449</v>
      </c>
      <c r="AI71" s="51">
        <f>D71*SUM('T21'!$F$6)</f>
        <v>8.4081041968162076</v>
      </c>
      <c r="AJ71" s="51">
        <f>E71*SUM('T21'!$F$7)</f>
        <v>23.159722222222221</v>
      </c>
      <c r="AK71" s="51">
        <f>F71*SUM('T21'!$F$8)</f>
        <v>5644.921246062303</v>
      </c>
      <c r="AL71" s="51">
        <f>G71*SUM('T21'!$F$9)</f>
        <v>882.52946954813365</v>
      </c>
      <c r="AM71" s="51">
        <f>H71*SUM('T21'!$F$10)</f>
        <v>977.40569159497022</v>
      </c>
    </row>
    <row r="72" spans="1:39">
      <c r="A72">
        <v>2033</v>
      </c>
      <c r="B72">
        <f t="shared" si="139"/>
        <v>10</v>
      </c>
      <c r="C72">
        <f t="shared" si="140"/>
        <v>68315</v>
      </c>
      <c r="D72">
        <f t="shared" si="141"/>
        <v>2565</v>
      </c>
      <c r="E72">
        <f t="shared" si="142"/>
        <v>290</v>
      </c>
      <c r="F72">
        <f t="shared" si="143"/>
        <v>5700</v>
      </c>
      <c r="G72">
        <f t="shared" si="144"/>
        <v>1915</v>
      </c>
      <c r="H72">
        <f t="shared" si="145"/>
        <v>1350</v>
      </c>
      <c r="J72" s="51">
        <f>B72*SUM('T5'!$H$42:$I$42)</f>
        <v>1.9452054639713481</v>
      </c>
      <c r="K72" s="51">
        <f>C72*SUM('T5'!$H$42:$I$42)</f>
        <v>13288.671127120264</v>
      </c>
      <c r="L72" s="51">
        <f>D72*SUM('T5'!$H$42:$I$42)</f>
        <v>498.94520150865083</v>
      </c>
      <c r="M72" s="51">
        <f>E72*SUM('T5'!$H$42:$I$42)</f>
        <v>56.410958455169094</v>
      </c>
      <c r="N72" s="51">
        <f>F72*SUM('T5'!$H$42:$I$42)</f>
        <v>1108.7671144636683</v>
      </c>
      <c r="O72" s="51">
        <f>G72*SUM('T5'!$H$42:$I$42)</f>
        <v>372.50684635051317</v>
      </c>
      <c r="P72" s="51">
        <f>H72*SUM('T5'!$H$42:$I$42)</f>
        <v>262.60273763613202</v>
      </c>
      <c r="Q72" s="51">
        <f>B72*SUM('T5'!$J$40:$L$40)</f>
        <v>7.6188208350916398</v>
      </c>
      <c r="R72" s="51">
        <f>C72*SUM('T5'!$J$40:$L$40)</f>
        <v>52047.974534928537</v>
      </c>
      <c r="S72" s="51">
        <f>D72*SUM('T5'!$J$40:$L$40)</f>
        <v>1954.2275442010057</v>
      </c>
      <c r="T72" s="51">
        <f>E72*SUM('T5'!$J$40:$L$40)</f>
        <v>220.94580421765755</v>
      </c>
      <c r="U72" s="51">
        <f>F72*SUM('T5'!$J$40:$L$40)</f>
        <v>4342.7278760022346</v>
      </c>
      <c r="V72" s="51">
        <f>G72*SUM('T5'!$J$40:$L$40)</f>
        <v>1459.0041899200489</v>
      </c>
      <c r="W72" s="51">
        <f>H72*SUM('T5'!$J$40:$L$40)</f>
        <v>1028.5408127373714</v>
      </c>
      <c r="X72" s="51"/>
      <c r="Z72" s="51">
        <f>B72*'T21'!$E$4</f>
        <v>4.8780487804878048</v>
      </c>
      <c r="AA72" s="51">
        <f>C72*'T21'!$E$5</f>
        <v>16034.332906788793</v>
      </c>
      <c r="AB72" s="51">
        <f>D72*'T21'!$E$6</f>
        <v>2557.5759768451521</v>
      </c>
      <c r="AC72" s="51">
        <f>E72*'T21'!$E$7</f>
        <v>266.84027777777777</v>
      </c>
      <c r="AD72" s="51">
        <f>F72*'T21'!$E$8</f>
        <v>74.816240812040604</v>
      </c>
      <c r="AE72" s="51">
        <f>G72*'T21'!$E$9</f>
        <v>1039.3295677799606</v>
      </c>
      <c r="AF72" s="51">
        <f>H72*'T21'!$E$10</f>
        <v>386.86300463269362</v>
      </c>
      <c r="AG72" s="51">
        <f>B72*SUM('T21'!$F$4)</f>
        <v>5.1219512195121952</v>
      </c>
      <c r="AH72" s="51">
        <f>C72*SUM('T21'!$F$5)</f>
        <v>52280.66709321121</v>
      </c>
      <c r="AI72" s="51">
        <f>D72*SUM('T21'!$F$6)</f>
        <v>7.4240231548480455</v>
      </c>
      <c r="AJ72" s="51">
        <f>E72*SUM('T21'!$F$7)</f>
        <v>23.159722222222221</v>
      </c>
      <c r="AK72" s="51">
        <f>F72*SUM('T21'!$F$8)</f>
        <v>5625.1837591879594</v>
      </c>
      <c r="AL72" s="51">
        <f>G72*SUM('T21'!$F$9)</f>
        <v>875.67043222003929</v>
      </c>
      <c r="AM72" s="51">
        <f>H72*SUM('T21'!$F$10)</f>
        <v>963.13699536730644</v>
      </c>
    </row>
    <row r="73" spans="1:39">
      <c r="A73">
        <v>2034</v>
      </c>
      <c r="B73">
        <f t="shared" si="139"/>
        <v>10</v>
      </c>
      <c r="C73">
        <f t="shared" si="140"/>
        <v>69520</v>
      </c>
      <c r="D73">
        <f t="shared" si="141"/>
        <v>2265</v>
      </c>
      <c r="E73">
        <f t="shared" si="142"/>
        <v>290</v>
      </c>
      <c r="F73">
        <f t="shared" si="143"/>
        <v>5680</v>
      </c>
      <c r="G73">
        <f t="shared" si="144"/>
        <v>1900</v>
      </c>
      <c r="H73">
        <f t="shared" si="145"/>
        <v>1330</v>
      </c>
      <c r="J73" s="51">
        <f>B73*SUM('T5'!$H$42:$I$42)</f>
        <v>1.9452054639713481</v>
      </c>
      <c r="K73" s="51">
        <f>C73*SUM('T5'!$H$42:$I$42)</f>
        <v>13523.068385528812</v>
      </c>
      <c r="L73" s="51">
        <f>D73*SUM('T5'!$H$42:$I$42)</f>
        <v>440.58903758951033</v>
      </c>
      <c r="M73" s="51">
        <f>E73*SUM('T5'!$H$42:$I$42)</f>
        <v>56.410958455169094</v>
      </c>
      <c r="N73" s="51">
        <f>F73*SUM('T5'!$H$42:$I$42)</f>
        <v>1104.8767035357257</v>
      </c>
      <c r="O73" s="51">
        <f>G73*SUM('T5'!$H$42:$I$42)</f>
        <v>369.58903815455614</v>
      </c>
      <c r="P73" s="51">
        <f>H73*SUM('T5'!$H$42:$I$42)</f>
        <v>258.71232670818932</v>
      </c>
      <c r="Q73" s="51">
        <f>B73*SUM('T5'!$J$40:$L$40)</f>
        <v>7.6188208350916398</v>
      </c>
      <c r="R73" s="51">
        <f>C73*SUM('T5'!$J$40:$L$40)</f>
        <v>52966.042445557083</v>
      </c>
      <c r="S73" s="51">
        <f>D73*SUM('T5'!$J$40:$L$40)</f>
        <v>1725.6629191482564</v>
      </c>
      <c r="T73" s="51">
        <f>E73*SUM('T5'!$J$40:$L$40)</f>
        <v>220.94580421765755</v>
      </c>
      <c r="U73" s="51">
        <f>F73*SUM('T5'!$J$40:$L$40)</f>
        <v>4327.4902343320518</v>
      </c>
      <c r="V73" s="51">
        <f>G73*SUM('T5'!$J$40:$L$40)</f>
        <v>1447.5759586674117</v>
      </c>
      <c r="W73" s="51">
        <f>H73*SUM('T5'!$J$40:$L$40)</f>
        <v>1013.303171067188</v>
      </c>
      <c r="X73" s="51"/>
      <c r="Z73" s="51">
        <f>B73*'T21'!$E$4</f>
        <v>4.8780487804878048</v>
      </c>
      <c r="AA73" s="51">
        <f>C73*'T21'!$E$5</f>
        <v>16317.160560344828</v>
      </c>
      <c r="AB73" s="51">
        <f>D73*'T21'!$E$6</f>
        <v>2258.4442836468888</v>
      </c>
      <c r="AC73" s="51">
        <f>E73*'T21'!$E$7</f>
        <v>266.84027777777777</v>
      </c>
      <c r="AD73" s="51">
        <f>F73*'T21'!$E$8</f>
        <v>74.55372768638432</v>
      </c>
      <c r="AE73" s="51">
        <f>G73*'T21'!$E$9</f>
        <v>1031.1886051080551</v>
      </c>
      <c r="AF73" s="51">
        <f>H73*'T21'!$E$10</f>
        <v>381.1317008603574</v>
      </c>
      <c r="AG73" s="51">
        <f>B73*SUM('T21'!$F$4)</f>
        <v>5.1219512195121952</v>
      </c>
      <c r="AH73" s="51">
        <f>C73*SUM('T21'!$F$5)</f>
        <v>53202.839439655174</v>
      </c>
      <c r="AI73" s="51">
        <f>D73*SUM('T21'!$F$6)</f>
        <v>6.555716353111432</v>
      </c>
      <c r="AJ73" s="51">
        <f>E73*SUM('T21'!$F$7)</f>
        <v>23.159722222222221</v>
      </c>
      <c r="AK73" s="51">
        <f>F73*SUM('T21'!$F$8)</f>
        <v>5605.4462723136157</v>
      </c>
      <c r="AL73" s="51">
        <f>G73*SUM('T21'!$F$9)</f>
        <v>868.81139489194504</v>
      </c>
      <c r="AM73" s="51">
        <f>H73*SUM('T21'!$F$10)</f>
        <v>948.86829913964266</v>
      </c>
    </row>
    <row r="74" spans="1:39">
      <c r="A74">
        <v>2035</v>
      </c>
      <c r="B74">
        <f t="shared" si="139"/>
        <v>10</v>
      </c>
      <c r="C74">
        <f t="shared" si="140"/>
        <v>70745</v>
      </c>
      <c r="D74">
        <f t="shared" si="141"/>
        <v>2000</v>
      </c>
      <c r="E74">
        <f t="shared" si="142"/>
        <v>290</v>
      </c>
      <c r="F74">
        <f t="shared" si="143"/>
        <v>5660</v>
      </c>
      <c r="G74">
        <f t="shared" si="144"/>
        <v>1885</v>
      </c>
      <c r="H74">
        <f t="shared" si="145"/>
        <v>1310</v>
      </c>
      <c r="J74" s="51">
        <f>B74*SUM('T5'!$H$42:$I$42)</f>
        <v>1.9452054639713481</v>
      </c>
      <c r="K74" s="51">
        <f>C74*SUM('T5'!$H$42:$I$42)</f>
        <v>13761.356054865302</v>
      </c>
      <c r="L74" s="51">
        <f>D74*SUM('T5'!$H$42:$I$42)</f>
        <v>389.04109279426962</v>
      </c>
      <c r="M74" s="51">
        <f>E74*SUM('T5'!$H$42:$I$42)</f>
        <v>56.410958455169094</v>
      </c>
      <c r="N74" s="51">
        <f>F74*SUM('T5'!$H$42:$I$42)</f>
        <v>1100.9862926077831</v>
      </c>
      <c r="O74" s="51">
        <f>G74*SUM('T5'!$H$42:$I$42)</f>
        <v>366.6712299585991</v>
      </c>
      <c r="P74" s="51">
        <f>H74*SUM('T5'!$H$42:$I$42)</f>
        <v>254.8219157802466</v>
      </c>
      <c r="Q74" s="51">
        <f>B74*SUM('T5'!$J$40:$L$40)</f>
        <v>7.6188208350916398</v>
      </c>
      <c r="R74" s="51">
        <f>C74*SUM('T5'!$J$40:$L$40)</f>
        <v>53899.347997855803</v>
      </c>
      <c r="S74" s="51">
        <f>D74*SUM('T5'!$J$40:$L$40)</f>
        <v>1523.764167018328</v>
      </c>
      <c r="T74" s="51">
        <f>E74*SUM('T5'!$J$40:$L$40)</f>
        <v>220.94580421765755</v>
      </c>
      <c r="U74" s="51">
        <f>F74*SUM('T5'!$J$40:$L$40)</f>
        <v>4312.2525926618682</v>
      </c>
      <c r="V74" s="51">
        <f>G74*SUM('T5'!$J$40:$L$40)</f>
        <v>1436.1477274147742</v>
      </c>
      <c r="W74" s="51">
        <f>H74*SUM('T5'!$J$40:$L$40)</f>
        <v>998.06552939700487</v>
      </c>
      <c r="X74" s="51"/>
      <c r="Z74" s="51">
        <f>B74*'T21'!$E$4</f>
        <v>4.8780487804878048</v>
      </c>
      <c r="AA74" s="51">
        <f>C74*'T21'!$E$5</f>
        <v>16604.682448814656</v>
      </c>
      <c r="AB74" s="51">
        <f>D74*'T21'!$E$6</f>
        <v>1994.2112879884226</v>
      </c>
      <c r="AC74" s="51">
        <f>E74*'T21'!$E$7</f>
        <v>266.84027777777777</v>
      </c>
      <c r="AD74" s="51">
        <f>F74*'T21'!$E$8</f>
        <v>74.291214560728037</v>
      </c>
      <c r="AE74" s="51">
        <f>G74*'T21'!$E$9</f>
        <v>1023.0476424361493</v>
      </c>
      <c r="AF74" s="51">
        <f>H74*'T21'!$E$10</f>
        <v>375.40039708802118</v>
      </c>
      <c r="AG74" s="51">
        <f>B74*SUM('T21'!$F$4)</f>
        <v>5.1219512195121952</v>
      </c>
      <c r="AH74" s="51">
        <f>C74*SUM('T21'!$F$5)</f>
        <v>54140.317551185348</v>
      </c>
      <c r="AI74" s="51">
        <f>D74*SUM('T21'!$F$6)</f>
        <v>5.7887120115774238</v>
      </c>
      <c r="AJ74" s="51">
        <f>E74*SUM('T21'!$F$7)</f>
        <v>23.159722222222221</v>
      </c>
      <c r="AK74" s="51">
        <f>F74*SUM('T21'!$F$8)</f>
        <v>5585.7087854392721</v>
      </c>
      <c r="AL74" s="51">
        <f>G74*SUM('T21'!$F$9)</f>
        <v>861.95235756385068</v>
      </c>
      <c r="AM74" s="51">
        <f>H74*SUM('T21'!$F$10)</f>
        <v>934.59960291197888</v>
      </c>
    </row>
    <row r="76" spans="1:39">
      <c r="B76" s="177" t="s">
        <v>432</v>
      </c>
      <c r="C76" s="177"/>
      <c r="D76" s="177"/>
      <c r="E76" s="177"/>
      <c r="F76" s="177"/>
      <c r="G76" s="177"/>
      <c r="H76" s="177"/>
    </row>
    <row r="77" spans="1:39">
      <c r="A77">
        <v>2026</v>
      </c>
      <c r="B77">
        <f t="shared" ref="B77:H77" si="146">IF(B$44&gt;0,MROUND(B14+(B$14*B$44),5),MROUND(B$14-(B$14*ABS(B$44)),5))</f>
        <v>40</v>
      </c>
      <c r="C77">
        <f t="shared" si="146"/>
        <v>61690</v>
      </c>
      <c r="D77">
        <f t="shared" si="146"/>
        <v>6345</v>
      </c>
      <c r="E77">
        <f t="shared" si="146"/>
        <v>310</v>
      </c>
      <c r="F77">
        <f t="shared" si="146"/>
        <v>5965</v>
      </c>
      <c r="G77">
        <f t="shared" si="146"/>
        <v>2035</v>
      </c>
      <c r="H77">
        <f t="shared" si="146"/>
        <v>1555</v>
      </c>
      <c r="J77" s="51">
        <f>B77*SUM('T5'!$H$42:$I$42)</f>
        <v>7.7808218558853923</v>
      </c>
      <c r="K77" s="51">
        <f>C77*SUM('T5'!$H$42:$I$42)</f>
        <v>11999.972507239247</v>
      </c>
      <c r="L77" s="51">
        <f>D77*SUM('T5'!$H$42:$I$42)</f>
        <v>1234.2328668898203</v>
      </c>
      <c r="M77" s="51">
        <f>E77*SUM('T5'!$H$42:$I$42)</f>
        <v>60.301369383111791</v>
      </c>
      <c r="N77" s="51">
        <f>F77*SUM('T5'!$H$42:$I$42)</f>
        <v>1160.3150592589091</v>
      </c>
      <c r="O77" s="51">
        <f>G77*SUM('T5'!$H$42:$I$42)</f>
        <v>395.84931191816935</v>
      </c>
      <c r="P77" s="51">
        <f>H77*SUM('T5'!$H$42:$I$42)</f>
        <v>302.47944964754464</v>
      </c>
      <c r="Q77" s="51">
        <f>B77*SUM('T5'!$J$40:$L$40)</f>
        <v>30.475283340366559</v>
      </c>
      <c r="R77" s="51">
        <f>C77*SUM('T5'!$J$40:$L$40)</f>
        <v>47000.505731680329</v>
      </c>
      <c r="S77" s="51">
        <f>D77*SUM('T5'!$J$40:$L$40)</f>
        <v>4834.1418198656456</v>
      </c>
      <c r="T77" s="51">
        <f>E77*SUM('T5'!$J$40:$L$40)</f>
        <v>236.18344588784083</v>
      </c>
      <c r="U77" s="51">
        <f>F77*SUM('T5'!$J$40:$L$40)</f>
        <v>4544.6266281321632</v>
      </c>
      <c r="V77" s="51">
        <f>G77*SUM('T5'!$J$40:$L$40)</f>
        <v>1550.4300399411486</v>
      </c>
      <c r="W77" s="51">
        <f>H77*SUM('T5'!$J$40:$L$40)</f>
        <v>1184.7266398567499</v>
      </c>
      <c r="X77" s="51"/>
      <c r="Z77" s="51">
        <f>B77*'T21'!$E$4</f>
        <v>19.512195121951219</v>
      </c>
      <c r="AA77" s="51">
        <f>C77*'T21'!$E$5</f>
        <v>14479.367591594828</v>
      </c>
      <c r="AB77" s="51">
        <f>D77*'T21'!$E$6</f>
        <v>6326.6353111432709</v>
      </c>
      <c r="AC77" s="51">
        <f>E77*'T21'!$E$7</f>
        <v>285.24305555555554</v>
      </c>
      <c r="AD77" s="51">
        <f>F77*'T21'!$E$8</f>
        <v>78.294539726986358</v>
      </c>
      <c r="AE77" s="51">
        <f>G77*'T21'!$E$9</f>
        <v>1104.4572691552062</v>
      </c>
      <c r="AF77" s="51">
        <f>H77*'T21'!$E$10</f>
        <v>445.60886829913966</v>
      </c>
      <c r="AG77" s="51">
        <f>B77*SUM('T21'!$F$4)</f>
        <v>20.487804878048781</v>
      </c>
      <c r="AH77" s="51">
        <f>C77*SUM('T21'!$F$5)</f>
        <v>47210.632408405174</v>
      </c>
      <c r="AI77" s="51">
        <f>D77*SUM('T21'!$F$6)</f>
        <v>18.364688856729376</v>
      </c>
      <c r="AJ77" s="51">
        <f>E77*SUM('T21'!$F$7)</f>
        <v>24.756944444444443</v>
      </c>
      <c r="AK77" s="51">
        <f>F77*SUM('T21'!$F$8)</f>
        <v>5886.7054602730141</v>
      </c>
      <c r="AL77" s="51">
        <f>G77*SUM('T21'!$F$9)</f>
        <v>930.54273084479371</v>
      </c>
      <c r="AM77" s="51">
        <f>H77*SUM('T21'!$F$10)</f>
        <v>1109.3911317008603</v>
      </c>
    </row>
    <row r="78" spans="1:39">
      <c r="A78">
        <v>2027</v>
      </c>
      <c r="B78">
        <f t="shared" ref="B78:B86" si="147">IF(B$44&gt;0,MROUND(B77+(B77*B$44),5),MROUND(B77-(B77*ABS(B$44)),5))</f>
        <v>40</v>
      </c>
      <c r="C78">
        <f t="shared" ref="C78:C86" si="148">IF(C$44&gt;0,MROUND(C77+(C77*C$44),5),MROUND(C77-(C77*ABS(C$44)),5))</f>
        <v>64080</v>
      </c>
      <c r="D78">
        <f t="shared" ref="D78:D86" si="149">IF(D$44&gt;0,MROUND(D77+(D77*D$44),5),MROUND(D77-(D77*ABS(D$44)),5))</f>
        <v>5825</v>
      </c>
      <c r="E78">
        <f t="shared" ref="E78:E86" si="150">IF(E$44&gt;0,MROUND(E77+(E77*E$44),5),MROUND(E77-(E77*ABS(E$44)),5))</f>
        <v>335</v>
      </c>
      <c r="F78">
        <f t="shared" ref="F78:F86" si="151">IF(F$44&gt;0,MROUND(F77+(F77*F$44),5),MROUND(F77-(F77*ABS(F$44)),5))</f>
        <v>6065</v>
      </c>
      <c r="G78">
        <f t="shared" ref="G78:G86" si="152">IF(G$44&gt;0,MROUND(G77+(G77*G$44),5),MROUND(G77-(G77*ABS(G$44)),5))</f>
        <v>2035</v>
      </c>
      <c r="H78">
        <f t="shared" ref="H78:H86" si="153">IF(H$44&gt;0,MROUND(H77+(H77*H$44),5),MROUND(H77-(H77*ABS(H$44)),5))</f>
        <v>1600</v>
      </c>
      <c r="J78" s="51">
        <f>B78*SUM('T5'!$H$42:$I$42)</f>
        <v>7.7808218558853923</v>
      </c>
      <c r="K78" s="51">
        <f>C78*SUM('T5'!$H$42:$I$42)</f>
        <v>12464.876613128399</v>
      </c>
      <c r="L78" s="51">
        <f>D78*SUM('T5'!$H$42:$I$42)</f>
        <v>1133.0821827633104</v>
      </c>
      <c r="M78" s="51">
        <f>E78*SUM('T5'!$H$42:$I$42)</f>
        <v>65.164383043040161</v>
      </c>
      <c r="N78" s="51">
        <f>F78*SUM('T5'!$H$42:$I$42)</f>
        <v>1179.7671138986227</v>
      </c>
      <c r="O78" s="51">
        <f>G78*SUM('T5'!$H$42:$I$42)</f>
        <v>395.84931191816935</v>
      </c>
      <c r="P78" s="51">
        <f>H78*SUM('T5'!$H$42:$I$42)</f>
        <v>311.23287423541569</v>
      </c>
      <c r="Q78" s="51">
        <f>B78*SUM('T5'!$J$40:$L$40)</f>
        <v>30.475283340366559</v>
      </c>
      <c r="R78" s="51">
        <f>C78*SUM('T5'!$J$40:$L$40)</f>
        <v>48821.403911267225</v>
      </c>
      <c r="S78" s="51">
        <f>D78*SUM('T5'!$J$40:$L$40)</f>
        <v>4437.9631364408806</v>
      </c>
      <c r="T78" s="51">
        <f>E78*SUM('T5'!$J$40:$L$40)</f>
        <v>255.23049797556993</v>
      </c>
      <c r="U78" s="51">
        <f>F78*SUM('T5'!$J$40:$L$40)</f>
        <v>4620.8148364830795</v>
      </c>
      <c r="V78" s="51">
        <f>G78*SUM('T5'!$J$40:$L$40)</f>
        <v>1550.4300399411486</v>
      </c>
      <c r="W78" s="51">
        <f>H78*SUM('T5'!$J$40:$L$40)</f>
        <v>1219.0113336146624</v>
      </c>
      <c r="X78" s="51"/>
      <c r="Z78" s="51">
        <f>B78*'T21'!$E$4</f>
        <v>19.512195121951219</v>
      </c>
      <c r="AA78" s="51">
        <f>C78*'T21'!$E$5</f>
        <v>15040.328663793103</v>
      </c>
      <c r="AB78" s="51">
        <f>D78*'T21'!$E$6</f>
        <v>5808.1403762662812</v>
      </c>
      <c r="AC78" s="51">
        <f>E78*'T21'!$E$7</f>
        <v>308.24652777777777</v>
      </c>
      <c r="AD78" s="51">
        <f>F78*'T21'!$E$8</f>
        <v>79.607105355267763</v>
      </c>
      <c r="AE78" s="51">
        <f>G78*'T21'!$E$9</f>
        <v>1104.4572691552062</v>
      </c>
      <c r="AF78" s="51">
        <f>H78*'T21'!$E$10</f>
        <v>458.50430178689612</v>
      </c>
      <c r="AG78" s="51">
        <f>B78*SUM('T21'!$F$4)</f>
        <v>20.487804878048781</v>
      </c>
      <c r="AH78" s="51">
        <f>C78*SUM('T21'!$F$5)</f>
        <v>49039.671336206899</v>
      </c>
      <c r="AI78" s="51">
        <f>D78*SUM('T21'!$F$6)</f>
        <v>16.859623733719246</v>
      </c>
      <c r="AJ78" s="51">
        <f>E78*SUM('T21'!$F$7)</f>
        <v>26.753472222222221</v>
      </c>
      <c r="AK78" s="51">
        <f>F78*SUM('T21'!$F$8)</f>
        <v>5985.3928946447322</v>
      </c>
      <c r="AL78" s="51">
        <f>G78*SUM('T21'!$F$9)</f>
        <v>930.54273084479371</v>
      </c>
      <c r="AM78" s="51">
        <f>H78*SUM('T21'!$F$10)</f>
        <v>1141.4956982131039</v>
      </c>
    </row>
    <row r="79" spans="1:39">
      <c r="A79">
        <v>2028</v>
      </c>
      <c r="B79">
        <f t="shared" si="147"/>
        <v>40</v>
      </c>
      <c r="C79">
        <f t="shared" si="148"/>
        <v>66560</v>
      </c>
      <c r="D79">
        <f t="shared" si="149"/>
        <v>5345</v>
      </c>
      <c r="E79">
        <f t="shared" si="150"/>
        <v>360</v>
      </c>
      <c r="F79">
        <f t="shared" si="151"/>
        <v>6170</v>
      </c>
      <c r="G79">
        <f t="shared" si="152"/>
        <v>2035</v>
      </c>
      <c r="H79">
        <f t="shared" si="153"/>
        <v>1645</v>
      </c>
      <c r="J79" s="51">
        <f>B79*SUM('T5'!$H$42:$I$42)</f>
        <v>7.7808218558853923</v>
      </c>
      <c r="K79" s="51">
        <f>C79*SUM('T5'!$H$42:$I$42)</f>
        <v>12947.287568193293</v>
      </c>
      <c r="L79" s="51">
        <f>D79*SUM('T5'!$H$42:$I$42)</f>
        <v>1039.7123204926856</v>
      </c>
      <c r="M79" s="51">
        <f>E79*SUM('T5'!$H$42:$I$42)</f>
        <v>70.027396702968531</v>
      </c>
      <c r="N79" s="51">
        <f>F79*SUM('T5'!$H$42:$I$42)</f>
        <v>1200.1917712703219</v>
      </c>
      <c r="O79" s="51">
        <f>G79*SUM('T5'!$H$42:$I$42)</f>
        <v>395.84931191816935</v>
      </c>
      <c r="P79" s="51">
        <f>H79*SUM('T5'!$H$42:$I$42)</f>
        <v>319.98629882328675</v>
      </c>
      <c r="Q79" s="51">
        <f>B79*SUM('T5'!$J$40:$L$40)</f>
        <v>30.475283340366559</v>
      </c>
      <c r="R79" s="51">
        <f>C79*SUM('T5'!$J$40:$L$40)</f>
        <v>50710.871478369954</v>
      </c>
      <c r="S79" s="51">
        <f>D79*SUM('T5'!$J$40:$L$40)</f>
        <v>4072.2597363564814</v>
      </c>
      <c r="T79" s="51">
        <f>E79*SUM('T5'!$J$40:$L$40)</f>
        <v>274.27755006329903</v>
      </c>
      <c r="U79" s="51">
        <f>F79*SUM('T5'!$J$40:$L$40)</f>
        <v>4700.8124552515419</v>
      </c>
      <c r="V79" s="51">
        <f>G79*SUM('T5'!$J$40:$L$40)</f>
        <v>1550.4300399411486</v>
      </c>
      <c r="W79" s="51">
        <f>H79*SUM('T5'!$J$40:$L$40)</f>
        <v>1253.2960273725748</v>
      </c>
      <c r="X79" s="51"/>
      <c r="Z79" s="51">
        <f>B79*'T21'!$E$4</f>
        <v>19.512195121951219</v>
      </c>
      <c r="AA79" s="51">
        <f>C79*'T21'!$E$5</f>
        <v>15622.413793103447</v>
      </c>
      <c r="AB79" s="51">
        <f>D79*'T21'!$E$6</f>
        <v>5329.5296671490596</v>
      </c>
      <c r="AC79" s="51">
        <f>E79*'T21'!$E$7</f>
        <v>331.25</v>
      </c>
      <c r="AD79" s="51">
        <f>F79*'T21'!$E$8</f>
        <v>80.985299264963245</v>
      </c>
      <c r="AE79" s="51">
        <f>G79*'T21'!$E$9</f>
        <v>1104.4572691552062</v>
      </c>
      <c r="AF79" s="51">
        <f>H79*'T21'!$E$10</f>
        <v>471.39973527465258</v>
      </c>
      <c r="AG79" s="51">
        <f>B79*SUM('T21'!$F$4)</f>
        <v>20.487804878048781</v>
      </c>
      <c r="AH79" s="51">
        <f>C79*SUM('T21'!$F$5)</f>
        <v>50937.586206896551</v>
      </c>
      <c r="AI79" s="51">
        <f>D79*SUM('T21'!$F$6)</f>
        <v>15.470332850940665</v>
      </c>
      <c r="AJ79" s="51">
        <f>E79*SUM('T21'!$F$7)</f>
        <v>28.749999999999996</v>
      </c>
      <c r="AK79" s="51">
        <f>F79*SUM('T21'!$F$8)</f>
        <v>6089.014700735037</v>
      </c>
      <c r="AL79" s="51">
        <f>G79*SUM('T21'!$F$9)</f>
        <v>930.54273084479371</v>
      </c>
      <c r="AM79" s="51">
        <f>H79*SUM('T21'!$F$10)</f>
        <v>1173.6002647253474</v>
      </c>
    </row>
    <row r="80" spans="1:39">
      <c r="A80">
        <v>2029</v>
      </c>
      <c r="B80">
        <f t="shared" si="147"/>
        <v>40</v>
      </c>
      <c r="C80">
        <f t="shared" si="148"/>
        <v>69135</v>
      </c>
      <c r="D80">
        <f t="shared" si="149"/>
        <v>4905</v>
      </c>
      <c r="E80">
        <f t="shared" si="150"/>
        <v>390</v>
      </c>
      <c r="F80">
        <f t="shared" si="151"/>
        <v>6275</v>
      </c>
      <c r="G80">
        <f t="shared" si="152"/>
        <v>2035</v>
      </c>
      <c r="H80">
        <f t="shared" si="153"/>
        <v>1690</v>
      </c>
      <c r="J80" s="51">
        <f>B80*SUM('T5'!$H$42:$I$42)</f>
        <v>7.7808218558853923</v>
      </c>
      <c r="K80" s="51">
        <f>C80*SUM('T5'!$H$42:$I$42)</f>
        <v>13448.177975165916</v>
      </c>
      <c r="L80" s="51">
        <f>D80*SUM('T5'!$H$42:$I$42)</f>
        <v>954.12328007794622</v>
      </c>
      <c r="M80" s="51">
        <f>E80*SUM('T5'!$H$42:$I$42)</f>
        <v>75.863013094882575</v>
      </c>
      <c r="N80" s="51">
        <f>F80*SUM('T5'!$H$42:$I$42)</f>
        <v>1220.616428642021</v>
      </c>
      <c r="O80" s="51">
        <f>G80*SUM('T5'!$H$42:$I$42)</f>
        <v>395.84931191816935</v>
      </c>
      <c r="P80" s="51">
        <f>H80*SUM('T5'!$H$42:$I$42)</f>
        <v>328.73972341115785</v>
      </c>
      <c r="Q80" s="51">
        <f>B80*SUM('T5'!$J$40:$L$40)</f>
        <v>30.475283340366559</v>
      </c>
      <c r="R80" s="51">
        <f>C80*SUM('T5'!$J$40:$L$40)</f>
        <v>52672.717843406048</v>
      </c>
      <c r="S80" s="51">
        <f>D80*SUM('T5'!$J$40:$L$40)</f>
        <v>3737.0316196124495</v>
      </c>
      <c r="T80" s="51">
        <f>E80*SUM('T5'!$J$40:$L$40)</f>
        <v>297.13401256857395</v>
      </c>
      <c r="U80" s="51">
        <f>F80*SUM('T5'!$J$40:$L$40)</f>
        <v>4780.8100740200043</v>
      </c>
      <c r="V80" s="51">
        <f>G80*SUM('T5'!$J$40:$L$40)</f>
        <v>1550.4300399411486</v>
      </c>
      <c r="W80" s="51">
        <f>H80*SUM('T5'!$J$40:$L$40)</f>
        <v>1287.5807211304871</v>
      </c>
      <c r="X80" s="51"/>
      <c r="Z80" s="51">
        <f>B80*'T21'!$E$4</f>
        <v>19.512195121951219</v>
      </c>
      <c r="AA80" s="51">
        <f>C80*'T21'!$E$5</f>
        <v>16226.79653825431</v>
      </c>
      <c r="AB80" s="51">
        <f>D80*'T21'!$E$6</f>
        <v>4890.8031837916069</v>
      </c>
      <c r="AC80" s="51">
        <f>E80*'T21'!$E$7</f>
        <v>358.85416666666663</v>
      </c>
      <c r="AD80" s="51">
        <f>F80*'T21'!$E$8</f>
        <v>82.363493174658743</v>
      </c>
      <c r="AE80" s="51">
        <f>G80*'T21'!$E$9</f>
        <v>1104.4572691552062</v>
      </c>
      <c r="AF80" s="51">
        <f>H80*'T21'!$E$10</f>
        <v>484.29516876240905</v>
      </c>
      <c r="AG80" s="51">
        <f>B80*SUM('T21'!$F$4)</f>
        <v>20.487804878048781</v>
      </c>
      <c r="AH80" s="51">
        <f>C80*SUM('T21'!$F$5)</f>
        <v>52908.203461745696</v>
      </c>
      <c r="AI80" s="51">
        <f>D80*SUM('T21'!$F$6)</f>
        <v>14.196816208393631</v>
      </c>
      <c r="AJ80" s="51">
        <f>E80*SUM('T21'!$F$7)</f>
        <v>31.145833333333332</v>
      </c>
      <c r="AK80" s="51">
        <f>F80*SUM('T21'!$F$8)</f>
        <v>6192.6365068253408</v>
      </c>
      <c r="AL80" s="51">
        <f>G80*SUM('T21'!$F$9)</f>
        <v>930.54273084479371</v>
      </c>
      <c r="AM80" s="51">
        <f>H80*SUM('T21'!$F$10)</f>
        <v>1205.7048312375912</v>
      </c>
    </row>
    <row r="81" spans="1:40">
      <c r="A81">
        <v>2030</v>
      </c>
      <c r="B81">
        <f t="shared" si="147"/>
        <v>40</v>
      </c>
      <c r="C81">
        <f t="shared" si="148"/>
        <v>71810</v>
      </c>
      <c r="D81">
        <f t="shared" si="149"/>
        <v>4505</v>
      </c>
      <c r="E81">
        <f t="shared" si="150"/>
        <v>420</v>
      </c>
      <c r="F81">
        <f t="shared" si="151"/>
        <v>6380</v>
      </c>
      <c r="G81">
        <f t="shared" si="152"/>
        <v>2035</v>
      </c>
      <c r="H81">
        <f t="shared" si="153"/>
        <v>1735</v>
      </c>
      <c r="J81" s="51">
        <f>B81*SUM('T5'!$H$42:$I$42)</f>
        <v>7.7808218558853923</v>
      </c>
      <c r="K81" s="51">
        <f>C81*SUM('T5'!$H$42:$I$42)</f>
        <v>13968.520436778252</v>
      </c>
      <c r="L81" s="51">
        <f>D81*SUM('T5'!$H$42:$I$42)</f>
        <v>876.3150615190923</v>
      </c>
      <c r="M81" s="51">
        <f>E81*SUM('T5'!$H$42:$I$42)</f>
        <v>81.698629486796619</v>
      </c>
      <c r="N81" s="51">
        <f>F81*SUM('T5'!$H$42:$I$42)</f>
        <v>1241.0410860137201</v>
      </c>
      <c r="O81" s="51">
        <f>G81*SUM('T5'!$H$42:$I$42)</f>
        <v>395.84931191816935</v>
      </c>
      <c r="P81" s="51">
        <f>H81*SUM('T5'!$H$42:$I$42)</f>
        <v>337.49314799902891</v>
      </c>
      <c r="Q81" s="51">
        <f>B81*SUM('T5'!$J$40:$L$40)</f>
        <v>30.475283340366559</v>
      </c>
      <c r="R81" s="51">
        <f>C81*SUM('T5'!$J$40:$L$40)</f>
        <v>54710.752416793068</v>
      </c>
      <c r="S81" s="51">
        <f>D81*SUM('T5'!$J$40:$L$40)</f>
        <v>3432.2787862087839</v>
      </c>
      <c r="T81" s="51">
        <f>E81*SUM('T5'!$J$40:$L$40)</f>
        <v>319.99047507384887</v>
      </c>
      <c r="U81" s="51">
        <f>F81*SUM('T5'!$J$40:$L$40)</f>
        <v>4860.8076927884658</v>
      </c>
      <c r="V81" s="51">
        <f>G81*SUM('T5'!$J$40:$L$40)</f>
        <v>1550.4300399411486</v>
      </c>
      <c r="W81" s="51">
        <f>H81*SUM('T5'!$J$40:$L$40)</f>
        <v>1321.8654148883995</v>
      </c>
      <c r="X81" s="51"/>
      <c r="Z81" s="51">
        <f>B81*'T21'!$E$4</f>
        <v>19.512195121951219</v>
      </c>
      <c r="AA81" s="51">
        <f>C81*'T21'!$E$5</f>
        <v>16854.650457974138</v>
      </c>
      <c r="AB81" s="51">
        <f>D81*'T21'!$E$6</f>
        <v>4491.9609261939222</v>
      </c>
      <c r="AC81" s="51">
        <f>E81*'T21'!$E$7</f>
        <v>386.45833333333331</v>
      </c>
      <c r="AD81" s="51">
        <f>F81*'T21'!$E$8</f>
        <v>83.741687084354226</v>
      </c>
      <c r="AE81" s="51">
        <f>G81*'T21'!$E$9</f>
        <v>1104.4572691552062</v>
      </c>
      <c r="AF81" s="51">
        <f>H81*'T21'!$E$10</f>
        <v>497.19060225016545</v>
      </c>
      <c r="AG81" s="51">
        <f>B81*SUM('T21'!$F$4)</f>
        <v>20.487804878048781</v>
      </c>
      <c r="AH81" s="51">
        <f>C81*SUM('T21'!$F$5)</f>
        <v>54955.349542025862</v>
      </c>
      <c r="AI81" s="51">
        <f>D81*SUM('T21'!$F$6)</f>
        <v>13.039073806078147</v>
      </c>
      <c r="AJ81" s="51">
        <f>E81*SUM('T21'!$F$7)</f>
        <v>33.541666666666664</v>
      </c>
      <c r="AK81" s="51">
        <f>F81*SUM('T21'!$F$8)</f>
        <v>6296.2583129156455</v>
      </c>
      <c r="AL81" s="51">
        <f>G81*SUM('T21'!$F$9)</f>
        <v>930.54273084479371</v>
      </c>
      <c r="AM81" s="51">
        <f>H81*SUM('T21'!$F$10)</f>
        <v>1237.8093977498347</v>
      </c>
    </row>
    <row r="82" spans="1:40">
      <c r="A82">
        <v>2031</v>
      </c>
      <c r="B82">
        <f t="shared" si="147"/>
        <v>40</v>
      </c>
      <c r="C82">
        <f t="shared" si="148"/>
        <v>74590</v>
      </c>
      <c r="D82">
        <f t="shared" si="149"/>
        <v>4135</v>
      </c>
      <c r="E82">
        <f t="shared" si="150"/>
        <v>455</v>
      </c>
      <c r="F82">
        <f t="shared" si="151"/>
        <v>6490</v>
      </c>
      <c r="G82">
        <f t="shared" si="152"/>
        <v>2035</v>
      </c>
      <c r="H82">
        <f t="shared" si="153"/>
        <v>1785</v>
      </c>
      <c r="J82" s="51">
        <f>B82*SUM('T5'!$H$42:$I$42)</f>
        <v>7.7808218558853923</v>
      </c>
      <c r="K82" s="51">
        <f>C82*SUM('T5'!$H$42:$I$42)</f>
        <v>14509.287555762287</v>
      </c>
      <c r="L82" s="51">
        <f>D82*SUM('T5'!$H$42:$I$42)</f>
        <v>804.34245935215245</v>
      </c>
      <c r="M82" s="51">
        <f>E82*SUM('T5'!$H$42:$I$42)</f>
        <v>88.506848610696338</v>
      </c>
      <c r="N82" s="51">
        <f>F82*SUM('T5'!$H$42:$I$42)</f>
        <v>1262.438346117405</v>
      </c>
      <c r="O82" s="51">
        <f>G82*SUM('T5'!$H$42:$I$42)</f>
        <v>395.84931191816935</v>
      </c>
      <c r="P82" s="51">
        <f>H82*SUM('T5'!$H$42:$I$42)</f>
        <v>347.21917531888562</v>
      </c>
      <c r="Q82" s="51">
        <f>B82*SUM('T5'!$J$40:$L$40)</f>
        <v>30.475283340366559</v>
      </c>
      <c r="R82" s="51">
        <f>C82*SUM('T5'!$J$40:$L$40)</f>
        <v>56828.784608948539</v>
      </c>
      <c r="S82" s="51">
        <f>D82*SUM('T5'!$J$40:$L$40)</f>
        <v>3150.3824153103928</v>
      </c>
      <c r="T82" s="51">
        <f>E82*SUM('T5'!$J$40:$L$40)</f>
        <v>346.65634799666964</v>
      </c>
      <c r="U82" s="51">
        <f>F82*SUM('T5'!$J$40:$L$40)</f>
        <v>4944.6147219744744</v>
      </c>
      <c r="V82" s="51">
        <f>G82*SUM('T5'!$J$40:$L$40)</f>
        <v>1550.4300399411486</v>
      </c>
      <c r="W82" s="51">
        <f>H82*SUM('T5'!$J$40:$L$40)</f>
        <v>1359.9595190638577</v>
      </c>
      <c r="X82" s="51"/>
      <c r="Z82" s="51">
        <f>B82*'T21'!$E$4</f>
        <v>19.512195121951219</v>
      </c>
      <c r="AA82" s="51">
        <f>C82*'T21'!$E$5</f>
        <v>17507.14911099138</v>
      </c>
      <c r="AB82" s="51">
        <f>D82*'T21'!$E$6</f>
        <v>4123.0318379160635</v>
      </c>
      <c r="AC82" s="51">
        <f>E82*'T21'!$E$7</f>
        <v>418.6631944444444</v>
      </c>
      <c r="AD82" s="51">
        <f>F82*'T21'!$E$8</f>
        <v>85.185509275463772</v>
      </c>
      <c r="AE82" s="51">
        <f>G82*'T21'!$E$9</f>
        <v>1104.4572691552062</v>
      </c>
      <c r="AF82" s="51">
        <f>H82*'T21'!$E$10</f>
        <v>511.518861681006</v>
      </c>
      <c r="AG82" s="51">
        <f>B82*SUM('T21'!$F$4)</f>
        <v>20.487804878048781</v>
      </c>
      <c r="AH82" s="51">
        <f>C82*SUM('T21'!$F$5)</f>
        <v>57082.850889008623</v>
      </c>
      <c r="AI82" s="51">
        <f>D82*SUM('T21'!$F$6)</f>
        <v>11.968162083936324</v>
      </c>
      <c r="AJ82" s="51">
        <f>E82*SUM('T21'!$F$7)</f>
        <v>36.33680555555555</v>
      </c>
      <c r="AK82" s="51">
        <f>F82*SUM('T21'!$F$8)</f>
        <v>6404.814490724536</v>
      </c>
      <c r="AL82" s="51">
        <f>G82*SUM('T21'!$F$9)</f>
        <v>930.54273084479371</v>
      </c>
      <c r="AM82" s="51">
        <f>H82*SUM('T21'!$F$10)</f>
        <v>1273.4811383189942</v>
      </c>
    </row>
    <row r="83" spans="1:40">
      <c r="A83">
        <v>2032</v>
      </c>
      <c r="B83">
        <f t="shared" si="147"/>
        <v>40</v>
      </c>
      <c r="C83">
        <f t="shared" si="148"/>
        <v>77475</v>
      </c>
      <c r="D83">
        <f t="shared" si="149"/>
        <v>3795</v>
      </c>
      <c r="E83">
        <f t="shared" si="150"/>
        <v>490</v>
      </c>
      <c r="F83">
        <f t="shared" si="151"/>
        <v>6600</v>
      </c>
      <c r="G83">
        <f t="shared" si="152"/>
        <v>2035</v>
      </c>
      <c r="H83">
        <f t="shared" si="153"/>
        <v>1835</v>
      </c>
      <c r="J83" s="51">
        <f>B83*SUM('T5'!$H$42:$I$42)</f>
        <v>7.7808218558853923</v>
      </c>
      <c r="K83" s="51">
        <f>C83*SUM('T5'!$H$42:$I$42)</f>
        <v>15070.47933211802</v>
      </c>
      <c r="L83" s="51">
        <f>D83*SUM('T5'!$H$42:$I$42)</f>
        <v>738.20547357712667</v>
      </c>
      <c r="M83" s="51">
        <f>E83*SUM('T5'!$H$42:$I$42)</f>
        <v>95.315067734596056</v>
      </c>
      <c r="N83" s="51">
        <f>F83*SUM('T5'!$H$42:$I$42)</f>
        <v>1283.8356062210898</v>
      </c>
      <c r="O83" s="51">
        <f>G83*SUM('T5'!$H$42:$I$42)</f>
        <v>395.84931191816935</v>
      </c>
      <c r="P83" s="51">
        <f>H83*SUM('T5'!$H$42:$I$42)</f>
        <v>356.94520263874239</v>
      </c>
      <c r="Q83" s="51">
        <f>B83*SUM('T5'!$J$40:$L$40)</f>
        <v>30.475283340366559</v>
      </c>
      <c r="R83" s="51">
        <f>C83*SUM('T5'!$J$40:$L$40)</f>
        <v>59026.814419872477</v>
      </c>
      <c r="S83" s="51">
        <f>D83*SUM('T5'!$J$40:$L$40)</f>
        <v>2891.3425069172772</v>
      </c>
      <c r="T83" s="51">
        <f>E83*SUM('T5'!$J$40:$L$40)</f>
        <v>373.32222091949035</v>
      </c>
      <c r="U83" s="51">
        <f>F83*SUM('T5'!$J$40:$L$40)</f>
        <v>5028.421751160482</v>
      </c>
      <c r="V83" s="51">
        <f>G83*SUM('T5'!$J$40:$L$40)</f>
        <v>1550.4300399411486</v>
      </c>
      <c r="W83" s="51">
        <f>H83*SUM('T5'!$J$40:$L$40)</f>
        <v>1398.0536232393158</v>
      </c>
      <c r="X83" s="51"/>
      <c r="Z83" s="51">
        <f>B83*'T21'!$E$4</f>
        <v>19.512195121951219</v>
      </c>
      <c r="AA83" s="51">
        <f>C83*'T21'!$E$5</f>
        <v>18184.292497306033</v>
      </c>
      <c r="AB83" s="51">
        <f>D83*'T21'!$E$6</f>
        <v>3784.0159189580318</v>
      </c>
      <c r="AC83" s="51">
        <f>E83*'T21'!$E$7</f>
        <v>450.86805555555554</v>
      </c>
      <c r="AD83" s="51">
        <f>F83*'T21'!$E$8</f>
        <v>86.629331466573333</v>
      </c>
      <c r="AE83" s="51">
        <f>G83*'T21'!$E$9</f>
        <v>1104.4572691552062</v>
      </c>
      <c r="AF83" s="51">
        <f>H83*'T21'!$E$10</f>
        <v>525.84712111184649</v>
      </c>
      <c r="AG83" s="51">
        <f>B83*SUM('T21'!$F$4)</f>
        <v>20.487804878048781</v>
      </c>
      <c r="AH83" s="51">
        <f>C83*SUM('T21'!$F$5)</f>
        <v>59290.707502693971</v>
      </c>
      <c r="AI83" s="51">
        <f>D83*SUM('T21'!$F$6)</f>
        <v>10.984081041968162</v>
      </c>
      <c r="AJ83" s="51">
        <f>E83*SUM('T21'!$F$7)</f>
        <v>39.131944444444443</v>
      </c>
      <c r="AK83" s="51">
        <f>F83*SUM('T21'!$F$8)</f>
        <v>6513.3706685334264</v>
      </c>
      <c r="AL83" s="51">
        <f>G83*SUM('T21'!$F$9)</f>
        <v>930.54273084479371</v>
      </c>
      <c r="AM83" s="51">
        <f>H83*SUM('T21'!$F$10)</f>
        <v>1309.1528788881535</v>
      </c>
    </row>
    <row r="84" spans="1:40">
      <c r="A84">
        <v>2033</v>
      </c>
      <c r="B84">
        <f t="shared" si="147"/>
        <v>40</v>
      </c>
      <c r="C84">
        <f t="shared" si="148"/>
        <v>80475</v>
      </c>
      <c r="D84">
        <f t="shared" si="149"/>
        <v>3485</v>
      </c>
      <c r="E84">
        <f t="shared" si="150"/>
        <v>530</v>
      </c>
      <c r="F84">
        <f t="shared" si="151"/>
        <v>6715</v>
      </c>
      <c r="G84">
        <f t="shared" si="152"/>
        <v>2035</v>
      </c>
      <c r="H84">
        <f t="shared" si="153"/>
        <v>1885</v>
      </c>
      <c r="J84" s="51">
        <f>B84*SUM('T5'!$H$42:$I$42)</f>
        <v>7.7808218558853923</v>
      </c>
      <c r="K84" s="51">
        <f>C84*SUM('T5'!$H$42:$I$42)</f>
        <v>15654.040971309425</v>
      </c>
      <c r="L84" s="51">
        <f>D84*SUM('T5'!$H$42:$I$42)</f>
        <v>677.90410419401485</v>
      </c>
      <c r="M84" s="51">
        <f>E84*SUM('T5'!$H$42:$I$42)</f>
        <v>103.09588959048145</v>
      </c>
      <c r="N84" s="51">
        <f>F84*SUM('T5'!$H$42:$I$42)</f>
        <v>1306.2054690567602</v>
      </c>
      <c r="O84" s="51">
        <f>G84*SUM('T5'!$H$42:$I$42)</f>
        <v>395.84931191816935</v>
      </c>
      <c r="P84" s="51">
        <f>H84*SUM('T5'!$H$42:$I$42)</f>
        <v>366.6712299585991</v>
      </c>
      <c r="Q84" s="51">
        <f>B84*SUM('T5'!$J$40:$L$40)</f>
        <v>30.475283340366559</v>
      </c>
      <c r="R84" s="51">
        <f>C84*SUM('T5'!$J$40:$L$40)</f>
        <v>61312.460670399974</v>
      </c>
      <c r="S84" s="51">
        <f>D84*SUM('T5'!$J$40:$L$40)</f>
        <v>2655.1590610294365</v>
      </c>
      <c r="T84" s="51">
        <f>E84*SUM('T5'!$J$40:$L$40)</f>
        <v>403.79750425985691</v>
      </c>
      <c r="U84" s="51">
        <f>F84*SUM('T5'!$J$40:$L$40)</f>
        <v>5116.0381907640358</v>
      </c>
      <c r="V84" s="51">
        <f>G84*SUM('T5'!$J$40:$L$40)</f>
        <v>1550.4300399411486</v>
      </c>
      <c r="W84" s="51">
        <f>H84*SUM('T5'!$J$40:$L$40)</f>
        <v>1436.1477274147742</v>
      </c>
      <c r="X84" s="51"/>
      <c r="Z84" s="51">
        <f>B84*'T21'!$E$4</f>
        <v>19.512195121951219</v>
      </c>
      <c r="AA84" s="51">
        <f>C84*'T21'!$E$5</f>
        <v>18888.427734375</v>
      </c>
      <c r="AB84" s="51">
        <f>D84*'T21'!$E$6</f>
        <v>3474.9131693198265</v>
      </c>
      <c r="AC84" s="51">
        <f>E84*'T21'!$E$7</f>
        <v>487.67361111111109</v>
      </c>
      <c r="AD84" s="51">
        <f>F84*'T21'!$E$8</f>
        <v>88.138781939096958</v>
      </c>
      <c r="AE84" s="51">
        <f>G84*'T21'!$E$9</f>
        <v>1104.4572691552062</v>
      </c>
      <c r="AF84" s="51">
        <f>H84*'T21'!$E$10</f>
        <v>540.17538054268698</v>
      </c>
      <c r="AG84" s="51">
        <f>B84*SUM('T21'!$F$4)</f>
        <v>20.487804878048781</v>
      </c>
      <c r="AH84" s="51">
        <f>C84*SUM('T21'!$F$5)</f>
        <v>61586.572265625</v>
      </c>
      <c r="AI84" s="51">
        <f>D84*SUM('T21'!$F$6)</f>
        <v>10.08683068017366</v>
      </c>
      <c r="AJ84" s="51">
        <f>E84*SUM('T21'!$F$7)</f>
        <v>42.326388888888886</v>
      </c>
      <c r="AK84" s="51">
        <f>F84*SUM('T21'!$F$8)</f>
        <v>6626.8612180609034</v>
      </c>
      <c r="AL84" s="51">
        <f>G84*SUM('T21'!$F$9)</f>
        <v>930.54273084479371</v>
      </c>
      <c r="AM84" s="51">
        <f>H84*SUM('T21'!$F$10)</f>
        <v>1344.824619457313</v>
      </c>
    </row>
    <row r="85" spans="1:40">
      <c r="A85">
        <v>2034</v>
      </c>
      <c r="B85">
        <f t="shared" si="147"/>
        <v>40</v>
      </c>
      <c r="C85">
        <f t="shared" si="148"/>
        <v>83590</v>
      </c>
      <c r="D85">
        <f t="shared" si="149"/>
        <v>3200</v>
      </c>
      <c r="E85">
        <f t="shared" si="150"/>
        <v>570</v>
      </c>
      <c r="F85">
        <f t="shared" si="151"/>
        <v>6830</v>
      </c>
      <c r="G85">
        <f t="shared" si="152"/>
        <v>2035</v>
      </c>
      <c r="H85">
        <f t="shared" si="153"/>
        <v>1935</v>
      </c>
      <c r="J85" s="51">
        <f>B85*SUM('T5'!$H$42:$I$42)</f>
        <v>7.7808218558853923</v>
      </c>
      <c r="K85" s="51">
        <f>C85*SUM('T5'!$H$42:$I$42)</f>
        <v>16259.972473336498</v>
      </c>
      <c r="L85" s="51">
        <f>D85*SUM('T5'!$H$42:$I$42)</f>
        <v>622.46574847083139</v>
      </c>
      <c r="M85" s="51">
        <f>E85*SUM('T5'!$H$42:$I$42)</f>
        <v>110.87671144636684</v>
      </c>
      <c r="N85" s="51">
        <f>F85*SUM('T5'!$H$42:$I$42)</f>
        <v>1328.5753318924308</v>
      </c>
      <c r="O85" s="51">
        <f>G85*SUM('T5'!$H$42:$I$42)</f>
        <v>395.84931191816935</v>
      </c>
      <c r="P85" s="51">
        <f>H85*SUM('T5'!$H$42:$I$42)</f>
        <v>376.39725727845587</v>
      </c>
      <c r="Q85" s="51">
        <f>B85*SUM('T5'!$J$40:$L$40)</f>
        <v>30.475283340366559</v>
      </c>
      <c r="R85" s="51">
        <f>C85*SUM('T5'!$J$40:$L$40)</f>
        <v>63685.723360531018</v>
      </c>
      <c r="S85" s="51">
        <f>D85*SUM('T5'!$J$40:$L$40)</f>
        <v>2438.0226672293247</v>
      </c>
      <c r="T85" s="51">
        <f>E85*SUM('T5'!$J$40:$L$40)</f>
        <v>434.27278760022347</v>
      </c>
      <c r="U85" s="51">
        <f>F85*SUM('T5'!$J$40:$L$40)</f>
        <v>5203.6546303675896</v>
      </c>
      <c r="V85" s="51">
        <f>G85*SUM('T5'!$J$40:$L$40)</f>
        <v>1550.4300399411486</v>
      </c>
      <c r="W85" s="51">
        <f>H85*SUM('T5'!$J$40:$L$40)</f>
        <v>1474.2418315902323</v>
      </c>
      <c r="X85" s="51"/>
      <c r="Z85" s="51">
        <f>B85*'T21'!$E$4</f>
        <v>19.512195121951219</v>
      </c>
      <c r="AA85" s="51">
        <f>C85*'T21'!$E$5</f>
        <v>19619.554822198275</v>
      </c>
      <c r="AB85" s="51">
        <f>D85*'T21'!$E$6</f>
        <v>3190.7380607814762</v>
      </c>
      <c r="AC85" s="51">
        <f>E85*'T21'!$E$7</f>
        <v>524.47916666666663</v>
      </c>
      <c r="AD85" s="51">
        <f>F85*'T21'!$E$8</f>
        <v>89.648232411620583</v>
      </c>
      <c r="AE85" s="51">
        <f>G85*'T21'!$E$9</f>
        <v>1104.4572691552062</v>
      </c>
      <c r="AF85" s="51">
        <f>H85*'T21'!$E$10</f>
        <v>554.50363997352747</v>
      </c>
      <c r="AG85" s="51">
        <f>B85*SUM('T21'!$F$4)</f>
        <v>20.487804878048781</v>
      </c>
      <c r="AH85" s="51">
        <f>C85*SUM('T21'!$F$5)</f>
        <v>63970.445177801725</v>
      </c>
      <c r="AI85" s="51">
        <f>D85*SUM('T21'!$F$6)</f>
        <v>9.261939218523878</v>
      </c>
      <c r="AJ85" s="51">
        <f>E85*SUM('T21'!$F$7)</f>
        <v>45.520833333333329</v>
      </c>
      <c r="AK85" s="51">
        <f>F85*SUM('T21'!$F$8)</f>
        <v>6740.3517675883795</v>
      </c>
      <c r="AL85" s="51">
        <f>G85*SUM('T21'!$F$9)</f>
        <v>930.54273084479371</v>
      </c>
      <c r="AM85" s="51">
        <f>H85*SUM('T21'!$F$10)</f>
        <v>1380.4963600264725</v>
      </c>
    </row>
    <row r="86" spans="1:40">
      <c r="A86">
        <v>2035</v>
      </c>
      <c r="B86">
        <f t="shared" si="147"/>
        <v>40</v>
      </c>
      <c r="C86">
        <f t="shared" si="148"/>
        <v>86825</v>
      </c>
      <c r="D86">
        <f t="shared" si="149"/>
        <v>2935</v>
      </c>
      <c r="E86">
        <f t="shared" si="150"/>
        <v>615</v>
      </c>
      <c r="F86">
        <f t="shared" si="151"/>
        <v>6945</v>
      </c>
      <c r="G86">
        <f t="shared" si="152"/>
        <v>2035</v>
      </c>
      <c r="H86">
        <f t="shared" si="153"/>
        <v>1990</v>
      </c>
      <c r="J86" s="51">
        <f>B86*SUM('T5'!$H$42:$I$42)</f>
        <v>7.7808218558853923</v>
      </c>
      <c r="K86" s="51">
        <f>C86*SUM('T5'!$H$42:$I$42)</f>
        <v>16889.246440931231</v>
      </c>
      <c r="L86" s="51">
        <f>D86*SUM('T5'!$H$42:$I$42)</f>
        <v>570.91780367559068</v>
      </c>
      <c r="M86" s="51">
        <f>E86*SUM('T5'!$H$42:$I$42)</f>
        <v>119.63013603423791</v>
      </c>
      <c r="N86" s="51">
        <f>F86*SUM('T5'!$H$42:$I$42)</f>
        <v>1350.9451947281013</v>
      </c>
      <c r="O86" s="51">
        <f>G86*SUM('T5'!$H$42:$I$42)</f>
        <v>395.84931191816935</v>
      </c>
      <c r="P86" s="51">
        <f>H86*SUM('T5'!$H$42:$I$42)</f>
        <v>387.0958873302983</v>
      </c>
      <c r="Q86" s="51">
        <f>B86*SUM('T5'!$J$40:$L$40)</f>
        <v>30.475283340366559</v>
      </c>
      <c r="R86" s="51">
        <f>C86*SUM('T5'!$J$40:$L$40)</f>
        <v>66150.411900683161</v>
      </c>
      <c r="S86" s="51">
        <f>D86*SUM('T5'!$J$40:$L$40)</f>
        <v>2236.1239150993961</v>
      </c>
      <c r="T86" s="51">
        <f>E86*SUM('T5'!$J$40:$L$40)</f>
        <v>468.55748135813587</v>
      </c>
      <c r="U86" s="51">
        <f>F86*SUM('T5'!$J$40:$L$40)</f>
        <v>5291.2710699711442</v>
      </c>
      <c r="V86" s="51">
        <f>G86*SUM('T5'!$J$40:$L$40)</f>
        <v>1550.4300399411486</v>
      </c>
      <c r="W86" s="51">
        <f>H86*SUM('T5'!$J$40:$L$40)</f>
        <v>1516.1453461832364</v>
      </c>
      <c r="X86" s="51"/>
      <c r="Z86" s="51">
        <f>B86*'T21'!$E$4</f>
        <v>19.512195121951219</v>
      </c>
      <c r="AA86" s="51">
        <f>C86*'T21'!$E$5</f>
        <v>20378.847319504308</v>
      </c>
      <c r="AB86" s="51">
        <f>D86*'T21'!$E$6</f>
        <v>2926.5050651230104</v>
      </c>
      <c r="AC86" s="51">
        <f>E86*'T21'!$E$7</f>
        <v>565.88541666666663</v>
      </c>
      <c r="AD86" s="51">
        <f>F86*'T21'!$E$8</f>
        <v>91.157682884144208</v>
      </c>
      <c r="AE86" s="51">
        <f>G86*'T21'!$E$9</f>
        <v>1104.4572691552062</v>
      </c>
      <c r="AF86" s="51">
        <f>H86*'T21'!$E$10</f>
        <v>570.2647253474521</v>
      </c>
      <c r="AG86" s="51">
        <f>B86*SUM('T21'!$F$4)</f>
        <v>20.487804878048781</v>
      </c>
      <c r="AH86" s="51">
        <f>C86*SUM('T21'!$F$5)</f>
        <v>66446.152680495696</v>
      </c>
      <c r="AI86" s="51">
        <f>D86*SUM('T21'!$F$6)</f>
        <v>8.4949348769898698</v>
      </c>
      <c r="AJ86" s="51">
        <f>E86*SUM('T21'!$F$7)</f>
        <v>49.114583333333329</v>
      </c>
      <c r="AK86" s="51">
        <f>F86*SUM('T21'!$F$8)</f>
        <v>6853.8423171158556</v>
      </c>
      <c r="AL86" s="51">
        <f>G86*SUM('T21'!$F$9)</f>
        <v>930.54273084479371</v>
      </c>
      <c r="AM86" s="51">
        <f>H86*SUM('T21'!$F$10)</f>
        <v>1419.735274652548</v>
      </c>
    </row>
    <row r="87" spans="1:40">
      <c r="J87" s="51"/>
      <c r="K87" s="51"/>
      <c r="L87" s="51"/>
      <c r="M87" s="51"/>
      <c r="N87" s="51"/>
      <c r="O87" s="51"/>
      <c r="P87" s="51"/>
      <c r="Q87" s="51"/>
      <c r="R87" s="51"/>
      <c r="S87" s="51"/>
      <c r="T87" s="51"/>
      <c r="U87" s="51"/>
      <c r="V87" s="51"/>
      <c r="W87" s="51"/>
      <c r="X87" s="51"/>
      <c r="Z87" s="51"/>
      <c r="AA87" s="51"/>
      <c r="AB87" s="51"/>
      <c r="AC87" s="51"/>
      <c r="AD87" s="51"/>
      <c r="AE87" s="51"/>
      <c r="AF87" s="51"/>
      <c r="AG87" s="51"/>
      <c r="AH87" s="51"/>
      <c r="AI87" s="51"/>
      <c r="AJ87" s="51"/>
      <c r="AK87" s="51"/>
      <c r="AL87" s="51"/>
      <c r="AM87" s="51"/>
    </row>
    <row r="88" spans="1:40">
      <c r="A88" s="6" t="s">
        <v>433</v>
      </c>
    </row>
    <row r="89" spans="1:40">
      <c r="J89" s="177" t="s">
        <v>434</v>
      </c>
      <c r="K89" s="177"/>
      <c r="L89" s="177"/>
      <c r="M89" s="177"/>
      <c r="N89" s="177"/>
      <c r="O89" s="177"/>
      <c r="P89" s="177"/>
      <c r="Q89" s="177"/>
      <c r="R89" s="177"/>
      <c r="S89" s="177"/>
      <c r="T89" s="177"/>
      <c r="U89" s="177"/>
      <c r="V89" s="177"/>
      <c r="W89" s="177"/>
      <c r="X89" s="23" t="s">
        <v>435</v>
      </c>
      <c r="Z89" s="177" t="s">
        <v>436</v>
      </c>
      <c r="AA89" s="177"/>
      <c r="AB89" s="177"/>
      <c r="AC89" s="177"/>
      <c r="AD89" s="177"/>
      <c r="AE89" s="177"/>
      <c r="AF89" s="177"/>
      <c r="AG89" s="177"/>
      <c r="AH89" s="177"/>
      <c r="AI89" s="177"/>
      <c r="AJ89" s="177"/>
      <c r="AK89" s="177"/>
      <c r="AL89" s="177"/>
      <c r="AM89" s="177"/>
      <c r="AN89" s="1" t="s">
        <v>435</v>
      </c>
    </row>
    <row r="90" spans="1:40">
      <c r="A90">
        <v>2025</v>
      </c>
      <c r="J90">
        <f>MROUND((J14*'T16'!$D$3)*'Source-fte_qualstus_x_servtype'!J31,1)</f>
        <v>1</v>
      </c>
      <c r="K90">
        <f>MROUND((K14*'T16'!$D$5)*'Source-fte_qualstus_x_servtype'!J31,5)</f>
        <v>1970</v>
      </c>
      <c r="L90">
        <f>MROUND((L14*'T16'!$D$7)*'Source-fte_qualstus_x_servtype'!J31,5)</f>
        <v>285</v>
      </c>
      <c r="M90">
        <f>MROUND((M14*'T16'!$D$5)*'Source-fte_qualstus_x_servtype'!J31,5)</f>
        <v>10</v>
      </c>
      <c r="N90">
        <f>MROUND((N14*'T16'!$D$3)*'Source-fte_qualstus_x_servtype'!J31,5)</f>
        <v>195</v>
      </c>
      <c r="O90">
        <f>MROUND((O14*'T16'!$D$10)*'Source-fte_qualstus_x_servtype'!J31,5)</f>
        <v>65</v>
      </c>
      <c r="P90">
        <f>MROUND((P14*'T16'!$D$11)*'Source-fte_qualstus_x_servtype'!J31,5)</f>
        <v>65</v>
      </c>
      <c r="Q90">
        <f>MROUND((Q14*'T16'!$D$6)*'Source-fte_qualstus_x_servtype'!J31,1)</f>
        <v>3</v>
      </c>
      <c r="R90">
        <f>MROUND((R14*'T16'!$D$6)*'Source-fte_qualstus_x_servtype'!J31,5)</f>
        <v>3855</v>
      </c>
      <c r="S90">
        <f>MROUND((S14*'T16'!$D$7)*'Source-fte_qualstus_x_servtype'!J31,5)</f>
        <v>1120</v>
      </c>
      <c r="T90">
        <f>MROUND((T14*'T16'!$D$9)*'Source-fte_qualstus_x_servtype'!J31,5)</f>
        <v>35</v>
      </c>
      <c r="U90">
        <f>MROUND((U14*'T16'!$D$4)*'Source-fte_qualstus_x_servtype'!J31,5)</f>
        <v>380</v>
      </c>
      <c r="V90">
        <f>MROUND((V14*'T16'!$D$10)*'Source-fte_qualstus_x_servtype'!J31,5)</f>
        <v>265</v>
      </c>
      <c r="W90">
        <f>MROUND((W14*'T16'!$D$11)*'Source-fte_qualstus_x_servtype'!J31,5)</f>
        <v>245</v>
      </c>
      <c r="X90">
        <f>MROUND(SUM(J90:W90)*0.844,5)</f>
        <v>7170</v>
      </c>
      <c r="Z90">
        <f>IF(MROUND((Z14*'T16'!$D$3)*0.844,1)&lt;1,1,MROUND((Z14*'T16'!$D$3)*0.844,1))</f>
        <v>3</v>
      </c>
      <c r="AA90">
        <f>MROUND((AA14*'T16'!$D$3)*0.844,1)</f>
        <v>2353</v>
      </c>
      <c r="AB90">
        <f>MROUND((AB14*'T16'!$D$7)*0.844,5)</f>
        <v>1455</v>
      </c>
      <c r="AC90">
        <f>MROUND((AC14*'T16'!$D$5)*0.844,5)</f>
        <v>45</v>
      </c>
      <c r="AD90">
        <f>MROUND((AD14*'T16'!$D$3)*0.844,5)</f>
        <v>15</v>
      </c>
      <c r="AE90">
        <f>MROUND((AE14*'T16'!$D$10)*0.844,5)</f>
        <v>185</v>
      </c>
      <c r="AF90">
        <f>MROUND((AF14*'T16'!$D$11)*0.844,5)</f>
        <v>90</v>
      </c>
      <c r="AG90">
        <f>IF(MROUND((AG14*'T16'!$D$6)*0.844,1)&lt;1,1,MROUND((AG14*'T16'!$D$6)*0.844,1))</f>
        <v>2</v>
      </c>
      <c r="AH90">
        <f>IF(MROUND((AH14*'T16'!$D$6)*0.844,5)&lt;1,1,MROUND((AH14*'T16'!$D$6)*0.844,5))</f>
        <v>3835</v>
      </c>
      <c r="AI90">
        <f>MROUND((AI14*'T16'!$D$7)*0.844,5)</f>
        <v>5</v>
      </c>
      <c r="AJ90">
        <f>MROUND((AJ14*'T16'!$D$6)*0.844,5)</f>
        <v>0</v>
      </c>
      <c r="AK90">
        <f>MROUND((AK14*'T16'!$D$4)*0.844,5)</f>
        <v>490</v>
      </c>
      <c r="AL90">
        <f>MROUND((AL14*'T16'!$D$10)*0.844,5)</f>
        <v>155</v>
      </c>
      <c r="AM90">
        <f>MROUND((AM14*'T16'!$D$12)*0.844,5)</f>
        <v>150</v>
      </c>
      <c r="AN90">
        <f>MROUND(SUM(Z90:AM90),5)</f>
        <v>8785</v>
      </c>
    </row>
    <row r="91" spans="1:40">
      <c r="A91">
        <v>2026</v>
      </c>
      <c r="J91">
        <f>IF(AND(MROUND(J53*'T16'!$D$3,1)&lt;1,J66&gt;0),1,MROUND(J53*'T16'!$D$3,1))</f>
        <v>1</v>
      </c>
      <c r="K91">
        <f>MROUND((K53*'T16'!$D$5)*'Source-fte_qualstus_x_servtype'!J32,5)</f>
        <v>1965</v>
      </c>
      <c r="L91">
        <f>MROUND((L65*'T16'!$D$7)*'Source-fte_qualstus_x_servtype'!J32,5)</f>
        <v>255</v>
      </c>
      <c r="M91">
        <f>MROUND((M53*'T16'!$D$5)*'Source-fte_qualstus_x_servtype'!J32,5)</f>
        <v>10</v>
      </c>
      <c r="N91">
        <f>MROUND((N53*'T16'!$D$3)*'Source-fte_qualstus_x_servtype'!J32,5)</f>
        <v>195</v>
      </c>
      <c r="O91">
        <f>MROUND((O53*'T16'!$D$10)*'Source-fte_qualstus_x_servtype'!J32,5)</f>
        <v>65</v>
      </c>
      <c r="P91">
        <f>MROUND((P53*'T16'!$D$11)*'Source-fte_qualstus_x_servtype'!J32,5)</f>
        <v>60</v>
      </c>
      <c r="Q91">
        <f>MROUND((Q53*'T16'!$D$6)*'Source-fte_qualstus_x_servtype'!J32,1)</f>
        <v>1</v>
      </c>
      <c r="R91">
        <f>MROUND((R53*'T16'!$D$6)*'Source-fte_qualstus_x_servtype'!J32,5)</f>
        <v>3850</v>
      </c>
      <c r="S91">
        <f>MROUND((S65*'T16'!$D$7)*'Source-fte_qualstus_x_servtype'!J32,5)</f>
        <v>995</v>
      </c>
      <c r="T91">
        <f>MROUND((T53*'T16'!$D$9)*'Source-fte_qualstus_x_servtype'!J32,5)</f>
        <v>35</v>
      </c>
      <c r="U91">
        <f>MROUND((U53*'T16'!$D$4)*'Source-fte_qualstus_x_servtype'!J32,5)</f>
        <v>380</v>
      </c>
      <c r="V91">
        <f>MROUND((V53*'T16'!$D$10)*'Source-fte_qualstus_x_servtype'!J32,5)</f>
        <v>260</v>
      </c>
      <c r="W91">
        <f>MROUND((W53*'T16'!$D$11)*'Source-fte_qualstus_x_servtype'!J32,5)</f>
        <v>235</v>
      </c>
      <c r="X91">
        <f t="shared" ref="X91:X100" si="154">MROUND(SUM(J91:W91)*0.844,5)</f>
        <v>7010</v>
      </c>
      <c r="Z91">
        <f>IF( MROUND( (Z53*'T16'!$D$3) * 0.844, 1) &lt;1, 1, MROUND( (Z53*'T16'!$D$3) * 0.844, 1 ) )</f>
        <v>2</v>
      </c>
      <c r="AA91">
        <f>MROUND((AA53*'T16'!$D$3)*0.844,1)</f>
        <v>2341</v>
      </c>
      <c r="AB91">
        <f>MROUND((AB53*'T16'!$D$7)*0.844,5)</f>
        <v>1165</v>
      </c>
      <c r="AC91">
        <f>MROUND((AC53*'T16'!$D$5)*0.844,5)</f>
        <v>40</v>
      </c>
      <c r="AD91">
        <f>MROUND((AD53*'T16'!$D$3)*0.844,5)</f>
        <v>15</v>
      </c>
      <c r="AE91">
        <f>MROUND((AE53*'T16'!$D$10)*0.844,5)</f>
        <v>185</v>
      </c>
      <c r="AF91">
        <f>MROUND((AF53*'T16'!$D$11)*0.844,5)</f>
        <v>85</v>
      </c>
      <c r="AG91">
        <f>IF(MROUND((AG53*'T16'!$D$6)*0.844,1)&lt;1,1,MROUND((AG53*'T16'!$D$6)*0.844,1))</f>
        <v>1</v>
      </c>
      <c r="AH91">
        <f>IF(MROUND((AH53*'T16'!$D$6)*0.844,5)&lt;1,1,MROUND((AH53*'T16'!$D$6)*0.844,5))</f>
        <v>3815</v>
      </c>
      <c r="AI91">
        <f>MROUND((AI53*'T16'!$D$7)*0.844,5)</f>
        <v>5</v>
      </c>
      <c r="AJ91">
        <f>MROUND((AJ53*'T16'!$D$6)*0.844,5)</f>
        <v>0</v>
      </c>
      <c r="AK91">
        <f>MROUND((AK53*'T16'!$D$4)*0.844,5)</f>
        <v>485</v>
      </c>
      <c r="AL91">
        <f>MROUND((AL53*'T16'!$D$10)*0.844,5)</f>
        <v>155</v>
      </c>
      <c r="AM91">
        <f>MROUND((AM53*'T16'!$D$12)*0.844,5)</f>
        <v>145</v>
      </c>
      <c r="AN91">
        <f t="shared" ref="AN91:AN100" si="155">MROUND(SUM(Z91:AM91),5)</f>
        <v>8440</v>
      </c>
    </row>
    <row r="92" spans="1:40">
      <c r="A92">
        <v>2027</v>
      </c>
      <c r="J92">
        <f>IF(AND(MROUND(J54*'T16'!$D$3,1)&lt;1,J67&gt;0),1,MROUND(J54*'T16'!$D$3,1))</f>
        <v>1</v>
      </c>
      <c r="K92">
        <f>MROUND((K54*'T16'!$D$5)*'Source-fte_qualstus_x_servtype'!J33,5)</f>
        <v>1965</v>
      </c>
      <c r="L92">
        <f>MROUND((L66*'T16'!$D$7)*'Source-fte_qualstus_x_servtype'!J33,5)</f>
        <v>225</v>
      </c>
      <c r="M92">
        <f>MROUND((M54*'T16'!$D$5)*'Source-fte_qualstus_x_servtype'!J33,5)</f>
        <v>10</v>
      </c>
      <c r="N92">
        <f>MROUND((N54*'T16'!$D$3)*'Source-fte_qualstus_x_servtype'!J33,5)</f>
        <v>190</v>
      </c>
      <c r="O92">
        <f>MROUND((O54*'T16'!$D$10)*'Source-fte_qualstus_x_servtype'!J33,5)</f>
        <v>65</v>
      </c>
      <c r="P92">
        <f>MROUND((P54*'T16'!$D$11)*'Source-fte_qualstus_x_servtype'!J33,5)</f>
        <v>55</v>
      </c>
      <c r="Q92">
        <f>MROUND((Q54*'T16'!$D$6)*'Source-fte_qualstus_x_servtype'!J33,1)</f>
        <v>1</v>
      </c>
      <c r="R92">
        <f>MROUND((R54*'T16'!$D$6)*'Source-fte_qualstus_x_servtype'!J33,5)</f>
        <v>3845</v>
      </c>
      <c r="S92">
        <f>MROUND((S66*'T16'!$D$7)*'Source-fte_qualstus_x_servtype'!J33,5)</f>
        <v>885</v>
      </c>
      <c r="T92">
        <f>MROUND((T54*'T16'!$D$9)*'Source-fte_qualstus_x_servtype'!J33,5)</f>
        <v>30</v>
      </c>
      <c r="U92">
        <f>MROUND((U54*'T16'!$D$4)*'Source-fte_qualstus_x_servtype'!J33,5)</f>
        <v>375</v>
      </c>
      <c r="V92">
        <f>MROUND((V54*'T16'!$D$10)*'Source-fte_qualstus_x_servtype'!J33,5)</f>
        <v>260</v>
      </c>
      <c r="W92">
        <f>MROUND((W54*'T16'!$D$11)*'Source-fte_qualstus_x_servtype'!J33,5)</f>
        <v>220</v>
      </c>
      <c r="X92">
        <f t="shared" si="154"/>
        <v>6860</v>
      </c>
      <c r="Z92">
        <f>IF( MROUND( (Z54*'T16'!$D$3) * 0.844, 1) &lt;1, 1, MROUND( (Z54*'T16'!$D$3) * 0.844, 1 ) )</f>
        <v>1</v>
      </c>
      <c r="AA92">
        <f>MROUND((AA54*'T16'!$D$3)*0.844,1)</f>
        <v>2328</v>
      </c>
      <c r="AB92">
        <f>MROUND((AB54*'T16'!$D$7)*0.844,5)</f>
        <v>935</v>
      </c>
      <c r="AC92">
        <f>MROUND((AC54*'T16'!$D$5)*0.844,5)</f>
        <v>40</v>
      </c>
      <c r="AD92">
        <f>MROUND((AD54*'T16'!$D$3)*0.844,5)</f>
        <v>15</v>
      </c>
      <c r="AE92">
        <f>MROUND((AE54*'T16'!$D$10)*0.844,5)</f>
        <v>180</v>
      </c>
      <c r="AF92">
        <f>MROUND((AF54*'T16'!$D$11)*0.844,5)</f>
        <v>80</v>
      </c>
      <c r="AG92">
        <f>IF(MROUND((AG54*'T16'!$D$6)*0.844,1)&lt;1,1,MROUND((AG54*'T16'!$D$6)*0.844,1))</f>
        <v>1</v>
      </c>
      <c r="AH92">
        <f>IF(MROUND((AH54*'T16'!$D$6)*0.844,5)&lt;1,1,MROUND((AH54*'T16'!$D$6)*0.844,5))</f>
        <v>3795</v>
      </c>
      <c r="AI92">
        <f>MROUND((AI54*'T16'!$D$7)*0.844,5)</f>
        <v>5</v>
      </c>
      <c r="AJ92">
        <f>MROUND((AJ54*'T16'!$D$6)*0.844,5)</f>
        <v>0</v>
      </c>
      <c r="AK92">
        <f>MROUND((AK54*'T16'!$D$4)*0.844,5)</f>
        <v>475</v>
      </c>
      <c r="AL92">
        <f>MROUND((AL54*'T16'!$D$10)*0.844,5)</f>
        <v>155</v>
      </c>
      <c r="AM92">
        <f>MROUND((AM54*'T16'!$D$12)*0.844,5)</f>
        <v>135</v>
      </c>
      <c r="AN92">
        <f t="shared" si="155"/>
        <v>8145</v>
      </c>
    </row>
    <row r="93" spans="1:40">
      <c r="A93">
        <v>2028</v>
      </c>
      <c r="J93">
        <f>IF(AND(MROUND(J55*'T16'!$D$3,1)&lt;1,J68&gt;0),1,MROUND(J55*'T16'!$D$3,1))</f>
        <v>1</v>
      </c>
      <c r="K93">
        <f>MROUND((K55*'T16'!$D$5)*'Source-fte_qualstus_x_servtype'!J34,5)</f>
        <v>1965</v>
      </c>
      <c r="L93">
        <f>MROUND((L67*'T16'!$D$7)*'Source-fte_qualstus_x_servtype'!J34,5)</f>
        <v>200</v>
      </c>
      <c r="M93">
        <f>MROUND((M55*'T16'!$D$5)*'Source-fte_qualstus_x_servtype'!J34,5)</f>
        <v>10</v>
      </c>
      <c r="N93">
        <f>MROUND((N55*'T16'!$D$3)*'Source-fte_qualstus_x_servtype'!J34,5)</f>
        <v>190</v>
      </c>
      <c r="O93">
        <f>MROUND((O55*'T16'!$D$10)*'Source-fte_qualstus_x_servtype'!J34,5)</f>
        <v>65</v>
      </c>
      <c r="P93">
        <f>MROUND((P55*'T16'!$D$11)*'Source-fte_qualstus_x_servtype'!J34,5)</f>
        <v>55</v>
      </c>
      <c r="Q93">
        <f>MROUND((Q55*'T16'!$D$6)*'Source-fte_qualstus_x_servtype'!J34,1)</f>
        <v>0</v>
      </c>
      <c r="R93">
        <f>MROUND((R55*'T16'!$D$6)*'Source-fte_qualstus_x_servtype'!J34,5)</f>
        <v>3845</v>
      </c>
      <c r="S93">
        <f>MROUND((S67*'T16'!$D$7)*'Source-fte_qualstus_x_servtype'!J34,5)</f>
        <v>785</v>
      </c>
      <c r="T93">
        <f>MROUND((T55*'T16'!$D$9)*'Source-fte_qualstus_x_servtype'!J34,5)</f>
        <v>30</v>
      </c>
      <c r="U93">
        <f>MROUND((U55*'T16'!$D$4)*'Source-fte_qualstus_x_servtype'!J34,5)</f>
        <v>370</v>
      </c>
      <c r="V93">
        <f>MROUND((V55*'T16'!$D$10)*'Source-fte_qualstus_x_servtype'!J34,5)</f>
        <v>260</v>
      </c>
      <c r="W93">
        <f>MROUND((W55*'T16'!$D$11)*'Source-fte_qualstus_x_servtype'!J34,5)</f>
        <v>210</v>
      </c>
      <c r="X93">
        <f t="shared" si="154"/>
        <v>6740</v>
      </c>
      <c r="Z93">
        <f>IF( MROUND( (Z55*'T16'!$D$3) * 0.844, 1) &lt;1, 1, MROUND( (Z55*'T16'!$D$3) * 0.844, 1 ) )</f>
        <v>1</v>
      </c>
      <c r="AA93">
        <f>MROUND((AA55*'T16'!$D$3)*0.844,1)</f>
        <v>2316</v>
      </c>
      <c r="AB93">
        <f>MROUND((AB55*'T16'!$D$7)*0.844,5)</f>
        <v>750</v>
      </c>
      <c r="AC93">
        <f>MROUND((AC55*'T16'!$D$5)*0.844,5)</f>
        <v>35</v>
      </c>
      <c r="AD93">
        <f>MROUND((AD55*'T16'!$D$3)*0.844,5)</f>
        <v>15</v>
      </c>
      <c r="AE93">
        <f>MROUND((AE55*'T16'!$D$10)*0.844,5)</f>
        <v>180</v>
      </c>
      <c r="AF93">
        <f>MROUND((AF55*'T16'!$D$11)*0.844,5)</f>
        <v>80</v>
      </c>
      <c r="AG93">
        <f>IF(MROUND((AG55*'T16'!$D$6)*0.844,1)&lt;1,1,MROUND((AG55*'T16'!$D$6)*0.844,1))</f>
        <v>1</v>
      </c>
      <c r="AH93">
        <f>IF(MROUND((AH55*'T16'!$D$6)*0.844,5)&lt;1,1,MROUND((AH55*'T16'!$D$6)*0.844,5))</f>
        <v>3775</v>
      </c>
      <c r="AI93">
        <f>MROUND((AI55*'T16'!$D$7)*0.844,5)</f>
        <v>0</v>
      </c>
      <c r="AJ93">
        <f>MROUND((AJ55*'T16'!$D$6)*0.844,5)</f>
        <v>0</v>
      </c>
      <c r="AK93">
        <f>MROUND((AK55*'T16'!$D$4)*0.844,5)</f>
        <v>470</v>
      </c>
      <c r="AL93">
        <f>MROUND((AL55*'T16'!$D$10)*0.844,5)</f>
        <v>150</v>
      </c>
      <c r="AM93">
        <f>MROUND((AM55*'T16'!$D$12)*0.844,5)</f>
        <v>130</v>
      </c>
      <c r="AN93">
        <f t="shared" si="155"/>
        <v>7905</v>
      </c>
    </row>
    <row r="94" spans="1:40">
      <c r="A94">
        <v>2029</v>
      </c>
      <c r="J94">
        <f>IF(AND(MROUND(J56*'T16'!$D$3,1)&lt;1,J69&gt;0),1,MROUND(J56*'T16'!$D$3,1))</f>
        <v>1</v>
      </c>
      <c r="K94">
        <f>MROUND((K56*'T16'!$D$5)*'Source-fte_qualstus_x_servtype'!J35,5)</f>
        <v>1960</v>
      </c>
      <c r="L94">
        <f>MROUND((L68*'T16'!$D$7)*'Source-fte_qualstus_x_servtype'!J35,5)</f>
        <v>175</v>
      </c>
      <c r="M94">
        <f>MROUND((M56*'T16'!$D$5)*'Source-fte_qualstus_x_servtype'!J35,5)</f>
        <v>5</v>
      </c>
      <c r="N94">
        <f>MROUND((N56*'T16'!$D$3)*'Source-fte_qualstus_x_servtype'!J35,5)</f>
        <v>190</v>
      </c>
      <c r="O94">
        <f>MROUND((O56*'T16'!$D$10)*'Source-fte_qualstus_x_servtype'!J35,5)</f>
        <v>65</v>
      </c>
      <c r="P94">
        <f>MROUND((P56*'T16'!$D$11)*'Source-fte_qualstus_x_servtype'!J35,5)</f>
        <v>50</v>
      </c>
      <c r="Q94">
        <f>MROUND((Q56*'T16'!$D$6)*'Source-fte_qualstus_x_servtype'!J35,1)</f>
        <v>0</v>
      </c>
      <c r="R94">
        <f>MROUND((R56*'T16'!$D$6)*'Source-fte_qualstus_x_servtype'!J35,5)</f>
        <v>3840</v>
      </c>
      <c r="S94">
        <f>MROUND((S68*'T16'!$D$7)*'Source-fte_qualstus_x_servtype'!J35,5)</f>
        <v>695</v>
      </c>
      <c r="T94">
        <f>MROUND((T56*'T16'!$D$9)*'Source-fte_qualstus_x_servtype'!J35,5)</f>
        <v>30</v>
      </c>
      <c r="U94">
        <f>MROUND((U56*'T16'!$D$4)*'Source-fte_qualstus_x_servtype'!J35,5)</f>
        <v>370</v>
      </c>
      <c r="V94">
        <f>MROUND((V56*'T16'!$D$10)*'Source-fte_qualstus_x_servtype'!J35,5)</f>
        <v>255</v>
      </c>
      <c r="W94">
        <f>MROUND((W56*'T16'!$D$11)*'Source-fte_qualstus_x_servtype'!J35,5)</f>
        <v>200</v>
      </c>
      <c r="X94">
        <f t="shared" si="154"/>
        <v>6615</v>
      </c>
      <c r="Z94">
        <f>IF( MROUND( (Z56*'T16'!$D$3) * 0.844, 1) &lt;1, 1, MROUND( (Z56*'T16'!$D$3) * 0.844, 1 ) )</f>
        <v>1</v>
      </c>
      <c r="AA94">
        <f>MROUND((AA56*'T16'!$D$3)*0.844,1)</f>
        <v>2304</v>
      </c>
      <c r="AB94">
        <f>MROUND((AB56*'T16'!$D$7)*0.844,5)</f>
        <v>605</v>
      </c>
      <c r="AC94">
        <f>MROUND((AC56*'T16'!$D$5)*0.844,5)</f>
        <v>35</v>
      </c>
      <c r="AD94">
        <f>MROUND((AD56*'T16'!$D$3)*0.844,5)</f>
        <v>10</v>
      </c>
      <c r="AE94">
        <f>MROUND((AE56*'T16'!$D$10)*0.844,5)</f>
        <v>175</v>
      </c>
      <c r="AF94">
        <f>MROUND((AF56*'T16'!$D$11)*0.844,5)</f>
        <v>75</v>
      </c>
      <c r="AG94">
        <f>IF(MROUND((AG56*'T16'!$D$6)*0.844,1)&lt;1,1,MROUND((AG56*'T16'!$D$6)*0.844,1))</f>
        <v>1</v>
      </c>
      <c r="AH94">
        <f>IF(MROUND((AH56*'T16'!$D$6)*0.844,5)&lt;1,1,MROUND((AH56*'T16'!$D$6)*0.844,5))</f>
        <v>3755</v>
      </c>
      <c r="AI94">
        <f>MROUND((AI56*'T16'!$D$7)*0.844,5)</f>
        <v>0</v>
      </c>
      <c r="AJ94">
        <f>MROUND((AJ56*'T16'!$D$6)*0.844,5)</f>
        <v>0</v>
      </c>
      <c r="AK94">
        <f>MROUND((AK56*'T16'!$D$4)*0.844,5)</f>
        <v>465</v>
      </c>
      <c r="AL94">
        <f>MROUND((AL56*'T16'!$D$10)*0.844,5)</f>
        <v>150</v>
      </c>
      <c r="AM94">
        <f>MROUND((AM56*'T16'!$D$12)*0.844,5)</f>
        <v>120</v>
      </c>
      <c r="AN94">
        <f t="shared" si="155"/>
        <v>7695</v>
      </c>
    </row>
    <row r="95" spans="1:40">
      <c r="A95">
        <v>2030</v>
      </c>
      <c r="J95">
        <f>IF(AND(MROUND(J57*'T16'!$D$3,1)&lt;1,J70&gt;0),1,MROUND(J57*'T16'!$D$3,1))</f>
        <v>1</v>
      </c>
      <c r="K95">
        <f>MROUND((K57*'T16'!$D$5)*'Source-fte_qualstus_x_servtype'!J36,5)</f>
        <v>1960</v>
      </c>
      <c r="L95">
        <f>MROUND((L69*'T16'!$D$7)*'Source-fte_qualstus_x_servtype'!J36,5)</f>
        <v>155</v>
      </c>
      <c r="M95">
        <f>MROUND((M57*'T16'!$D$5)*'Source-fte_qualstus_x_servtype'!J36,5)</f>
        <v>5</v>
      </c>
      <c r="N95">
        <f>MROUND((N57*'T16'!$D$3)*'Source-fte_qualstus_x_servtype'!J36,5)</f>
        <v>185</v>
      </c>
      <c r="O95">
        <f>MROUND((O57*'T16'!$D$10)*'Source-fte_qualstus_x_servtype'!J36,5)</f>
        <v>65</v>
      </c>
      <c r="P95">
        <f>MROUND((P57*'T16'!$D$11)*'Source-fte_qualstus_x_servtype'!J36,5)</f>
        <v>50</v>
      </c>
      <c r="Q95">
        <f>MROUND((Q57*'T16'!$D$6)*'Source-fte_qualstus_x_servtype'!J36,1)</f>
        <v>0</v>
      </c>
      <c r="R95">
        <f>MROUND((R57*'T16'!$D$6)*'Source-fte_qualstus_x_servtype'!J36,5)</f>
        <v>3835</v>
      </c>
      <c r="S95">
        <f>MROUND((S69*'T16'!$D$7)*'Source-fte_qualstus_x_servtype'!J36,5)</f>
        <v>615</v>
      </c>
      <c r="T95">
        <f>MROUND((T57*'T16'!$D$9)*'Source-fte_qualstus_x_servtype'!J36,5)</f>
        <v>25</v>
      </c>
      <c r="U95">
        <f>MROUND((U57*'T16'!$D$4)*'Source-fte_qualstus_x_servtype'!J36,5)</f>
        <v>365</v>
      </c>
      <c r="V95">
        <f>MROUND((V57*'T16'!$D$10)*'Source-fte_qualstus_x_servtype'!J36,5)</f>
        <v>255</v>
      </c>
      <c r="W95">
        <f>MROUND((W57*'T16'!$D$11)*'Source-fte_qualstus_x_servtype'!J36,5)</f>
        <v>190</v>
      </c>
      <c r="X95">
        <f t="shared" si="154"/>
        <v>6505</v>
      </c>
      <c r="Z95">
        <f>IF( MROUND( (Z57*'T16'!$D$3) * 0.844, 1) &lt;1, 1, MROUND( (Z57*'T16'!$D$3) * 0.844, 1 ) )</f>
        <v>1</v>
      </c>
      <c r="AA95">
        <f>MROUND((AA57*'T16'!$D$3)*0.844,1)</f>
        <v>2292</v>
      </c>
      <c r="AB95">
        <f>MROUND((AB57*'T16'!$D$7)*0.844,5)</f>
        <v>485</v>
      </c>
      <c r="AC95">
        <f>MROUND((AC57*'T16'!$D$5)*0.844,5)</f>
        <v>30</v>
      </c>
      <c r="AD95">
        <f>MROUND((AD57*'T16'!$D$3)*0.844,5)</f>
        <v>10</v>
      </c>
      <c r="AE95">
        <f>MROUND((AE57*'T16'!$D$10)*0.844,5)</f>
        <v>175</v>
      </c>
      <c r="AF95">
        <f>MROUND((AF57*'T16'!$D$11)*0.844,5)</f>
        <v>70</v>
      </c>
      <c r="AG95">
        <f>IF(MROUND((AG57*'T16'!$D$6)*0.844,1)&lt;1,1,MROUND((AG57*'T16'!$D$6)*0.844,1))</f>
        <v>1</v>
      </c>
      <c r="AH95">
        <f>IF(MROUND((AH57*'T16'!$D$6)*0.844,5)&lt;1,1,MROUND((AH57*'T16'!$D$6)*0.844,5))</f>
        <v>3735</v>
      </c>
      <c r="AI95">
        <f>MROUND((AI57*'T16'!$D$7)*0.844,5)</f>
        <v>0</v>
      </c>
      <c r="AJ95">
        <f>MROUND((AJ57*'T16'!$D$6)*0.844,5)</f>
        <v>0</v>
      </c>
      <c r="AK95">
        <f>MROUND((AK57*'T16'!$D$4)*0.844,5)</f>
        <v>460</v>
      </c>
      <c r="AL95">
        <f>MROUND((AL57*'T16'!$D$10)*0.844,5)</f>
        <v>145</v>
      </c>
      <c r="AM95">
        <f>MROUND((AM57*'T16'!$D$12)*0.844,5)</f>
        <v>115</v>
      </c>
      <c r="AN95">
        <f t="shared" si="155"/>
        <v>7520</v>
      </c>
    </row>
    <row r="96" spans="1:40">
      <c r="A96">
        <v>2031</v>
      </c>
      <c r="J96">
        <f>IF(AND(MROUND(J58*'T16'!$D$3,1)&lt;1,J71&gt;0),1,MROUND(J58*'T16'!$D$3,1))</f>
        <v>1</v>
      </c>
      <c r="K96">
        <f>MROUND((K58*'T16'!$D$5)*'Source-fte_qualstus_x_servtype'!J37,5)</f>
        <v>1955</v>
      </c>
      <c r="L96">
        <f>MROUND((L70*'T16'!$D$7)*'Source-fte_qualstus_x_servtype'!J37,5)</f>
        <v>140</v>
      </c>
      <c r="M96">
        <f>MROUND((M58*'T16'!$D$5)*'Source-fte_qualstus_x_servtype'!J37,5)</f>
        <v>5</v>
      </c>
      <c r="N96">
        <f>MROUND((N58*'T16'!$D$3)*'Source-fte_qualstus_x_servtype'!J37,5)</f>
        <v>185</v>
      </c>
      <c r="O96">
        <f>MROUND((O58*'T16'!$D$10)*'Source-fte_qualstus_x_servtype'!J37,5)</f>
        <v>65</v>
      </c>
      <c r="P96">
        <f>MROUND((P58*'T16'!$D$11)*'Source-fte_qualstus_x_servtype'!J37,5)</f>
        <v>45</v>
      </c>
      <c r="Q96">
        <f>MROUND((Q58*'T16'!$D$6)*'Source-fte_qualstus_x_servtype'!J37,1)</f>
        <v>0</v>
      </c>
      <c r="R96">
        <f>MROUND((R58*'T16'!$D$6)*'Source-fte_qualstus_x_servtype'!J37,5)</f>
        <v>3835</v>
      </c>
      <c r="S96">
        <f>MROUND((S70*'T16'!$D$7)*'Source-fte_qualstus_x_servtype'!J37,5)</f>
        <v>545</v>
      </c>
      <c r="T96">
        <f>MROUND((T58*'T16'!$D$9)*'Source-fte_qualstus_x_servtype'!J37,5)</f>
        <v>25</v>
      </c>
      <c r="U96">
        <f>MROUND((U58*'T16'!$D$4)*'Source-fte_qualstus_x_servtype'!J37,5)</f>
        <v>365</v>
      </c>
      <c r="V96">
        <f>MROUND((V58*'T16'!$D$10)*'Source-fte_qualstus_x_servtype'!J37,5)</f>
        <v>250</v>
      </c>
      <c r="W96">
        <f>MROUND((W58*'T16'!$D$11)*'Source-fte_qualstus_x_servtype'!J37,5)</f>
        <v>180</v>
      </c>
      <c r="X96">
        <f t="shared" si="154"/>
        <v>6410</v>
      </c>
      <c r="Z96">
        <f>IF( MROUND( (Z58*'T16'!$D$3) * 0.844, 1) &lt;1, 1, MROUND( (Z58*'T16'!$D$3) * 0.844, 1 ) )</f>
        <v>1</v>
      </c>
      <c r="AA96">
        <f>MROUND((AA58*'T16'!$D$3)*0.844,1)</f>
        <v>2280</v>
      </c>
      <c r="AB96">
        <f>MROUND((AB58*'T16'!$D$7)*0.844,5)</f>
        <v>390</v>
      </c>
      <c r="AC96">
        <f>MROUND((AC58*'T16'!$D$5)*0.844,5)</f>
        <v>30</v>
      </c>
      <c r="AD96">
        <f>MROUND((AD58*'T16'!$D$3)*0.844,5)</f>
        <v>10</v>
      </c>
      <c r="AE96">
        <f>MROUND((AE58*'T16'!$D$10)*0.844,5)</f>
        <v>175</v>
      </c>
      <c r="AF96">
        <f>MROUND((AF58*'T16'!$D$11)*0.844,5)</f>
        <v>65</v>
      </c>
      <c r="AG96">
        <f>IF(MROUND((AG58*'T16'!$D$6)*0.844,1)&lt;1,1,MROUND((AG58*'T16'!$D$6)*0.844,1))</f>
        <v>1</v>
      </c>
      <c r="AH96">
        <f>IF(MROUND((AH58*'T16'!$D$6)*0.844,5)&lt;1,1,MROUND((AH58*'T16'!$D$6)*0.844,5))</f>
        <v>3715</v>
      </c>
      <c r="AI96">
        <f>MROUND((AI58*'T16'!$D$7)*0.844,5)</f>
        <v>0</v>
      </c>
      <c r="AJ96">
        <f>MROUND((AJ58*'T16'!$D$6)*0.844,5)</f>
        <v>0</v>
      </c>
      <c r="AK96">
        <f>MROUND((AK58*'T16'!$D$4)*0.844,5)</f>
        <v>455</v>
      </c>
      <c r="AL96">
        <f>MROUND((AL58*'T16'!$D$10)*0.844,5)</f>
        <v>145</v>
      </c>
      <c r="AM96">
        <f>MROUND((AM58*'T16'!$D$12)*0.844,5)</f>
        <v>110</v>
      </c>
      <c r="AN96">
        <f t="shared" si="155"/>
        <v>7375</v>
      </c>
    </row>
    <row r="97" spans="1:40">
      <c r="A97">
        <v>2032</v>
      </c>
      <c r="J97">
        <f>IF(AND(MROUND(J59*'T16'!$D$3,1)&lt;1,J72&gt;0),1,MROUND(J59*'T16'!$D$3,1))</f>
        <v>1</v>
      </c>
      <c r="K97">
        <f>MROUND((K59*'T16'!$D$5)*'Source-fte_qualstus_x_servtype'!J38,5)</f>
        <v>1955</v>
      </c>
      <c r="L97">
        <f>MROUND((L71*'T16'!$D$7)*'Source-fte_qualstus_x_servtype'!J38,5)</f>
        <v>125</v>
      </c>
      <c r="M97">
        <f>MROUND((M59*'T16'!$D$5)*'Source-fte_qualstus_x_servtype'!J38,5)</f>
        <v>5</v>
      </c>
      <c r="N97">
        <f>MROUND((N59*'T16'!$D$3)*'Source-fte_qualstus_x_servtype'!J38,5)</f>
        <v>185</v>
      </c>
      <c r="O97">
        <f>MROUND((O59*'T16'!$D$10)*'Source-fte_qualstus_x_servtype'!J38,5)</f>
        <v>65</v>
      </c>
      <c r="P97">
        <f>MROUND((P59*'T16'!$D$11)*'Source-fte_qualstus_x_servtype'!J38,5)</f>
        <v>45</v>
      </c>
      <c r="Q97">
        <f>MROUND((Q59*'T16'!$D$6)*'Source-fte_qualstus_x_servtype'!J38,1)</f>
        <v>0</v>
      </c>
      <c r="R97">
        <f>MROUND((R59*'T16'!$D$6)*'Source-fte_qualstus_x_servtype'!J38,5)</f>
        <v>3830</v>
      </c>
      <c r="S97">
        <f>MROUND((S71*'T16'!$D$7)*'Source-fte_qualstus_x_servtype'!J38,5)</f>
        <v>485</v>
      </c>
      <c r="T97">
        <f>MROUND((T59*'T16'!$D$9)*'Source-fte_qualstus_x_servtype'!J38,5)</f>
        <v>20</v>
      </c>
      <c r="U97">
        <f>MROUND((U59*'T16'!$D$4)*'Source-fte_qualstus_x_servtype'!J38,5)</f>
        <v>360</v>
      </c>
      <c r="V97">
        <f>MROUND((V59*'T16'!$D$10)*'Source-fte_qualstus_x_servtype'!J38,5)</f>
        <v>250</v>
      </c>
      <c r="W97">
        <f>MROUND((W59*'T16'!$D$11)*'Source-fte_qualstus_x_servtype'!J38,5)</f>
        <v>170</v>
      </c>
      <c r="X97">
        <f t="shared" si="154"/>
        <v>6325</v>
      </c>
      <c r="Z97">
        <f>IF( MROUND( (Z59*'T16'!$D$3) * 0.844, 1) &lt;1, 1, MROUND( (Z59*'T16'!$D$3) * 0.844, 1 ) )</f>
        <v>1</v>
      </c>
      <c r="AA97">
        <f>MROUND((AA59*'T16'!$D$3)*0.844,1)</f>
        <v>2268</v>
      </c>
      <c r="AB97">
        <f>MROUND((AB59*'T16'!$D$7)*0.844,5)</f>
        <v>310</v>
      </c>
      <c r="AC97">
        <f>MROUND((AC59*'T16'!$D$5)*0.844,5)</f>
        <v>25</v>
      </c>
      <c r="AD97">
        <f>MROUND((AD59*'T16'!$D$3)*0.844,5)</f>
        <v>10</v>
      </c>
      <c r="AE97">
        <f>MROUND((AE59*'T16'!$D$10)*0.844,5)</f>
        <v>170</v>
      </c>
      <c r="AF97">
        <f>MROUND((AF59*'T16'!$D$11)*0.844,5)</f>
        <v>60</v>
      </c>
      <c r="AG97">
        <f>IF(MROUND((AG59*'T16'!$D$6)*0.844,1)&lt;1,1,MROUND((AG59*'T16'!$D$6)*0.844,1))</f>
        <v>1</v>
      </c>
      <c r="AH97">
        <f>IF(MROUND((AH59*'T16'!$D$6)*0.844,5)&lt;1,1,MROUND((AH59*'T16'!$D$6)*0.844,5))</f>
        <v>3695</v>
      </c>
      <c r="AI97">
        <f>MROUND((AI59*'T16'!$D$7)*0.844,5)</f>
        <v>0</v>
      </c>
      <c r="AJ97">
        <f>MROUND((AJ59*'T16'!$D$6)*0.844,5)</f>
        <v>0</v>
      </c>
      <c r="AK97">
        <f>MROUND((AK59*'T16'!$D$4)*0.844,5)</f>
        <v>450</v>
      </c>
      <c r="AL97">
        <f>MROUND((AL59*'T16'!$D$10)*0.844,5)</f>
        <v>145</v>
      </c>
      <c r="AM97">
        <f>MROUND((AM59*'T16'!$D$12)*0.844,5)</f>
        <v>105</v>
      </c>
      <c r="AN97">
        <f t="shared" si="155"/>
        <v>7240</v>
      </c>
    </row>
    <row r="98" spans="1:40">
      <c r="A98">
        <v>2033</v>
      </c>
      <c r="J98">
        <f>IF(AND(MROUND(J60*'T16'!$D$3,1)&lt;1,J73&gt;0),1,MROUND(J60*'T16'!$D$3,1))</f>
        <v>1</v>
      </c>
      <c r="K98">
        <f>MROUND((K60*'T16'!$D$5)*'Source-fte_qualstus_x_servtype'!J39,5)</f>
        <v>1955</v>
      </c>
      <c r="L98">
        <f>MROUND((L72*'T16'!$D$7)*'Source-fte_qualstus_x_servtype'!J39,5)</f>
        <v>110</v>
      </c>
      <c r="M98">
        <f>MROUND((M60*'T16'!$D$5)*'Source-fte_qualstus_x_servtype'!J39,5)</f>
        <v>5</v>
      </c>
      <c r="N98">
        <f>MROUND((N60*'T16'!$D$3)*'Source-fte_qualstus_x_servtype'!J39,5)</f>
        <v>185</v>
      </c>
      <c r="O98">
        <f>MROUND((O60*'T16'!$D$10)*'Source-fte_qualstus_x_servtype'!J39,5)</f>
        <v>65</v>
      </c>
      <c r="P98">
        <f>MROUND((P60*'T16'!$D$11)*'Source-fte_qualstus_x_servtype'!J39,5)</f>
        <v>40</v>
      </c>
      <c r="Q98">
        <f>MROUND((Q60*'T16'!$D$6)*'Source-fte_qualstus_x_servtype'!J39,1)</f>
        <v>0</v>
      </c>
      <c r="R98">
        <f>MROUND((R60*'T16'!$D$6)*'Source-fte_qualstus_x_servtype'!J39,5)</f>
        <v>3825</v>
      </c>
      <c r="S98">
        <f>MROUND((S72*'T16'!$D$7)*'Source-fte_qualstus_x_servtype'!J39,5)</f>
        <v>430</v>
      </c>
      <c r="T98">
        <f>MROUND((T60*'T16'!$D$9)*'Source-fte_qualstus_x_servtype'!J39,5)</f>
        <v>20</v>
      </c>
      <c r="U98">
        <f>MROUND((U60*'T16'!$D$4)*'Source-fte_qualstus_x_servtype'!J39,5)</f>
        <v>360</v>
      </c>
      <c r="V98">
        <f>MROUND((V60*'T16'!$D$10)*'Source-fte_qualstus_x_servtype'!J39,5)</f>
        <v>245</v>
      </c>
      <c r="W98">
        <f>MROUND((W60*'T16'!$D$11)*'Source-fte_qualstus_x_servtype'!J39,5)</f>
        <v>165</v>
      </c>
      <c r="X98">
        <f t="shared" si="154"/>
        <v>6250</v>
      </c>
      <c r="Z98">
        <f>IF( MROUND( (Z60*'T16'!$D$3) * 0.844, 1) &lt;1, 1, MROUND( (Z60*'T16'!$D$3) * 0.844, 1 ) )</f>
        <v>1</v>
      </c>
      <c r="AA98">
        <f>MROUND((AA60*'T16'!$D$3)*0.844,1)</f>
        <v>2256</v>
      </c>
      <c r="AB98">
        <f>MROUND((AB60*'T16'!$D$7)*0.844,5)</f>
        <v>250</v>
      </c>
      <c r="AC98">
        <f>MROUND((AC60*'T16'!$D$5)*0.844,5)</f>
        <v>25</v>
      </c>
      <c r="AD98">
        <f>MROUND((AD60*'T16'!$D$3)*0.844,5)</f>
        <v>10</v>
      </c>
      <c r="AE98">
        <f>MROUND((AE60*'T16'!$D$10)*0.844,5)</f>
        <v>170</v>
      </c>
      <c r="AF98">
        <f>MROUND((AF60*'T16'!$D$11)*0.844,5)</f>
        <v>60</v>
      </c>
      <c r="AG98">
        <f>IF(MROUND((AG60*'T16'!$D$6)*0.844,1)&lt;1,1,MROUND((AG60*'T16'!$D$6)*0.844,1))</f>
        <v>1</v>
      </c>
      <c r="AH98">
        <f>IF(MROUND((AH60*'T16'!$D$6)*0.844,5)&lt;1,1,MROUND((AH60*'T16'!$D$6)*0.844,5))</f>
        <v>3675</v>
      </c>
      <c r="AI98">
        <f>MROUND((AI60*'T16'!$D$7)*0.844,5)</f>
        <v>0</v>
      </c>
      <c r="AJ98">
        <f>MROUND((AJ60*'T16'!$D$6)*0.844,5)</f>
        <v>0</v>
      </c>
      <c r="AK98">
        <f>MROUND((AK60*'T16'!$D$4)*0.844,5)</f>
        <v>445</v>
      </c>
      <c r="AL98">
        <f>MROUND((AL60*'T16'!$D$10)*0.844,5)</f>
        <v>140</v>
      </c>
      <c r="AM98">
        <f>MROUND((AM60*'T16'!$D$12)*0.844,5)</f>
        <v>100</v>
      </c>
      <c r="AN98">
        <f t="shared" si="155"/>
        <v>7135</v>
      </c>
    </row>
    <row r="99" spans="1:40">
      <c r="A99">
        <v>2034</v>
      </c>
      <c r="J99">
        <f>IF(AND(MROUND(J61*'T16'!$D$3,1)&lt;1,J74&gt;0),1,MROUND(J61*'T16'!$D$3,1))</f>
        <v>1</v>
      </c>
      <c r="K99">
        <f>MROUND((K61*'T16'!$D$5)*'Source-fte_qualstus_x_servtype'!J40,5)</f>
        <v>1950</v>
      </c>
      <c r="L99">
        <f>MROUND((L73*'T16'!$D$7)*'Source-fte_qualstus_x_servtype'!J40,5)</f>
        <v>100</v>
      </c>
      <c r="M99">
        <f>MROUND((M61*'T16'!$D$5)*'Source-fte_qualstus_x_servtype'!J40,5)</f>
        <v>5</v>
      </c>
      <c r="N99">
        <f>MROUND((N61*'T16'!$D$3)*'Source-fte_qualstus_x_servtype'!J40,5)</f>
        <v>180</v>
      </c>
      <c r="O99">
        <f>MROUND((O61*'T16'!$D$10)*'Source-fte_qualstus_x_servtype'!J40,5)</f>
        <v>60</v>
      </c>
      <c r="P99">
        <f>MROUND((P61*'T16'!$D$11)*'Source-fte_qualstus_x_servtype'!J40,5)</f>
        <v>40</v>
      </c>
      <c r="Q99">
        <f>MROUND((Q61*'T16'!$D$6)*'Source-fte_qualstus_x_servtype'!J40,1)</f>
        <v>0</v>
      </c>
      <c r="R99">
        <f>MROUND((R61*'T16'!$D$6)*'Source-fte_qualstus_x_servtype'!J40,5)</f>
        <v>3820</v>
      </c>
      <c r="S99">
        <f>MROUND((S73*'T16'!$D$7)*'Source-fte_qualstus_x_servtype'!J40,5)</f>
        <v>380</v>
      </c>
      <c r="T99">
        <f>MROUND((T61*'T16'!$D$9)*'Source-fte_qualstus_x_servtype'!J40,5)</f>
        <v>20</v>
      </c>
      <c r="U99">
        <f>MROUND((U61*'T16'!$D$4)*'Source-fte_qualstus_x_servtype'!J40,5)</f>
        <v>355</v>
      </c>
      <c r="V99">
        <f>MROUND((V61*'T16'!$D$10)*'Source-fte_qualstus_x_servtype'!J40,5)</f>
        <v>245</v>
      </c>
      <c r="W99">
        <f>MROUND((W61*'T16'!$D$11)*'Source-fte_qualstus_x_servtype'!J40,5)</f>
        <v>155</v>
      </c>
      <c r="X99">
        <f t="shared" si="154"/>
        <v>6170</v>
      </c>
      <c r="Z99">
        <f>IF( MROUND( (Z61*'T16'!$D$3) * 0.844, 1) &lt;1, 1, MROUND( (Z61*'T16'!$D$3) * 0.844, 1 ) )</f>
        <v>1</v>
      </c>
      <c r="AA99">
        <f>MROUND((AA61*'T16'!$D$3)*0.844,1)</f>
        <v>2244</v>
      </c>
      <c r="AB99">
        <f>MROUND((AB61*'T16'!$D$7)*0.844,5)</f>
        <v>200</v>
      </c>
      <c r="AC99">
        <f>MROUND((AC61*'T16'!$D$5)*0.844,5)</f>
        <v>25</v>
      </c>
      <c r="AD99">
        <f>MROUND((AD61*'T16'!$D$3)*0.844,5)</f>
        <v>10</v>
      </c>
      <c r="AE99">
        <f>MROUND((AE61*'T16'!$D$10)*0.844,5)</f>
        <v>165</v>
      </c>
      <c r="AF99">
        <f>MROUND((AF61*'T16'!$D$11)*0.844,5)</f>
        <v>55</v>
      </c>
      <c r="AG99">
        <f>IF(MROUND((AG61*'T16'!$D$6)*0.844,1)&lt;1,1,MROUND((AG61*'T16'!$D$6)*0.844,1))</f>
        <v>1</v>
      </c>
      <c r="AH99">
        <f>IF(MROUND((AH61*'T16'!$D$6)*0.844,5)&lt;1,1,MROUND((AH61*'T16'!$D$6)*0.844,5))</f>
        <v>3660</v>
      </c>
      <c r="AI99">
        <f>MROUND((AI61*'T16'!$D$7)*0.844,5)</f>
        <v>0</v>
      </c>
      <c r="AJ99">
        <f>MROUND((AJ61*'T16'!$D$6)*0.844,5)</f>
        <v>0</v>
      </c>
      <c r="AK99">
        <f>MROUND((AK61*'T16'!$D$4)*0.844,5)</f>
        <v>440</v>
      </c>
      <c r="AL99">
        <f>MROUND((AL61*'T16'!$D$10)*0.844,5)</f>
        <v>140</v>
      </c>
      <c r="AM99">
        <f>MROUND((AM61*'T16'!$D$12)*0.844,5)</f>
        <v>95</v>
      </c>
      <c r="AN99">
        <f t="shared" si="155"/>
        <v>7035</v>
      </c>
    </row>
    <row r="100" spans="1:40">
      <c r="A100">
        <v>2035</v>
      </c>
      <c r="J100">
        <f>IF(AND(MROUND(J62*'T16'!$D$3,1)&lt;1,J75&gt;0),1,MROUND(J62*'T16'!$D$3,1))</f>
        <v>0</v>
      </c>
      <c r="K100">
        <f>MROUND((K62*'T16'!$D$5)*'Source-fte_qualstus_x_servtype'!J41,5)</f>
        <v>1950</v>
      </c>
      <c r="L100">
        <f>MROUND((L74*'T16'!$D$7)*'Source-fte_qualstus_x_servtype'!J41,5)</f>
        <v>85</v>
      </c>
      <c r="M100">
        <f>MROUND((M62*'T16'!$D$5)*'Source-fte_qualstus_x_servtype'!J41,5)</f>
        <v>5</v>
      </c>
      <c r="N100">
        <f>MROUND((N62*'T16'!$D$3)*'Source-fte_qualstus_x_servtype'!J41,5)</f>
        <v>180</v>
      </c>
      <c r="O100">
        <f>MROUND((O62*'T16'!$D$10)*'Source-fte_qualstus_x_servtype'!J41,5)</f>
        <v>60</v>
      </c>
      <c r="P100">
        <f>MROUND((P62*'T16'!$D$11)*'Source-fte_qualstus_x_servtype'!J41,5)</f>
        <v>40</v>
      </c>
      <c r="Q100">
        <f>MROUND((Q62*'T16'!$D$6)*'Source-fte_qualstus_x_servtype'!J41,1)</f>
        <v>0</v>
      </c>
      <c r="R100">
        <f>MROUND((R62*'T16'!$D$6)*'Source-fte_qualstus_x_servtype'!J41,5)</f>
        <v>3820</v>
      </c>
      <c r="S100">
        <f>MROUND((S74*'T16'!$D$7)*'Source-fte_qualstus_x_servtype'!J41,5)</f>
        <v>340</v>
      </c>
      <c r="T100">
        <f>MROUND((T62*'T16'!$D$9)*'Source-fte_qualstus_x_servtype'!J41,5)</f>
        <v>20</v>
      </c>
      <c r="U100">
        <f>MROUND((U62*'T16'!$D$4)*'Source-fte_qualstus_x_servtype'!J41,5)</f>
        <v>355</v>
      </c>
      <c r="V100">
        <f>MROUND((V62*'T16'!$D$10)*'Source-fte_qualstus_x_servtype'!J41,5)</f>
        <v>245</v>
      </c>
      <c r="W100">
        <f>MROUND((W62*'T16'!$D$11)*'Source-fte_qualstus_x_servtype'!J41,5)</f>
        <v>150</v>
      </c>
      <c r="X100">
        <f t="shared" si="154"/>
        <v>6120</v>
      </c>
      <c r="Z100">
        <f>IF( MROUND( (Z62*'T16'!$D$3) * 0.844, 1) &lt;1, 1, MROUND( (Z62*'T16'!$D$3) * 0.844, 1 ) )</f>
        <v>1</v>
      </c>
      <c r="AA100">
        <f>MROUND((AA62*'T16'!$D$3)*0.844,1)</f>
        <v>2232</v>
      </c>
      <c r="AB100">
        <f>MROUND((AB62*'T16'!$D$7)*0.844,5)</f>
        <v>160</v>
      </c>
      <c r="AC100">
        <f>MROUND((AC62*'T16'!$D$5)*0.844,5)</f>
        <v>20</v>
      </c>
      <c r="AD100">
        <f>MROUND((AD62*'T16'!$D$3)*0.844,5)</f>
        <v>10</v>
      </c>
      <c r="AE100">
        <f>MROUND((AE62*'T16'!$D$10)*0.844,5)</f>
        <v>165</v>
      </c>
      <c r="AF100">
        <f>MROUND((AF62*'T16'!$D$11)*0.844,5)</f>
        <v>55</v>
      </c>
      <c r="AG100">
        <f>IF(MROUND((AG62*'T16'!$D$6)*0.844,1)&lt;1,1,MROUND((AG62*'T16'!$D$6)*0.844,1))</f>
        <v>1</v>
      </c>
      <c r="AH100">
        <f>IF(MROUND((AH62*'T16'!$D$6)*0.844,5)&lt;1,1,MROUND((AH62*'T16'!$D$6)*0.844,5))</f>
        <v>3640</v>
      </c>
      <c r="AI100">
        <f>MROUND((AI62*'T16'!$D$7)*0.844,5)</f>
        <v>0</v>
      </c>
      <c r="AJ100">
        <f>MROUND((AJ62*'T16'!$D$6)*0.844,5)</f>
        <v>0</v>
      </c>
      <c r="AK100">
        <f>MROUND((AK62*'T16'!$D$4)*0.844,5)</f>
        <v>435</v>
      </c>
      <c r="AL100">
        <f>MROUND((AL62*'T16'!$D$10)*0.844,5)</f>
        <v>140</v>
      </c>
      <c r="AM100">
        <f>MROUND((AM62*'T16'!$D$12)*0.844,5)</f>
        <v>90</v>
      </c>
      <c r="AN100">
        <f t="shared" si="155"/>
        <v>6950</v>
      </c>
    </row>
    <row r="102" spans="1:40">
      <c r="J102" s="177" t="s">
        <v>437</v>
      </c>
      <c r="K102" s="177"/>
      <c r="L102" s="177"/>
      <c r="M102" s="177"/>
      <c r="N102" s="177"/>
      <c r="O102" s="177"/>
      <c r="P102" s="177"/>
      <c r="Q102" s="177"/>
      <c r="R102" s="177"/>
      <c r="S102" s="177"/>
      <c r="T102" s="177"/>
      <c r="U102" s="177"/>
      <c r="V102" s="177"/>
      <c r="W102" s="177"/>
      <c r="X102" s="23"/>
      <c r="Z102" s="177" t="s">
        <v>438</v>
      </c>
      <c r="AA102" s="177"/>
      <c r="AB102" s="177"/>
      <c r="AC102" s="177"/>
      <c r="AD102" s="177"/>
      <c r="AE102" s="177"/>
      <c r="AF102" s="177"/>
      <c r="AG102" s="177"/>
      <c r="AH102" s="177"/>
      <c r="AI102" s="177"/>
      <c r="AJ102" s="177"/>
      <c r="AK102" s="177"/>
      <c r="AL102" s="177"/>
      <c r="AM102" s="177"/>
    </row>
    <row r="103" spans="1:40">
      <c r="A103">
        <v>2025</v>
      </c>
      <c r="J103">
        <f>MROUND((J14*'T16'!$D$3)*0.844,1)</f>
        <v>1</v>
      </c>
      <c r="K103">
        <f>MROUND((K14*'T16'!$E$5)*'Source-fte_qualstus_x_servtype'!J31,5)</f>
        <v>2560</v>
      </c>
      <c r="L103">
        <f>MROUND((L14*'T16'!$D$7)*'Source-fte_qualstus_x_servtype'!J31,5)</f>
        <v>285</v>
      </c>
      <c r="M103">
        <f>MROUND((M14*'T16'!$D$5)*'Source-fte_qualstus_x_servtype'!J31,5)</f>
        <v>10</v>
      </c>
      <c r="N103">
        <f>MROUND((N14*'T16'!$D$3)*'Source-fte_qualstus_x_servtype'!J31,5)</f>
        <v>195</v>
      </c>
      <c r="O103">
        <f>MROUND((O14*'T16'!$D$10)*'Source-fte_qualstus_x_servtype'!J31,5)</f>
        <v>65</v>
      </c>
      <c r="P103">
        <f>MROUND((P14*'T16'!$D$11)*'Source-fte_qualstus_x_servtype'!J31,5)</f>
        <v>65</v>
      </c>
      <c r="Q103">
        <f>MROUND((Q14*'T16'!$D$6)*'Source-fte_qualstus_x_servtype'!J31,1)</f>
        <v>3</v>
      </c>
      <c r="R103">
        <f>MROUND((R14*'T16'!$E$6)*'Source-fte_qualstus_x_servtype'!J31,5)</f>
        <v>6680</v>
      </c>
      <c r="S103">
        <f>MROUND((S14*'T16'!$D$7)*'Source-fte_qualstus_x_servtype'!J31,5)</f>
        <v>1120</v>
      </c>
      <c r="T103">
        <f>MROUND((T14*'T16'!$D$9)*'Source-fte_qualstus_x_servtype'!J31,5)</f>
        <v>35</v>
      </c>
      <c r="U103">
        <f>MROUND((U14*'T16'!$E$4)*'Source-fte_qualstus_x_servtype'!J31,5)</f>
        <v>615</v>
      </c>
      <c r="V103">
        <f>MROUND((V14*'T16'!$D$10)*'Source-fte_qualstus_x_servtype'!J31,5)</f>
        <v>265</v>
      </c>
      <c r="W103">
        <f>MROUND((W14*'T16'!$D$11)*'Source-fte_qualstus_x_servtype'!J31,5)</f>
        <v>245</v>
      </c>
      <c r="X103">
        <f>MROUND(SUM(J103:W103),5)</f>
        <v>12145</v>
      </c>
      <c r="Z103">
        <f>MROUND((Z14*'T16'!$D$3)*0.844,1)</f>
        <v>3</v>
      </c>
      <c r="AA103">
        <f>MROUND((AA14*'T16'!$D$3)*0.844,1)</f>
        <v>2353</v>
      </c>
      <c r="AB103">
        <f>MROUND((AB14*'T16'!$D$7)*0.844,5)</f>
        <v>1455</v>
      </c>
      <c r="AC103">
        <f>MROUND((AC14*'T16'!$D$5)*0.844,5)</f>
        <v>45</v>
      </c>
      <c r="AD103">
        <f>MROUND((AD14*'T16'!$D$3)*0.844,5)</f>
        <v>15</v>
      </c>
      <c r="AE103">
        <f>MROUND((AE14*'T16'!$D$10)*0.844,5)</f>
        <v>185</v>
      </c>
      <c r="AF103">
        <f>MROUND((AF14*'T16'!$D$11)*0.844,5)</f>
        <v>90</v>
      </c>
      <c r="AG103">
        <f>MROUND((AG14*'T16'!$D$6)*0.844,1)</f>
        <v>2</v>
      </c>
      <c r="AH103">
        <f>MROUND((AH14*'T16'!$D$6)*0.844,1)</f>
        <v>3836</v>
      </c>
      <c r="AI103">
        <f>MROUND((AI14*'T16'!$D$7)*0.844,5)</f>
        <v>5</v>
      </c>
      <c r="AJ103">
        <f>MROUND((AJ14*'T16'!$D$6)*0.844,5)</f>
        <v>0</v>
      </c>
      <c r="AK103">
        <f>MROUND((AK14*'T16'!$D$4)*0.844,5)</f>
        <v>490</v>
      </c>
      <c r="AL103">
        <f>MROUND((AL14*'T16'!$D$10)*0.844,5)</f>
        <v>155</v>
      </c>
      <c r="AM103">
        <f>MROUND((AM14*'T16'!$D$12)*0.844,5)</f>
        <v>150</v>
      </c>
      <c r="AN103">
        <f>SUM(Z103:AM103)</f>
        <v>8784</v>
      </c>
    </row>
    <row r="104" spans="1:40">
      <c r="A104">
        <v>2026</v>
      </c>
      <c r="J104">
        <f>IF(AND(MROUND((J65*'T16'!$D$3)*0.844,1)&lt;1,J65&gt;0),1,MROUND((J65*'T16'!$D$3)*0.844,1))</f>
        <v>1</v>
      </c>
      <c r="K104">
        <f>MROUND((K65*'T16'!$E$5)*'Source-fte_qualstus_x_servtype'!J32,5)</f>
        <v>2620</v>
      </c>
      <c r="L104">
        <f>MROUND((L65*'T16'!$D$7)*'Source-fte_qualstus_x_servtype'!J32,5)</f>
        <v>255</v>
      </c>
      <c r="M104">
        <f>MROUND((M65*'T16'!$D$5)*'Source-fte_qualstus_x_servtype'!J32,5)</f>
        <v>10</v>
      </c>
      <c r="N104">
        <f>MROUND((N65*'T16'!$D$3)*'Source-fte_qualstus_x_servtype'!J32,5)</f>
        <v>195</v>
      </c>
      <c r="O104">
        <f>MROUND((O65*'T16'!$D$10)*'Source-fte_qualstus_x_servtype'!J32,5)</f>
        <v>65</v>
      </c>
      <c r="P104">
        <f>MROUND((P65*'T16'!$D$11)*'Source-fte_qualstus_x_servtype'!J32,5)</f>
        <v>60</v>
      </c>
      <c r="Q104">
        <f>MROUND((Q65*'T16'!$D$6)*'Source-fte_qualstus_x_servtype'!J32,1)</f>
        <v>2</v>
      </c>
      <c r="R104">
        <f>MROUND((R65*'T16'!$E$6)*'Source-fte_qualstus_x_servtype'!J32,5)</f>
        <v>6825</v>
      </c>
      <c r="S104">
        <f>MROUND((S65*'T16'!$D$7)*'Source-fte_qualstus_x_servtype'!J32,5)</f>
        <v>995</v>
      </c>
      <c r="T104">
        <f>MROUND((T65*'T16'!$D$9)*'Source-fte_qualstus_x_servtype'!J32,5)</f>
        <v>40</v>
      </c>
      <c r="U104">
        <f>MROUND((U65*'T16'!$E$4)*'Source-fte_qualstus_x_servtype'!J32,5)</f>
        <v>615</v>
      </c>
      <c r="V104">
        <f>MROUND((V65*'T16'!$D$10)*'Source-fte_qualstus_x_servtype'!J32,5)</f>
        <v>265</v>
      </c>
      <c r="W104">
        <f>MROUND((W65*'T16'!$D$11)*'Source-fte_qualstus_x_servtype'!J32,5)</f>
        <v>245</v>
      </c>
      <c r="X104">
        <f t="shared" ref="X104:X113" si="156">MROUND(SUM(J104:W104),5)</f>
        <v>12195</v>
      </c>
      <c r="Z104">
        <f>MROUND((Z65*'T16'!$D$3)*0.844,1)</f>
        <v>2</v>
      </c>
      <c r="AA104">
        <f>MROUND((AA65*'T16'!$D$3)*0.844,1)</f>
        <v>2395</v>
      </c>
      <c r="AB104">
        <f>MROUND((AB65*'T16'!$D$7)*0.844,5)</f>
        <v>1285</v>
      </c>
      <c r="AC104">
        <f>MROUND((AC65*'T16'!$D$5)*0.844,5)</f>
        <v>45</v>
      </c>
      <c r="AD104">
        <f>MROUND((AD65*'T16'!$D$3)*0.844,5)</f>
        <v>15</v>
      </c>
      <c r="AE104">
        <f>MROUND((AE65*'T16'!$D$10)*0.844,5)</f>
        <v>185</v>
      </c>
      <c r="AF104">
        <f>MROUND((AF65*'T16'!$D$11)*0.844,5)</f>
        <v>90</v>
      </c>
      <c r="AG104">
        <f>MROUND((AG65*'T16'!$D$6)*0.844,1)</f>
        <v>1</v>
      </c>
      <c r="AH104">
        <f>MROUND((AH65*'T16'!$D$6)*0.844,1)</f>
        <v>3904</v>
      </c>
      <c r="AI104">
        <f>MROUND((AI65*'T16'!$D$7)*0.844,5)</f>
        <v>5</v>
      </c>
      <c r="AJ104">
        <f>MROUND((AJ65*'T16'!$D$6)*0.844,5)</f>
        <v>0</v>
      </c>
      <c r="AK104">
        <f>MROUND((AK65*'T16'!$D$4)*0.844,5)</f>
        <v>485</v>
      </c>
      <c r="AL104">
        <f>MROUND((AL65*'T16'!$D$10)*0.844,5)</f>
        <v>155</v>
      </c>
      <c r="AM104">
        <f>MROUND((AM65*'T16'!$D$12)*0.844,5)</f>
        <v>150</v>
      </c>
      <c r="AN104">
        <f>SUM(Z104:AM104)</f>
        <v>8717</v>
      </c>
    </row>
    <row r="105" spans="1:40">
      <c r="A105">
        <v>2027</v>
      </c>
      <c r="J105">
        <f>MROUND((J66*'T16'!$D$3)*0.844,1)</f>
        <v>1</v>
      </c>
      <c r="K105">
        <f>MROUND((K66*'T16'!$E$5)*'Source-fte_qualstus_x_servtype'!J33,5)</f>
        <v>2675</v>
      </c>
      <c r="L105">
        <f>MROUND((L66*'T16'!$D$7)*'Source-fte_qualstus_x_servtype'!J33,5)</f>
        <v>225</v>
      </c>
      <c r="M105">
        <f>MROUND((M66*'T16'!$D$5)*'Source-fte_qualstus_x_servtype'!J33,5)</f>
        <v>10</v>
      </c>
      <c r="N105">
        <f>MROUND((N66*'T16'!$D$3)*'Source-fte_qualstus_x_servtype'!J33,5)</f>
        <v>195</v>
      </c>
      <c r="O105">
        <f>MROUND((O66*'T16'!$D$10)*'Source-fte_qualstus_x_servtype'!J33,5)</f>
        <v>65</v>
      </c>
      <c r="P105">
        <f>MROUND((P66*'T16'!$D$11)*'Source-fte_qualstus_x_servtype'!J33,5)</f>
        <v>60</v>
      </c>
      <c r="Q105">
        <f>MROUND((Q66*'T16'!$D$6)*'Source-fte_qualstus_x_servtype'!J33,1)</f>
        <v>2</v>
      </c>
      <c r="R105">
        <f>MROUND((R66*'T16'!$E$6)*'Source-fte_qualstus_x_servtype'!J33,5)</f>
        <v>6980</v>
      </c>
      <c r="S105">
        <f>MROUND((S66*'T16'!$D$7)*'Source-fte_qualstus_x_servtype'!J33,5)</f>
        <v>885</v>
      </c>
      <c r="T105">
        <f>MROUND((T66*'T16'!$D$9)*'Source-fte_qualstus_x_servtype'!J33,5)</f>
        <v>40</v>
      </c>
      <c r="U105">
        <f>MROUND((U66*'T16'!$E$4)*'Source-fte_qualstus_x_servtype'!J33,5)</f>
        <v>615</v>
      </c>
      <c r="V105">
        <f>MROUND((V66*'T16'!$D$10)*'Source-fte_qualstus_x_servtype'!J33,5)</f>
        <v>260</v>
      </c>
      <c r="W105">
        <f>MROUND((W66*'T16'!$D$11)*'Source-fte_qualstus_x_servtype'!J33,5)</f>
        <v>240</v>
      </c>
      <c r="X105">
        <f t="shared" si="156"/>
        <v>12255</v>
      </c>
      <c r="Z105">
        <f>MROUND((Z66*'T16'!$D$3)*0.844,1)</f>
        <v>2</v>
      </c>
      <c r="AA105">
        <f>MROUND((AA66*'T16'!$D$3)*0.844,1)</f>
        <v>2437</v>
      </c>
      <c r="AB105">
        <f>MROUND((AB66*'T16'!$D$7)*0.844,5)</f>
        <v>1135</v>
      </c>
      <c r="AC105">
        <f>MROUND((AC66*'T16'!$D$5)*0.844,5)</f>
        <v>45</v>
      </c>
      <c r="AD105">
        <f>MROUND((AD66*'T16'!$D$3)*0.844,5)</f>
        <v>15</v>
      </c>
      <c r="AE105">
        <f>MROUND((AE66*'T16'!$D$10)*0.844,5)</f>
        <v>185</v>
      </c>
      <c r="AF105">
        <f>MROUND((AF66*'T16'!$D$11)*0.844,5)</f>
        <v>90</v>
      </c>
      <c r="AG105">
        <f>MROUND((AG66*'T16'!$D$6)*0.844,1)</f>
        <v>1</v>
      </c>
      <c r="AH105">
        <f>MROUND((AH66*'T16'!$D$6)*0.844,1)</f>
        <v>3973</v>
      </c>
      <c r="AI105">
        <f>MROUND((AI66*'T16'!$D$7)*0.844,5)</f>
        <v>5</v>
      </c>
      <c r="AJ105">
        <f>MROUND((AJ66*'T16'!$D$6)*0.844,5)</f>
        <v>0</v>
      </c>
      <c r="AK105">
        <f>MROUND((AK66*'T16'!$D$4)*0.844,5)</f>
        <v>485</v>
      </c>
      <c r="AL105">
        <f>MROUND((AL66*'T16'!$D$10)*0.844,5)</f>
        <v>155</v>
      </c>
      <c r="AM105">
        <f>MROUND((AM66*'T16'!$D$12)*0.844,5)</f>
        <v>150</v>
      </c>
      <c r="AN105">
        <f t="shared" ref="AN105:AN113" si="157">SUM(Z105:AM105)</f>
        <v>8678</v>
      </c>
    </row>
    <row r="106" spans="1:40">
      <c r="A106">
        <v>2028</v>
      </c>
      <c r="J106">
        <f>MROUND((J67*'T16'!$D$3)*0.844,1)</f>
        <v>1</v>
      </c>
      <c r="K106">
        <f>MROUND((K67*'T16'!$E$5)*'Source-fte_qualstus_x_servtype'!J34,5)</f>
        <v>2735</v>
      </c>
      <c r="L106">
        <f>MROUND((L67*'T16'!$D$7)*'Source-fte_qualstus_x_servtype'!J34,5)</f>
        <v>200</v>
      </c>
      <c r="M106">
        <f>MROUND((M67*'T16'!$D$5)*'Source-fte_qualstus_x_servtype'!J34,5)</f>
        <v>10</v>
      </c>
      <c r="N106">
        <f>MROUND((N67*'T16'!$D$3)*'Source-fte_qualstus_x_servtype'!J34,5)</f>
        <v>195</v>
      </c>
      <c r="O106">
        <f>MROUND((O67*'T16'!$D$10)*'Source-fte_qualstus_x_servtype'!J34,5)</f>
        <v>65</v>
      </c>
      <c r="P106">
        <f>MROUND((P67*'T16'!$D$11)*'Source-fte_qualstus_x_servtype'!J34,5)</f>
        <v>60</v>
      </c>
      <c r="Q106">
        <f>MROUND((Q67*'T16'!$D$6)*'Source-fte_qualstus_x_servtype'!J34,1)</f>
        <v>1</v>
      </c>
      <c r="R106">
        <f>MROUND((R67*'T16'!$E$6)*'Source-fte_qualstus_x_servtype'!J34,5)</f>
        <v>7130</v>
      </c>
      <c r="S106">
        <f>MROUND((S67*'T16'!$D$7)*'Source-fte_qualstus_x_servtype'!J34,5)</f>
        <v>785</v>
      </c>
      <c r="T106">
        <f>MROUND((T67*'T16'!$D$9)*'Source-fte_qualstus_x_servtype'!J34,5)</f>
        <v>40</v>
      </c>
      <c r="U106">
        <f>MROUND((U67*'T16'!$E$4)*'Source-fte_qualstus_x_servtype'!J34,5)</f>
        <v>615</v>
      </c>
      <c r="V106">
        <f>MROUND((V67*'T16'!$D$10)*'Source-fte_qualstus_x_servtype'!J34,5)</f>
        <v>260</v>
      </c>
      <c r="W106">
        <f>MROUND((W67*'T16'!$D$11)*'Source-fte_qualstus_x_servtype'!J34,5)</f>
        <v>240</v>
      </c>
      <c r="X106">
        <f t="shared" si="156"/>
        <v>12335</v>
      </c>
      <c r="Z106">
        <f>MROUND((Z67*'T16'!$D$3)*0.844,1)</f>
        <v>2</v>
      </c>
      <c r="AA106">
        <f>MROUND((AA67*'T16'!$D$3)*0.844,1)</f>
        <v>2480</v>
      </c>
      <c r="AB106">
        <f>MROUND((AB67*'T16'!$D$7)*0.844,5)</f>
        <v>1005</v>
      </c>
      <c r="AC106">
        <f>MROUND((AC67*'T16'!$D$5)*0.844,5)</f>
        <v>45</v>
      </c>
      <c r="AD106">
        <f>MROUND((AD67*'T16'!$D$3)*0.844,5)</f>
        <v>15</v>
      </c>
      <c r="AE106">
        <f>MROUND((AE67*'T16'!$D$10)*0.844,5)</f>
        <v>180</v>
      </c>
      <c r="AF106">
        <f>MROUND((AF67*'T16'!$D$11)*0.844,5)</f>
        <v>90</v>
      </c>
      <c r="AG106">
        <f>MROUND((AG67*'T16'!$D$6)*0.844,1)</f>
        <v>1</v>
      </c>
      <c r="AH106">
        <f>MROUND((AH67*'T16'!$D$6)*0.844,1)</f>
        <v>4043</v>
      </c>
      <c r="AI106">
        <f>MROUND((AI67*'T16'!$D$7)*0.844,5)</f>
        <v>5</v>
      </c>
      <c r="AJ106">
        <f>MROUND((AJ67*'T16'!$D$6)*0.844,5)</f>
        <v>0</v>
      </c>
      <c r="AK106">
        <f>MROUND((AK67*'T16'!$D$4)*0.844,5)</f>
        <v>485</v>
      </c>
      <c r="AL106">
        <f>MROUND((AL67*'T16'!$D$10)*0.844,5)</f>
        <v>155</v>
      </c>
      <c r="AM106">
        <f>MROUND((AM67*'T16'!$D$12)*0.844,5)</f>
        <v>145</v>
      </c>
      <c r="AN106">
        <f t="shared" si="157"/>
        <v>8651</v>
      </c>
    </row>
    <row r="107" spans="1:40">
      <c r="A107">
        <v>2029</v>
      </c>
      <c r="J107">
        <f>MROUND((J68*'T16'!$D$3)*0.844,1)</f>
        <v>0</v>
      </c>
      <c r="K107">
        <f>MROUND((K68*'T16'!$E$5)*'Source-fte_qualstus_x_servtype'!J35,5)</f>
        <v>2795</v>
      </c>
      <c r="L107">
        <f>MROUND((L68*'T16'!$D$7)*'Source-fte_qualstus_x_servtype'!J35,5)</f>
        <v>175</v>
      </c>
      <c r="M107">
        <f>MROUND((M68*'T16'!$D$5)*'Source-fte_qualstus_x_servtype'!J35,5)</f>
        <v>10</v>
      </c>
      <c r="N107">
        <f>MROUND((N68*'T16'!$D$3)*'Source-fte_qualstus_x_servtype'!J35,5)</f>
        <v>195</v>
      </c>
      <c r="O107">
        <f>MROUND((O68*'T16'!$D$10)*'Source-fte_qualstus_x_servtype'!J35,5)</f>
        <v>65</v>
      </c>
      <c r="P107">
        <f>MROUND((P68*'T16'!$D$11)*'Source-fte_qualstus_x_servtype'!J35,5)</f>
        <v>60</v>
      </c>
      <c r="Q107">
        <f>MROUND((Q68*'T16'!$D$6)*'Source-fte_qualstus_x_servtype'!J35,1)</f>
        <v>1</v>
      </c>
      <c r="R107">
        <f>MROUND((R68*'T16'!$E$6)*'Source-fte_qualstus_x_servtype'!J35,5)</f>
        <v>7290</v>
      </c>
      <c r="S107">
        <f>MROUND((S68*'T16'!$D$7)*'Source-fte_qualstus_x_servtype'!J35,5)</f>
        <v>695</v>
      </c>
      <c r="T107">
        <f>MROUND((T68*'T16'!$D$9)*'Source-fte_qualstus_x_servtype'!J35,5)</f>
        <v>40</v>
      </c>
      <c r="U107">
        <f>MROUND((U68*'T16'!$E$4)*'Source-fte_qualstus_x_servtype'!J35,5)</f>
        <v>615</v>
      </c>
      <c r="V107">
        <f>MROUND((V68*'T16'!$D$10)*'Source-fte_qualstus_x_servtype'!J35,5)</f>
        <v>260</v>
      </c>
      <c r="W107">
        <f>MROUND((W68*'T16'!$D$11)*'Source-fte_qualstus_x_servtype'!J35,5)</f>
        <v>235</v>
      </c>
      <c r="X107">
        <f t="shared" si="156"/>
        <v>12435</v>
      </c>
      <c r="Z107">
        <f>MROUND((Z68*'T16'!$D$3)*0.844,1)</f>
        <v>1</v>
      </c>
      <c r="AA107">
        <f>MROUND((AA68*'T16'!$D$3)*0.844,1)</f>
        <v>2524</v>
      </c>
      <c r="AB107">
        <f>MROUND((AB68*'T16'!$D$7)*0.844,5)</f>
        <v>885</v>
      </c>
      <c r="AC107">
        <f>MROUND((AC68*'T16'!$D$5)*0.844,5)</f>
        <v>45</v>
      </c>
      <c r="AD107">
        <f>MROUND((AD68*'T16'!$D$3)*0.844,5)</f>
        <v>15</v>
      </c>
      <c r="AE107">
        <f>MROUND((AE68*'T16'!$D$10)*0.844,5)</f>
        <v>180</v>
      </c>
      <c r="AF107">
        <f>MROUND((AF68*'T16'!$D$11)*0.844,5)</f>
        <v>85</v>
      </c>
      <c r="AG107">
        <f>MROUND((AG68*'T16'!$D$6)*0.844,1)</f>
        <v>1</v>
      </c>
      <c r="AH107">
        <f>MROUND((AH68*'T16'!$D$6)*0.844,1)</f>
        <v>4114</v>
      </c>
      <c r="AI107">
        <f>MROUND((AI68*'T16'!$D$7)*0.844,5)</f>
        <v>5</v>
      </c>
      <c r="AJ107">
        <f>MROUND((AJ68*'T16'!$D$6)*0.844,5)</f>
        <v>0</v>
      </c>
      <c r="AK107">
        <f>MROUND((AK68*'T16'!$D$4)*0.844,5)</f>
        <v>480</v>
      </c>
      <c r="AL107">
        <f>MROUND((AL68*'T16'!$D$10)*0.844,5)</f>
        <v>150</v>
      </c>
      <c r="AM107">
        <f>MROUND((AM68*'T16'!$D$12)*0.844,5)</f>
        <v>145</v>
      </c>
      <c r="AN107">
        <f t="shared" si="157"/>
        <v>8630</v>
      </c>
    </row>
    <row r="108" spans="1:40">
      <c r="A108">
        <v>2030</v>
      </c>
      <c r="J108">
        <f>IF(AND(MROUND((J69*'T16'!$D$3)*0.844,1)&lt;1,J81&gt;1),1,MROUND((J69*'T16'!$D$3)*0.844,1))</f>
        <v>1</v>
      </c>
      <c r="K108">
        <f>MROUND((K69*'T16'!$E$5)*'Source-fte_qualstus_x_servtype'!J36,5)</f>
        <v>2860</v>
      </c>
      <c r="L108">
        <f>MROUND((L69*'T16'!$D$7)*'Source-fte_qualstus_x_servtype'!J36,5)</f>
        <v>155</v>
      </c>
      <c r="M108">
        <f>MROUND((M69*'T16'!$D$5)*'Source-fte_qualstus_x_servtype'!J36,5)</f>
        <v>10</v>
      </c>
      <c r="N108">
        <f>MROUND((N69*'T16'!$D$3)*'Source-fte_qualstus_x_servtype'!J36,5)</f>
        <v>195</v>
      </c>
      <c r="O108">
        <f>MROUND((O69*'T16'!$D$10)*'Source-fte_qualstus_x_servtype'!J36,5)</f>
        <v>65</v>
      </c>
      <c r="P108">
        <f>MROUND((P69*'T16'!$D$11)*'Source-fte_qualstus_x_servtype'!J36,5)</f>
        <v>60</v>
      </c>
      <c r="Q108">
        <f>MROUND((Q69*'T16'!$D$6)*'Source-fte_qualstus_x_servtype'!J36,1)</f>
        <v>1</v>
      </c>
      <c r="R108">
        <f>MROUND((R69*'T16'!$E$6)*'Source-fte_qualstus_x_servtype'!J36,5)</f>
        <v>7450</v>
      </c>
      <c r="S108">
        <f>MROUND((S69*'T16'!$D$7)*'Source-fte_qualstus_x_servtype'!J36,5)</f>
        <v>615</v>
      </c>
      <c r="T108">
        <f>MROUND((T69*'T16'!$D$9)*'Source-fte_qualstus_x_servtype'!J36,5)</f>
        <v>40</v>
      </c>
      <c r="U108">
        <f>MROUND((U69*'T16'!$E$4)*'Source-fte_qualstus_x_servtype'!J36,5)</f>
        <v>615</v>
      </c>
      <c r="V108">
        <f>MROUND((V69*'T16'!$D$10)*'Source-fte_qualstus_x_servtype'!J36,5)</f>
        <v>260</v>
      </c>
      <c r="W108">
        <f>MROUND((W69*'T16'!$D$11)*'Source-fte_qualstus_x_servtype'!J36,5)</f>
        <v>235</v>
      </c>
      <c r="X108">
        <f t="shared" si="156"/>
        <v>12560</v>
      </c>
      <c r="Z108">
        <f>MROUND((Z69*'T16'!$D$3)*0.844,1)</f>
        <v>1</v>
      </c>
      <c r="AA108">
        <f>MROUND((AA69*'T16'!$D$3)*0.844,1)</f>
        <v>2568</v>
      </c>
      <c r="AB108">
        <f>MROUND((AB69*'T16'!$D$7)*0.844,5)</f>
        <v>785</v>
      </c>
      <c r="AC108">
        <f>MROUND((AC69*'T16'!$D$5)*0.844,5)</f>
        <v>45</v>
      </c>
      <c r="AD108">
        <f>MROUND((AD69*'T16'!$D$3)*0.844,5)</f>
        <v>15</v>
      </c>
      <c r="AE108">
        <f>MROUND((AE69*'T16'!$D$10)*0.844,5)</f>
        <v>180</v>
      </c>
      <c r="AF108">
        <f>MROUND((AF69*'T16'!$D$11)*0.844,5)</f>
        <v>85</v>
      </c>
      <c r="AG108">
        <f>MROUND((AG69*'T16'!$D$6)*0.844,1)</f>
        <v>0</v>
      </c>
      <c r="AH108">
        <f>MROUND((AH69*'T16'!$D$6)*0.844,1)</f>
        <v>4187</v>
      </c>
      <c r="AI108">
        <f>MROUND((AI69*'T16'!$D$7)*0.844,5)</f>
        <v>0</v>
      </c>
      <c r="AJ108">
        <f>MROUND((AJ69*'T16'!$D$6)*0.844,5)</f>
        <v>0</v>
      </c>
      <c r="AK108">
        <f>MROUND((AK69*'T16'!$D$4)*0.844,5)</f>
        <v>480</v>
      </c>
      <c r="AL108">
        <f>MROUND((AL69*'T16'!$D$10)*0.844,5)</f>
        <v>150</v>
      </c>
      <c r="AM108">
        <f>MROUND((AM69*'T16'!$D$12)*0.844,5)</f>
        <v>140</v>
      </c>
      <c r="AN108">
        <f t="shared" si="157"/>
        <v>8636</v>
      </c>
    </row>
    <row r="109" spans="1:40">
      <c r="A109">
        <v>2031</v>
      </c>
      <c r="J109">
        <f>IF(AND(MROUND((J70*'T16'!$D$3)*0.844,1)&lt;1,J82&gt;1),1,MROUND((J70*'T16'!$D$3)*0.844,1))</f>
        <v>1</v>
      </c>
      <c r="K109">
        <f>MROUND((K70*'T16'!$E$5)*'Source-fte_qualstus_x_servtype'!J37,5)</f>
        <v>2920</v>
      </c>
      <c r="L109">
        <f>MROUND((L70*'T16'!$D$7)*'Source-fte_qualstus_x_servtype'!J37,5)</f>
        <v>140</v>
      </c>
      <c r="M109">
        <f>MROUND((M70*'T16'!$D$5)*'Source-fte_qualstus_x_servtype'!J37,5)</f>
        <v>10</v>
      </c>
      <c r="N109">
        <f>MROUND((N70*'T16'!$D$3)*'Source-fte_qualstus_x_servtype'!J37,5)</f>
        <v>195</v>
      </c>
      <c r="O109">
        <f>MROUND((O70*'T16'!$D$10)*'Source-fte_qualstus_x_servtype'!J37,5)</f>
        <v>65</v>
      </c>
      <c r="P109">
        <f>MROUND((P70*'T16'!$D$11)*'Source-fte_qualstus_x_servtype'!J37,5)</f>
        <v>60</v>
      </c>
      <c r="Q109">
        <f>MROUND((Q70*'T16'!$D$6)*'Source-fte_qualstus_x_servtype'!J37,1)</f>
        <v>1</v>
      </c>
      <c r="R109">
        <f>MROUND((R70*'T16'!$E$6)*'Source-fte_qualstus_x_servtype'!J37,5)</f>
        <v>7615</v>
      </c>
      <c r="S109">
        <f>MROUND((S70*'T16'!$D$7)*'Source-fte_qualstus_x_servtype'!J37,5)</f>
        <v>545</v>
      </c>
      <c r="T109">
        <f>MROUND((T70*'T16'!$D$9)*'Source-fte_qualstus_x_servtype'!J37,5)</f>
        <v>40</v>
      </c>
      <c r="U109">
        <f>MROUND((U70*'T16'!$E$4)*'Source-fte_qualstus_x_servtype'!J37,5)</f>
        <v>615</v>
      </c>
      <c r="V109">
        <f>MROUND((V70*'T16'!$D$10)*'Source-fte_qualstus_x_servtype'!J37,5)</f>
        <v>260</v>
      </c>
      <c r="W109">
        <f>MROUND((W70*'T16'!$D$11)*'Source-fte_qualstus_x_servtype'!J37,5)</f>
        <v>230</v>
      </c>
      <c r="X109">
        <f t="shared" si="156"/>
        <v>12695</v>
      </c>
      <c r="Z109">
        <f>MROUND((Z70*'T16'!$D$3)*0.844,1)</f>
        <v>1</v>
      </c>
      <c r="AA109">
        <f>MROUND((AA70*'T16'!$D$3)*0.844,1)</f>
        <v>2613</v>
      </c>
      <c r="AB109">
        <f>MROUND((AB70*'T16'!$D$7)*0.844,5)</f>
        <v>690</v>
      </c>
      <c r="AC109">
        <f>MROUND((AC70*'T16'!$D$5)*0.844,5)</f>
        <v>45</v>
      </c>
      <c r="AD109">
        <f>MROUND((AD70*'T16'!$D$3)*0.844,5)</f>
        <v>15</v>
      </c>
      <c r="AE109">
        <f>MROUND((AE70*'T16'!$D$10)*0.844,5)</f>
        <v>180</v>
      </c>
      <c r="AF109">
        <f>MROUND((AF70*'T16'!$D$11)*0.844,5)</f>
        <v>85</v>
      </c>
      <c r="AG109">
        <f>MROUND((AG70*'T16'!$D$6)*0.844,1)</f>
        <v>0</v>
      </c>
      <c r="AH109">
        <f>MROUND((AH70*'T16'!$D$6)*0.844,1)</f>
        <v>4261</v>
      </c>
      <c r="AI109">
        <f>MROUND((AI70*'T16'!$D$7)*0.844,5)</f>
        <v>0</v>
      </c>
      <c r="AJ109">
        <f>MROUND((AJ70*'T16'!$D$6)*0.844,5)</f>
        <v>0</v>
      </c>
      <c r="AK109">
        <f>MROUND((AK70*'T16'!$D$4)*0.844,5)</f>
        <v>480</v>
      </c>
      <c r="AL109">
        <f>MROUND((AL70*'T16'!$D$10)*0.844,5)</f>
        <v>150</v>
      </c>
      <c r="AM109">
        <f>MROUND((AM70*'T16'!$D$12)*0.844,5)</f>
        <v>140</v>
      </c>
      <c r="AN109">
        <f t="shared" si="157"/>
        <v>8660</v>
      </c>
    </row>
    <row r="110" spans="1:40">
      <c r="A110">
        <v>2032</v>
      </c>
      <c r="J110">
        <f>IF(AND(MROUND((J71*'T16'!$D$3)*0.844,1)&lt;1,J83&gt;1),1,MROUND((J71*'T16'!$D$3)*0.844,1))</f>
        <v>1</v>
      </c>
      <c r="K110">
        <f>MROUND((K71*'T16'!$E$5)*'Source-fte_qualstus_x_servtype'!J38,5)</f>
        <v>2985</v>
      </c>
      <c r="L110">
        <f>MROUND((L71*'T16'!$D$7)*'Source-fte_qualstus_x_servtype'!J38,5)</f>
        <v>125</v>
      </c>
      <c r="M110">
        <f>MROUND((M71*'T16'!$D$5)*'Source-fte_qualstus_x_servtype'!J38,5)</f>
        <v>10</v>
      </c>
      <c r="N110">
        <f>MROUND((N71*'T16'!$D$3)*'Source-fte_qualstus_x_servtype'!J38,5)</f>
        <v>195</v>
      </c>
      <c r="O110">
        <f>MROUND((O71*'T16'!$D$10)*'Source-fte_qualstus_x_servtype'!J38,5)</f>
        <v>65</v>
      </c>
      <c r="P110">
        <f>MROUND((P71*'T16'!$D$11)*'Source-fte_qualstus_x_servtype'!J38,5)</f>
        <v>60</v>
      </c>
      <c r="Q110">
        <f>MROUND((Q71*'T16'!$D$6)*'Source-fte_qualstus_x_servtype'!J38,1)</f>
        <v>1</v>
      </c>
      <c r="R110">
        <f>MROUND((R71*'T16'!$E$6)*'Source-fte_qualstus_x_servtype'!J38,5)</f>
        <v>7785</v>
      </c>
      <c r="S110">
        <f>MROUND((S71*'T16'!$D$7)*'Source-fte_qualstus_x_servtype'!J38,5)</f>
        <v>485</v>
      </c>
      <c r="T110">
        <f>MROUND((T71*'T16'!$D$9)*'Source-fte_qualstus_x_servtype'!J38,5)</f>
        <v>40</v>
      </c>
      <c r="U110">
        <f>MROUND((U71*'T16'!$E$4)*'Source-fte_qualstus_x_servtype'!J38,5)</f>
        <v>615</v>
      </c>
      <c r="V110">
        <f>MROUND((V71*'T16'!$D$10)*'Source-fte_qualstus_x_servtype'!J38,5)</f>
        <v>260</v>
      </c>
      <c r="W110">
        <f>MROUND((W71*'T16'!$D$11)*'Source-fte_qualstus_x_servtype'!J38,5)</f>
        <v>230</v>
      </c>
      <c r="X110">
        <f t="shared" si="156"/>
        <v>12855</v>
      </c>
      <c r="Z110">
        <f>MROUND((Z71*'T16'!$D$3)*0.844,1)</f>
        <v>1</v>
      </c>
      <c r="AA110">
        <f>MROUND((AA71*'T16'!$D$3)*0.844,1)</f>
        <v>2660</v>
      </c>
      <c r="AB110">
        <f>MROUND((AB71*'T16'!$D$7)*0.844,5)</f>
        <v>610</v>
      </c>
      <c r="AC110">
        <f>MROUND((AC71*'T16'!$D$5)*0.844,5)</f>
        <v>45</v>
      </c>
      <c r="AD110">
        <f>MROUND((AD71*'T16'!$D$3)*0.844,5)</f>
        <v>15</v>
      </c>
      <c r="AE110">
        <f>MROUND((AE71*'T16'!$D$10)*0.844,5)</f>
        <v>175</v>
      </c>
      <c r="AF110">
        <f>MROUND((AF71*'T16'!$D$11)*0.844,5)</f>
        <v>85</v>
      </c>
      <c r="AG110">
        <f>MROUND((AG71*'T16'!$D$6)*0.844,1)</f>
        <v>0</v>
      </c>
      <c r="AH110">
        <f>MROUND((AH71*'T16'!$D$6)*0.844,1)</f>
        <v>4336</v>
      </c>
      <c r="AI110">
        <f>MROUND((AI71*'T16'!$D$7)*0.844,5)</f>
        <v>0</v>
      </c>
      <c r="AJ110">
        <f>MROUND((AJ71*'T16'!$D$6)*0.844,5)</f>
        <v>0</v>
      </c>
      <c r="AK110">
        <f>MROUND((AK71*'T16'!$D$4)*0.844,5)</f>
        <v>475</v>
      </c>
      <c r="AL110">
        <f>MROUND((AL71*'T16'!$D$10)*0.844,5)</f>
        <v>150</v>
      </c>
      <c r="AM110">
        <f>MROUND((AM71*'T16'!$D$12)*0.844,5)</f>
        <v>135</v>
      </c>
      <c r="AN110">
        <f t="shared" si="157"/>
        <v>8687</v>
      </c>
    </row>
    <row r="111" spans="1:40">
      <c r="A111">
        <v>2033</v>
      </c>
      <c r="J111">
        <f>IF(AND(MROUND((J72*'T16'!$D$3)*0.844,1)&lt;1,J84&gt;1),1,MROUND((J72*'T16'!$D$3)*0.844,1))</f>
        <v>1</v>
      </c>
      <c r="K111">
        <f>MROUND((K72*'T16'!$E$5)*'Source-fte_qualstus_x_servtype'!J39,5)</f>
        <v>3050</v>
      </c>
      <c r="L111">
        <f>MROUND((L72*'T16'!$D$7)*'Source-fte_qualstus_x_servtype'!J39,5)</f>
        <v>110</v>
      </c>
      <c r="M111">
        <f>MROUND((M72*'T16'!$D$5)*'Source-fte_qualstus_x_servtype'!J39,5)</f>
        <v>10</v>
      </c>
      <c r="N111">
        <f>MROUND((N72*'T16'!$D$3)*'Source-fte_qualstus_x_servtype'!J39,5)</f>
        <v>195</v>
      </c>
      <c r="O111">
        <f>MROUND((O72*'T16'!$D$10)*'Source-fte_qualstus_x_servtype'!J39,5)</f>
        <v>65</v>
      </c>
      <c r="P111">
        <f>MROUND((P72*'T16'!$D$11)*'Source-fte_qualstus_x_servtype'!J39,5)</f>
        <v>60</v>
      </c>
      <c r="Q111">
        <f>MROUND((Q72*'T16'!$D$6)*'Source-fte_qualstus_x_servtype'!J39,1)</f>
        <v>1</v>
      </c>
      <c r="R111">
        <f>MROUND((R72*'T16'!$E$6)*'Source-fte_qualstus_x_servtype'!J39,5)</f>
        <v>7955</v>
      </c>
      <c r="S111">
        <f>MROUND((S72*'T16'!$D$7)*'Source-fte_qualstus_x_servtype'!J39,5)</f>
        <v>430</v>
      </c>
      <c r="T111">
        <f>MROUND((T72*'T16'!$D$9)*'Source-fte_qualstus_x_servtype'!J39,5)</f>
        <v>40</v>
      </c>
      <c r="U111">
        <f>MROUND((U72*'T16'!$E$4)*'Source-fte_qualstus_x_servtype'!J39,5)</f>
        <v>615</v>
      </c>
      <c r="V111">
        <f>MROUND((V72*'T16'!$D$10)*'Source-fte_qualstus_x_servtype'!J39,5)</f>
        <v>255</v>
      </c>
      <c r="W111">
        <f>MROUND((W72*'T16'!$D$11)*'Source-fte_qualstus_x_servtype'!J39,5)</f>
        <v>225</v>
      </c>
      <c r="X111">
        <f t="shared" si="156"/>
        <v>13010</v>
      </c>
      <c r="Z111">
        <f>MROUND((Z72*'T16'!$D$3)*0.844,1)</f>
        <v>1</v>
      </c>
      <c r="AA111">
        <f>MROUND((AA72*'T16'!$D$3)*0.844,1)</f>
        <v>2707</v>
      </c>
      <c r="AB111">
        <f>MROUND((AB72*'T16'!$D$7)*0.844,5)</f>
        <v>540</v>
      </c>
      <c r="AC111">
        <f>MROUND((AC72*'T16'!$D$5)*0.844,5)</f>
        <v>45</v>
      </c>
      <c r="AD111">
        <f>MROUND((AD72*'T16'!$D$3)*0.844,5)</f>
        <v>15</v>
      </c>
      <c r="AE111">
        <f>MROUND((AE72*'T16'!$D$10)*0.844,5)</f>
        <v>175</v>
      </c>
      <c r="AF111">
        <f>MROUND((AF72*'T16'!$D$11)*0.844,5)</f>
        <v>80</v>
      </c>
      <c r="AG111">
        <f>MROUND((AG72*'T16'!$D$6)*0.844,1)</f>
        <v>0</v>
      </c>
      <c r="AH111">
        <f>MROUND((AH72*'T16'!$D$6)*0.844,1)</f>
        <v>4412</v>
      </c>
      <c r="AI111">
        <f>MROUND((AI72*'T16'!$D$7)*0.844,5)</f>
        <v>0</v>
      </c>
      <c r="AJ111">
        <f>MROUND((AJ72*'T16'!$D$6)*0.844,5)</f>
        <v>0</v>
      </c>
      <c r="AK111">
        <f>MROUND((AK72*'T16'!$D$4)*0.844,5)</f>
        <v>475</v>
      </c>
      <c r="AL111">
        <f>MROUND((AL72*'T16'!$D$10)*0.844,5)</f>
        <v>150</v>
      </c>
      <c r="AM111">
        <f>MROUND((AM72*'T16'!$D$12)*0.844,5)</f>
        <v>135</v>
      </c>
      <c r="AN111">
        <f t="shared" si="157"/>
        <v>8735</v>
      </c>
    </row>
    <row r="112" spans="1:40">
      <c r="A112">
        <v>2034</v>
      </c>
      <c r="J112">
        <f>IF(AND(MROUND((J73*'T16'!$D$3)*0.844,1)&lt;1,J85&gt;1),1,MROUND((J73*'T16'!$D$3)*0.844,1))</f>
        <v>1</v>
      </c>
      <c r="K112">
        <f>MROUND((K73*'T16'!$E$5)*'Source-fte_qualstus_x_servtype'!J40,5)</f>
        <v>3120</v>
      </c>
      <c r="L112">
        <f>MROUND((L73*'T16'!$D$7)*'Source-fte_qualstus_x_servtype'!J40,5)</f>
        <v>100</v>
      </c>
      <c r="M112">
        <f>MROUND((M73*'T16'!$D$5)*'Source-fte_qualstus_x_servtype'!J40,5)</f>
        <v>10</v>
      </c>
      <c r="N112">
        <f>MROUND((N73*'T16'!$D$3)*'Source-fte_qualstus_x_servtype'!J40,5)</f>
        <v>195</v>
      </c>
      <c r="O112">
        <f>MROUND((O73*'T16'!$D$10)*'Source-fte_qualstus_x_servtype'!J40,5)</f>
        <v>65</v>
      </c>
      <c r="P112">
        <f>MROUND((P73*'T16'!$D$11)*'Source-fte_qualstus_x_servtype'!J40,5)</f>
        <v>55</v>
      </c>
      <c r="Q112">
        <f>MROUND((Q73*'T16'!$D$6)*'Source-fte_qualstus_x_servtype'!J40,1)</f>
        <v>1</v>
      </c>
      <c r="R112">
        <f>MROUND((R73*'T16'!$E$6)*'Source-fte_qualstus_x_servtype'!J40,5)</f>
        <v>8130</v>
      </c>
      <c r="S112">
        <f>MROUND((S73*'T16'!$D$7)*'Source-fte_qualstus_x_servtype'!J40,5)</f>
        <v>380</v>
      </c>
      <c r="T112">
        <f>MROUND((T73*'T16'!$D$9)*'Source-fte_qualstus_x_servtype'!J40,5)</f>
        <v>40</v>
      </c>
      <c r="U112">
        <f>MROUND((U73*'T16'!$E$4)*'Source-fte_qualstus_x_servtype'!J40,5)</f>
        <v>615</v>
      </c>
      <c r="V112">
        <f>MROUND((V73*'T16'!$D$10)*'Source-fte_qualstus_x_servtype'!J40,5)</f>
        <v>255</v>
      </c>
      <c r="W112">
        <f>MROUND((W73*'T16'!$D$11)*'Source-fte_qualstus_x_servtype'!J40,5)</f>
        <v>225</v>
      </c>
      <c r="X112">
        <f t="shared" si="156"/>
        <v>13190</v>
      </c>
      <c r="Z112">
        <f>MROUND((Z73*'T16'!$D$3)*0.844,1)</f>
        <v>1</v>
      </c>
      <c r="AA112">
        <f>MROUND((AA73*'T16'!$D$3)*0.844,1)</f>
        <v>2754</v>
      </c>
      <c r="AB112">
        <f>MROUND((AB73*'T16'!$D$7)*0.844,5)</f>
        <v>475</v>
      </c>
      <c r="AC112">
        <f>MROUND((AC73*'T16'!$D$5)*0.844,5)</f>
        <v>45</v>
      </c>
      <c r="AD112">
        <f>MROUND((AD73*'T16'!$D$3)*0.844,5)</f>
        <v>15</v>
      </c>
      <c r="AE112">
        <f>MROUND((AE73*'T16'!$D$10)*0.844,5)</f>
        <v>175</v>
      </c>
      <c r="AF112">
        <f>MROUND((AF73*'T16'!$D$11)*0.844,5)</f>
        <v>80</v>
      </c>
      <c r="AG112">
        <f>MROUND((AG73*'T16'!$D$6)*0.844,1)</f>
        <v>0</v>
      </c>
      <c r="AH112">
        <f>MROUND((AH73*'T16'!$D$6)*0.844,1)</f>
        <v>4490</v>
      </c>
      <c r="AI112">
        <f>MROUND((AI73*'T16'!$D$7)*0.844,5)</f>
        <v>0</v>
      </c>
      <c r="AJ112">
        <f>MROUND((AJ73*'T16'!$D$6)*0.844,5)</f>
        <v>0</v>
      </c>
      <c r="AK112">
        <f>MROUND((AK73*'T16'!$D$4)*0.844,5)</f>
        <v>475</v>
      </c>
      <c r="AL112">
        <f>MROUND((AL73*'T16'!$D$10)*0.844,5)</f>
        <v>145</v>
      </c>
      <c r="AM112">
        <f>MROUND((AM73*'T16'!$D$12)*0.844,5)</f>
        <v>135</v>
      </c>
      <c r="AN112">
        <f t="shared" si="157"/>
        <v>8790</v>
      </c>
    </row>
    <row r="113" spans="1:40">
      <c r="A113">
        <v>2035</v>
      </c>
      <c r="J113">
        <f>IF(AND(MROUND((J74*'T16'!$D$3)*0.844,1)&lt;1,J86&gt;1),1,MROUND((J74*'T16'!$D$3)*0.844,1))</f>
        <v>1</v>
      </c>
      <c r="K113">
        <f>MROUND((K74*'T16'!$E$5)*'Source-fte_qualstus_x_servtype'!J41,5)</f>
        <v>3190</v>
      </c>
      <c r="L113">
        <f>MROUND((L74*'T16'!$D$7)*'Source-fte_qualstus_x_servtype'!J41,5)</f>
        <v>85</v>
      </c>
      <c r="M113">
        <f>MROUND((M74*'T16'!$D$5)*'Source-fte_qualstus_x_servtype'!J41,5)</f>
        <v>10</v>
      </c>
      <c r="N113">
        <f>MROUND((N74*'T16'!$D$3)*'Source-fte_qualstus_x_servtype'!J41,5)</f>
        <v>195</v>
      </c>
      <c r="O113">
        <f>MROUND((O74*'T16'!$D$10)*'Source-fte_qualstus_x_servtype'!J41,5)</f>
        <v>65</v>
      </c>
      <c r="P113">
        <f>MROUND((P74*'T16'!$D$11)*'Source-fte_qualstus_x_servtype'!J41,5)</f>
        <v>55</v>
      </c>
      <c r="Q113">
        <f>MROUND((Q74*'T16'!$D$6)*'Source-fte_qualstus_x_servtype'!J41,1)</f>
        <v>1</v>
      </c>
      <c r="R113">
        <f>MROUND((R74*'T16'!$E$6)*'Source-fte_qualstus_x_servtype'!J41,5)</f>
        <v>8310</v>
      </c>
      <c r="S113">
        <f>MROUND((S74*'T16'!$D$7)*'Source-fte_qualstus_x_servtype'!J41,5)</f>
        <v>340</v>
      </c>
      <c r="T113">
        <f>MROUND((T74*'T16'!$D$9)*'Source-fte_qualstus_x_servtype'!J41,5)</f>
        <v>40</v>
      </c>
      <c r="U113">
        <f>MROUND((U74*'T16'!$E$4)*'Source-fte_qualstus_x_servtype'!J41,5)</f>
        <v>620</v>
      </c>
      <c r="V113">
        <f>MROUND((V74*'T16'!$D$10)*'Source-fte_qualstus_x_servtype'!J41,5)</f>
        <v>255</v>
      </c>
      <c r="W113">
        <f>MROUND((W74*'T16'!$D$11)*'Source-fte_qualstus_x_servtype'!J41,5)</f>
        <v>220</v>
      </c>
      <c r="X113">
        <f t="shared" si="156"/>
        <v>13385</v>
      </c>
      <c r="Z113">
        <f>MROUND((Z74*'T16'!$D$3)*0.844,1)</f>
        <v>1</v>
      </c>
      <c r="AA113">
        <f>MROUND((AA74*'T16'!$D$3)*0.844,1)</f>
        <v>2803</v>
      </c>
      <c r="AB113">
        <f>MROUND((AB74*'T16'!$D$7)*0.844,5)</f>
        <v>420</v>
      </c>
      <c r="AC113">
        <f>MROUND((AC74*'T16'!$D$5)*0.844,5)</f>
        <v>45</v>
      </c>
      <c r="AD113">
        <f>MROUND((AD74*'T16'!$D$3)*0.844,5)</f>
        <v>15</v>
      </c>
      <c r="AE113">
        <f>MROUND((AE74*'T16'!$D$10)*0.844,5)</f>
        <v>175</v>
      </c>
      <c r="AF113">
        <f>MROUND((AF74*'T16'!$D$11)*0.844,5)</f>
        <v>80</v>
      </c>
      <c r="AG113">
        <f>MROUND((AG74*'T16'!$D$6)*0.844,1)</f>
        <v>0</v>
      </c>
      <c r="AH113">
        <f>MROUND((AH74*'T16'!$D$6)*0.844,1)</f>
        <v>4569</v>
      </c>
      <c r="AI113">
        <f>MROUND((AI74*'T16'!$D$7)*0.844,5)</f>
        <v>0</v>
      </c>
      <c r="AJ113">
        <f>MROUND((AJ74*'T16'!$D$6)*0.844,5)</f>
        <v>0</v>
      </c>
      <c r="AK113">
        <f>MROUND((AK74*'T16'!$D$4)*0.844,5)</f>
        <v>470</v>
      </c>
      <c r="AL113">
        <f>MROUND((AL74*'T16'!$D$10)*0.844,5)</f>
        <v>145</v>
      </c>
      <c r="AM113">
        <f>MROUND((AM74*'T16'!$D$12)*0.844,5)</f>
        <v>130</v>
      </c>
      <c r="AN113">
        <f t="shared" si="157"/>
        <v>8853</v>
      </c>
    </row>
    <row r="115" spans="1:40">
      <c r="J115" s="177" t="s">
        <v>439</v>
      </c>
      <c r="K115" s="177"/>
      <c r="L115" s="177"/>
      <c r="M115" s="177"/>
      <c r="N115" s="177"/>
      <c r="O115" s="177"/>
      <c r="P115" s="177"/>
      <c r="Q115" s="177"/>
      <c r="R115" s="177"/>
      <c r="S115" s="177"/>
      <c r="T115" s="177"/>
      <c r="U115" s="177"/>
      <c r="V115" s="177"/>
      <c r="W115" s="177"/>
      <c r="X115" s="23"/>
      <c r="Z115" s="177" t="s">
        <v>438</v>
      </c>
      <c r="AA115" s="177"/>
      <c r="AB115" s="177"/>
      <c r="AC115" s="177"/>
      <c r="AD115" s="177"/>
      <c r="AE115" s="177"/>
      <c r="AF115" s="177"/>
      <c r="AG115" s="177"/>
      <c r="AH115" s="177"/>
      <c r="AI115" s="177"/>
      <c r="AJ115" s="177"/>
      <c r="AK115" s="177"/>
      <c r="AL115" s="177"/>
      <c r="AM115" s="177"/>
    </row>
    <row r="116" spans="1:40">
      <c r="A116">
        <v>2025</v>
      </c>
      <c r="J116">
        <f>MROUND((J14*(1+J$38))*'T16'!$D$3,1)</f>
        <v>2</v>
      </c>
      <c r="K116">
        <f>MROUND((K14*'T16'!$E$5)*'Source-fte_qualstus_x_servtype'!J31,5)</f>
        <v>2560</v>
      </c>
      <c r="L116">
        <f>MROUND((L14*'T16'!$D$7)*'Source-fte_qualstus_x_servtype'!J31,5)</f>
        <v>285</v>
      </c>
      <c r="M116">
        <f>MROUND((M14*'T16'!$D$5)*'Source-fte_qualstus_x_servtype'!J31,5)</f>
        <v>10</v>
      </c>
      <c r="N116">
        <f>MROUND((N14*'T16'!$E$3)*'Source-fte_qualstus_x_servtype'!J31,5)</f>
        <v>220</v>
      </c>
      <c r="O116">
        <f>MROUND((O14*'T16'!$D$10)*'Source-fte_qualstus_x_servtype'!J31,5)</f>
        <v>65</v>
      </c>
      <c r="P116">
        <f>MROUND((P14*'T16'!$D$11)*'Source-fte_qualstus_x_servtype'!J31,5)</f>
        <v>65</v>
      </c>
      <c r="Q116">
        <f>MROUND((Q14*'T16'!$D$6)*'Source-fte_qualstus_x_servtype'!J31,1)</f>
        <v>3</v>
      </c>
      <c r="R116">
        <f>MROUND((R14*'T16'!$E$6)*'Source-fte_qualstus_x_servtype'!J31,5)</f>
        <v>6680</v>
      </c>
      <c r="S116">
        <f>MROUND((S14*'T16'!$D$7)*'Source-fte_qualstus_x_servtype'!J31,5)</f>
        <v>1120</v>
      </c>
      <c r="T116">
        <f>MROUND((T14*'T16'!$D$9)*'Source-fte_qualstus_x_servtype'!J31,5)</f>
        <v>35</v>
      </c>
      <c r="U116">
        <f>MROUND((U14*'T16'!$E$4)*'Source-fte_qualstus_x_servtype'!J31,5)</f>
        <v>615</v>
      </c>
      <c r="V116">
        <f>MROUND((V14*'T16'!$D$10)*'Source-fte_qualstus_x_servtype'!J31,5)</f>
        <v>265</v>
      </c>
      <c r="W116">
        <f>MROUND((W14*'T16'!$D$11)*'Source-fte_qualstus_x_servtype'!J31,5)</f>
        <v>245</v>
      </c>
      <c r="X116">
        <f>MROUND(SUM(J116:W116)*0.844,5)</f>
        <v>10270</v>
      </c>
      <c r="Z116">
        <f>MROUND((Z14*'T16'!$D$3)*0.844,1)</f>
        <v>3</v>
      </c>
      <c r="AA116">
        <f>MROUND((AA14*'T16'!$D$3)*0.844,1)</f>
        <v>2353</v>
      </c>
      <c r="AB116">
        <f>MROUND((AB14*'T16'!$D$7)*0.844,5)</f>
        <v>1455</v>
      </c>
      <c r="AC116">
        <f>MROUND((AC14*'T16'!$D$5)*0.844,5)</f>
        <v>45</v>
      </c>
      <c r="AD116">
        <f>MROUND((AD14*'T16'!$D$3)*0.844,5)</f>
        <v>15</v>
      </c>
      <c r="AE116">
        <f>MROUND((AE14*'T16'!$D$10)*0.844,5)</f>
        <v>185</v>
      </c>
      <c r="AF116">
        <f>MROUND((AF14*'T16'!$D$11)*0.844,5)</f>
        <v>90</v>
      </c>
      <c r="AG116">
        <f>MROUND((AG14*'T16'!$D$6)*0.844,1)</f>
        <v>2</v>
      </c>
      <c r="AH116">
        <f>MROUND((AH14*'T16'!$D$6)*0.844,1)</f>
        <v>3836</v>
      </c>
      <c r="AI116">
        <f>MROUND((AI14*'T16'!$D$7)*0.844,5)</f>
        <v>5</v>
      </c>
      <c r="AJ116">
        <f>MROUND((AJ14*'T16'!$D$6)*0.844,5)</f>
        <v>0</v>
      </c>
      <c r="AK116">
        <f>MROUND((AK14*'T16'!$D$4)*0.844,5)</f>
        <v>490</v>
      </c>
      <c r="AL116">
        <f>MROUND((AL14*'T16'!$D$10)*0.844,5)</f>
        <v>155</v>
      </c>
      <c r="AM116">
        <f>MROUND((AM4*'T16'!$D$12)*0.844,5)</f>
        <v>165</v>
      </c>
      <c r="AN116">
        <f>SUM(Z116:AM116)</f>
        <v>8799</v>
      </c>
    </row>
    <row r="117" spans="1:40">
      <c r="A117">
        <v>2026</v>
      </c>
      <c r="J117">
        <f>MROUND((J77*(1+J$38))*'T16'!$D$3,1)</f>
        <v>2</v>
      </c>
      <c r="K117">
        <f>MROUND((K77*'T16'!$E$5)*'Source-fte_qualstus_x_servtype'!J31,5)</f>
        <v>2660</v>
      </c>
      <c r="L117">
        <f>MROUND((L77*'T16'!$D$7)*'Source-fte_qualstus_x_servtype'!J31,5)</f>
        <v>265</v>
      </c>
      <c r="M117">
        <f>MROUND((M77*'T16'!$D$5)*'Source-fte_qualstus_x_servtype'!J31,5)</f>
        <v>10</v>
      </c>
      <c r="N117">
        <f>MROUND((N77*'T16'!$E$3)*'Source-fte_qualstus_x_servtype'!J31,5)</f>
        <v>225</v>
      </c>
      <c r="O117">
        <f>MROUND((O77*'T16'!$D$10)*'Source-fte_qualstus_x_servtype'!J31,5)</f>
        <v>65</v>
      </c>
      <c r="P117">
        <f>MROUND((P77*'T16'!$D$11)*'Source-fte_qualstus_x_servtype'!J31,5)</f>
        <v>65</v>
      </c>
      <c r="Q117">
        <f>MROUND((Q77*'T16'!$D$6)*'Source-fte_qualstus_x_servtype'!J31,1)</f>
        <v>3</v>
      </c>
      <c r="R117">
        <f>MROUND((R77*'T16'!$E$6)*'Source-fte_qualstus_x_servtype'!J31,5)</f>
        <v>6935</v>
      </c>
      <c r="S117">
        <f>MROUND((S77*'T16'!$D$7)*'Source-fte_qualstus_x_servtype'!J31,5)</f>
        <v>1030</v>
      </c>
      <c r="T117">
        <f>MROUND((T77*'T16'!$D$9)*'Source-fte_qualstus_x_servtype'!J31,5)</f>
        <v>40</v>
      </c>
      <c r="U117">
        <f>MROUND((U77*'T16'!$E$4)*'Source-fte_qualstus_x_servtype'!J31,5)</f>
        <v>625</v>
      </c>
      <c r="V117">
        <f>MROUND((V77*'T16'!$D$10)*'Source-fte_qualstus_x_servtype'!J31,5)</f>
        <v>265</v>
      </c>
      <c r="W117">
        <f>MROUND((W77*'T16'!$D$11)*'Source-fte_qualstus_x_servtype'!J31,5)</f>
        <v>250</v>
      </c>
      <c r="X117">
        <f t="shared" ref="X117:X126" si="158">MROUND(SUM(J117:W117)*0.844,5)</f>
        <v>10500</v>
      </c>
      <c r="Z117">
        <f>MROUND((Z77*'T16'!$D$3)*0.844,1)</f>
        <v>3</v>
      </c>
      <c r="AA117">
        <f>MROUND((AA77*'T16'!$D$3)*0.844,1)</f>
        <v>2444</v>
      </c>
      <c r="AB117">
        <f>MROUND((AB77*'T16'!$D$7)*0.844,5)</f>
        <v>1335</v>
      </c>
      <c r="AC117">
        <f>MROUND((AC77*'T16'!$D$5)*0.844,5)</f>
        <v>50</v>
      </c>
      <c r="AD117">
        <f>MROUND((AD77*'T16'!$D$3)*0.844,5)</f>
        <v>15</v>
      </c>
      <c r="AE117">
        <f>MROUND((AE77*'T16'!$D$10)*0.844,5)</f>
        <v>185</v>
      </c>
      <c r="AF117">
        <f>MROUND((AF77*'T16'!$D$11)*0.844,5)</f>
        <v>95</v>
      </c>
      <c r="AG117">
        <f>MROUND((AG77*'T16'!$D$6)*0.844,1)</f>
        <v>2</v>
      </c>
      <c r="AH117">
        <f>MROUND((AH77*'T16'!$D$6)*0.844,1)</f>
        <v>3985</v>
      </c>
      <c r="AI117">
        <f>MROUND((AI77*'T16'!$D$7)*0.844,5)</f>
        <v>5</v>
      </c>
      <c r="AJ117">
        <f>MROUND((AJ77*'T16'!$D$6)*0.844,5)</f>
        <v>0</v>
      </c>
      <c r="AK117">
        <f>MROUND((AK77*'T16'!$D$4)*0.844,5)</f>
        <v>495</v>
      </c>
      <c r="AL117">
        <f>MROUND((AL77*'T16'!$D$10)*0.844,5)</f>
        <v>155</v>
      </c>
      <c r="AM117">
        <f>MROUND((AM77*'T16'!$D$12)*0.844,5)</f>
        <v>155</v>
      </c>
      <c r="AN117">
        <f>SUM(Z117:AM117)</f>
        <v>8924</v>
      </c>
    </row>
    <row r="118" spans="1:40">
      <c r="A118">
        <v>2027</v>
      </c>
      <c r="J118">
        <f>MROUND((J78*(1+J$38))*'T16'!$D$3,1)</f>
        <v>2</v>
      </c>
      <c r="K118">
        <f>MROUND((K78*'T16'!$E$5)*'Source-fte_qualstus_x_servtype'!J32,5)</f>
        <v>2775</v>
      </c>
      <c r="L118">
        <f>MROUND((L78*'T16'!$D$7)*'Source-fte_qualstus_x_servtype'!J32,5)</f>
        <v>240</v>
      </c>
      <c r="M118">
        <f>MROUND((M78*'T16'!$D$5)*'Source-fte_qualstus_x_servtype'!J32,5)</f>
        <v>10</v>
      </c>
      <c r="N118">
        <f>MROUND((N78*'T16'!$E$3)*'Source-fte_qualstus_x_servtype'!J32,5)</f>
        <v>230</v>
      </c>
      <c r="O118">
        <f>MROUND((O78*'T16'!$D$10)*'Source-fte_qualstus_x_servtype'!J32,5)</f>
        <v>70</v>
      </c>
      <c r="P118">
        <f>MROUND((P78*'T16'!$D$11)*'Source-fte_qualstus_x_servtype'!J32,5)</f>
        <v>65</v>
      </c>
      <c r="Q118">
        <f>MROUND((Q78*'T16'!$D$6)*'Source-fte_qualstus_x_servtype'!J32,1)</f>
        <v>3</v>
      </c>
      <c r="R118">
        <f>MROUND((R78*'T16'!$E$6)*'Source-fte_qualstus_x_servtype'!J32,5)</f>
        <v>7240</v>
      </c>
      <c r="S118">
        <f>MROUND((S78*'T16'!$D$7)*'Source-fte_qualstus_x_servtype'!J32,5)</f>
        <v>950</v>
      </c>
      <c r="T118">
        <f>MROUND((T78*'T16'!$D$9)*'Source-fte_qualstus_x_servtype'!J32,5)</f>
        <v>45</v>
      </c>
      <c r="U118">
        <f>MROUND((U78*'T16'!$E$4)*'Source-fte_qualstus_x_servtype'!J32,5)</f>
        <v>635</v>
      </c>
      <c r="V118">
        <f>MROUND((V78*'T16'!$D$10)*'Source-fte_qualstus_x_servtype'!J32,5)</f>
        <v>265</v>
      </c>
      <c r="W118">
        <f>MROUND((W78*'T16'!$D$11)*'Source-fte_qualstus_x_servtype'!J32,5)</f>
        <v>260</v>
      </c>
      <c r="X118">
        <f t="shared" si="158"/>
        <v>10795</v>
      </c>
      <c r="Z118">
        <f>MROUND((Z78*'T16'!$D$3)*0.844,1)</f>
        <v>3</v>
      </c>
      <c r="AA118">
        <f>MROUND((AA78*'T16'!$D$3)*0.844,1)</f>
        <v>2539</v>
      </c>
      <c r="AB118">
        <f>MROUND((AB78*'T16'!$D$7)*0.844,5)</f>
        <v>1225</v>
      </c>
      <c r="AC118">
        <f>MROUND((AC78*'T16'!$D$5)*0.844,5)</f>
        <v>50</v>
      </c>
      <c r="AD118">
        <f>MROUND((AD78*'T16'!$D$3)*0.844,5)</f>
        <v>15</v>
      </c>
      <c r="AE118">
        <f>MROUND((AE78*'T16'!$D$10)*0.844,5)</f>
        <v>185</v>
      </c>
      <c r="AF118">
        <f>MROUND((AF78*'T16'!$D$11)*0.844,5)</f>
        <v>95</v>
      </c>
      <c r="AG118">
        <f>MROUND((AG78*'T16'!$D$6)*0.844,1)</f>
        <v>2</v>
      </c>
      <c r="AH118">
        <f>MROUND((AH78*'T16'!$D$6)*0.844,1)</f>
        <v>4139</v>
      </c>
      <c r="AI118">
        <f>MROUND((AI78*'T16'!$D$7)*0.844,5)</f>
        <v>5</v>
      </c>
      <c r="AJ118">
        <f>MROUND((AJ78*'T16'!$D$6)*0.844,5)</f>
        <v>0</v>
      </c>
      <c r="AK118">
        <f>MROUND((AK78*'T16'!$D$4)*0.844,5)</f>
        <v>505</v>
      </c>
      <c r="AL118">
        <f>MROUND((AL78*'T16'!$D$10)*0.844,5)</f>
        <v>155</v>
      </c>
      <c r="AM118">
        <f>MROUND((AM78*'T16'!$D$12)*0.844,5)</f>
        <v>160</v>
      </c>
      <c r="AN118">
        <f t="shared" ref="AN118:AN126" si="159">SUM(Z118:AM118)</f>
        <v>9078</v>
      </c>
    </row>
    <row r="119" spans="1:40">
      <c r="A119">
        <v>2028</v>
      </c>
      <c r="J119">
        <f>MROUND((J79*(1+J$38))*'T16'!$D$3,1)</f>
        <v>2</v>
      </c>
      <c r="K119">
        <f>MROUND((K79*'T16'!$E$5)*'Source-fte_qualstus_x_servtype'!J33,5)</f>
        <v>2895</v>
      </c>
      <c r="L119">
        <f>MROUND((L79*'T16'!$D$7)*'Source-fte_qualstus_x_servtype'!J33,5)</f>
        <v>225</v>
      </c>
      <c r="M119">
        <f>MROUND((M79*'T16'!$D$5)*'Source-fte_qualstus_x_servtype'!J33,5)</f>
        <v>10</v>
      </c>
      <c r="N119">
        <f>MROUND((N79*'T16'!$E$3)*'Source-fte_qualstus_x_servtype'!J33,5)</f>
        <v>235</v>
      </c>
      <c r="O119">
        <f>MROUND((O79*'T16'!$D$10)*'Source-fte_qualstus_x_servtype'!J33,5)</f>
        <v>70</v>
      </c>
      <c r="P119">
        <f>MROUND((P79*'T16'!$D$11)*'Source-fte_qualstus_x_servtype'!J33,5)</f>
        <v>70</v>
      </c>
      <c r="Q119">
        <f>MROUND((Q79*'T16'!$D$6)*'Source-fte_qualstus_x_servtype'!J33,1)</f>
        <v>3</v>
      </c>
      <c r="R119">
        <f>MROUND((R79*'T16'!$E$6)*'Source-fte_qualstus_x_servtype'!J33,5)</f>
        <v>7550</v>
      </c>
      <c r="S119">
        <f>MROUND((S79*'T16'!$D$7)*'Source-fte_qualstus_x_servtype'!J33,5)</f>
        <v>875</v>
      </c>
      <c r="T119">
        <f>MROUND((T79*'T16'!$D$9)*'Source-fte_qualstus_x_servtype'!J33,5)</f>
        <v>45</v>
      </c>
      <c r="U119">
        <f>MROUND((U79*'T16'!$E$4)*'Source-fte_qualstus_x_servtype'!J33,5)</f>
        <v>650</v>
      </c>
      <c r="V119">
        <f>MROUND((V79*'T16'!$D$10)*'Source-fte_qualstus_x_servtype'!J33,5)</f>
        <v>265</v>
      </c>
      <c r="W119">
        <f>MROUND((W79*'T16'!$D$11)*'Source-fte_qualstus_x_servtype'!J33,5)</f>
        <v>270</v>
      </c>
      <c r="X119">
        <f t="shared" si="158"/>
        <v>11110</v>
      </c>
      <c r="Z119">
        <f>MROUND((Z79*'T16'!$D$3)*0.844,1)</f>
        <v>3</v>
      </c>
      <c r="AA119">
        <f>MROUND((AA79*'T16'!$D$3)*0.844,1)</f>
        <v>2637</v>
      </c>
      <c r="AB119">
        <f>MROUND((AB79*'T16'!$D$7)*0.844,5)</f>
        <v>1125</v>
      </c>
      <c r="AC119">
        <f>MROUND((AC79*'T16'!$D$5)*0.844,5)</f>
        <v>55</v>
      </c>
      <c r="AD119">
        <f>MROUND((AD79*'T16'!$D$3)*0.844,5)</f>
        <v>15</v>
      </c>
      <c r="AE119">
        <f>MROUND((AE79*'T16'!$D$10)*0.844,5)</f>
        <v>185</v>
      </c>
      <c r="AF119">
        <f>MROUND((AF79*'T16'!$D$11)*0.844,5)</f>
        <v>100</v>
      </c>
      <c r="AG119">
        <f>MROUND((AG79*'T16'!$D$6)*0.844,1)</f>
        <v>2</v>
      </c>
      <c r="AH119">
        <f>MROUND((AH79*'T16'!$D$6)*0.844,1)</f>
        <v>4299</v>
      </c>
      <c r="AI119">
        <f>MROUND((AI79*'T16'!$D$7)*0.844,5)</f>
        <v>5</v>
      </c>
      <c r="AJ119">
        <f>MROUND((AJ79*'T16'!$D$6)*0.844,5)</f>
        <v>0</v>
      </c>
      <c r="AK119">
        <f>MROUND((AK79*'T16'!$D$4)*0.844,5)</f>
        <v>515</v>
      </c>
      <c r="AL119">
        <f>MROUND((AL79*'T16'!$D$10)*0.844,5)</f>
        <v>155</v>
      </c>
      <c r="AM119">
        <f>MROUND((AM79*'T16'!$D$12)*0.844,5)</f>
        <v>165</v>
      </c>
      <c r="AN119">
        <f t="shared" si="159"/>
        <v>9261</v>
      </c>
    </row>
    <row r="120" spans="1:40">
      <c r="A120">
        <v>2029</v>
      </c>
      <c r="J120">
        <f>MROUND((J80*(1+J$38))*'T16'!$D$3,1)</f>
        <v>2</v>
      </c>
      <c r="K120">
        <f>MROUND((K80*'T16'!$E$5)*'Source-fte_qualstus_x_servtype'!J34,5)</f>
        <v>3020</v>
      </c>
      <c r="L120">
        <f>MROUND((L80*'T16'!$D$7)*'Source-fte_qualstus_x_servtype'!J34,5)</f>
        <v>205</v>
      </c>
      <c r="M120">
        <f>MROUND((M80*'T16'!$D$5)*'Source-fte_qualstus_x_servtype'!J34,5)</f>
        <v>15</v>
      </c>
      <c r="N120">
        <f>MROUND((N80*'T16'!$E$3)*'Source-fte_qualstus_x_servtype'!J34,5)</f>
        <v>240</v>
      </c>
      <c r="O120">
        <f>MROUND((O80*'T16'!$D$10)*'Source-fte_qualstus_x_servtype'!J34,5)</f>
        <v>70</v>
      </c>
      <c r="P120">
        <f>MROUND((P80*'T16'!$D$11)*'Source-fte_qualstus_x_servtype'!J34,5)</f>
        <v>70</v>
      </c>
      <c r="Q120">
        <f>MROUND((Q80*'T16'!$D$6)*'Source-fte_qualstus_x_servtype'!J34,1)</f>
        <v>3</v>
      </c>
      <c r="R120">
        <f>MROUND((R80*'T16'!$E$6)*'Source-fte_qualstus_x_servtype'!J34,5)</f>
        <v>7880</v>
      </c>
      <c r="S120">
        <f>MROUND((S80*'T16'!$D$7)*'Source-fte_qualstus_x_servtype'!J34,5)</f>
        <v>805</v>
      </c>
      <c r="T120">
        <f>MROUND((T80*'T16'!$D$9)*'Source-fte_qualstus_x_servtype'!J34,5)</f>
        <v>50</v>
      </c>
      <c r="U120">
        <f>MROUND((U80*'T16'!$E$4)*'Source-fte_qualstus_x_servtype'!J34,5)</f>
        <v>665</v>
      </c>
      <c r="V120">
        <f>MROUND((V80*'T16'!$D$10)*'Source-fte_qualstus_x_servtype'!J34,5)</f>
        <v>270</v>
      </c>
      <c r="W120">
        <f>MROUND((W80*'T16'!$D$11)*'Source-fte_qualstus_x_servtype'!J34,5)</f>
        <v>280</v>
      </c>
      <c r="X120">
        <f t="shared" si="158"/>
        <v>11455</v>
      </c>
      <c r="Z120">
        <f>MROUND((Z80*'T16'!$D$3)*0.844,1)</f>
        <v>3</v>
      </c>
      <c r="AA120">
        <f>MROUND((AA80*'T16'!$D$3)*0.844,1)</f>
        <v>2739</v>
      </c>
      <c r="AB120">
        <f>MROUND((AB80*'T16'!$D$7)*0.844,5)</f>
        <v>1030</v>
      </c>
      <c r="AC120">
        <f>MROUND((AC80*'T16'!$D$5)*0.844,5)</f>
        <v>60</v>
      </c>
      <c r="AD120">
        <f>MROUND((AD80*'T16'!$D$3)*0.844,5)</f>
        <v>15</v>
      </c>
      <c r="AE120">
        <f>MROUND((AE80*'T16'!$D$10)*0.844,5)</f>
        <v>185</v>
      </c>
      <c r="AF120">
        <f>MROUND((AF80*'T16'!$D$11)*0.844,5)</f>
        <v>100</v>
      </c>
      <c r="AG120">
        <f>MROUND((AG80*'T16'!$D$6)*0.844,1)</f>
        <v>2</v>
      </c>
      <c r="AH120">
        <f>MROUND((AH80*'T16'!$D$6)*0.844,1)</f>
        <v>4465</v>
      </c>
      <c r="AI120">
        <f>MROUND((AI80*'T16'!$D$7)*0.844,5)</f>
        <v>5</v>
      </c>
      <c r="AJ120">
        <f>MROUND((AJ80*'T16'!$D$6)*0.844,5)</f>
        <v>5</v>
      </c>
      <c r="AK120">
        <f>MROUND((AK80*'T16'!$D$4)*0.844,5)</f>
        <v>525</v>
      </c>
      <c r="AL120">
        <f>MROUND((AL80*'T16'!$D$10)*0.844,5)</f>
        <v>155</v>
      </c>
      <c r="AM120">
        <f>MROUND((AM80*'T16'!$D$12)*0.844,5)</f>
        <v>170</v>
      </c>
      <c r="AN120">
        <f t="shared" si="159"/>
        <v>9459</v>
      </c>
    </row>
    <row r="121" spans="1:40">
      <c r="A121">
        <v>2030</v>
      </c>
      <c r="J121">
        <f>MROUND((J81*(1+J$38))*'T16'!$D$3,1)</f>
        <v>2</v>
      </c>
      <c r="K121">
        <f>MROUND((K81*'T16'!$E$5)*'Source-fte_qualstus_x_servtype'!J35,5)</f>
        <v>3155</v>
      </c>
      <c r="L121">
        <f>MROUND((L81*'T16'!$D$7)*'Source-fte_qualstus_x_servtype'!J35,5)</f>
        <v>190</v>
      </c>
      <c r="M121">
        <f>MROUND((M81*'T16'!$D$5)*'Source-fte_qualstus_x_servtype'!J35,5)</f>
        <v>15</v>
      </c>
      <c r="N121">
        <f>MROUND((N81*'T16'!$E$3)*'Source-fte_qualstus_x_servtype'!J35,5)</f>
        <v>245</v>
      </c>
      <c r="O121">
        <f>MROUND((O81*'T16'!$D$10)*'Source-fte_qualstus_x_servtype'!J35,5)</f>
        <v>70</v>
      </c>
      <c r="P121">
        <f>MROUND((P81*'T16'!$D$11)*'Source-fte_qualstus_x_servtype'!J35,5)</f>
        <v>75</v>
      </c>
      <c r="Q121">
        <f>MROUND((Q81*'T16'!$D$6)*'Source-fte_qualstus_x_servtype'!J35,1)</f>
        <v>3</v>
      </c>
      <c r="R121">
        <f>MROUND((R81*'T16'!$E$6)*'Source-fte_qualstus_x_servtype'!J35,5)</f>
        <v>8220</v>
      </c>
      <c r="S121">
        <f>MROUND((S81*'T16'!$D$7)*'Source-fte_qualstus_x_servtype'!J35,5)</f>
        <v>745</v>
      </c>
      <c r="T121">
        <f>MROUND((T81*'T16'!$D$9)*'Source-fte_qualstus_x_servtype'!J35,5)</f>
        <v>55</v>
      </c>
      <c r="U121">
        <f>MROUND((U81*'T16'!$E$4)*'Source-fte_qualstus_x_servtype'!J35,5)</f>
        <v>680</v>
      </c>
      <c r="V121">
        <f>MROUND((V81*'T16'!$D$10)*'Source-fte_qualstus_x_servtype'!J35,5)</f>
        <v>270</v>
      </c>
      <c r="W121">
        <f>MROUND((W81*'T16'!$D$11)*'Source-fte_qualstus_x_servtype'!J35,5)</f>
        <v>285</v>
      </c>
      <c r="X121">
        <f t="shared" si="158"/>
        <v>11825</v>
      </c>
      <c r="Z121">
        <f>MROUND((Z81*'T16'!$D$3)*0.844,1)</f>
        <v>3</v>
      </c>
      <c r="AA121">
        <f>MROUND((AA81*'T16'!$D$3)*0.844,1)</f>
        <v>2845</v>
      </c>
      <c r="AB121">
        <f>MROUND((AB81*'T16'!$D$7)*0.844,5)</f>
        <v>950</v>
      </c>
      <c r="AC121">
        <f>MROUND((AC81*'T16'!$D$5)*0.844,5)</f>
        <v>65</v>
      </c>
      <c r="AD121">
        <f>MROUND((AD81*'T16'!$D$3)*0.844,5)</f>
        <v>15</v>
      </c>
      <c r="AE121">
        <f>MROUND((AE81*'T16'!$D$10)*0.844,5)</f>
        <v>185</v>
      </c>
      <c r="AF121">
        <f>MROUND((AF81*'T16'!$D$11)*0.844,5)</f>
        <v>105</v>
      </c>
      <c r="AG121">
        <f>MROUND((AG81*'T16'!$D$6)*0.844,1)</f>
        <v>2</v>
      </c>
      <c r="AH121">
        <f>MROUND((AH81*'T16'!$D$6)*0.844,1)</f>
        <v>4638</v>
      </c>
      <c r="AI121">
        <f>MROUND((AI81*'T16'!$D$7)*0.844,5)</f>
        <v>5</v>
      </c>
      <c r="AJ121">
        <f>MROUND((AJ81*'T16'!$D$6)*0.844,5)</f>
        <v>5</v>
      </c>
      <c r="AK121">
        <f>MROUND((AK81*'T16'!$D$4)*0.844,5)</f>
        <v>530</v>
      </c>
      <c r="AL121">
        <f>MROUND((AL81*'T16'!$D$10)*0.844,5)</f>
        <v>155</v>
      </c>
      <c r="AM121">
        <f>MROUND((AM81*'T16'!$D$12)*0.844,5)</f>
        <v>175</v>
      </c>
      <c r="AN121">
        <f t="shared" si="159"/>
        <v>9678</v>
      </c>
    </row>
    <row r="122" spans="1:40">
      <c r="A122">
        <v>2031</v>
      </c>
      <c r="J122">
        <f>MROUND((J82*(1+J$38))*'T16'!$D$3,1)</f>
        <v>2</v>
      </c>
      <c r="K122">
        <f>MROUND((K82*'T16'!$E$5)*'Source-fte_qualstus_x_servtype'!J36,5)</f>
        <v>3290</v>
      </c>
      <c r="L122">
        <f>MROUND((L82*'T16'!$D$7)*'Source-fte_qualstus_x_servtype'!J36,5)</f>
        <v>175</v>
      </c>
      <c r="M122">
        <f>MROUND((M82*'T16'!$D$5)*'Source-fte_qualstus_x_servtype'!J36,5)</f>
        <v>15</v>
      </c>
      <c r="N122">
        <f>MROUND((N82*'T16'!$E$3)*'Source-fte_qualstus_x_servtype'!J36,5)</f>
        <v>250</v>
      </c>
      <c r="O122">
        <f>MROUND((O82*'T16'!$D$10)*'Source-fte_qualstus_x_servtype'!J36,5)</f>
        <v>70</v>
      </c>
      <c r="P122">
        <f>MROUND((P82*'T16'!$D$11)*'Source-fte_qualstus_x_servtype'!J36,5)</f>
        <v>75</v>
      </c>
      <c r="Q122">
        <f>MROUND((Q82*'T16'!$D$6)*'Source-fte_qualstus_x_servtype'!J36,1)</f>
        <v>3</v>
      </c>
      <c r="R122">
        <f>MROUND((R82*'T16'!$E$6)*'Source-fte_qualstus_x_servtype'!J36,5)</f>
        <v>8575</v>
      </c>
      <c r="S122">
        <f>MROUND((S82*'T16'!$D$7)*'Source-fte_qualstus_x_servtype'!J36,5)</f>
        <v>685</v>
      </c>
      <c r="T122">
        <f>MROUND((T82*'T16'!$D$9)*'Source-fte_qualstus_x_servtype'!J36,5)</f>
        <v>60</v>
      </c>
      <c r="U122">
        <f>MROUND((U82*'T16'!$E$4)*'Source-fte_qualstus_x_servtype'!J36,5)</f>
        <v>695</v>
      </c>
      <c r="V122">
        <f>MROUND((V82*'T16'!$D$10)*'Source-fte_qualstus_x_servtype'!J36,5)</f>
        <v>270</v>
      </c>
      <c r="W122">
        <f>MROUND((W82*'T16'!$D$11)*'Source-fte_qualstus_x_servtype'!J36,5)</f>
        <v>295</v>
      </c>
      <c r="X122">
        <f t="shared" si="158"/>
        <v>12205</v>
      </c>
      <c r="Z122">
        <f>MROUND((Z82*'T16'!$D$3)*0.844,1)</f>
        <v>3</v>
      </c>
      <c r="AA122">
        <f>MROUND((AA82*'T16'!$D$3)*0.844,1)</f>
        <v>2955</v>
      </c>
      <c r="AB122">
        <f>MROUND((AB82*'T16'!$D$7)*0.844,5)</f>
        <v>870</v>
      </c>
      <c r="AC122">
        <f>MROUND((AC82*'T16'!$D$5)*0.844,5)</f>
        <v>70</v>
      </c>
      <c r="AD122">
        <f>MROUND((AD82*'T16'!$D$3)*0.844,5)</f>
        <v>15</v>
      </c>
      <c r="AE122">
        <f>MROUND((AE82*'T16'!$D$10)*0.844,5)</f>
        <v>185</v>
      </c>
      <c r="AF122">
        <f>MROUND((AF82*'T16'!$D$11)*0.844,5)</f>
        <v>110</v>
      </c>
      <c r="AG122">
        <f>MROUND((AG82*'T16'!$D$6)*0.844,1)</f>
        <v>2</v>
      </c>
      <c r="AH122">
        <f>MROUND((AH82*'T16'!$D$6)*0.844,1)</f>
        <v>4818</v>
      </c>
      <c r="AI122">
        <f>MROUND((AI82*'T16'!$D$7)*0.844,5)</f>
        <v>5</v>
      </c>
      <c r="AJ122">
        <f>MROUND((AJ82*'T16'!$D$6)*0.844,5)</f>
        <v>5</v>
      </c>
      <c r="AK122">
        <f>MROUND((AK82*'T16'!$D$4)*0.844,5)</f>
        <v>540</v>
      </c>
      <c r="AL122">
        <f>MROUND((AL82*'T16'!$D$10)*0.844,5)</f>
        <v>155</v>
      </c>
      <c r="AM122">
        <f>MROUND((AM82*'T16'!$D$12)*0.844,5)</f>
        <v>180</v>
      </c>
      <c r="AN122">
        <f t="shared" si="159"/>
        <v>9913</v>
      </c>
    </row>
    <row r="123" spans="1:40">
      <c r="A123">
        <v>2032</v>
      </c>
      <c r="J123">
        <f>MROUND((J83*(1+J$38))*'T16'!$D$3,1)</f>
        <v>2</v>
      </c>
      <c r="K123">
        <f>MROUND((K83*'T16'!$E$5)*'Source-fte_qualstus_x_servtype'!J37,5)</f>
        <v>3430</v>
      </c>
      <c r="L123">
        <f>MROUND((L83*'T16'!$D$7)*'Source-fte_qualstus_x_servtype'!J37,5)</f>
        <v>160</v>
      </c>
      <c r="M123">
        <f>MROUND((M83*'T16'!$D$5)*'Source-fte_qualstus_x_servtype'!J37,5)</f>
        <v>15</v>
      </c>
      <c r="N123">
        <f>MROUND((N83*'T16'!$E$3)*'Source-fte_qualstus_x_servtype'!J37,5)</f>
        <v>255</v>
      </c>
      <c r="O123">
        <f>MROUND((O83*'T16'!$D$10)*'Source-fte_qualstus_x_servtype'!J37,5)</f>
        <v>70</v>
      </c>
      <c r="P123">
        <f>MROUND((P83*'T16'!$D$11)*'Source-fte_qualstus_x_servtype'!J37,5)</f>
        <v>80</v>
      </c>
      <c r="Q123">
        <f>MROUND((Q83*'T16'!$D$6)*'Source-fte_qualstus_x_servtype'!J37,1)</f>
        <v>3</v>
      </c>
      <c r="R123">
        <f>MROUND((R83*'T16'!$E$6)*'Source-fte_qualstus_x_servtype'!J37,5)</f>
        <v>8945</v>
      </c>
      <c r="S123">
        <f>MROUND((S83*'T16'!$D$7)*'Source-fte_qualstus_x_servtype'!J37,5)</f>
        <v>630</v>
      </c>
      <c r="T123">
        <f>MROUND((T83*'T16'!$D$9)*'Source-fte_qualstus_x_servtype'!J37,5)</f>
        <v>65</v>
      </c>
      <c r="U123">
        <f>MROUND((U83*'T16'!$E$4)*'Source-fte_qualstus_x_servtype'!J37,5)</f>
        <v>710</v>
      </c>
      <c r="V123">
        <f>MROUND((V83*'T16'!$D$10)*'Source-fte_qualstus_x_servtype'!J37,5)</f>
        <v>270</v>
      </c>
      <c r="W123">
        <f>MROUND((W83*'T16'!$D$11)*'Source-fte_qualstus_x_servtype'!J37,5)</f>
        <v>305</v>
      </c>
      <c r="X123">
        <f t="shared" si="158"/>
        <v>12610</v>
      </c>
      <c r="Z123">
        <f>MROUND((Z83*'T16'!$D$3)*0.844,1)</f>
        <v>3</v>
      </c>
      <c r="AA123">
        <f>MROUND((AA83*'T16'!$D$3)*0.844,1)</f>
        <v>3070</v>
      </c>
      <c r="AB123">
        <f>MROUND((AB83*'T16'!$D$7)*0.844,5)</f>
        <v>800</v>
      </c>
      <c r="AC123">
        <f>MROUND((AC83*'T16'!$D$5)*0.844,5)</f>
        <v>75</v>
      </c>
      <c r="AD123">
        <f>MROUND((AD83*'T16'!$D$3)*0.844,5)</f>
        <v>15</v>
      </c>
      <c r="AE123">
        <f>MROUND((AE83*'T16'!$D$10)*0.844,5)</f>
        <v>185</v>
      </c>
      <c r="AF123">
        <f>MROUND((AF83*'T16'!$D$11)*0.844,5)</f>
        <v>110</v>
      </c>
      <c r="AG123">
        <f>MROUND((AG83*'T16'!$D$6)*0.844,1)</f>
        <v>2</v>
      </c>
      <c r="AH123">
        <f>MROUND((AH83*'T16'!$D$6)*0.844,1)</f>
        <v>5004</v>
      </c>
      <c r="AI123">
        <f>MROUND((AI83*'T16'!$D$7)*0.844,5)</f>
        <v>0</v>
      </c>
      <c r="AJ123">
        <f>MROUND((AJ83*'T16'!$D$6)*0.844,5)</f>
        <v>5</v>
      </c>
      <c r="AK123">
        <f>MROUND((AK83*'T16'!$D$4)*0.844,5)</f>
        <v>550</v>
      </c>
      <c r="AL123">
        <f>MROUND((AL83*'T16'!$D$10)*0.844,5)</f>
        <v>155</v>
      </c>
      <c r="AM123">
        <f>MROUND((AM83*'T16'!$D$12)*0.844,5)</f>
        <v>185</v>
      </c>
      <c r="AN123">
        <f t="shared" si="159"/>
        <v>10159</v>
      </c>
    </row>
    <row r="124" spans="1:40">
      <c r="A124">
        <v>2033</v>
      </c>
      <c r="J124">
        <f>MROUND((J84*(1+J$38))*'T16'!$D$3,1)</f>
        <v>2</v>
      </c>
      <c r="K124">
        <f>MROUND((K84*'T16'!$E$5)*'Source-fte_qualstus_x_servtype'!J38,5)</f>
        <v>3580</v>
      </c>
      <c r="L124">
        <f>MROUND((L84*'T16'!$D$7)*'Source-fte_qualstus_x_servtype'!J38,5)</f>
        <v>150</v>
      </c>
      <c r="M124">
        <f>MROUND((M84*'T16'!$D$5)*'Source-fte_qualstus_x_servtype'!J38,5)</f>
        <v>20</v>
      </c>
      <c r="N124">
        <f>MROUND((N84*'T16'!$E$3)*'Source-fte_qualstus_x_servtype'!J38,5)</f>
        <v>260</v>
      </c>
      <c r="O124">
        <f>MROUND((O84*'T16'!$D$10)*'Source-fte_qualstus_x_servtype'!J38,5)</f>
        <v>70</v>
      </c>
      <c r="P124">
        <f>MROUND((P84*'T16'!$D$11)*'Source-fte_qualstus_x_servtype'!J38,5)</f>
        <v>80</v>
      </c>
      <c r="Q124">
        <f>MROUND((Q84*'T16'!$D$6)*'Source-fte_qualstus_x_servtype'!J38,1)</f>
        <v>3</v>
      </c>
      <c r="R124">
        <f>MROUND((R84*'T16'!$E$6)*'Source-fte_qualstus_x_servtype'!J38,5)</f>
        <v>9330</v>
      </c>
      <c r="S124">
        <f>MROUND((S84*'T16'!$D$7)*'Source-fte_qualstus_x_servtype'!J38,5)</f>
        <v>585</v>
      </c>
      <c r="T124">
        <f>MROUND((T84*'T16'!$D$9)*'Source-fte_qualstus_x_servtype'!J38,5)</f>
        <v>70</v>
      </c>
      <c r="U124">
        <f>MROUND((U84*'T16'!$E$4)*'Source-fte_qualstus_x_servtype'!J38,5)</f>
        <v>725</v>
      </c>
      <c r="V124">
        <f>MROUND((V84*'T16'!$D$10)*'Source-fte_qualstus_x_servtype'!J38,5)</f>
        <v>270</v>
      </c>
      <c r="W124">
        <f>MROUND((W84*'T16'!$D$11)*'Source-fte_qualstus_x_servtype'!J38,5)</f>
        <v>315</v>
      </c>
      <c r="X124">
        <f t="shared" si="158"/>
        <v>13050</v>
      </c>
      <c r="Z124">
        <f>MROUND((Z84*'T16'!$D$3)*0.844,1)</f>
        <v>3</v>
      </c>
      <c r="AA124">
        <f>MROUND((AA84*'T16'!$D$3)*0.844,1)</f>
        <v>3188</v>
      </c>
      <c r="AB124">
        <f>MROUND((AB84*'T16'!$D$7)*0.844,5)</f>
        <v>735</v>
      </c>
      <c r="AC124">
        <f>MROUND((AC84*'T16'!$D$5)*0.844,5)</f>
        <v>80</v>
      </c>
      <c r="AD124">
        <f>MROUND((AD84*'T16'!$D$3)*0.844,5)</f>
        <v>15</v>
      </c>
      <c r="AE124">
        <f>MROUND((AE84*'T16'!$D$10)*0.844,5)</f>
        <v>185</v>
      </c>
      <c r="AF124">
        <f>MROUND((AF84*'T16'!$D$11)*0.844,5)</f>
        <v>115</v>
      </c>
      <c r="AG124">
        <f>MROUND((AG84*'T16'!$D$6)*0.844,1)</f>
        <v>2</v>
      </c>
      <c r="AH124">
        <f>MROUND((AH84*'T16'!$D$6)*0.844,1)</f>
        <v>5198</v>
      </c>
      <c r="AI124">
        <f>MROUND((AI84*'T16'!$D$7)*0.844,5)</f>
        <v>0</v>
      </c>
      <c r="AJ124">
        <f>MROUND((AJ84*'T16'!$D$6)*0.844,5)</f>
        <v>5</v>
      </c>
      <c r="AK124">
        <f>MROUND((AK84*'T16'!$D$4)*0.844,5)</f>
        <v>560</v>
      </c>
      <c r="AL124">
        <f>MROUND((AL84*'T16'!$D$10)*0.844,5)</f>
        <v>155</v>
      </c>
      <c r="AM124">
        <f>MROUND((AM84*'T16'!$D$12)*0.844,5)</f>
        <v>190</v>
      </c>
      <c r="AN124">
        <f t="shared" si="159"/>
        <v>10431</v>
      </c>
    </row>
    <row r="125" spans="1:40">
      <c r="A125">
        <v>2034</v>
      </c>
      <c r="J125">
        <f>MROUND((J85*(1+J$38))*'T16'!$D$3,1)</f>
        <v>2</v>
      </c>
      <c r="K125">
        <f>MROUND((K85*'T16'!$E$5)*'Source-fte_qualstus_x_servtype'!J39,5)</f>
        <v>3735</v>
      </c>
      <c r="L125">
        <f>MROUND((L85*'T16'!$D$7)*'Source-fte_qualstus_x_servtype'!J39,5)</f>
        <v>135</v>
      </c>
      <c r="M125">
        <f>MROUND((M85*'T16'!$D$5)*'Source-fte_qualstus_x_servtype'!J39,5)</f>
        <v>20</v>
      </c>
      <c r="N125">
        <f>MROUND((N85*'T16'!$E$3)*'Source-fte_qualstus_x_servtype'!J39,5)</f>
        <v>270</v>
      </c>
      <c r="O125">
        <f>MROUND((O85*'T16'!$D$10)*'Source-fte_qualstus_x_servtype'!J39,5)</f>
        <v>70</v>
      </c>
      <c r="P125">
        <f>MROUND((P85*'T16'!$D$11)*'Source-fte_qualstus_x_servtype'!J39,5)</f>
        <v>85</v>
      </c>
      <c r="Q125">
        <f>MROUND((Q85*'T16'!$D$6)*'Source-fte_qualstus_x_servtype'!J39,1)</f>
        <v>3</v>
      </c>
      <c r="R125">
        <f>MROUND((R85*'T16'!$E$6)*'Source-fte_qualstus_x_servtype'!J39,5)</f>
        <v>9735</v>
      </c>
      <c r="S125">
        <f>MROUND((S85*'T16'!$D$7)*'Source-fte_qualstus_x_servtype'!J39,5)</f>
        <v>540</v>
      </c>
      <c r="T125">
        <f>MROUND((T85*'T16'!$D$9)*'Source-fte_qualstus_x_servtype'!J39,5)</f>
        <v>75</v>
      </c>
      <c r="U125">
        <f>MROUND((U85*'T16'!$E$4)*'Source-fte_qualstus_x_servtype'!J39,5)</f>
        <v>740</v>
      </c>
      <c r="V125">
        <f>MROUND((V85*'T16'!$D$10)*'Source-fte_qualstus_x_servtype'!J39,5)</f>
        <v>275</v>
      </c>
      <c r="W125">
        <f>MROUND((W85*'T16'!$D$11)*'Source-fte_qualstus_x_servtype'!J39,5)</f>
        <v>325</v>
      </c>
      <c r="X125">
        <f t="shared" si="158"/>
        <v>13510</v>
      </c>
      <c r="Z125">
        <f>MROUND((Z85*'T16'!$D$3)*0.844,1)</f>
        <v>3</v>
      </c>
      <c r="AA125">
        <f>MROUND((AA85*'T16'!$D$3)*0.844,1)</f>
        <v>3312</v>
      </c>
      <c r="AB125">
        <f>MROUND((AB85*'T16'!$D$7)*0.844,5)</f>
        <v>675</v>
      </c>
      <c r="AC125">
        <f>MROUND((AC85*'T16'!$D$5)*0.844,5)</f>
        <v>90</v>
      </c>
      <c r="AD125">
        <f>MROUND((AD85*'T16'!$D$3)*0.844,5)</f>
        <v>15</v>
      </c>
      <c r="AE125">
        <f>MROUND((AE85*'T16'!$D$10)*0.844,5)</f>
        <v>185</v>
      </c>
      <c r="AF125">
        <f>MROUND((AF85*'T16'!$D$11)*0.844,5)</f>
        <v>115</v>
      </c>
      <c r="AG125">
        <f>MROUND((AG85*'T16'!$D$6)*0.844,1)</f>
        <v>2</v>
      </c>
      <c r="AH125">
        <f>MROUND((AH85*'T16'!$D$6)*0.844,1)</f>
        <v>5399</v>
      </c>
      <c r="AI125">
        <f>MROUND((AI85*'T16'!$D$7)*0.844,5)</f>
        <v>0</v>
      </c>
      <c r="AJ125">
        <f>MROUND((AJ85*'T16'!$D$6)*0.844,5)</f>
        <v>5</v>
      </c>
      <c r="AK125">
        <f>MROUND((AK85*'T16'!$D$4)*0.844,5)</f>
        <v>570</v>
      </c>
      <c r="AL125">
        <f>MROUND((AL85*'T16'!$D$10)*0.844,5)</f>
        <v>155</v>
      </c>
      <c r="AM125">
        <f>MROUND((AM85*'T16'!$D$12)*0.844,5)</f>
        <v>195</v>
      </c>
      <c r="AN125">
        <f t="shared" si="159"/>
        <v>10721</v>
      </c>
    </row>
    <row r="126" spans="1:40">
      <c r="A126">
        <v>2035</v>
      </c>
      <c r="J126">
        <f>MROUND((J86*(1+J$38))*'T16'!$D$3,1)</f>
        <v>2</v>
      </c>
      <c r="K126">
        <f>MROUND((K86*'T16'!$E$5)*'Source-fte_qualstus_x_servtype'!J40,5)</f>
        <v>3895</v>
      </c>
      <c r="L126">
        <f>MROUND((L86*'T16'!$D$7)*'Source-fte_qualstus_x_servtype'!J40,5)</f>
        <v>125</v>
      </c>
      <c r="M126">
        <f>MROUND((M86*'T16'!$D$5)*'Source-fte_qualstus_x_servtype'!J40,5)</f>
        <v>20</v>
      </c>
      <c r="N126">
        <f>MROUND((N86*'T16'!$E$3)*'Source-fte_qualstus_x_servtype'!J40,5)</f>
        <v>275</v>
      </c>
      <c r="O126">
        <f>MROUND((O86*'T16'!$D$10)*'Source-fte_qualstus_x_servtype'!J40,5)</f>
        <v>70</v>
      </c>
      <c r="P126">
        <f>MROUND((P86*'T16'!$D$11)*'Source-fte_qualstus_x_servtype'!J40,5)</f>
        <v>85</v>
      </c>
      <c r="Q126">
        <f>MROUND((Q86*'T16'!$D$6)*'Source-fte_qualstus_x_servtype'!J40,1)</f>
        <v>3</v>
      </c>
      <c r="R126">
        <f>MROUND((R86*'T16'!$E$6)*'Source-fte_qualstus_x_servtype'!J40,5)</f>
        <v>10155</v>
      </c>
      <c r="S126">
        <f>MROUND((S86*'T16'!$D$7)*'Source-fte_qualstus_x_servtype'!J40,5)</f>
        <v>495</v>
      </c>
      <c r="T126">
        <f>MROUND((T86*'T16'!$D$9)*'Source-fte_qualstus_x_servtype'!J40,5)</f>
        <v>85</v>
      </c>
      <c r="U126">
        <f>MROUND((U86*'T16'!$E$4)*'Source-fte_qualstus_x_servtype'!J40,5)</f>
        <v>755</v>
      </c>
      <c r="V126">
        <f>MROUND((V86*'T16'!$D$10)*'Source-fte_qualstus_x_servtype'!J40,5)</f>
        <v>275</v>
      </c>
      <c r="W126">
        <f>MROUND((W86*'T16'!$D$11)*'Source-fte_qualstus_x_servtype'!J40,5)</f>
        <v>335</v>
      </c>
      <c r="X126">
        <f t="shared" si="158"/>
        <v>13990</v>
      </c>
      <c r="Z126">
        <f>MROUND((Z86*'T16'!$D$3)*0.844,1)</f>
        <v>3</v>
      </c>
      <c r="AA126">
        <f>MROUND((AA86*'T16'!$D$3)*0.844,1)</f>
        <v>3440</v>
      </c>
      <c r="AB126">
        <f>MROUND((AB86*'T16'!$D$7)*0.844,5)</f>
        <v>615</v>
      </c>
      <c r="AC126">
        <f>MROUND((AC86*'T16'!$D$5)*0.844,5)</f>
        <v>95</v>
      </c>
      <c r="AD126">
        <f>MROUND((AD86*'T16'!$D$3)*0.844,5)</f>
        <v>15</v>
      </c>
      <c r="AE126">
        <f>MROUND((AE86*'T16'!$D$10)*0.844,5)</f>
        <v>185</v>
      </c>
      <c r="AF126">
        <f>MROUND((AF86*'T16'!$D$11)*0.844,5)</f>
        <v>120</v>
      </c>
      <c r="AG126">
        <f>MROUND((AG86*'T16'!$D$6)*0.844,1)</f>
        <v>2</v>
      </c>
      <c r="AH126">
        <f>MROUND((AH86*'T16'!$D$6)*0.844,1)</f>
        <v>5608</v>
      </c>
      <c r="AI126">
        <f>MROUND((AI86*'T16'!$D$7)*0.844,5)</f>
        <v>0</v>
      </c>
      <c r="AJ126">
        <f>MROUND((AJ86*'T16'!$D$6)*0.844,5)</f>
        <v>5</v>
      </c>
      <c r="AK126">
        <f>MROUND((AK86*'T16'!$D$4)*0.844,5)</f>
        <v>580</v>
      </c>
      <c r="AL126">
        <f>MROUND((AL86*'T16'!$D$10)*0.844,5)</f>
        <v>155</v>
      </c>
      <c r="AM126">
        <f>MROUND((AM86*'T16'!$D$12)*0.844,5)</f>
        <v>200</v>
      </c>
      <c r="AN126">
        <f t="shared" si="159"/>
        <v>11023</v>
      </c>
    </row>
    <row r="128" spans="1:40">
      <c r="A128" s="6" t="s">
        <v>440</v>
      </c>
    </row>
    <row r="129" spans="1:40">
      <c r="J129" s="177" t="s">
        <v>441</v>
      </c>
      <c r="K129" s="177"/>
      <c r="L129" s="177"/>
      <c r="M129" s="177"/>
      <c r="N129" s="177"/>
      <c r="O129" s="177"/>
      <c r="P129" s="177"/>
      <c r="Q129" s="177"/>
      <c r="R129" s="177"/>
      <c r="S129" s="177"/>
      <c r="T129" s="177"/>
      <c r="U129" s="177"/>
      <c r="V129" s="177"/>
      <c r="W129" s="177"/>
      <c r="Z129" s="177" t="s">
        <v>438</v>
      </c>
      <c r="AA129" s="177"/>
      <c r="AB129" s="177"/>
      <c r="AC129" s="177"/>
      <c r="AD129" s="177"/>
      <c r="AE129" s="177"/>
      <c r="AF129" s="177"/>
      <c r="AG129" s="177"/>
      <c r="AH129" s="177"/>
      <c r="AI129" s="177"/>
      <c r="AJ129" s="177"/>
      <c r="AK129" s="177"/>
      <c r="AL129" s="177"/>
      <c r="AM129" s="177"/>
    </row>
    <row r="130" spans="1:40">
      <c r="A130">
        <v>2015</v>
      </c>
      <c r="J130">
        <f>MROUND((J4*'T16'!D$5)*0.825,5)</f>
        <v>5</v>
      </c>
      <c r="K130">
        <f>MROUND((K4*'T16'!$E$5)*0.825,5)</f>
        <v>1850</v>
      </c>
      <c r="L130">
        <f>MROUND((L4*'T16'!$D$7)*0.825,5)</f>
        <v>445</v>
      </c>
      <c r="M130">
        <f>MROUND((M4*'T16'!$D$9)*0.825,5)</f>
        <v>5</v>
      </c>
      <c r="N130">
        <f>MROUND((N4*'T16'!$E$3)*0.825,5)</f>
        <v>200</v>
      </c>
      <c r="O130">
        <f>MROUND((O4*'T16'!$D$10)*0.825,5)</f>
        <v>70</v>
      </c>
      <c r="P130">
        <f>MROUND((P4*'T16'!$D$11)*0.825,5)</f>
        <v>65</v>
      </c>
      <c r="Q130">
        <f>MROUND((Q4*'T16'!$D$6)*0.825,5)</f>
        <v>10</v>
      </c>
      <c r="R130">
        <f>MROUND((R4*'T16'!$E$6)*0.825,5)</f>
        <v>4820</v>
      </c>
      <c r="S130">
        <f>MROUND((S4*'T16'!$D$7)*0.825,5)</f>
        <v>1740</v>
      </c>
      <c r="T130">
        <f>MROUND((T4*'T16'!$D$5)*0.825,5)</f>
        <v>15</v>
      </c>
      <c r="U130">
        <f>MROUND((U4*'T16'!$E$4)*0.825,5)</f>
        <v>555</v>
      </c>
      <c r="V130">
        <f>MROUND((V4*'T16'!$D$10)*0.825,5)</f>
        <v>275</v>
      </c>
      <c r="W130">
        <f>MROUND((W4*'T16'!$D$11)*0.825,5)</f>
        <v>260</v>
      </c>
      <c r="X130">
        <f>MROUND(SUM(J130:W130),5)</f>
        <v>10315</v>
      </c>
      <c r="Z130">
        <f>MROUND(Z4*'T16'!$D$5,5)</f>
        <v>15</v>
      </c>
      <c r="AA130">
        <f>MROUND(AA4*'T16'!$D$3,5)</f>
        <v>2075</v>
      </c>
      <c r="AB130">
        <f>MROUND(AB4*'T16'!$D$7,5)</f>
        <v>2760</v>
      </c>
      <c r="AC130">
        <f>MROUND(AC4*'T16'!$D$5,5)</f>
        <v>25</v>
      </c>
      <c r="AD130">
        <f>MROUND(AD4*'T16'!$D$3,5)</f>
        <v>15</v>
      </c>
      <c r="AE130">
        <f>MROUND(AE4*'T16'!$D$10,5)</f>
        <v>235</v>
      </c>
      <c r="AF130">
        <f>MROUND(AF4*'T16'!$D$11,5)</f>
        <v>120</v>
      </c>
      <c r="AG130">
        <f>MROUND(AG4*'T16'!$D$6,5)</f>
        <v>10</v>
      </c>
      <c r="AH130">
        <f>MROUND(AH4*'T16'!$D$6,5)</f>
        <v>3385</v>
      </c>
      <c r="AI130">
        <f>MROUND(AI4*'T16'!$D$7,5)</f>
        <v>10</v>
      </c>
      <c r="AJ130">
        <f>MROUND(AJ4*'T16'!$D$5,5)</f>
        <v>0</v>
      </c>
      <c r="AK130">
        <f>MROUND(AK4*'T16'!$D$4,5)</f>
        <v>545</v>
      </c>
      <c r="AL130">
        <f>MROUND(AL4*'T16'!$D$10,5)</f>
        <v>200</v>
      </c>
      <c r="AM130">
        <f>MROUND(AM4*'T16'!$D$12,5)</f>
        <v>200</v>
      </c>
      <c r="AN130">
        <f t="shared" ref="AN130:AN140" si="160">SUM(Z130:AM130)</f>
        <v>9595</v>
      </c>
    </row>
    <row r="131" spans="1:40">
      <c r="A131">
        <v>2016</v>
      </c>
      <c r="J131">
        <f>MROUND((J5*'T16'!D$5)*0.825,5)</f>
        <v>5</v>
      </c>
      <c r="K131">
        <f>MROUND((K5*'T16'!$E$5)*0.825,5)</f>
        <v>1965</v>
      </c>
      <c r="L131">
        <f>MROUND((L5*'T16'!$D$7)*0.825,5)</f>
        <v>545</v>
      </c>
      <c r="M131">
        <f>MROUND((M5*'T16'!$D$9)*0.825,5)</f>
        <v>5</v>
      </c>
      <c r="N131">
        <f>MROUND((N5*'T16'!$E$3)*0.825,5)</f>
        <v>205</v>
      </c>
      <c r="O131">
        <f>MROUND((O5*'T16'!$D$10)*0.825,5)</f>
        <v>70</v>
      </c>
      <c r="P131">
        <f>MROUND((P5*'T16'!$D$11)*0.825,5)</f>
        <v>70</v>
      </c>
      <c r="Q131">
        <f>MROUND((Q5*'T16'!$D$6)*0.825,5)</f>
        <v>10</v>
      </c>
      <c r="R131">
        <f>MROUND((R5*'T16'!$E$6)*0.825,5)</f>
        <v>5120</v>
      </c>
      <c r="S131">
        <f>MROUND((S5*'T16'!$D$7)*0.825,5)</f>
        <v>2140</v>
      </c>
      <c r="T131">
        <f>MROUND((T5*'T16'!$D$5)*0.825,5)</f>
        <v>15</v>
      </c>
      <c r="U131">
        <f>MROUND((U5*'T16'!$E$4)*0.825,5)</f>
        <v>565</v>
      </c>
      <c r="V131">
        <f>MROUND((V5*'T16'!$D$10)*0.825,5)</f>
        <v>275</v>
      </c>
      <c r="W131">
        <f>MROUND((W5*'T16'!$D$11)*0.825,5)</f>
        <v>265</v>
      </c>
      <c r="X131">
        <f t="shared" ref="X131:X140" si="161">MROUND(SUM(J131:W131),5)</f>
        <v>11255</v>
      </c>
      <c r="Z131">
        <f>MROUND((Z5*'T16'!$D$5),5)</f>
        <v>15</v>
      </c>
      <c r="AA131">
        <f>MROUND(AA5*'T16'!$D$3,5)</f>
        <v>2205</v>
      </c>
      <c r="AB131">
        <f>MROUND(AB5*'T16'!$D$7,5)</f>
        <v>3400</v>
      </c>
      <c r="AC131">
        <f>MROUND((AC5*'T16'!$D$5),5)</f>
        <v>25</v>
      </c>
      <c r="AD131">
        <f>MROUND(AD5*'T16'!$D$3,5)</f>
        <v>15</v>
      </c>
      <c r="AE131">
        <f>MROUND(AE5*'T16'!$D$10,5)</f>
        <v>235</v>
      </c>
      <c r="AF131">
        <f>MROUND(AF5*'T16'!$D$11,5)</f>
        <v>120</v>
      </c>
      <c r="AG131">
        <f>MROUND(AG5*'T16'!$D$6,5)</f>
        <v>10</v>
      </c>
      <c r="AH131">
        <f>MROUND(AH5*'T16'!$D$6,5)</f>
        <v>3595</v>
      </c>
      <c r="AI131">
        <f>MROUND(AI5*'T16'!$D$7,5)</f>
        <v>10</v>
      </c>
      <c r="AJ131">
        <f>MROUND((AJ5*'T16'!$D$5),5)</f>
        <v>0</v>
      </c>
      <c r="AK131">
        <f>MROUND(AK5*'T16'!$D$4,5)</f>
        <v>550</v>
      </c>
      <c r="AL131">
        <f>MROUND(AL5*'T16'!$D$10,5)</f>
        <v>200</v>
      </c>
      <c r="AM131">
        <f>MROUND(AM5*'T16'!$D$12,5)</f>
        <v>200</v>
      </c>
      <c r="AN131">
        <f t="shared" si="160"/>
        <v>10580</v>
      </c>
    </row>
    <row r="132" spans="1:40">
      <c r="A132">
        <v>2017</v>
      </c>
      <c r="J132">
        <f>MROUND((J6*'T16'!D$5)*0.825,5)</f>
        <v>5</v>
      </c>
      <c r="K132">
        <f>MROUND((K6*'T16'!$E$5)*0.825,5)</f>
        <v>2080</v>
      </c>
      <c r="L132">
        <f>MROUND((L6*'T16'!$D$7)*0.825,5)</f>
        <v>510</v>
      </c>
      <c r="M132">
        <f>MROUND((M6*'T16'!$D$9)*0.825,5)</f>
        <v>5</v>
      </c>
      <c r="N132">
        <f>MROUND((N6*'T16'!$E$3)*0.825,5)</f>
        <v>205</v>
      </c>
      <c r="O132">
        <f>MROUND((O6*'T16'!$D$10)*0.825,5)</f>
        <v>70</v>
      </c>
      <c r="P132">
        <f>MROUND((P6*'T16'!$D$11)*0.825,5)</f>
        <v>65</v>
      </c>
      <c r="Q132">
        <f>MROUND((Q6*'T16'!$D$6)*0.825,5)</f>
        <v>10</v>
      </c>
      <c r="R132">
        <f>MROUND((R6*'T16'!$E$6)*0.825,5)</f>
        <v>5420</v>
      </c>
      <c r="S132">
        <f>MROUND((S6*'T16'!$D$7)*0.825,5)</f>
        <v>1990</v>
      </c>
      <c r="T132">
        <f>MROUND((T6*'T16'!$D$5)*0.825,5)</f>
        <v>20</v>
      </c>
      <c r="U132">
        <f>MROUND((U6*'T16'!$E$4)*0.825,5)</f>
        <v>565</v>
      </c>
      <c r="V132">
        <f>MROUND((V6*'T16'!$D$10)*0.825,5)</f>
        <v>265</v>
      </c>
      <c r="W132">
        <f>MROUND((W6*'T16'!$D$11)*0.825,5)</f>
        <v>260</v>
      </c>
      <c r="X132">
        <f t="shared" si="161"/>
        <v>11470</v>
      </c>
      <c r="Z132">
        <f>MROUND((Z6*'T16'!$D$5),5)</f>
        <v>15</v>
      </c>
      <c r="AA132">
        <f>MROUND(AA6*'T16'!$D$3,5)</f>
        <v>2335</v>
      </c>
      <c r="AB132">
        <f>MROUND(AB6*'T16'!$D$7,5)</f>
        <v>3155</v>
      </c>
      <c r="AC132">
        <f>MROUND((AC6*'T16'!$D$5),5)</f>
        <v>30</v>
      </c>
      <c r="AD132">
        <f>MROUND(AD6*'T16'!$D$3,5)</f>
        <v>15</v>
      </c>
      <c r="AE132">
        <f>MROUND(AE6*'T16'!$D$10,5)</f>
        <v>230</v>
      </c>
      <c r="AF132">
        <f>MROUND(AF6*'T16'!$D$11,5)</f>
        <v>120</v>
      </c>
      <c r="AG132">
        <f>MROUND(AG6*'T16'!$D$6,5)</f>
        <v>10</v>
      </c>
      <c r="AH132">
        <f>MROUND(AH6*'T16'!$D$6,5)</f>
        <v>3810</v>
      </c>
      <c r="AI132">
        <f>MROUND(AI6*'T16'!$D$7,5)</f>
        <v>10</v>
      </c>
      <c r="AJ132">
        <f>MROUND((AJ6*'T16'!$D$5),5)</f>
        <v>5</v>
      </c>
      <c r="AK132">
        <f>MROUND(AK6*'T16'!$D$4,5)</f>
        <v>550</v>
      </c>
      <c r="AL132">
        <f>MROUND(AL6*'T16'!$D$10,5)</f>
        <v>195</v>
      </c>
      <c r="AM132">
        <f>MROUND(AM6*'T16'!$D$12,5)</f>
        <v>200</v>
      </c>
      <c r="AN132">
        <f t="shared" si="160"/>
        <v>10680</v>
      </c>
    </row>
    <row r="133" spans="1:40">
      <c r="A133">
        <v>2018</v>
      </c>
      <c r="J133">
        <f>MROUND((J7*'T16'!D$5)*0.825,5)</f>
        <v>5</v>
      </c>
      <c r="K133">
        <f>MROUND((K7*'T16'!$E$5)*0.825,5)</f>
        <v>2205</v>
      </c>
      <c r="L133">
        <f>MROUND((L7*'T16'!$D$7)*0.825,5)</f>
        <v>530</v>
      </c>
      <c r="M133">
        <f>MROUND((M7*'T16'!$D$9)*0.825,5)</f>
        <v>5</v>
      </c>
      <c r="N133">
        <f>MROUND((N7*'T16'!$E$3)*0.825,5)</f>
        <v>205</v>
      </c>
      <c r="O133">
        <f>MROUND((O7*'T16'!$D$10)*0.825,5)</f>
        <v>65</v>
      </c>
      <c r="P133">
        <f>MROUND((P7*'T16'!$D$11)*0.825,5)</f>
        <v>65</v>
      </c>
      <c r="Q133">
        <f>MROUND((Q7*'T16'!$D$6)*0.825,5)</f>
        <v>10</v>
      </c>
      <c r="R133">
        <f>MROUND((R7*'T16'!$E$6)*0.825,5)</f>
        <v>5750</v>
      </c>
      <c r="S133">
        <f>MROUND((S7*'T16'!$D$7)*0.825,5)</f>
        <v>2075</v>
      </c>
      <c r="T133">
        <f>MROUND((T7*'T16'!$D$5)*0.825,5)</f>
        <v>20</v>
      </c>
      <c r="U133">
        <f>MROUND((U7*'T16'!$E$4)*0.825,5)</f>
        <v>565</v>
      </c>
      <c r="V133">
        <f>MROUND((V7*'T16'!$D$10)*0.825,5)</f>
        <v>260</v>
      </c>
      <c r="W133">
        <f>MROUND((W7*'T16'!$D$11)*0.825,5)</f>
        <v>255</v>
      </c>
      <c r="X133">
        <f t="shared" si="161"/>
        <v>12015</v>
      </c>
      <c r="Z133">
        <f>MROUND((Z7*'T16'!$D$5),5)</f>
        <v>15</v>
      </c>
      <c r="AA133">
        <f>MROUND(AA7*'T16'!$D$3,5)</f>
        <v>2475</v>
      </c>
      <c r="AB133">
        <f>MROUND(AB7*'T16'!$D$7,5)</f>
        <v>3290</v>
      </c>
      <c r="AC133">
        <f>MROUND((AC7*'T16'!$D$5),5)</f>
        <v>30</v>
      </c>
      <c r="AD133">
        <f>MROUND(AD7*'T16'!$D$3,5)</f>
        <v>15</v>
      </c>
      <c r="AE133">
        <f>MROUND(AE7*'T16'!$D$10,5)</f>
        <v>225</v>
      </c>
      <c r="AF133">
        <f>MROUND(AF7*'T16'!$D$11,5)</f>
        <v>115</v>
      </c>
      <c r="AG133">
        <f>MROUND(AG7*'T16'!$D$6,5)</f>
        <v>10</v>
      </c>
      <c r="AH133">
        <f>MROUND(AH7*'T16'!$D$6,5)</f>
        <v>4040</v>
      </c>
      <c r="AI133">
        <f>MROUND(AI7*'T16'!$D$7,5)</f>
        <v>10</v>
      </c>
      <c r="AJ133">
        <f>MROUND((AJ7*'T16'!$D$5),5)</f>
        <v>5</v>
      </c>
      <c r="AK133">
        <f>MROUND(AK7*'T16'!$D$4,5)</f>
        <v>550</v>
      </c>
      <c r="AL133">
        <f>MROUND(AL7*'T16'!$D$10,5)</f>
        <v>185</v>
      </c>
      <c r="AM133">
        <f>MROUND(AM7*'T16'!$D$12,5)</f>
        <v>195</v>
      </c>
      <c r="AN133">
        <f t="shared" si="160"/>
        <v>11160</v>
      </c>
    </row>
    <row r="134" spans="1:40">
      <c r="A134">
        <v>2019</v>
      </c>
      <c r="J134">
        <f>MROUND((J8*'T16'!$D$5)*0.829,5)</f>
        <v>5</v>
      </c>
      <c r="K134">
        <f>MROUND((K8*'T16'!$E$5)*0.829,5)</f>
        <v>2365</v>
      </c>
      <c r="L134">
        <f>MROUND((L8*'T16'!$D$7)*0.829,5)</f>
        <v>530</v>
      </c>
      <c r="M134">
        <f>MROUND((M8*'T16'!$D$9)*0.829,5)</f>
        <v>10</v>
      </c>
      <c r="N134">
        <f>MROUND((N8*'T16'!$E$3)*0.829,5)</f>
        <v>205</v>
      </c>
      <c r="O134">
        <f>MROUND((O8*'T16'!$D$10)*0.829,5)</f>
        <v>65</v>
      </c>
      <c r="P134">
        <f>MROUND((P8*'T16'!$D$11)*0.829,5)</f>
        <v>70</v>
      </c>
      <c r="Q134">
        <f>MROUND((Q8*'T16'!$D$6)*0.829,5)</f>
        <v>10</v>
      </c>
      <c r="R134">
        <f>MROUND((R8*'T16'!$E$6)*0.829,5)</f>
        <v>6160</v>
      </c>
      <c r="S134">
        <f>MROUND((S8*'T16'!$D$7)*0.829,5)</f>
        <v>2080</v>
      </c>
      <c r="T134">
        <f>MROUND((T8*'T16'!$D$5)*0.829,5)</f>
        <v>35</v>
      </c>
      <c r="U134">
        <f>MROUND((U8*'T16'!$E$4)*0.829,5)</f>
        <v>560</v>
      </c>
      <c r="V134">
        <f>MROUND((V8*'T16'!$D$10)*0.829,5)</f>
        <v>265</v>
      </c>
      <c r="W134">
        <f>MROUND((W8*'T16'!$D$11)*0.829,5)</f>
        <v>265</v>
      </c>
      <c r="X134">
        <f t="shared" si="161"/>
        <v>12625</v>
      </c>
      <c r="Z134">
        <f>MROUND((Z8*'T16'!$D$5),5)</f>
        <v>15</v>
      </c>
      <c r="AA134">
        <f>MROUND(AA8*'T16'!$D$3,5)</f>
        <v>2645</v>
      </c>
      <c r="AB134">
        <f>MROUND(AB8*'T16'!$D$7,5)</f>
        <v>3280</v>
      </c>
      <c r="AC134">
        <f>MROUND((AC8*'T16'!$D$5),5)</f>
        <v>50</v>
      </c>
      <c r="AD134">
        <f>MROUND(AD8*'T16'!$D$3,5)</f>
        <v>15</v>
      </c>
      <c r="AE134">
        <f>MROUND(AE8*'T16'!$D$10,5)</f>
        <v>225</v>
      </c>
      <c r="AF134">
        <f>MROUND(AF8*'T16'!$D$11,5)</f>
        <v>120</v>
      </c>
      <c r="AG134">
        <f>MROUND(AG8*'T16'!$D$6,5)</f>
        <v>10</v>
      </c>
      <c r="AH134">
        <f>MROUND(AH8*'T16'!$D$6,5)</f>
        <v>4310</v>
      </c>
      <c r="AI134">
        <f>MROUND(AI8*'T16'!$D$7,5)</f>
        <v>10</v>
      </c>
      <c r="AJ134">
        <f>MROUND((AJ8*'T16'!$D$5),5)</f>
        <v>5</v>
      </c>
      <c r="AK134">
        <f>MROUND(AK8*'T16'!$D$4,5)</f>
        <v>545</v>
      </c>
      <c r="AL134">
        <f>MROUND(AL8*'T16'!$D$10,5)</f>
        <v>190</v>
      </c>
      <c r="AM134">
        <f>MROUND(AM8*'T16'!$D$12,5)</f>
        <v>200</v>
      </c>
      <c r="AN134">
        <f t="shared" si="160"/>
        <v>11620</v>
      </c>
    </row>
    <row r="135" spans="1:40">
      <c r="A135">
        <v>2020</v>
      </c>
      <c r="J135">
        <f>MROUND((J9*'T16'!$D$5)*0.833,5)</f>
        <v>5</v>
      </c>
      <c r="K135">
        <f>MROUND((K9*'T16'!$E$5)*0.833,5)</f>
        <v>2465</v>
      </c>
      <c r="L135">
        <f>MROUND((L9*'T16'!$D$7)*0.833,5)</f>
        <v>490</v>
      </c>
      <c r="M135">
        <f>MROUND((M9*'T16'!$D$9)*0.833,5)</f>
        <v>10</v>
      </c>
      <c r="N135">
        <f>MROUND((N9*'T16'!$E$3)*0.833,5)</f>
        <v>205</v>
      </c>
      <c r="O135">
        <f>MROUND((O9*'T16'!$D$10)*0.833,5)</f>
        <v>65</v>
      </c>
      <c r="P135">
        <f>MROUND((P9*'T16'!$D$11)*0.833,5)</f>
        <v>70</v>
      </c>
      <c r="Q135">
        <f>MROUND((Q9*'T16'!$D$6)*0.833,5)</f>
        <v>10</v>
      </c>
      <c r="R135">
        <f>MROUND((R9*'T16'!$E$6)*0.833,5)</f>
        <v>6430</v>
      </c>
      <c r="S135">
        <f>MROUND((S9*'T16'!$D$7)*0.833,5)</f>
        <v>1915</v>
      </c>
      <c r="T135">
        <f>MROUND((T9*'T16'!$D$5)*0.833,5)</f>
        <v>35</v>
      </c>
      <c r="U135">
        <f>MROUND((U9*'T16'!$E$4)*0.833,5)</f>
        <v>560</v>
      </c>
      <c r="V135">
        <f>MROUND((V9*'T16'!$D$10)*0.833,5)</f>
        <v>265</v>
      </c>
      <c r="W135">
        <f>MROUND((W9*'T16'!$D$11)*0.833,5)</f>
        <v>270</v>
      </c>
      <c r="X135">
        <f t="shared" si="161"/>
        <v>12795</v>
      </c>
      <c r="Z135">
        <f>MROUND((Z9*'T16'!$D$5),5)</f>
        <v>10</v>
      </c>
      <c r="AA135">
        <f>MROUND(AA9*'T16'!$D$3,5)</f>
        <v>2745</v>
      </c>
      <c r="AB135">
        <f>MROUND(AB9*'T16'!$D$7,5)</f>
        <v>3015</v>
      </c>
      <c r="AC135">
        <f>MROUND((AC9*'T16'!$D$5),5)</f>
        <v>50</v>
      </c>
      <c r="AD135">
        <f>MROUND(AD9*'T16'!$D$3,5)</f>
        <v>15</v>
      </c>
      <c r="AE135">
        <f>MROUND(AE9*'T16'!$D$10,5)</f>
        <v>225</v>
      </c>
      <c r="AF135">
        <f>MROUND(AF9*'T16'!$D$11,5)</f>
        <v>120</v>
      </c>
      <c r="AG135">
        <f>MROUND(AG9*'T16'!$D$6,5)</f>
        <v>5</v>
      </c>
      <c r="AH135">
        <f>MROUND(AH9*'T16'!$D$6,5)</f>
        <v>4475</v>
      </c>
      <c r="AI135">
        <f>MROUND(AI9*'T16'!$D$7,5)</f>
        <v>10</v>
      </c>
      <c r="AJ135">
        <f>MROUND((AJ9*'T16'!$D$5),5)</f>
        <v>5</v>
      </c>
      <c r="AK135">
        <f>MROUND(AK9*'T16'!$D$4,5)</f>
        <v>540</v>
      </c>
      <c r="AL135">
        <f>MROUND(AL9*'T16'!$D$10,5)</f>
        <v>190</v>
      </c>
      <c r="AM135">
        <f>MROUND(AM9*'T16'!$D$12,5)</f>
        <v>200</v>
      </c>
      <c r="AN135">
        <f t="shared" si="160"/>
        <v>11605</v>
      </c>
    </row>
    <row r="136" spans="1:40">
      <c r="A136">
        <v>2021</v>
      </c>
      <c r="J136">
        <f>MROUND((J10*'T16'!$D$5)*0.836,5)</f>
        <v>5</v>
      </c>
      <c r="K136">
        <f>MROUND((K10*'T16'!$E$5)*0.836,5)</f>
        <v>2570</v>
      </c>
      <c r="L136">
        <f>MROUND((L10*'T16'!$D$7)*0.836,5)</f>
        <v>445</v>
      </c>
      <c r="M136">
        <f>MROUND((M10*'T16'!$D$9)*0.836,5)</f>
        <v>10</v>
      </c>
      <c r="N136">
        <f>MROUND((N10*'T16'!$E$3)*0.836,5)</f>
        <v>200</v>
      </c>
      <c r="O136">
        <f>MROUND((O10*'T16'!$D$10)*0.836,5)</f>
        <v>65</v>
      </c>
      <c r="P136">
        <f>MROUND((P10*'T16'!$D$11)*0.836,5)</f>
        <v>65</v>
      </c>
      <c r="Q136">
        <f>MROUND((Q10*'T16'!$D$6)*0.836,5)</f>
        <v>5</v>
      </c>
      <c r="R136">
        <f>MROUND((R10*'T16'!$E$6)*0.836,5)</f>
        <v>6695</v>
      </c>
      <c r="S136">
        <f>MROUND((S10*'T16'!$D$7)*0.836,5)</f>
        <v>1745</v>
      </c>
      <c r="T136">
        <f>MROUND((T10*'T16'!$D$5)*0.836,5)</f>
        <v>35</v>
      </c>
      <c r="U136">
        <f>MROUND((U10*'T16'!$E$4)*0.836,5)</f>
        <v>555</v>
      </c>
      <c r="V136">
        <f>MROUND((V10*'T16'!$D$10)*0.836,5)</f>
        <v>260</v>
      </c>
      <c r="W136">
        <f>MROUND((W10*'T16'!$D$11)*0.836,5)</f>
        <v>260</v>
      </c>
      <c r="X136">
        <f t="shared" si="161"/>
        <v>12915</v>
      </c>
      <c r="Z136">
        <f>MROUND((Z10*'T16'!$D$5),5)</f>
        <v>10</v>
      </c>
      <c r="AA136">
        <f>MROUND(AA10*'T16'!$D$3,5)</f>
        <v>2845</v>
      </c>
      <c r="AB136">
        <f>MROUND(AB10*'T16'!$D$7,5)</f>
        <v>2730</v>
      </c>
      <c r="AC136">
        <f>MROUND((AC10*'T16'!$D$5),5)</f>
        <v>45</v>
      </c>
      <c r="AD136">
        <f>MROUND(AD10*'T16'!$D$3,5)</f>
        <v>15</v>
      </c>
      <c r="AE136">
        <f>MROUND(AE10*'T16'!$D$10,5)</f>
        <v>225</v>
      </c>
      <c r="AF136">
        <f>MROUND(AF10*'T16'!$D$11,5)</f>
        <v>115</v>
      </c>
      <c r="AG136">
        <f>MROUND(AG10*'T16'!$D$6,5)</f>
        <v>5</v>
      </c>
      <c r="AH136">
        <f>MROUND(AH10*'T16'!$D$6,5)</f>
        <v>4640</v>
      </c>
      <c r="AI136">
        <f>MROUND(AI10*'T16'!$D$7,5)</f>
        <v>10</v>
      </c>
      <c r="AJ136">
        <f>MROUND((AJ10*'T16'!$D$5),5)</f>
        <v>5</v>
      </c>
      <c r="AK136">
        <f>MROUND(AK10*'T16'!$D$4,5)</f>
        <v>535</v>
      </c>
      <c r="AL136">
        <f>MROUND(AL10*'T16'!$D$10,5)</f>
        <v>190</v>
      </c>
      <c r="AM136">
        <f>MROUND(AM10*'T16'!$D$12,5)</f>
        <v>195</v>
      </c>
      <c r="AN136">
        <f t="shared" si="160"/>
        <v>11565</v>
      </c>
    </row>
    <row r="137" spans="1:40">
      <c r="A137">
        <v>2022</v>
      </c>
      <c r="J137">
        <f>MROUND((J11*'T16'!$D$5)*0.84,5)</f>
        <v>5</v>
      </c>
      <c r="K137">
        <f>MROUND((K11*'T16'!$E$5)*0.84,5)</f>
        <v>2635</v>
      </c>
      <c r="L137">
        <f>MROUND((L11*'T16'!$D$7)*0.84,5)</f>
        <v>395</v>
      </c>
      <c r="M137">
        <f>MROUND((M11*'T16'!$D$9)*0.84,5)</f>
        <v>10</v>
      </c>
      <c r="N137">
        <f>MROUND((N11*'T16'!$E$3)*0.84,5)</f>
        <v>200</v>
      </c>
      <c r="O137">
        <f>MROUND((O11*'T16'!$D$10)*0.84,5)</f>
        <v>65</v>
      </c>
      <c r="P137">
        <f>MROUND((P11*'T16'!$D$11)*0.84,5)</f>
        <v>65</v>
      </c>
      <c r="Q137">
        <f>MROUND((Q11*'T16'!$D$6)*0.84,5)</f>
        <v>5</v>
      </c>
      <c r="R137">
        <f>MROUND((R11*'T16'!$E$6)*0.84,5)</f>
        <v>6870</v>
      </c>
      <c r="S137">
        <f>MROUND((S11*'T16'!$D$7)*0.84,5)</f>
        <v>1550</v>
      </c>
      <c r="T137">
        <f>MROUND((T11*'T16'!$D$5)*0.84,5)</f>
        <v>35</v>
      </c>
      <c r="U137">
        <f>MROUND((U11*'T16'!$E$4)*0.84,5)</f>
        <v>555</v>
      </c>
      <c r="V137">
        <f>MROUND((V11*'T16'!$D$10)*0.84,5)</f>
        <v>260</v>
      </c>
      <c r="W137">
        <f>MROUND((W11*'T16'!$D$11)*0.84,5)</f>
        <v>260</v>
      </c>
      <c r="X137">
        <f t="shared" si="161"/>
        <v>12910</v>
      </c>
      <c r="Z137">
        <f>MROUND((Z11*'T16'!$D$5),5)</f>
        <v>10</v>
      </c>
      <c r="AA137">
        <f>MROUND(AA11*'T16'!$D$3,5)</f>
        <v>2910</v>
      </c>
      <c r="AB137">
        <f>MROUND(AB11*'T16'!$D$7,5)</f>
        <v>2415</v>
      </c>
      <c r="AC137">
        <f>MROUND((AC11*'T16'!$D$5),5)</f>
        <v>50</v>
      </c>
      <c r="AD137">
        <f>MROUND(AD11*'T16'!$D$3,5)</f>
        <v>15</v>
      </c>
      <c r="AE137">
        <f>MROUND(AE11*'T16'!$D$10,5)</f>
        <v>220</v>
      </c>
      <c r="AF137">
        <f>MROUND(AF11*'T16'!$D$11,5)</f>
        <v>115</v>
      </c>
      <c r="AG137">
        <f>MROUND(AG11*'T16'!$D$6,5)</f>
        <v>5</v>
      </c>
      <c r="AH137">
        <f>MROUND(AH11*'T16'!$D$6,5)</f>
        <v>4740</v>
      </c>
      <c r="AI137">
        <f>MROUND(AI11*'T16'!$D$7,5)</f>
        <v>5</v>
      </c>
      <c r="AJ137">
        <f>MROUND((AJ11*'T16'!$D$5),5)</f>
        <v>5</v>
      </c>
      <c r="AK137">
        <f>MROUND(AK11*'T16'!$D$4,5)</f>
        <v>530</v>
      </c>
      <c r="AL137">
        <f>MROUND(AL11*'T16'!$D$10,5)</f>
        <v>185</v>
      </c>
      <c r="AM137">
        <f>MROUND(AM11*'T16'!$D$12,5)</f>
        <v>190</v>
      </c>
      <c r="AN137">
        <f t="shared" si="160"/>
        <v>11395</v>
      </c>
    </row>
    <row r="138" spans="1:40">
      <c r="A138">
        <v>2023</v>
      </c>
      <c r="J138">
        <f>MROUND((J12*'T16'!$D$5)*0.844,5)</f>
        <v>0</v>
      </c>
      <c r="K138">
        <f>MROUND((K12*'T16'!$E$5)*0.844,5)</f>
        <v>2635</v>
      </c>
      <c r="L138">
        <f>MROUND((L12*'T16'!$D$7)*0.844,5)</f>
        <v>320</v>
      </c>
      <c r="M138">
        <f>MROUND((M12*'T16'!$D$9)*0.844,5)</f>
        <v>10</v>
      </c>
      <c r="N138">
        <f>MROUND((N12*'T16'!$E$3)*0.844,5)</f>
        <v>205</v>
      </c>
      <c r="O138">
        <f>MROUND((O12*'T16'!$D$10)*0.844,5)</f>
        <v>65</v>
      </c>
      <c r="P138">
        <f>MROUND((P12*'T16'!$D$11)*0.844,5)</f>
        <v>65</v>
      </c>
      <c r="Q138">
        <f>MROUND((Q12*'T16'!$D$6)*0.844,5)</f>
        <v>5</v>
      </c>
      <c r="R138">
        <f>MROUND((R12*'T16'!$E$6)*0.844,5)</f>
        <v>6870</v>
      </c>
      <c r="S138">
        <f>MROUND((S12*'T16'!$D$7)*0.844,5)</f>
        <v>1250</v>
      </c>
      <c r="T138">
        <f>MROUND((T12*'T16'!$D$5)*0.844,5)</f>
        <v>35</v>
      </c>
      <c r="U138">
        <f>MROUND((U12*'T16'!$E$4)*0.844,5)</f>
        <v>570</v>
      </c>
      <c r="V138">
        <f>MROUND((V12*'T16'!$D$10)*0.844,5)</f>
        <v>260</v>
      </c>
      <c r="W138">
        <f>MROUND((W12*'T16'!$D$11)*0.844,5)</f>
        <v>245</v>
      </c>
      <c r="X138">
        <f t="shared" si="161"/>
        <v>12535</v>
      </c>
      <c r="Z138">
        <f>MROUND((Z12*'T16'!$D$5),5)</f>
        <v>5</v>
      </c>
      <c r="AA138">
        <f>MROUND(AA12*'T16'!$D$3,5)</f>
        <v>2895</v>
      </c>
      <c r="AB138">
        <f>MROUND(AB12*'T16'!$D$7,5)</f>
        <v>1940</v>
      </c>
      <c r="AC138">
        <f>MROUND((AC12*'T16'!$D$5),5)</f>
        <v>50</v>
      </c>
      <c r="AD138">
        <f>MROUND(AD12*'T16'!$D$3,5)</f>
        <v>15</v>
      </c>
      <c r="AE138">
        <f>MROUND(AE12*'T16'!$D$10,5)</f>
        <v>220</v>
      </c>
      <c r="AF138">
        <f>MROUND(AF12*'T16'!$D$11,5)</f>
        <v>110</v>
      </c>
      <c r="AG138">
        <f>MROUND(AG12*'T16'!$D$6,5)</f>
        <v>0</v>
      </c>
      <c r="AH138">
        <f>MROUND(AH12*'T16'!$D$6,5)</f>
        <v>4715</v>
      </c>
      <c r="AI138">
        <f>MROUND(AI12*'T16'!$D$7,5)</f>
        <v>5</v>
      </c>
      <c r="AJ138">
        <f>MROUND((AJ12*'T16'!$D$5),5)</f>
        <v>5</v>
      </c>
      <c r="AK138">
        <f>MROUND(AK12*'T16'!$D$4,5)</f>
        <v>540</v>
      </c>
      <c r="AL138">
        <f>MROUND(AL12*'T16'!$D$10,5)</f>
        <v>185</v>
      </c>
      <c r="AM138">
        <f>MROUND(AM12*'T16'!$D$12,5)</f>
        <v>180</v>
      </c>
      <c r="AN138">
        <f t="shared" si="160"/>
        <v>10865</v>
      </c>
    </row>
    <row r="139" spans="1:40">
      <c r="A139">
        <v>2024</v>
      </c>
      <c r="J139">
        <f>MROUND((J13*'T16'!$D$5)*0.844,5)</f>
        <v>0</v>
      </c>
      <c r="K139">
        <f>MROUND((K13*'T16'!$E$5)*0.844,5)</f>
        <v>2625</v>
      </c>
      <c r="L139">
        <f>MROUND((L13*'T16'!$D$7)*0.844,5)</f>
        <v>290</v>
      </c>
      <c r="M139">
        <f>MROUND((M13*'T16'!$D$9)*0.844,5)</f>
        <v>10</v>
      </c>
      <c r="N139">
        <f>MROUND((N13*'T16'!$E$3)*0.844,5)</f>
        <v>205</v>
      </c>
      <c r="O139">
        <f>MROUND((O13*'T16'!$D$10)*0.844,5)</f>
        <v>65</v>
      </c>
      <c r="P139">
        <f>MROUND((P13*'T16'!$D$11)*0.844,5)</f>
        <v>65</v>
      </c>
      <c r="Q139">
        <f>MROUND((Q13*'T16'!$D$6)*0.844,5)</f>
        <v>5</v>
      </c>
      <c r="R139">
        <f>MROUND((R13*'T16'!$E$6)*0.844,5)</f>
        <v>6840</v>
      </c>
      <c r="S139">
        <f>MROUND((S13*'T16'!$D$7)*0.844,5)</f>
        <v>1135</v>
      </c>
      <c r="T139">
        <f>MROUND((T13*'T16'!$D$5)*0.844,5)</f>
        <v>35</v>
      </c>
      <c r="U139">
        <f>MROUND((U13*'T16'!$E$4)*0.844,5)</f>
        <v>560</v>
      </c>
      <c r="V139">
        <f>MROUND((V13*'T16'!$D$10)*0.844,5)</f>
        <v>260</v>
      </c>
      <c r="W139">
        <f>MROUND((W13*'T16'!$D$11)*0.844,5)</f>
        <v>255</v>
      </c>
      <c r="X139">
        <f t="shared" si="161"/>
        <v>12350</v>
      </c>
      <c r="Z139">
        <f>MROUND((Z13*'T16'!$D$5),5)</f>
        <v>5</v>
      </c>
      <c r="AA139">
        <f>MROUND(AA13*'T16'!$D$3,5)</f>
        <v>2880</v>
      </c>
      <c r="AB139">
        <f>MROUND(AB13*'T16'!$D$7,5)</f>
        <v>1755</v>
      </c>
      <c r="AC139">
        <f>MROUND((AC13*'T16'!$D$5),5)</f>
        <v>50</v>
      </c>
      <c r="AD139">
        <f>MROUND(AD13*'T16'!$D$3,5)</f>
        <v>15</v>
      </c>
      <c r="AE139">
        <f>MROUND(AE13*'T16'!$D$10,5)</f>
        <v>220</v>
      </c>
      <c r="AF139">
        <f>MROUND(AF13*'T16'!$D$11,5)</f>
        <v>115</v>
      </c>
      <c r="AG139">
        <f>MROUND(AG13*'T16'!$D$6,5)</f>
        <v>0</v>
      </c>
      <c r="AH139">
        <f>MROUND(AH13*'T16'!$D$6,5)</f>
        <v>4700</v>
      </c>
      <c r="AI139">
        <f>MROUND(AI13*'T16'!$D$7,5)</f>
        <v>5</v>
      </c>
      <c r="AJ139">
        <f>MROUND((AJ13*'T16'!$D$5),5)</f>
        <v>5</v>
      </c>
      <c r="AK139">
        <f>MROUND(AK13*'T16'!$D$4,5)</f>
        <v>535</v>
      </c>
      <c r="AL139">
        <f>MROUND(AL13*'T16'!$D$10,5)</f>
        <v>185</v>
      </c>
      <c r="AM139">
        <f>MROUND(AM13*'T16'!$D$12,5)</f>
        <v>185</v>
      </c>
      <c r="AN139">
        <f t="shared" si="160"/>
        <v>10655</v>
      </c>
    </row>
    <row r="140" spans="1:40">
      <c r="A140">
        <v>2025</v>
      </c>
      <c r="J140">
        <f>IF(AND(MROUND((J14*'T16'!$D$5)*0.844,5)&lt;1,J14&gt;0),1,MROUND((J14*'T16'!$D$5)*0.844,5))</f>
        <v>1</v>
      </c>
      <c r="K140">
        <f>MROUND((K14*'T16'!$E$5)*0.844,5)</f>
        <v>2540</v>
      </c>
      <c r="L140">
        <f>MROUND((L14*'T16'!$D$7)*0.844,5)</f>
        <v>285</v>
      </c>
      <c r="M140">
        <f>MROUND((M14*'T16'!$D$9)*0.844,5)</f>
        <v>10</v>
      </c>
      <c r="N140">
        <f>MROUND((N14*'T16'!$E$3)*0.844,5)</f>
        <v>220</v>
      </c>
      <c r="O140">
        <f>MROUND((O14*'T16'!$D$10)*0.844,5)</f>
        <v>65</v>
      </c>
      <c r="P140">
        <f>MROUND((P14*'T16'!$D$11)*0.844,5)</f>
        <v>60</v>
      </c>
      <c r="Q140">
        <f>MROUND((Q14*'T16'!$D$6)*0.844,5)</f>
        <v>5</v>
      </c>
      <c r="R140">
        <f>MROUND((R14*'T16'!$E$6)*0.844,5)</f>
        <v>6620</v>
      </c>
      <c r="S140">
        <f>MROUND((S14*'T16'!$D$7)*0.844,5)</f>
        <v>1110</v>
      </c>
      <c r="T140">
        <f>MROUND((T14*'T16'!$D$5)*0.844,5)</f>
        <v>35</v>
      </c>
      <c r="U140">
        <f>MROUND((U14*'T16'!$E$4)*0.844,5)</f>
        <v>605</v>
      </c>
      <c r="V140">
        <f>MROUND((V14*'T16'!$D$10)*0.844,5)</f>
        <v>260</v>
      </c>
      <c r="W140">
        <f>MROUND((W14*'T16'!$D$11)*0.844,5)</f>
        <v>245</v>
      </c>
      <c r="X140">
        <f t="shared" si="161"/>
        <v>12060</v>
      </c>
      <c r="Z140">
        <f>MROUND((Z14*'T16'!$D$5),5)</f>
        <v>5</v>
      </c>
      <c r="AA140">
        <f>MROUND(AA14*'T16'!$D$3,5)</f>
        <v>2790</v>
      </c>
      <c r="AB140">
        <f>MROUND(AB14*'T16'!$D$7,5)</f>
        <v>1725</v>
      </c>
      <c r="AC140">
        <f>MROUND((AC14*'T16'!$D$5),5)</f>
        <v>55</v>
      </c>
      <c r="AD140">
        <f>MROUND(AD14*'T16'!$D$3,5)</f>
        <v>15</v>
      </c>
      <c r="AE140">
        <f>MROUND(AE14*'T16'!$D$10,5)</f>
        <v>220</v>
      </c>
      <c r="AF140">
        <f>MROUND(AF14*'T16'!$D$11,5)</f>
        <v>110</v>
      </c>
      <c r="AG140">
        <f>MROUND(AG14*'T16'!$D$6,5)</f>
        <v>0</v>
      </c>
      <c r="AH140">
        <f>MROUND(AH14*'T16'!$D$6,5)</f>
        <v>4545</v>
      </c>
      <c r="AI140">
        <f>MROUND(AI14*'T16'!$D$7,5)</f>
        <v>5</v>
      </c>
      <c r="AJ140">
        <f>MROUND((AJ14*'T16'!$D$5),5)</f>
        <v>5</v>
      </c>
      <c r="AK140">
        <f>MROUND(AK14*'T16'!$D$4,5)</f>
        <v>580</v>
      </c>
      <c r="AL140">
        <f>MROUND(AL14*'T16'!$D$10,5)</f>
        <v>185</v>
      </c>
      <c r="AM140">
        <f>MROUND(AM14*'T16'!$D$12,5)</f>
        <v>180</v>
      </c>
      <c r="AN140">
        <f t="shared" si="160"/>
        <v>10420</v>
      </c>
    </row>
  </sheetData>
  <mergeCells count="16">
    <mergeCell ref="J2:P2"/>
    <mergeCell ref="Q2:W2"/>
    <mergeCell ref="Z2:AF2"/>
    <mergeCell ref="AG2:AM2"/>
    <mergeCell ref="B2:H2"/>
    <mergeCell ref="B52:H52"/>
    <mergeCell ref="B64:H64"/>
    <mergeCell ref="B76:H76"/>
    <mergeCell ref="J89:W89"/>
    <mergeCell ref="Z89:AM89"/>
    <mergeCell ref="J102:W102"/>
    <mergeCell ref="Z102:AM102"/>
    <mergeCell ref="J115:W115"/>
    <mergeCell ref="Z115:AM115"/>
    <mergeCell ref="J129:W129"/>
    <mergeCell ref="Z129:AM129"/>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5DA2B-81E8-4468-B09D-28170593D550}">
  <dimension ref="A1:F10"/>
  <sheetViews>
    <sheetView workbookViewId="0">
      <selection activeCell="A5" sqref="A5"/>
    </sheetView>
  </sheetViews>
  <sheetFormatPr defaultColWidth="8.85546875" defaultRowHeight="14.65"/>
  <cols>
    <col min="1" max="1" width="28" bestFit="1" customWidth="1"/>
    <col min="2" max="4" width="14.28515625" style="58" customWidth="1"/>
    <col min="5" max="6" width="14.28515625" customWidth="1"/>
  </cols>
  <sheetData>
    <row r="1" spans="1:6">
      <c r="A1" s="1" t="s">
        <v>442</v>
      </c>
    </row>
    <row r="3" spans="1:6" ht="29.1">
      <c r="A3" s="59" t="s">
        <v>283</v>
      </c>
      <c r="B3" s="15" t="s">
        <v>443</v>
      </c>
      <c r="C3" s="15" t="s">
        <v>444</v>
      </c>
      <c r="D3" s="15" t="s">
        <v>445</v>
      </c>
      <c r="E3" s="15" t="s">
        <v>446</v>
      </c>
      <c r="F3" s="15" t="s">
        <v>447</v>
      </c>
    </row>
    <row r="4" spans="1:6">
      <c r="A4" s="55" t="s">
        <v>448</v>
      </c>
      <c r="B4" s="63">
        <f>SUMIF('Source-AKL-service-directory'!A4:A1415,'T21'!A4,'Source-AKL-service-directory'!D4:D1415)</f>
        <v>20</v>
      </c>
      <c r="C4" s="63">
        <f>SUMIF('Source-AKL-service-directory'!A4:A1415,'T21'!A4,'Source-AKL-service-directory'!C4:C1415)-SUMIF('Source-AKL-service-directory'!A4:A1415,'T21'!A4,'Source-AKL-service-directory'!D4:D1415)</f>
        <v>21</v>
      </c>
      <c r="D4" s="63">
        <f>SUMIF('Source-AKL-service-directory'!A4:A1415,'T21'!A4,'Source-AKL-service-directory'!C4:C1415)</f>
        <v>41</v>
      </c>
      <c r="E4" s="64">
        <f>B4/D4</f>
        <v>0.48780487804878048</v>
      </c>
      <c r="F4" s="64">
        <f>C4/$D$4</f>
        <v>0.51219512195121952</v>
      </c>
    </row>
    <row r="5" spans="1:6">
      <c r="A5" s="55" t="s">
        <v>449</v>
      </c>
      <c r="B5" s="63">
        <f>SUMIF('Source-AKL-service-directory'!A5:A1416,'T21'!A5,'Source-AKL-service-directory'!D5:D1416)</f>
        <v>13940</v>
      </c>
      <c r="C5" s="63">
        <f>SUMIF('Source-AKL-service-directory'!A5:A1416,'T21'!A5,'Source-AKL-service-directory'!C5:C1416)-SUMIF('Source-AKL-service-directory'!A5:A1416,'T21'!A5,'Source-AKL-service-directory'!D5:D1416)</f>
        <v>45452</v>
      </c>
      <c r="D5" s="63">
        <f>SUMIF('Source-AKL-service-directory'!A5:A1416,'T21'!A5,'Source-AKL-service-directory'!C5:C1416)</f>
        <v>59392</v>
      </c>
      <c r="E5" s="64">
        <f t="shared" ref="E5:E10" si="0">B5/D5</f>
        <v>0.23471174568965517</v>
      </c>
      <c r="F5" s="64">
        <f t="shared" ref="F5:F10" si="1">C5/D5</f>
        <v>0.76528825431034486</v>
      </c>
    </row>
    <row r="6" spans="1:6">
      <c r="A6" s="55" t="s">
        <v>450</v>
      </c>
      <c r="B6" s="63">
        <f>SUMIF('Source-AKL-service-directory'!A6:A1417,'T21'!A6,'Source-AKL-service-directory'!D6:D1417)</f>
        <v>6890</v>
      </c>
      <c r="C6" s="63">
        <f>SUMIF('Source-AKL-service-directory'!A6:A1417,'T21'!A6,'Source-AKL-service-directory'!C6:C1417)-SUMIF('Source-AKL-service-directory'!A6:A1417,'T21'!A6,'Source-AKL-service-directory'!D6:D1417)</f>
        <v>20</v>
      </c>
      <c r="D6" s="63">
        <f>SUMIF('Source-AKL-service-directory'!A6:A1417,'T21'!A6,'Source-AKL-service-directory'!C6:C1417)</f>
        <v>6910</v>
      </c>
      <c r="E6" s="64">
        <f t="shared" si="0"/>
        <v>0.99710564399421131</v>
      </c>
      <c r="F6" s="64">
        <f t="shared" si="1"/>
        <v>2.8943560057887118E-3</v>
      </c>
    </row>
    <row r="7" spans="1:6">
      <c r="A7" s="55" t="s">
        <v>451</v>
      </c>
      <c r="B7" s="63">
        <f>SUMIF('Source-AKL-service-directory'!A7:A1418,'T21'!A7,'Source-AKL-service-directory'!D7:D1418)</f>
        <v>265</v>
      </c>
      <c r="C7" s="63">
        <f>SUMIF('Source-AKL-service-directory'!A7:A1418,'T21'!A7,'Source-AKL-service-directory'!C7:C1418)-SUMIF('Source-AKL-service-directory'!A7:A1418,'T21'!A7,'Source-AKL-service-directory'!D7:D1418)</f>
        <v>23</v>
      </c>
      <c r="D7" s="63">
        <f>SUMIF('Source-AKL-service-directory'!A7:A1418,'T21'!A7,'Source-AKL-service-directory'!C7:C1418)</f>
        <v>288</v>
      </c>
      <c r="E7" s="64">
        <f t="shared" si="0"/>
        <v>0.92013888888888884</v>
      </c>
      <c r="F7" s="64">
        <f t="shared" si="1"/>
        <v>7.9861111111111105E-2</v>
      </c>
    </row>
    <row r="8" spans="1:6">
      <c r="A8" s="55" t="s">
        <v>452</v>
      </c>
      <c r="B8" s="63">
        <f>SUMIF('Source-AKL-service-directory'!A8:A1419,'T21'!A8,'Source-AKL-service-directory'!D8:D1419)</f>
        <v>75</v>
      </c>
      <c r="C8" s="63">
        <f>SUMIF('Source-AKL-service-directory'!A8:A1419,'T21'!A8,'Source-AKL-service-directory'!C8:C1419)-SUMIF('Source-AKL-service-directory'!A8:A1419,'T21'!A8,'Source-AKL-service-directory'!D8:D1419)</f>
        <v>5639</v>
      </c>
      <c r="D8" s="63">
        <f>SUMIF('Source-AKL-service-directory'!A8:A1419,'T21'!A8,'Source-AKL-service-directory'!C8:C1419)</f>
        <v>5714</v>
      </c>
      <c r="E8" s="64">
        <f t="shared" si="0"/>
        <v>1.3125656282814141E-2</v>
      </c>
      <c r="F8" s="64">
        <f t="shared" si="1"/>
        <v>0.98687434371718585</v>
      </c>
    </row>
    <row r="9" spans="1:6">
      <c r="A9" s="55" t="s">
        <v>301</v>
      </c>
      <c r="B9" s="63">
        <f>SUMIF('Source-AKL-service-directory'!A9:A1420,'T21'!A9,'Source-AKL-service-directory'!D9:D1420)</f>
        <v>1105</v>
      </c>
      <c r="C9" s="63">
        <f>SUMIF('Source-AKL-service-directory'!A9:A1420,'T21'!A9,'Source-AKL-service-directory'!C9:C1420)-SUMIF('Source-AKL-service-directory'!A9:A1420,'T21'!A9,'Source-AKL-service-directory'!D9:D1420)</f>
        <v>931</v>
      </c>
      <c r="D9" s="63">
        <f>SUMIF('Source-AKL-service-directory'!A9:A1420,'T21'!A9,'Source-AKL-service-directory'!C9:C1420)</f>
        <v>2036</v>
      </c>
      <c r="E9" s="64">
        <f t="shared" si="0"/>
        <v>0.54273084479371314</v>
      </c>
      <c r="F9" s="64">
        <f t="shared" si="1"/>
        <v>0.45726915520628686</v>
      </c>
    </row>
    <row r="10" spans="1:6">
      <c r="A10" s="55" t="s">
        <v>347</v>
      </c>
      <c r="B10" s="63">
        <f>SUMIF('Source-AKL-service-directory'!A10:A1421,'T21'!A10,'Source-AKL-service-directory'!D10:D1421)</f>
        <v>433</v>
      </c>
      <c r="C10" s="63">
        <f>SUMIF('Source-AKL-service-directory'!A10:A1421,'T21'!A10,'Source-AKL-service-directory'!C10:C1421)-SUMIF('Source-AKL-service-directory'!A10:A1421,'T21'!A10,'Source-AKL-service-directory'!D10:D1421)</f>
        <v>1078</v>
      </c>
      <c r="D10" s="63">
        <f>SUMIF('Source-AKL-service-directory'!A10:A1421,'T21'!A10,'Source-AKL-service-directory'!C10:C1421)</f>
        <v>1511</v>
      </c>
      <c r="E10" s="64">
        <f t="shared" si="0"/>
        <v>0.28656518861681007</v>
      </c>
      <c r="F10" s="64">
        <f t="shared" si="1"/>
        <v>0.71343481138318998</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53717-EF54-41A2-BEC2-7B110CCB5510}">
  <sheetPr filterMode="1"/>
  <dimension ref="A1:P1418"/>
  <sheetViews>
    <sheetView topLeftCell="A1358" workbookViewId="0">
      <selection activeCell="E129" sqref="E129:F1376"/>
    </sheetView>
  </sheetViews>
  <sheetFormatPr defaultColWidth="8.85546875" defaultRowHeight="14.65"/>
  <cols>
    <col min="1" max="1" width="35.85546875" customWidth="1"/>
    <col min="2" max="2" width="17.140625" bestFit="1" customWidth="1"/>
    <col min="3" max="3" width="23.140625" bestFit="1" customWidth="1"/>
    <col min="4" max="4" width="15.28515625" bestFit="1" customWidth="1"/>
    <col min="5" max="10" width="7.42578125" bestFit="1" customWidth="1"/>
    <col min="11" max="11" width="7.28515625" bestFit="1" customWidth="1"/>
    <col min="12" max="12" width="18.42578125" bestFit="1" customWidth="1"/>
    <col min="13" max="13" width="7.85546875" bestFit="1" customWidth="1"/>
    <col min="14" max="14" width="9" bestFit="1" customWidth="1"/>
    <col min="15" max="16" width="7.85546875" bestFit="1" customWidth="1"/>
  </cols>
  <sheetData>
    <row r="1" spans="1:16">
      <c r="A1" s="1" t="s">
        <v>453</v>
      </c>
    </row>
    <row r="3" spans="1:16">
      <c r="A3" s="148" t="s">
        <v>283</v>
      </c>
      <c r="B3" s="151" t="s">
        <v>454</v>
      </c>
      <c r="C3" s="151" t="s">
        <v>455</v>
      </c>
      <c r="D3" s="151" t="s">
        <v>456</v>
      </c>
      <c r="E3" s="151" t="s">
        <v>457</v>
      </c>
      <c r="F3" s="151" t="s">
        <v>458</v>
      </c>
      <c r="G3" s="151" t="s">
        <v>459</v>
      </c>
      <c r="H3" s="151" t="s">
        <v>460</v>
      </c>
      <c r="I3" s="151" t="s">
        <v>461</v>
      </c>
      <c r="J3" s="151" t="s">
        <v>462</v>
      </c>
      <c r="K3" s="151" t="s">
        <v>236</v>
      </c>
      <c r="L3" s="151" t="s">
        <v>463</v>
      </c>
      <c r="M3" s="151" t="s">
        <v>464</v>
      </c>
      <c r="N3" s="151" t="s">
        <v>465</v>
      </c>
      <c r="O3" s="151" t="s">
        <v>466</v>
      </c>
      <c r="P3" s="149" t="s">
        <v>383</v>
      </c>
    </row>
    <row r="4" spans="1:16" hidden="1">
      <c r="A4" s="169" t="s">
        <v>452</v>
      </c>
      <c r="B4" s="171" t="s">
        <v>467</v>
      </c>
      <c r="C4" s="171">
        <v>30</v>
      </c>
      <c r="D4" s="171">
        <v>0</v>
      </c>
      <c r="E4" s="171">
        <v>0</v>
      </c>
      <c r="F4" s="171">
        <v>0</v>
      </c>
      <c r="G4" s="171">
        <v>3</v>
      </c>
      <c r="H4" s="171">
        <v>13</v>
      </c>
      <c r="I4" s="171">
        <v>20</v>
      </c>
      <c r="J4" s="171">
        <v>0</v>
      </c>
      <c r="K4" s="171">
        <v>36</v>
      </c>
      <c r="L4" s="171">
        <v>36</v>
      </c>
      <c r="M4" s="171">
        <v>12</v>
      </c>
      <c r="N4" s="171">
        <v>1</v>
      </c>
      <c r="O4" s="171">
        <v>2</v>
      </c>
      <c r="P4" s="173">
        <v>0</v>
      </c>
    </row>
    <row r="5" spans="1:16" hidden="1">
      <c r="A5" s="170" t="s">
        <v>452</v>
      </c>
      <c r="B5" s="172" t="s">
        <v>467</v>
      </c>
      <c r="C5" s="172">
        <v>40</v>
      </c>
      <c r="D5" s="172">
        <v>0</v>
      </c>
      <c r="E5" s="172">
        <v>0</v>
      </c>
      <c r="F5" s="172">
        <v>0</v>
      </c>
      <c r="G5" s="172">
        <v>3</v>
      </c>
      <c r="H5" s="172">
        <v>19</v>
      </c>
      <c r="I5" s="172">
        <v>19</v>
      </c>
      <c r="J5" s="172">
        <v>3</v>
      </c>
      <c r="K5" s="172">
        <v>44</v>
      </c>
      <c r="L5" s="172">
        <v>30</v>
      </c>
      <c r="M5" s="172">
        <v>2</v>
      </c>
      <c r="N5" s="172">
        <v>2</v>
      </c>
      <c r="O5" s="172">
        <v>15</v>
      </c>
      <c r="P5" s="174">
        <v>4</v>
      </c>
    </row>
    <row r="6" spans="1:16" hidden="1">
      <c r="A6" s="171" t="s">
        <v>452</v>
      </c>
      <c r="B6" s="171" t="s">
        <v>467</v>
      </c>
      <c r="C6" s="171">
        <v>40</v>
      </c>
      <c r="D6" s="171">
        <v>0</v>
      </c>
      <c r="E6" s="171">
        <v>0</v>
      </c>
      <c r="F6" s="171">
        <v>0</v>
      </c>
      <c r="G6" s="171">
        <v>8</v>
      </c>
      <c r="H6" s="171">
        <v>10</v>
      </c>
      <c r="I6" s="171">
        <v>33</v>
      </c>
      <c r="J6" s="171">
        <v>0</v>
      </c>
      <c r="K6" s="171">
        <v>51</v>
      </c>
      <c r="L6" s="171">
        <v>43</v>
      </c>
      <c r="M6" s="171">
        <v>6</v>
      </c>
      <c r="N6" s="171">
        <v>4</v>
      </c>
      <c r="O6" s="171">
        <v>11</v>
      </c>
      <c r="P6" s="173">
        <v>2</v>
      </c>
    </row>
    <row r="7" spans="1:16" hidden="1">
      <c r="A7" s="172" t="s">
        <v>452</v>
      </c>
      <c r="B7" s="172" t="s">
        <v>467</v>
      </c>
      <c r="C7" s="172">
        <v>40</v>
      </c>
      <c r="D7" s="172">
        <v>0</v>
      </c>
      <c r="E7" s="172">
        <v>0</v>
      </c>
      <c r="F7" s="172">
        <v>0</v>
      </c>
      <c r="G7" s="172">
        <v>6</v>
      </c>
      <c r="H7" s="172">
        <v>17</v>
      </c>
      <c r="I7" s="172">
        <v>22</v>
      </c>
      <c r="J7" s="172">
        <v>3</v>
      </c>
      <c r="K7" s="172">
        <v>48</v>
      </c>
      <c r="L7" s="172">
        <v>41</v>
      </c>
      <c r="M7" s="172">
        <v>3</v>
      </c>
      <c r="N7" s="172">
        <v>6</v>
      </c>
      <c r="O7" s="172">
        <v>5</v>
      </c>
      <c r="P7" s="174">
        <v>0</v>
      </c>
    </row>
    <row r="8" spans="1:16" hidden="1">
      <c r="A8" s="171" t="s">
        <v>452</v>
      </c>
      <c r="B8" s="171" t="s">
        <v>467</v>
      </c>
      <c r="C8" s="171">
        <v>40</v>
      </c>
      <c r="D8" s="171">
        <v>0</v>
      </c>
      <c r="E8" s="171">
        <v>0</v>
      </c>
      <c r="F8" s="171">
        <v>0</v>
      </c>
      <c r="G8" s="171">
        <v>0</v>
      </c>
      <c r="H8" s="171">
        <v>26</v>
      </c>
      <c r="I8" s="171">
        <v>34</v>
      </c>
      <c r="J8" s="171">
        <v>3</v>
      </c>
      <c r="K8" s="171">
        <v>63</v>
      </c>
      <c r="L8" s="171">
        <v>52</v>
      </c>
      <c r="M8" s="171">
        <v>4</v>
      </c>
      <c r="N8" s="171">
        <v>2</v>
      </c>
      <c r="O8" s="171">
        <v>12</v>
      </c>
      <c r="P8" s="173">
        <v>5</v>
      </c>
    </row>
    <row r="9" spans="1:16" hidden="1">
      <c r="A9" s="172" t="s">
        <v>452</v>
      </c>
      <c r="B9" s="172" t="s">
        <v>467</v>
      </c>
      <c r="C9" s="172">
        <v>40</v>
      </c>
      <c r="D9" s="172">
        <v>0</v>
      </c>
      <c r="E9" s="172">
        <v>0</v>
      </c>
      <c r="F9" s="172">
        <v>0</v>
      </c>
      <c r="G9" s="172">
        <v>1</v>
      </c>
      <c r="H9" s="172">
        <v>26</v>
      </c>
      <c r="I9" s="172">
        <v>26</v>
      </c>
      <c r="J9" s="172">
        <v>1</v>
      </c>
      <c r="K9" s="172">
        <v>54</v>
      </c>
      <c r="L9" s="172">
        <v>26</v>
      </c>
      <c r="M9" s="172">
        <v>2</v>
      </c>
      <c r="N9" s="172">
        <v>0</v>
      </c>
      <c r="O9" s="172">
        <v>30</v>
      </c>
      <c r="P9" s="174">
        <v>5</v>
      </c>
    </row>
    <row r="10" spans="1:16" hidden="1">
      <c r="A10" s="171" t="s">
        <v>452</v>
      </c>
      <c r="B10" s="171" t="s">
        <v>467</v>
      </c>
      <c r="C10" s="171">
        <v>40</v>
      </c>
      <c r="D10" s="171">
        <v>0</v>
      </c>
      <c r="E10" s="171">
        <v>0</v>
      </c>
      <c r="F10" s="171">
        <v>0</v>
      </c>
      <c r="G10" s="171">
        <v>3</v>
      </c>
      <c r="H10" s="171">
        <v>19</v>
      </c>
      <c r="I10" s="171">
        <v>35</v>
      </c>
      <c r="J10" s="171">
        <v>1</v>
      </c>
      <c r="K10" s="171">
        <v>58</v>
      </c>
      <c r="L10" s="171">
        <v>50</v>
      </c>
      <c r="M10" s="171">
        <v>5</v>
      </c>
      <c r="N10" s="171">
        <v>1</v>
      </c>
      <c r="O10" s="171">
        <v>11</v>
      </c>
      <c r="P10" s="173">
        <v>0</v>
      </c>
    </row>
    <row r="11" spans="1:16" hidden="1">
      <c r="A11" s="172" t="s">
        <v>452</v>
      </c>
      <c r="B11" s="172" t="s">
        <v>467</v>
      </c>
      <c r="C11" s="172">
        <v>40</v>
      </c>
      <c r="D11" s="172">
        <v>0</v>
      </c>
      <c r="E11" s="172">
        <v>0</v>
      </c>
      <c r="F11" s="172">
        <v>0</v>
      </c>
      <c r="G11" s="172">
        <v>6</v>
      </c>
      <c r="H11" s="172">
        <v>21</v>
      </c>
      <c r="I11" s="172">
        <v>20</v>
      </c>
      <c r="J11" s="172">
        <v>6</v>
      </c>
      <c r="K11" s="172">
        <v>53</v>
      </c>
      <c r="L11" s="172">
        <v>50</v>
      </c>
      <c r="M11" s="172">
        <v>10</v>
      </c>
      <c r="N11" s="172">
        <v>7</v>
      </c>
      <c r="O11" s="172">
        <v>4</v>
      </c>
      <c r="P11" s="174">
        <v>1</v>
      </c>
    </row>
    <row r="12" spans="1:16" hidden="1">
      <c r="A12" s="171" t="s">
        <v>452</v>
      </c>
      <c r="B12" s="171" t="s">
        <v>467</v>
      </c>
      <c r="C12" s="171">
        <v>40</v>
      </c>
      <c r="D12" s="171">
        <v>0</v>
      </c>
      <c r="E12" s="171">
        <v>0</v>
      </c>
      <c r="F12" s="171">
        <v>0</v>
      </c>
      <c r="G12" s="171">
        <v>4</v>
      </c>
      <c r="H12" s="171">
        <v>17</v>
      </c>
      <c r="I12" s="171">
        <v>25</v>
      </c>
      <c r="J12" s="171">
        <v>2</v>
      </c>
      <c r="K12" s="171">
        <v>48</v>
      </c>
      <c r="L12" s="171">
        <v>26</v>
      </c>
      <c r="M12" s="171">
        <v>12</v>
      </c>
      <c r="N12" s="171">
        <v>5</v>
      </c>
      <c r="O12" s="171">
        <v>23</v>
      </c>
      <c r="P12" s="173">
        <v>1</v>
      </c>
    </row>
    <row r="13" spans="1:16" hidden="1">
      <c r="A13" s="172" t="s">
        <v>452</v>
      </c>
      <c r="B13" s="172" t="s">
        <v>467</v>
      </c>
      <c r="C13" s="172">
        <v>40</v>
      </c>
      <c r="D13" s="172">
        <v>0</v>
      </c>
      <c r="E13" s="172">
        <v>0</v>
      </c>
      <c r="F13" s="172">
        <v>0</v>
      </c>
      <c r="G13" s="172">
        <v>1</v>
      </c>
      <c r="H13" s="172">
        <v>13</v>
      </c>
      <c r="I13" s="172">
        <v>35</v>
      </c>
      <c r="J13" s="172">
        <v>1</v>
      </c>
      <c r="K13" s="172">
        <v>50</v>
      </c>
      <c r="L13" s="172">
        <v>14</v>
      </c>
      <c r="M13" s="172">
        <v>9</v>
      </c>
      <c r="N13" s="172">
        <v>25</v>
      </c>
      <c r="O13" s="172">
        <v>17</v>
      </c>
      <c r="P13" s="174">
        <v>4</v>
      </c>
    </row>
    <row r="14" spans="1:16" hidden="1">
      <c r="A14" s="171" t="s">
        <v>452</v>
      </c>
      <c r="B14" s="171" t="s">
        <v>467</v>
      </c>
      <c r="C14" s="171">
        <v>30</v>
      </c>
      <c r="D14" s="171">
        <v>0</v>
      </c>
      <c r="E14" s="171">
        <v>0</v>
      </c>
      <c r="F14" s="171">
        <v>0</v>
      </c>
      <c r="G14" s="171">
        <v>1</v>
      </c>
      <c r="H14" s="171">
        <v>6</v>
      </c>
      <c r="I14" s="171">
        <v>10</v>
      </c>
      <c r="J14" s="171">
        <v>1</v>
      </c>
      <c r="K14" s="171">
        <v>18</v>
      </c>
      <c r="L14" s="171">
        <v>2</v>
      </c>
      <c r="M14" s="171">
        <v>8</v>
      </c>
      <c r="N14" s="171">
        <v>16</v>
      </c>
      <c r="O14" s="171">
        <v>0</v>
      </c>
      <c r="P14" s="173">
        <v>0</v>
      </c>
    </row>
    <row r="15" spans="1:16" hidden="1">
      <c r="A15" s="172" t="s">
        <v>452</v>
      </c>
      <c r="B15" s="172" t="s">
        <v>467</v>
      </c>
      <c r="C15" s="172">
        <v>40</v>
      </c>
      <c r="D15" s="172">
        <v>0</v>
      </c>
      <c r="E15" s="172">
        <v>0</v>
      </c>
      <c r="F15" s="172">
        <v>0</v>
      </c>
      <c r="G15" s="172">
        <v>2</v>
      </c>
      <c r="H15" s="172">
        <v>18</v>
      </c>
      <c r="I15" s="172">
        <v>25</v>
      </c>
      <c r="J15" s="172">
        <v>0</v>
      </c>
      <c r="K15" s="172">
        <v>45</v>
      </c>
      <c r="L15" s="172">
        <v>20</v>
      </c>
      <c r="M15" s="172">
        <v>12</v>
      </c>
      <c r="N15" s="172">
        <v>5</v>
      </c>
      <c r="O15" s="172">
        <v>19</v>
      </c>
      <c r="P15" s="174">
        <v>5</v>
      </c>
    </row>
    <row r="16" spans="1:16" hidden="1">
      <c r="A16" s="171" t="s">
        <v>452</v>
      </c>
      <c r="B16" s="171" t="s">
        <v>467</v>
      </c>
      <c r="C16" s="171">
        <v>40</v>
      </c>
      <c r="D16" s="171">
        <v>0</v>
      </c>
      <c r="E16" s="171">
        <v>0</v>
      </c>
      <c r="F16" s="171">
        <v>0</v>
      </c>
      <c r="G16" s="171">
        <v>5</v>
      </c>
      <c r="H16" s="171">
        <v>21</v>
      </c>
      <c r="I16" s="171">
        <v>20</v>
      </c>
      <c r="J16" s="171">
        <v>4</v>
      </c>
      <c r="K16" s="171">
        <v>50</v>
      </c>
      <c r="L16" s="171">
        <v>36</v>
      </c>
      <c r="M16" s="171">
        <v>4</v>
      </c>
      <c r="N16" s="171">
        <v>5</v>
      </c>
      <c r="O16" s="171">
        <v>12</v>
      </c>
      <c r="P16" s="173">
        <v>4</v>
      </c>
    </row>
    <row r="17" spans="1:16" hidden="1">
      <c r="A17" s="172" t="s">
        <v>452</v>
      </c>
      <c r="B17" s="172" t="s">
        <v>467</v>
      </c>
      <c r="C17" s="172">
        <v>40</v>
      </c>
      <c r="D17" s="172">
        <v>0</v>
      </c>
      <c r="E17" s="172">
        <v>0</v>
      </c>
      <c r="F17" s="172">
        <v>0</v>
      </c>
      <c r="G17" s="172">
        <v>3</v>
      </c>
      <c r="H17" s="172">
        <v>16</v>
      </c>
      <c r="I17" s="172">
        <v>26</v>
      </c>
      <c r="J17" s="172">
        <v>3</v>
      </c>
      <c r="K17" s="172">
        <v>48</v>
      </c>
      <c r="L17" s="172">
        <v>31</v>
      </c>
      <c r="M17" s="172">
        <v>13</v>
      </c>
      <c r="N17" s="172">
        <v>13</v>
      </c>
      <c r="O17" s="172">
        <v>6</v>
      </c>
      <c r="P17" s="174">
        <v>3</v>
      </c>
    </row>
    <row r="18" spans="1:16" hidden="1">
      <c r="A18" s="171" t="s">
        <v>452</v>
      </c>
      <c r="B18" s="171" t="s">
        <v>467</v>
      </c>
      <c r="C18" s="171">
        <v>40</v>
      </c>
      <c r="D18" s="171">
        <v>0</v>
      </c>
      <c r="E18" s="171">
        <v>0</v>
      </c>
      <c r="F18" s="171">
        <v>0</v>
      </c>
      <c r="G18" s="171">
        <v>6</v>
      </c>
      <c r="H18" s="171">
        <v>17</v>
      </c>
      <c r="I18" s="171">
        <v>21</v>
      </c>
      <c r="J18" s="171">
        <v>2</v>
      </c>
      <c r="K18" s="171">
        <v>46</v>
      </c>
      <c r="L18" s="171">
        <v>28</v>
      </c>
      <c r="M18" s="171">
        <v>4</v>
      </c>
      <c r="N18" s="171">
        <v>5</v>
      </c>
      <c r="O18" s="171">
        <v>16</v>
      </c>
      <c r="P18" s="173">
        <v>4</v>
      </c>
    </row>
    <row r="19" spans="1:16" hidden="1">
      <c r="A19" s="172" t="s">
        <v>452</v>
      </c>
      <c r="B19" s="172" t="s">
        <v>467</v>
      </c>
      <c r="C19" s="172">
        <v>40</v>
      </c>
      <c r="D19" s="172">
        <v>0</v>
      </c>
      <c r="E19" s="172">
        <v>0</v>
      </c>
      <c r="F19" s="172">
        <v>0</v>
      </c>
      <c r="G19" s="172">
        <v>7</v>
      </c>
      <c r="H19" s="172">
        <v>22</v>
      </c>
      <c r="I19" s="172">
        <v>21</v>
      </c>
      <c r="J19" s="172">
        <v>0</v>
      </c>
      <c r="K19" s="172">
        <v>50</v>
      </c>
      <c r="L19" s="172">
        <v>12</v>
      </c>
      <c r="M19" s="172">
        <v>5</v>
      </c>
      <c r="N19" s="172">
        <v>7</v>
      </c>
      <c r="O19" s="172">
        <v>36</v>
      </c>
      <c r="P19" s="174">
        <v>4</v>
      </c>
    </row>
    <row r="20" spans="1:16" hidden="1">
      <c r="A20" s="171" t="s">
        <v>452</v>
      </c>
      <c r="B20" s="171" t="s">
        <v>467</v>
      </c>
      <c r="C20" s="171">
        <v>40</v>
      </c>
      <c r="D20" s="171">
        <v>0</v>
      </c>
      <c r="E20" s="171">
        <v>0</v>
      </c>
      <c r="F20" s="171">
        <v>0</v>
      </c>
      <c r="G20" s="171">
        <v>6</v>
      </c>
      <c r="H20" s="171">
        <v>19</v>
      </c>
      <c r="I20" s="171">
        <v>23</v>
      </c>
      <c r="J20" s="171">
        <v>3</v>
      </c>
      <c r="K20" s="171">
        <v>51</v>
      </c>
      <c r="L20" s="171">
        <v>28</v>
      </c>
      <c r="M20" s="171">
        <v>3</v>
      </c>
      <c r="N20" s="171">
        <v>8</v>
      </c>
      <c r="O20" s="171">
        <v>21</v>
      </c>
      <c r="P20" s="173">
        <v>3</v>
      </c>
    </row>
    <row r="21" spans="1:16" hidden="1">
      <c r="A21" s="172" t="s">
        <v>452</v>
      </c>
      <c r="B21" s="172" t="s">
        <v>467</v>
      </c>
      <c r="C21" s="172">
        <v>40</v>
      </c>
      <c r="D21" s="172">
        <v>0</v>
      </c>
      <c r="E21" s="172">
        <v>0</v>
      </c>
      <c r="F21" s="172">
        <v>0</v>
      </c>
      <c r="G21" s="172">
        <v>2</v>
      </c>
      <c r="H21" s="172">
        <v>18</v>
      </c>
      <c r="I21" s="172">
        <v>22</v>
      </c>
      <c r="J21" s="172">
        <v>0</v>
      </c>
      <c r="K21" s="172">
        <v>42</v>
      </c>
      <c r="L21" s="172">
        <v>14</v>
      </c>
      <c r="M21" s="172">
        <v>7</v>
      </c>
      <c r="N21" s="172">
        <v>5</v>
      </c>
      <c r="O21" s="172">
        <v>22</v>
      </c>
      <c r="P21" s="174">
        <v>3</v>
      </c>
    </row>
    <row r="22" spans="1:16" hidden="1">
      <c r="A22" s="171" t="s">
        <v>452</v>
      </c>
      <c r="B22" s="171" t="s">
        <v>467</v>
      </c>
      <c r="C22" s="171">
        <v>40</v>
      </c>
      <c r="D22" s="171">
        <v>0</v>
      </c>
      <c r="E22" s="171">
        <v>0</v>
      </c>
      <c r="F22" s="171">
        <v>0</v>
      </c>
      <c r="G22" s="171">
        <v>12</v>
      </c>
      <c r="H22" s="171">
        <v>19</v>
      </c>
      <c r="I22" s="171">
        <v>14</v>
      </c>
      <c r="J22" s="171">
        <v>3</v>
      </c>
      <c r="K22" s="171">
        <v>48</v>
      </c>
      <c r="L22" s="171">
        <v>17</v>
      </c>
      <c r="M22" s="171">
        <v>4</v>
      </c>
      <c r="N22" s="171">
        <v>0</v>
      </c>
      <c r="O22" s="171">
        <v>31</v>
      </c>
      <c r="P22" s="173">
        <v>1</v>
      </c>
    </row>
    <row r="23" spans="1:16" hidden="1">
      <c r="A23" s="172" t="s">
        <v>452</v>
      </c>
      <c r="B23" s="172" t="s">
        <v>467</v>
      </c>
      <c r="C23" s="172">
        <v>40</v>
      </c>
      <c r="D23" s="172">
        <v>0</v>
      </c>
      <c r="E23" s="172">
        <v>0</v>
      </c>
      <c r="F23" s="172">
        <v>0</v>
      </c>
      <c r="G23" s="172">
        <v>6</v>
      </c>
      <c r="H23" s="172">
        <v>18</v>
      </c>
      <c r="I23" s="172">
        <v>25</v>
      </c>
      <c r="J23" s="172">
        <v>2</v>
      </c>
      <c r="K23" s="172">
        <v>51</v>
      </c>
      <c r="L23" s="172">
        <v>24</v>
      </c>
      <c r="M23" s="172">
        <v>10</v>
      </c>
      <c r="N23" s="172">
        <v>9</v>
      </c>
      <c r="O23" s="172">
        <v>22</v>
      </c>
      <c r="P23" s="174">
        <v>6</v>
      </c>
    </row>
    <row r="24" spans="1:16" hidden="1">
      <c r="A24" s="171" t="s">
        <v>452</v>
      </c>
      <c r="B24" s="171" t="s">
        <v>467</v>
      </c>
      <c r="C24" s="171">
        <v>40</v>
      </c>
      <c r="D24" s="171">
        <v>0</v>
      </c>
      <c r="E24" s="171">
        <v>0</v>
      </c>
      <c r="F24" s="171">
        <v>0</v>
      </c>
      <c r="G24" s="171">
        <v>2</v>
      </c>
      <c r="H24" s="171">
        <v>22</v>
      </c>
      <c r="I24" s="171">
        <v>21</v>
      </c>
      <c r="J24" s="171">
        <v>1</v>
      </c>
      <c r="K24" s="171">
        <v>46</v>
      </c>
      <c r="L24" s="171">
        <v>35</v>
      </c>
      <c r="M24" s="171">
        <v>4</v>
      </c>
      <c r="N24" s="171">
        <v>3</v>
      </c>
      <c r="O24" s="171">
        <v>12</v>
      </c>
      <c r="P24" s="173">
        <v>3</v>
      </c>
    </row>
    <row r="25" spans="1:16" hidden="1">
      <c r="A25" s="172" t="s">
        <v>452</v>
      </c>
      <c r="B25" s="172" t="s">
        <v>467</v>
      </c>
      <c r="C25" s="172">
        <v>30</v>
      </c>
      <c r="D25" s="172">
        <v>0</v>
      </c>
      <c r="E25" s="172">
        <v>0</v>
      </c>
      <c r="F25" s="172">
        <v>0</v>
      </c>
      <c r="G25" s="172">
        <v>4</v>
      </c>
      <c r="H25" s="172">
        <v>7</v>
      </c>
      <c r="I25" s="172">
        <v>19</v>
      </c>
      <c r="J25" s="172">
        <v>0</v>
      </c>
      <c r="K25" s="172">
        <v>30</v>
      </c>
      <c r="L25" s="172">
        <v>11</v>
      </c>
      <c r="M25" s="172">
        <v>7</v>
      </c>
      <c r="N25" s="172">
        <v>4</v>
      </c>
      <c r="O25" s="172">
        <v>10</v>
      </c>
      <c r="P25" s="174">
        <v>3</v>
      </c>
    </row>
    <row r="26" spans="1:16" hidden="1">
      <c r="A26" s="171" t="s">
        <v>452</v>
      </c>
      <c r="B26" s="171" t="s">
        <v>467</v>
      </c>
      <c r="C26" s="171">
        <v>40</v>
      </c>
      <c r="D26" s="171">
        <v>0</v>
      </c>
      <c r="E26" s="171">
        <v>0</v>
      </c>
      <c r="F26" s="171">
        <v>0</v>
      </c>
      <c r="G26" s="171">
        <v>11</v>
      </c>
      <c r="H26" s="171">
        <v>14</v>
      </c>
      <c r="I26" s="171">
        <v>13</v>
      </c>
      <c r="J26" s="171">
        <v>4</v>
      </c>
      <c r="K26" s="171">
        <v>42</v>
      </c>
      <c r="L26" s="171">
        <v>21</v>
      </c>
      <c r="M26" s="171">
        <v>3</v>
      </c>
      <c r="N26" s="171">
        <v>0</v>
      </c>
      <c r="O26" s="171">
        <v>21</v>
      </c>
      <c r="P26" s="173">
        <v>2</v>
      </c>
    </row>
    <row r="27" spans="1:16" hidden="1">
      <c r="A27" s="172" t="s">
        <v>452</v>
      </c>
      <c r="B27" s="172" t="s">
        <v>467</v>
      </c>
      <c r="C27" s="172">
        <v>40</v>
      </c>
      <c r="D27" s="172">
        <v>0</v>
      </c>
      <c r="E27" s="172">
        <v>0</v>
      </c>
      <c r="F27" s="172">
        <v>0</v>
      </c>
      <c r="G27" s="172">
        <v>1</v>
      </c>
      <c r="H27" s="172">
        <v>17</v>
      </c>
      <c r="I27" s="172">
        <v>24</v>
      </c>
      <c r="J27" s="172">
        <v>2</v>
      </c>
      <c r="K27" s="172">
        <v>44</v>
      </c>
      <c r="L27" s="172">
        <v>23</v>
      </c>
      <c r="M27" s="172">
        <v>9</v>
      </c>
      <c r="N27" s="172">
        <v>10</v>
      </c>
      <c r="O27" s="172">
        <v>13</v>
      </c>
      <c r="P27" s="174">
        <v>4</v>
      </c>
    </row>
    <row r="28" spans="1:16" hidden="1">
      <c r="A28" s="171" t="s">
        <v>452</v>
      </c>
      <c r="B28" s="171" t="s">
        <v>467</v>
      </c>
      <c r="C28" s="171">
        <v>40</v>
      </c>
      <c r="D28" s="171">
        <v>0</v>
      </c>
      <c r="E28" s="171">
        <v>0</v>
      </c>
      <c r="F28" s="171">
        <v>0</v>
      </c>
      <c r="G28" s="171">
        <v>0</v>
      </c>
      <c r="H28" s="171">
        <v>5</v>
      </c>
      <c r="I28" s="171">
        <v>40</v>
      </c>
      <c r="J28" s="171">
        <v>4</v>
      </c>
      <c r="K28" s="171">
        <v>49</v>
      </c>
      <c r="L28" s="171">
        <v>48</v>
      </c>
      <c r="M28" s="171">
        <v>8</v>
      </c>
      <c r="N28" s="171">
        <v>1</v>
      </c>
      <c r="O28" s="171">
        <v>3</v>
      </c>
      <c r="P28" s="173">
        <v>5</v>
      </c>
    </row>
    <row r="29" spans="1:16" hidden="1">
      <c r="A29" s="172" t="s">
        <v>452</v>
      </c>
      <c r="B29" s="172" t="s">
        <v>467</v>
      </c>
      <c r="C29" s="172">
        <v>40</v>
      </c>
      <c r="D29" s="172">
        <v>0</v>
      </c>
      <c r="E29" s="172">
        <v>0</v>
      </c>
      <c r="F29" s="172">
        <v>0</v>
      </c>
      <c r="G29" s="172">
        <v>7</v>
      </c>
      <c r="H29" s="172">
        <v>10</v>
      </c>
      <c r="I29" s="172">
        <v>19</v>
      </c>
      <c r="J29" s="172">
        <v>0</v>
      </c>
      <c r="K29" s="172">
        <v>36</v>
      </c>
      <c r="L29" s="172">
        <v>12</v>
      </c>
      <c r="M29" s="172">
        <v>8</v>
      </c>
      <c r="N29" s="172">
        <v>12</v>
      </c>
      <c r="O29" s="172">
        <v>9</v>
      </c>
      <c r="P29" s="174">
        <v>1</v>
      </c>
    </row>
    <row r="30" spans="1:16" hidden="1">
      <c r="A30" s="171" t="s">
        <v>452</v>
      </c>
      <c r="B30" s="171" t="s">
        <v>467</v>
      </c>
      <c r="C30" s="171">
        <v>40</v>
      </c>
      <c r="D30" s="171">
        <v>0</v>
      </c>
      <c r="E30" s="171">
        <v>0</v>
      </c>
      <c r="F30" s="171">
        <v>0</v>
      </c>
      <c r="G30" s="171">
        <v>8</v>
      </c>
      <c r="H30" s="171">
        <v>9</v>
      </c>
      <c r="I30" s="171">
        <v>17</v>
      </c>
      <c r="J30" s="171">
        <v>1</v>
      </c>
      <c r="K30" s="171">
        <v>35</v>
      </c>
      <c r="L30" s="171">
        <v>3</v>
      </c>
      <c r="M30" s="171">
        <v>4</v>
      </c>
      <c r="N30" s="171">
        <v>30</v>
      </c>
      <c r="O30" s="171">
        <v>4</v>
      </c>
      <c r="P30" s="173">
        <v>0</v>
      </c>
    </row>
    <row r="31" spans="1:16" hidden="1">
      <c r="A31" s="172" t="s">
        <v>452</v>
      </c>
      <c r="B31" s="172" t="s">
        <v>467</v>
      </c>
      <c r="C31" s="172">
        <v>40</v>
      </c>
      <c r="D31" s="172">
        <v>0</v>
      </c>
      <c r="E31" s="172">
        <v>0</v>
      </c>
      <c r="F31" s="172">
        <v>0</v>
      </c>
      <c r="G31" s="172">
        <v>0</v>
      </c>
      <c r="H31" s="172">
        <v>19</v>
      </c>
      <c r="I31" s="172">
        <v>28</v>
      </c>
      <c r="J31" s="172">
        <v>2</v>
      </c>
      <c r="K31" s="172">
        <v>49</v>
      </c>
      <c r="L31" s="172">
        <v>40</v>
      </c>
      <c r="M31" s="172">
        <v>9</v>
      </c>
      <c r="N31" s="172">
        <v>5</v>
      </c>
      <c r="O31" s="172">
        <v>14</v>
      </c>
      <c r="P31" s="174">
        <v>3</v>
      </c>
    </row>
    <row r="32" spans="1:16" hidden="1">
      <c r="A32" s="171" t="s">
        <v>452</v>
      </c>
      <c r="B32" s="171" t="s">
        <v>467</v>
      </c>
      <c r="C32" s="171">
        <v>40</v>
      </c>
      <c r="D32" s="171">
        <v>0</v>
      </c>
      <c r="E32" s="171">
        <v>0</v>
      </c>
      <c r="F32" s="171">
        <v>0</v>
      </c>
      <c r="G32" s="171">
        <v>2</v>
      </c>
      <c r="H32" s="171">
        <v>10</v>
      </c>
      <c r="I32" s="171">
        <v>17</v>
      </c>
      <c r="J32" s="171">
        <v>0</v>
      </c>
      <c r="K32" s="171">
        <v>29</v>
      </c>
      <c r="L32" s="171">
        <v>1</v>
      </c>
      <c r="M32" s="171">
        <v>9</v>
      </c>
      <c r="N32" s="171">
        <v>22</v>
      </c>
      <c r="O32" s="171">
        <v>4</v>
      </c>
      <c r="P32" s="173">
        <v>0</v>
      </c>
    </row>
    <row r="33" spans="1:16" hidden="1">
      <c r="A33" s="172" t="s">
        <v>452</v>
      </c>
      <c r="B33" s="172" t="s">
        <v>467</v>
      </c>
      <c r="C33" s="172">
        <v>45</v>
      </c>
      <c r="D33" s="172">
        <v>0</v>
      </c>
      <c r="E33" s="172">
        <v>0</v>
      </c>
      <c r="F33" s="172">
        <v>0</v>
      </c>
      <c r="G33" s="172">
        <v>11</v>
      </c>
      <c r="H33" s="172">
        <v>15</v>
      </c>
      <c r="I33" s="172">
        <v>19</v>
      </c>
      <c r="J33" s="172">
        <v>0</v>
      </c>
      <c r="K33" s="172">
        <v>45</v>
      </c>
      <c r="L33" s="172">
        <v>18</v>
      </c>
      <c r="M33" s="172">
        <v>5</v>
      </c>
      <c r="N33" s="172">
        <v>14</v>
      </c>
      <c r="O33" s="172">
        <v>11</v>
      </c>
      <c r="P33" s="174">
        <v>6</v>
      </c>
    </row>
    <row r="34" spans="1:16" hidden="1">
      <c r="A34" s="171" t="s">
        <v>452</v>
      </c>
      <c r="B34" s="171" t="s">
        <v>467</v>
      </c>
      <c r="C34" s="171">
        <v>40</v>
      </c>
      <c r="D34" s="171">
        <v>0</v>
      </c>
      <c r="E34" s="171">
        <v>0</v>
      </c>
      <c r="F34" s="171">
        <v>0</v>
      </c>
      <c r="G34" s="171">
        <v>6</v>
      </c>
      <c r="H34" s="171">
        <v>10</v>
      </c>
      <c r="I34" s="171">
        <v>10</v>
      </c>
      <c r="J34" s="171">
        <v>0</v>
      </c>
      <c r="K34" s="171">
        <v>26</v>
      </c>
      <c r="L34" s="171">
        <v>9</v>
      </c>
      <c r="M34" s="171">
        <v>9</v>
      </c>
      <c r="N34" s="171">
        <v>12</v>
      </c>
      <c r="O34" s="171">
        <v>1</v>
      </c>
      <c r="P34" s="173">
        <v>2</v>
      </c>
    </row>
    <row r="35" spans="1:16" hidden="1">
      <c r="A35" s="172" t="s">
        <v>452</v>
      </c>
      <c r="B35" s="172" t="s">
        <v>467</v>
      </c>
      <c r="C35" s="172">
        <v>40</v>
      </c>
      <c r="D35" s="172">
        <v>0</v>
      </c>
      <c r="E35" s="172">
        <v>0</v>
      </c>
      <c r="F35" s="172">
        <v>0</v>
      </c>
      <c r="G35" s="172">
        <v>1</v>
      </c>
      <c r="H35" s="172">
        <v>18</v>
      </c>
      <c r="I35" s="172">
        <v>28</v>
      </c>
      <c r="J35" s="172">
        <v>1</v>
      </c>
      <c r="K35" s="172">
        <v>48</v>
      </c>
      <c r="L35" s="172">
        <v>15</v>
      </c>
      <c r="M35" s="172">
        <v>4</v>
      </c>
      <c r="N35" s="172">
        <v>5</v>
      </c>
      <c r="O35" s="172">
        <v>30</v>
      </c>
      <c r="P35" s="174">
        <v>1</v>
      </c>
    </row>
    <row r="36" spans="1:16" hidden="1">
      <c r="A36" s="171" t="s">
        <v>452</v>
      </c>
      <c r="B36" s="171" t="s">
        <v>467</v>
      </c>
      <c r="C36" s="171">
        <v>40</v>
      </c>
      <c r="D36" s="171">
        <v>0</v>
      </c>
      <c r="E36" s="171">
        <v>0</v>
      </c>
      <c r="F36" s="171">
        <v>0</v>
      </c>
      <c r="G36" s="171">
        <v>0</v>
      </c>
      <c r="H36" s="171">
        <v>21</v>
      </c>
      <c r="I36" s="171">
        <v>30</v>
      </c>
      <c r="J36" s="171">
        <v>2</v>
      </c>
      <c r="K36" s="171">
        <v>53</v>
      </c>
      <c r="L36" s="171">
        <v>35</v>
      </c>
      <c r="M36" s="171">
        <v>11</v>
      </c>
      <c r="N36" s="171">
        <v>5</v>
      </c>
      <c r="O36" s="171">
        <v>10</v>
      </c>
      <c r="P36" s="173">
        <v>8</v>
      </c>
    </row>
    <row r="37" spans="1:16" hidden="1">
      <c r="A37" s="172" t="s">
        <v>452</v>
      </c>
      <c r="B37" s="172" t="s">
        <v>467</v>
      </c>
      <c r="C37" s="172">
        <v>40</v>
      </c>
      <c r="D37" s="172">
        <v>0</v>
      </c>
      <c r="E37" s="172">
        <v>0</v>
      </c>
      <c r="F37" s="172">
        <v>0</v>
      </c>
      <c r="G37" s="172">
        <v>12</v>
      </c>
      <c r="H37" s="172">
        <v>15</v>
      </c>
      <c r="I37" s="172">
        <v>15</v>
      </c>
      <c r="J37" s="172">
        <v>2</v>
      </c>
      <c r="K37" s="172">
        <v>44</v>
      </c>
      <c r="L37" s="172">
        <v>23</v>
      </c>
      <c r="M37" s="172">
        <v>9</v>
      </c>
      <c r="N37" s="172">
        <v>8</v>
      </c>
      <c r="O37" s="172">
        <v>17</v>
      </c>
      <c r="P37" s="174">
        <v>3</v>
      </c>
    </row>
    <row r="38" spans="1:16" hidden="1">
      <c r="A38" s="171" t="s">
        <v>452</v>
      </c>
      <c r="B38" s="171" t="s">
        <v>467</v>
      </c>
      <c r="C38" s="171">
        <v>40</v>
      </c>
      <c r="D38" s="171">
        <v>0</v>
      </c>
      <c r="E38" s="171">
        <v>0</v>
      </c>
      <c r="F38" s="171">
        <v>0</v>
      </c>
      <c r="G38" s="171">
        <v>9</v>
      </c>
      <c r="H38" s="171">
        <v>15</v>
      </c>
      <c r="I38" s="171">
        <v>16</v>
      </c>
      <c r="J38" s="171">
        <v>3</v>
      </c>
      <c r="K38" s="171">
        <v>43</v>
      </c>
      <c r="L38" s="171">
        <v>17</v>
      </c>
      <c r="M38" s="171">
        <v>3</v>
      </c>
      <c r="N38" s="171">
        <v>5</v>
      </c>
      <c r="O38" s="171">
        <v>23</v>
      </c>
      <c r="P38" s="173">
        <v>1</v>
      </c>
    </row>
    <row r="39" spans="1:16" hidden="1">
      <c r="A39" s="172" t="s">
        <v>452</v>
      </c>
      <c r="B39" s="172" t="s">
        <v>467</v>
      </c>
      <c r="C39" s="172">
        <v>40</v>
      </c>
      <c r="D39" s="172">
        <v>0</v>
      </c>
      <c r="E39" s="172">
        <v>0</v>
      </c>
      <c r="F39" s="172">
        <v>0</v>
      </c>
      <c r="G39" s="172">
        <v>6</v>
      </c>
      <c r="H39" s="172">
        <v>22</v>
      </c>
      <c r="I39" s="172">
        <v>28</v>
      </c>
      <c r="J39" s="172">
        <v>0</v>
      </c>
      <c r="K39" s="172">
        <v>56</v>
      </c>
      <c r="L39" s="172">
        <v>13</v>
      </c>
      <c r="M39" s="172">
        <v>6</v>
      </c>
      <c r="N39" s="172">
        <v>17</v>
      </c>
      <c r="O39" s="172">
        <v>34</v>
      </c>
      <c r="P39" s="174">
        <v>2</v>
      </c>
    </row>
    <row r="40" spans="1:16" hidden="1">
      <c r="A40" s="171" t="s">
        <v>452</v>
      </c>
      <c r="B40" s="171" t="s">
        <v>467</v>
      </c>
      <c r="C40" s="171">
        <v>40</v>
      </c>
      <c r="D40" s="171">
        <v>0</v>
      </c>
      <c r="E40" s="171">
        <v>0</v>
      </c>
      <c r="F40" s="171">
        <v>0</v>
      </c>
      <c r="G40" s="171">
        <v>3</v>
      </c>
      <c r="H40" s="171">
        <v>9</v>
      </c>
      <c r="I40" s="171">
        <v>35</v>
      </c>
      <c r="J40" s="171">
        <v>0</v>
      </c>
      <c r="K40" s="171">
        <v>47</v>
      </c>
      <c r="L40" s="171">
        <v>21</v>
      </c>
      <c r="M40" s="171">
        <v>7</v>
      </c>
      <c r="N40" s="171">
        <v>4</v>
      </c>
      <c r="O40" s="171">
        <v>25</v>
      </c>
      <c r="P40" s="173">
        <v>0</v>
      </c>
    </row>
    <row r="41" spans="1:16" hidden="1">
      <c r="A41" s="172" t="s">
        <v>452</v>
      </c>
      <c r="B41" s="172" t="s">
        <v>467</v>
      </c>
      <c r="C41" s="172">
        <v>40</v>
      </c>
      <c r="D41" s="172">
        <v>0</v>
      </c>
      <c r="E41" s="172">
        <v>0</v>
      </c>
      <c r="F41" s="172">
        <v>0</v>
      </c>
      <c r="G41" s="172">
        <v>14</v>
      </c>
      <c r="H41" s="172">
        <v>18</v>
      </c>
      <c r="I41" s="172">
        <v>13</v>
      </c>
      <c r="J41" s="172">
        <v>0</v>
      </c>
      <c r="K41" s="172">
        <v>45</v>
      </c>
      <c r="L41" s="172">
        <v>28</v>
      </c>
      <c r="M41" s="172">
        <v>7</v>
      </c>
      <c r="N41" s="172">
        <v>3</v>
      </c>
      <c r="O41" s="172">
        <v>19</v>
      </c>
      <c r="P41" s="174">
        <v>2</v>
      </c>
    </row>
    <row r="42" spans="1:16" hidden="1">
      <c r="A42" s="171" t="s">
        <v>452</v>
      </c>
      <c r="B42" s="171" t="s">
        <v>467</v>
      </c>
      <c r="C42" s="171">
        <v>45</v>
      </c>
      <c r="D42" s="171">
        <v>0</v>
      </c>
      <c r="E42" s="171">
        <v>0</v>
      </c>
      <c r="F42" s="171">
        <v>0</v>
      </c>
      <c r="G42" s="171">
        <v>2</v>
      </c>
      <c r="H42" s="171">
        <v>10</v>
      </c>
      <c r="I42" s="171">
        <v>17</v>
      </c>
      <c r="J42" s="171">
        <v>1</v>
      </c>
      <c r="K42" s="171">
        <v>30</v>
      </c>
      <c r="L42" s="171">
        <v>2</v>
      </c>
      <c r="M42" s="171">
        <v>5</v>
      </c>
      <c r="N42" s="171">
        <v>29</v>
      </c>
      <c r="O42" s="171">
        <v>0</v>
      </c>
      <c r="P42" s="173">
        <v>1</v>
      </c>
    </row>
    <row r="43" spans="1:16" hidden="1">
      <c r="A43" s="172" t="s">
        <v>452</v>
      </c>
      <c r="B43" s="172" t="s">
        <v>467</v>
      </c>
      <c r="C43" s="172">
        <v>40</v>
      </c>
      <c r="D43" s="172">
        <v>0</v>
      </c>
      <c r="E43" s="172">
        <v>0</v>
      </c>
      <c r="F43" s="172">
        <v>0</v>
      </c>
      <c r="G43" s="172">
        <v>10</v>
      </c>
      <c r="H43" s="172">
        <v>17</v>
      </c>
      <c r="I43" s="172">
        <v>17</v>
      </c>
      <c r="J43" s="172">
        <v>0</v>
      </c>
      <c r="K43" s="172">
        <v>44</v>
      </c>
      <c r="L43" s="172">
        <v>41</v>
      </c>
      <c r="M43" s="172">
        <v>7</v>
      </c>
      <c r="N43" s="172">
        <v>5</v>
      </c>
      <c r="O43" s="172">
        <v>7</v>
      </c>
      <c r="P43" s="174">
        <v>3</v>
      </c>
    </row>
    <row r="44" spans="1:16" hidden="1">
      <c r="A44" s="171" t="s">
        <v>452</v>
      </c>
      <c r="B44" s="171" t="s">
        <v>467</v>
      </c>
      <c r="C44" s="171">
        <v>30</v>
      </c>
      <c r="D44" s="171">
        <v>0</v>
      </c>
      <c r="E44" s="171">
        <v>0</v>
      </c>
      <c r="F44" s="171">
        <v>0</v>
      </c>
      <c r="G44" s="171">
        <v>2</v>
      </c>
      <c r="H44" s="171">
        <v>7</v>
      </c>
      <c r="I44" s="171">
        <v>14</v>
      </c>
      <c r="J44" s="171">
        <v>1</v>
      </c>
      <c r="K44" s="171">
        <v>24</v>
      </c>
      <c r="L44" s="171">
        <v>1</v>
      </c>
      <c r="M44" s="171">
        <v>9</v>
      </c>
      <c r="N44" s="171">
        <v>17</v>
      </c>
      <c r="O44" s="171">
        <v>2</v>
      </c>
      <c r="P44" s="173">
        <v>1</v>
      </c>
    </row>
    <row r="45" spans="1:16" hidden="1">
      <c r="A45" s="172" t="s">
        <v>452</v>
      </c>
      <c r="B45" s="172" t="s">
        <v>467</v>
      </c>
      <c r="C45" s="172">
        <v>40</v>
      </c>
      <c r="D45" s="172">
        <v>0</v>
      </c>
      <c r="E45" s="172">
        <v>0</v>
      </c>
      <c r="F45" s="172">
        <v>0</v>
      </c>
      <c r="G45" s="172">
        <v>10</v>
      </c>
      <c r="H45" s="172">
        <v>10</v>
      </c>
      <c r="I45" s="172">
        <v>17</v>
      </c>
      <c r="J45" s="172">
        <v>1</v>
      </c>
      <c r="K45" s="172">
        <v>38</v>
      </c>
      <c r="L45" s="172">
        <v>4</v>
      </c>
      <c r="M45" s="172">
        <v>12</v>
      </c>
      <c r="N45" s="172">
        <v>27</v>
      </c>
      <c r="O45" s="172">
        <v>6</v>
      </c>
      <c r="P45" s="174">
        <v>1</v>
      </c>
    </row>
    <row r="46" spans="1:16" hidden="1">
      <c r="A46" s="171" t="s">
        <v>452</v>
      </c>
      <c r="B46" s="171" t="s">
        <v>467</v>
      </c>
      <c r="C46" s="171">
        <v>43</v>
      </c>
      <c r="D46" s="171">
        <v>0</v>
      </c>
      <c r="E46" s="171">
        <v>0</v>
      </c>
      <c r="F46" s="171">
        <v>0</v>
      </c>
      <c r="G46" s="171">
        <v>1</v>
      </c>
      <c r="H46" s="171">
        <v>8</v>
      </c>
      <c r="I46" s="171">
        <v>19</v>
      </c>
      <c r="J46" s="171">
        <v>2</v>
      </c>
      <c r="K46" s="171">
        <v>30</v>
      </c>
      <c r="L46" s="171">
        <v>5</v>
      </c>
      <c r="M46" s="171">
        <v>0</v>
      </c>
      <c r="N46" s="171">
        <v>1</v>
      </c>
      <c r="O46" s="171">
        <v>26</v>
      </c>
      <c r="P46" s="173">
        <v>3</v>
      </c>
    </row>
    <row r="47" spans="1:16" hidden="1">
      <c r="A47" s="172" t="s">
        <v>452</v>
      </c>
      <c r="B47" s="172" t="s">
        <v>467</v>
      </c>
      <c r="C47" s="172">
        <v>40</v>
      </c>
      <c r="D47" s="172">
        <v>0</v>
      </c>
      <c r="E47" s="172">
        <v>0</v>
      </c>
      <c r="F47" s="172">
        <v>0</v>
      </c>
      <c r="G47" s="172">
        <v>3</v>
      </c>
      <c r="H47" s="172">
        <v>21</v>
      </c>
      <c r="I47" s="172">
        <v>10</v>
      </c>
      <c r="J47" s="172">
        <v>5</v>
      </c>
      <c r="K47" s="172">
        <v>39</v>
      </c>
      <c r="L47" s="172">
        <v>6</v>
      </c>
      <c r="M47" s="172">
        <v>1</v>
      </c>
      <c r="N47" s="172">
        <v>5</v>
      </c>
      <c r="O47" s="172">
        <v>26</v>
      </c>
      <c r="P47" s="174">
        <v>5</v>
      </c>
    </row>
    <row r="48" spans="1:16" hidden="1">
      <c r="A48" s="171" t="s">
        <v>452</v>
      </c>
      <c r="B48" s="171" t="s">
        <v>467</v>
      </c>
      <c r="C48" s="171">
        <v>40</v>
      </c>
      <c r="D48" s="171">
        <v>0</v>
      </c>
      <c r="E48" s="171">
        <v>0</v>
      </c>
      <c r="F48" s="171">
        <v>0</v>
      </c>
      <c r="G48" s="171">
        <v>8</v>
      </c>
      <c r="H48" s="171">
        <v>13</v>
      </c>
      <c r="I48" s="171">
        <v>24</v>
      </c>
      <c r="J48" s="171">
        <v>2</v>
      </c>
      <c r="K48" s="171">
        <v>47</v>
      </c>
      <c r="L48" s="171">
        <v>11</v>
      </c>
      <c r="M48" s="171">
        <v>5</v>
      </c>
      <c r="N48" s="171">
        <v>7</v>
      </c>
      <c r="O48" s="171">
        <v>34</v>
      </c>
      <c r="P48" s="173">
        <v>4</v>
      </c>
    </row>
    <row r="49" spans="1:16" hidden="1">
      <c r="A49" s="172" t="s">
        <v>452</v>
      </c>
      <c r="B49" s="172" t="s">
        <v>467</v>
      </c>
      <c r="C49" s="172">
        <v>30</v>
      </c>
      <c r="D49" s="172">
        <v>0</v>
      </c>
      <c r="E49" s="172">
        <v>0</v>
      </c>
      <c r="F49" s="172">
        <v>0</v>
      </c>
      <c r="G49" s="172">
        <v>0</v>
      </c>
      <c r="H49" s="172">
        <v>12</v>
      </c>
      <c r="I49" s="172">
        <v>16</v>
      </c>
      <c r="J49" s="172">
        <v>2</v>
      </c>
      <c r="K49" s="172">
        <v>30</v>
      </c>
      <c r="L49" s="172">
        <v>0</v>
      </c>
      <c r="M49" s="172">
        <v>4</v>
      </c>
      <c r="N49" s="172">
        <v>27</v>
      </c>
      <c r="O49" s="172">
        <v>0</v>
      </c>
      <c r="P49" s="174">
        <v>1</v>
      </c>
    </row>
    <row r="50" spans="1:16" hidden="1">
      <c r="A50" s="171" t="s">
        <v>452</v>
      </c>
      <c r="B50" s="171" t="s">
        <v>467</v>
      </c>
      <c r="C50" s="171">
        <v>40</v>
      </c>
      <c r="D50" s="171">
        <v>0</v>
      </c>
      <c r="E50" s="171">
        <v>0</v>
      </c>
      <c r="F50" s="171">
        <v>0</v>
      </c>
      <c r="G50" s="171">
        <v>0</v>
      </c>
      <c r="H50" s="171">
        <v>19</v>
      </c>
      <c r="I50" s="171">
        <v>22</v>
      </c>
      <c r="J50" s="171">
        <v>2</v>
      </c>
      <c r="K50" s="171">
        <v>43</v>
      </c>
      <c r="L50" s="171">
        <v>27</v>
      </c>
      <c r="M50" s="171">
        <v>12</v>
      </c>
      <c r="N50" s="171">
        <v>14</v>
      </c>
      <c r="O50" s="171">
        <v>6</v>
      </c>
      <c r="P50" s="173">
        <v>1</v>
      </c>
    </row>
    <row r="51" spans="1:16" hidden="1">
      <c r="A51" s="172" t="s">
        <v>452</v>
      </c>
      <c r="B51" s="172" t="s">
        <v>467</v>
      </c>
      <c r="C51" s="172">
        <v>40</v>
      </c>
      <c r="D51" s="172">
        <v>0</v>
      </c>
      <c r="E51" s="172">
        <v>0</v>
      </c>
      <c r="F51" s="172">
        <v>0</v>
      </c>
      <c r="G51" s="172">
        <v>0</v>
      </c>
      <c r="H51" s="172">
        <v>27</v>
      </c>
      <c r="I51" s="172">
        <v>26</v>
      </c>
      <c r="J51" s="172">
        <v>1</v>
      </c>
      <c r="K51" s="172">
        <v>54</v>
      </c>
      <c r="L51" s="172">
        <v>29</v>
      </c>
      <c r="M51" s="172">
        <v>3</v>
      </c>
      <c r="N51" s="172">
        <v>2</v>
      </c>
      <c r="O51" s="172">
        <v>30</v>
      </c>
      <c r="P51" s="174">
        <v>1</v>
      </c>
    </row>
    <row r="52" spans="1:16" hidden="1">
      <c r="A52" s="171" t="s">
        <v>452</v>
      </c>
      <c r="B52" s="171" t="s">
        <v>467</v>
      </c>
      <c r="C52" s="171">
        <v>40</v>
      </c>
      <c r="D52" s="171">
        <v>0</v>
      </c>
      <c r="E52" s="171">
        <v>0</v>
      </c>
      <c r="F52" s="171">
        <v>0</v>
      </c>
      <c r="G52" s="171">
        <v>8</v>
      </c>
      <c r="H52" s="171">
        <v>15</v>
      </c>
      <c r="I52" s="171">
        <v>27</v>
      </c>
      <c r="J52" s="171">
        <v>0</v>
      </c>
      <c r="K52" s="171">
        <v>50</v>
      </c>
      <c r="L52" s="171">
        <v>30</v>
      </c>
      <c r="M52" s="171">
        <v>13</v>
      </c>
      <c r="N52" s="171">
        <v>20</v>
      </c>
      <c r="O52" s="171">
        <v>8</v>
      </c>
      <c r="P52" s="173">
        <v>3</v>
      </c>
    </row>
    <row r="53" spans="1:16" hidden="1">
      <c r="A53" s="172" t="s">
        <v>452</v>
      </c>
      <c r="B53" s="172" t="s">
        <v>467</v>
      </c>
      <c r="C53" s="172">
        <v>40</v>
      </c>
      <c r="D53" s="172">
        <v>0</v>
      </c>
      <c r="E53" s="172">
        <v>0</v>
      </c>
      <c r="F53" s="172">
        <v>0</v>
      </c>
      <c r="G53" s="172">
        <v>5</v>
      </c>
      <c r="H53" s="172">
        <v>12</v>
      </c>
      <c r="I53" s="172">
        <v>16</v>
      </c>
      <c r="J53" s="172">
        <v>0</v>
      </c>
      <c r="K53" s="172">
        <v>33</v>
      </c>
      <c r="L53" s="172">
        <v>0</v>
      </c>
      <c r="M53" s="172">
        <v>7</v>
      </c>
      <c r="N53" s="172">
        <v>26</v>
      </c>
      <c r="O53" s="172">
        <v>5</v>
      </c>
      <c r="P53" s="174">
        <v>2</v>
      </c>
    </row>
    <row r="54" spans="1:16" hidden="1">
      <c r="A54" s="171" t="s">
        <v>452</v>
      </c>
      <c r="B54" s="171" t="s">
        <v>467</v>
      </c>
      <c r="C54" s="171">
        <v>40</v>
      </c>
      <c r="D54" s="171">
        <v>0</v>
      </c>
      <c r="E54" s="171">
        <v>0</v>
      </c>
      <c r="F54" s="171">
        <v>0</v>
      </c>
      <c r="G54" s="171">
        <v>4</v>
      </c>
      <c r="H54" s="171">
        <v>22</v>
      </c>
      <c r="I54" s="171">
        <v>17</v>
      </c>
      <c r="J54" s="171">
        <v>1</v>
      </c>
      <c r="K54" s="171">
        <v>44</v>
      </c>
      <c r="L54" s="171">
        <v>27</v>
      </c>
      <c r="M54" s="171">
        <v>8</v>
      </c>
      <c r="N54" s="171">
        <v>3</v>
      </c>
      <c r="O54" s="171">
        <v>17</v>
      </c>
      <c r="P54" s="173">
        <v>2</v>
      </c>
    </row>
    <row r="55" spans="1:16" hidden="1">
      <c r="A55" s="172" t="s">
        <v>452</v>
      </c>
      <c r="B55" s="172" t="s">
        <v>467</v>
      </c>
      <c r="C55" s="172">
        <v>40</v>
      </c>
      <c r="D55" s="172">
        <v>0</v>
      </c>
      <c r="E55" s="172">
        <v>0</v>
      </c>
      <c r="F55" s="172">
        <v>0</v>
      </c>
      <c r="G55" s="172">
        <v>9</v>
      </c>
      <c r="H55" s="172">
        <v>12</v>
      </c>
      <c r="I55" s="172">
        <v>33</v>
      </c>
      <c r="J55" s="172">
        <v>1</v>
      </c>
      <c r="K55" s="172">
        <v>55</v>
      </c>
      <c r="L55" s="172">
        <v>39</v>
      </c>
      <c r="M55" s="172">
        <v>3</v>
      </c>
      <c r="N55" s="172">
        <v>2</v>
      </c>
      <c r="O55" s="172">
        <v>15</v>
      </c>
      <c r="P55" s="174">
        <v>4</v>
      </c>
    </row>
    <row r="56" spans="1:16" hidden="1">
      <c r="A56" s="171" t="s">
        <v>452</v>
      </c>
      <c r="B56" s="171" t="s">
        <v>467</v>
      </c>
      <c r="C56" s="171">
        <v>40</v>
      </c>
      <c r="D56" s="171">
        <v>0</v>
      </c>
      <c r="E56" s="171">
        <v>0</v>
      </c>
      <c r="F56" s="171">
        <v>0</v>
      </c>
      <c r="G56" s="171">
        <v>4</v>
      </c>
      <c r="H56" s="171">
        <v>14</v>
      </c>
      <c r="I56" s="171">
        <v>28</v>
      </c>
      <c r="J56" s="171">
        <v>3</v>
      </c>
      <c r="K56" s="171">
        <v>49</v>
      </c>
      <c r="L56" s="171">
        <v>40</v>
      </c>
      <c r="M56" s="171">
        <v>5</v>
      </c>
      <c r="N56" s="171">
        <v>0</v>
      </c>
      <c r="O56" s="171">
        <v>9</v>
      </c>
      <c r="P56" s="173">
        <v>5</v>
      </c>
    </row>
    <row r="57" spans="1:16" hidden="1">
      <c r="A57" s="172" t="s">
        <v>452</v>
      </c>
      <c r="B57" s="172" t="s">
        <v>467</v>
      </c>
      <c r="C57" s="172">
        <v>40</v>
      </c>
      <c r="D57" s="172">
        <v>0</v>
      </c>
      <c r="E57" s="172">
        <v>0</v>
      </c>
      <c r="F57" s="172">
        <v>0</v>
      </c>
      <c r="G57" s="172">
        <v>7</v>
      </c>
      <c r="H57" s="172">
        <v>16</v>
      </c>
      <c r="I57" s="172">
        <v>22</v>
      </c>
      <c r="J57" s="172">
        <v>1</v>
      </c>
      <c r="K57" s="172">
        <v>46</v>
      </c>
      <c r="L57" s="172">
        <v>23</v>
      </c>
      <c r="M57" s="172">
        <v>3</v>
      </c>
      <c r="N57" s="172">
        <v>9</v>
      </c>
      <c r="O57" s="172">
        <v>15</v>
      </c>
      <c r="P57" s="174">
        <v>2</v>
      </c>
    </row>
    <row r="58" spans="1:16" hidden="1">
      <c r="A58" s="171" t="s">
        <v>452</v>
      </c>
      <c r="B58" s="171" t="s">
        <v>467</v>
      </c>
      <c r="C58" s="171">
        <v>40</v>
      </c>
      <c r="D58" s="171">
        <v>0</v>
      </c>
      <c r="E58" s="171">
        <v>0</v>
      </c>
      <c r="F58" s="171">
        <v>0</v>
      </c>
      <c r="G58" s="171">
        <v>0</v>
      </c>
      <c r="H58" s="171">
        <v>20</v>
      </c>
      <c r="I58" s="171">
        <v>32</v>
      </c>
      <c r="J58" s="171">
        <v>3</v>
      </c>
      <c r="K58" s="171">
        <v>55</v>
      </c>
      <c r="L58" s="171">
        <v>50</v>
      </c>
      <c r="M58" s="171">
        <v>8</v>
      </c>
      <c r="N58" s="171">
        <v>0</v>
      </c>
      <c r="O58" s="171">
        <v>7</v>
      </c>
      <c r="P58" s="173">
        <v>0</v>
      </c>
    </row>
    <row r="59" spans="1:16" hidden="1">
      <c r="A59" s="172" t="s">
        <v>452</v>
      </c>
      <c r="B59" s="172" t="s">
        <v>467</v>
      </c>
      <c r="C59" s="172">
        <v>40</v>
      </c>
      <c r="D59" s="172">
        <v>0</v>
      </c>
      <c r="E59" s="172">
        <v>0</v>
      </c>
      <c r="F59" s="172">
        <v>0</v>
      </c>
      <c r="G59" s="172">
        <v>3</v>
      </c>
      <c r="H59" s="172">
        <v>14</v>
      </c>
      <c r="I59" s="172">
        <v>16</v>
      </c>
      <c r="J59" s="172">
        <v>0</v>
      </c>
      <c r="K59" s="172">
        <v>33</v>
      </c>
      <c r="L59" s="172">
        <v>5</v>
      </c>
      <c r="M59" s="172">
        <v>1</v>
      </c>
      <c r="N59" s="172">
        <v>10</v>
      </c>
      <c r="O59" s="172">
        <v>14</v>
      </c>
      <c r="P59" s="174">
        <v>6</v>
      </c>
    </row>
    <row r="60" spans="1:16" hidden="1">
      <c r="A60" s="171" t="s">
        <v>452</v>
      </c>
      <c r="B60" s="171" t="s">
        <v>467</v>
      </c>
      <c r="C60" s="171">
        <v>40</v>
      </c>
      <c r="D60" s="171">
        <v>0</v>
      </c>
      <c r="E60" s="171">
        <v>0</v>
      </c>
      <c r="F60" s="171">
        <v>0</v>
      </c>
      <c r="G60" s="171">
        <v>9</v>
      </c>
      <c r="H60" s="171">
        <v>19</v>
      </c>
      <c r="I60" s="171">
        <v>16</v>
      </c>
      <c r="J60" s="171">
        <v>3</v>
      </c>
      <c r="K60" s="171">
        <v>47</v>
      </c>
      <c r="L60" s="171">
        <v>14</v>
      </c>
      <c r="M60" s="171">
        <v>19</v>
      </c>
      <c r="N60" s="171">
        <v>19</v>
      </c>
      <c r="O60" s="171">
        <v>11</v>
      </c>
      <c r="P60" s="173">
        <v>3</v>
      </c>
    </row>
    <row r="61" spans="1:16" hidden="1">
      <c r="A61" s="172" t="s">
        <v>452</v>
      </c>
      <c r="B61" s="172" t="s">
        <v>467</v>
      </c>
      <c r="C61" s="172">
        <v>40</v>
      </c>
      <c r="D61" s="172">
        <v>0</v>
      </c>
      <c r="E61" s="172">
        <v>0</v>
      </c>
      <c r="F61" s="172">
        <v>0</v>
      </c>
      <c r="G61" s="172">
        <v>7</v>
      </c>
      <c r="H61" s="172">
        <v>6</v>
      </c>
      <c r="I61" s="172">
        <v>19</v>
      </c>
      <c r="J61" s="172">
        <v>1</v>
      </c>
      <c r="K61" s="172">
        <v>33</v>
      </c>
      <c r="L61" s="172">
        <v>7</v>
      </c>
      <c r="M61" s="172">
        <v>12</v>
      </c>
      <c r="N61" s="172">
        <v>15</v>
      </c>
      <c r="O61" s="172">
        <v>11</v>
      </c>
      <c r="P61" s="174">
        <v>1</v>
      </c>
    </row>
    <row r="62" spans="1:16" hidden="1">
      <c r="A62" s="171" t="s">
        <v>452</v>
      </c>
      <c r="B62" s="171" t="s">
        <v>467</v>
      </c>
      <c r="C62" s="171">
        <v>40</v>
      </c>
      <c r="D62" s="171">
        <v>0</v>
      </c>
      <c r="E62" s="171">
        <v>0</v>
      </c>
      <c r="F62" s="171">
        <v>0</v>
      </c>
      <c r="G62" s="171">
        <v>16</v>
      </c>
      <c r="H62" s="171">
        <v>15</v>
      </c>
      <c r="I62" s="171">
        <v>20</v>
      </c>
      <c r="J62" s="171">
        <v>1</v>
      </c>
      <c r="K62" s="171">
        <v>52</v>
      </c>
      <c r="L62" s="171">
        <v>21</v>
      </c>
      <c r="M62" s="171">
        <v>7</v>
      </c>
      <c r="N62" s="171">
        <v>10</v>
      </c>
      <c r="O62" s="171">
        <v>23</v>
      </c>
      <c r="P62" s="173">
        <v>1</v>
      </c>
    </row>
    <row r="63" spans="1:16" hidden="1">
      <c r="A63" s="172" t="s">
        <v>452</v>
      </c>
      <c r="B63" s="172" t="s">
        <v>467</v>
      </c>
      <c r="C63" s="172">
        <v>40</v>
      </c>
      <c r="D63" s="172">
        <v>0</v>
      </c>
      <c r="E63" s="172">
        <v>0</v>
      </c>
      <c r="F63" s="172">
        <v>0</v>
      </c>
      <c r="G63" s="172">
        <v>0</v>
      </c>
      <c r="H63" s="172">
        <v>23</v>
      </c>
      <c r="I63" s="172">
        <v>21</v>
      </c>
      <c r="J63" s="172">
        <v>2</v>
      </c>
      <c r="K63" s="172">
        <v>46</v>
      </c>
      <c r="L63" s="172">
        <v>42</v>
      </c>
      <c r="M63" s="172">
        <v>3</v>
      </c>
      <c r="N63" s="172">
        <v>0</v>
      </c>
      <c r="O63" s="172">
        <v>4</v>
      </c>
      <c r="P63" s="174">
        <v>3</v>
      </c>
    </row>
    <row r="64" spans="1:16" hidden="1">
      <c r="A64" s="171" t="s">
        <v>452</v>
      </c>
      <c r="B64" s="171" t="s">
        <v>467</v>
      </c>
      <c r="C64" s="171">
        <v>40</v>
      </c>
      <c r="D64" s="171">
        <v>0</v>
      </c>
      <c r="E64" s="171">
        <v>0</v>
      </c>
      <c r="F64" s="171">
        <v>0</v>
      </c>
      <c r="G64" s="171">
        <v>6</v>
      </c>
      <c r="H64" s="171">
        <v>8</v>
      </c>
      <c r="I64" s="171">
        <v>15</v>
      </c>
      <c r="J64" s="171">
        <v>2</v>
      </c>
      <c r="K64" s="171">
        <v>31</v>
      </c>
      <c r="L64" s="171">
        <v>1</v>
      </c>
      <c r="M64" s="171">
        <v>3</v>
      </c>
      <c r="N64" s="171">
        <v>7</v>
      </c>
      <c r="O64" s="171">
        <v>24</v>
      </c>
      <c r="P64" s="173">
        <v>0</v>
      </c>
    </row>
    <row r="65" spans="1:16" hidden="1">
      <c r="A65" s="172" t="s">
        <v>452</v>
      </c>
      <c r="B65" s="172" t="s">
        <v>467</v>
      </c>
      <c r="C65" s="172">
        <v>40</v>
      </c>
      <c r="D65" s="172">
        <v>0</v>
      </c>
      <c r="E65" s="172">
        <v>0</v>
      </c>
      <c r="F65" s="172">
        <v>0</v>
      </c>
      <c r="G65" s="172">
        <v>0</v>
      </c>
      <c r="H65" s="172">
        <v>16</v>
      </c>
      <c r="I65" s="172">
        <v>26</v>
      </c>
      <c r="J65" s="172">
        <v>5</v>
      </c>
      <c r="K65" s="172">
        <v>47</v>
      </c>
      <c r="L65" s="172">
        <v>28</v>
      </c>
      <c r="M65" s="172">
        <v>9</v>
      </c>
      <c r="N65" s="172">
        <v>4</v>
      </c>
      <c r="O65" s="172">
        <v>10</v>
      </c>
      <c r="P65" s="174">
        <v>5</v>
      </c>
    </row>
    <row r="66" spans="1:16" hidden="1">
      <c r="A66" s="171" t="s">
        <v>452</v>
      </c>
      <c r="B66" s="171" t="s">
        <v>467</v>
      </c>
      <c r="C66" s="171">
        <v>40</v>
      </c>
      <c r="D66" s="171">
        <v>0</v>
      </c>
      <c r="E66" s="171">
        <v>0</v>
      </c>
      <c r="F66" s="171">
        <v>0</v>
      </c>
      <c r="G66" s="171">
        <v>2</v>
      </c>
      <c r="H66" s="171">
        <v>20</v>
      </c>
      <c r="I66" s="171">
        <v>21</v>
      </c>
      <c r="J66" s="171">
        <v>0</v>
      </c>
      <c r="K66" s="171">
        <v>43</v>
      </c>
      <c r="L66" s="171">
        <v>35</v>
      </c>
      <c r="M66" s="171">
        <v>11</v>
      </c>
      <c r="N66" s="171">
        <v>4</v>
      </c>
      <c r="O66" s="171">
        <v>5</v>
      </c>
      <c r="P66" s="173">
        <v>1</v>
      </c>
    </row>
    <row r="67" spans="1:16" hidden="1">
      <c r="A67" s="172" t="s">
        <v>452</v>
      </c>
      <c r="B67" s="172" t="s">
        <v>467</v>
      </c>
      <c r="C67" s="172">
        <v>40</v>
      </c>
      <c r="D67" s="172">
        <v>0</v>
      </c>
      <c r="E67" s="172">
        <v>0</v>
      </c>
      <c r="F67" s="172">
        <v>0</v>
      </c>
      <c r="G67" s="172">
        <v>8</v>
      </c>
      <c r="H67" s="172">
        <v>10</v>
      </c>
      <c r="I67" s="172">
        <v>15</v>
      </c>
      <c r="J67" s="172">
        <v>0</v>
      </c>
      <c r="K67" s="172">
        <v>33</v>
      </c>
      <c r="L67" s="172">
        <v>3</v>
      </c>
      <c r="M67" s="172">
        <v>6</v>
      </c>
      <c r="N67" s="172">
        <v>23</v>
      </c>
      <c r="O67" s="172">
        <v>7</v>
      </c>
      <c r="P67" s="174">
        <v>0</v>
      </c>
    </row>
    <row r="68" spans="1:16" hidden="1">
      <c r="A68" s="171" t="s">
        <v>452</v>
      </c>
      <c r="B68" s="171" t="s">
        <v>467</v>
      </c>
      <c r="C68" s="171">
        <v>40</v>
      </c>
      <c r="D68" s="171">
        <v>0</v>
      </c>
      <c r="E68" s="171">
        <v>0</v>
      </c>
      <c r="F68" s="171">
        <v>0</v>
      </c>
      <c r="G68" s="171">
        <v>7</v>
      </c>
      <c r="H68" s="171">
        <v>9</v>
      </c>
      <c r="I68" s="171">
        <v>14</v>
      </c>
      <c r="J68" s="171">
        <v>0</v>
      </c>
      <c r="K68" s="171">
        <v>30</v>
      </c>
      <c r="L68" s="171">
        <v>17</v>
      </c>
      <c r="M68" s="171">
        <v>4</v>
      </c>
      <c r="N68" s="171">
        <v>8</v>
      </c>
      <c r="O68" s="171">
        <v>7</v>
      </c>
      <c r="P68" s="173">
        <v>2</v>
      </c>
    </row>
    <row r="69" spans="1:16" hidden="1">
      <c r="A69" s="172" t="s">
        <v>452</v>
      </c>
      <c r="B69" s="172" t="s">
        <v>467</v>
      </c>
      <c r="C69" s="172">
        <v>40</v>
      </c>
      <c r="D69" s="172">
        <v>0</v>
      </c>
      <c r="E69" s="172">
        <v>0</v>
      </c>
      <c r="F69" s="172">
        <v>0</v>
      </c>
      <c r="G69" s="172">
        <v>4</v>
      </c>
      <c r="H69" s="172">
        <v>25</v>
      </c>
      <c r="I69" s="172">
        <v>19</v>
      </c>
      <c r="J69" s="172">
        <v>0</v>
      </c>
      <c r="K69" s="172">
        <v>48</v>
      </c>
      <c r="L69" s="172">
        <v>24</v>
      </c>
      <c r="M69" s="172">
        <v>5</v>
      </c>
      <c r="N69" s="172">
        <v>7</v>
      </c>
      <c r="O69" s="172">
        <v>18</v>
      </c>
      <c r="P69" s="174">
        <v>3</v>
      </c>
    </row>
    <row r="70" spans="1:16" hidden="1">
      <c r="A70" s="171" t="s">
        <v>452</v>
      </c>
      <c r="B70" s="171" t="s">
        <v>467</v>
      </c>
      <c r="C70" s="171">
        <v>40</v>
      </c>
      <c r="D70" s="171">
        <v>0</v>
      </c>
      <c r="E70" s="171">
        <v>0</v>
      </c>
      <c r="F70" s="171">
        <v>0</v>
      </c>
      <c r="G70" s="171">
        <v>6</v>
      </c>
      <c r="H70" s="171">
        <v>13</v>
      </c>
      <c r="I70" s="171">
        <v>20</v>
      </c>
      <c r="J70" s="171">
        <v>0</v>
      </c>
      <c r="K70" s="171">
        <v>39</v>
      </c>
      <c r="L70" s="171">
        <v>10</v>
      </c>
      <c r="M70" s="171">
        <v>6</v>
      </c>
      <c r="N70" s="171">
        <v>11</v>
      </c>
      <c r="O70" s="171">
        <v>24</v>
      </c>
      <c r="P70" s="173">
        <v>0</v>
      </c>
    </row>
    <row r="71" spans="1:16" hidden="1">
      <c r="A71" s="172" t="s">
        <v>452</v>
      </c>
      <c r="B71" s="172" t="s">
        <v>467</v>
      </c>
      <c r="C71" s="172">
        <v>30</v>
      </c>
      <c r="D71" s="172">
        <v>0</v>
      </c>
      <c r="E71" s="172">
        <v>0</v>
      </c>
      <c r="F71" s="172">
        <v>0</v>
      </c>
      <c r="G71" s="172">
        <v>3</v>
      </c>
      <c r="H71" s="172">
        <v>14</v>
      </c>
      <c r="I71" s="172">
        <v>19</v>
      </c>
      <c r="J71" s="172">
        <v>2</v>
      </c>
      <c r="K71" s="172">
        <v>38</v>
      </c>
      <c r="L71" s="172">
        <v>15</v>
      </c>
      <c r="M71" s="172">
        <v>4</v>
      </c>
      <c r="N71" s="172">
        <v>1</v>
      </c>
      <c r="O71" s="172">
        <v>23</v>
      </c>
      <c r="P71" s="174">
        <v>4</v>
      </c>
    </row>
    <row r="72" spans="1:16" hidden="1">
      <c r="A72" s="171" t="s">
        <v>452</v>
      </c>
      <c r="B72" s="171" t="s">
        <v>467</v>
      </c>
      <c r="C72" s="171">
        <v>40</v>
      </c>
      <c r="D72" s="171">
        <v>0</v>
      </c>
      <c r="E72" s="171">
        <v>0</v>
      </c>
      <c r="F72" s="171">
        <v>0</v>
      </c>
      <c r="G72" s="171">
        <v>8</v>
      </c>
      <c r="H72" s="171">
        <v>15</v>
      </c>
      <c r="I72" s="171">
        <v>17</v>
      </c>
      <c r="J72" s="171">
        <v>0</v>
      </c>
      <c r="K72" s="171">
        <v>40</v>
      </c>
      <c r="L72" s="171">
        <v>28</v>
      </c>
      <c r="M72" s="171">
        <v>5</v>
      </c>
      <c r="N72" s="171">
        <v>3</v>
      </c>
      <c r="O72" s="171">
        <v>6</v>
      </c>
      <c r="P72" s="173">
        <v>8</v>
      </c>
    </row>
    <row r="73" spans="1:16" hidden="1">
      <c r="A73" s="172" t="s">
        <v>452</v>
      </c>
      <c r="B73" s="172" t="s">
        <v>467</v>
      </c>
      <c r="C73" s="172">
        <v>40</v>
      </c>
      <c r="D73" s="172">
        <v>0</v>
      </c>
      <c r="E73" s="172">
        <v>0</v>
      </c>
      <c r="F73" s="172">
        <v>0</v>
      </c>
      <c r="G73" s="172">
        <v>3</v>
      </c>
      <c r="H73" s="172">
        <v>12</v>
      </c>
      <c r="I73" s="172">
        <v>15</v>
      </c>
      <c r="J73" s="172">
        <v>0</v>
      </c>
      <c r="K73" s="172">
        <v>30</v>
      </c>
      <c r="L73" s="172">
        <v>4</v>
      </c>
      <c r="M73" s="172">
        <v>10</v>
      </c>
      <c r="N73" s="172">
        <v>20</v>
      </c>
      <c r="O73" s="172">
        <v>2</v>
      </c>
      <c r="P73" s="174">
        <v>1</v>
      </c>
    </row>
    <row r="74" spans="1:16" hidden="1">
      <c r="A74" s="171" t="s">
        <v>452</v>
      </c>
      <c r="B74" s="171" t="s">
        <v>467</v>
      </c>
      <c r="C74" s="171">
        <v>40</v>
      </c>
      <c r="D74" s="171">
        <v>0</v>
      </c>
      <c r="E74" s="171">
        <v>0</v>
      </c>
      <c r="F74" s="171">
        <v>0</v>
      </c>
      <c r="G74" s="171">
        <v>5</v>
      </c>
      <c r="H74" s="171">
        <v>9</v>
      </c>
      <c r="I74" s="171">
        <v>32</v>
      </c>
      <c r="J74" s="171">
        <v>1</v>
      </c>
      <c r="K74" s="171">
        <v>47</v>
      </c>
      <c r="L74" s="171">
        <v>14</v>
      </c>
      <c r="M74" s="171">
        <v>21</v>
      </c>
      <c r="N74" s="171">
        <v>19</v>
      </c>
      <c r="O74" s="171">
        <v>6</v>
      </c>
      <c r="P74" s="173">
        <v>5</v>
      </c>
    </row>
    <row r="75" spans="1:16" hidden="1">
      <c r="A75" s="172" t="s">
        <v>452</v>
      </c>
      <c r="B75" s="172" t="s">
        <v>467</v>
      </c>
      <c r="C75" s="172">
        <v>40</v>
      </c>
      <c r="D75" s="172">
        <v>0</v>
      </c>
      <c r="E75" s="172">
        <v>0</v>
      </c>
      <c r="F75" s="172">
        <v>0</v>
      </c>
      <c r="G75" s="172">
        <v>0</v>
      </c>
      <c r="H75" s="172">
        <v>18</v>
      </c>
      <c r="I75" s="172">
        <v>17</v>
      </c>
      <c r="J75" s="172">
        <v>1</v>
      </c>
      <c r="K75" s="172">
        <v>36</v>
      </c>
      <c r="L75" s="172">
        <v>10</v>
      </c>
      <c r="M75" s="172">
        <v>20</v>
      </c>
      <c r="N75" s="172">
        <v>15</v>
      </c>
      <c r="O75" s="172">
        <v>5</v>
      </c>
      <c r="P75" s="174">
        <v>1</v>
      </c>
    </row>
    <row r="76" spans="1:16" hidden="1">
      <c r="A76" s="171" t="s">
        <v>452</v>
      </c>
      <c r="B76" s="171" t="s">
        <v>467</v>
      </c>
      <c r="C76" s="171">
        <v>40</v>
      </c>
      <c r="D76" s="171">
        <v>0</v>
      </c>
      <c r="E76" s="171">
        <v>0</v>
      </c>
      <c r="F76" s="171">
        <v>0</v>
      </c>
      <c r="G76" s="171">
        <v>8</v>
      </c>
      <c r="H76" s="171">
        <v>11</v>
      </c>
      <c r="I76" s="171">
        <v>14</v>
      </c>
      <c r="J76" s="171">
        <v>0</v>
      </c>
      <c r="K76" s="171">
        <v>33</v>
      </c>
      <c r="L76" s="171">
        <v>9</v>
      </c>
      <c r="M76" s="171">
        <v>6</v>
      </c>
      <c r="N76" s="171">
        <v>11</v>
      </c>
      <c r="O76" s="171">
        <v>14</v>
      </c>
      <c r="P76" s="173">
        <v>2</v>
      </c>
    </row>
    <row r="77" spans="1:16" hidden="1">
      <c r="A77" s="172" t="s">
        <v>452</v>
      </c>
      <c r="B77" s="172" t="s">
        <v>467</v>
      </c>
      <c r="C77" s="172">
        <v>40</v>
      </c>
      <c r="D77" s="172">
        <v>0</v>
      </c>
      <c r="E77" s="172">
        <v>0</v>
      </c>
      <c r="F77" s="172">
        <v>0</v>
      </c>
      <c r="G77" s="172">
        <v>0</v>
      </c>
      <c r="H77" s="172">
        <v>15</v>
      </c>
      <c r="I77" s="172">
        <v>31</v>
      </c>
      <c r="J77" s="172">
        <v>1</v>
      </c>
      <c r="K77" s="172">
        <v>47</v>
      </c>
      <c r="L77" s="172">
        <v>15</v>
      </c>
      <c r="M77" s="172">
        <v>6</v>
      </c>
      <c r="N77" s="172">
        <v>14</v>
      </c>
      <c r="O77" s="172">
        <v>22</v>
      </c>
      <c r="P77" s="174">
        <v>5</v>
      </c>
    </row>
    <row r="78" spans="1:16" hidden="1">
      <c r="A78" s="171" t="s">
        <v>452</v>
      </c>
      <c r="B78" s="171" t="s">
        <v>467</v>
      </c>
      <c r="C78" s="171">
        <v>40</v>
      </c>
      <c r="D78" s="171">
        <v>0</v>
      </c>
      <c r="E78" s="171">
        <v>0</v>
      </c>
      <c r="F78" s="171">
        <v>0</v>
      </c>
      <c r="G78" s="171">
        <v>6</v>
      </c>
      <c r="H78" s="171">
        <v>5</v>
      </c>
      <c r="I78" s="171">
        <v>12</v>
      </c>
      <c r="J78" s="171">
        <v>1</v>
      </c>
      <c r="K78" s="171">
        <v>24</v>
      </c>
      <c r="L78" s="171">
        <v>8</v>
      </c>
      <c r="M78" s="171">
        <v>3</v>
      </c>
      <c r="N78" s="171">
        <v>3</v>
      </c>
      <c r="O78" s="171">
        <v>11</v>
      </c>
      <c r="P78" s="173">
        <v>3</v>
      </c>
    </row>
    <row r="79" spans="1:16" hidden="1">
      <c r="A79" s="172" t="s">
        <v>452</v>
      </c>
      <c r="B79" s="172" t="s">
        <v>467</v>
      </c>
      <c r="C79" s="172">
        <v>40</v>
      </c>
      <c r="D79" s="172">
        <v>0</v>
      </c>
      <c r="E79" s="172">
        <v>0</v>
      </c>
      <c r="F79" s="172">
        <v>0</v>
      </c>
      <c r="G79" s="172">
        <v>4</v>
      </c>
      <c r="H79" s="172">
        <v>20</v>
      </c>
      <c r="I79" s="172">
        <v>23</v>
      </c>
      <c r="J79" s="172">
        <v>1</v>
      </c>
      <c r="K79" s="172">
        <v>48</v>
      </c>
      <c r="L79" s="172">
        <v>31</v>
      </c>
      <c r="M79" s="172">
        <v>4</v>
      </c>
      <c r="N79" s="172">
        <v>3</v>
      </c>
      <c r="O79" s="172">
        <v>11</v>
      </c>
      <c r="P79" s="174">
        <v>7</v>
      </c>
    </row>
    <row r="80" spans="1:16" hidden="1">
      <c r="A80" s="171" t="s">
        <v>452</v>
      </c>
      <c r="B80" s="171" t="s">
        <v>467</v>
      </c>
      <c r="C80" s="171">
        <v>30</v>
      </c>
      <c r="D80" s="171">
        <v>0</v>
      </c>
      <c r="E80" s="171">
        <v>0</v>
      </c>
      <c r="F80" s="171">
        <v>0</v>
      </c>
      <c r="G80" s="171">
        <v>0</v>
      </c>
      <c r="H80" s="171">
        <v>9</v>
      </c>
      <c r="I80" s="171">
        <v>22</v>
      </c>
      <c r="J80" s="171">
        <v>0</v>
      </c>
      <c r="K80" s="171">
        <v>31</v>
      </c>
      <c r="L80" s="171">
        <v>21</v>
      </c>
      <c r="M80" s="171">
        <v>6</v>
      </c>
      <c r="N80" s="171">
        <v>8</v>
      </c>
      <c r="O80" s="171">
        <v>2</v>
      </c>
      <c r="P80" s="173">
        <v>6</v>
      </c>
    </row>
    <row r="81" spans="1:16" hidden="1">
      <c r="A81" s="172" t="s">
        <v>452</v>
      </c>
      <c r="B81" s="172" t="s">
        <v>467</v>
      </c>
      <c r="C81" s="172">
        <v>40</v>
      </c>
      <c r="D81" s="172">
        <v>0</v>
      </c>
      <c r="E81" s="172">
        <v>0</v>
      </c>
      <c r="F81" s="172">
        <v>0</v>
      </c>
      <c r="G81" s="172">
        <v>10</v>
      </c>
      <c r="H81" s="172">
        <v>15</v>
      </c>
      <c r="I81" s="172">
        <v>19</v>
      </c>
      <c r="J81" s="172">
        <v>2</v>
      </c>
      <c r="K81" s="172">
        <v>46</v>
      </c>
      <c r="L81" s="172">
        <v>20</v>
      </c>
      <c r="M81" s="172">
        <v>2</v>
      </c>
      <c r="N81" s="172">
        <v>1</v>
      </c>
      <c r="O81" s="172">
        <v>26</v>
      </c>
      <c r="P81" s="174">
        <v>5</v>
      </c>
    </row>
    <row r="82" spans="1:16" hidden="1">
      <c r="A82" s="171" t="s">
        <v>452</v>
      </c>
      <c r="B82" s="171" t="s">
        <v>467</v>
      </c>
      <c r="C82" s="171">
        <v>30</v>
      </c>
      <c r="D82" s="171">
        <v>0</v>
      </c>
      <c r="E82" s="171">
        <v>0</v>
      </c>
      <c r="F82" s="171">
        <v>0</v>
      </c>
      <c r="G82" s="171">
        <v>0</v>
      </c>
      <c r="H82" s="171">
        <v>8</v>
      </c>
      <c r="I82" s="171">
        <v>21</v>
      </c>
      <c r="J82" s="171">
        <v>2</v>
      </c>
      <c r="K82" s="171">
        <v>31</v>
      </c>
      <c r="L82" s="171">
        <v>22</v>
      </c>
      <c r="M82" s="171">
        <v>4</v>
      </c>
      <c r="N82" s="171">
        <v>4</v>
      </c>
      <c r="O82" s="171">
        <v>6</v>
      </c>
      <c r="P82" s="173">
        <v>3</v>
      </c>
    </row>
    <row r="83" spans="1:16" hidden="1">
      <c r="A83" s="172" t="s">
        <v>452</v>
      </c>
      <c r="B83" s="172" t="s">
        <v>467</v>
      </c>
      <c r="C83" s="172">
        <v>40</v>
      </c>
      <c r="D83" s="172">
        <v>0</v>
      </c>
      <c r="E83" s="172">
        <v>0</v>
      </c>
      <c r="F83" s="172">
        <v>0</v>
      </c>
      <c r="G83" s="172">
        <v>1</v>
      </c>
      <c r="H83" s="172">
        <v>17</v>
      </c>
      <c r="I83" s="172">
        <v>33</v>
      </c>
      <c r="J83" s="172">
        <v>1</v>
      </c>
      <c r="K83" s="172">
        <v>52</v>
      </c>
      <c r="L83" s="172">
        <v>22</v>
      </c>
      <c r="M83" s="172">
        <v>6</v>
      </c>
      <c r="N83" s="172">
        <v>9</v>
      </c>
      <c r="O83" s="172">
        <v>26</v>
      </c>
      <c r="P83" s="174">
        <v>2</v>
      </c>
    </row>
    <row r="84" spans="1:16" hidden="1">
      <c r="A84" s="171" t="s">
        <v>452</v>
      </c>
      <c r="B84" s="171" t="s">
        <v>467</v>
      </c>
      <c r="C84" s="171">
        <v>40</v>
      </c>
      <c r="D84" s="171">
        <v>0</v>
      </c>
      <c r="E84" s="171">
        <v>0</v>
      </c>
      <c r="F84" s="171">
        <v>0</v>
      </c>
      <c r="G84" s="171">
        <v>4</v>
      </c>
      <c r="H84" s="171">
        <v>13</v>
      </c>
      <c r="I84" s="171">
        <v>28</v>
      </c>
      <c r="J84" s="171">
        <v>1</v>
      </c>
      <c r="K84" s="171">
        <v>46</v>
      </c>
      <c r="L84" s="171">
        <v>27</v>
      </c>
      <c r="M84" s="171">
        <v>6</v>
      </c>
      <c r="N84" s="171">
        <v>2</v>
      </c>
      <c r="O84" s="171">
        <v>15</v>
      </c>
      <c r="P84" s="173">
        <v>4</v>
      </c>
    </row>
    <row r="85" spans="1:16" hidden="1">
      <c r="A85" s="172" t="s">
        <v>452</v>
      </c>
      <c r="B85" s="172" t="s">
        <v>467</v>
      </c>
      <c r="C85" s="172">
        <v>40</v>
      </c>
      <c r="D85" s="172">
        <v>0</v>
      </c>
      <c r="E85" s="172">
        <v>0</v>
      </c>
      <c r="F85" s="172">
        <v>0</v>
      </c>
      <c r="G85" s="172">
        <v>9</v>
      </c>
      <c r="H85" s="172">
        <v>23</v>
      </c>
      <c r="I85" s="172">
        <v>17</v>
      </c>
      <c r="J85" s="172">
        <v>1</v>
      </c>
      <c r="K85" s="172">
        <v>50</v>
      </c>
      <c r="L85" s="172">
        <v>20</v>
      </c>
      <c r="M85" s="172">
        <v>11</v>
      </c>
      <c r="N85" s="172">
        <v>19</v>
      </c>
      <c r="O85" s="172">
        <v>16</v>
      </c>
      <c r="P85" s="174">
        <v>3</v>
      </c>
    </row>
    <row r="86" spans="1:16" hidden="1">
      <c r="A86" s="171" t="s">
        <v>452</v>
      </c>
      <c r="B86" s="171" t="s">
        <v>467</v>
      </c>
      <c r="C86" s="171">
        <v>40</v>
      </c>
      <c r="D86" s="171">
        <v>0</v>
      </c>
      <c r="E86" s="171">
        <v>0</v>
      </c>
      <c r="F86" s="171">
        <v>0</v>
      </c>
      <c r="G86" s="171">
        <v>0</v>
      </c>
      <c r="H86" s="171">
        <v>14</v>
      </c>
      <c r="I86" s="171">
        <v>36</v>
      </c>
      <c r="J86" s="171">
        <v>3</v>
      </c>
      <c r="K86" s="171">
        <v>53</v>
      </c>
      <c r="L86" s="171">
        <v>43</v>
      </c>
      <c r="M86" s="171">
        <v>3</v>
      </c>
      <c r="N86" s="171">
        <v>2</v>
      </c>
      <c r="O86" s="171">
        <v>17</v>
      </c>
      <c r="P86" s="173">
        <v>1</v>
      </c>
    </row>
    <row r="87" spans="1:16" hidden="1">
      <c r="A87" s="172" t="s">
        <v>452</v>
      </c>
      <c r="B87" s="172" t="s">
        <v>467</v>
      </c>
      <c r="C87" s="172">
        <v>40</v>
      </c>
      <c r="D87" s="172">
        <v>0</v>
      </c>
      <c r="E87" s="172">
        <v>0</v>
      </c>
      <c r="F87" s="172">
        <v>0</v>
      </c>
      <c r="G87" s="172">
        <v>8</v>
      </c>
      <c r="H87" s="172">
        <v>12</v>
      </c>
      <c r="I87" s="172">
        <v>26</v>
      </c>
      <c r="J87" s="172">
        <v>4</v>
      </c>
      <c r="K87" s="172">
        <v>50</v>
      </c>
      <c r="L87" s="172">
        <v>18</v>
      </c>
      <c r="M87" s="172">
        <v>19</v>
      </c>
      <c r="N87" s="172">
        <v>20</v>
      </c>
      <c r="O87" s="172">
        <v>18</v>
      </c>
      <c r="P87" s="174">
        <v>2</v>
      </c>
    </row>
    <row r="88" spans="1:16" hidden="1">
      <c r="A88" s="171" t="s">
        <v>452</v>
      </c>
      <c r="B88" s="171" t="s">
        <v>467</v>
      </c>
      <c r="C88" s="171">
        <v>40</v>
      </c>
      <c r="D88" s="171">
        <v>0</v>
      </c>
      <c r="E88" s="171">
        <v>0</v>
      </c>
      <c r="F88" s="171">
        <v>0</v>
      </c>
      <c r="G88" s="171">
        <v>2</v>
      </c>
      <c r="H88" s="171">
        <v>20</v>
      </c>
      <c r="I88" s="171">
        <v>30</v>
      </c>
      <c r="J88" s="171">
        <v>3</v>
      </c>
      <c r="K88" s="171">
        <v>55</v>
      </c>
      <c r="L88" s="171">
        <v>25</v>
      </c>
      <c r="M88" s="171">
        <v>11</v>
      </c>
      <c r="N88" s="171">
        <v>12</v>
      </c>
      <c r="O88" s="171">
        <v>21</v>
      </c>
      <c r="P88" s="173">
        <v>1</v>
      </c>
    </row>
    <row r="89" spans="1:16" hidden="1">
      <c r="A89" s="172" t="s">
        <v>452</v>
      </c>
      <c r="B89" s="172" t="s">
        <v>467</v>
      </c>
      <c r="C89" s="172">
        <v>40</v>
      </c>
      <c r="D89" s="172">
        <v>0</v>
      </c>
      <c r="E89" s="172">
        <v>0</v>
      </c>
      <c r="F89" s="172">
        <v>0</v>
      </c>
      <c r="G89" s="172">
        <v>5</v>
      </c>
      <c r="H89" s="172">
        <v>18</v>
      </c>
      <c r="I89" s="172">
        <v>24</v>
      </c>
      <c r="J89" s="172">
        <v>1</v>
      </c>
      <c r="K89" s="172">
        <v>48</v>
      </c>
      <c r="L89" s="172">
        <v>24</v>
      </c>
      <c r="M89" s="172">
        <v>2</v>
      </c>
      <c r="N89" s="172">
        <v>1</v>
      </c>
      <c r="O89" s="172">
        <v>27</v>
      </c>
      <c r="P89" s="174">
        <v>1</v>
      </c>
    </row>
    <row r="90" spans="1:16" hidden="1">
      <c r="A90" s="171" t="s">
        <v>452</v>
      </c>
      <c r="B90" s="171" t="s">
        <v>467</v>
      </c>
      <c r="C90" s="171">
        <v>40</v>
      </c>
      <c r="D90" s="171">
        <v>0</v>
      </c>
      <c r="E90" s="171">
        <v>0</v>
      </c>
      <c r="F90" s="171">
        <v>0</v>
      </c>
      <c r="G90" s="171">
        <v>0</v>
      </c>
      <c r="H90" s="171">
        <v>14</v>
      </c>
      <c r="I90" s="171">
        <v>35</v>
      </c>
      <c r="J90" s="171">
        <v>0</v>
      </c>
      <c r="K90" s="171">
        <v>49</v>
      </c>
      <c r="L90" s="171">
        <v>43</v>
      </c>
      <c r="M90" s="171">
        <v>11</v>
      </c>
      <c r="N90" s="171">
        <v>3</v>
      </c>
      <c r="O90" s="171">
        <v>8</v>
      </c>
      <c r="P90" s="173">
        <v>0</v>
      </c>
    </row>
    <row r="91" spans="1:16" hidden="1">
      <c r="A91" s="172" t="s">
        <v>452</v>
      </c>
      <c r="B91" s="172" t="s">
        <v>467</v>
      </c>
      <c r="C91" s="172">
        <v>40</v>
      </c>
      <c r="D91" s="172">
        <v>0</v>
      </c>
      <c r="E91" s="172">
        <v>0</v>
      </c>
      <c r="F91" s="172">
        <v>0</v>
      </c>
      <c r="G91" s="172">
        <v>8</v>
      </c>
      <c r="H91" s="172">
        <v>22</v>
      </c>
      <c r="I91" s="172">
        <v>16</v>
      </c>
      <c r="J91" s="172">
        <v>1</v>
      </c>
      <c r="K91" s="172">
        <v>47</v>
      </c>
      <c r="L91" s="172">
        <v>19</v>
      </c>
      <c r="M91" s="172">
        <v>3</v>
      </c>
      <c r="N91" s="172">
        <v>3</v>
      </c>
      <c r="O91" s="172">
        <v>27</v>
      </c>
      <c r="P91" s="174">
        <v>2</v>
      </c>
    </row>
    <row r="92" spans="1:16" hidden="1">
      <c r="A92" s="171" t="s">
        <v>452</v>
      </c>
      <c r="B92" s="171" t="s">
        <v>467</v>
      </c>
      <c r="C92" s="171">
        <v>30</v>
      </c>
      <c r="D92" s="171">
        <v>0</v>
      </c>
      <c r="E92" s="171">
        <v>0</v>
      </c>
      <c r="F92" s="171">
        <v>0</v>
      </c>
      <c r="G92" s="171">
        <v>5</v>
      </c>
      <c r="H92" s="171">
        <v>5</v>
      </c>
      <c r="I92" s="171">
        <v>8</v>
      </c>
      <c r="J92" s="171">
        <v>2</v>
      </c>
      <c r="K92" s="171">
        <v>20</v>
      </c>
      <c r="L92" s="171">
        <v>1</v>
      </c>
      <c r="M92" s="171">
        <v>2</v>
      </c>
      <c r="N92" s="171">
        <v>19</v>
      </c>
      <c r="O92" s="171">
        <v>1</v>
      </c>
      <c r="P92" s="173">
        <v>0</v>
      </c>
    </row>
    <row r="93" spans="1:16" hidden="1">
      <c r="A93" s="172" t="s">
        <v>452</v>
      </c>
      <c r="B93" s="172" t="s">
        <v>467</v>
      </c>
      <c r="C93" s="172">
        <v>40</v>
      </c>
      <c r="D93" s="172">
        <v>0</v>
      </c>
      <c r="E93" s="172">
        <v>0</v>
      </c>
      <c r="F93" s="172">
        <v>0</v>
      </c>
      <c r="G93" s="172">
        <v>12</v>
      </c>
      <c r="H93" s="172">
        <v>15</v>
      </c>
      <c r="I93" s="172">
        <v>11</v>
      </c>
      <c r="J93" s="172">
        <v>1</v>
      </c>
      <c r="K93" s="172">
        <v>39</v>
      </c>
      <c r="L93" s="172">
        <v>4</v>
      </c>
      <c r="M93" s="172">
        <v>9</v>
      </c>
      <c r="N93" s="172">
        <v>20</v>
      </c>
      <c r="O93" s="172">
        <v>15</v>
      </c>
      <c r="P93" s="174">
        <v>0</v>
      </c>
    </row>
    <row r="94" spans="1:16" hidden="1">
      <c r="A94" s="171" t="s">
        <v>452</v>
      </c>
      <c r="B94" s="171" t="s">
        <v>467</v>
      </c>
      <c r="C94" s="171">
        <v>40</v>
      </c>
      <c r="D94" s="171">
        <v>0</v>
      </c>
      <c r="E94" s="171">
        <v>0</v>
      </c>
      <c r="F94" s="171">
        <v>0</v>
      </c>
      <c r="G94" s="171">
        <v>2</v>
      </c>
      <c r="H94" s="171">
        <v>9</v>
      </c>
      <c r="I94" s="171">
        <v>29</v>
      </c>
      <c r="J94" s="171">
        <v>2</v>
      </c>
      <c r="K94" s="171">
        <v>42</v>
      </c>
      <c r="L94" s="171">
        <v>12</v>
      </c>
      <c r="M94" s="171">
        <v>11</v>
      </c>
      <c r="N94" s="171">
        <v>20</v>
      </c>
      <c r="O94" s="171">
        <v>13</v>
      </c>
      <c r="P94" s="173">
        <v>0</v>
      </c>
    </row>
    <row r="95" spans="1:16" hidden="1">
      <c r="A95" s="172" t="s">
        <v>452</v>
      </c>
      <c r="B95" s="172" t="s">
        <v>467</v>
      </c>
      <c r="C95" s="172">
        <v>20</v>
      </c>
      <c r="D95" s="172">
        <v>0</v>
      </c>
      <c r="E95" s="172">
        <v>0</v>
      </c>
      <c r="F95" s="172">
        <v>0</v>
      </c>
      <c r="G95" s="172">
        <v>3</v>
      </c>
      <c r="H95" s="172">
        <v>8</v>
      </c>
      <c r="I95" s="172">
        <v>13</v>
      </c>
      <c r="J95" s="172">
        <v>1</v>
      </c>
      <c r="K95" s="172">
        <v>25</v>
      </c>
      <c r="L95" s="172">
        <v>17</v>
      </c>
      <c r="M95" s="172">
        <v>11</v>
      </c>
      <c r="N95" s="172">
        <v>1</v>
      </c>
      <c r="O95" s="172">
        <v>0</v>
      </c>
      <c r="P95" s="174">
        <v>2</v>
      </c>
    </row>
    <row r="96" spans="1:16" hidden="1">
      <c r="A96" s="171" t="s">
        <v>452</v>
      </c>
      <c r="B96" s="171" t="s">
        <v>467</v>
      </c>
      <c r="C96" s="171">
        <v>40</v>
      </c>
      <c r="D96" s="171">
        <v>0</v>
      </c>
      <c r="E96" s="171">
        <v>0</v>
      </c>
      <c r="F96" s="171">
        <v>0</v>
      </c>
      <c r="G96" s="171">
        <v>5</v>
      </c>
      <c r="H96" s="171">
        <v>17</v>
      </c>
      <c r="I96" s="171">
        <v>10</v>
      </c>
      <c r="J96" s="171">
        <v>2</v>
      </c>
      <c r="K96" s="171">
        <v>34</v>
      </c>
      <c r="L96" s="171">
        <v>3</v>
      </c>
      <c r="M96" s="171">
        <v>11</v>
      </c>
      <c r="N96" s="171">
        <v>21</v>
      </c>
      <c r="O96" s="171">
        <v>7</v>
      </c>
      <c r="P96" s="173">
        <v>2</v>
      </c>
    </row>
    <row r="97" spans="1:16" hidden="1">
      <c r="A97" s="172" t="s">
        <v>452</v>
      </c>
      <c r="B97" s="172" t="s">
        <v>467</v>
      </c>
      <c r="C97" s="172">
        <v>40</v>
      </c>
      <c r="D97" s="172">
        <v>0</v>
      </c>
      <c r="E97" s="172">
        <v>0</v>
      </c>
      <c r="F97" s="172">
        <v>0</v>
      </c>
      <c r="G97" s="172">
        <v>2</v>
      </c>
      <c r="H97" s="172">
        <v>17</v>
      </c>
      <c r="I97" s="172">
        <v>28</v>
      </c>
      <c r="J97" s="172">
        <v>1</v>
      </c>
      <c r="K97" s="172">
        <v>48</v>
      </c>
      <c r="L97" s="172">
        <v>45</v>
      </c>
      <c r="M97" s="172">
        <v>6</v>
      </c>
      <c r="N97" s="172">
        <v>4</v>
      </c>
      <c r="O97" s="172">
        <v>2</v>
      </c>
      <c r="P97" s="174">
        <v>2</v>
      </c>
    </row>
    <row r="98" spans="1:16" hidden="1">
      <c r="A98" s="171" t="s">
        <v>452</v>
      </c>
      <c r="B98" s="171" t="s">
        <v>467</v>
      </c>
      <c r="C98" s="171">
        <v>40</v>
      </c>
      <c r="D98" s="171">
        <v>0</v>
      </c>
      <c r="E98" s="171">
        <v>0</v>
      </c>
      <c r="F98" s="171">
        <v>0</v>
      </c>
      <c r="G98" s="171">
        <v>6</v>
      </c>
      <c r="H98" s="171">
        <v>20</v>
      </c>
      <c r="I98" s="171">
        <v>25</v>
      </c>
      <c r="J98" s="171">
        <v>4</v>
      </c>
      <c r="K98" s="171">
        <v>55</v>
      </c>
      <c r="L98" s="171">
        <v>30</v>
      </c>
      <c r="M98" s="171">
        <v>14</v>
      </c>
      <c r="N98" s="171">
        <v>18</v>
      </c>
      <c r="O98" s="171">
        <v>16</v>
      </c>
      <c r="P98" s="173">
        <v>2</v>
      </c>
    </row>
    <row r="99" spans="1:16" hidden="1">
      <c r="A99" s="172" t="s">
        <v>452</v>
      </c>
      <c r="B99" s="172" t="s">
        <v>467</v>
      </c>
      <c r="C99" s="172">
        <v>40</v>
      </c>
      <c r="D99" s="172">
        <v>0</v>
      </c>
      <c r="E99" s="172">
        <v>0</v>
      </c>
      <c r="F99" s="172">
        <v>0</v>
      </c>
      <c r="G99" s="172">
        <v>4</v>
      </c>
      <c r="H99" s="172">
        <v>15</v>
      </c>
      <c r="I99" s="172">
        <v>15</v>
      </c>
      <c r="J99" s="172">
        <v>1</v>
      </c>
      <c r="K99" s="172">
        <v>35</v>
      </c>
      <c r="L99" s="172">
        <v>5</v>
      </c>
      <c r="M99" s="172">
        <v>12</v>
      </c>
      <c r="N99" s="172">
        <v>24</v>
      </c>
      <c r="O99" s="172">
        <v>6</v>
      </c>
      <c r="P99" s="174">
        <v>1</v>
      </c>
    </row>
    <row r="100" spans="1:16" hidden="1">
      <c r="A100" s="171" t="s">
        <v>452</v>
      </c>
      <c r="B100" s="171" t="s">
        <v>467</v>
      </c>
      <c r="C100" s="171">
        <v>40</v>
      </c>
      <c r="D100" s="171">
        <v>0</v>
      </c>
      <c r="E100" s="171">
        <v>0</v>
      </c>
      <c r="F100" s="171">
        <v>0</v>
      </c>
      <c r="G100" s="171">
        <v>5</v>
      </c>
      <c r="H100" s="171">
        <v>18</v>
      </c>
      <c r="I100" s="171">
        <v>26</v>
      </c>
      <c r="J100" s="171">
        <v>2</v>
      </c>
      <c r="K100" s="171">
        <v>51</v>
      </c>
      <c r="L100" s="171">
        <v>46</v>
      </c>
      <c r="M100" s="171">
        <v>4</v>
      </c>
      <c r="N100" s="171">
        <v>4</v>
      </c>
      <c r="O100" s="171">
        <v>5</v>
      </c>
      <c r="P100" s="173">
        <v>1</v>
      </c>
    </row>
    <row r="101" spans="1:16" hidden="1">
      <c r="A101" s="172" t="s">
        <v>452</v>
      </c>
      <c r="B101" s="172" t="s">
        <v>467</v>
      </c>
      <c r="C101" s="172">
        <v>40</v>
      </c>
      <c r="D101" s="172">
        <v>0</v>
      </c>
      <c r="E101" s="172">
        <v>0</v>
      </c>
      <c r="F101" s="172">
        <v>0</v>
      </c>
      <c r="G101" s="172">
        <v>6</v>
      </c>
      <c r="H101" s="172">
        <v>22</v>
      </c>
      <c r="I101" s="172">
        <v>23</v>
      </c>
      <c r="J101" s="172">
        <v>2</v>
      </c>
      <c r="K101" s="172">
        <v>53</v>
      </c>
      <c r="L101" s="172">
        <v>41</v>
      </c>
      <c r="M101" s="172">
        <v>12</v>
      </c>
      <c r="N101" s="172">
        <v>13</v>
      </c>
      <c r="O101" s="172">
        <v>11</v>
      </c>
      <c r="P101" s="174">
        <v>1</v>
      </c>
    </row>
    <row r="102" spans="1:16" hidden="1">
      <c r="A102" s="171" t="s">
        <v>452</v>
      </c>
      <c r="B102" s="171" t="s">
        <v>467</v>
      </c>
      <c r="C102" s="171">
        <v>40</v>
      </c>
      <c r="D102" s="171">
        <v>0</v>
      </c>
      <c r="E102" s="171">
        <v>0</v>
      </c>
      <c r="F102" s="171">
        <v>0</v>
      </c>
      <c r="G102" s="171">
        <v>6</v>
      </c>
      <c r="H102" s="171">
        <v>16</v>
      </c>
      <c r="I102" s="171">
        <v>24</v>
      </c>
      <c r="J102" s="171">
        <v>0</v>
      </c>
      <c r="K102" s="171">
        <v>46</v>
      </c>
      <c r="L102" s="171">
        <v>23</v>
      </c>
      <c r="M102" s="171">
        <v>11</v>
      </c>
      <c r="N102" s="171">
        <v>6</v>
      </c>
      <c r="O102" s="171">
        <v>16</v>
      </c>
      <c r="P102" s="173">
        <v>2</v>
      </c>
    </row>
    <row r="103" spans="1:16" hidden="1">
      <c r="A103" s="172" t="s">
        <v>452</v>
      </c>
      <c r="B103" s="172" t="s">
        <v>467</v>
      </c>
      <c r="C103" s="172">
        <v>40</v>
      </c>
      <c r="D103" s="172">
        <v>0</v>
      </c>
      <c r="E103" s="172">
        <v>0</v>
      </c>
      <c r="F103" s="172">
        <v>0</v>
      </c>
      <c r="G103" s="172">
        <v>7</v>
      </c>
      <c r="H103" s="172">
        <v>13</v>
      </c>
      <c r="I103" s="172">
        <v>16</v>
      </c>
      <c r="J103" s="172">
        <v>2</v>
      </c>
      <c r="K103" s="172">
        <v>38</v>
      </c>
      <c r="L103" s="172">
        <v>9</v>
      </c>
      <c r="M103" s="172">
        <v>19</v>
      </c>
      <c r="N103" s="172">
        <v>15</v>
      </c>
      <c r="O103" s="172">
        <v>12</v>
      </c>
      <c r="P103" s="174">
        <v>5</v>
      </c>
    </row>
    <row r="104" spans="1:16" hidden="1">
      <c r="A104" s="171" t="s">
        <v>452</v>
      </c>
      <c r="B104" s="171" t="s">
        <v>467</v>
      </c>
      <c r="C104" s="171">
        <v>40</v>
      </c>
      <c r="D104" s="171">
        <v>0</v>
      </c>
      <c r="E104" s="171">
        <v>0</v>
      </c>
      <c r="F104" s="171">
        <v>0</v>
      </c>
      <c r="G104" s="171">
        <v>5</v>
      </c>
      <c r="H104" s="171">
        <v>16</v>
      </c>
      <c r="I104" s="171">
        <v>25</v>
      </c>
      <c r="J104" s="171">
        <v>0</v>
      </c>
      <c r="K104" s="171">
        <v>46</v>
      </c>
      <c r="L104" s="171">
        <v>37</v>
      </c>
      <c r="M104" s="171">
        <v>11</v>
      </c>
      <c r="N104" s="171">
        <v>7</v>
      </c>
      <c r="O104" s="171">
        <v>7</v>
      </c>
      <c r="P104" s="173">
        <v>3</v>
      </c>
    </row>
    <row r="105" spans="1:16" hidden="1">
      <c r="A105" s="172" t="s">
        <v>452</v>
      </c>
      <c r="B105" s="172" t="s">
        <v>467</v>
      </c>
      <c r="C105" s="172">
        <v>40</v>
      </c>
      <c r="D105" s="172">
        <v>0</v>
      </c>
      <c r="E105" s="172">
        <v>0</v>
      </c>
      <c r="F105" s="172">
        <v>0</v>
      </c>
      <c r="G105" s="172">
        <v>3</v>
      </c>
      <c r="H105" s="172">
        <v>16</v>
      </c>
      <c r="I105" s="172">
        <v>22</v>
      </c>
      <c r="J105" s="172">
        <v>2</v>
      </c>
      <c r="K105" s="172">
        <v>43</v>
      </c>
      <c r="L105" s="172">
        <v>6</v>
      </c>
      <c r="M105" s="172">
        <v>12</v>
      </c>
      <c r="N105" s="172">
        <v>26</v>
      </c>
      <c r="O105" s="172">
        <v>14</v>
      </c>
      <c r="P105" s="174">
        <v>0</v>
      </c>
    </row>
    <row r="106" spans="1:16" hidden="1">
      <c r="A106" s="171" t="s">
        <v>452</v>
      </c>
      <c r="B106" s="171" t="s">
        <v>467</v>
      </c>
      <c r="C106" s="171">
        <v>40</v>
      </c>
      <c r="D106" s="171">
        <v>0</v>
      </c>
      <c r="E106" s="171">
        <v>0</v>
      </c>
      <c r="F106" s="171">
        <v>0</v>
      </c>
      <c r="G106" s="171">
        <v>8</v>
      </c>
      <c r="H106" s="171">
        <v>8</v>
      </c>
      <c r="I106" s="171">
        <v>22</v>
      </c>
      <c r="J106" s="171">
        <v>1</v>
      </c>
      <c r="K106" s="171">
        <v>39</v>
      </c>
      <c r="L106" s="171">
        <v>2</v>
      </c>
      <c r="M106" s="171">
        <v>9</v>
      </c>
      <c r="N106" s="171">
        <v>23</v>
      </c>
      <c r="O106" s="171">
        <v>10</v>
      </c>
      <c r="P106" s="173">
        <v>5</v>
      </c>
    </row>
    <row r="107" spans="1:16" hidden="1">
      <c r="A107" s="172" t="s">
        <v>452</v>
      </c>
      <c r="B107" s="172" t="s">
        <v>467</v>
      </c>
      <c r="C107" s="172">
        <v>40</v>
      </c>
      <c r="D107" s="172">
        <v>0</v>
      </c>
      <c r="E107" s="172">
        <v>0</v>
      </c>
      <c r="F107" s="172">
        <v>0</v>
      </c>
      <c r="G107" s="172">
        <v>12</v>
      </c>
      <c r="H107" s="172">
        <v>16</v>
      </c>
      <c r="I107" s="172">
        <v>17</v>
      </c>
      <c r="J107" s="172">
        <v>1</v>
      </c>
      <c r="K107" s="172">
        <v>46</v>
      </c>
      <c r="L107" s="172">
        <v>40</v>
      </c>
      <c r="M107" s="172">
        <v>17</v>
      </c>
      <c r="N107" s="172">
        <v>8</v>
      </c>
      <c r="O107" s="172">
        <v>0</v>
      </c>
      <c r="P107" s="174">
        <v>1</v>
      </c>
    </row>
    <row r="108" spans="1:16" hidden="1">
      <c r="A108" s="169" t="s">
        <v>452</v>
      </c>
      <c r="B108" s="171" t="s">
        <v>467</v>
      </c>
      <c r="C108" s="171">
        <v>40</v>
      </c>
      <c r="D108" s="171">
        <v>0</v>
      </c>
      <c r="E108" s="171">
        <v>0</v>
      </c>
      <c r="F108" s="171">
        <v>0</v>
      </c>
      <c r="G108" s="171">
        <v>0</v>
      </c>
      <c r="H108" s="171">
        <v>18</v>
      </c>
      <c r="I108" s="171">
        <v>27</v>
      </c>
      <c r="J108" s="171">
        <v>5</v>
      </c>
      <c r="K108" s="171">
        <v>50</v>
      </c>
      <c r="L108" s="171">
        <v>49</v>
      </c>
      <c r="M108" s="171">
        <v>8</v>
      </c>
      <c r="N108" s="171">
        <v>5</v>
      </c>
      <c r="O108" s="171">
        <v>6</v>
      </c>
      <c r="P108" s="173">
        <v>1</v>
      </c>
    </row>
    <row r="109" spans="1:16" hidden="1">
      <c r="A109" s="170" t="s">
        <v>452</v>
      </c>
      <c r="B109" s="172" t="s">
        <v>467</v>
      </c>
      <c r="C109" s="172">
        <v>40</v>
      </c>
      <c r="D109" s="172">
        <v>0</v>
      </c>
      <c r="E109" s="172">
        <v>0</v>
      </c>
      <c r="F109" s="172">
        <v>0</v>
      </c>
      <c r="G109" s="172">
        <v>2</v>
      </c>
      <c r="H109" s="172">
        <v>21</v>
      </c>
      <c r="I109" s="172">
        <v>21</v>
      </c>
      <c r="J109" s="172">
        <v>0</v>
      </c>
      <c r="K109" s="172">
        <v>44</v>
      </c>
      <c r="L109" s="172">
        <v>21</v>
      </c>
      <c r="M109" s="172">
        <v>5</v>
      </c>
      <c r="N109" s="172">
        <v>1</v>
      </c>
      <c r="O109" s="172">
        <v>28</v>
      </c>
      <c r="P109" s="174">
        <v>2</v>
      </c>
    </row>
    <row r="110" spans="1:16" hidden="1">
      <c r="A110" s="169" t="s">
        <v>452</v>
      </c>
      <c r="B110" s="171" t="s">
        <v>467</v>
      </c>
      <c r="C110" s="171">
        <v>40</v>
      </c>
      <c r="D110" s="171">
        <v>0</v>
      </c>
      <c r="E110" s="171">
        <v>0</v>
      </c>
      <c r="F110" s="171">
        <v>0</v>
      </c>
      <c r="G110" s="171">
        <v>4</v>
      </c>
      <c r="H110" s="171">
        <v>9</v>
      </c>
      <c r="I110" s="171">
        <v>19</v>
      </c>
      <c r="J110" s="171">
        <v>3</v>
      </c>
      <c r="K110" s="171">
        <v>35</v>
      </c>
      <c r="L110" s="171">
        <v>11</v>
      </c>
      <c r="M110" s="171">
        <v>5</v>
      </c>
      <c r="N110" s="171">
        <v>14</v>
      </c>
      <c r="O110" s="171">
        <v>7</v>
      </c>
      <c r="P110" s="173">
        <v>5</v>
      </c>
    </row>
    <row r="111" spans="1:16" hidden="1">
      <c r="A111" s="170" t="s">
        <v>452</v>
      </c>
      <c r="B111" s="172" t="s">
        <v>467</v>
      </c>
      <c r="C111" s="172">
        <v>40</v>
      </c>
      <c r="D111" s="172">
        <v>0</v>
      </c>
      <c r="E111" s="172">
        <v>0</v>
      </c>
      <c r="F111" s="172">
        <v>0</v>
      </c>
      <c r="G111" s="172">
        <v>6</v>
      </c>
      <c r="H111" s="172">
        <v>18</v>
      </c>
      <c r="I111" s="172">
        <v>25</v>
      </c>
      <c r="J111" s="172">
        <v>1</v>
      </c>
      <c r="K111" s="172">
        <v>50</v>
      </c>
      <c r="L111" s="172">
        <v>20</v>
      </c>
      <c r="M111" s="172">
        <v>5</v>
      </c>
      <c r="N111" s="172">
        <v>4</v>
      </c>
      <c r="O111" s="172">
        <v>30</v>
      </c>
      <c r="P111" s="174">
        <v>1</v>
      </c>
    </row>
    <row r="112" spans="1:16" hidden="1">
      <c r="A112" s="169" t="s">
        <v>452</v>
      </c>
      <c r="B112" s="171" t="s">
        <v>467</v>
      </c>
      <c r="C112" s="171">
        <v>40</v>
      </c>
      <c r="D112" s="171">
        <v>0</v>
      </c>
      <c r="E112" s="171">
        <v>0</v>
      </c>
      <c r="F112" s="171">
        <v>0</v>
      </c>
      <c r="G112" s="171">
        <v>14</v>
      </c>
      <c r="H112" s="171">
        <v>22</v>
      </c>
      <c r="I112" s="171">
        <v>19</v>
      </c>
      <c r="J112" s="171">
        <v>0</v>
      </c>
      <c r="K112" s="171">
        <v>55</v>
      </c>
      <c r="L112" s="171">
        <v>53</v>
      </c>
      <c r="M112" s="171">
        <v>7</v>
      </c>
      <c r="N112" s="171">
        <v>5</v>
      </c>
      <c r="O112" s="171">
        <v>5</v>
      </c>
      <c r="P112" s="173">
        <v>0</v>
      </c>
    </row>
    <row r="113" spans="1:16" hidden="1">
      <c r="A113" s="172" t="s">
        <v>452</v>
      </c>
      <c r="B113" s="172" t="s">
        <v>467</v>
      </c>
      <c r="C113" s="172">
        <v>40</v>
      </c>
      <c r="D113" s="172">
        <v>0</v>
      </c>
      <c r="E113" s="172">
        <v>0</v>
      </c>
      <c r="F113" s="172">
        <v>0</v>
      </c>
      <c r="G113" s="172">
        <v>9</v>
      </c>
      <c r="H113" s="172">
        <v>15</v>
      </c>
      <c r="I113" s="172">
        <v>15</v>
      </c>
      <c r="J113" s="172">
        <v>2</v>
      </c>
      <c r="K113" s="172">
        <v>41</v>
      </c>
      <c r="L113" s="172">
        <v>38</v>
      </c>
      <c r="M113" s="172">
        <v>7</v>
      </c>
      <c r="N113" s="172">
        <v>0</v>
      </c>
      <c r="O113" s="172">
        <v>5</v>
      </c>
      <c r="P113" s="174">
        <v>0</v>
      </c>
    </row>
    <row r="114" spans="1:16" hidden="1">
      <c r="A114" s="169" t="s">
        <v>452</v>
      </c>
      <c r="B114" s="171" t="s">
        <v>467</v>
      </c>
      <c r="C114" s="171">
        <v>30</v>
      </c>
      <c r="D114" s="171">
        <v>0</v>
      </c>
      <c r="E114" s="171">
        <v>0</v>
      </c>
      <c r="F114" s="171">
        <v>0</v>
      </c>
      <c r="G114" s="171">
        <v>7</v>
      </c>
      <c r="H114" s="171">
        <v>11</v>
      </c>
      <c r="I114" s="171">
        <v>20</v>
      </c>
      <c r="J114" s="171">
        <v>1</v>
      </c>
      <c r="K114" s="171">
        <v>39</v>
      </c>
      <c r="L114" s="171">
        <v>13</v>
      </c>
      <c r="M114" s="171">
        <v>8</v>
      </c>
      <c r="N114" s="171">
        <v>20</v>
      </c>
      <c r="O114" s="171">
        <v>6</v>
      </c>
      <c r="P114" s="173">
        <v>4</v>
      </c>
    </row>
    <row r="115" spans="1:16" hidden="1">
      <c r="A115" s="170" t="s">
        <v>452</v>
      </c>
      <c r="B115" s="172" t="s">
        <v>467</v>
      </c>
      <c r="C115" s="172">
        <v>30</v>
      </c>
      <c r="D115" s="172">
        <v>0</v>
      </c>
      <c r="E115" s="172">
        <v>0</v>
      </c>
      <c r="F115" s="172">
        <v>0</v>
      </c>
      <c r="G115" s="172">
        <v>0</v>
      </c>
      <c r="H115" s="172">
        <v>8</v>
      </c>
      <c r="I115" s="172">
        <v>29</v>
      </c>
      <c r="J115" s="172">
        <v>2</v>
      </c>
      <c r="K115" s="172">
        <v>39</v>
      </c>
      <c r="L115" s="172">
        <v>30</v>
      </c>
      <c r="M115" s="172">
        <v>3</v>
      </c>
      <c r="N115" s="172">
        <v>2</v>
      </c>
      <c r="O115" s="172">
        <v>9</v>
      </c>
      <c r="P115" s="174">
        <v>0</v>
      </c>
    </row>
    <row r="116" spans="1:16" hidden="1">
      <c r="A116" s="171" t="s">
        <v>452</v>
      </c>
      <c r="B116" s="171" t="s">
        <v>467</v>
      </c>
      <c r="C116" s="171">
        <v>30</v>
      </c>
      <c r="D116" s="171">
        <v>0</v>
      </c>
      <c r="E116" s="171">
        <v>0</v>
      </c>
      <c r="F116" s="171">
        <v>0</v>
      </c>
      <c r="G116" s="171">
        <v>0</v>
      </c>
      <c r="H116" s="171">
        <v>0</v>
      </c>
      <c r="I116" s="171">
        <v>42</v>
      </c>
      <c r="J116" s="171">
        <v>0</v>
      </c>
      <c r="K116" s="171">
        <v>42</v>
      </c>
      <c r="L116" s="171">
        <v>35</v>
      </c>
      <c r="M116" s="171">
        <v>9</v>
      </c>
      <c r="N116" s="171">
        <v>2</v>
      </c>
      <c r="O116" s="171">
        <v>3</v>
      </c>
      <c r="P116" s="173">
        <v>1</v>
      </c>
    </row>
    <row r="117" spans="1:16" hidden="1">
      <c r="A117" s="170" t="s">
        <v>452</v>
      </c>
      <c r="B117" s="172" t="s">
        <v>467</v>
      </c>
      <c r="C117" s="172">
        <v>40</v>
      </c>
      <c r="D117" s="172">
        <v>0</v>
      </c>
      <c r="E117" s="172">
        <v>0</v>
      </c>
      <c r="F117" s="172">
        <v>0</v>
      </c>
      <c r="G117" s="172">
        <v>12</v>
      </c>
      <c r="H117" s="172">
        <v>11</v>
      </c>
      <c r="I117" s="172">
        <v>20</v>
      </c>
      <c r="J117" s="172">
        <v>1</v>
      </c>
      <c r="K117" s="172">
        <v>44</v>
      </c>
      <c r="L117" s="172">
        <v>42</v>
      </c>
      <c r="M117" s="172">
        <v>5</v>
      </c>
      <c r="N117" s="172">
        <v>3</v>
      </c>
      <c r="O117" s="172">
        <v>3</v>
      </c>
      <c r="P117" s="174">
        <v>1</v>
      </c>
    </row>
    <row r="118" spans="1:16" hidden="1">
      <c r="A118" s="169" t="s">
        <v>452</v>
      </c>
      <c r="B118" s="171" t="s">
        <v>467</v>
      </c>
      <c r="C118" s="171">
        <v>40</v>
      </c>
      <c r="D118" s="171">
        <v>0</v>
      </c>
      <c r="E118" s="171">
        <v>0</v>
      </c>
      <c r="F118" s="171">
        <v>0</v>
      </c>
      <c r="G118" s="171">
        <v>2</v>
      </c>
      <c r="H118" s="171">
        <v>14</v>
      </c>
      <c r="I118" s="171">
        <v>11</v>
      </c>
      <c r="J118" s="171">
        <v>1</v>
      </c>
      <c r="K118" s="171">
        <v>28</v>
      </c>
      <c r="L118" s="171">
        <v>4</v>
      </c>
      <c r="M118" s="171">
        <v>10</v>
      </c>
      <c r="N118" s="171">
        <v>20</v>
      </c>
      <c r="O118" s="171">
        <v>2</v>
      </c>
      <c r="P118" s="173">
        <v>0</v>
      </c>
    </row>
    <row r="119" spans="1:16" hidden="1">
      <c r="A119" s="170" t="s">
        <v>452</v>
      </c>
      <c r="B119" s="172" t="s">
        <v>467</v>
      </c>
      <c r="C119" s="172">
        <v>40</v>
      </c>
      <c r="D119" s="172">
        <v>0</v>
      </c>
      <c r="E119" s="172">
        <v>0</v>
      </c>
      <c r="F119" s="172">
        <v>0</v>
      </c>
      <c r="G119" s="172">
        <v>11</v>
      </c>
      <c r="H119" s="172">
        <v>10</v>
      </c>
      <c r="I119" s="172">
        <v>15</v>
      </c>
      <c r="J119" s="172">
        <v>1</v>
      </c>
      <c r="K119" s="172">
        <v>37</v>
      </c>
      <c r="L119" s="172">
        <v>6</v>
      </c>
      <c r="M119" s="172">
        <v>20</v>
      </c>
      <c r="N119" s="172">
        <v>19</v>
      </c>
      <c r="O119" s="172">
        <v>6</v>
      </c>
      <c r="P119" s="174">
        <v>1</v>
      </c>
    </row>
    <row r="120" spans="1:16" hidden="1">
      <c r="A120" s="169" t="s">
        <v>452</v>
      </c>
      <c r="B120" s="171" t="s">
        <v>467</v>
      </c>
      <c r="C120" s="171">
        <v>40</v>
      </c>
      <c r="D120" s="171">
        <v>0</v>
      </c>
      <c r="E120" s="171">
        <v>0</v>
      </c>
      <c r="F120" s="171">
        <v>0</v>
      </c>
      <c r="G120" s="171">
        <v>10</v>
      </c>
      <c r="H120" s="171">
        <v>9</v>
      </c>
      <c r="I120" s="171">
        <v>15</v>
      </c>
      <c r="J120" s="171">
        <v>1</v>
      </c>
      <c r="K120" s="171">
        <v>35</v>
      </c>
      <c r="L120" s="171">
        <v>14</v>
      </c>
      <c r="M120" s="171">
        <v>2</v>
      </c>
      <c r="N120" s="171">
        <v>4</v>
      </c>
      <c r="O120" s="171">
        <v>20</v>
      </c>
      <c r="P120" s="173">
        <v>2</v>
      </c>
    </row>
    <row r="121" spans="1:16" hidden="1">
      <c r="A121" s="170" t="s">
        <v>452</v>
      </c>
      <c r="B121" s="172" t="s">
        <v>467</v>
      </c>
      <c r="C121" s="172">
        <v>40</v>
      </c>
      <c r="D121" s="172">
        <v>0</v>
      </c>
      <c r="E121" s="172">
        <v>0</v>
      </c>
      <c r="F121" s="172">
        <v>0</v>
      </c>
      <c r="G121" s="172">
        <v>9</v>
      </c>
      <c r="H121" s="172">
        <v>18</v>
      </c>
      <c r="I121" s="172">
        <v>18</v>
      </c>
      <c r="J121" s="172">
        <v>2</v>
      </c>
      <c r="K121" s="172">
        <v>47</v>
      </c>
      <c r="L121" s="172">
        <v>29</v>
      </c>
      <c r="M121" s="172">
        <v>7</v>
      </c>
      <c r="N121" s="172">
        <v>4</v>
      </c>
      <c r="O121" s="172">
        <v>17</v>
      </c>
      <c r="P121" s="174">
        <v>4</v>
      </c>
    </row>
    <row r="122" spans="1:16" hidden="1">
      <c r="A122" s="169" t="s">
        <v>452</v>
      </c>
      <c r="B122" s="171" t="s">
        <v>467</v>
      </c>
      <c r="C122" s="171">
        <v>40</v>
      </c>
      <c r="D122" s="171">
        <v>0</v>
      </c>
      <c r="E122" s="171">
        <v>0</v>
      </c>
      <c r="F122" s="171">
        <v>0</v>
      </c>
      <c r="G122" s="171">
        <v>0</v>
      </c>
      <c r="H122" s="171">
        <v>16</v>
      </c>
      <c r="I122" s="171">
        <v>43</v>
      </c>
      <c r="J122" s="171">
        <v>1</v>
      </c>
      <c r="K122" s="171">
        <v>60</v>
      </c>
      <c r="L122" s="171">
        <v>57</v>
      </c>
      <c r="M122" s="171">
        <v>8</v>
      </c>
      <c r="N122" s="171">
        <v>2</v>
      </c>
      <c r="O122" s="171">
        <v>8</v>
      </c>
      <c r="P122" s="173">
        <v>3</v>
      </c>
    </row>
    <row r="123" spans="1:16" hidden="1">
      <c r="A123" s="170" t="s">
        <v>452</v>
      </c>
      <c r="B123" s="172" t="s">
        <v>467</v>
      </c>
      <c r="C123" s="172">
        <v>30</v>
      </c>
      <c r="D123" s="172">
        <v>0</v>
      </c>
      <c r="E123" s="172">
        <v>0</v>
      </c>
      <c r="F123" s="172">
        <v>0</v>
      </c>
      <c r="G123" s="172">
        <v>0</v>
      </c>
      <c r="H123" s="172">
        <v>18</v>
      </c>
      <c r="I123" s="172">
        <v>20</v>
      </c>
      <c r="J123" s="172">
        <v>0</v>
      </c>
      <c r="K123" s="172">
        <v>38</v>
      </c>
      <c r="L123" s="172">
        <v>30</v>
      </c>
      <c r="M123" s="172">
        <v>1</v>
      </c>
      <c r="N123" s="172">
        <v>2</v>
      </c>
      <c r="O123" s="172">
        <v>8</v>
      </c>
      <c r="P123" s="174">
        <v>1</v>
      </c>
    </row>
    <row r="124" spans="1:16" hidden="1">
      <c r="A124" s="169" t="s">
        <v>452</v>
      </c>
      <c r="B124" s="171" t="s">
        <v>467</v>
      </c>
      <c r="C124" s="171">
        <v>30</v>
      </c>
      <c r="D124" s="171">
        <v>0</v>
      </c>
      <c r="E124" s="171">
        <v>0</v>
      </c>
      <c r="F124" s="171">
        <v>0</v>
      </c>
      <c r="G124" s="171">
        <v>1</v>
      </c>
      <c r="H124" s="171">
        <v>5</v>
      </c>
      <c r="I124" s="171">
        <v>18</v>
      </c>
      <c r="J124" s="171">
        <v>2</v>
      </c>
      <c r="K124" s="171">
        <v>26</v>
      </c>
      <c r="L124" s="171">
        <v>3</v>
      </c>
      <c r="M124" s="171">
        <v>11</v>
      </c>
      <c r="N124" s="171">
        <v>19</v>
      </c>
      <c r="O124" s="171">
        <v>3</v>
      </c>
      <c r="P124" s="173">
        <v>3</v>
      </c>
    </row>
    <row r="125" spans="1:16" hidden="1">
      <c r="A125" s="172" t="s">
        <v>452</v>
      </c>
      <c r="B125" s="172" t="s">
        <v>467</v>
      </c>
      <c r="C125" s="172">
        <v>30</v>
      </c>
      <c r="D125" s="172">
        <v>0</v>
      </c>
      <c r="E125" s="172">
        <v>0</v>
      </c>
      <c r="F125" s="172">
        <v>0</v>
      </c>
      <c r="G125" s="172">
        <v>3</v>
      </c>
      <c r="H125" s="172">
        <v>6</v>
      </c>
      <c r="I125" s="172">
        <v>6</v>
      </c>
      <c r="J125" s="172">
        <v>0</v>
      </c>
      <c r="K125" s="172">
        <v>15</v>
      </c>
      <c r="L125" s="172">
        <v>9</v>
      </c>
      <c r="M125" s="172">
        <v>2</v>
      </c>
      <c r="N125" s="172">
        <v>2</v>
      </c>
      <c r="O125" s="172">
        <v>6</v>
      </c>
      <c r="P125" s="174">
        <v>1</v>
      </c>
    </row>
    <row r="126" spans="1:16" hidden="1">
      <c r="A126" s="171" t="s">
        <v>452</v>
      </c>
      <c r="B126" s="171" t="s">
        <v>467</v>
      </c>
      <c r="C126" s="171">
        <v>40</v>
      </c>
      <c r="D126" s="171">
        <v>0</v>
      </c>
      <c r="E126" s="171">
        <v>0</v>
      </c>
      <c r="F126" s="171">
        <v>0</v>
      </c>
      <c r="G126" s="171">
        <v>8</v>
      </c>
      <c r="H126" s="171">
        <v>14</v>
      </c>
      <c r="I126" s="171">
        <v>19</v>
      </c>
      <c r="J126" s="171">
        <v>0</v>
      </c>
      <c r="K126" s="171">
        <v>41</v>
      </c>
      <c r="L126" s="171">
        <v>37</v>
      </c>
      <c r="M126" s="171">
        <v>7</v>
      </c>
      <c r="N126" s="171">
        <v>6</v>
      </c>
      <c r="O126" s="171">
        <v>3</v>
      </c>
      <c r="P126" s="173">
        <v>0</v>
      </c>
    </row>
    <row r="127" spans="1:16" hidden="1">
      <c r="A127" s="172" t="s">
        <v>452</v>
      </c>
      <c r="B127" s="172" t="s">
        <v>467</v>
      </c>
      <c r="C127" s="172">
        <v>40</v>
      </c>
      <c r="D127" s="172">
        <v>0</v>
      </c>
      <c r="E127" s="172">
        <v>0</v>
      </c>
      <c r="F127" s="172">
        <v>0</v>
      </c>
      <c r="G127" s="172">
        <v>0</v>
      </c>
      <c r="H127" s="172">
        <v>22</v>
      </c>
      <c r="I127" s="172">
        <v>29</v>
      </c>
      <c r="J127" s="172">
        <v>0</v>
      </c>
      <c r="K127" s="172">
        <v>51</v>
      </c>
      <c r="L127" s="172">
        <v>43</v>
      </c>
      <c r="M127" s="172">
        <v>19</v>
      </c>
      <c r="N127" s="172">
        <v>2</v>
      </c>
      <c r="O127" s="172">
        <v>1</v>
      </c>
      <c r="P127" s="174">
        <v>0</v>
      </c>
    </row>
    <row r="128" spans="1:16" hidden="1">
      <c r="A128" s="169" t="s">
        <v>452</v>
      </c>
      <c r="B128" s="171" t="s">
        <v>467</v>
      </c>
      <c r="C128" s="171">
        <v>40</v>
      </c>
      <c r="D128" s="171">
        <v>0</v>
      </c>
      <c r="E128" s="171">
        <v>0</v>
      </c>
      <c r="F128" s="171">
        <v>0</v>
      </c>
      <c r="G128" s="171">
        <v>0</v>
      </c>
      <c r="H128" s="171">
        <v>26</v>
      </c>
      <c r="I128" s="171">
        <v>24</v>
      </c>
      <c r="J128" s="171">
        <v>4</v>
      </c>
      <c r="K128" s="171">
        <v>54</v>
      </c>
      <c r="L128" s="171">
        <v>34</v>
      </c>
      <c r="M128" s="171">
        <v>4</v>
      </c>
      <c r="N128" s="171">
        <v>3</v>
      </c>
      <c r="O128" s="171">
        <v>23</v>
      </c>
      <c r="P128" s="173">
        <v>2</v>
      </c>
    </row>
    <row r="129" spans="1:16">
      <c r="A129" s="170" t="s">
        <v>449</v>
      </c>
      <c r="B129" s="172" t="s">
        <v>467</v>
      </c>
      <c r="C129" s="172">
        <v>104</v>
      </c>
      <c r="D129" s="172">
        <v>24</v>
      </c>
      <c r="E129" s="172">
        <v>3</v>
      </c>
      <c r="F129" s="172">
        <v>14</v>
      </c>
      <c r="G129" s="172">
        <v>27</v>
      </c>
      <c r="H129" s="172">
        <v>31</v>
      </c>
      <c r="I129" s="172">
        <v>25</v>
      </c>
      <c r="J129" s="172">
        <v>1</v>
      </c>
      <c r="K129" s="172">
        <v>101</v>
      </c>
      <c r="L129" s="172">
        <v>42</v>
      </c>
      <c r="M129" s="172">
        <v>14</v>
      </c>
      <c r="N129" s="172">
        <v>7</v>
      </c>
      <c r="O129" s="172">
        <v>51</v>
      </c>
      <c r="P129" s="174">
        <v>8</v>
      </c>
    </row>
    <row r="130" spans="1:16">
      <c r="A130" s="171" t="s">
        <v>449</v>
      </c>
      <c r="B130" s="171" t="s">
        <v>467</v>
      </c>
      <c r="C130" s="171">
        <v>28</v>
      </c>
      <c r="D130" s="171">
        <v>0</v>
      </c>
      <c r="E130" s="171">
        <v>1</v>
      </c>
      <c r="F130" s="171">
        <v>0</v>
      </c>
      <c r="G130" s="171">
        <v>2</v>
      </c>
      <c r="H130" s="171">
        <v>5</v>
      </c>
      <c r="I130" s="171">
        <v>9</v>
      </c>
      <c r="J130" s="171">
        <v>1</v>
      </c>
      <c r="K130" s="171">
        <v>18</v>
      </c>
      <c r="L130" s="171">
        <v>13</v>
      </c>
      <c r="M130" s="171">
        <v>0</v>
      </c>
      <c r="N130" s="171">
        <v>0</v>
      </c>
      <c r="O130" s="171">
        <v>8</v>
      </c>
      <c r="P130" s="173">
        <v>0</v>
      </c>
    </row>
    <row r="131" spans="1:16">
      <c r="A131" s="172" t="s">
        <v>449</v>
      </c>
      <c r="B131" s="172" t="s">
        <v>467</v>
      </c>
      <c r="C131" s="172">
        <v>25</v>
      </c>
      <c r="D131" s="172">
        <v>0</v>
      </c>
      <c r="E131" s="172">
        <v>0</v>
      </c>
      <c r="F131" s="172">
        <v>0</v>
      </c>
      <c r="G131" s="172">
        <v>8</v>
      </c>
      <c r="H131" s="172">
        <v>9</v>
      </c>
      <c r="I131" s="172">
        <v>16</v>
      </c>
      <c r="J131" s="172">
        <v>1</v>
      </c>
      <c r="K131" s="172">
        <v>34</v>
      </c>
      <c r="L131" s="172">
        <v>25</v>
      </c>
      <c r="M131" s="172">
        <v>9</v>
      </c>
      <c r="N131" s="172">
        <v>6</v>
      </c>
      <c r="O131" s="172">
        <v>7</v>
      </c>
      <c r="P131" s="174">
        <v>1</v>
      </c>
    </row>
    <row r="132" spans="1:16">
      <c r="A132" s="171" t="s">
        <v>449</v>
      </c>
      <c r="B132" s="171" t="s">
        <v>467</v>
      </c>
      <c r="C132" s="171">
        <v>36</v>
      </c>
      <c r="D132" s="171">
        <v>0</v>
      </c>
      <c r="E132" s="171">
        <v>0</v>
      </c>
      <c r="F132" s="171">
        <v>1</v>
      </c>
      <c r="G132" s="171">
        <v>10</v>
      </c>
      <c r="H132" s="171">
        <v>17</v>
      </c>
      <c r="I132" s="171">
        <v>15</v>
      </c>
      <c r="J132" s="171">
        <v>2</v>
      </c>
      <c r="K132" s="171">
        <v>45</v>
      </c>
      <c r="L132" s="171">
        <v>39</v>
      </c>
      <c r="M132" s="171">
        <v>7</v>
      </c>
      <c r="N132" s="171">
        <v>5</v>
      </c>
      <c r="O132" s="171">
        <v>5</v>
      </c>
      <c r="P132" s="173">
        <v>0</v>
      </c>
    </row>
    <row r="133" spans="1:16">
      <c r="A133" s="170" t="s">
        <v>449</v>
      </c>
      <c r="B133" s="172" t="s">
        <v>467</v>
      </c>
      <c r="C133" s="172">
        <v>44</v>
      </c>
      <c r="D133" s="172">
        <v>15</v>
      </c>
      <c r="E133" s="172">
        <v>0</v>
      </c>
      <c r="F133" s="172">
        <v>12</v>
      </c>
      <c r="G133" s="172">
        <v>9</v>
      </c>
      <c r="H133" s="172">
        <v>15</v>
      </c>
      <c r="I133" s="172">
        <v>7</v>
      </c>
      <c r="J133" s="172">
        <v>1</v>
      </c>
      <c r="K133" s="172">
        <v>44</v>
      </c>
      <c r="L133" s="172">
        <v>30</v>
      </c>
      <c r="M133" s="172">
        <v>18</v>
      </c>
      <c r="N133" s="172">
        <v>8</v>
      </c>
      <c r="O133" s="172">
        <v>5</v>
      </c>
      <c r="P133" s="174">
        <v>4</v>
      </c>
    </row>
    <row r="134" spans="1:16">
      <c r="A134" s="169" t="s">
        <v>449</v>
      </c>
      <c r="B134" s="171" t="s">
        <v>467</v>
      </c>
      <c r="C134" s="171">
        <v>128</v>
      </c>
      <c r="D134" s="171">
        <v>0</v>
      </c>
      <c r="E134" s="171">
        <v>0</v>
      </c>
      <c r="F134" s="171">
        <v>0</v>
      </c>
      <c r="G134" s="171">
        <v>9</v>
      </c>
      <c r="H134" s="171">
        <v>25</v>
      </c>
      <c r="I134" s="171">
        <v>23</v>
      </c>
      <c r="J134" s="171">
        <v>3</v>
      </c>
      <c r="K134" s="171">
        <v>60</v>
      </c>
      <c r="L134" s="171">
        <v>35</v>
      </c>
      <c r="M134" s="171">
        <v>1</v>
      </c>
      <c r="N134" s="171">
        <v>1</v>
      </c>
      <c r="O134" s="171">
        <v>26</v>
      </c>
      <c r="P134" s="173">
        <v>3</v>
      </c>
    </row>
    <row r="135" spans="1:16">
      <c r="A135" s="172" t="s">
        <v>449</v>
      </c>
      <c r="B135" s="172" t="s">
        <v>467</v>
      </c>
      <c r="C135" s="172">
        <v>50</v>
      </c>
      <c r="D135" s="172">
        <v>14</v>
      </c>
      <c r="E135" s="172">
        <v>2</v>
      </c>
      <c r="F135" s="172">
        <v>7</v>
      </c>
      <c r="G135" s="172">
        <v>9</v>
      </c>
      <c r="H135" s="172">
        <v>12</v>
      </c>
      <c r="I135" s="172">
        <v>19</v>
      </c>
      <c r="J135" s="172">
        <v>1</v>
      </c>
      <c r="K135" s="172">
        <v>50</v>
      </c>
      <c r="L135" s="172">
        <v>36</v>
      </c>
      <c r="M135" s="172">
        <v>25</v>
      </c>
      <c r="N135" s="172">
        <v>3</v>
      </c>
      <c r="O135" s="172">
        <v>4</v>
      </c>
      <c r="P135" s="174">
        <v>0</v>
      </c>
    </row>
    <row r="136" spans="1:16">
      <c r="A136" s="171" t="s">
        <v>449</v>
      </c>
      <c r="B136" s="171" t="s">
        <v>467</v>
      </c>
      <c r="C136" s="171">
        <v>130</v>
      </c>
      <c r="D136" s="171">
        <v>30</v>
      </c>
      <c r="E136" s="171">
        <v>4</v>
      </c>
      <c r="F136" s="171">
        <v>18</v>
      </c>
      <c r="G136" s="171">
        <v>24</v>
      </c>
      <c r="H136" s="171">
        <v>42</v>
      </c>
      <c r="I136" s="171">
        <v>18</v>
      </c>
      <c r="J136" s="171">
        <v>0</v>
      </c>
      <c r="K136" s="171">
        <v>106</v>
      </c>
      <c r="L136" s="171">
        <v>31</v>
      </c>
      <c r="M136" s="171">
        <v>5</v>
      </c>
      <c r="N136" s="171">
        <v>0</v>
      </c>
      <c r="O136" s="171">
        <v>68</v>
      </c>
      <c r="P136" s="173">
        <v>13</v>
      </c>
    </row>
    <row r="137" spans="1:16" hidden="1">
      <c r="A137" s="172" t="s">
        <v>452</v>
      </c>
      <c r="B137" s="172" t="s">
        <v>467</v>
      </c>
      <c r="C137" s="172">
        <v>30</v>
      </c>
      <c r="D137" s="172">
        <v>0</v>
      </c>
      <c r="E137" s="172">
        <v>0</v>
      </c>
      <c r="F137" s="172">
        <v>0</v>
      </c>
      <c r="G137" s="172">
        <v>0</v>
      </c>
      <c r="H137" s="172">
        <v>3</v>
      </c>
      <c r="I137" s="172">
        <v>35</v>
      </c>
      <c r="J137" s="172">
        <v>2</v>
      </c>
      <c r="K137" s="172">
        <v>40</v>
      </c>
      <c r="L137" s="172">
        <v>38</v>
      </c>
      <c r="M137" s="172">
        <v>6</v>
      </c>
      <c r="N137" s="172">
        <v>1</v>
      </c>
      <c r="O137" s="172">
        <v>3</v>
      </c>
      <c r="P137" s="174">
        <v>1</v>
      </c>
    </row>
    <row r="138" spans="1:16">
      <c r="A138" s="171" t="s">
        <v>449</v>
      </c>
      <c r="B138" s="171" t="s">
        <v>467</v>
      </c>
      <c r="C138" s="171">
        <v>45</v>
      </c>
      <c r="D138" s="171">
        <v>15</v>
      </c>
      <c r="E138" s="171">
        <v>3</v>
      </c>
      <c r="F138" s="171">
        <v>7</v>
      </c>
      <c r="G138" s="171">
        <v>9</v>
      </c>
      <c r="H138" s="171">
        <v>11</v>
      </c>
      <c r="I138" s="171">
        <v>7</v>
      </c>
      <c r="J138" s="171">
        <v>3</v>
      </c>
      <c r="K138" s="171">
        <v>40</v>
      </c>
      <c r="L138" s="171">
        <v>23</v>
      </c>
      <c r="M138" s="171">
        <v>11</v>
      </c>
      <c r="N138" s="171">
        <v>20</v>
      </c>
      <c r="O138" s="171">
        <v>7</v>
      </c>
      <c r="P138" s="173">
        <v>1</v>
      </c>
    </row>
    <row r="139" spans="1:16" hidden="1">
      <c r="A139" s="172" t="s">
        <v>451</v>
      </c>
      <c r="B139" s="172" t="s">
        <v>467</v>
      </c>
      <c r="C139" s="172">
        <v>40</v>
      </c>
      <c r="D139" s="172">
        <v>40</v>
      </c>
      <c r="E139" s="172"/>
      <c r="F139" s="172"/>
      <c r="G139" s="172"/>
      <c r="H139" s="172"/>
      <c r="I139" s="172"/>
      <c r="J139" s="172"/>
      <c r="K139" s="172"/>
      <c r="L139" s="172"/>
      <c r="M139" s="172"/>
      <c r="N139" s="172"/>
      <c r="O139" s="172"/>
      <c r="P139" s="174"/>
    </row>
    <row r="140" spans="1:16" hidden="1">
      <c r="A140" s="171" t="s">
        <v>451</v>
      </c>
      <c r="B140" s="171" t="s">
        <v>467</v>
      </c>
      <c r="C140" s="171">
        <v>25</v>
      </c>
      <c r="D140" s="171">
        <v>25</v>
      </c>
      <c r="E140" s="171"/>
      <c r="F140" s="171"/>
      <c r="G140" s="171"/>
      <c r="H140" s="171"/>
      <c r="I140" s="171"/>
      <c r="J140" s="171"/>
      <c r="K140" s="171"/>
      <c r="L140" s="171"/>
      <c r="M140" s="171"/>
      <c r="N140" s="171"/>
      <c r="O140" s="171"/>
      <c r="P140" s="173"/>
    </row>
    <row r="141" spans="1:16">
      <c r="A141" s="172" t="s">
        <v>449</v>
      </c>
      <c r="B141" s="172" t="s">
        <v>467</v>
      </c>
      <c r="C141" s="172">
        <v>30</v>
      </c>
      <c r="D141" s="172">
        <v>0</v>
      </c>
      <c r="E141" s="172">
        <v>0</v>
      </c>
      <c r="F141" s="172">
        <v>0</v>
      </c>
      <c r="G141" s="172">
        <v>5</v>
      </c>
      <c r="H141" s="172">
        <v>9</v>
      </c>
      <c r="I141" s="172">
        <v>16</v>
      </c>
      <c r="J141" s="172">
        <v>2</v>
      </c>
      <c r="K141" s="172">
        <v>32</v>
      </c>
      <c r="L141" s="172">
        <v>11</v>
      </c>
      <c r="M141" s="172">
        <v>9</v>
      </c>
      <c r="N141" s="172">
        <v>12</v>
      </c>
      <c r="O141" s="172">
        <v>9</v>
      </c>
      <c r="P141" s="174">
        <v>1</v>
      </c>
    </row>
    <row r="142" spans="1:16">
      <c r="A142" s="171" t="s">
        <v>449</v>
      </c>
      <c r="B142" s="171" t="s">
        <v>467</v>
      </c>
      <c r="C142" s="171">
        <v>135</v>
      </c>
      <c r="D142" s="171">
        <v>24</v>
      </c>
      <c r="E142" s="171">
        <v>4</v>
      </c>
      <c r="F142" s="171">
        <v>18</v>
      </c>
      <c r="G142" s="171">
        <v>20</v>
      </c>
      <c r="H142" s="171">
        <v>48</v>
      </c>
      <c r="I142" s="171">
        <v>44</v>
      </c>
      <c r="J142" s="171">
        <v>1</v>
      </c>
      <c r="K142" s="171">
        <v>135</v>
      </c>
      <c r="L142" s="171">
        <v>13</v>
      </c>
      <c r="M142" s="171">
        <v>17</v>
      </c>
      <c r="N142" s="171">
        <v>16</v>
      </c>
      <c r="O142" s="171">
        <v>106</v>
      </c>
      <c r="P142" s="173">
        <v>6</v>
      </c>
    </row>
    <row r="143" spans="1:16">
      <c r="A143" s="172" t="s">
        <v>449</v>
      </c>
      <c r="B143" s="172" t="s">
        <v>467</v>
      </c>
      <c r="C143" s="172">
        <v>33</v>
      </c>
      <c r="D143" s="172">
        <v>12</v>
      </c>
      <c r="E143" s="172">
        <v>2</v>
      </c>
      <c r="F143" s="172">
        <v>6</v>
      </c>
      <c r="G143" s="172">
        <v>5</v>
      </c>
      <c r="H143" s="172">
        <v>6</v>
      </c>
      <c r="I143" s="172">
        <v>12</v>
      </c>
      <c r="J143" s="172">
        <v>1</v>
      </c>
      <c r="K143" s="172">
        <v>32</v>
      </c>
      <c r="L143" s="172">
        <v>20</v>
      </c>
      <c r="M143" s="172">
        <v>1</v>
      </c>
      <c r="N143" s="172">
        <v>1</v>
      </c>
      <c r="O143" s="172">
        <v>17</v>
      </c>
      <c r="P143" s="174">
        <v>1</v>
      </c>
    </row>
    <row r="144" spans="1:16">
      <c r="A144" s="171" t="s">
        <v>449</v>
      </c>
      <c r="B144" s="171" t="s">
        <v>467</v>
      </c>
      <c r="C144" s="171">
        <v>100</v>
      </c>
      <c r="D144" s="171">
        <v>16</v>
      </c>
      <c r="E144" s="171">
        <v>6</v>
      </c>
      <c r="F144" s="171">
        <v>6</v>
      </c>
      <c r="G144" s="171">
        <v>15</v>
      </c>
      <c r="H144" s="171">
        <v>16</v>
      </c>
      <c r="I144" s="171">
        <v>17</v>
      </c>
      <c r="J144" s="171">
        <v>1</v>
      </c>
      <c r="K144" s="171">
        <v>61</v>
      </c>
      <c r="L144" s="171">
        <v>21</v>
      </c>
      <c r="M144" s="171">
        <v>5</v>
      </c>
      <c r="N144" s="171">
        <v>9</v>
      </c>
      <c r="O144" s="171">
        <v>36</v>
      </c>
      <c r="P144" s="173">
        <v>2</v>
      </c>
    </row>
    <row r="145" spans="1:16">
      <c r="A145" s="172" t="s">
        <v>449</v>
      </c>
      <c r="B145" s="172" t="s">
        <v>467</v>
      </c>
      <c r="C145" s="172">
        <v>46</v>
      </c>
      <c r="D145" s="172">
        <v>16</v>
      </c>
      <c r="E145" s="172">
        <v>0</v>
      </c>
      <c r="F145" s="172">
        <v>12</v>
      </c>
      <c r="G145" s="172">
        <v>11</v>
      </c>
      <c r="H145" s="172">
        <v>13</v>
      </c>
      <c r="I145" s="172">
        <v>7</v>
      </c>
      <c r="J145" s="172">
        <v>1</v>
      </c>
      <c r="K145" s="172">
        <v>44</v>
      </c>
      <c r="L145" s="172">
        <v>40</v>
      </c>
      <c r="M145" s="172">
        <v>5</v>
      </c>
      <c r="N145" s="172">
        <v>5</v>
      </c>
      <c r="O145" s="172">
        <v>9</v>
      </c>
      <c r="P145" s="174">
        <v>0</v>
      </c>
    </row>
    <row r="146" spans="1:16">
      <c r="A146" s="171" t="s">
        <v>449</v>
      </c>
      <c r="B146" s="171" t="s">
        <v>467</v>
      </c>
      <c r="C146" s="171">
        <v>25</v>
      </c>
      <c r="D146" s="171">
        <v>0</v>
      </c>
      <c r="E146" s="171">
        <v>0</v>
      </c>
      <c r="F146" s="171">
        <v>0</v>
      </c>
      <c r="G146" s="171">
        <v>6</v>
      </c>
      <c r="H146" s="171">
        <v>10</v>
      </c>
      <c r="I146" s="171">
        <v>14</v>
      </c>
      <c r="J146" s="171">
        <v>0</v>
      </c>
      <c r="K146" s="171">
        <v>30</v>
      </c>
      <c r="L146" s="171">
        <v>29</v>
      </c>
      <c r="M146" s="171">
        <v>5</v>
      </c>
      <c r="N146" s="171">
        <v>1</v>
      </c>
      <c r="O146" s="171">
        <v>3</v>
      </c>
      <c r="P146" s="173">
        <v>0</v>
      </c>
    </row>
    <row r="147" spans="1:16">
      <c r="A147" s="172" t="s">
        <v>449</v>
      </c>
      <c r="B147" s="172" t="s">
        <v>467</v>
      </c>
      <c r="C147" s="172">
        <v>45</v>
      </c>
      <c r="D147" s="172">
        <v>15</v>
      </c>
      <c r="E147" s="172">
        <v>2</v>
      </c>
      <c r="F147" s="172">
        <v>8</v>
      </c>
      <c r="G147" s="172">
        <v>9</v>
      </c>
      <c r="H147" s="172">
        <v>14</v>
      </c>
      <c r="I147" s="172">
        <v>11</v>
      </c>
      <c r="J147" s="172">
        <v>2</v>
      </c>
      <c r="K147" s="172">
        <v>46</v>
      </c>
      <c r="L147" s="172">
        <v>7</v>
      </c>
      <c r="M147" s="172">
        <v>5</v>
      </c>
      <c r="N147" s="172">
        <v>13</v>
      </c>
      <c r="O147" s="172">
        <v>27</v>
      </c>
      <c r="P147" s="174">
        <v>5</v>
      </c>
    </row>
    <row r="148" spans="1:16">
      <c r="A148" s="171" t="s">
        <v>449</v>
      </c>
      <c r="B148" s="171" t="s">
        <v>467</v>
      </c>
      <c r="C148" s="171">
        <v>112</v>
      </c>
      <c r="D148" s="171">
        <v>30</v>
      </c>
      <c r="E148" s="171">
        <v>4</v>
      </c>
      <c r="F148" s="171">
        <v>22</v>
      </c>
      <c r="G148" s="171">
        <v>27</v>
      </c>
      <c r="H148" s="171">
        <v>27</v>
      </c>
      <c r="I148" s="171">
        <v>15</v>
      </c>
      <c r="J148" s="171">
        <v>1</v>
      </c>
      <c r="K148" s="171">
        <v>96</v>
      </c>
      <c r="L148" s="171">
        <v>46</v>
      </c>
      <c r="M148" s="171">
        <v>5</v>
      </c>
      <c r="N148" s="171">
        <v>4</v>
      </c>
      <c r="O148" s="171">
        <v>46</v>
      </c>
      <c r="P148" s="173">
        <v>11</v>
      </c>
    </row>
    <row r="149" spans="1:16">
      <c r="A149" s="172" t="s">
        <v>449</v>
      </c>
      <c r="B149" s="172" t="s">
        <v>467</v>
      </c>
      <c r="C149" s="172">
        <v>100</v>
      </c>
      <c r="D149" s="172">
        <v>16</v>
      </c>
      <c r="E149" s="172">
        <v>4</v>
      </c>
      <c r="F149" s="172">
        <v>6</v>
      </c>
      <c r="G149" s="172">
        <v>16</v>
      </c>
      <c r="H149" s="172">
        <v>26</v>
      </c>
      <c r="I149" s="172">
        <v>27</v>
      </c>
      <c r="J149" s="172">
        <v>6</v>
      </c>
      <c r="K149" s="172">
        <v>85</v>
      </c>
      <c r="L149" s="172">
        <v>15</v>
      </c>
      <c r="M149" s="172">
        <v>8</v>
      </c>
      <c r="N149" s="172">
        <v>45</v>
      </c>
      <c r="O149" s="172">
        <v>31</v>
      </c>
      <c r="P149" s="174">
        <v>6</v>
      </c>
    </row>
    <row r="150" spans="1:16">
      <c r="A150" s="171" t="s">
        <v>449</v>
      </c>
      <c r="B150" s="171" t="s">
        <v>467</v>
      </c>
      <c r="C150" s="171">
        <v>30</v>
      </c>
      <c r="D150" s="171">
        <v>0</v>
      </c>
      <c r="E150" s="171">
        <v>0</v>
      </c>
      <c r="F150" s="171">
        <v>0</v>
      </c>
      <c r="G150" s="171">
        <v>3</v>
      </c>
      <c r="H150" s="171">
        <v>8</v>
      </c>
      <c r="I150" s="171">
        <v>6</v>
      </c>
      <c r="J150" s="171">
        <v>3</v>
      </c>
      <c r="K150" s="171">
        <v>20</v>
      </c>
      <c r="L150" s="171">
        <v>12</v>
      </c>
      <c r="M150" s="171">
        <v>8</v>
      </c>
      <c r="N150" s="171">
        <v>6</v>
      </c>
      <c r="O150" s="171">
        <v>1</v>
      </c>
      <c r="P150" s="173">
        <v>0</v>
      </c>
    </row>
    <row r="151" spans="1:16">
      <c r="A151" s="172" t="s">
        <v>449</v>
      </c>
      <c r="B151" s="172" t="s">
        <v>467</v>
      </c>
      <c r="C151" s="172">
        <v>50</v>
      </c>
      <c r="D151" s="172">
        <v>15</v>
      </c>
      <c r="E151" s="172">
        <v>3</v>
      </c>
      <c r="F151" s="172">
        <v>11</v>
      </c>
      <c r="G151" s="172">
        <v>12</v>
      </c>
      <c r="H151" s="172">
        <v>14</v>
      </c>
      <c r="I151" s="172">
        <v>8</v>
      </c>
      <c r="J151" s="172">
        <v>0</v>
      </c>
      <c r="K151" s="172">
        <v>48</v>
      </c>
      <c r="L151" s="172">
        <v>30</v>
      </c>
      <c r="M151" s="172">
        <v>6</v>
      </c>
      <c r="N151" s="172">
        <v>3</v>
      </c>
      <c r="O151" s="172">
        <v>19</v>
      </c>
      <c r="P151" s="174">
        <v>1</v>
      </c>
    </row>
    <row r="152" spans="1:16">
      <c r="A152" s="171" t="s">
        <v>449</v>
      </c>
      <c r="B152" s="171" t="s">
        <v>467</v>
      </c>
      <c r="C152" s="171">
        <v>20</v>
      </c>
      <c r="D152" s="171">
        <v>0</v>
      </c>
      <c r="E152" s="171">
        <v>0</v>
      </c>
      <c r="F152" s="171">
        <v>0</v>
      </c>
      <c r="G152" s="171">
        <v>6</v>
      </c>
      <c r="H152" s="171">
        <v>5</v>
      </c>
      <c r="I152" s="171">
        <v>10</v>
      </c>
      <c r="J152" s="171">
        <v>0</v>
      </c>
      <c r="K152" s="171">
        <v>21</v>
      </c>
      <c r="L152" s="171">
        <v>17</v>
      </c>
      <c r="M152" s="171">
        <v>4</v>
      </c>
      <c r="N152" s="171">
        <v>2</v>
      </c>
      <c r="O152" s="171">
        <v>5</v>
      </c>
      <c r="P152" s="173">
        <v>0</v>
      </c>
    </row>
    <row r="153" spans="1:16">
      <c r="A153" s="170" t="s">
        <v>449</v>
      </c>
      <c r="B153" s="172" t="s">
        <v>467</v>
      </c>
      <c r="C153" s="172">
        <v>20</v>
      </c>
      <c r="D153" s="172">
        <v>20</v>
      </c>
      <c r="E153" s="172">
        <v>2</v>
      </c>
      <c r="F153" s="172">
        <v>16</v>
      </c>
      <c r="G153" s="172">
        <v>0</v>
      </c>
      <c r="H153" s="172">
        <v>0</v>
      </c>
      <c r="I153" s="172">
        <v>0</v>
      </c>
      <c r="J153" s="172">
        <v>0</v>
      </c>
      <c r="K153" s="172">
        <v>18</v>
      </c>
      <c r="L153" s="172">
        <v>10</v>
      </c>
      <c r="M153" s="172">
        <v>2</v>
      </c>
      <c r="N153" s="172">
        <v>0</v>
      </c>
      <c r="O153" s="172">
        <v>1</v>
      </c>
      <c r="P153" s="174">
        <v>10</v>
      </c>
    </row>
    <row r="154" spans="1:16">
      <c r="A154" s="169" t="s">
        <v>449</v>
      </c>
      <c r="B154" s="171" t="s">
        <v>467</v>
      </c>
      <c r="C154" s="171">
        <v>100</v>
      </c>
      <c r="D154" s="171">
        <v>25</v>
      </c>
      <c r="E154" s="171">
        <v>3</v>
      </c>
      <c r="F154" s="171">
        <v>14</v>
      </c>
      <c r="G154" s="171">
        <v>20</v>
      </c>
      <c r="H154" s="171">
        <v>19</v>
      </c>
      <c r="I154" s="171">
        <v>32</v>
      </c>
      <c r="J154" s="171">
        <v>0</v>
      </c>
      <c r="K154" s="171">
        <v>88</v>
      </c>
      <c r="L154" s="171">
        <v>47</v>
      </c>
      <c r="M154" s="171">
        <v>19</v>
      </c>
      <c r="N154" s="171">
        <v>15</v>
      </c>
      <c r="O154" s="171">
        <v>34</v>
      </c>
      <c r="P154" s="173">
        <v>8</v>
      </c>
    </row>
    <row r="155" spans="1:16" hidden="1">
      <c r="A155" s="172" t="s">
        <v>468</v>
      </c>
      <c r="B155" s="172" t="s">
        <v>467</v>
      </c>
      <c r="C155" s="172">
        <v>50</v>
      </c>
      <c r="D155" s="172">
        <v>10</v>
      </c>
      <c r="E155" s="172">
        <v>1</v>
      </c>
      <c r="F155" s="172">
        <v>3</v>
      </c>
      <c r="G155" s="172">
        <v>4</v>
      </c>
      <c r="H155" s="172">
        <v>7</v>
      </c>
      <c r="I155" s="172">
        <v>9</v>
      </c>
      <c r="J155" s="172">
        <v>0</v>
      </c>
      <c r="K155" s="172">
        <v>24</v>
      </c>
      <c r="L155" s="172">
        <v>2</v>
      </c>
      <c r="M155" s="172">
        <v>6</v>
      </c>
      <c r="N155" s="172">
        <v>22</v>
      </c>
      <c r="O155" s="172">
        <v>1</v>
      </c>
      <c r="P155" s="174">
        <v>1</v>
      </c>
    </row>
    <row r="156" spans="1:16">
      <c r="A156" s="171" t="s">
        <v>449</v>
      </c>
      <c r="B156" s="171" t="s">
        <v>467</v>
      </c>
      <c r="C156" s="171">
        <v>70</v>
      </c>
      <c r="D156" s="171">
        <v>14</v>
      </c>
      <c r="E156" s="171">
        <v>0</v>
      </c>
      <c r="F156" s="171">
        <v>5</v>
      </c>
      <c r="G156" s="171">
        <v>21</v>
      </c>
      <c r="H156" s="171">
        <v>11</v>
      </c>
      <c r="I156" s="171">
        <v>17</v>
      </c>
      <c r="J156" s="171">
        <v>1</v>
      </c>
      <c r="K156" s="171">
        <v>55</v>
      </c>
      <c r="L156" s="171">
        <v>31</v>
      </c>
      <c r="M156" s="171">
        <v>20</v>
      </c>
      <c r="N156" s="171">
        <v>10</v>
      </c>
      <c r="O156" s="171">
        <v>8</v>
      </c>
      <c r="P156" s="173">
        <v>9</v>
      </c>
    </row>
    <row r="157" spans="1:16">
      <c r="A157" s="172" t="s">
        <v>449</v>
      </c>
      <c r="B157" s="172" t="s">
        <v>467</v>
      </c>
      <c r="C157" s="172">
        <v>40</v>
      </c>
      <c r="D157" s="172">
        <v>10</v>
      </c>
      <c r="E157" s="172">
        <v>0</v>
      </c>
      <c r="F157" s="172">
        <v>0</v>
      </c>
      <c r="G157" s="172">
        <v>3</v>
      </c>
      <c r="H157" s="172">
        <v>7</v>
      </c>
      <c r="I157" s="172">
        <v>14</v>
      </c>
      <c r="J157" s="172">
        <v>1</v>
      </c>
      <c r="K157" s="172">
        <v>25</v>
      </c>
      <c r="L157" s="172">
        <v>4</v>
      </c>
      <c r="M157" s="172">
        <v>1</v>
      </c>
      <c r="N157" s="172">
        <v>0</v>
      </c>
      <c r="O157" s="172">
        <v>21</v>
      </c>
      <c r="P157" s="174">
        <v>2</v>
      </c>
    </row>
    <row r="158" spans="1:16">
      <c r="A158" s="171" t="s">
        <v>449</v>
      </c>
      <c r="B158" s="171" t="s">
        <v>467</v>
      </c>
      <c r="C158" s="171">
        <v>76</v>
      </c>
      <c r="D158" s="171">
        <v>0</v>
      </c>
      <c r="E158" s="171">
        <v>0</v>
      </c>
      <c r="F158" s="171">
        <v>0</v>
      </c>
      <c r="G158" s="171">
        <v>10</v>
      </c>
      <c r="H158" s="171">
        <v>23</v>
      </c>
      <c r="I158" s="171">
        <v>23</v>
      </c>
      <c r="J158" s="171">
        <v>1</v>
      </c>
      <c r="K158" s="171">
        <v>57</v>
      </c>
      <c r="L158" s="171">
        <v>51</v>
      </c>
      <c r="M158" s="171">
        <v>9</v>
      </c>
      <c r="N158" s="171">
        <v>2</v>
      </c>
      <c r="O158" s="171">
        <v>2</v>
      </c>
      <c r="P158" s="173">
        <v>0</v>
      </c>
    </row>
    <row r="159" spans="1:16">
      <c r="A159" s="172" t="s">
        <v>449</v>
      </c>
      <c r="B159" s="172" t="s">
        <v>467</v>
      </c>
      <c r="C159" s="172">
        <v>33</v>
      </c>
      <c r="D159" s="172">
        <v>6</v>
      </c>
      <c r="E159" s="172">
        <v>1</v>
      </c>
      <c r="F159" s="172">
        <v>6</v>
      </c>
      <c r="G159" s="172">
        <v>7</v>
      </c>
      <c r="H159" s="172">
        <v>12</v>
      </c>
      <c r="I159" s="172">
        <v>18</v>
      </c>
      <c r="J159" s="172">
        <v>1</v>
      </c>
      <c r="K159" s="172">
        <v>45</v>
      </c>
      <c r="L159" s="172">
        <v>39</v>
      </c>
      <c r="M159" s="172">
        <v>11</v>
      </c>
      <c r="N159" s="172">
        <v>0</v>
      </c>
      <c r="O159" s="172">
        <v>1</v>
      </c>
      <c r="P159" s="174">
        <v>2</v>
      </c>
    </row>
    <row r="160" spans="1:16" hidden="1">
      <c r="A160" s="171" t="s">
        <v>347</v>
      </c>
      <c r="B160" s="171" t="s">
        <v>467</v>
      </c>
      <c r="C160" s="171">
        <v>66</v>
      </c>
      <c r="D160" s="171">
        <v>16</v>
      </c>
      <c r="E160" s="171">
        <v>2</v>
      </c>
      <c r="F160" s="171">
        <v>14</v>
      </c>
      <c r="G160" s="171">
        <v>17</v>
      </c>
      <c r="H160" s="171">
        <v>11</v>
      </c>
      <c r="I160" s="171">
        <v>12</v>
      </c>
      <c r="J160" s="171">
        <v>0</v>
      </c>
      <c r="K160" s="171">
        <v>56</v>
      </c>
      <c r="L160" s="171">
        <v>0</v>
      </c>
      <c r="M160" s="171">
        <v>53</v>
      </c>
      <c r="N160" s="171">
        <v>2</v>
      </c>
      <c r="O160" s="171">
        <v>0</v>
      </c>
      <c r="P160" s="173">
        <v>1</v>
      </c>
    </row>
    <row r="161" spans="1:16" hidden="1">
      <c r="A161" s="170" t="s">
        <v>469</v>
      </c>
      <c r="B161" s="172" t="s">
        <v>467</v>
      </c>
      <c r="C161" s="172">
        <v>40</v>
      </c>
      <c r="D161" s="172">
        <v>0</v>
      </c>
      <c r="E161" s="172">
        <v>0</v>
      </c>
      <c r="F161" s="172">
        <v>0</v>
      </c>
      <c r="G161" s="172">
        <v>3</v>
      </c>
      <c r="H161" s="172">
        <v>6</v>
      </c>
      <c r="I161" s="172">
        <v>6</v>
      </c>
      <c r="J161" s="172">
        <v>0</v>
      </c>
      <c r="K161" s="172">
        <v>15</v>
      </c>
      <c r="L161" s="172">
        <v>0</v>
      </c>
      <c r="M161" s="172">
        <v>1</v>
      </c>
      <c r="N161" s="172">
        <v>15</v>
      </c>
      <c r="O161" s="172">
        <v>0</v>
      </c>
      <c r="P161" s="174">
        <v>0</v>
      </c>
    </row>
    <row r="162" spans="1:16">
      <c r="A162" s="169" t="s">
        <v>449</v>
      </c>
      <c r="B162" s="171" t="s">
        <v>467</v>
      </c>
      <c r="C162" s="171">
        <v>80</v>
      </c>
      <c r="D162" s="171">
        <v>0</v>
      </c>
      <c r="E162" s="171">
        <v>0</v>
      </c>
      <c r="F162" s="171">
        <v>0</v>
      </c>
      <c r="G162" s="171">
        <v>0</v>
      </c>
      <c r="H162" s="171">
        <v>3</v>
      </c>
      <c r="I162" s="171">
        <v>18</v>
      </c>
      <c r="J162" s="171">
        <v>30</v>
      </c>
      <c r="K162" s="171">
        <v>51</v>
      </c>
      <c r="L162" s="171">
        <v>37</v>
      </c>
      <c r="M162" s="171">
        <v>5</v>
      </c>
      <c r="N162" s="171">
        <v>0</v>
      </c>
      <c r="O162" s="171">
        <v>16</v>
      </c>
      <c r="P162" s="173">
        <v>10</v>
      </c>
    </row>
    <row r="163" spans="1:16">
      <c r="A163" s="170" t="s">
        <v>449</v>
      </c>
      <c r="B163" s="172" t="s">
        <v>467</v>
      </c>
      <c r="C163" s="172">
        <v>30</v>
      </c>
      <c r="D163" s="172">
        <v>0</v>
      </c>
      <c r="E163" s="172">
        <v>0</v>
      </c>
      <c r="F163" s="172">
        <v>0</v>
      </c>
      <c r="G163" s="172">
        <v>6</v>
      </c>
      <c r="H163" s="172">
        <v>10</v>
      </c>
      <c r="I163" s="172">
        <v>13</v>
      </c>
      <c r="J163" s="172">
        <v>1</v>
      </c>
      <c r="K163" s="172">
        <v>30</v>
      </c>
      <c r="L163" s="172">
        <v>27</v>
      </c>
      <c r="M163" s="172">
        <v>0</v>
      </c>
      <c r="N163" s="172">
        <v>0</v>
      </c>
      <c r="O163" s="172">
        <v>3</v>
      </c>
      <c r="P163" s="174">
        <v>4</v>
      </c>
    </row>
    <row r="164" spans="1:16" hidden="1">
      <c r="A164" s="169" t="s">
        <v>468</v>
      </c>
      <c r="B164" s="171" t="s">
        <v>467</v>
      </c>
      <c r="C164" s="171">
        <v>30</v>
      </c>
      <c r="D164" s="171">
        <v>5</v>
      </c>
      <c r="E164" s="171">
        <v>1</v>
      </c>
      <c r="F164" s="171">
        <v>2</v>
      </c>
      <c r="G164" s="171">
        <v>8</v>
      </c>
      <c r="H164" s="171">
        <v>5</v>
      </c>
      <c r="I164" s="171">
        <v>10</v>
      </c>
      <c r="J164" s="171">
        <v>0</v>
      </c>
      <c r="K164" s="171">
        <v>26</v>
      </c>
      <c r="L164" s="171">
        <v>0</v>
      </c>
      <c r="M164" s="171">
        <v>0</v>
      </c>
      <c r="N164" s="171">
        <v>26</v>
      </c>
      <c r="O164" s="171">
        <v>1</v>
      </c>
      <c r="P164" s="173">
        <v>1</v>
      </c>
    </row>
    <row r="165" spans="1:16">
      <c r="A165" s="172" t="s">
        <v>449</v>
      </c>
      <c r="B165" s="172" t="s">
        <v>467</v>
      </c>
      <c r="C165" s="172">
        <v>25</v>
      </c>
      <c r="D165" s="172">
        <v>8</v>
      </c>
      <c r="E165" s="172">
        <v>1</v>
      </c>
      <c r="F165" s="172">
        <v>1</v>
      </c>
      <c r="G165" s="172">
        <v>10</v>
      </c>
      <c r="H165" s="172">
        <v>9</v>
      </c>
      <c r="I165" s="172">
        <v>9</v>
      </c>
      <c r="J165" s="172">
        <v>0</v>
      </c>
      <c r="K165" s="172">
        <v>30</v>
      </c>
      <c r="L165" s="172">
        <v>23</v>
      </c>
      <c r="M165" s="172">
        <v>2</v>
      </c>
      <c r="N165" s="172">
        <v>4</v>
      </c>
      <c r="O165" s="172">
        <v>8</v>
      </c>
      <c r="P165" s="174">
        <v>1</v>
      </c>
    </row>
    <row r="166" spans="1:16" hidden="1">
      <c r="A166" s="171" t="s">
        <v>347</v>
      </c>
      <c r="B166" s="171" t="s">
        <v>467</v>
      </c>
      <c r="C166" s="171">
        <v>40</v>
      </c>
      <c r="D166" s="171">
        <v>10</v>
      </c>
      <c r="E166" s="171">
        <v>1</v>
      </c>
      <c r="F166" s="171">
        <v>4</v>
      </c>
      <c r="G166" s="171">
        <v>8</v>
      </c>
      <c r="H166" s="171">
        <v>4</v>
      </c>
      <c r="I166" s="171">
        <v>5</v>
      </c>
      <c r="J166" s="171">
        <v>0</v>
      </c>
      <c r="K166" s="171">
        <v>22</v>
      </c>
      <c r="L166" s="171">
        <v>0</v>
      </c>
      <c r="M166" s="171">
        <v>19</v>
      </c>
      <c r="N166" s="171">
        <v>3</v>
      </c>
      <c r="O166" s="171">
        <v>0</v>
      </c>
      <c r="P166" s="173">
        <v>0</v>
      </c>
    </row>
    <row r="167" spans="1:16">
      <c r="A167" s="172" t="s">
        <v>449</v>
      </c>
      <c r="B167" s="172" t="s">
        <v>467</v>
      </c>
      <c r="C167" s="172">
        <v>40</v>
      </c>
      <c r="D167" s="172">
        <v>8</v>
      </c>
      <c r="E167" s="172">
        <v>3</v>
      </c>
      <c r="F167" s="172">
        <v>5</v>
      </c>
      <c r="G167" s="172">
        <v>4</v>
      </c>
      <c r="H167" s="172">
        <v>8</v>
      </c>
      <c r="I167" s="172">
        <v>11</v>
      </c>
      <c r="J167" s="172">
        <v>1</v>
      </c>
      <c r="K167" s="172">
        <v>32</v>
      </c>
      <c r="L167" s="172">
        <v>4</v>
      </c>
      <c r="M167" s="172">
        <v>3</v>
      </c>
      <c r="N167" s="172">
        <v>9</v>
      </c>
      <c r="O167" s="172">
        <v>17</v>
      </c>
      <c r="P167" s="174">
        <v>3</v>
      </c>
    </row>
    <row r="168" spans="1:16">
      <c r="A168" s="171" t="s">
        <v>449</v>
      </c>
      <c r="B168" s="171" t="s">
        <v>467</v>
      </c>
      <c r="C168" s="171">
        <v>25</v>
      </c>
      <c r="D168" s="171">
        <v>25</v>
      </c>
      <c r="E168" s="171">
        <v>3</v>
      </c>
      <c r="F168" s="171">
        <v>13</v>
      </c>
      <c r="G168" s="171">
        <v>0</v>
      </c>
      <c r="H168" s="171">
        <v>0</v>
      </c>
      <c r="I168" s="171">
        <v>0</v>
      </c>
      <c r="J168" s="171">
        <v>0</v>
      </c>
      <c r="K168" s="171">
        <v>16</v>
      </c>
      <c r="L168" s="171">
        <v>11</v>
      </c>
      <c r="M168" s="171">
        <v>5</v>
      </c>
      <c r="N168" s="171">
        <v>2</v>
      </c>
      <c r="O168" s="171">
        <v>0</v>
      </c>
      <c r="P168" s="173">
        <v>0</v>
      </c>
    </row>
    <row r="169" spans="1:16">
      <c r="A169" s="172" t="s">
        <v>449</v>
      </c>
      <c r="B169" s="172" t="s">
        <v>467</v>
      </c>
      <c r="C169" s="172">
        <v>43</v>
      </c>
      <c r="D169" s="172">
        <v>13</v>
      </c>
      <c r="E169" s="172">
        <v>1</v>
      </c>
      <c r="F169" s="172">
        <v>10</v>
      </c>
      <c r="G169" s="172">
        <v>8</v>
      </c>
      <c r="H169" s="172">
        <v>6</v>
      </c>
      <c r="I169" s="172">
        <v>11</v>
      </c>
      <c r="J169" s="172">
        <v>0</v>
      </c>
      <c r="K169" s="172">
        <v>36</v>
      </c>
      <c r="L169" s="172">
        <v>9</v>
      </c>
      <c r="M169" s="172">
        <v>2</v>
      </c>
      <c r="N169" s="172">
        <v>3</v>
      </c>
      <c r="O169" s="172">
        <v>26</v>
      </c>
      <c r="P169" s="174">
        <v>3</v>
      </c>
    </row>
    <row r="170" spans="1:16">
      <c r="A170" s="171" t="s">
        <v>449</v>
      </c>
      <c r="B170" s="171" t="s">
        <v>467</v>
      </c>
      <c r="C170" s="171">
        <v>50</v>
      </c>
      <c r="D170" s="171">
        <v>12</v>
      </c>
      <c r="E170" s="171">
        <v>1</v>
      </c>
      <c r="F170" s="171">
        <v>10</v>
      </c>
      <c r="G170" s="171">
        <v>10</v>
      </c>
      <c r="H170" s="171">
        <v>22</v>
      </c>
      <c r="I170" s="171">
        <v>18</v>
      </c>
      <c r="J170" s="171">
        <v>2</v>
      </c>
      <c r="K170" s="171">
        <v>63</v>
      </c>
      <c r="L170" s="171">
        <v>21</v>
      </c>
      <c r="M170" s="171">
        <v>22</v>
      </c>
      <c r="N170" s="171">
        <v>18</v>
      </c>
      <c r="O170" s="171">
        <v>24</v>
      </c>
      <c r="P170" s="173">
        <v>2</v>
      </c>
    </row>
    <row r="171" spans="1:16">
      <c r="A171" s="172" t="s">
        <v>449</v>
      </c>
      <c r="B171" s="172" t="s">
        <v>467</v>
      </c>
      <c r="C171" s="172">
        <v>50</v>
      </c>
      <c r="D171" s="172">
        <v>18</v>
      </c>
      <c r="E171" s="172">
        <v>2</v>
      </c>
      <c r="F171" s="172">
        <v>9</v>
      </c>
      <c r="G171" s="172">
        <v>12</v>
      </c>
      <c r="H171" s="172">
        <v>14</v>
      </c>
      <c r="I171" s="172">
        <v>9</v>
      </c>
      <c r="J171" s="172">
        <v>0</v>
      </c>
      <c r="K171" s="172">
        <v>46</v>
      </c>
      <c r="L171" s="172">
        <v>13</v>
      </c>
      <c r="M171" s="172">
        <v>7</v>
      </c>
      <c r="N171" s="172">
        <v>20</v>
      </c>
      <c r="O171" s="172">
        <v>21</v>
      </c>
      <c r="P171" s="174">
        <v>1</v>
      </c>
    </row>
    <row r="172" spans="1:16">
      <c r="A172" s="171" t="s">
        <v>449</v>
      </c>
      <c r="B172" s="171" t="s">
        <v>467</v>
      </c>
      <c r="C172" s="171">
        <v>30</v>
      </c>
      <c r="D172" s="171">
        <v>0</v>
      </c>
      <c r="E172" s="171">
        <v>0</v>
      </c>
      <c r="F172" s="171">
        <v>0</v>
      </c>
      <c r="G172" s="171">
        <v>9</v>
      </c>
      <c r="H172" s="171">
        <v>9</v>
      </c>
      <c r="I172" s="171">
        <v>9</v>
      </c>
      <c r="J172" s="171">
        <v>2</v>
      </c>
      <c r="K172" s="171">
        <v>29</v>
      </c>
      <c r="L172" s="171">
        <v>0</v>
      </c>
      <c r="M172" s="171">
        <v>0</v>
      </c>
      <c r="N172" s="171">
        <v>1</v>
      </c>
      <c r="O172" s="171">
        <v>26</v>
      </c>
      <c r="P172" s="173">
        <v>2</v>
      </c>
    </row>
    <row r="173" spans="1:16" hidden="1">
      <c r="A173" s="172" t="s">
        <v>452</v>
      </c>
      <c r="B173" s="172" t="s">
        <v>467</v>
      </c>
      <c r="C173" s="172">
        <v>40</v>
      </c>
      <c r="D173" s="172">
        <v>0</v>
      </c>
      <c r="E173" s="172">
        <v>0</v>
      </c>
      <c r="F173" s="172">
        <v>0</v>
      </c>
      <c r="G173" s="172">
        <v>12</v>
      </c>
      <c r="H173" s="172">
        <v>20</v>
      </c>
      <c r="I173" s="172">
        <v>16</v>
      </c>
      <c r="J173" s="172">
        <v>0</v>
      </c>
      <c r="K173" s="172">
        <v>48</v>
      </c>
      <c r="L173" s="172">
        <v>31</v>
      </c>
      <c r="M173" s="172">
        <v>13</v>
      </c>
      <c r="N173" s="172">
        <v>13</v>
      </c>
      <c r="O173" s="172">
        <v>8</v>
      </c>
      <c r="P173" s="174">
        <v>3</v>
      </c>
    </row>
    <row r="174" spans="1:16">
      <c r="A174" s="171" t="s">
        <v>449</v>
      </c>
      <c r="B174" s="171" t="s">
        <v>467</v>
      </c>
      <c r="C174" s="171">
        <v>54</v>
      </c>
      <c r="D174" s="171">
        <v>18</v>
      </c>
      <c r="E174" s="171">
        <v>4</v>
      </c>
      <c r="F174" s="171">
        <v>11</v>
      </c>
      <c r="G174" s="171">
        <v>16</v>
      </c>
      <c r="H174" s="171">
        <v>11</v>
      </c>
      <c r="I174" s="171">
        <v>8</v>
      </c>
      <c r="J174" s="171">
        <v>0</v>
      </c>
      <c r="K174" s="171">
        <v>50</v>
      </c>
      <c r="L174" s="171">
        <v>42</v>
      </c>
      <c r="M174" s="171">
        <v>17</v>
      </c>
      <c r="N174" s="171">
        <v>2</v>
      </c>
      <c r="O174" s="171">
        <v>1</v>
      </c>
      <c r="P174" s="173">
        <v>5</v>
      </c>
    </row>
    <row r="175" spans="1:16">
      <c r="A175" s="172" t="s">
        <v>449</v>
      </c>
      <c r="B175" s="172" t="s">
        <v>467</v>
      </c>
      <c r="C175" s="172">
        <v>35</v>
      </c>
      <c r="D175" s="172">
        <v>16</v>
      </c>
      <c r="E175" s="172">
        <v>1</v>
      </c>
      <c r="F175" s="172">
        <v>8</v>
      </c>
      <c r="G175" s="172">
        <v>18</v>
      </c>
      <c r="H175" s="172">
        <v>3</v>
      </c>
      <c r="I175" s="172">
        <v>0</v>
      </c>
      <c r="J175" s="172">
        <v>0</v>
      </c>
      <c r="K175" s="172">
        <v>30</v>
      </c>
      <c r="L175" s="172">
        <v>9</v>
      </c>
      <c r="M175" s="172">
        <v>0</v>
      </c>
      <c r="N175" s="172">
        <v>0</v>
      </c>
      <c r="O175" s="172">
        <v>23</v>
      </c>
      <c r="P175" s="174">
        <v>0</v>
      </c>
    </row>
    <row r="176" spans="1:16">
      <c r="A176" s="171" t="s">
        <v>449</v>
      </c>
      <c r="B176" s="171" t="s">
        <v>467</v>
      </c>
      <c r="C176" s="171">
        <v>73</v>
      </c>
      <c r="D176" s="171">
        <v>20</v>
      </c>
      <c r="E176" s="171">
        <v>2</v>
      </c>
      <c r="F176" s="171">
        <v>10</v>
      </c>
      <c r="G176" s="171">
        <v>18</v>
      </c>
      <c r="H176" s="171">
        <v>24</v>
      </c>
      <c r="I176" s="171">
        <v>18</v>
      </c>
      <c r="J176" s="171">
        <v>3</v>
      </c>
      <c r="K176" s="171">
        <v>75</v>
      </c>
      <c r="L176" s="171">
        <v>13</v>
      </c>
      <c r="M176" s="171">
        <v>2</v>
      </c>
      <c r="N176" s="171">
        <v>15</v>
      </c>
      <c r="O176" s="171">
        <v>47</v>
      </c>
      <c r="P176" s="173">
        <v>10</v>
      </c>
    </row>
    <row r="177" spans="1:16">
      <c r="A177" s="172" t="s">
        <v>449</v>
      </c>
      <c r="B177" s="172" t="s">
        <v>467</v>
      </c>
      <c r="C177" s="172">
        <v>50</v>
      </c>
      <c r="D177" s="172">
        <v>25</v>
      </c>
      <c r="E177" s="172">
        <v>3</v>
      </c>
      <c r="F177" s="172">
        <v>14</v>
      </c>
      <c r="G177" s="172">
        <v>18</v>
      </c>
      <c r="H177" s="172">
        <v>9</v>
      </c>
      <c r="I177" s="172">
        <v>0</v>
      </c>
      <c r="J177" s="172">
        <v>0</v>
      </c>
      <c r="K177" s="172">
        <v>44</v>
      </c>
      <c r="L177" s="172">
        <v>3</v>
      </c>
      <c r="M177" s="172">
        <v>4</v>
      </c>
      <c r="N177" s="172">
        <v>13</v>
      </c>
      <c r="O177" s="172">
        <v>30</v>
      </c>
      <c r="P177" s="174">
        <v>2</v>
      </c>
    </row>
    <row r="178" spans="1:16">
      <c r="A178" s="171" t="s">
        <v>449</v>
      </c>
      <c r="B178" s="171" t="s">
        <v>467</v>
      </c>
      <c r="C178" s="171">
        <v>100</v>
      </c>
      <c r="D178" s="171">
        <v>40</v>
      </c>
      <c r="E178" s="171">
        <v>6</v>
      </c>
      <c r="F178" s="171">
        <v>13</v>
      </c>
      <c r="G178" s="171">
        <v>30</v>
      </c>
      <c r="H178" s="171">
        <v>21</v>
      </c>
      <c r="I178" s="171">
        <v>25</v>
      </c>
      <c r="J178" s="171">
        <v>1</v>
      </c>
      <c r="K178" s="171">
        <v>96</v>
      </c>
      <c r="L178" s="171">
        <v>55</v>
      </c>
      <c r="M178" s="171">
        <v>9</v>
      </c>
      <c r="N178" s="171">
        <v>9</v>
      </c>
      <c r="O178" s="171">
        <v>41</v>
      </c>
      <c r="P178" s="173">
        <v>7</v>
      </c>
    </row>
    <row r="179" spans="1:16" hidden="1">
      <c r="A179" s="172" t="s">
        <v>468</v>
      </c>
      <c r="B179" s="172" t="s">
        <v>467</v>
      </c>
      <c r="C179" s="172">
        <v>30</v>
      </c>
      <c r="D179" s="172">
        <v>5</v>
      </c>
      <c r="E179" s="172">
        <v>1</v>
      </c>
      <c r="F179" s="172">
        <v>3</v>
      </c>
      <c r="G179" s="172">
        <v>9</v>
      </c>
      <c r="H179" s="172">
        <v>6</v>
      </c>
      <c r="I179" s="172">
        <v>7</v>
      </c>
      <c r="J179" s="172">
        <v>0</v>
      </c>
      <c r="K179" s="172">
        <v>26</v>
      </c>
      <c r="L179" s="172">
        <v>3</v>
      </c>
      <c r="M179" s="172">
        <v>0</v>
      </c>
      <c r="N179" s="172">
        <v>26</v>
      </c>
      <c r="O179" s="172">
        <v>0</v>
      </c>
      <c r="P179" s="174">
        <v>0</v>
      </c>
    </row>
    <row r="180" spans="1:16">
      <c r="A180" s="171" t="s">
        <v>449</v>
      </c>
      <c r="B180" s="171" t="s">
        <v>467</v>
      </c>
      <c r="C180" s="171">
        <v>50</v>
      </c>
      <c r="D180" s="171">
        <v>10</v>
      </c>
      <c r="E180" s="171">
        <v>1</v>
      </c>
      <c r="F180" s="171">
        <v>7</v>
      </c>
      <c r="G180" s="171">
        <v>7</v>
      </c>
      <c r="H180" s="171">
        <v>18</v>
      </c>
      <c r="I180" s="171">
        <v>11</v>
      </c>
      <c r="J180" s="171">
        <v>1</v>
      </c>
      <c r="K180" s="171">
        <v>45</v>
      </c>
      <c r="L180" s="171">
        <v>7</v>
      </c>
      <c r="M180" s="171">
        <v>14</v>
      </c>
      <c r="N180" s="171">
        <v>26</v>
      </c>
      <c r="O180" s="171">
        <v>9</v>
      </c>
      <c r="P180" s="173">
        <v>0</v>
      </c>
    </row>
    <row r="181" spans="1:16" hidden="1">
      <c r="A181" s="172" t="s">
        <v>468</v>
      </c>
      <c r="B181" s="172" t="s">
        <v>467</v>
      </c>
      <c r="C181" s="172">
        <v>35</v>
      </c>
      <c r="D181" s="172">
        <v>0</v>
      </c>
      <c r="E181" s="172">
        <v>0</v>
      </c>
      <c r="F181" s="172">
        <v>0</v>
      </c>
      <c r="G181" s="172">
        <v>7</v>
      </c>
      <c r="H181" s="172">
        <v>6</v>
      </c>
      <c r="I181" s="172">
        <v>6</v>
      </c>
      <c r="J181" s="172">
        <v>0</v>
      </c>
      <c r="K181" s="172">
        <v>19</v>
      </c>
      <c r="L181" s="172">
        <v>2</v>
      </c>
      <c r="M181" s="172">
        <v>3</v>
      </c>
      <c r="N181" s="172">
        <v>19</v>
      </c>
      <c r="O181" s="172">
        <v>0</v>
      </c>
      <c r="P181" s="174">
        <v>1</v>
      </c>
    </row>
    <row r="182" spans="1:16">
      <c r="A182" s="171" t="s">
        <v>449</v>
      </c>
      <c r="B182" s="171" t="s">
        <v>467</v>
      </c>
      <c r="C182" s="171">
        <v>65</v>
      </c>
      <c r="D182" s="171">
        <v>25</v>
      </c>
      <c r="E182" s="171">
        <v>1</v>
      </c>
      <c r="F182" s="171">
        <v>13</v>
      </c>
      <c r="G182" s="171">
        <v>17</v>
      </c>
      <c r="H182" s="171">
        <v>18</v>
      </c>
      <c r="I182" s="171">
        <v>16</v>
      </c>
      <c r="J182" s="171">
        <v>0</v>
      </c>
      <c r="K182" s="171">
        <v>65</v>
      </c>
      <c r="L182" s="171">
        <v>51</v>
      </c>
      <c r="M182" s="171">
        <v>7</v>
      </c>
      <c r="N182" s="171">
        <v>0</v>
      </c>
      <c r="O182" s="171">
        <v>19</v>
      </c>
      <c r="P182" s="173">
        <v>2</v>
      </c>
    </row>
    <row r="183" spans="1:16">
      <c r="A183" s="172" t="s">
        <v>449</v>
      </c>
      <c r="B183" s="172" t="s">
        <v>467</v>
      </c>
      <c r="C183" s="172">
        <v>50</v>
      </c>
      <c r="D183" s="172">
        <v>16</v>
      </c>
      <c r="E183" s="172">
        <v>3</v>
      </c>
      <c r="F183" s="172">
        <v>9</v>
      </c>
      <c r="G183" s="172">
        <v>16</v>
      </c>
      <c r="H183" s="172">
        <v>14</v>
      </c>
      <c r="I183" s="172">
        <v>12</v>
      </c>
      <c r="J183" s="172">
        <v>3</v>
      </c>
      <c r="K183" s="172">
        <v>57</v>
      </c>
      <c r="L183" s="172">
        <v>47</v>
      </c>
      <c r="M183" s="172">
        <v>9</v>
      </c>
      <c r="N183" s="172">
        <v>3</v>
      </c>
      <c r="O183" s="172">
        <v>4</v>
      </c>
      <c r="P183" s="174">
        <v>7</v>
      </c>
    </row>
    <row r="184" spans="1:16">
      <c r="A184" s="171" t="s">
        <v>449</v>
      </c>
      <c r="B184" s="171" t="s">
        <v>467</v>
      </c>
      <c r="C184" s="171">
        <v>82</v>
      </c>
      <c r="D184" s="171">
        <v>17</v>
      </c>
      <c r="E184" s="171">
        <v>3</v>
      </c>
      <c r="F184" s="171">
        <v>14</v>
      </c>
      <c r="G184" s="171">
        <v>16</v>
      </c>
      <c r="H184" s="171">
        <v>22</v>
      </c>
      <c r="I184" s="171">
        <v>18</v>
      </c>
      <c r="J184" s="171">
        <v>2</v>
      </c>
      <c r="K184" s="171">
        <v>75</v>
      </c>
      <c r="L184" s="171">
        <v>40</v>
      </c>
      <c r="M184" s="171">
        <v>3</v>
      </c>
      <c r="N184" s="171">
        <v>1</v>
      </c>
      <c r="O184" s="171">
        <v>36</v>
      </c>
      <c r="P184" s="173">
        <v>9</v>
      </c>
    </row>
    <row r="185" spans="1:16" hidden="1">
      <c r="A185" s="170" t="s">
        <v>468</v>
      </c>
      <c r="B185" s="172" t="s">
        <v>467</v>
      </c>
      <c r="C185" s="172">
        <v>22</v>
      </c>
      <c r="D185" s="172">
        <v>6</v>
      </c>
      <c r="E185" s="172">
        <v>0</v>
      </c>
      <c r="F185" s="172">
        <v>2</v>
      </c>
      <c r="G185" s="172">
        <v>7</v>
      </c>
      <c r="H185" s="172">
        <v>4</v>
      </c>
      <c r="I185" s="172">
        <v>6</v>
      </c>
      <c r="J185" s="172">
        <v>0</v>
      </c>
      <c r="K185" s="172">
        <v>19</v>
      </c>
      <c r="L185" s="172">
        <v>3</v>
      </c>
      <c r="M185" s="172">
        <v>3</v>
      </c>
      <c r="N185" s="172">
        <v>19</v>
      </c>
      <c r="O185" s="172">
        <v>0</v>
      </c>
      <c r="P185" s="174">
        <v>0</v>
      </c>
    </row>
    <row r="186" spans="1:16">
      <c r="A186" s="169" t="s">
        <v>449</v>
      </c>
      <c r="B186" s="171" t="s">
        <v>467</v>
      </c>
      <c r="C186" s="171">
        <v>8</v>
      </c>
      <c r="D186" s="171">
        <v>0</v>
      </c>
      <c r="E186" s="171">
        <v>0</v>
      </c>
      <c r="F186" s="171">
        <v>0</v>
      </c>
      <c r="G186" s="171">
        <v>2</v>
      </c>
      <c r="H186" s="171">
        <v>7</v>
      </c>
      <c r="I186" s="171">
        <v>10</v>
      </c>
      <c r="J186" s="171">
        <v>1</v>
      </c>
      <c r="K186" s="171">
        <v>20</v>
      </c>
      <c r="L186" s="171">
        <v>11</v>
      </c>
      <c r="M186" s="171">
        <v>0</v>
      </c>
      <c r="N186" s="171">
        <v>2</v>
      </c>
      <c r="O186" s="171">
        <v>19</v>
      </c>
      <c r="P186" s="173">
        <v>0</v>
      </c>
    </row>
    <row r="187" spans="1:16">
      <c r="A187" s="170" t="s">
        <v>449</v>
      </c>
      <c r="B187" s="172" t="s">
        <v>467</v>
      </c>
      <c r="C187" s="172">
        <v>34</v>
      </c>
      <c r="D187" s="172">
        <v>0</v>
      </c>
      <c r="E187" s="172">
        <v>0</v>
      </c>
      <c r="F187" s="172">
        <v>0</v>
      </c>
      <c r="G187" s="172">
        <v>5</v>
      </c>
      <c r="H187" s="172">
        <v>5</v>
      </c>
      <c r="I187" s="172">
        <v>11</v>
      </c>
      <c r="J187" s="172">
        <v>1</v>
      </c>
      <c r="K187" s="172">
        <v>22</v>
      </c>
      <c r="L187" s="172">
        <v>7</v>
      </c>
      <c r="M187" s="172">
        <v>5</v>
      </c>
      <c r="N187" s="172">
        <v>5</v>
      </c>
      <c r="O187" s="172">
        <v>8</v>
      </c>
      <c r="P187" s="174">
        <v>0</v>
      </c>
    </row>
    <row r="188" spans="1:16">
      <c r="A188" s="169" t="s">
        <v>449</v>
      </c>
      <c r="B188" s="171" t="s">
        <v>467</v>
      </c>
      <c r="C188" s="171">
        <v>25</v>
      </c>
      <c r="D188" s="171">
        <v>0</v>
      </c>
      <c r="E188" s="171">
        <v>0</v>
      </c>
      <c r="F188" s="171">
        <v>0</v>
      </c>
      <c r="G188" s="171">
        <v>7</v>
      </c>
      <c r="H188" s="171">
        <v>3</v>
      </c>
      <c r="I188" s="171">
        <v>8</v>
      </c>
      <c r="J188" s="171">
        <v>1</v>
      </c>
      <c r="K188" s="171">
        <v>19</v>
      </c>
      <c r="L188" s="171">
        <v>15</v>
      </c>
      <c r="M188" s="171">
        <v>2</v>
      </c>
      <c r="N188" s="171">
        <v>1</v>
      </c>
      <c r="O188" s="171">
        <v>3</v>
      </c>
      <c r="P188" s="173">
        <v>1</v>
      </c>
    </row>
    <row r="189" spans="1:16">
      <c r="A189" s="170" t="s">
        <v>449</v>
      </c>
      <c r="B189" s="172" t="s">
        <v>467</v>
      </c>
      <c r="C189" s="172">
        <v>54</v>
      </c>
      <c r="D189" s="172">
        <v>10</v>
      </c>
      <c r="E189" s="172">
        <v>4</v>
      </c>
      <c r="F189" s="172">
        <v>4</v>
      </c>
      <c r="G189" s="172">
        <v>10</v>
      </c>
      <c r="H189" s="172">
        <v>16</v>
      </c>
      <c r="I189" s="172">
        <v>16</v>
      </c>
      <c r="J189" s="172">
        <v>1</v>
      </c>
      <c r="K189" s="172">
        <v>51</v>
      </c>
      <c r="L189" s="172">
        <v>18</v>
      </c>
      <c r="M189" s="172">
        <v>15</v>
      </c>
      <c r="N189" s="172">
        <v>14</v>
      </c>
      <c r="O189" s="172">
        <v>22</v>
      </c>
      <c r="P189" s="174">
        <v>3</v>
      </c>
    </row>
    <row r="190" spans="1:16">
      <c r="A190" s="171" t="s">
        <v>449</v>
      </c>
      <c r="B190" s="171" t="s">
        <v>467</v>
      </c>
      <c r="C190" s="171">
        <v>87</v>
      </c>
      <c r="D190" s="171">
        <v>24</v>
      </c>
      <c r="E190" s="171">
        <v>2</v>
      </c>
      <c r="F190" s="171">
        <v>19</v>
      </c>
      <c r="G190" s="171">
        <v>22</v>
      </c>
      <c r="H190" s="171">
        <v>16</v>
      </c>
      <c r="I190" s="171">
        <v>27</v>
      </c>
      <c r="J190" s="171">
        <v>1</v>
      </c>
      <c r="K190" s="171">
        <v>87</v>
      </c>
      <c r="L190" s="171">
        <v>28</v>
      </c>
      <c r="M190" s="171">
        <v>12</v>
      </c>
      <c r="N190" s="171">
        <v>18</v>
      </c>
      <c r="O190" s="171">
        <v>41</v>
      </c>
      <c r="P190" s="173">
        <v>7</v>
      </c>
    </row>
    <row r="191" spans="1:16">
      <c r="A191" s="172" t="s">
        <v>449</v>
      </c>
      <c r="B191" s="172" t="s">
        <v>467</v>
      </c>
      <c r="C191" s="172">
        <v>35</v>
      </c>
      <c r="D191" s="172">
        <v>10</v>
      </c>
      <c r="E191" s="172">
        <v>1</v>
      </c>
      <c r="F191" s="172">
        <v>8</v>
      </c>
      <c r="G191" s="172">
        <v>13</v>
      </c>
      <c r="H191" s="172">
        <v>9</v>
      </c>
      <c r="I191" s="172">
        <v>7</v>
      </c>
      <c r="J191" s="172">
        <v>0</v>
      </c>
      <c r="K191" s="172">
        <v>38</v>
      </c>
      <c r="L191" s="172">
        <v>34</v>
      </c>
      <c r="M191" s="172">
        <v>7</v>
      </c>
      <c r="N191" s="172">
        <v>0</v>
      </c>
      <c r="O191" s="172">
        <v>4</v>
      </c>
      <c r="P191" s="174">
        <v>2</v>
      </c>
    </row>
    <row r="192" spans="1:16">
      <c r="A192" s="171" t="s">
        <v>449</v>
      </c>
      <c r="B192" s="171" t="s">
        <v>467</v>
      </c>
      <c r="C192" s="171">
        <v>54</v>
      </c>
      <c r="D192" s="171">
        <v>12</v>
      </c>
      <c r="E192" s="171">
        <v>2</v>
      </c>
      <c r="F192" s="171">
        <v>8</v>
      </c>
      <c r="G192" s="171">
        <v>7</v>
      </c>
      <c r="H192" s="171">
        <v>13</v>
      </c>
      <c r="I192" s="171">
        <v>17</v>
      </c>
      <c r="J192" s="171">
        <v>0</v>
      </c>
      <c r="K192" s="171">
        <v>47</v>
      </c>
      <c r="L192" s="171">
        <v>2</v>
      </c>
      <c r="M192" s="171">
        <v>0</v>
      </c>
      <c r="N192" s="171">
        <v>1</v>
      </c>
      <c r="O192" s="171">
        <v>43</v>
      </c>
      <c r="P192" s="173">
        <v>1</v>
      </c>
    </row>
    <row r="193" spans="1:16" hidden="1">
      <c r="A193" s="172" t="s">
        <v>469</v>
      </c>
      <c r="B193" s="172" t="s">
        <v>467</v>
      </c>
      <c r="C193" s="172">
        <v>30</v>
      </c>
      <c r="D193" s="172">
        <v>5</v>
      </c>
      <c r="E193" s="172">
        <v>0</v>
      </c>
      <c r="F193" s="172">
        <v>5</v>
      </c>
      <c r="G193" s="172">
        <v>4</v>
      </c>
      <c r="H193" s="172">
        <v>5</v>
      </c>
      <c r="I193" s="172">
        <v>9</v>
      </c>
      <c r="J193" s="172">
        <v>0</v>
      </c>
      <c r="K193" s="172">
        <v>23</v>
      </c>
      <c r="L193" s="172">
        <v>1</v>
      </c>
      <c r="M193" s="172">
        <v>5</v>
      </c>
      <c r="N193" s="172">
        <v>23</v>
      </c>
      <c r="O193" s="172">
        <v>0</v>
      </c>
      <c r="P193" s="174">
        <v>1</v>
      </c>
    </row>
    <row r="194" spans="1:16">
      <c r="A194" s="171" t="s">
        <v>449</v>
      </c>
      <c r="B194" s="171" t="s">
        <v>467</v>
      </c>
      <c r="C194" s="171">
        <v>26</v>
      </c>
      <c r="D194" s="171">
        <v>10</v>
      </c>
      <c r="E194" s="171">
        <v>0</v>
      </c>
      <c r="F194" s="171">
        <v>3</v>
      </c>
      <c r="G194" s="171">
        <v>12</v>
      </c>
      <c r="H194" s="171">
        <v>6</v>
      </c>
      <c r="I194" s="171">
        <v>11</v>
      </c>
      <c r="J194" s="171">
        <v>0</v>
      </c>
      <c r="K194" s="171">
        <v>32</v>
      </c>
      <c r="L194" s="171">
        <v>19</v>
      </c>
      <c r="M194" s="171">
        <v>0</v>
      </c>
      <c r="N194" s="171">
        <v>2</v>
      </c>
      <c r="O194" s="171">
        <v>15</v>
      </c>
      <c r="P194" s="173">
        <v>3</v>
      </c>
    </row>
    <row r="195" spans="1:16">
      <c r="A195" s="172" t="s">
        <v>449</v>
      </c>
      <c r="B195" s="172" t="s">
        <v>467</v>
      </c>
      <c r="C195" s="172">
        <v>50</v>
      </c>
      <c r="D195" s="172">
        <v>12</v>
      </c>
      <c r="E195" s="172">
        <v>2</v>
      </c>
      <c r="F195" s="172">
        <v>8</v>
      </c>
      <c r="G195" s="172">
        <v>21</v>
      </c>
      <c r="H195" s="172">
        <v>15</v>
      </c>
      <c r="I195" s="172">
        <v>12</v>
      </c>
      <c r="J195" s="172">
        <v>0</v>
      </c>
      <c r="K195" s="172">
        <v>58</v>
      </c>
      <c r="L195" s="172">
        <v>55</v>
      </c>
      <c r="M195" s="172">
        <v>6</v>
      </c>
      <c r="N195" s="172">
        <v>1</v>
      </c>
      <c r="O195" s="172">
        <v>2</v>
      </c>
      <c r="P195" s="174">
        <v>2</v>
      </c>
    </row>
    <row r="196" spans="1:16" hidden="1">
      <c r="A196" s="171" t="s">
        <v>469</v>
      </c>
      <c r="B196" s="171" t="s">
        <v>467</v>
      </c>
      <c r="C196" s="171">
        <v>25</v>
      </c>
      <c r="D196" s="171">
        <v>10</v>
      </c>
      <c r="E196" s="171">
        <v>1</v>
      </c>
      <c r="F196" s="171">
        <v>2</v>
      </c>
      <c r="G196" s="171">
        <v>4</v>
      </c>
      <c r="H196" s="171">
        <v>3</v>
      </c>
      <c r="I196" s="171">
        <v>5</v>
      </c>
      <c r="J196" s="171">
        <v>1</v>
      </c>
      <c r="K196" s="171">
        <v>16</v>
      </c>
      <c r="L196" s="171">
        <v>0</v>
      </c>
      <c r="M196" s="171">
        <v>0</v>
      </c>
      <c r="N196" s="171">
        <v>16</v>
      </c>
      <c r="O196" s="171">
        <v>0</v>
      </c>
      <c r="P196" s="173">
        <v>0</v>
      </c>
    </row>
    <row r="197" spans="1:16">
      <c r="A197" s="170" t="s">
        <v>449</v>
      </c>
      <c r="B197" s="172" t="s">
        <v>467</v>
      </c>
      <c r="C197" s="172">
        <v>50</v>
      </c>
      <c r="D197" s="172">
        <v>0</v>
      </c>
      <c r="E197" s="172">
        <v>0</v>
      </c>
      <c r="F197" s="172">
        <v>0</v>
      </c>
      <c r="G197" s="172">
        <v>9</v>
      </c>
      <c r="H197" s="172">
        <v>21</v>
      </c>
      <c r="I197" s="172">
        <v>22</v>
      </c>
      <c r="J197" s="172">
        <v>0</v>
      </c>
      <c r="K197" s="172">
        <v>52</v>
      </c>
      <c r="L197" s="172">
        <v>39</v>
      </c>
      <c r="M197" s="172">
        <v>13</v>
      </c>
      <c r="N197" s="172">
        <v>10</v>
      </c>
      <c r="O197" s="172">
        <v>12</v>
      </c>
      <c r="P197" s="174">
        <v>3</v>
      </c>
    </row>
    <row r="198" spans="1:16" hidden="1">
      <c r="A198" s="169" t="s">
        <v>347</v>
      </c>
      <c r="B198" s="171" t="s">
        <v>467</v>
      </c>
      <c r="C198" s="171">
        <v>25</v>
      </c>
      <c r="D198" s="171">
        <v>9</v>
      </c>
      <c r="E198" s="171">
        <v>0</v>
      </c>
      <c r="F198" s="171">
        <v>2</v>
      </c>
      <c r="G198" s="171">
        <v>8</v>
      </c>
      <c r="H198" s="171">
        <v>3</v>
      </c>
      <c r="I198" s="171">
        <v>1</v>
      </c>
      <c r="J198" s="171">
        <v>0</v>
      </c>
      <c r="K198" s="171">
        <v>14</v>
      </c>
      <c r="L198" s="171">
        <v>0</v>
      </c>
      <c r="M198" s="171">
        <v>14</v>
      </c>
      <c r="N198" s="171">
        <v>0</v>
      </c>
      <c r="O198" s="171">
        <v>0</v>
      </c>
      <c r="P198" s="173">
        <v>0</v>
      </c>
    </row>
    <row r="199" spans="1:16">
      <c r="A199" s="170" t="s">
        <v>449</v>
      </c>
      <c r="B199" s="172" t="s">
        <v>467</v>
      </c>
      <c r="C199" s="172">
        <v>29</v>
      </c>
      <c r="D199" s="172">
        <v>8</v>
      </c>
      <c r="E199" s="172">
        <v>1</v>
      </c>
      <c r="F199" s="172">
        <v>6</v>
      </c>
      <c r="G199" s="172">
        <v>7</v>
      </c>
      <c r="H199" s="172">
        <v>4</v>
      </c>
      <c r="I199" s="172">
        <v>6</v>
      </c>
      <c r="J199" s="172">
        <v>0</v>
      </c>
      <c r="K199" s="172">
        <v>24</v>
      </c>
      <c r="L199" s="172">
        <v>4</v>
      </c>
      <c r="M199" s="172">
        <v>1</v>
      </c>
      <c r="N199" s="172">
        <v>17</v>
      </c>
      <c r="O199" s="172">
        <v>6</v>
      </c>
      <c r="P199" s="174">
        <v>2</v>
      </c>
    </row>
    <row r="200" spans="1:16">
      <c r="A200" s="171" t="s">
        <v>449</v>
      </c>
      <c r="B200" s="171" t="s">
        <v>467</v>
      </c>
      <c r="C200" s="171">
        <v>45</v>
      </c>
      <c r="D200" s="171">
        <v>0</v>
      </c>
      <c r="E200" s="171">
        <v>0</v>
      </c>
      <c r="F200" s="171">
        <v>0</v>
      </c>
      <c r="G200" s="171">
        <v>12</v>
      </c>
      <c r="H200" s="171">
        <v>20</v>
      </c>
      <c r="I200" s="171">
        <v>15</v>
      </c>
      <c r="J200" s="171">
        <v>2</v>
      </c>
      <c r="K200" s="171">
        <v>49</v>
      </c>
      <c r="L200" s="171">
        <v>28</v>
      </c>
      <c r="M200" s="171">
        <v>3</v>
      </c>
      <c r="N200" s="171">
        <v>2</v>
      </c>
      <c r="O200" s="171">
        <v>18</v>
      </c>
      <c r="P200" s="173">
        <v>4</v>
      </c>
    </row>
    <row r="201" spans="1:16" hidden="1">
      <c r="A201" s="170" t="s">
        <v>469</v>
      </c>
      <c r="B201" s="172" t="s">
        <v>467</v>
      </c>
      <c r="C201" s="172">
        <v>40</v>
      </c>
      <c r="D201" s="172">
        <v>8</v>
      </c>
      <c r="E201" s="172">
        <v>1</v>
      </c>
      <c r="F201" s="172">
        <v>7</v>
      </c>
      <c r="G201" s="172">
        <v>3</v>
      </c>
      <c r="H201" s="172">
        <v>5</v>
      </c>
      <c r="I201" s="172">
        <v>6</v>
      </c>
      <c r="J201" s="172">
        <v>2</v>
      </c>
      <c r="K201" s="172">
        <v>24</v>
      </c>
      <c r="L201" s="172">
        <v>0</v>
      </c>
      <c r="M201" s="172">
        <v>4</v>
      </c>
      <c r="N201" s="172">
        <v>24</v>
      </c>
      <c r="O201" s="172">
        <v>0</v>
      </c>
      <c r="P201" s="174">
        <v>0</v>
      </c>
    </row>
    <row r="202" spans="1:16" hidden="1">
      <c r="A202" s="169" t="s">
        <v>469</v>
      </c>
      <c r="B202" s="171" t="s">
        <v>467</v>
      </c>
      <c r="C202" s="171">
        <v>40</v>
      </c>
      <c r="D202" s="171">
        <v>5</v>
      </c>
      <c r="E202" s="171">
        <v>0</v>
      </c>
      <c r="F202" s="171">
        <v>0</v>
      </c>
      <c r="G202" s="171">
        <v>0</v>
      </c>
      <c r="H202" s="171">
        <v>3</v>
      </c>
      <c r="I202" s="171">
        <v>14</v>
      </c>
      <c r="J202" s="171">
        <v>0</v>
      </c>
      <c r="K202" s="171">
        <v>17</v>
      </c>
      <c r="L202" s="171">
        <v>3</v>
      </c>
      <c r="M202" s="171">
        <v>2</v>
      </c>
      <c r="N202" s="171">
        <v>17</v>
      </c>
      <c r="O202" s="171">
        <v>0</v>
      </c>
      <c r="P202" s="173">
        <v>0</v>
      </c>
    </row>
    <row r="203" spans="1:16" hidden="1">
      <c r="A203" s="172" t="s">
        <v>468</v>
      </c>
      <c r="B203" s="172" t="s">
        <v>467</v>
      </c>
      <c r="C203" s="172">
        <v>40</v>
      </c>
      <c r="D203" s="172">
        <v>8</v>
      </c>
      <c r="E203" s="172">
        <v>0</v>
      </c>
      <c r="F203" s="172">
        <v>4</v>
      </c>
      <c r="G203" s="172">
        <v>9</v>
      </c>
      <c r="H203" s="172">
        <v>12</v>
      </c>
      <c r="I203" s="172">
        <v>14</v>
      </c>
      <c r="J203" s="172">
        <v>1</v>
      </c>
      <c r="K203" s="172">
        <v>40</v>
      </c>
      <c r="L203" s="172">
        <v>2</v>
      </c>
      <c r="M203" s="172">
        <v>0</v>
      </c>
      <c r="N203" s="172">
        <v>39</v>
      </c>
      <c r="O203" s="172">
        <v>0</v>
      </c>
      <c r="P203" s="174">
        <v>0</v>
      </c>
    </row>
    <row r="204" spans="1:16">
      <c r="A204" s="169" t="s">
        <v>449</v>
      </c>
      <c r="B204" s="171" t="s">
        <v>467</v>
      </c>
      <c r="C204" s="171">
        <v>30</v>
      </c>
      <c r="D204" s="171">
        <v>10</v>
      </c>
      <c r="E204" s="171">
        <v>0</v>
      </c>
      <c r="F204" s="171">
        <v>1</v>
      </c>
      <c r="G204" s="171">
        <v>7</v>
      </c>
      <c r="H204" s="171">
        <v>6</v>
      </c>
      <c r="I204" s="171">
        <v>6</v>
      </c>
      <c r="J204" s="171">
        <v>0</v>
      </c>
      <c r="K204" s="171">
        <v>20</v>
      </c>
      <c r="L204" s="171">
        <v>12</v>
      </c>
      <c r="M204" s="171">
        <v>2</v>
      </c>
      <c r="N204" s="171">
        <v>0</v>
      </c>
      <c r="O204" s="171">
        <v>11</v>
      </c>
      <c r="P204" s="173">
        <v>1</v>
      </c>
    </row>
    <row r="205" spans="1:16" hidden="1">
      <c r="A205" s="170" t="s">
        <v>469</v>
      </c>
      <c r="B205" s="172" t="s">
        <v>467</v>
      </c>
      <c r="C205" s="172">
        <v>40</v>
      </c>
      <c r="D205" s="172">
        <v>8</v>
      </c>
      <c r="E205" s="172">
        <v>0</v>
      </c>
      <c r="F205" s="172">
        <v>3</v>
      </c>
      <c r="G205" s="172">
        <v>4</v>
      </c>
      <c r="H205" s="172">
        <v>1</v>
      </c>
      <c r="I205" s="172">
        <v>3</v>
      </c>
      <c r="J205" s="172">
        <v>0</v>
      </c>
      <c r="K205" s="172">
        <v>11</v>
      </c>
      <c r="L205" s="172">
        <v>1</v>
      </c>
      <c r="M205" s="172">
        <v>3</v>
      </c>
      <c r="N205" s="172">
        <v>10</v>
      </c>
      <c r="O205" s="172">
        <v>1</v>
      </c>
      <c r="P205" s="174">
        <v>0</v>
      </c>
    </row>
    <row r="206" spans="1:16" hidden="1">
      <c r="A206" s="171" t="s">
        <v>468</v>
      </c>
      <c r="B206" s="171" t="s">
        <v>467</v>
      </c>
      <c r="C206" s="171">
        <v>40</v>
      </c>
      <c r="D206" s="171">
        <v>8</v>
      </c>
      <c r="E206" s="171">
        <v>0</v>
      </c>
      <c r="F206" s="171">
        <v>2</v>
      </c>
      <c r="G206" s="171">
        <v>6</v>
      </c>
      <c r="H206" s="171">
        <v>8</v>
      </c>
      <c r="I206" s="171">
        <v>4</v>
      </c>
      <c r="J206" s="171">
        <v>0</v>
      </c>
      <c r="K206" s="171">
        <v>20</v>
      </c>
      <c r="L206" s="171">
        <v>1</v>
      </c>
      <c r="M206" s="171">
        <v>1</v>
      </c>
      <c r="N206" s="171">
        <v>20</v>
      </c>
      <c r="O206" s="171">
        <v>1</v>
      </c>
      <c r="P206" s="173">
        <v>0</v>
      </c>
    </row>
    <row r="207" spans="1:16">
      <c r="A207" s="172" t="s">
        <v>449</v>
      </c>
      <c r="B207" s="172" t="s">
        <v>467</v>
      </c>
      <c r="C207" s="172">
        <v>30</v>
      </c>
      <c r="D207" s="172">
        <v>0</v>
      </c>
      <c r="E207" s="172">
        <v>0</v>
      </c>
      <c r="F207" s="172">
        <v>0</v>
      </c>
      <c r="G207" s="172">
        <v>12</v>
      </c>
      <c r="H207" s="172">
        <v>10</v>
      </c>
      <c r="I207" s="172">
        <v>14</v>
      </c>
      <c r="J207" s="172">
        <v>0</v>
      </c>
      <c r="K207" s="172">
        <v>36</v>
      </c>
      <c r="L207" s="172">
        <v>21</v>
      </c>
      <c r="M207" s="172">
        <v>3</v>
      </c>
      <c r="N207" s="172">
        <v>3</v>
      </c>
      <c r="O207" s="172">
        <v>15</v>
      </c>
      <c r="P207" s="174">
        <v>2</v>
      </c>
    </row>
    <row r="208" spans="1:16">
      <c r="A208" s="171" t="s">
        <v>449</v>
      </c>
      <c r="B208" s="171" t="s">
        <v>467</v>
      </c>
      <c r="C208" s="171">
        <v>70</v>
      </c>
      <c r="D208" s="171">
        <v>15</v>
      </c>
      <c r="E208" s="171">
        <v>2</v>
      </c>
      <c r="F208" s="171">
        <v>12</v>
      </c>
      <c r="G208" s="171">
        <v>11</v>
      </c>
      <c r="H208" s="171">
        <v>13</v>
      </c>
      <c r="I208" s="171">
        <v>15</v>
      </c>
      <c r="J208" s="171">
        <v>1</v>
      </c>
      <c r="K208" s="171">
        <v>54</v>
      </c>
      <c r="L208" s="171">
        <v>9</v>
      </c>
      <c r="M208" s="171">
        <v>6</v>
      </c>
      <c r="N208" s="171">
        <v>26</v>
      </c>
      <c r="O208" s="171">
        <v>19</v>
      </c>
      <c r="P208" s="173">
        <v>5</v>
      </c>
    </row>
    <row r="209" spans="1:16">
      <c r="A209" s="172" t="s">
        <v>449</v>
      </c>
      <c r="B209" s="172" t="s">
        <v>467</v>
      </c>
      <c r="C209" s="172">
        <v>25</v>
      </c>
      <c r="D209" s="172">
        <v>0</v>
      </c>
      <c r="E209" s="172">
        <v>0</v>
      </c>
      <c r="F209" s="172">
        <v>0</v>
      </c>
      <c r="G209" s="172">
        <v>1</v>
      </c>
      <c r="H209" s="172">
        <v>9</v>
      </c>
      <c r="I209" s="172">
        <v>8</v>
      </c>
      <c r="J209" s="172">
        <v>4</v>
      </c>
      <c r="K209" s="172">
        <v>22</v>
      </c>
      <c r="L209" s="172">
        <v>14</v>
      </c>
      <c r="M209" s="172">
        <v>4</v>
      </c>
      <c r="N209" s="172">
        <v>4</v>
      </c>
      <c r="O209" s="172">
        <v>9</v>
      </c>
      <c r="P209" s="174">
        <v>0</v>
      </c>
    </row>
    <row r="210" spans="1:16">
      <c r="A210" s="171" t="s">
        <v>449</v>
      </c>
      <c r="B210" s="171" t="s">
        <v>467</v>
      </c>
      <c r="C210" s="171">
        <v>40</v>
      </c>
      <c r="D210" s="171">
        <v>0</v>
      </c>
      <c r="E210" s="171">
        <v>0</v>
      </c>
      <c r="F210" s="171">
        <v>0</v>
      </c>
      <c r="G210" s="171">
        <v>4</v>
      </c>
      <c r="H210" s="171">
        <v>5</v>
      </c>
      <c r="I210" s="171">
        <v>12</v>
      </c>
      <c r="J210" s="171">
        <v>2</v>
      </c>
      <c r="K210" s="171">
        <v>23</v>
      </c>
      <c r="L210" s="171">
        <v>2</v>
      </c>
      <c r="M210" s="171">
        <v>2</v>
      </c>
      <c r="N210" s="171">
        <v>20</v>
      </c>
      <c r="O210" s="171">
        <v>4</v>
      </c>
      <c r="P210" s="173">
        <v>1</v>
      </c>
    </row>
    <row r="211" spans="1:16">
      <c r="A211" s="172" t="s">
        <v>449</v>
      </c>
      <c r="B211" s="172" t="s">
        <v>467</v>
      </c>
      <c r="C211" s="172">
        <v>100</v>
      </c>
      <c r="D211" s="172">
        <v>25</v>
      </c>
      <c r="E211" s="172">
        <v>4</v>
      </c>
      <c r="F211" s="172">
        <v>17</v>
      </c>
      <c r="G211" s="172">
        <v>22</v>
      </c>
      <c r="H211" s="172">
        <v>16</v>
      </c>
      <c r="I211" s="172">
        <v>26</v>
      </c>
      <c r="J211" s="172">
        <v>0</v>
      </c>
      <c r="K211" s="172">
        <v>85</v>
      </c>
      <c r="L211" s="172">
        <v>77</v>
      </c>
      <c r="M211" s="172">
        <v>11</v>
      </c>
      <c r="N211" s="172">
        <v>7</v>
      </c>
      <c r="O211" s="172">
        <v>15</v>
      </c>
      <c r="P211" s="174">
        <v>5</v>
      </c>
    </row>
    <row r="212" spans="1:16" hidden="1">
      <c r="A212" s="169" t="s">
        <v>451</v>
      </c>
      <c r="B212" s="171" t="s">
        <v>467</v>
      </c>
      <c r="C212" s="171">
        <v>25</v>
      </c>
      <c r="D212" s="171">
        <v>25</v>
      </c>
      <c r="E212" s="171"/>
      <c r="F212" s="171"/>
      <c r="G212" s="171"/>
      <c r="H212" s="171"/>
      <c r="I212" s="171"/>
      <c r="J212" s="171"/>
      <c r="K212" s="171"/>
      <c r="L212" s="171"/>
      <c r="M212" s="171"/>
      <c r="N212" s="171"/>
      <c r="O212" s="171"/>
      <c r="P212" s="173"/>
    </row>
    <row r="213" spans="1:16" hidden="1">
      <c r="A213" s="170" t="s">
        <v>451</v>
      </c>
      <c r="B213" s="172" t="s">
        <v>467</v>
      </c>
      <c r="C213" s="172">
        <v>50</v>
      </c>
      <c r="D213" s="172">
        <v>50</v>
      </c>
      <c r="E213" s="172"/>
      <c r="F213" s="172"/>
      <c r="G213" s="172"/>
      <c r="H213" s="172"/>
      <c r="I213" s="172"/>
      <c r="J213" s="172"/>
      <c r="K213" s="172"/>
      <c r="L213" s="172"/>
      <c r="M213" s="172"/>
      <c r="N213" s="172"/>
      <c r="O213" s="172"/>
      <c r="P213" s="174"/>
    </row>
    <row r="214" spans="1:16">
      <c r="A214" s="169" t="s">
        <v>449</v>
      </c>
      <c r="B214" s="171" t="s">
        <v>467</v>
      </c>
      <c r="C214" s="171">
        <v>75</v>
      </c>
      <c r="D214" s="171">
        <v>25</v>
      </c>
      <c r="E214" s="171">
        <v>1</v>
      </c>
      <c r="F214" s="171">
        <v>19</v>
      </c>
      <c r="G214" s="171">
        <v>28</v>
      </c>
      <c r="H214" s="171">
        <v>13</v>
      </c>
      <c r="I214" s="171">
        <v>11</v>
      </c>
      <c r="J214" s="171">
        <v>1</v>
      </c>
      <c r="K214" s="171">
        <v>73</v>
      </c>
      <c r="L214" s="171">
        <v>60</v>
      </c>
      <c r="M214" s="171">
        <v>7</v>
      </c>
      <c r="N214" s="171">
        <v>1</v>
      </c>
      <c r="O214" s="171">
        <v>16</v>
      </c>
      <c r="P214" s="173">
        <v>4</v>
      </c>
    </row>
    <row r="215" spans="1:16">
      <c r="A215" s="170" t="s">
        <v>449</v>
      </c>
      <c r="B215" s="172" t="s">
        <v>467</v>
      </c>
      <c r="C215" s="172">
        <v>49</v>
      </c>
      <c r="D215" s="172">
        <v>20</v>
      </c>
      <c r="E215" s="172">
        <v>1</v>
      </c>
      <c r="F215" s="172">
        <v>11</v>
      </c>
      <c r="G215" s="172">
        <v>19</v>
      </c>
      <c r="H215" s="172">
        <v>12</v>
      </c>
      <c r="I215" s="172">
        <v>6</v>
      </c>
      <c r="J215" s="172">
        <v>0</v>
      </c>
      <c r="K215" s="172">
        <v>49</v>
      </c>
      <c r="L215" s="172">
        <v>32</v>
      </c>
      <c r="M215" s="172">
        <v>10</v>
      </c>
      <c r="N215" s="172">
        <v>8</v>
      </c>
      <c r="O215" s="172">
        <v>11</v>
      </c>
      <c r="P215" s="174">
        <v>6</v>
      </c>
    </row>
    <row r="216" spans="1:16" hidden="1">
      <c r="A216" s="169" t="s">
        <v>452</v>
      </c>
      <c r="B216" s="171" t="s">
        <v>467</v>
      </c>
      <c r="C216" s="171">
        <v>40</v>
      </c>
      <c r="D216" s="171">
        <v>0</v>
      </c>
      <c r="E216" s="171">
        <v>0</v>
      </c>
      <c r="F216" s="171">
        <v>0</v>
      </c>
      <c r="G216" s="171">
        <v>0</v>
      </c>
      <c r="H216" s="171">
        <v>13</v>
      </c>
      <c r="I216" s="171">
        <v>30</v>
      </c>
      <c r="J216" s="171">
        <v>0</v>
      </c>
      <c r="K216" s="171">
        <v>43</v>
      </c>
      <c r="L216" s="171">
        <v>36</v>
      </c>
      <c r="M216" s="171">
        <v>5</v>
      </c>
      <c r="N216" s="171">
        <v>2</v>
      </c>
      <c r="O216" s="171">
        <v>7</v>
      </c>
      <c r="P216" s="173">
        <v>2</v>
      </c>
    </row>
    <row r="217" spans="1:16">
      <c r="A217" s="170" t="s">
        <v>449</v>
      </c>
      <c r="B217" s="172" t="s">
        <v>467</v>
      </c>
      <c r="C217" s="172">
        <v>105</v>
      </c>
      <c r="D217" s="172">
        <v>25</v>
      </c>
      <c r="E217" s="172">
        <v>2</v>
      </c>
      <c r="F217" s="172">
        <v>10</v>
      </c>
      <c r="G217" s="172">
        <v>15</v>
      </c>
      <c r="H217" s="172">
        <v>24</v>
      </c>
      <c r="I217" s="172">
        <v>30</v>
      </c>
      <c r="J217" s="172">
        <v>2</v>
      </c>
      <c r="K217" s="172">
        <v>83</v>
      </c>
      <c r="L217" s="172">
        <v>59</v>
      </c>
      <c r="M217" s="172">
        <v>5</v>
      </c>
      <c r="N217" s="172">
        <v>2</v>
      </c>
      <c r="O217" s="172">
        <v>26</v>
      </c>
      <c r="P217" s="174">
        <v>1</v>
      </c>
    </row>
    <row r="218" spans="1:16">
      <c r="A218" s="171" t="s">
        <v>449</v>
      </c>
      <c r="B218" s="171" t="s">
        <v>467</v>
      </c>
      <c r="C218" s="171">
        <v>50</v>
      </c>
      <c r="D218" s="171">
        <v>17</v>
      </c>
      <c r="E218" s="171">
        <v>1</v>
      </c>
      <c r="F218" s="171">
        <v>3</v>
      </c>
      <c r="G218" s="171">
        <v>10</v>
      </c>
      <c r="H218" s="171">
        <v>14</v>
      </c>
      <c r="I218" s="171">
        <v>16</v>
      </c>
      <c r="J218" s="171">
        <v>0</v>
      </c>
      <c r="K218" s="171">
        <v>44</v>
      </c>
      <c r="L218" s="171">
        <v>21</v>
      </c>
      <c r="M218" s="171">
        <v>3</v>
      </c>
      <c r="N218" s="171">
        <v>3</v>
      </c>
      <c r="O218" s="171">
        <v>21</v>
      </c>
      <c r="P218" s="173">
        <v>4</v>
      </c>
    </row>
    <row r="219" spans="1:16">
      <c r="A219" s="172" t="s">
        <v>449</v>
      </c>
      <c r="B219" s="172" t="s">
        <v>467</v>
      </c>
      <c r="C219" s="172">
        <v>20</v>
      </c>
      <c r="D219" s="172">
        <v>0</v>
      </c>
      <c r="E219" s="172">
        <v>0</v>
      </c>
      <c r="F219" s="172">
        <v>0</v>
      </c>
      <c r="G219" s="172">
        <v>1</v>
      </c>
      <c r="H219" s="172">
        <v>6</v>
      </c>
      <c r="I219" s="172">
        <v>11</v>
      </c>
      <c r="J219" s="172">
        <v>1</v>
      </c>
      <c r="K219" s="172">
        <v>19</v>
      </c>
      <c r="L219" s="172">
        <v>11</v>
      </c>
      <c r="M219" s="172">
        <v>0</v>
      </c>
      <c r="N219" s="172">
        <v>0</v>
      </c>
      <c r="O219" s="172">
        <v>11</v>
      </c>
      <c r="P219" s="174">
        <v>1</v>
      </c>
    </row>
    <row r="220" spans="1:16">
      <c r="A220" s="171" t="s">
        <v>449</v>
      </c>
      <c r="B220" s="171" t="s">
        <v>467</v>
      </c>
      <c r="C220" s="171">
        <v>50</v>
      </c>
      <c r="D220" s="171">
        <v>16</v>
      </c>
      <c r="E220" s="171">
        <v>3</v>
      </c>
      <c r="F220" s="171">
        <v>10</v>
      </c>
      <c r="G220" s="171">
        <v>15</v>
      </c>
      <c r="H220" s="171">
        <v>14</v>
      </c>
      <c r="I220" s="171">
        <v>13</v>
      </c>
      <c r="J220" s="171">
        <v>0</v>
      </c>
      <c r="K220" s="171">
        <v>55</v>
      </c>
      <c r="L220" s="171">
        <v>9</v>
      </c>
      <c r="M220" s="171">
        <v>1</v>
      </c>
      <c r="N220" s="171">
        <v>6</v>
      </c>
      <c r="O220" s="171">
        <v>42</v>
      </c>
      <c r="P220" s="173">
        <v>6</v>
      </c>
    </row>
    <row r="221" spans="1:16" hidden="1">
      <c r="A221" s="172" t="s">
        <v>451</v>
      </c>
      <c r="B221" s="172" t="s">
        <v>467</v>
      </c>
      <c r="C221" s="172">
        <v>20</v>
      </c>
      <c r="D221" s="172">
        <v>8</v>
      </c>
      <c r="E221" s="172"/>
      <c r="F221" s="172"/>
      <c r="G221" s="172"/>
      <c r="H221" s="172"/>
      <c r="I221" s="172"/>
      <c r="J221" s="172"/>
      <c r="K221" s="172"/>
      <c r="L221" s="172"/>
      <c r="M221" s="172"/>
      <c r="N221" s="172"/>
      <c r="O221" s="172"/>
      <c r="P221" s="174"/>
    </row>
    <row r="222" spans="1:16">
      <c r="A222" s="171" t="s">
        <v>449</v>
      </c>
      <c r="B222" s="171" t="s">
        <v>467</v>
      </c>
      <c r="C222" s="171">
        <v>73</v>
      </c>
      <c r="D222" s="171">
        <v>20</v>
      </c>
      <c r="E222" s="171">
        <v>2</v>
      </c>
      <c r="F222" s="171">
        <v>7</v>
      </c>
      <c r="G222" s="171">
        <v>10</v>
      </c>
      <c r="H222" s="171">
        <v>6</v>
      </c>
      <c r="I222" s="171">
        <v>10</v>
      </c>
      <c r="J222" s="171">
        <v>2</v>
      </c>
      <c r="K222" s="171">
        <v>37</v>
      </c>
      <c r="L222" s="171">
        <v>17</v>
      </c>
      <c r="M222" s="171">
        <v>3</v>
      </c>
      <c r="N222" s="171">
        <v>9</v>
      </c>
      <c r="O222" s="171">
        <v>14</v>
      </c>
      <c r="P222" s="173">
        <v>5</v>
      </c>
    </row>
    <row r="223" spans="1:16">
      <c r="A223" s="172" t="s">
        <v>449</v>
      </c>
      <c r="B223" s="172" t="s">
        <v>467</v>
      </c>
      <c r="C223" s="172">
        <v>148</v>
      </c>
      <c r="D223" s="172">
        <v>50</v>
      </c>
      <c r="E223" s="172">
        <v>3</v>
      </c>
      <c r="F223" s="172">
        <v>17</v>
      </c>
      <c r="G223" s="172">
        <v>18</v>
      </c>
      <c r="H223" s="172">
        <v>18</v>
      </c>
      <c r="I223" s="172">
        <v>22</v>
      </c>
      <c r="J223" s="172">
        <v>0</v>
      </c>
      <c r="K223" s="172">
        <v>78</v>
      </c>
      <c r="L223" s="172">
        <v>40</v>
      </c>
      <c r="M223" s="172">
        <v>14</v>
      </c>
      <c r="N223" s="172">
        <v>6</v>
      </c>
      <c r="O223" s="172">
        <v>36</v>
      </c>
      <c r="P223" s="174">
        <v>8</v>
      </c>
    </row>
    <row r="224" spans="1:16">
      <c r="A224" s="171" t="s">
        <v>449</v>
      </c>
      <c r="B224" s="171" t="s">
        <v>467</v>
      </c>
      <c r="C224" s="171">
        <v>70</v>
      </c>
      <c r="D224" s="171">
        <v>25</v>
      </c>
      <c r="E224" s="171">
        <v>6</v>
      </c>
      <c r="F224" s="171">
        <v>12</v>
      </c>
      <c r="G224" s="171">
        <v>14</v>
      </c>
      <c r="H224" s="171">
        <v>17</v>
      </c>
      <c r="I224" s="171">
        <v>18</v>
      </c>
      <c r="J224" s="171">
        <v>0</v>
      </c>
      <c r="K224" s="171">
        <v>67</v>
      </c>
      <c r="L224" s="171">
        <v>21</v>
      </c>
      <c r="M224" s="171">
        <v>25</v>
      </c>
      <c r="N224" s="171">
        <v>28</v>
      </c>
      <c r="O224" s="171">
        <v>27</v>
      </c>
      <c r="P224" s="173">
        <v>3</v>
      </c>
    </row>
    <row r="225" spans="1:16">
      <c r="A225" s="172" t="s">
        <v>449</v>
      </c>
      <c r="B225" s="172" t="s">
        <v>467</v>
      </c>
      <c r="C225" s="172">
        <v>80</v>
      </c>
      <c r="D225" s="172">
        <v>25</v>
      </c>
      <c r="E225" s="172">
        <v>1</v>
      </c>
      <c r="F225" s="172">
        <v>16</v>
      </c>
      <c r="G225" s="172">
        <v>17</v>
      </c>
      <c r="H225" s="172">
        <v>20</v>
      </c>
      <c r="I225" s="172">
        <v>16</v>
      </c>
      <c r="J225" s="172">
        <v>0</v>
      </c>
      <c r="K225" s="172">
        <v>70</v>
      </c>
      <c r="L225" s="172">
        <v>19</v>
      </c>
      <c r="M225" s="172">
        <v>5</v>
      </c>
      <c r="N225" s="172">
        <v>4</v>
      </c>
      <c r="O225" s="172">
        <v>47</v>
      </c>
      <c r="P225" s="174">
        <v>4</v>
      </c>
    </row>
    <row r="226" spans="1:16" hidden="1">
      <c r="A226" s="171" t="s">
        <v>468</v>
      </c>
      <c r="B226" s="171" t="s">
        <v>467</v>
      </c>
      <c r="C226" s="171">
        <v>50</v>
      </c>
      <c r="D226" s="171">
        <v>0</v>
      </c>
      <c r="E226" s="171">
        <v>0</v>
      </c>
      <c r="F226" s="171">
        <v>0</v>
      </c>
      <c r="G226" s="171">
        <v>8</v>
      </c>
      <c r="H226" s="171">
        <v>14</v>
      </c>
      <c r="I226" s="171">
        <v>21</v>
      </c>
      <c r="J226" s="171">
        <v>1</v>
      </c>
      <c r="K226" s="171">
        <v>44</v>
      </c>
      <c r="L226" s="171">
        <v>2</v>
      </c>
      <c r="M226" s="171">
        <v>3</v>
      </c>
      <c r="N226" s="171">
        <v>44</v>
      </c>
      <c r="O226" s="171">
        <v>0</v>
      </c>
      <c r="P226" s="173">
        <v>0</v>
      </c>
    </row>
    <row r="227" spans="1:16">
      <c r="A227" s="172" t="s">
        <v>449</v>
      </c>
      <c r="B227" s="172" t="s">
        <v>467</v>
      </c>
      <c r="C227" s="172">
        <v>50</v>
      </c>
      <c r="D227" s="172">
        <v>12</v>
      </c>
      <c r="E227" s="172">
        <v>0</v>
      </c>
      <c r="F227" s="172">
        <v>6</v>
      </c>
      <c r="G227" s="172">
        <v>7</v>
      </c>
      <c r="H227" s="172">
        <v>14</v>
      </c>
      <c r="I227" s="172">
        <v>9</v>
      </c>
      <c r="J227" s="172">
        <v>0</v>
      </c>
      <c r="K227" s="172">
        <v>36</v>
      </c>
      <c r="L227" s="172">
        <v>6</v>
      </c>
      <c r="M227" s="172">
        <v>6</v>
      </c>
      <c r="N227" s="172">
        <v>9</v>
      </c>
      <c r="O227" s="172">
        <v>17</v>
      </c>
      <c r="P227" s="174">
        <v>7</v>
      </c>
    </row>
    <row r="228" spans="1:16">
      <c r="A228" s="171" t="s">
        <v>449</v>
      </c>
      <c r="B228" s="171" t="s">
        <v>467</v>
      </c>
      <c r="C228" s="171">
        <v>36</v>
      </c>
      <c r="D228" s="171">
        <v>8</v>
      </c>
      <c r="E228" s="171">
        <v>1</v>
      </c>
      <c r="F228" s="171">
        <v>5</v>
      </c>
      <c r="G228" s="171">
        <v>6</v>
      </c>
      <c r="H228" s="171">
        <v>10</v>
      </c>
      <c r="I228" s="171">
        <v>15</v>
      </c>
      <c r="J228" s="171">
        <v>0</v>
      </c>
      <c r="K228" s="171">
        <v>37</v>
      </c>
      <c r="L228" s="171">
        <v>28</v>
      </c>
      <c r="M228" s="171">
        <v>2</v>
      </c>
      <c r="N228" s="171">
        <v>3</v>
      </c>
      <c r="O228" s="171">
        <v>5</v>
      </c>
      <c r="P228" s="173">
        <v>4</v>
      </c>
    </row>
    <row r="229" spans="1:16">
      <c r="A229" s="172" t="s">
        <v>449</v>
      </c>
      <c r="B229" s="172" t="s">
        <v>467</v>
      </c>
      <c r="C229" s="172">
        <v>30</v>
      </c>
      <c r="D229" s="172">
        <v>12</v>
      </c>
      <c r="E229" s="172">
        <v>0</v>
      </c>
      <c r="F229" s="172">
        <v>6</v>
      </c>
      <c r="G229" s="172">
        <v>6</v>
      </c>
      <c r="H229" s="172">
        <v>6</v>
      </c>
      <c r="I229" s="172">
        <v>14</v>
      </c>
      <c r="J229" s="172">
        <v>0</v>
      </c>
      <c r="K229" s="172">
        <v>32</v>
      </c>
      <c r="L229" s="172">
        <v>3</v>
      </c>
      <c r="M229" s="172">
        <v>3</v>
      </c>
      <c r="N229" s="172">
        <v>4</v>
      </c>
      <c r="O229" s="172">
        <v>23</v>
      </c>
      <c r="P229" s="174">
        <v>1</v>
      </c>
    </row>
    <row r="230" spans="1:16" hidden="1">
      <c r="A230" s="171" t="s">
        <v>469</v>
      </c>
      <c r="B230" s="171" t="s">
        <v>467</v>
      </c>
      <c r="C230" s="171">
        <v>20</v>
      </c>
      <c r="D230" s="171">
        <v>5</v>
      </c>
      <c r="E230" s="171">
        <v>1</v>
      </c>
      <c r="F230" s="171">
        <v>2</v>
      </c>
      <c r="G230" s="171">
        <v>5</v>
      </c>
      <c r="H230" s="171">
        <v>3</v>
      </c>
      <c r="I230" s="171">
        <v>6</v>
      </c>
      <c r="J230" s="171">
        <v>1</v>
      </c>
      <c r="K230" s="171">
        <v>18</v>
      </c>
      <c r="L230" s="171">
        <v>0</v>
      </c>
      <c r="M230" s="171">
        <v>2</v>
      </c>
      <c r="N230" s="171">
        <v>17</v>
      </c>
      <c r="O230" s="171">
        <v>1</v>
      </c>
      <c r="P230" s="173">
        <v>0</v>
      </c>
    </row>
    <row r="231" spans="1:16">
      <c r="A231" s="172" t="s">
        <v>449</v>
      </c>
      <c r="B231" s="172" t="s">
        <v>467</v>
      </c>
      <c r="C231" s="172">
        <v>30</v>
      </c>
      <c r="D231" s="172">
        <v>10</v>
      </c>
      <c r="E231" s="172">
        <v>0</v>
      </c>
      <c r="F231" s="172">
        <v>5</v>
      </c>
      <c r="G231" s="172">
        <v>7</v>
      </c>
      <c r="H231" s="172">
        <v>2</v>
      </c>
      <c r="I231" s="172">
        <v>9</v>
      </c>
      <c r="J231" s="172">
        <v>0</v>
      </c>
      <c r="K231" s="172">
        <v>23</v>
      </c>
      <c r="L231" s="172">
        <v>14</v>
      </c>
      <c r="M231" s="172">
        <v>14</v>
      </c>
      <c r="N231" s="172">
        <v>4</v>
      </c>
      <c r="O231" s="172">
        <v>1</v>
      </c>
      <c r="P231" s="174">
        <v>0</v>
      </c>
    </row>
    <row r="232" spans="1:16">
      <c r="A232" s="171" t="s">
        <v>449</v>
      </c>
      <c r="B232" s="171" t="s">
        <v>467</v>
      </c>
      <c r="C232" s="171">
        <v>100</v>
      </c>
      <c r="D232" s="171">
        <v>22</v>
      </c>
      <c r="E232" s="171">
        <v>1</v>
      </c>
      <c r="F232" s="171">
        <v>8</v>
      </c>
      <c r="G232" s="171">
        <v>18</v>
      </c>
      <c r="H232" s="171">
        <v>14</v>
      </c>
      <c r="I232" s="171">
        <v>26</v>
      </c>
      <c r="J232" s="171">
        <v>2</v>
      </c>
      <c r="K232" s="171">
        <v>69</v>
      </c>
      <c r="L232" s="171">
        <v>7</v>
      </c>
      <c r="M232" s="171">
        <v>23</v>
      </c>
      <c r="N232" s="171">
        <v>63</v>
      </c>
      <c r="O232" s="171">
        <v>5</v>
      </c>
      <c r="P232" s="173">
        <v>0</v>
      </c>
    </row>
    <row r="233" spans="1:16">
      <c r="A233" s="172" t="s">
        <v>449</v>
      </c>
      <c r="B233" s="172" t="s">
        <v>467</v>
      </c>
      <c r="C233" s="172">
        <v>85</v>
      </c>
      <c r="D233" s="172">
        <v>24</v>
      </c>
      <c r="E233" s="172">
        <v>2</v>
      </c>
      <c r="F233" s="172">
        <v>22</v>
      </c>
      <c r="G233" s="172">
        <v>28</v>
      </c>
      <c r="H233" s="172">
        <v>30</v>
      </c>
      <c r="I233" s="172">
        <v>22</v>
      </c>
      <c r="J233" s="172">
        <v>2</v>
      </c>
      <c r="K233" s="172">
        <v>106</v>
      </c>
      <c r="L233" s="172">
        <v>99</v>
      </c>
      <c r="M233" s="172">
        <v>10</v>
      </c>
      <c r="N233" s="172">
        <v>8</v>
      </c>
      <c r="O233" s="172">
        <v>7</v>
      </c>
      <c r="P233" s="174">
        <v>6</v>
      </c>
    </row>
    <row r="234" spans="1:16">
      <c r="A234" s="169" t="s">
        <v>449</v>
      </c>
      <c r="B234" s="171" t="s">
        <v>467</v>
      </c>
      <c r="C234" s="171">
        <v>38</v>
      </c>
      <c r="D234" s="171">
        <v>12</v>
      </c>
      <c r="E234" s="171">
        <v>1</v>
      </c>
      <c r="F234" s="171">
        <v>9</v>
      </c>
      <c r="G234" s="171">
        <v>8</v>
      </c>
      <c r="H234" s="171">
        <v>8</v>
      </c>
      <c r="I234" s="171">
        <v>13</v>
      </c>
      <c r="J234" s="171">
        <v>1</v>
      </c>
      <c r="K234" s="171">
        <v>40</v>
      </c>
      <c r="L234" s="171">
        <v>16</v>
      </c>
      <c r="M234" s="171">
        <v>3</v>
      </c>
      <c r="N234" s="171">
        <v>2</v>
      </c>
      <c r="O234" s="171">
        <v>23</v>
      </c>
      <c r="P234" s="173">
        <v>3</v>
      </c>
    </row>
    <row r="235" spans="1:16" hidden="1">
      <c r="A235" s="170" t="s">
        <v>469</v>
      </c>
      <c r="B235" s="172" t="s">
        <v>467</v>
      </c>
      <c r="C235" s="172">
        <v>100</v>
      </c>
      <c r="D235" s="172">
        <v>20</v>
      </c>
      <c r="E235" s="172">
        <v>1</v>
      </c>
      <c r="F235" s="172">
        <v>15</v>
      </c>
      <c r="G235" s="172">
        <v>16</v>
      </c>
      <c r="H235" s="172">
        <v>29</v>
      </c>
      <c r="I235" s="172">
        <v>22</v>
      </c>
      <c r="J235" s="172">
        <v>5</v>
      </c>
      <c r="K235" s="172">
        <v>88</v>
      </c>
      <c r="L235" s="172">
        <v>13</v>
      </c>
      <c r="M235" s="172">
        <v>15</v>
      </c>
      <c r="N235" s="172">
        <v>85</v>
      </c>
      <c r="O235" s="172">
        <v>3</v>
      </c>
      <c r="P235" s="174">
        <v>0</v>
      </c>
    </row>
    <row r="236" spans="1:16">
      <c r="A236" s="171" t="s">
        <v>449</v>
      </c>
      <c r="B236" s="171" t="s">
        <v>467</v>
      </c>
      <c r="C236" s="171">
        <v>90</v>
      </c>
      <c r="D236" s="171">
        <v>20</v>
      </c>
      <c r="E236" s="171">
        <v>1</v>
      </c>
      <c r="F236" s="171">
        <v>11</v>
      </c>
      <c r="G236" s="171">
        <v>6</v>
      </c>
      <c r="H236" s="171">
        <v>19</v>
      </c>
      <c r="I236" s="171">
        <v>20</v>
      </c>
      <c r="J236" s="171">
        <v>2</v>
      </c>
      <c r="K236" s="171">
        <v>59</v>
      </c>
      <c r="L236" s="171">
        <v>21</v>
      </c>
      <c r="M236" s="171">
        <v>3</v>
      </c>
      <c r="N236" s="171">
        <v>6</v>
      </c>
      <c r="O236" s="171">
        <v>28</v>
      </c>
      <c r="P236" s="173">
        <v>13</v>
      </c>
    </row>
    <row r="237" spans="1:16">
      <c r="A237" s="172" t="s">
        <v>449</v>
      </c>
      <c r="B237" s="172" t="s">
        <v>467</v>
      </c>
      <c r="C237" s="172">
        <v>27</v>
      </c>
      <c r="D237" s="172">
        <v>0</v>
      </c>
      <c r="E237" s="172">
        <v>0</v>
      </c>
      <c r="F237" s="172">
        <v>0</v>
      </c>
      <c r="G237" s="172">
        <v>1</v>
      </c>
      <c r="H237" s="172">
        <v>1</v>
      </c>
      <c r="I237" s="172">
        <v>12</v>
      </c>
      <c r="J237" s="172">
        <v>1</v>
      </c>
      <c r="K237" s="172">
        <v>15</v>
      </c>
      <c r="L237" s="172">
        <v>13</v>
      </c>
      <c r="M237" s="172">
        <v>0</v>
      </c>
      <c r="N237" s="172">
        <v>1</v>
      </c>
      <c r="O237" s="172">
        <v>3</v>
      </c>
      <c r="P237" s="174">
        <v>0</v>
      </c>
    </row>
    <row r="238" spans="1:16" hidden="1">
      <c r="A238" s="171" t="s">
        <v>468</v>
      </c>
      <c r="B238" s="171" t="s">
        <v>467</v>
      </c>
      <c r="C238" s="171">
        <v>38</v>
      </c>
      <c r="D238" s="171">
        <v>10</v>
      </c>
      <c r="E238" s="171">
        <v>2</v>
      </c>
      <c r="F238" s="171">
        <v>5</v>
      </c>
      <c r="G238" s="171">
        <v>6</v>
      </c>
      <c r="H238" s="171">
        <v>3</v>
      </c>
      <c r="I238" s="171">
        <v>10</v>
      </c>
      <c r="J238" s="171">
        <v>0</v>
      </c>
      <c r="K238" s="171">
        <v>26</v>
      </c>
      <c r="L238" s="171">
        <v>1</v>
      </c>
      <c r="M238" s="171">
        <v>0</v>
      </c>
      <c r="N238" s="171">
        <v>26</v>
      </c>
      <c r="O238" s="171">
        <v>0</v>
      </c>
      <c r="P238" s="173">
        <v>0</v>
      </c>
    </row>
    <row r="239" spans="1:16">
      <c r="A239" s="170" t="s">
        <v>449</v>
      </c>
      <c r="B239" s="172" t="s">
        <v>467</v>
      </c>
      <c r="C239" s="172">
        <v>150</v>
      </c>
      <c r="D239" s="172">
        <v>32</v>
      </c>
      <c r="E239" s="172">
        <v>3</v>
      </c>
      <c r="F239" s="172">
        <v>19</v>
      </c>
      <c r="G239" s="172">
        <v>36</v>
      </c>
      <c r="H239" s="172">
        <v>25</v>
      </c>
      <c r="I239" s="172">
        <v>28</v>
      </c>
      <c r="J239" s="172">
        <v>1</v>
      </c>
      <c r="K239" s="172">
        <v>112</v>
      </c>
      <c r="L239" s="172">
        <v>88</v>
      </c>
      <c r="M239" s="172">
        <v>3</v>
      </c>
      <c r="N239" s="172">
        <v>1</v>
      </c>
      <c r="O239" s="172">
        <v>34</v>
      </c>
      <c r="P239" s="174">
        <v>4</v>
      </c>
    </row>
    <row r="240" spans="1:16">
      <c r="A240" s="169" t="s">
        <v>449</v>
      </c>
      <c r="B240" s="171" t="s">
        <v>467</v>
      </c>
      <c r="C240" s="171">
        <v>139</v>
      </c>
      <c r="D240" s="171">
        <v>45</v>
      </c>
      <c r="E240" s="171">
        <v>2</v>
      </c>
      <c r="F240" s="171">
        <v>13</v>
      </c>
      <c r="G240" s="171">
        <v>34</v>
      </c>
      <c r="H240" s="171">
        <v>32</v>
      </c>
      <c r="I240" s="171">
        <v>44</v>
      </c>
      <c r="J240" s="171">
        <v>3</v>
      </c>
      <c r="K240" s="171">
        <v>128</v>
      </c>
      <c r="L240" s="171">
        <v>28</v>
      </c>
      <c r="M240" s="171">
        <v>3</v>
      </c>
      <c r="N240" s="171">
        <v>8</v>
      </c>
      <c r="O240" s="171">
        <v>94</v>
      </c>
      <c r="P240" s="173">
        <v>16</v>
      </c>
    </row>
    <row r="241" spans="1:16">
      <c r="A241" s="172" t="s">
        <v>449</v>
      </c>
      <c r="B241" s="172" t="s">
        <v>467</v>
      </c>
      <c r="C241" s="172">
        <v>40</v>
      </c>
      <c r="D241" s="172">
        <v>10</v>
      </c>
      <c r="E241" s="172">
        <v>4</v>
      </c>
      <c r="F241" s="172">
        <v>5</v>
      </c>
      <c r="G241" s="172">
        <v>5</v>
      </c>
      <c r="H241" s="172">
        <v>5</v>
      </c>
      <c r="I241" s="172">
        <v>4</v>
      </c>
      <c r="J241" s="172">
        <v>0</v>
      </c>
      <c r="K241" s="172">
        <v>23</v>
      </c>
      <c r="L241" s="172">
        <v>5</v>
      </c>
      <c r="M241" s="172">
        <v>0</v>
      </c>
      <c r="N241" s="172">
        <v>0</v>
      </c>
      <c r="O241" s="172">
        <v>18</v>
      </c>
      <c r="P241" s="174">
        <v>1</v>
      </c>
    </row>
    <row r="242" spans="1:16">
      <c r="A242" s="171" t="s">
        <v>449</v>
      </c>
      <c r="B242" s="171" t="s">
        <v>467</v>
      </c>
      <c r="C242" s="171">
        <v>42</v>
      </c>
      <c r="D242" s="171">
        <v>18</v>
      </c>
      <c r="E242" s="171">
        <v>0</v>
      </c>
      <c r="F242" s="171">
        <v>14</v>
      </c>
      <c r="G242" s="171">
        <v>4</v>
      </c>
      <c r="H242" s="171">
        <v>12</v>
      </c>
      <c r="I242" s="171">
        <v>4</v>
      </c>
      <c r="J242" s="171">
        <v>0</v>
      </c>
      <c r="K242" s="171">
        <v>34</v>
      </c>
      <c r="L242" s="171">
        <v>30</v>
      </c>
      <c r="M242" s="171">
        <v>1</v>
      </c>
      <c r="N242" s="171">
        <v>0</v>
      </c>
      <c r="O242" s="171">
        <v>4</v>
      </c>
      <c r="P242" s="173">
        <v>4</v>
      </c>
    </row>
    <row r="243" spans="1:16">
      <c r="A243" s="172" t="s">
        <v>449</v>
      </c>
      <c r="B243" s="172" t="s">
        <v>467</v>
      </c>
      <c r="C243" s="172">
        <v>50</v>
      </c>
      <c r="D243" s="172">
        <v>10</v>
      </c>
      <c r="E243" s="172">
        <v>2</v>
      </c>
      <c r="F243" s="172">
        <v>3</v>
      </c>
      <c r="G243" s="172">
        <v>8</v>
      </c>
      <c r="H243" s="172">
        <v>18</v>
      </c>
      <c r="I243" s="172">
        <v>25</v>
      </c>
      <c r="J243" s="172">
        <v>2</v>
      </c>
      <c r="K243" s="172">
        <v>58</v>
      </c>
      <c r="L243" s="172">
        <v>15</v>
      </c>
      <c r="M243" s="172">
        <v>3</v>
      </c>
      <c r="N243" s="172">
        <v>2</v>
      </c>
      <c r="O243" s="172">
        <v>41</v>
      </c>
      <c r="P243" s="174">
        <v>4</v>
      </c>
    </row>
    <row r="244" spans="1:16" hidden="1">
      <c r="A244" s="171" t="s">
        <v>468</v>
      </c>
      <c r="B244" s="171" t="s">
        <v>467</v>
      </c>
      <c r="C244" s="171">
        <v>50</v>
      </c>
      <c r="D244" s="171">
        <v>15</v>
      </c>
      <c r="E244" s="171">
        <v>2</v>
      </c>
      <c r="F244" s="171">
        <v>7</v>
      </c>
      <c r="G244" s="171">
        <v>17</v>
      </c>
      <c r="H244" s="171">
        <v>12</v>
      </c>
      <c r="I244" s="171">
        <v>5</v>
      </c>
      <c r="J244" s="171">
        <v>0</v>
      </c>
      <c r="K244" s="171">
        <v>43</v>
      </c>
      <c r="L244" s="171">
        <v>1</v>
      </c>
      <c r="M244" s="171">
        <v>1</v>
      </c>
      <c r="N244" s="171">
        <v>41</v>
      </c>
      <c r="O244" s="171">
        <v>3</v>
      </c>
      <c r="P244" s="173">
        <v>0</v>
      </c>
    </row>
    <row r="245" spans="1:16">
      <c r="A245" s="172" t="s">
        <v>449</v>
      </c>
      <c r="B245" s="172" t="s">
        <v>467</v>
      </c>
      <c r="C245" s="172">
        <v>30</v>
      </c>
      <c r="D245" s="172">
        <v>8</v>
      </c>
      <c r="E245" s="172">
        <v>3</v>
      </c>
      <c r="F245" s="172">
        <v>6</v>
      </c>
      <c r="G245" s="172">
        <v>8</v>
      </c>
      <c r="H245" s="172">
        <v>14</v>
      </c>
      <c r="I245" s="172">
        <v>8</v>
      </c>
      <c r="J245" s="172">
        <v>2</v>
      </c>
      <c r="K245" s="172">
        <v>41</v>
      </c>
      <c r="L245" s="172">
        <v>41</v>
      </c>
      <c r="M245" s="172">
        <v>3</v>
      </c>
      <c r="N245" s="172">
        <v>0</v>
      </c>
      <c r="O245" s="172">
        <v>0</v>
      </c>
      <c r="P245" s="174">
        <v>0</v>
      </c>
    </row>
    <row r="246" spans="1:16">
      <c r="A246" s="171" t="s">
        <v>449</v>
      </c>
      <c r="B246" s="171" t="s">
        <v>467</v>
      </c>
      <c r="C246" s="171">
        <v>37</v>
      </c>
      <c r="D246" s="171">
        <v>7</v>
      </c>
      <c r="E246" s="171">
        <v>2</v>
      </c>
      <c r="F246" s="171">
        <v>7</v>
      </c>
      <c r="G246" s="171">
        <v>8</v>
      </c>
      <c r="H246" s="171">
        <v>7</v>
      </c>
      <c r="I246" s="171">
        <v>10</v>
      </c>
      <c r="J246" s="171">
        <v>0</v>
      </c>
      <c r="K246" s="171">
        <v>34</v>
      </c>
      <c r="L246" s="171">
        <v>24</v>
      </c>
      <c r="M246" s="171">
        <v>2</v>
      </c>
      <c r="N246" s="171">
        <v>8</v>
      </c>
      <c r="O246" s="171">
        <v>11</v>
      </c>
      <c r="P246" s="173">
        <v>2</v>
      </c>
    </row>
    <row r="247" spans="1:16">
      <c r="A247" s="170" t="s">
        <v>449</v>
      </c>
      <c r="B247" s="172" t="s">
        <v>467</v>
      </c>
      <c r="C247" s="172">
        <v>50</v>
      </c>
      <c r="D247" s="172">
        <v>14</v>
      </c>
      <c r="E247" s="172">
        <v>1</v>
      </c>
      <c r="F247" s="172">
        <v>4</v>
      </c>
      <c r="G247" s="172">
        <v>14</v>
      </c>
      <c r="H247" s="172">
        <v>6</v>
      </c>
      <c r="I247" s="172">
        <v>9</v>
      </c>
      <c r="J247" s="172">
        <v>0</v>
      </c>
      <c r="K247" s="172">
        <v>34</v>
      </c>
      <c r="L247" s="172">
        <v>15</v>
      </c>
      <c r="M247" s="172">
        <v>17</v>
      </c>
      <c r="N247" s="172">
        <v>15</v>
      </c>
      <c r="O247" s="172">
        <v>7</v>
      </c>
      <c r="P247" s="174">
        <v>1</v>
      </c>
    </row>
    <row r="248" spans="1:16">
      <c r="A248" s="169" t="s">
        <v>449</v>
      </c>
      <c r="B248" s="171" t="s">
        <v>467</v>
      </c>
      <c r="C248" s="171">
        <v>50</v>
      </c>
      <c r="D248" s="171">
        <v>17</v>
      </c>
      <c r="E248" s="171">
        <v>4</v>
      </c>
      <c r="F248" s="171">
        <v>13</v>
      </c>
      <c r="G248" s="171">
        <v>11</v>
      </c>
      <c r="H248" s="171">
        <v>18</v>
      </c>
      <c r="I248" s="171">
        <v>4</v>
      </c>
      <c r="J248" s="171">
        <v>0</v>
      </c>
      <c r="K248" s="171">
        <v>50</v>
      </c>
      <c r="L248" s="171">
        <v>26</v>
      </c>
      <c r="M248" s="171">
        <v>7</v>
      </c>
      <c r="N248" s="171">
        <v>3</v>
      </c>
      <c r="O248" s="171">
        <v>18</v>
      </c>
      <c r="P248" s="173">
        <v>9</v>
      </c>
    </row>
    <row r="249" spans="1:16">
      <c r="A249" s="172" t="s">
        <v>449</v>
      </c>
      <c r="B249" s="172" t="s">
        <v>467</v>
      </c>
      <c r="C249" s="172">
        <v>50</v>
      </c>
      <c r="D249" s="172">
        <v>0</v>
      </c>
      <c r="E249" s="172">
        <v>0</v>
      </c>
      <c r="F249" s="172">
        <v>0</v>
      </c>
      <c r="G249" s="172">
        <v>0</v>
      </c>
      <c r="H249" s="172">
        <v>19</v>
      </c>
      <c r="I249" s="172">
        <v>26</v>
      </c>
      <c r="J249" s="172">
        <v>0</v>
      </c>
      <c r="K249" s="172">
        <v>45</v>
      </c>
      <c r="L249" s="172">
        <v>5</v>
      </c>
      <c r="M249" s="172">
        <v>5</v>
      </c>
      <c r="N249" s="172">
        <v>10</v>
      </c>
      <c r="O249" s="172">
        <v>35</v>
      </c>
      <c r="P249" s="174">
        <v>0</v>
      </c>
    </row>
    <row r="250" spans="1:16">
      <c r="A250" s="171" t="s">
        <v>449</v>
      </c>
      <c r="B250" s="171" t="s">
        <v>467</v>
      </c>
      <c r="C250" s="171">
        <v>84</v>
      </c>
      <c r="D250" s="171">
        <v>20</v>
      </c>
      <c r="E250" s="171">
        <v>2</v>
      </c>
      <c r="F250" s="171">
        <v>15</v>
      </c>
      <c r="G250" s="171">
        <v>26</v>
      </c>
      <c r="H250" s="171">
        <v>22</v>
      </c>
      <c r="I250" s="171">
        <v>22</v>
      </c>
      <c r="J250" s="171">
        <v>1</v>
      </c>
      <c r="K250" s="171">
        <v>88</v>
      </c>
      <c r="L250" s="171">
        <v>30</v>
      </c>
      <c r="M250" s="171">
        <v>5</v>
      </c>
      <c r="N250" s="171">
        <v>5</v>
      </c>
      <c r="O250" s="171">
        <v>47</v>
      </c>
      <c r="P250" s="173">
        <v>12</v>
      </c>
    </row>
    <row r="251" spans="1:16">
      <c r="A251" s="172" t="s">
        <v>449</v>
      </c>
      <c r="B251" s="172" t="s">
        <v>467</v>
      </c>
      <c r="C251" s="172">
        <v>36</v>
      </c>
      <c r="D251" s="172">
        <v>0</v>
      </c>
      <c r="E251" s="172">
        <v>0</v>
      </c>
      <c r="F251" s="172">
        <v>0</v>
      </c>
      <c r="G251" s="172">
        <v>4</v>
      </c>
      <c r="H251" s="172">
        <v>10</v>
      </c>
      <c r="I251" s="172">
        <v>16</v>
      </c>
      <c r="J251" s="172">
        <v>3</v>
      </c>
      <c r="K251" s="172">
        <v>33</v>
      </c>
      <c r="L251" s="172">
        <v>13</v>
      </c>
      <c r="M251" s="172">
        <v>14</v>
      </c>
      <c r="N251" s="172">
        <v>6</v>
      </c>
      <c r="O251" s="172">
        <v>10</v>
      </c>
      <c r="P251" s="174">
        <v>2</v>
      </c>
    </row>
    <row r="252" spans="1:16">
      <c r="A252" s="171" t="s">
        <v>449</v>
      </c>
      <c r="B252" s="171" t="s">
        <v>467</v>
      </c>
      <c r="C252" s="171">
        <v>95</v>
      </c>
      <c r="D252" s="171">
        <v>40</v>
      </c>
      <c r="E252" s="171">
        <v>6</v>
      </c>
      <c r="F252" s="171">
        <v>12</v>
      </c>
      <c r="G252" s="171">
        <v>24</v>
      </c>
      <c r="H252" s="171">
        <v>15</v>
      </c>
      <c r="I252" s="171">
        <v>16</v>
      </c>
      <c r="J252" s="171">
        <v>0</v>
      </c>
      <c r="K252" s="171">
        <v>73</v>
      </c>
      <c r="L252" s="171">
        <v>40</v>
      </c>
      <c r="M252" s="171">
        <v>9</v>
      </c>
      <c r="N252" s="171">
        <v>21</v>
      </c>
      <c r="O252" s="171">
        <v>30</v>
      </c>
      <c r="P252" s="173">
        <v>5</v>
      </c>
    </row>
    <row r="253" spans="1:16">
      <c r="A253" s="172" t="s">
        <v>449</v>
      </c>
      <c r="B253" s="172" t="s">
        <v>467</v>
      </c>
      <c r="C253" s="172">
        <v>43</v>
      </c>
      <c r="D253" s="172">
        <v>10</v>
      </c>
      <c r="E253" s="172">
        <v>2</v>
      </c>
      <c r="F253" s="172">
        <v>8</v>
      </c>
      <c r="G253" s="172">
        <v>14</v>
      </c>
      <c r="H253" s="172">
        <v>11</v>
      </c>
      <c r="I253" s="172">
        <v>17</v>
      </c>
      <c r="J253" s="172">
        <v>0</v>
      </c>
      <c r="K253" s="172">
        <v>52</v>
      </c>
      <c r="L253" s="172">
        <v>23</v>
      </c>
      <c r="M253" s="172">
        <v>15</v>
      </c>
      <c r="N253" s="172">
        <v>25</v>
      </c>
      <c r="O253" s="172">
        <v>10</v>
      </c>
      <c r="P253" s="174">
        <v>2</v>
      </c>
    </row>
    <row r="254" spans="1:16" hidden="1">
      <c r="A254" s="171" t="s">
        <v>469</v>
      </c>
      <c r="B254" s="171" t="s">
        <v>467</v>
      </c>
      <c r="C254" s="171">
        <v>50</v>
      </c>
      <c r="D254" s="171">
        <v>15</v>
      </c>
      <c r="E254" s="171">
        <v>1</v>
      </c>
      <c r="F254" s="171">
        <v>7</v>
      </c>
      <c r="G254" s="171">
        <v>9</v>
      </c>
      <c r="H254" s="171">
        <v>13</v>
      </c>
      <c r="I254" s="171">
        <v>11</v>
      </c>
      <c r="J254" s="171">
        <v>2</v>
      </c>
      <c r="K254" s="171">
        <v>43</v>
      </c>
      <c r="L254" s="171">
        <v>0</v>
      </c>
      <c r="M254" s="171">
        <v>2</v>
      </c>
      <c r="N254" s="171">
        <v>37</v>
      </c>
      <c r="O254" s="171">
        <v>3</v>
      </c>
      <c r="P254" s="173">
        <v>4</v>
      </c>
    </row>
    <row r="255" spans="1:16">
      <c r="A255" s="172" t="s">
        <v>449</v>
      </c>
      <c r="B255" s="172" t="s">
        <v>467</v>
      </c>
      <c r="C255" s="172">
        <v>36</v>
      </c>
      <c r="D255" s="172">
        <v>10</v>
      </c>
      <c r="E255" s="172">
        <v>1</v>
      </c>
      <c r="F255" s="172">
        <v>6</v>
      </c>
      <c r="G255" s="172">
        <v>5</v>
      </c>
      <c r="H255" s="172">
        <v>3</v>
      </c>
      <c r="I255" s="172">
        <v>11</v>
      </c>
      <c r="J255" s="172">
        <v>0</v>
      </c>
      <c r="K255" s="172">
        <v>26</v>
      </c>
      <c r="L255" s="172">
        <v>0</v>
      </c>
      <c r="M255" s="172">
        <v>8</v>
      </c>
      <c r="N255" s="172">
        <v>26</v>
      </c>
      <c r="O255" s="172">
        <v>1</v>
      </c>
      <c r="P255" s="174">
        <v>0</v>
      </c>
    </row>
    <row r="256" spans="1:16" hidden="1">
      <c r="A256" s="171" t="s">
        <v>452</v>
      </c>
      <c r="B256" s="171" t="s">
        <v>467</v>
      </c>
      <c r="C256" s="171">
        <v>40</v>
      </c>
      <c r="D256" s="171">
        <v>0</v>
      </c>
      <c r="E256" s="171">
        <v>0</v>
      </c>
      <c r="F256" s="171">
        <v>0</v>
      </c>
      <c r="G256" s="171">
        <v>0</v>
      </c>
      <c r="H256" s="171">
        <v>21</v>
      </c>
      <c r="I256" s="171">
        <v>26</v>
      </c>
      <c r="J256" s="171">
        <v>1</v>
      </c>
      <c r="K256" s="171">
        <v>48</v>
      </c>
      <c r="L256" s="171">
        <v>13</v>
      </c>
      <c r="M256" s="171">
        <v>3</v>
      </c>
      <c r="N256" s="171">
        <v>10</v>
      </c>
      <c r="O256" s="171">
        <v>30</v>
      </c>
      <c r="P256" s="173">
        <v>5</v>
      </c>
    </row>
    <row r="257" spans="1:16">
      <c r="A257" s="172" t="s">
        <v>449</v>
      </c>
      <c r="B257" s="172" t="s">
        <v>467</v>
      </c>
      <c r="C257" s="172">
        <v>115</v>
      </c>
      <c r="D257" s="172">
        <v>25</v>
      </c>
      <c r="E257" s="172">
        <v>1</v>
      </c>
      <c r="F257" s="172">
        <v>17</v>
      </c>
      <c r="G257" s="172">
        <v>14</v>
      </c>
      <c r="H257" s="172">
        <v>29</v>
      </c>
      <c r="I257" s="172">
        <v>42</v>
      </c>
      <c r="J257" s="172">
        <v>1</v>
      </c>
      <c r="K257" s="172">
        <v>104</v>
      </c>
      <c r="L257" s="172">
        <v>34</v>
      </c>
      <c r="M257" s="172">
        <v>6</v>
      </c>
      <c r="N257" s="172">
        <v>4</v>
      </c>
      <c r="O257" s="172">
        <v>74</v>
      </c>
      <c r="P257" s="174">
        <v>5</v>
      </c>
    </row>
    <row r="258" spans="1:16">
      <c r="A258" s="171" t="s">
        <v>449</v>
      </c>
      <c r="B258" s="171" t="s">
        <v>467</v>
      </c>
      <c r="C258" s="171">
        <v>119</v>
      </c>
      <c r="D258" s="171">
        <v>47</v>
      </c>
      <c r="E258" s="171">
        <v>5</v>
      </c>
      <c r="F258" s="171">
        <v>34</v>
      </c>
      <c r="G258" s="171">
        <v>28</v>
      </c>
      <c r="H258" s="171">
        <v>2</v>
      </c>
      <c r="I258" s="171">
        <v>0</v>
      </c>
      <c r="J258" s="171">
        <v>0</v>
      </c>
      <c r="K258" s="171">
        <v>69</v>
      </c>
      <c r="L258" s="171">
        <v>37</v>
      </c>
      <c r="M258" s="171">
        <v>5</v>
      </c>
      <c r="N258" s="171">
        <v>4</v>
      </c>
      <c r="O258" s="171">
        <v>28</v>
      </c>
      <c r="P258" s="173">
        <v>18</v>
      </c>
    </row>
    <row r="259" spans="1:16">
      <c r="A259" s="170" t="s">
        <v>449</v>
      </c>
      <c r="B259" s="172" t="s">
        <v>467</v>
      </c>
      <c r="C259" s="172">
        <v>80</v>
      </c>
      <c r="D259" s="172">
        <v>14</v>
      </c>
      <c r="E259" s="172">
        <v>3</v>
      </c>
      <c r="F259" s="172">
        <v>10</v>
      </c>
      <c r="G259" s="172">
        <v>20</v>
      </c>
      <c r="H259" s="172">
        <v>21</v>
      </c>
      <c r="I259" s="172">
        <v>17</v>
      </c>
      <c r="J259" s="172">
        <v>1</v>
      </c>
      <c r="K259" s="172">
        <v>72</v>
      </c>
      <c r="L259" s="172">
        <v>57</v>
      </c>
      <c r="M259" s="172">
        <v>17</v>
      </c>
      <c r="N259" s="172">
        <v>12</v>
      </c>
      <c r="O259" s="172">
        <v>9</v>
      </c>
      <c r="P259" s="174">
        <v>3</v>
      </c>
    </row>
    <row r="260" spans="1:16" hidden="1">
      <c r="A260" s="169" t="s">
        <v>468</v>
      </c>
      <c r="B260" s="171" t="s">
        <v>467</v>
      </c>
      <c r="C260" s="171">
        <v>35</v>
      </c>
      <c r="D260" s="171">
        <v>8</v>
      </c>
      <c r="E260" s="171">
        <v>0</v>
      </c>
      <c r="F260" s="171">
        <v>6</v>
      </c>
      <c r="G260" s="171">
        <v>5</v>
      </c>
      <c r="H260" s="171">
        <v>10</v>
      </c>
      <c r="I260" s="171">
        <v>6</v>
      </c>
      <c r="J260" s="171">
        <v>0</v>
      </c>
      <c r="K260" s="171">
        <v>27</v>
      </c>
      <c r="L260" s="171">
        <v>1</v>
      </c>
      <c r="M260" s="171">
        <v>0</v>
      </c>
      <c r="N260" s="171">
        <v>25</v>
      </c>
      <c r="O260" s="171">
        <v>1</v>
      </c>
      <c r="P260" s="173">
        <v>0</v>
      </c>
    </row>
    <row r="261" spans="1:16">
      <c r="A261" s="172" t="s">
        <v>449</v>
      </c>
      <c r="B261" s="172" t="s">
        <v>467</v>
      </c>
      <c r="C261" s="172">
        <v>50</v>
      </c>
      <c r="D261" s="172">
        <v>18</v>
      </c>
      <c r="E261" s="172">
        <v>1</v>
      </c>
      <c r="F261" s="172">
        <v>4</v>
      </c>
      <c r="G261" s="172">
        <v>12</v>
      </c>
      <c r="H261" s="172">
        <v>9</v>
      </c>
      <c r="I261" s="172">
        <v>17</v>
      </c>
      <c r="J261" s="172">
        <v>1</v>
      </c>
      <c r="K261" s="172">
        <v>44</v>
      </c>
      <c r="L261" s="172">
        <v>2</v>
      </c>
      <c r="M261" s="172">
        <v>1</v>
      </c>
      <c r="N261" s="172">
        <v>0</v>
      </c>
      <c r="O261" s="172">
        <v>42</v>
      </c>
      <c r="P261" s="174">
        <v>2</v>
      </c>
    </row>
    <row r="262" spans="1:16">
      <c r="A262" s="171" t="s">
        <v>449</v>
      </c>
      <c r="B262" s="171" t="s">
        <v>467</v>
      </c>
      <c r="C262" s="171">
        <v>100</v>
      </c>
      <c r="D262" s="171">
        <v>50</v>
      </c>
      <c r="E262" s="171">
        <v>2</v>
      </c>
      <c r="F262" s="171">
        <v>9</v>
      </c>
      <c r="G262" s="171">
        <v>16</v>
      </c>
      <c r="H262" s="171">
        <v>25</v>
      </c>
      <c r="I262" s="171">
        <v>22</v>
      </c>
      <c r="J262" s="171">
        <v>3</v>
      </c>
      <c r="K262" s="171">
        <v>77</v>
      </c>
      <c r="L262" s="171">
        <v>7</v>
      </c>
      <c r="M262" s="171">
        <v>4</v>
      </c>
      <c r="N262" s="171">
        <v>24</v>
      </c>
      <c r="O262" s="171">
        <v>48</v>
      </c>
      <c r="P262" s="173">
        <v>3</v>
      </c>
    </row>
    <row r="263" spans="1:16">
      <c r="A263" s="172" t="s">
        <v>449</v>
      </c>
      <c r="B263" s="172" t="s">
        <v>467</v>
      </c>
      <c r="C263" s="172">
        <v>48</v>
      </c>
      <c r="D263" s="172">
        <v>14</v>
      </c>
      <c r="E263" s="172">
        <v>1</v>
      </c>
      <c r="F263" s="172">
        <v>14</v>
      </c>
      <c r="G263" s="172">
        <v>5</v>
      </c>
      <c r="H263" s="172">
        <v>6</v>
      </c>
      <c r="I263" s="172">
        <v>10</v>
      </c>
      <c r="J263" s="172">
        <v>1</v>
      </c>
      <c r="K263" s="172">
        <v>37</v>
      </c>
      <c r="L263" s="172">
        <v>23</v>
      </c>
      <c r="M263" s="172">
        <v>3</v>
      </c>
      <c r="N263" s="172">
        <v>1</v>
      </c>
      <c r="O263" s="172">
        <v>16</v>
      </c>
      <c r="P263" s="174">
        <v>4</v>
      </c>
    </row>
    <row r="264" spans="1:16">
      <c r="A264" s="171" t="s">
        <v>449</v>
      </c>
      <c r="B264" s="171" t="s">
        <v>467</v>
      </c>
      <c r="C264" s="171">
        <v>70</v>
      </c>
      <c r="D264" s="171">
        <v>15</v>
      </c>
      <c r="E264" s="171">
        <v>3</v>
      </c>
      <c r="F264" s="171">
        <v>10</v>
      </c>
      <c r="G264" s="171">
        <v>13</v>
      </c>
      <c r="H264" s="171">
        <v>13</v>
      </c>
      <c r="I264" s="171">
        <v>22</v>
      </c>
      <c r="J264" s="171">
        <v>3</v>
      </c>
      <c r="K264" s="171">
        <v>64</v>
      </c>
      <c r="L264" s="171">
        <v>52</v>
      </c>
      <c r="M264" s="171">
        <v>13</v>
      </c>
      <c r="N264" s="171">
        <v>1</v>
      </c>
      <c r="O264" s="171">
        <v>15</v>
      </c>
      <c r="P264" s="173">
        <v>2</v>
      </c>
    </row>
    <row r="265" spans="1:16">
      <c r="A265" s="172" t="s">
        <v>449</v>
      </c>
      <c r="B265" s="172" t="s">
        <v>467</v>
      </c>
      <c r="C265" s="172">
        <v>34</v>
      </c>
      <c r="D265" s="172">
        <v>6</v>
      </c>
      <c r="E265" s="172">
        <v>1</v>
      </c>
      <c r="F265" s="172">
        <v>5</v>
      </c>
      <c r="G265" s="172">
        <v>8</v>
      </c>
      <c r="H265" s="172">
        <v>9</v>
      </c>
      <c r="I265" s="172">
        <v>7</v>
      </c>
      <c r="J265" s="172">
        <v>1</v>
      </c>
      <c r="K265" s="172">
        <v>31</v>
      </c>
      <c r="L265" s="172">
        <v>26</v>
      </c>
      <c r="M265" s="172">
        <v>6</v>
      </c>
      <c r="N265" s="172">
        <v>1</v>
      </c>
      <c r="O265" s="172">
        <v>1</v>
      </c>
      <c r="P265" s="174">
        <v>2</v>
      </c>
    </row>
    <row r="266" spans="1:16">
      <c r="A266" s="171" t="s">
        <v>449</v>
      </c>
      <c r="B266" s="171" t="s">
        <v>467</v>
      </c>
      <c r="C266" s="171">
        <v>126</v>
      </c>
      <c r="D266" s="171">
        <v>41</v>
      </c>
      <c r="E266" s="171">
        <v>3</v>
      </c>
      <c r="F266" s="171">
        <v>13</v>
      </c>
      <c r="G266" s="171">
        <v>24</v>
      </c>
      <c r="H266" s="171">
        <v>28</v>
      </c>
      <c r="I266" s="171">
        <v>30</v>
      </c>
      <c r="J266" s="171">
        <v>0</v>
      </c>
      <c r="K266" s="171">
        <v>98</v>
      </c>
      <c r="L266" s="171">
        <v>17</v>
      </c>
      <c r="M266" s="171">
        <v>5</v>
      </c>
      <c r="N266" s="171">
        <v>1</v>
      </c>
      <c r="O266" s="171">
        <v>73</v>
      </c>
      <c r="P266" s="173">
        <v>8</v>
      </c>
    </row>
    <row r="267" spans="1:16">
      <c r="A267" s="172" t="s">
        <v>449</v>
      </c>
      <c r="B267" s="172" t="s">
        <v>467</v>
      </c>
      <c r="C267" s="172">
        <v>75</v>
      </c>
      <c r="D267" s="172">
        <v>27</v>
      </c>
      <c r="E267" s="172">
        <v>2</v>
      </c>
      <c r="F267" s="172">
        <v>12</v>
      </c>
      <c r="G267" s="172">
        <v>23</v>
      </c>
      <c r="H267" s="172">
        <v>8</v>
      </c>
      <c r="I267" s="172">
        <v>15</v>
      </c>
      <c r="J267" s="172">
        <v>1</v>
      </c>
      <c r="K267" s="172">
        <v>61</v>
      </c>
      <c r="L267" s="172">
        <v>30</v>
      </c>
      <c r="M267" s="172">
        <v>5</v>
      </c>
      <c r="N267" s="172">
        <v>4</v>
      </c>
      <c r="O267" s="172">
        <v>29</v>
      </c>
      <c r="P267" s="174">
        <v>7</v>
      </c>
    </row>
    <row r="268" spans="1:16">
      <c r="A268" s="171" t="s">
        <v>449</v>
      </c>
      <c r="B268" s="171" t="s">
        <v>467</v>
      </c>
      <c r="C268" s="171">
        <v>20</v>
      </c>
      <c r="D268" s="171">
        <v>0</v>
      </c>
      <c r="E268" s="171">
        <v>0</v>
      </c>
      <c r="F268" s="171">
        <v>0</v>
      </c>
      <c r="G268" s="171">
        <v>1</v>
      </c>
      <c r="H268" s="171">
        <v>6</v>
      </c>
      <c r="I268" s="171">
        <v>8</v>
      </c>
      <c r="J268" s="171">
        <v>0</v>
      </c>
      <c r="K268" s="171">
        <v>15</v>
      </c>
      <c r="L268" s="171">
        <v>0</v>
      </c>
      <c r="M268" s="171">
        <v>0</v>
      </c>
      <c r="N268" s="171">
        <v>3</v>
      </c>
      <c r="O268" s="171">
        <v>12</v>
      </c>
      <c r="P268" s="173">
        <v>0</v>
      </c>
    </row>
    <row r="269" spans="1:16">
      <c r="A269" s="172" t="s">
        <v>449</v>
      </c>
      <c r="B269" s="172" t="s">
        <v>467</v>
      </c>
      <c r="C269" s="172">
        <v>40</v>
      </c>
      <c r="D269" s="172">
        <v>0</v>
      </c>
      <c r="E269" s="172">
        <v>0</v>
      </c>
      <c r="F269" s="172">
        <v>0</v>
      </c>
      <c r="G269" s="172">
        <v>6</v>
      </c>
      <c r="H269" s="172">
        <v>12</v>
      </c>
      <c r="I269" s="172">
        <v>16</v>
      </c>
      <c r="J269" s="172">
        <v>2</v>
      </c>
      <c r="K269" s="172">
        <v>36</v>
      </c>
      <c r="L269" s="172">
        <v>2</v>
      </c>
      <c r="M269" s="172">
        <v>3</v>
      </c>
      <c r="N269" s="172">
        <v>13</v>
      </c>
      <c r="O269" s="172">
        <v>21</v>
      </c>
      <c r="P269" s="174">
        <v>0</v>
      </c>
    </row>
    <row r="270" spans="1:16">
      <c r="A270" s="171" t="s">
        <v>449</v>
      </c>
      <c r="B270" s="171" t="s">
        <v>467</v>
      </c>
      <c r="C270" s="171">
        <v>40</v>
      </c>
      <c r="D270" s="171">
        <v>0</v>
      </c>
      <c r="E270" s="171">
        <v>0</v>
      </c>
      <c r="F270" s="171">
        <v>0</v>
      </c>
      <c r="G270" s="171">
        <v>3</v>
      </c>
      <c r="H270" s="171">
        <v>16</v>
      </c>
      <c r="I270" s="171">
        <v>20</v>
      </c>
      <c r="J270" s="171">
        <v>0</v>
      </c>
      <c r="K270" s="171">
        <v>39</v>
      </c>
      <c r="L270" s="171">
        <v>4</v>
      </c>
      <c r="M270" s="171">
        <v>12</v>
      </c>
      <c r="N270" s="171">
        <v>23</v>
      </c>
      <c r="O270" s="171">
        <v>9</v>
      </c>
      <c r="P270" s="173">
        <v>3</v>
      </c>
    </row>
    <row r="271" spans="1:16">
      <c r="A271" s="172" t="s">
        <v>449</v>
      </c>
      <c r="B271" s="172" t="s">
        <v>467</v>
      </c>
      <c r="C271" s="172">
        <v>50</v>
      </c>
      <c r="D271" s="172">
        <v>0</v>
      </c>
      <c r="E271" s="172">
        <v>0</v>
      </c>
      <c r="F271" s="172">
        <v>0</v>
      </c>
      <c r="G271" s="172">
        <v>0</v>
      </c>
      <c r="H271" s="172">
        <v>20</v>
      </c>
      <c r="I271" s="172">
        <v>26</v>
      </c>
      <c r="J271" s="172">
        <v>0</v>
      </c>
      <c r="K271" s="172">
        <v>46</v>
      </c>
      <c r="L271" s="172">
        <v>8</v>
      </c>
      <c r="M271" s="172">
        <v>2</v>
      </c>
      <c r="N271" s="172">
        <v>2</v>
      </c>
      <c r="O271" s="172">
        <v>32</v>
      </c>
      <c r="P271" s="174">
        <v>6</v>
      </c>
    </row>
    <row r="272" spans="1:16">
      <c r="A272" s="171" t="s">
        <v>449</v>
      </c>
      <c r="B272" s="171" t="s">
        <v>467</v>
      </c>
      <c r="C272" s="171">
        <v>40</v>
      </c>
      <c r="D272" s="171">
        <v>10</v>
      </c>
      <c r="E272" s="171">
        <v>2</v>
      </c>
      <c r="F272" s="171">
        <v>3</v>
      </c>
      <c r="G272" s="171">
        <v>2</v>
      </c>
      <c r="H272" s="171">
        <v>3</v>
      </c>
      <c r="I272" s="171">
        <v>2</v>
      </c>
      <c r="J272" s="171">
        <v>0</v>
      </c>
      <c r="K272" s="171">
        <v>12</v>
      </c>
      <c r="L272" s="171">
        <v>10</v>
      </c>
      <c r="M272" s="171">
        <v>2</v>
      </c>
      <c r="N272" s="171">
        <v>0</v>
      </c>
      <c r="O272" s="171">
        <v>2</v>
      </c>
      <c r="P272" s="173">
        <v>1</v>
      </c>
    </row>
    <row r="273" spans="1:16">
      <c r="A273" s="172" t="s">
        <v>449</v>
      </c>
      <c r="B273" s="172" t="s">
        <v>467</v>
      </c>
      <c r="C273" s="172">
        <v>25</v>
      </c>
      <c r="D273" s="172">
        <v>4</v>
      </c>
      <c r="E273" s="172">
        <v>0</v>
      </c>
      <c r="F273" s="172">
        <v>5</v>
      </c>
      <c r="G273" s="172">
        <v>7</v>
      </c>
      <c r="H273" s="172">
        <v>8</v>
      </c>
      <c r="I273" s="172">
        <v>7</v>
      </c>
      <c r="J273" s="172">
        <v>1</v>
      </c>
      <c r="K273" s="172">
        <v>28</v>
      </c>
      <c r="L273" s="172">
        <v>12</v>
      </c>
      <c r="M273" s="172">
        <v>7</v>
      </c>
      <c r="N273" s="172">
        <v>2</v>
      </c>
      <c r="O273" s="172">
        <v>12</v>
      </c>
      <c r="P273" s="174">
        <v>3</v>
      </c>
    </row>
    <row r="274" spans="1:16" hidden="1">
      <c r="A274" s="171" t="s">
        <v>452</v>
      </c>
      <c r="B274" s="171" t="s">
        <v>467</v>
      </c>
      <c r="C274" s="171">
        <v>40</v>
      </c>
      <c r="D274" s="171">
        <v>0</v>
      </c>
      <c r="E274" s="171">
        <v>0</v>
      </c>
      <c r="F274" s="171">
        <v>0</v>
      </c>
      <c r="G274" s="171">
        <v>4</v>
      </c>
      <c r="H274" s="171">
        <v>23</v>
      </c>
      <c r="I274" s="171">
        <v>19</v>
      </c>
      <c r="J274" s="171">
        <v>2</v>
      </c>
      <c r="K274" s="171">
        <v>48</v>
      </c>
      <c r="L274" s="171">
        <v>46</v>
      </c>
      <c r="M274" s="171">
        <v>8</v>
      </c>
      <c r="N274" s="171">
        <v>1</v>
      </c>
      <c r="O274" s="171">
        <v>6</v>
      </c>
      <c r="P274" s="173">
        <v>0</v>
      </c>
    </row>
    <row r="275" spans="1:16" hidden="1">
      <c r="A275" s="172" t="s">
        <v>452</v>
      </c>
      <c r="B275" s="172" t="s">
        <v>467</v>
      </c>
      <c r="C275" s="172">
        <v>40</v>
      </c>
      <c r="D275" s="172">
        <v>0</v>
      </c>
      <c r="E275" s="172">
        <v>0</v>
      </c>
      <c r="F275" s="172">
        <v>0</v>
      </c>
      <c r="G275" s="172">
        <v>3</v>
      </c>
      <c r="H275" s="172">
        <v>15</v>
      </c>
      <c r="I275" s="172">
        <v>27</v>
      </c>
      <c r="J275" s="172">
        <v>1</v>
      </c>
      <c r="K275" s="172">
        <v>46</v>
      </c>
      <c r="L275" s="172">
        <v>8</v>
      </c>
      <c r="M275" s="172">
        <v>4</v>
      </c>
      <c r="N275" s="172">
        <v>2</v>
      </c>
      <c r="O275" s="172">
        <v>30</v>
      </c>
      <c r="P275" s="174">
        <v>4</v>
      </c>
    </row>
    <row r="276" spans="1:16">
      <c r="A276" s="171" t="s">
        <v>449</v>
      </c>
      <c r="B276" s="171" t="s">
        <v>467</v>
      </c>
      <c r="C276" s="171">
        <v>70</v>
      </c>
      <c r="D276" s="171">
        <v>20</v>
      </c>
      <c r="E276" s="171">
        <v>1</v>
      </c>
      <c r="F276" s="171">
        <v>11</v>
      </c>
      <c r="G276" s="171">
        <v>8</v>
      </c>
      <c r="H276" s="171">
        <v>17</v>
      </c>
      <c r="I276" s="171">
        <v>14</v>
      </c>
      <c r="J276" s="171">
        <v>1</v>
      </c>
      <c r="K276" s="171">
        <v>52</v>
      </c>
      <c r="L276" s="171">
        <v>13</v>
      </c>
      <c r="M276" s="171">
        <v>2</v>
      </c>
      <c r="N276" s="171">
        <v>10</v>
      </c>
      <c r="O276" s="171">
        <v>36</v>
      </c>
      <c r="P276" s="173">
        <v>6</v>
      </c>
    </row>
    <row r="277" spans="1:16" hidden="1">
      <c r="A277" s="172" t="s">
        <v>469</v>
      </c>
      <c r="B277" s="172" t="s">
        <v>467</v>
      </c>
      <c r="C277" s="172">
        <v>35</v>
      </c>
      <c r="D277" s="172">
        <v>10</v>
      </c>
      <c r="E277" s="172">
        <v>1</v>
      </c>
      <c r="F277" s="172">
        <v>2</v>
      </c>
      <c r="G277" s="172">
        <v>5</v>
      </c>
      <c r="H277" s="172">
        <v>6</v>
      </c>
      <c r="I277" s="172">
        <v>3</v>
      </c>
      <c r="J277" s="172">
        <v>0</v>
      </c>
      <c r="K277" s="172">
        <v>17</v>
      </c>
      <c r="L277" s="172">
        <v>0</v>
      </c>
      <c r="M277" s="172">
        <v>3</v>
      </c>
      <c r="N277" s="172">
        <v>15</v>
      </c>
      <c r="O277" s="172">
        <v>0</v>
      </c>
      <c r="P277" s="174">
        <v>0</v>
      </c>
    </row>
    <row r="278" spans="1:16">
      <c r="A278" s="171" t="s">
        <v>449</v>
      </c>
      <c r="B278" s="171" t="s">
        <v>467</v>
      </c>
      <c r="C278" s="171">
        <v>38</v>
      </c>
      <c r="D278" s="171">
        <v>20</v>
      </c>
      <c r="E278" s="171">
        <v>1</v>
      </c>
      <c r="F278" s="171">
        <v>1</v>
      </c>
      <c r="G278" s="171">
        <v>7</v>
      </c>
      <c r="H278" s="171">
        <v>5</v>
      </c>
      <c r="I278" s="171">
        <v>17</v>
      </c>
      <c r="J278" s="171">
        <v>1</v>
      </c>
      <c r="K278" s="171">
        <v>32</v>
      </c>
      <c r="L278" s="171">
        <v>2</v>
      </c>
      <c r="M278" s="171">
        <v>3</v>
      </c>
      <c r="N278" s="171">
        <v>3</v>
      </c>
      <c r="O278" s="171">
        <v>27</v>
      </c>
      <c r="P278" s="173">
        <v>0</v>
      </c>
    </row>
    <row r="279" spans="1:16">
      <c r="A279" s="172" t="s">
        <v>449</v>
      </c>
      <c r="B279" s="172" t="s">
        <v>467</v>
      </c>
      <c r="C279" s="172">
        <v>100</v>
      </c>
      <c r="D279" s="172">
        <v>22</v>
      </c>
      <c r="E279" s="172">
        <v>0</v>
      </c>
      <c r="F279" s="172">
        <v>11</v>
      </c>
      <c r="G279" s="172">
        <v>17</v>
      </c>
      <c r="H279" s="172">
        <v>13</v>
      </c>
      <c r="I279" s="172">
        <v>17</v>
      </c>
      <c r="J279" s="172">
        <v>0</v>
      </c>
      <c r="K279" s="172">
        <v>58</v>
      </c>
      <c r="L279" s="172">
        <v>40</v>
      </c>
      <c r="M279" s="172">
        <v>5</v>
      </c>
      <c r="N279" s="172">
        <v>4</v>
      </c>
      <c r="O279" s="172">
        <v>24</v>
      </c>
      <c r="P279" s="174">
        <v>2</v>
      </c>
    </row>
    <row r="280" spans="1:16">
      <c r="A280" s="171" t="s">
        <v>449</v>
      </c>
      <c r="B280" s="171" t="s">
        <v>467</v>
      </c>
      <c r="C280" s="171">
        <v>41</v>
      </c>
      <c r="D280" s="171">
        <v>12</v>
      </c>
      <c r="E280" s="171">
        <v>1</v>
      </c>
      <c r="F280" s="171">
        <v>9</v>
      </c>
      <c r="G280" s="171">
        <v>13</v>
      </c>
      <c r="H280" s="171">
        <v>6</v>
      </c>
      <c r="I280" s="171">
        <v>5</v>
      </c>
      <c r="J280" s="171">
        <v>2</v>
      </c>
      <c r="K280" s="171">
        <v>36</v>
      </c>
      <c r="L280" s="171">
        <v>1</v>
      </c>
      <c r="M280" s="171">
        <v>0</v>
      </c>
      <c r="N280" s="171">
        <v>2</v>
      </c>
      <c r="O280" s="171">
        <v>30</v>
      </c>
      <c r="P280" s="173">
        <v>6</v>
      </c>
    </row>
    <row r="281" spans="1:16">
      <c r="A281" s="170" t="s">
        <v>449</v>
      </c>
      <c r="B281" s="172" t="s">
        <v>467</v>
      </c>
      <c r="C281" s="172">
        <v>45</v>
      </c>
      <c r="D281" s="172">
        <v>0</v>
      </c>
      <c r="E281" s="172">
        <v>0</v>
      </c>
      <c r="F281" s="172">
        <v>0</v>
      </c>
      <c r="G281" s="172">
        <v>20</v>
      </c>
      <c r="H281" s="172">
        <v>11</v>
      </c>
      <c r="I281" s="172">
        <v>14</v>
      </c>
      <c r="J281" s="172">
        <v>0</v>
      </c>
      <c r="K281" s="172">
        <v>45</v>
      </c>
      <c r="L281" s="172">
        <v>22</v>
      </c>
      <c r="M281" s="172">
        <v>8</v>
      </c>
      <c r="N281" s="172">
        <v>4</v>
      </c>
      <c r="O281" s="172">
        <v>23</v>
      </c>
      <c r="P281" s="174">
        <v>1</v>
      </c>
    </row>
    <row r="282" spans="1:16">
      <c r="A282" s="169" t="s">
        <v>449</v>
      </c>
      <c r="B282" s="171" t="s">
        <v>467</v>
      </c>
      <c r="C282" s="171">
        <v>76</v>
      </c>
      <c r="D282" s="171">
        <v>20</v>
      </c>
      <c r="E282" s="171">
        <v>3</v>
      </c>
      <c r="F282" s="171">
        <v>22</v>
      </c>
      <c r="G282" s="171">
        <v>18</v>
      </c>
      <c r="H282" s="171">
        <v>26</v>
      </c>
      <c r="I282" s="171">
        <v>13</v>
      </c>
      <c r="J282" s="171">
        <v>3</v>
      </c>
      <c r="K282" s="171">
        <v>85</v>
      </c>
      <c r="L282" s="171">
        <v>69</v>
      </c>
      <c r="M282" s="171">
        <v>10</v>
      </c>
      <c r="N282" s="171">
        <v>5</v>
      </c>
      <c r="O282" s="171">
        <v>12</v>
      </c>
      <c r="P282" s="173">
        <v>8</v>
      </c>
    </row>
    <row r="283" spans="1:16">
      <c r="A283" s="172" t="s">
        <v>449</v>
      </c>
      <c r="B283" s="172" t="s">
        <v>467</v>
      </c>
      <c r="C283" s="172">
        <v>25</v>
      </c>
      <c r="D283" s="172">
        <v>10</v>
      </c>
      <c r="E283" s="172">
        <v>1</v>
      </c>
      <c r="F283" s="172">
        <v>6</v>
      </c>
      <c r="G283" s="172">
        <v>3</v>
      </c>
      <c r="H283" s="172">
        <v>4</v>
      </c>
      <c r="I283" s="172">
        <v>3</v>
      </c>
      <c r="J283" s="172">
        <v>0</v>
      </c>
      <c r="K283" s="172">
        <v>17</v>
      </c>
      <c r="L283" s="172">
        <v>8</v>
      </c>
      <c r="M283" s="172">
        <v>0</v>
      </c>
      <c r="N283" s="172">
        <v>1</v>
      </c>
      <c r="O283" s="172">
        <v>12</v>
      </c>
      <c r="P283" s="174">
        <v>1</v>
      </c>
    </row>
    <row r="284" spans="1:16">
      <c r="A284" s="171" t="s">
        <v>449</v>
      </c>
      <c r="B284" s="171" t="s">
        <v>467</v>
      </c>
      <c r="C284" s="171">
        <v>80</v>
      </c>
      <c r="D284" s="171">
        <v>23</v>
      </c>
      <c r="E284" s="171">
        <v>3</v>
      </c>
      <c r="F284" s="171">
        <v>11</v>
      </c>
      <c r="G284" s="171">
        <v>18</v>
      </c>
      <c r="H284" s="171">
        <v>9</v>
      </c>
      <c r="I284" s="171">
        <v>11</v>
      </c>
      <c r="J284" s="171">
        <v>0</v>
      </c>
      <c r="K284" s="171">
        <v>52</v>
      </c>
      <c r="L284" s="171">
        <v>43</v>
      </c>
      <c r="M284" s="171">
        <v>7</v>
      </c>
      <c r="N284" s="171">
        <v>1</v>
      </c>
      <c r="O284" s="171">
        <v>10</v>
      </c>
      <c r="P284" s="173">
        <v>1</v>
      </c>
    </row>
    <row r="285" spans="1:16">
      <c r="A285" s="170" t="s">
        <v>449</v>
      </c>
      <c r="B285" s="172" t="s">
        <v>467</v>
      </c>
      <c r="C285" s="172">
        <v>34</v>
      </c>
      <c r="D285" s="172">
        <v>10</v>
      </c>
      <c r="E285" s="172">
        <v>1</v>
      </c>
      <c r="F285" s="172">
        <v>7</v>
      </c>
      <c r="G285" s="172">
        <v>9</v>
      </c>
      <c r="H285" s="172">
        <v>6</v>
      </c>
      <c r="I285" s="172">
        <v>10</v>
      </c>
      <c r="J285" s="172">
        <v>0</v>
      </c>
      <c r="K285" s="172">
        <v>33</v>
      </c>
      <c r="L285" s="172">
        <v>17</v>
      </c>
      <c r="M285" s="172">
        <v>4</v>
      </c>
      <c r="N285" s="172">
        <v>3</v>
      </c>
      <c r="O285" s="172">
        <v>18</v>
      </c>
      <c r="P285" s="174">
        <v>2</v>
      </c>
    </row>
    <row r="286" spans="1:16">
      <c r="A286" s="169" t="s">
        <v>449</v>
      </c>
      <c r="B286" s="171" t="s">
        <v>467</v>
      </c>
      <c r="C286" s="171">
        <v>34</v>
      </c>
      <c r="D286" s="171">
        <v>0</v>
      </c>
      <c r="E286" s="171">
        <v>0</v>
      </c>
      <c r="F286" s="171">
        <v>0</v>
      </c>
      <c r="G286" s="171">
        <v>6</v>
      </c>
      <c r="H286" s="171">
        <v>13</v>
      </c>
      <c r="I286" s="171">
        <v>12</v>
      </c>
      <c r="J286" s="171">
        <v>2</v>
      </c>
      <c r="K286" s="171">
        <v>33</v>
      </c>
      <c r="L286" s="171">
        <v>17</v>
      </c>
      <c r="M286" s="171">
        <v>2</v>
      </c>
      <c r="N286" s="171">
        <v>0</v>
      </c>
      <c r="O286" s="171">
        <v>19</v>
      </c>
      <c r="P286" s="173">
        <v>1</v>
      </c>
    </row>
    <row r="287" spans="1:16">
      <c r="A287" s="172" t="s">
        <v>449</v>
      </c>
      <c r="B287" s="172" t="s">
        <v>467</v>
      </c>
      <c r="C287" s="172">
        <v>95</v>
      </c>
      <c r="D287" s="172">
        <v>25</v>
      </c>
      <c r="E287" s="172">
        <v>4</v>
      </c>
      <c r="F287" s="172">
        <v>21</v>
      </c>
      <c r="G287" s="172">
        <v>25</v>
      </c>
      <c r="H287" s="172">
        <v>22</v>
      </c>
      <c r="I287" s="172">
        <v>26</v>
      </c>
      <c r="J287" s="172">
        <v>0</v>
      </c>
      <c r="K287" s="172">
        <v>98</v>
      </c>
      <c r="L287" s="172">
        <v>44</v>
      </c>
      <c r="M287" s="172">
        <v>6</v>
      </c>
      <c r="N287" s="172">
        <v>2</v>
      </c>
      <c r="O287" s="172">
        <v>57</v>
      </c>
      <c r="P287" s="174">
        <v>7</v>
      </c>
    </row>
    <row r="288" spans="1:16">
      <c r="A288" s="171" t="s">
        <v>449</v>
      </c>
      <c r="B288" s="171" t="s">
        <v>467</v>
      </c>
      <c r="C288" s="171">
        <v>70</v>
      </c>
      <c r="D288" s="171">
        <v>20</v>
      </c>
      <c r="E288" s="171">
        <v>1</v>
      </c>
      <c r="F288" s="171">
        <v>10</v>
      </c>
      <c r="G288" s="171">
        <v>19</v>
      </c>
      <c r="H288" s="171">
        <v>18</v>
      </c>
      <c r="I288" s="171">
        <v>17</v>
      </c>
      <c r="J288" s="171">
        <v>1</v>
      </c>
      <c r="K288" s="171">
        <v>66</v>
      </c>
      <c r="L288" s="171">
        <v>17</v>
      </c>
      <c r="M288" s="171">
        <v>0</v>
      </c>
      <c r="N288" s="171">
        <v>0</v>
      </c>
      <c r="O288" s="171">
        <v>45</v>
      </c>
      <c r="P288" s="173">
        <v>10</v>
      </c>
    </row>
    <row r="289" spans="1:16">
      <c r="A289" s="172" t="s">
        <v>449</v>
      </c>
      <c r="B289" s="172" t="s">
        <v>467</v>
      </c>
      <c r="C289" s="172">
        <v>30</v>
      </c>
      <c r="D289" s="172">
        <v>25</v>
      </c>
      <c r="E289" s="172">
        <v>2</v>
      </c>
      <c r="F289" s="172">
        <v>5</v>
      </c>
      <c r="G289" s="172">
        <v>3</v>
      </c>
      <c r="H289" s="172">
        <v>1</v>
      </c>
      <c r="I289" s="172">
        <v>0</v>
      </c>
      <c r="J289" s="172">
        <v>0</v>
      </c>
      <c r="K289" s="172">
        <v>11</v>
      </c>
      <c r="L289" s="172">
        <v>7</v>
      </c>
      <c r="M289" s="172">
        <v>0</v>
      </c>
      <c r="N289" s="172">
        <v>4</v>
      </c>
      <c r="O289" s="172">
        <v>3</v>
      </c>
      <c r="P289" s="174">
        <v>0</v>
      </c>
    </row>
    <row r="290" spans="1:16">
      <c r="A290" s="171" t="s">
        <v>449</v>
      </c>
      <c r="B290" s="171" t="s">
        <v>467</v>
      </c>
      <c r="C290" s="171">
        <v>85</v>
      </c>
      <c r="D290" s="171">
        <v>35</v>
      </c>
      <c r="E290" s="171">
        <v>3</v>
      </c>
      <c r="F290" s="171">
        <v>18</v>
      </c>
      <c r="G290" s="171">
        <v>20</v>
      </c>
      <c r="H290" s="171">
        <v>0</v>
      </c>
      <c r="I290" s="171">
        <v>0</v>
      </c>
      <c r="J290" s="171">
        <v>0</v>
      </c>
      <c r="K290" s="171">
        <v>41</v>
      </c>
      <c r="L290" s="171">
        <v>12</v>
      </c>
      <c r="M290" s="171">
        <v>5</v>
      </c>
      <c r="N290" s="171">
        <v>8</v>
      </c>
      <c r="O290" s="171">
        <v>24</v>
      </c>
      <c r="P290" s="173">
        <v>4</v>
      </c>
    </row>
    <row r="291" spans="1:16">
      <c r="A291" s="172" t="s">
        <v>449</v>
      </c>
      <c r="B291" s="172" t="s">
        <v>467</v>
      </c>
      <c r="C291" s="172">
        <v>30</v>
      </c>
      <c r="D291" s="172">
        <v>15</v>
      </c>
      <c r="E291" s="172">
        <v>1</v>
      </c>
      <c r="F291" s="172">
        <v>5</v>
      </c>
      <c r="G291" s="172">
        <v>6</v>
      </c>
      <c r="H291" s="172">
        <v>6</v>
      </c>
      <c r="I291" s="172">
        <v>9</v>
      </c>
      <c r="J291" s="172">
        <v>0</v>
      </c>
      <c r="K291" s="172">
        <v>27</v>
      </c>
      <c r="L291" s="172">
        <v>20</v>
      </c>
      <c r="M291" s="172">
        <v>7</v>
      </c>
      <c r="N291" s="172">
        <v>2</v>
      </c>
      <c r="O291" s="172">
        <v>7</v>
      </c>
      <c r="P291" s="174">
        <v>1</v>
      </c>
    </row>
    <row r="292" spans="1:16" hidden="1">
      <c r="A292" s="171" t="s">
        <v>470</v>
      </c>
      <c r="B292" s="171" t="s">
        <v>467</v>
      </c>
      <c r="C292" s="171">
        <v>20</v>
      </c>
      <c r="D292" s="171">
        <v>0</v>
      </c>
      <c r="E292" s="171">
        <v>0</v>
      </c>
      <c r="F292" s="171">
        <v>0</v>
      </c>
      <c r="G292" s="171">
        <v>1</v>
      </c>
      <c r="H292" s="171">
        <v>6</v>
      </c>
      <c r="I292" s="171">
        <v>8</v>
      </c>
      <c r="J292" s="171">
        <v>0</v>
      </c>
      <c r="K292" s="171">
        <v>15</v>
      </c>
      <c r="L292" s="171">
        <v>3</v>
      </c>
      <c r="M292" s="171">
        <v>13</v>
      </c>
      <c r="N292" s="171">
        <v>4</v>
      </c>
      <c r="O292" s="171">
        <v>1</v>
      </c>
      <c r="P292" s="173">
        <v>0</v>
      </c>
    </row>
    <row r="293" spans="1:16">
      <c r="A293" s="172" t="s">
        <v>449</v>
      </c>
      <c r="B293" s="172" t="s">
        <v>467</v>
      </c>
      <c r="C293" s="172">
        <v>35</v>
      </c>
      <c r="D293" s="172">
        <v>10</v>
      </c>
      <c r="E293" s="172">
        <v>4</v>
      </c>
      <c r="F293" s="172">
        <v>3</v>
      </c>
      <c r="G293" s="172">
        <v>11</v>
      </c>
      <c r="H293" s="172">
        <v>13</v>
      </c>
      <c r="I293" s="172">
        <v>5</v>
      </c>
      <c r="J293" s="172">
        <v>2</v>
      </c>
      <c r="K293" s="172">
        <v>38</v>
      </c>
      <c r="L293" s="172">
        <v>4</v>
      </c>
      <c r="M293" s="172">
        <v>10</v>
      </c>
      <c r="N293" s="172">
        <v>6</v>
      </c>
      <c r="O293" s="172">
        <v>22</v>
      </c>
      <c r="P293" s="174">
        <v>1</v>
      </c>
    </row>
    <row r="294" spans="1:16">
      <c r="A294" s="169" t="s">
        <v>449</v>
      </c>
      <c r="B294" s="171" t="s">
        <v>467</v>
      </c>
      <c r="C294" s="171">
        <v>35</v>
      </c>
      <c r="D294" s="171">
        <v>0</v>
      </c>
      <c r="E294" s="171">
        <v>0</v>
      </c>
      <c r="F294" s="171">
        <v>0</v>
      </c>
      <c r="G294" s="171">
        <v>15</v>
      </c>
      <c r="H294" s="171">
        <v>17</v>
      </c>
      <c r="I294" s="171">
        <v>13</v>
      </c>
      <c r="J294" s="171">
        <v>0</v>
      </c>
      <c r="K294" s="171">
        <v>45</v>
      </c>
      <c r="L294" s="171">
        <v>42</v>
      </c>
      <c r="M294" s="171">
        <v>0</v>
      </c>
      <c r="N294" s="171">
        <v>1</v>
      </c>
      <c r="O294" s="171">
        <v>7</v>
      </c>
      <c r="P294" s="173">
        <v>3</v>
      </c>
    </row>
    <row r="295" spans="1:16">
      <c r="A295" s="170" t="s">
        <v>449</v>
      </c>
      <c r="B295" s="172" t="s">
        <v>467</v>
      </c>
      <c r="C295" s="172">
        <v>42</v>
      </c>
      <c r="D295" s="172">
        <v>8</v>
      </c>
      <c r="E295" s="172">
        <v>0</v>
      </c>
      <c r="F295" s="172">
        <v>3</v>
      </c>
      <c r="G295" s="172">
        <v>9</v>
      </c>
      <c r="H295" s="172">
        <v>5</v>
      </c>
      <c r="I295" s="172">
        <v>9</v>
      </c>
      <c r="J295" s="172">
        <v>0</v>
      </c>
      <c r="K295" s="172">
        <v>26</v>
      </c>
      <c r="L295" s="172">
        <v>11</v>
      </c>
      <c r="M295" s="172">
        <v>5</v>
      </c>
      <c r="N295" s="172">
        <v>0</v>
      </c>
      <c r="O295" s="172">
        <v>10</v>
      </c>
      <c r="P295" s="174">
        <v>1</v>
      </c>
    </row>
    <row r="296" spans="1:16">
      <c r="A296" s="171" t="s">
        <v>449</v>
      </c>
      <c r="B296" s="171" t="s">
        <v>467</v>
      </c>
      <c r="C296" s="171">
        <v>40</v>
      </c>
      <c r="D296" s="171">
        <v>0</v>
      </c>
      <c r="E296" s="171">
        <v>0</v>
      </c>
      <c r="F296" s="171">
        <v>0</v>
      </c>
      <c r="G296" s="171">
        <v>5</v>
      </c>
      <c r="H296" s="171">
        <v>14</v>
      </c>
      <c r="I296" s="171">
        <v>19</v>
      </c>
      <c r="J296" s="171">
        <v>1</v>
      </c>
      <c r="K296" s="171">
        <v>39</v>
      </c>
      <c r="L296" s="171">
        <v>24</v>
      </c>
      <c r="M296" s="171">
        <v>7</v>
      </c>
      <c r="N296" s="171">
        <v>7</v>
      </c>
      <c r="O296" s="171">
        <v>11</v>
      </c>
      <c r="P296" s="173">
        <v>1</v>
      </c>
    </row>
    <row r="297" spans="1:16">
      <c r="A297" s="170" t="s">
        <v>449</v>
      </c>
      <c r="B297" s="172" t="s">
        <v>467</v>
      </c>
      <c r="C297" s="172">
        <v>100</v>
      </c>
      <c r="D297" s="172">
        <v>40</v>
      </c>
      <c r="E297" s="172">
        <v>5</v>
      </c>
      <c r="F297" s="172">
        <v>18</v>
      </c>
      <c r="G297" s="172">
        <v>40</v>
      </c>
      <c r="H297" s="172">
        <v>20</v>
      </c>
      <c r="I297" s="172">
        <v>27</v>
      </c>
      <c r="J297" s="172">
        <v>2</v>
      </c>
      <c r="K297" s="172">
        <v>112</v>
      </c>
      <c r="L297" s="172">
        <v>83</v>
      </c>
      <c r="M297" s="172">
        <v>8</v>
      </c>
      <c r="N297" s="172">
        <v>14</v>
      </c>
      <c r="O297" s="172">
        <v>37</v>
      </c>
      <c r="P297" s="174">
        <v>5</v>
      </c>
    </row>
    <row r="298" spans="1:16">
      <c r="A298" s="169" t="s">
        <v>449</v>
      </c>
      <c r="B298" s="171" t="s">
        <v>467</v>
      </c>
      <c r="C298" s="171">
        <v>34</v>
      </c>
      <c r="D298" s="171">
        <v>0</v>
      </c>
      <c r="E298" s="171">
        <v>0</v>
      </c>
      <c r="F298" s="171">
        <v>0</v>
      </c>
      <c r="G298" s="171">
        <v>8</v>
      </c>
      <c r="H298" s="171">
        <v>12</v>
      </c>
      <c r="I298" s="171">
        <v>9</v>
      </c>
      <c r="J298" s="171">
        <v>0</v>
      </c>
      <c r="K298" s="171">
        <v>29</v>
      </c>
      <c r="L298" s="171">
        <v>4</v>
      </c>
      <c r="M298" s="171">
        <v>1</v>
      </c>
      <c r="N298" s="171">
        <v>2</v>
      </c>
      <c r="O298" s="171">
        <v>19</v>
      </c>
      <c r="P298" s="173">
        <v>7</v>
      </c>
    </row>
    <row r="299" spans="1:16">
      <c r="A299" s="172" t="s">
        <v>449</v>
      </c>
      <c r="B299" s="172" t="s">
        <v>467</v>
      </c>
      <c r="C299" s="172">
        <v>50</v>
      </c>
      <c r="D299" s="172">
        <v>0</v>
      </c>
      <c r="E299" s="172">
        <v>0</v>
      </c>
      <c r="F299" s="172">
        <v>0</v>
      </c>
      <c r="G299" s="172">
        <v>2</v>
      </c>
      <c r="H299" s="172">
        <v>20</v>
      </c>
      <c r="I299" s="172">
        <v>25</v>
      </c>
      <c r="J299" s="172">
        <v>3</v>
      </c>
      <c r="K299" s="172">
        <v>50</v>
      </c>
      <c r="L299" s="172">
        <v>17</v>
      </c>
      <c r="M299" s="172">
        <v>4</v>
      </c>
      <c r="N299" s="172">
        <v>13</v>
      </c>
      <c r="O299" s="172">
        <v>12</v>
      </c>
      <c r="P299" s="174">
        <v>13</v>
      </c>
    </row>
    <row r="300" spans="1:16">
      <c r="A300" s="171" t="s">
        <v>449</v>
      </c>
      <c r="B300" s="171" t="s">
        <v>467</v>
      </c>
      <c r="C300" s="171">
        <v>47</v>
      </c>
      <c r="D300" s="171">
        <v>25</v>
      </c>
      <c r="E300" s="171">
        <v>1</v>
      </c>
      <c r="F300" s="171">
        <v>7</v>
      </c>
      <c r="G300" s="171">
        <v>16</v>
      </c>
      <c r="H300" s="171">
        <v>2</v>
      </c>
      <c r="I300" s="171">
        <v>1</v>
      </c>
      <c r="J300" s="171">
        <v>0</v>
      </c>
      <c r="K300" s="171">
        <v>27</v>
      </c>
      <c r="L300" s="171">
        <v>16</v>
      </c>
      <c r="M300" s="171">
        <v>1</v>
      </c>
      <c r="N300" s="171">
        <v>0</v>
      </c>
      <c r="O300" s="171">
        <v>12</v>
      </c>
      <c r="P300" s="173">
        <v>0</v>
      </c>
    </row>
    <row r="301" spans="1:16">
      <c r="A301" s="172" t="s">
        <v>449</v>
      </c>
      <c r="B301" s="172" t="s">
        <v>467</v>
      </c>
      <c r="C301" s="172">
        <v>30</v>
      </c>
      <c r="D301" s="172">
        <v>0</v>
      </c>
      <c r="E301" s="172">
        <v>0</v>
      </c>
      <c r="F301" s="172">
        <v>0</v>
      </c>
      <c r="G301" s="172">
        <v>4</v>
      </c>
      <c r="H301" s="172">
        <v>11</v>
      </c>
      <c r="I301" s="172">
        <v>5</v>
      </c>
      <c r="J301" s="172">
        <v>1</v>
      </c>
      <c r="K301" s="172">
        <v>21</v>
      </c>
      <c r="L301" s="172">
        <v>14</v>
      </c>
      <c r="M301" s="172">
        <v>6</v>
      </c>
      <c r="N301" s="172">
        <v>4</v>
      </c>
      <c r="O301" s="172">
        <v>6</v>
      </c>
      <c r="P301" s="174">
        <v>0</v>
      </c>
    </row>
    <row r="302" spans="1:16">
      <c r="A302" s="171" t="s">
        <v>449</v>
      </c>
      <c r="B302" s="171" t="s">
        <v>467</v>
      </c>
      <c r="C302" s="171">
        <v>35</v>
      </c>
      <c r="D302" s="171">
        <v>8</v>
      </c>
      <c r="E302" s="171">
        <v>2</v>
      </c>
      <c r="F302" s="171">
        <v>4</v>
      </c>
      <c r="G302" s="171">
        <v>9</v>
      </c>
      <c r="H302" s="171">
        <v>9</v>
      </c>
      <c r="I302" s="171">
        <v>15</v>
      </c>
      <c r="J302" s="171">
        <v>0</v>
      </c>
      <c r="K302" s="171">
        <v>39</v>
      </c>
      <c r="L302" s="171">
        <v>34</v>
      </c>
      <c r="M302" s="171">
        <v>4</v>
      </c>
      <c r="N302" s="171">
        <v>2</v>
      </c>
      <c r="O302" s="171">
        <v>3</v>
      </c>
      <c r="P302" s="173">
        <v>13</v>
      </c>
    </row>
    <row r="303" spans="1:16">
      <c r="A303" s="172" t="s">
        <v>449</v>
      </c>
      <c r="B303" s="172" t="s">
        <v>467</v>
      </c>
      <c r="C303" s="172">
        <v>60</v>
      </c>
      <c r="D303" s="172">
        <v>20</v>
      </c>
      <c r="E303" s="172">
        <v>2</v>
      </c>
      <c r="F303" s="172">
        <v>11</v>
      </c>
      <c r="G303" s="172">
        <v>23</v>
      </c>
      <c r="H303" s="172">
        <v>13</v>
      </c>
      <c r="I303" s="172">
        <v>17</v>
      </c>
      <c r="J303" s="172">
        <v>0</v>
      </c>
      <c r="K303" s="172">
        <v>66</v>
      </c>
      <c r="L303" s="172">
        <v>53</v>
      </c>
      <c r="M303" s="172">
        <v>7</v>
      </c>
      <c r="N303" s="172">
        <v>1</v>
      </c>
      <c r="O303" s="172">
        <v>20</v>
      </c>
      <c r="P303" s="174">
        <v>3</v>
      </c>
    </row>
    <row r="304" spans="1:16">
      <c r="A304" s="171" t="s">
        <v>449</v>
      </c>
      <c r="B304" s="171" t="s">
        <v>467</v>
      </c>
      <c r="C304" s="171">
        <v>22</v>
      </c>
      <c r="D304" s="171">
        <v>0</v>
      </c>
      <c r="E304" s="171">
        <v>0</v>
      </c>
      <c r="F304" s="171">
        <v>0</v>
      </c>
      <c r="G304" s="171">
        <v>4</v>
      </c>
      <c r="H304" s="171">
        <v>6</v>
      </c>
      <c r="I304" s="171">
        <v>9</v>
      </c>
      <c r="J304" s="171">
        <v>0</v>
      </c>
      <c r="K304" s="171">
        <v>19</v>
      </c>
      <c r="L304" s="171">
        <v>9</v>
      </c>
      <c r="M304" s="171">
        <v>4</v>
      </c>
      <c r="N304" s="171">
        <v>4</v>
      </c>
      <c r="O304" s="171">
        <v>4</v>
      </c>
      <c r="P304" s="173">
        <v>4</v>
      </c>
    </row>
    <row r="305" spans="1:16">
      <c r="A305" s="172" t="s">
        <v>449</v>
      </c>
      <c r="B305" s="172" t="s">
        <v>467</v>
      </c>
      <c r="C305" s="172">
        <v>30</v>
      </c>
      <c r="D305" s="172">
        <v>0</v>
      </c>
      <c r="E305" s="172">
        <v>0</v>
      </c>
      <c r="F305" s="172">
        <v>0</v>
      </c>
      <c r="G305" s="172">
        <v>5</v>
      </c>
      <c r="H305" s="172">
        <v>9</v>
      </c>
      <c r="I305" s="172">
        <v>12</v>
      </c>
      <c r="J305" s="172">
        <v>0</v>
      </c>
      <c r="K305" s="172">
        <v>26</v>
      </c>
      <c r="L305" s="172">
        <v>7</v>
      </c>
      <c r="M305" s="172">
        <v>4</v>
      </c>
      <c r="N305" s="172">
        <v>6</v>
      </c>
      <c r="O305" s="172">
        <v>15</v>
      </c>
      <c r="P305" s="174">
        <v>1</v>
      </c>
    </row>
    <row r="306" spans="1:16">
      <c r="A306" s="171" t="s">
        <v>449</v>
      </c>
      <c r="B306" s="171" t="s">
        <v>467</v>
      </c>
      <c r="C306" s="171">
        <v>39</v>
      </c>
      <c r="D306" s="171">
        <v>9</v>
      </c>
      <c r="E306" s="171">
        <v>1</v>
      </c>
      <c r="F306" s="171">
        <v>7</v>
      </c>
      <c r="G306" s="171">
        <v>6</v>
      </c>
      <c r="H306" s="171">
        <v>13</v>
      </c>
      <c r="I306" s="171">
        <v>16</v>
      </c>
      <c r="J306" s="171">
        <v>0</v>
      </c>
      <c r="K306" s="171">
        <v>43</v>
      </c>
      <c r="L306" s="171">
        <v>36</v>
      </c>
      <c r="M306" s="171">
        <v>3</v>
      </c>
      <c r="N306" s="171">
        <v>0</v>
      </c>
      <c r="O306" s="171">
        <v>6</v>
      </c>
      <c r="P306" s="173">
        <v>4</v>
      </c>
    </row>
    <row r="307" spans="1:16">
      <c r="A307" s="172" t="s">
        <v>449</v>
      </c>
      <c r="B307" s="172" t="s">
        <v>467</v>
      </c>
      <c r="C307" s="172">
        <v>36</v>
      </c>
      <c r="D307" s="172">
        <v>10</v>
      </c>
      <c r="E307" s="172">
        <v>1</v>
      </c>
      <c r="F307" s="172">
        <v>5</v>
      </c>
      <c r="G307" s="172">
        <v>12</v>
      </c>
      <c r="H307" s="172">
        <v>12</v>
      </c>
      <c r="I307" s="172">
        <v>9</v>
      </c>
      <c r="J307" s="172">
        <v>0</v>
      </c>
      <c r="K307" s="172">
        <v>39</v>
      </c>
      <c r="L307" s="172">
        <v>18</v>
      </c>
      <c r="M307" s="172">
        <v>4</v>
      </c>
      <c r="N307" s="172">
        <v>5</v>
      </c>
      <c r="O307" s="172">
        <v>18</v>
      </c>
      <c r="P307" s="174">
        <v>4</v>
      </c>
    </row>
    <row r="308" spans="1:16">
      <c r="A308" s="171" t="s">
        <v>449</v>
      </c>
      <c r="B308" s="171" t="s">
        <v>467</v>
      </c>
      <c r="C308" s="171">
        <v>50</v>
      </c>
      <c r="D308" s="171">
        <v>12</v>
      </c>
      <c r="E308" s="171">
        <v>3</v>
      </c>
      <c r="F308" s="171">
        <v>7</v>
      </c>
      <c r="G308" s="171">
        <v>5</v>
      </c>
      <c r="H308" s="171">
        <v>15</v>
      </c>
      <c r="I308" s="171">
        <v>18</v>
      </c>
      <c r="J308" s="171">
        <v>1</v>
      </c>
      <c r="K308" s="171">
        <v>49</v>
      </c>
      <c r="L308" s="171">
        <v>14</v>
      </c>
      <c r="M308" s="171">
        <v>14</v>
      </c>
      <c r="N308" s="171">
        <v>20</v>
      </c>
      <c r="O308" s="171">
        <v>18</v>
      </c>
      <c r="P308" s="173">
        <v>2</v>
      </c>
    </row>
    <row r="309" spans="1:16">
      <c r="A309" s="172" t="s">
        <v>449</v>
      </c>
      <c r="B309" s="172" t="s">
        <v>467</v>
      </c>
      <c r="C309" s="172">
        <v>37</v>
      </c>
      <c r="D309" s="172">
        <v>0</v>
      </c>
      <c r="E309" s="172">
        <v>0</v>
      </c>
      <c r="F309" s="172">
        <v>0</v>
      </c>
      <c r="G309" s="172">
        <v>13</v>
      </c>
      <c r="H309" s="172">
        <v>13</v>
      </c>
      <c r="I309" s="172">
        <v>12</v>
      </c>
      <c r="J309" s="172">
        <v>1</v>
      </c>
      <c r="K309" s="172">
        <v>39</v>
      </c>
      <c r="L309" s="172">
        <v>22</v>
      </c>
      <c r="M309" s="172">
        <v>2</v>
      </c>
      <c r="N309" s="172">
        <v>0</v>
      </c>
      <c r="O309" s="172">
        <v>18</v>
      </c>
      <c r="P309" s="174">
        <v>5</v>
      </c>
    </row>
    <row r="310" spans="1:16">
      <c r="A310" s="171" t="s">
        <v>449</v>
      </c>
      <c r="B310" s="171" t="s">
        <v>467</v>
      </c>
      <c r="C310" s="171">
        <v>50</v>
      </c>
      <c r="D310" s="171">
        <v>16</v>
      </c>
      <c r="E310" s="171">
        <v>1</v>
      </c>
      <c r="F310" s="171">
        <v>8</v>
      </c>
      <c r="G310" s="171">
        <v>10</v>
      </c>
      <c r="H310" s="171">
        <v>10</v>
      </c>
      <c r="I310" s="171">
        <v>9</v>
      </c>
      <c r="J310" s="171">
        <v>0</v>
      </c>
      <c r="K310" s="171">
        <v>38</v>
      </c>
      <c r="L310" s="171">
        <v>33</v>
      </c>
      <c r="M310" s="171">
        <v>1</v>
      </c>
      <c r="N310" s="171">
        <v>2</v>
      </c>
      <c r="O310" s="171">
        <v>4</v>
      </c>
      <c r="P310" s="173">
        <v>2</v>
      </c>
    </row>
    <row r="311" spans="1:16">
      <c r="A311" s="172" t="s">
        <v>449</v>
      </c>
      <c r="B311" s="172" t="s">
        <v>467</v>
      </c>
      <c r="C311" s="172">
        <v>26</v>
      </c>
      <c r="D311" s="172">
        <v>8</v>
      </c>
      <c r="E311" s="172">
        <v>1</v>
      </c>
      <c r="F311" s="172">
        <v>4</v>
      </c>
      <c r="G311" s="172">
        <v>10</v>
      </c>
      <c r="H311" s="172">
        <v>9</v>
      </c>
      <c r="I311" s="172">
        <v>6</v>
      </c>
      <c r="J311" s="172">
        <v>0</v>
      </c>
      <c r="K311" s="172">
        <v>30</v>
      </c>
      <c r="L311" s="172">
        <v>29</v>
      </c>
      <c r="M311" s="172">
        <v>0</v>
      </c>
      <c r="N311" s="172">
        <v>4</v>
      </c>
      <c r="O311" s="172">
        <v>1</v>
      </c>
      <c r="P311" s="174">
        <v>0</v>
      </c>
    </row>
    <row r="312" spans="1:16">
      <c r="A312" s="171" t="s">
        <v>449</v>
      </c>
      <c r="B312" s="171" t="s">
        <v>467</v>
      </c>
      <c r="C312" s="171">
        <v>35</v>
      </c>
      <c r="D312" s="171">
        <v>0</v>
      </c>
      <c r="E312" s="171">
        <v>0</v>
      </c>
      <c r="F312" s="171">
        <v>0</v>
      </c>
      <c r="G312" s="171">
        <v>4</v>
      </c>
      <c r="H312" s="171">
        <v>12</v>
      </c>
      <c r="I312" s="171">
        <v>11</v>
      </c>
      <c r="J312" s="171">
        <v>3</v>
      </c>
      <c r="K312" s="171">
        <v>30</v>
      </c>
      <c r="L312" s="171">
        <v>11</v>
      </c>
      <c r="M312" s="171">
        <v>2</v>
      </c>
      <c r="N312" s="171">
        <v>2</v>
      </c>
      <c r="O312" s="171">
        <v>21</v>
      </c>
      <c r="P312" s="173">
        <v>5</v>
      </c>
    </row>
    <row r="313" spans="1:16">
      <c r="A313" s="172" t="s">
        <v>449</v>
      </c>
      <c r="B313" s="172" t="s">
        <v>467</v>
      </c>
      <c r="C313" s="172">
        <v>30</v>
      </c>
      <c r="D313" s="172">
        <v>15</v>
      </c>
      <c r="E313" s="172">
        <v>0</v>
      </c>
      <c r="F313" s="172">
        <v>6</v>
      </c>
      <c r="G313" s="172">
        <v>11</v>
      </c>
      <c r="H313" s="172">
        <v>10</v>
      </c>
      <c r="I313" s="172">
        <v>4</v>
      </c>
      <c r="J313" s="172">
        <v>0</v>
      </c>
      <c r="K313" s="172">
        <v>31</v>
      </c>
      <c r="L313" s="172">
        <v>12</v>
      </c>
      <c r="M313" s="172">
        <v>4</v>
      </c>
      <c r="N313" s="172">
        <v>1</v>
      </c>
      <c r="O313" s="172">
        <v>19</v>
      </c>
      <c r="P313" s="174">
        <v>3</v>
      </c>
    </row>
    <row r="314" spans="1:16">
      <c r="A314" s="171" t="s">
        <v>449</v>
      </c>
      <c r="B314" s="171" t="s">
        <v>467</v>
      </c>
      <c r="C314" s="171">
        <v>25</v>
      </c>
      <c r="D314" s="171">
        <v>5</v>
      </c>
      <c r="E314" s="171">
        <v>0</v>
      </c>
      <c r="F314" s="171">
        <v>4</v>
      </c>
      <c r="G314" s="171">
        <v>26</v>
      </c>
      <c r="H314" s="171">
        <v>17</v>
      </c>
      <c r="I314" s="171">
        <v>1</v>
      </c>
      <c r="J314" s="171">
        <v>0</v>
      </c>
      <c r="K314" s="171">
        <v>48</v>
      </c>
      <c r="L314" s="171">
        <v>43</v>
      </c>
      <c r="M314" s="171">
        <v>8</v>
      </c>
      <c r="N314" s="171">
        <v>2</v>
      </c>
      <c r="O314" s="171">
        <v>6</v>
      </c>
      <c r="P314" s="173">
        <v>4</v>
      </c>
    </row>
    <row r="315" spans="1:16">
      <c r="A315" s="172" t="s">
        <v>449</v>
      </c>
      <c r="B315" s="172" t="s">
        <v>467</v>
      </c>
      <c r="C315" s="172">
        <v>32</v>
      </c>
      <c r="D315" s="172">
        <v>10</v>
      </c>
      <c r="E315" s="172">
        <v>1</v>
      </c>
      <c r="F315" s="172">
        <v>3</v>
      </c>
      <c r="G315" s="172">
        <v>18</v>
      </c>
      <c r="H315" s="172">
        <v>12</v>
      </c>
      <c r="I315" s="172">
        <v>4</v>
      </c>
      <c r="J315" s="172">
        <v>2</v>
      </c>
      <c r="K315" s="172">
        <v>40</v>
      </c>
      <c r="L315" s="172">
        <v>23</v>
      </c>
      <c r="M315" s="172">
        <v>9</v>
      </c>
      <c r="N315" s="172">
        <v>5</v>
      </c>
      <c r="O315" s="172">
        <v>13</v>
      </c>
      <c r="P315" s="174">
        <v>3</v>
      </c>
    </row>
    <row r="316" spans="1:16">
      <c r="A316" s="171" t="s">
        <v>449</v>
      </c>
      <c r="B316" s="171" t="s">
        <v>467</v>
      </c>
      <c r="C316" s="171">
        <v>30</v>
      </c>
      <c r="D316" s="171">
        <v>0</v>
      </c>
      <c r="E316" s="171">
        <v>0</v>
      </c>
      <c r="F316" s="171">
        <v>0</v>
      </c>
      <c r="G316" s="171">
        <v>10</v>
      </c>
      <c r="H316" s="171">
        <v>17</v>
      </c>
      <c r="I316" s="171">
        <v>15</v>
      </c>
      <c r="J316" s="171">
        <v>1</v>
      </c>
      <c r="K316" s="171">
        <v>43</v>
      </c>
      <c r="L316" s="171">
        <v>26</v>
      </c>
      <c r="M316" s="171">
        <v>13</v>
      </c>
      <c r="N316" s="171">
        <v>9</v>
      </c>
      <c r="O316" s="171">
        <v>7</v>
      </c>
      <c r="P316" s="173">
        <v>1</v>
      </c>
    </row>
    <row r="317" spans="1:16">
      <c r="A317" s="172" t="s">
        <v>449</v>
      </c>
      <c r="B317" s="172" t="s">
        <v>467</v>
      </c>
      <c r="C317" s="172">
        <v>15</v>
      </c>
      <c r="D317" s="172">
        <v>0</v>
      </c>
      <c r="E317" s="172">
        <v>0</v>
      </c>
      <c r="F317" s="172">
        <v>0</v>
      </c>
      <c r="G317" s="172">
        <v>17</v>
      </c>
      <c r="H317" s="172">
        <v>9</v>
      </c>
      <c r="I317" s="172">
        <v>0</v>
      </c>
      <c r="J317" s="172">
        <v>0</v>
      </c>
      <c r="K317" s="172">
        <v>26</v>
      </c>
      <c r="L317" s="172">
        <v>17</v>
      </c>
      <c r="M317" s="172">
        <v>0</v>
      </c>
      <c r="N317" s="172">
        <v>1</v>
      </c>
      <c r="O317" s="172">
        <v>5</v>
      </c>
      <c r="P317" s="174">
        <v>6</v>
      </c>
    </row>
    <row r="318" spans="1:16">
      <c r="A318" s="171" t="s">
        <v>449</v>
      </c>
      <c r="B318" s="171" t="s">
        <v>467</v>
      </c>
      <c r="C318" s="171">
        <v>35</v>
      </c>
      <c r="D318" s="171">
        <v>0</v>
      </c>
      <c r="E318" s="171">
        <v>0</v>
      </c>
      <c r="F318" s="171">
        <v>0</v>
      </c>
      <c r="G318" s="171">
        <v>7</v>
      </c>
      <c r="H318" s="171">
        <v>16</v>
      </c>
      <c r="I318" s="171">
        <v>13</v>
      </c>
      <c r="J318" s="171">
        <v>0</v>
      </c>
      <c r="K318" s="171">
        <v>36</v>
      </c>
      <c r="L318" s="171">
        <v>6</v>
      </c>
      <c r="M318" s="171">
        <v>3</v>
      </c>
      <c r="N318" s="171">
        <v>2</v>
      </c>
      <c r="O318" s="171">
        <v>29</v>
      </c>
      <c r="P318" s="173">
        <v>0</v>
      </c>
    </row>
    <row r="319" spans="1:16">
      <c r="A319" s="172" t="s">
        <v>449</v>
      </c>
      <c r="B319" s="172" t="s">
        <v>467</v>
      </c>
      <c r="C319" s="172">
        <v>50</v>
      </c>
      <c r="D319" s="172">
        <v>12</v>
      </c>
      <c r="E319" s="172">
        <v>2</v>
      </c>
      <c r="F319" s="172">
        <v>8</v>
      </c>
      <c r="G319" s="172">
        <v>13</v>
      </c>
      <c r="H319" s="172">
        <v>14</v>
      </c>
      <c r="I319" s="172">
        <v>10</v>
      </c>
      <c r="J319" s="172">
        <v>0</v>
      </c>
      <c r="K319" s="172">
        <v>47</v>
      </c>
      <c r="L319" s="172">
        <v>33</v>
      </c>
      <c r="M319" s="172">
        <v>2</v>
      </c>
      <c r="N319" s="172">
        <v>1</v>
      </c>
      <c r="O319" s="172">
        <v>5</v>
      </c>
      <c r="P319" s="174">
        <v>14</v>
      </c>
    </row>
    <row r="320" spans="1:16">
      <c r="A320" s="171" t="s">
        <v>449</v>
      </c>
      <c r="B320" s="171" t="s">
        <v>467</v>
      </c>
      <c r="C320" s="171">
        <v>37</v>
      </c>
      <c r="D320" s="171">
        <v>0</v>
      </c>
      <c r="E320" s="171">
        <v>0</v>
      </c>
      <c r="F320" s="171">
        <v>0</v>
      </c>
      <c r="G320" s="171">
        <v>0</v>
      </c>
      <c r="H320" s="171">
        <v>19</v>
      </c>
      <c r="I320" s="171">
        <v>30</v>
      </c>
      <c r="J320" s="171">
        <v>1</v>
      </c>
      <c r="K320" s="171">
        <v>50</v>
      </c>
      <c r="L320" s="171">
        <v>43</v>
      </c>
      <c r="M320" s="171">
        <v>1</v>
      </c>
      <c r="N320" s="171">
        <v>3</v>
      </c>
      <c r="O320" s="171">
        <v>12</v>
      </c>
      <c r="P320" s="173">
        <v>2</v>
      </c>
    </row>
    <row r="321" spans="1:16">
      <c r="A321" s="172" t="s">
        <v>449</v>
      </c>
      <c r="B321" s="172" t="s">
        <v>467</v>
      </c>
      <c r="C321" s="172">
        <v>32</v>
      </c>
      <c r="D321" s="172">
        <v>10</v>
      </c>
      <c r="E321" s="172">
        <v>1</v>
      </c>
      <c r="F321" s="172">
        <v>6</v>
      </c>
      <c r="G321" s="172">
        <v>6</v>
      </c>
      <c r="H321" s="172">
        <v>7</v>
      </c>
      <c r="I321" s="172">
        <v>9</v>
      </c>
      <c r="J321" s="172">
        <v>0</v>
      </c>
      <c r="K321" s="172">
        <v>29</v>
      </c>
      <c r="L321" s="172">
        <v>16</v>
      </c>
      <c r="M321" s="172">
        <v>7</v>
      </c>
      <c r="N321" s="172">
        <v>8</v>
      </c>
      <c r="O321" s="172">
        <v>8</v>
      </c>
      <c r="P321" s="174">
        <v>0</v>
      </c>
    </row>
    <row r="322" spans="1:16">
      <c r="A322" s="171" t="s">
        <v>449</v>
      </c>
      <c r="B322" s="171" t="s">
        <v>467</v>
      </c>
      <c r="C322" s="171">
        <v>38</v>
      </c>
      <c r="D322" s="171">
        <v>0</v>
      </c>
      <c r="E322" s="171">
        <v>0</v>
      </c>
      <c r="F322" s="171">
        <v>0</v>
      </c>
      <c r="G322" s="171">
        <v>4</v>
      </c>
      <c r="H322" s="171">
        <v>8</v>
      </c>
      <c r="I322" s="171">
        <v>8</v>
      </c>
      <c r="J322" s="171">
        <v>0</v>
      </c>
      <c r="K322" s="171">
        <v>20</v>
      </c>
      <c r="L322" s="171">
        <v>5</v>
      </c>
      <c r="M322" s="171">
        <v>4</v>
      </c>
      <c r="N322" s="171">
        <v>8</v>
      </c>
      <c r="O322" s="171">
        <v>7</v>
      </c>
      <c r="P322" s="173">
        <v>4</v>
      </c>
    </row>
    <row r="323" spans="1:16">
      <c r="A323" s="172" t="s">
        <v>449</v>
      </c>
      <c r="B323" s="172" t="s">
        <v>467</v>
      </c>
      <c r="C323" s="172">
        <v>30</v>
      </c>
      <c r="D323" s="172">
        <v>12</v>
      </c>
      <c r="E323" s="172">
        <v>2</v>
      </c>
      <c r="F323" s="172">
        <v>7</v>
      </c>
      <c r="G323" s="172">
        <v>14</v>
      </c>
      <c r="H323" s="172">
        <v>3</v>
      </c>
      <c r="I323" s="172">
        <v>7</v>
      </c>
      <c r="J323" s="172">
        <v>0</v>
      </c>
      <c r="K323" s="172">
        <v>33</v>
      </c>
      <c r="L323" s="172">
        <v>30</v>
      </c>
      <c r="M323" s="172">
        <v>3</v>
      </c>
      <c r="N323" s="172">
        <v>0</v>
      </c>
      <c r="O323" s="172">
        <v>3</v>
      </c>
      <c r="P323" s="174">
        <v>5</v>
      </c>
    </row>
    <row r="324" spans="1:16">
      <c r="A324" s="171" t="s">
        <v>449</v>
      </c>
      <c r="B324" s="171" t="s">
        <v>467</v>
      </c>
      <c r="C324" s="171">
        <v>48</v>
      </c>
      <c r="D324" s="171">
        <v>12</v>
      </c>
      <c r="E324" s="171">
        <v>3</v>
      </c>
      <c r="F324" s="171">
        <v>6</v>
      </c>
      <c r="G324" s="171">
        <v>11</v>
      </c>
      <c r="H324" s="171">
        <v>6</v>
      </c>
      <c r="I324" s="171">
        <v>16</v>
      </c>
      <c r="J324" s="171">
        <v>0</v>
      </c>
      <c r="K324" s="171">
        <v>42</v>
      </c>
      <c r="L324" s="171">
        <v>26</v>
      </c>
      <c r="M324" s="171">
        <v>1</v>
      </c>
      <c r="N324" s="171">
        <v>1</v>
      </c>
      <c r="O324" s="171">
        <v>11</v>
      </c>
      <c r="P324" s="173">
        <v>9</v>
      </c>
    </row>
    <row r="325" spans="1:16">
      <c r="A325" s="172" t="s">
        <v>449</v>
      </c>
      <c r="B325" s="172" t="s">
        <v>467</v>
      </c>
      <c r="C325" s="172">
        <v>75</v>
      </c>
      <c r="D325" s="172">
        <v>40</v>
      </c>
      <c r="E325" s="172">
        <v>6</v>
      </c>
      <c r="F325" s="172">
        <v>14</v>
      </c>
      <c r="G325" s="172">
        <v>22</v>
      </c>
      <c r="H325" s="172">
        <v>14</v>
      </c>
      <c r="I325" s="172">
        <v>12</v>
      </c>
      <c r="J325" s="172">
        <v>0</v>
      </c>
      <c r="K325" s="172">
        <v>68</v>
      </c>
      <c r="L325" s="172">
        <v>36</v>
      </c>
      <c r="M325" s="172">
        <v>7</v>
      </c>
      <c r="N325" s="172">
        <v>8</v>
      </c>
      <c r="O325" s="172">
        <v>32</v>
      </c>
      <c r="P325" s="174">
        <v>9</v>
      </c>
    </row>
    <row r="326" spans="1:16">
      <c r="A326" s="171" t="s">
        <v>449</v>
      </c>
      <c r="B326" s="171" t="s">
        <v>467</v>
      </c>
      <c r="C326" s="171">
        <v>28</v>
      </c>
      <c r="D326" s="171">
        <v>0</v>
      </c>
      <c r="E326" s="171">
        <v>0</v>
      </c>
      <c r="F326" s="171">
        <v>0</v>
      </c>
      <c r="G326" s="171">
        <v>3</v>
      </c>
      <c r="H326" s="171">
        <v>14</v>
      </c>
      <c r="I326" s="171">
        <v>14</v>
      </c>
      <c r="J326" s="171">
        <v>1</v>
      </c>
      <c r="K326" s="171">
        <v>32</v>
      </c>
      <c r="L326" s="171">
        <v>32</v>
      </c>
      <c r="M326" s="171">
        <v>1</v>
      </c>
      <c r="N326" s="171">
        <v>0</v>
      </c>
      <c r="O326" s="171">
        <v>2</v>
      </c>
      <c r="P326" s="173">
        <v>0</v>
      </c>
    </row>
    <row r="327" spans="1:16">
      <c r="A327" s="172" t="s">
        <v>449</v>
      </c>
      <c r="B327" s="172" t="s">
        <v>467</v>
      </c>
      <c r="C327" s="172">
        <v>25</v>
      </c>
      <c r="D327" s="172">
        <v>0</v>
      </c>
      <c r="E327" s="172">
        <v>0</v>
      </c>
      <c r="F327" s="172">
        <v>0</v>
      </c>
      <c r="G327" s="172">
        <v>8</v>
      </c>
      <c r="H327" s="172">
        <v>11</v>
      </c>
      <c r="I327" s="172">
        <v>14</v>
      </c>
      <c r="J327" s="172">
        <v>1</v>
      </c>
      <c r="K327" s="172">
        <v>34</v>
      </c>
      <c r="L327" s="172">
        <v>25</v>
      </c>
      <c r="M327" s="172">
        <v>4</v>
      </c>
      <c r="N327" s="172">
        <v>4</v>
      </c>
      <c r="O327" s="172">
        <v>8</v>
      </c>
      <c r="P327" s="174">
        <v>2</v>
      </c>
    </row>
    <row r="328" spans="1:16">
      <c r="A328" s="171" t="s">
        <v>449</v>
      </c>
      <c r="B328" s="171" t="s">
        <v>467</v>
      </c>
      <c r="C328" s="171">
        <v>50</v>
      </c>
      <c r="D328" s="171">
        <v>0</v>
      </c>
      <c r="E328" s="171">
        <v>0</v>
      </c>
      <c r="F328" s="171">
        <v>0</v>
      </c>
      <c r="G328" s="171">
        <v>10</v>
      </c>
      <c r="H328" s="171">
        <v>14</v>
      </c>
      <c r="I328" s="171">
        <v>24</v>
      </c>
      <c r="J328" s="171">
        <v>0</v>
      </c>
      <c r="K328" s="171">
        <v>48</v>
      </c>
      <c r="L328" s="171">
        <v>10</v>
      </c>
      <c r="M328" s="171">
        <v>4</v>
      </c>
      <c r="N328" s="171">
        <v>11</v>
      </c>
      <c r="O328" s="171">
        <v>34</v>
      </c>
      <c r="P328" s="173">
        <v>1</v>
      </c>
    </row>
    <row r="329" spans="1:16">
      <c r="A329" s="172" t="s">
        <v>449</v>
      </c>
      <c r="B329" s="172" t="s">
        <v>467</v>
      </c>
      <c r="C329" s="172">
        <v>34</v>
      </c>
      <c r="D329" s="172">
        <v>6</v>
      </c>
      <c r="E329" s="172">
        <v>2</v>
      </c>
      <c r="F329" s="172">
        <v>8</v>
      </c>
      <c r="G329" s="172">
        <v>6</v>
      </c>
      <c r="H329" s="172">
        <v>12</v>
      </c>
      <c r="I329" s="172">
        <v>7</v>
      </c>
      <c r="J329" s="172">
        <v>2</v>
      </c>
      <c r="K329" s="172">
        <v>37</v>
      </c>
      <c r="L329" s="172">
        <v>35</v>
      </c>
      <c r="M329" s="172">
        <v>13</v>
      </c>
      <c r="N329" s="172">
        <v>3</v>
      </c>
      <c r="O329" s="172">
        <v>1</v>
      </c>
      <c r="P329" s="174">
        <v>0</v>
      </c>
    </row>
    <row r="330" spans="1:16">
      <c r="A330" s="171" t="s">
        <v>449</v>
      </c>
      <c r="B330" s="171" t="s">
        <v>467</v>
      </c>
      <c r="C330" s="171">
        <v>34</v>
      </c>
      <c r="D330" s="171">
        <v>15</v>
      </c>
      <c r="E330" s="171">
        <v>2</v>
      </c>
      <c r="F330" s="171">
        <v>9</v>
      </c>
      <c r="G330" s="171">
        <v>12</v>
      </c>
      <c r="H330" s="171">
        <v>6</v>
      </c>
      <c r="I330" s="171">
        <v>5</v>
      </c>
      <c r="J330" s="171">
        <v>0</v>
      </c>
      <c r="K330" s="171">
        <v>34</v>
      </c>
      <c r="L330" s="171">
        <v>30</v>
      </c>
      <c r="M330" s="171">
        <v>7</v>
      </c>
      <c r="N330" s="171">
        <v>0</v>
      </c>
      <c r="O330" s="171">
        <v>4</v>
      </c>
      <c r="P330" s="173">
        <v>0</v>
      </c>
    </row>
    <row r="331" spans="1:16">
      <c r="A331" s="172" t="s">
        <v>449</v>
      </c>
      <c r="B331" s="172" t="s">
        <v>467</v>
      </c>
      <c r="C331" s="172">
        <v>25</v>
      </c>
      <c r="D331" s="172">
        <v>4</v>
      </c>
      <c r="E331" s="172">
        <v>0</v>
      </c>
      <c r="F331" s="172">
        <v>1</v>
      </c>
      <c r="G331" s="172">
        <v>7</v>
      </c>
      <c r="H331" s="172">
        <v>15</v>
      </c>
      <c r="I331" s="172">
        <v>7</v>
      </c>
      <c r="J331" s="172">
        <v>1</v>
      </c>
      <c r="K331" s="172">
        <v>31</v>
      </c>
      <c r="L331" s="172">
        <v>29</v>
      </c>
      <c r="M331" s="172">
        <v>4</v>
      </c>
      <c r="N331" s="172">
        <v>0</v>
      </c>
      <c r="O331" s="172">
        <v>4</v>
      </c>
      <c r="P331" s="174">
        <v>2</v>
      </c>
    </row>
    <row r="332" spans="1:16" hidden="1">
      <c r="A332" s="171" t="s">
        <v>347</v>
      </c>
      <c r="B332" s="171" t="s">
        <v>467</v>
      </c>
      <c r="C332" s="171">
        <v>65</v>
      </c>
      <c r="D332" s="171">
        <v>15</v>
      </c>
      <c r="E332" s="171">
        <v>1</v>
      </c>
      <c r="F332" s="171">
        <v>11</v>
      </c>
      <c r="G332" s="171">
        <v>14</v>
      </c>
      <c r="H332" s="171">
        <v>15</v>
      </c>
      <c r="I332" s="171">
        <v>14</v>
      </c>
      <c r="J332" s="171">
        <v>0</v>
      </c>
      <c r="K332" s="171">
        <v>55</v>
      </c>
      <c r="L332" s="171">
        <v>0</v>
      </c>
      <c r="M332" s="171">
        <v>55</v>
      </c>
      <c r="N332" s="171">
        <v>0</v>
      </c>
      <c r="O332" s="171">
        <v>0</v>
      </c>
      <c r="P332" s="173">
        <v>0</v>
      </c>
    </row>
    <row r="333" spans="1:16">
      <c r="A333" s="172" t="s">
        <v>449</v>
      </c>
      <c r="B333" s="172" t="s">
        <v>467</v>
      </c>
      <c r="C333" s="172">
        <v>23</v>
      </c>
      <c r="D333" s="172">
        <v>0</v>
      </c>
      <c r="E333" s="172">
        <v>0</v>
      </c>
      <c r="F333" s="172">
        <v>0</v>
      </c>
      <c r="G333" s="172">
        <v>10</v>
      </c>
      <c r="H333" s="172">
        <v>6</v>
      </c>
      <c r="I333" s="172">
        <v>9</v>
      </c>
      <c r="J333" s="172">
        <v>1</v>
      </c>
      <c r="K333" s="172">
        <v>26</v>
      </c>
      <c r="L333" s="172">
        <v>2</v>
      </c>
      <c r="M333" s="172">
        <v>2</v>
      </c>
      <c r="N333" s="172">
        <v>4</v>
      </c>
      <c r="O333" s="172">
        <v>13</v>
      </c>
      <c r="P333" s="174">
        <v>7</v>
      </c>
    </row>
    <row r="334" spans="1:16">
      <c r="A334" s="171" t="s">
        <v>449</v>
      </c>
      <c r="B334" s="171" t="s">
        <v>467</v>
      </c>
      <c r="C334" s="171">
        <v>40</v>
      </c>
      <c r="D334" s="171">
        <v>0</v>
      </c>
      <c r="E334" s="171">
        <v>0</v>
      </c>
      <c r="F334" s="171">
        <v>0</v>
      </c>
      <c r="G334" s="171">
        <v>3</v>
      </c>
      <c r="H334" s="171">
        <v>26</v>
      </c>
      <c r="I334" s="171">
        <v>33</v>
      </c>
      <c r="J334" s="171">
        <v>1</v>
      </c>
      <c r="K334" s="171">
        <v>63</v>
      </c>
      <c r="L334" s="171">
        <v>58</v>
      </c>
      <c r="M334" s="171">
        <v>9</v>
      </c>
      <c r="N334" s="171">
        <v>9</v>
      </c>
      <c r="O334" s="171">
        <v>13</v>
      </c>
      <c r="P334" s="173">
        <v>5</v>
      </c>
    </row>
    <row r="335" spans="1:16">
      <c r="A335" s="172" t="s">
        <v>449</v>
      </c>
      <c r="B335" s="172" t="s">
        <v>467</v>
      </c>
      <c r="C335" s="172">
        <v>50</v>
      </c>
      <c r="D335" s="172">
        <v>15</v>
      </c>
      <c r="E335" s="172">
        <v>2</v>
      </c>
      <c r="F335" s="172">
        <v>10</v>
      </c>
      <c r="G335" s="172">
        <v>15</v>
      </c>
      <c r="H335" s="172">
        <v>14</v>
      </c>
      <c r="I335" s="172">
        <v>9</v>
      </c>
      <c r="J335" s="172">
        <v>0</v>
      </c>
      <c r="K335" s="172">
        <v>50</v>
      </c>
      <c r="L335" s="172">
        <v>47</v>
      </c>
      <c r="M335" s="172">
        <v>2</v>
      </c>
      <c r="N335" s="172">
        <v>1</v>
      </c>
      <c r="O335" s="172">
        <v>8</v>
      </c>
      <c r="P335" s="174">
        <v>0</v>
      </c>
    </row>
    <row r="336" spans="1:16">
      <c r="A336" s="171" t="s">
        <v>449</v>
      </c>
      <c r="B336" s="171" t="s">
        <v>467</v>
      </c>
      <c r="C336" s="171">
        <v>26</v>
      </c>
      <c r="D336" s="171">
        <v>8</v>
      </c>
      <c r="E336" s="171">
        <v>2</v>
      </c>
      <c r="F336" s="171">
        <v>5</v>
      </c>
      <c r="G336" s="171">
        <v>3</v>
      </c>
      <c r="H336" s="171">
        <v>4</v>
      </c>
      <c r="I336" s="171">
        <v>12</v>
      </c>
      <c r="J336" s="171">
        <v>0</v>
      </c>
      <c r="K336" s="171">
        <v>26</v>
      </c>
      <c r="L336" s="171">
        <v>15</v>
      </c>
      <c r="M336" s="171">
        <v>2</v>
      </c>
      <c r="N336" s="171">
        <v>7</v>
      </c>
      <c r="O336" s="171">
        <v>6</v>
      </c>
      <c r="P336" s="173">
        <v>1</v>
      </c>
    </row>
    <row r="337" spans="1:16">
      <c r="A337" s="172" t="s">
        <v>449</v>
      </c>
      <c r="B337" s="172" t="s">
        <v>467</v>
      </c>
      <c r="C337" s="172">
        <v>75</v>
      </c>
      <c r="D337" s="172">
        <v>25</v>
      </c>
      <c r="E337" s="172">
        <v>1</v>
      </c>
      <c r="F337" s="172">
        <v>15</v>
      </c>
      <c r="G337" s="172">
        <v>20</v>
      </c>
      <c r="H337" s="172">
        <v>15</v>
      </c>
      <c r="I337" s="172">
        <v>16</v>
      </c>
      <c r="J337" s="172">
        <v>0</v>
      </c>
      <c r="K337" s="172">
        <v>67</v>
      </c>
      <c r="L337" s="172">
        <v>54</v>
      </c>
      <c r="M337" s="172">
        <v>4</v>
      </c>
      <c r="N337" s="172">
        <v>8</v>
      </c>
      <c r="O337" s="172">
        <v>15</v>
      </c>
      <c r="P337" s="174">
        <v>4</v>
      </c>
    </row>
    <row r="338" spans="1:16">
      <c r="A338" s="171" t="s">
        <v>449</v>
      </c>
      <c r="B338" s="171" t="s">
        <v>467</v>
      </c>
      <c r="C338" s="171">
        <v>72</v>
      </c>
      <c r="D338" s="171">
        <v>25</v>
      </c>
      <c r="E338" s="171">
        <v>1</v>
      </c>
      <c r="F338" s="171">
        <v>15</v>
      </c>
      <c r="G338" s="171">
        <v>18</v>
      </c>
      <c r="H338" s="171">
        <v>19</v>
      </c>
      <c r="I338" s="171">
        <v>17</v>
      </c>
      <c r="J338" s="171">
        <v>1</v>
      </c>
      <c r="K338" s="171">
        <v>71</v>
      </c>
      <c r="L338" s="171">
        <v>56</v>
      </c>
      <c r="M338" s="171">
        <v>10</v>
      </c>
      <c r="N338" s="171">
        <v>3</v>
      </c>
      <c r="O338" s="171">
        <v>19</v>
      </c>
      <c r="P338" s="173">
        <v>3</v>
      </c>
    </row>
    <row r="339" spans="1:16">
      <c r="A339" s="172" t="s">
        <v>449</v>
      </c>
      <c r="B339" s="172" t="s">
        <v>467</v>
      </c>
      <c r="C339" s="172">
        <v>50</v>
      </c>
      <c r="D339" s="172">
        <v>20</v>
      </c>
      <c r="E339" s="172">
        <v>2</v>
      </c>
      <c r="F339" s="172">
        <v>11</v>
      </c>
      <c r="G339" s="172">
        <v>14</v>
      </c>
      <c r="H339" s="172">
        <v>14</v>
      </c>
      <c r="I339" s="172">
        <v>11</v>
      </c>
      <c r="J339" s="172">
        <v>0</v>
      </c>
      <c r="K339" s="172">
        <v>52</v>
      </c>
      <c r="L339" s="172">
        <v>46</v>
      </c>
      <c r="M339" s="172">
        <v>7</v>
      </c>
      <c r="N339" s="172">
        <v>3</v>
      </c>
      <c r="O339" s="172">
        <v>4</v>
      </c>
      <c r="P339" s="174">
        <v>4</v>
      </c>
    </row>
    <row r="340" spans="1:16">
      <c r="A340" s="171" t="s">
        <v>449</v>
      </c>
      <c r="B340" s="171" t="s">
        <v>467</v>
      </c>
      <c r="C340" s="171">
        <v>50</v>
      </c>
      <c r="D340" s="171">
        <v>40</v>
      </c>
      <c r="E340" s="171">
        <v>4</v>
      </c>
      <c r="F340" s="171">
        <v>19</v>
      </c>
      <c r="G340" s="171">
        <v>18</v>
      </c>
      <c r="H340" s="171">
        <v>15</v>
      </c>
      <c r="I340" s="171">
        <v>0</v>
      </c>
      <c r="J340" s="171">
        <v>0</v>
      </c>
      <c r="K340" s="171">
        <v>56</v>
      </c>
      <c r="L340" s="171">
        <v>34</v>
      </c>
      <c r="M340" s="171">
        <v>4</v>
      </c>
      <c r="N340" s="171">
        <v>2</v>
      </c>
      <c r="O340" s="171">
        <v>22</v>
      </c>
      <c r="P340" s="173">
        <v>3</v>
      </c>
    </row>
    <row r="341" spans="1:16">
      <c r="A341" s="172" t="s">
        <v>449</v>
      </c>
      <c r="B341" s="172" t="s">
        <v>467</v>
      </c>
      <c r="C341" s="172">
        <v>50</v>
      </c>
      <c r="D341" s="172">
        <v>0</v>
      </c>
      <c r="E341" s="172">
        <v>0</v>
      </c>
      <c r="F341" s="172">
        <v>0</v>
      </c>
      <c r="G341" s="172">
        <v>0</v>
      </c>
      <c r="H341" s="172">
        <v>16</v>
      </c>
      <c r="I341" s="172">
        <v>35</v>
      </c>
      <c r="J341" s="172">
        <v>0</v>
      </c>
      <c r="K341" s="172">
        <v>51</v>
      </c>
      <c r="L341" s="172">
        <v>28</v>
      </c>
      <c r="M341" s="172">
        <v>0</v>
      </c>
      <c r="N341" s="172">
        <v>1</v>
      </c>
      <c r="O341" s="172">
        <v>26</v>
      </c>
      <c r="P341" s="174">
        <v>3</v>
      </c>
    </row>
    <row r="342" spans="1:16">
      <c r="A342" s="171" t="s">
        <v>449</v>
      </c>
      <c r="B342" s="171" t="s">
        <v>467</v>
      </c>
      <c r="C342" s="171">
        <v>100</v>
      </c>
      <c r="D342" s="171">
        <v>25</v>
      </c>
      <c r="E342" s="171">
        <v>2</v>
      </c>
      <c r="F342" s="171">
        <v>20</v>
      </c>
      <c r="G342" s="171">
        <v>23</v>
      </c>
      <c r="H342" s="171">
        <v>21</v>
      </c>
      <c r="I342" s="171">
        <v>31</v>
      </c>
      <c r="J342" s="171">
        <v>2</v>
      </c>
      <c r="K342" s="171">
        <v>99</v>
      </c>
      <c r="L342" s="171">
        <v>50</v>
      </c>
      <c r="M342" s="171">
        <v>6</v>
      </c>
      <c r="N342" s="171">
        <v>8</v>
      </c>
      <c r="O342" s="171">
        <v>46</v>
      </c>
      <c r="P342" s="173">
        <v>7</v>
      </c>
    </row>
    <row r="343" spans="1:16">
      <c r="A343" s="172" t="s">
        <v>449</v>
      </c>
      <c r="B343" s="172" t="s">
        <v>467</v>
      </c>
      <c r="C343" s="172">
        <v>30</v>
      </c>
      <c r="D343" s="172">
        <v>0</v>
      </c>
      <c r="E343" s="172">
        <v>0</v>
      </c>
      <c r="F343" s="172">
        <v>0</v>
      </c>
      <c r="G343" s="172">
        <v>5</v>
      </c>
      <c r="H343" s="172">
        <v>11</v>
      </c>
      <c r="I343" s="172">
        <v>13</v>
      </c>
      <c r="J343" s="172">
        <v>1</v>
      </c>
      <c r="K343" s="172">
        <v>30</v>
      </c>
      <c r="L343" s="172">
        <v>16</v>
      </c>
      <c r="M343" s="172">
        <v>8</v>
      </c>
      <c r="N343" s="172">
        <v>10</v>
      </c>
      <c r="O343" s="172">
        <v>7</v>
      </c>
      <c r="P343" s="174">
        <v>0</v>
      </c>
    </row>
    <row r="344" spans="1:16">
      <c r="A344" s="171" t="s">
        <v>449</v>
      </c>
      <c r="B344" s="171" t="s">
        <v>467</v>
      </c>
      <c r="C344" s="171">
        <v>50</v>
      </c>
      <c r="D344" s="171">
        <v>16</v>
      </c>
      <c r="E344" s="171">
        <v>0</v>
      </c>
      <c r="F344" s="171">
        <v>11</v>
      </c>
      <c r="G344" s="171">
        <v>15</v>
      </c>
      <c r="H344" s="171">
        <v>11</v>
      </c>
      <c r="I344" s="171">
        <v>13</v>
      </c>
      <c r="J344" s="171">
        <v>0</v>
      </c>
      <c r="K344" s="171">
        <v>50</v>
      </c>
      <c r="L344" s="171">
        <v>20</v>
      </c>
      <c r="M344" s="171">
        <v>2</v>
      </c>
      <c r="N344" s="171">
        <v>4</v>
      </c>
      <c r="O344" s="171">
        <v>33</v>
      </c>
      <c r="P344" s="173">
        <v>2</v>
      </c>
    </row>
    <row r="345" spans="1:16">
      <c r="A345" s="172" t="s">
        <v>449</v>
      </c>
      <c r="B345" s="172" t="s">
        <v>467</v>
      </c>
      <c r="C345" s="172">
        <v>30</v>
      </c>
      <c r="D345" s="172">
        <v>0</v>
      </c>
      <c r="E345" s="172">
        <v>0</v>
      </c>
      <c r="F345" s="172">
        <v>0</v>
      </c>
      <c r="G345" s="172">
        <v>5</v>
      </c>
      <c r="H345" s="172">
        <v>9</v>
      </c>
      <c r="I345" s="172">
        <v>6</v>
      </c>
      <c r="J345" s="172">
        <v>2</v>
      </c>
      <c r="K345" s="172">
        <v>22</v>
      </c>
      <c r="L345" s="172">
        <v>15</v>
      </c>
      <c r="M345" s="172">
        <v>0</v>
      </c>
      <c r="N345" s="172">
        <v>0</v>
      </c>
      <c r="O345" s="172">
        <v>8</v>
      </c>
      <c r="P345" s="174">
        <v>1</v>
      </c>
    </row>
    <row r="346" spans="1:16">
      <c r="A346" s="171" t="s">
        <v>449</v>
      </c>
      <c r="B346" s="171" t="s">
        <v>467</v>
      </c>
      <c r="C346" s="171">
        <v>45</v>
      </c>
      <c r="D346" s="171">
        <v>9</v>
      </c>
      <c r="E346" s="171">
        <v>2</v>
      </c>
      <c r="F346" s="171">
        <v>7</v>
      </c>
      <c r="G346" s="171">
        <v>7</v>
      </c>
      <c r="H346" s="171">
        <v>13</v>
      </c>
      <c r="I346" s="171">
        <v>9</v>
      </c>
      <c r="J346" s="171">
        <v>2</v>
      </c>
      <c r="K346" s="171">
        <v>40</v>
      </c>
      <c r="L346" s="171">
        <v>26</v>
      </c>
      <c r="M346" s="171">
        <v>0</v>
      </c>
      <c r="N346" s="171">
        <v>2</v>
      </c>
      <c r="O346" s="171">
        <v>13</v>
      </c>
      <c r="P346" s="173">
        <v>4</v>
      </c>
    </row>
    <row r="347" spans="1:16">
      <c r="A347" s="172" t="s">
        <v>449</v>
      </c>
      <c r="B347" s="172" t="s">
        <v>467</v>
      </c>
      <c r="C347" s="172">
        <v>69</v>
      </c>
      <c r="D347" s="172">
        <v>16</v>
      </c>
      <c r="E347" s="172">
        <v>2</v>
      </c>
      <c r="F347" s="172">
        <v>8</v>
      </c>
      <c r="G347" s="172">
        <v>8</v>
      </c>
      <c r="H347" s="172">
        <v>12</v>
      </c>
      <c r="I347" s="172">
        <v>13</v>
      </c>
      <c r="J347" s="172">
        <v>0</v>
      </c>
      <c r="K347" s="172">
        <v>43</v>
      </c>
      <c r="L347" s="172">
        <v>1</v>
      </c>
      <c r="M347" s="172">
        <v>1</v>
      </c>
      <c r="N347" s="172">
        <v>7</v>
      </c>
      <c r="O347" s="172">
        <v>35</v>
      </c>
      <c r="P347" s="174">
        <v>1</v>
      </c>
    </row>
    <row r="348" spans="1:16">
      <c r="A348" s="171" t="s">
        <v>449</v>
      </c>
      <c r="B348" s="171" t="s">
        <v>467</v>
      </c>
      <c r="C348" s="171">
        <v>35</v>
      </c>
      <c r="D348" s="171">
        <v>10</v>
      </c>
      <c r="E348" s="171">
        <v>1</v>
      </c>
      <c r="F348" s="171">
        <v>8</v>
      </c>
      <c r="G348" s="171">
        <v>5</v>
      </c>
      <c r="H348" s="171">
        <v>9</v>
      </c>
      <c r="I348" s="171">
        <v>3</v>
      </c>
      <c r="J348" s="171">
        <v>0</v>
      </c>
      <c r="K348" s="171">
        <v>26</v>
      </c>
      <c r="L348" s="171">
        <v>26</v>
      </c>
      <c r="M348" s="171">
        <v>2</v>
      </c>
      <c r="N348" s="171">
        <v>0</v>
      </c>
      <c r="O348" s="171">
        <v>1</v>
      </c>
      <c r="P348" s="173">
        <v>0</v>
      </c>
    </row>
    <row r="349" spans="1:16">
      <c r="A349" s="172" t="s">
        <v>449</v>
      </c>
      <c r="B349" s="172" t="s">
        <v>467</v>
      </c>
      <c r="C349" s="172">
        <v>32</v>
      </c>
      <c r="D349" s="172">
        <v>0</v>
      </c>
      <c r="E349" s="172">
        <v>0</v>
      </c>
      <c r="F349" s="172">
        <v>0</v>
      </c>
      <c r="G349" s="172">
        <v>8</v>
      </c>
      <c r="H349" s="172">
        <v>7</v>
      </c>
      <c r="I349" s="172">
        <v>12</v>
      </c>
      <c r="J349" s="172">
        <v>3</v>
      </c>
      <c r="K349" s="172">
        <v>30</v>
      </c>
      <c r="L349" s="172">
        <v>2</v>
      </c>
      <c r="M349" s="172">
        <v>2</v>
      </c>
      <c r="N349" s="172">
        <v>7</v>
      </c>
      <c r="O349" s="172">
        <v>23</v>
      </c>
      <c r="P349" s="174">
        <v>1</v>
      </c>
    </row>
    <row r="350" spans="1:16">
      <c r="A350" s="171" t="s">
        <v>449</v>
      </c>
      <c r="B350" s="171" t="s">
        <v>467</v>
      </c>
      <c r="C350" s="171">
        <v>30</v>
      </c>
      <c r="D350" s="171">
        <v>6</v>
      </c>
      <c r="E350" s="171">
        <v>2</v>
      </c>
      <c r="F350" s="171">
        <v>4</v>
      </c>
      <c r="G350" s="171">
        <v>16</v>
      </c>
      <c r="H350" s="171">
        <v>10</v>
      </c>
      <c r="I350" s="171">
        <v>6</v>
      </c>
      <c r="J350" s="171">
        <v>0</v>
      </c>
      <c r="K350" s="171">
        <v>38</v>
      </c>
      <c r="L350" s="171">
        <v>12</v>
      </c>
      <c r="M350" s="171">
        <v>1</v>
      </c>
      <c r="N350" s="171">
        <v>11</v>
      </c>
      <c r="O350" s="171">
        <v>23</v>
      </c>
      <c r="P350" s="173">
        <v>2</v>
      </c>
    </row>
    <row r="351" spans="1:16">
      <c r="A351" s="172" t="s">
        <v>449</v>
      </c>
      <c r="B351" s="172" t="s">
        <v>467</v>
      </c>
      <c r="C351" s="172">
        <v>53</v>
      </c>
      <c r="D351" s="172">
        <v>10</v>
      </c>
      <c r="E351" s="172">
        <v>3</v>
      </c>
      <c r="F351" s="172">
        <v>23</v>
      </c>
      <c r="G351" s="172">
        <v>15</v>
      </c>
      <c r="H351" s="172">
        <v>24</v>
      </c>
      <c r="I351" s="172">
        <v>13</v>
      </c>
      <c r="J351" s="172">
        <v>1</v>
      </c>
      <c r="K351" s="172">
        <v>79</v>
      </c>
      <c r="L351" s="172">
        <v>73</v>
      </c>
      <c r="M351" s="172">
        <v>8</v>
      </c>
      <c r="N351" s="172">
        <v>6</v>
      </c>
      <c r="O351" s="172">
        <v>4</v>
      </c>
      <c r="P351" s="174">
        <v>7</v>
      </c>
    </row>
    <row r="352" spans="1:16">
      <c r="A352" s="171" t="s">
        <v>449</v>
      </c>
      <c r="B352" s="171" t="s">
        <v>467</v>
      </c>
      <c r="C352" s="171">
        <v>58</v>
      </c>
      <c r="D352" s="171">
        <v>0</v>
      </c>
      <c r="E352" s="171">
        <v>0</v>
      </c>
      <c r="F352" s="171">
        <v>0</v>
      </c>
      <c r="G352" s="171">
        <v>12</v>
      </c>
      <c r="H352" s="171">
        <v>24</v>
      </c>
      <c r="I352" s="171">
        <v>22</v>
      </c>
      <c r="J352" s="171">
        <v>0</v>
      </c>
      <c r="K352" s="171">
        <v>58</v>
      </c>
      <c r="L352" s="171">
        <v>37</v>
      </c>
      <c r="M352" s="171">
        <v>7</v>
      </c>
      <c r="N352" s="171">
        <v>1</v>
      </c>
      <c r="O352" s="171">
        <v>18</v>
      </c>
      <c r="P352" s="173">
        <v>8</v>
      </c>
    </row>
    <row r="353" spans="1:16" hidden="1">
      <c r="A353" s="172" t="s">
        <v>452</v>
      </c>
      <c r="B353" s="172" t="s">
        <v>467</v>
      </c>
      <c r="C353" s="172">
        <v>40</v>
      </c>
      <c r="D353" s="172">
        <v>0</v>
      </c>
      <c r="E353" s="172">
        <v>0</v>
      </c>
      <c r="F353" s="172">
        <v>0</v>
      </c>
      <c r="G353" s="172">
        <v>7</v>
      </c>
      <c r="H353" s="172">
        <v>21</v>
      </c>
      <c r="I353" s="172">
        <v>26</v>
      </c>
      <c r="J353" s="172">
        <v>2</v>
      </c>
      <c r="K353" s="172">
        <v>56</v>
      </c>
      <c r="L353" s="172">
        <v>48</v>
      </c>
      <c r="M353" s="172">
        <v>18</v>
      </c>
      <c r="N353" s="172">
        <v>3</v>
      </c>
      <c r="O353" s="172">
        <v>8</v>
      </c>
      <c r="P353" s="174">
        <v>0</v>
      </c>
    </row>
    <row r="354" spans="1:16">
      <c r="A354" s="171" t="s">
        <v>449</v>
      </c>
      <c r="B354" s="171" t="s">
        <v>467</v>
      </c>
      <c r="C354" s="171">
        <v>25</v>
      </c>
      <c r="D354" s="171">
        <v>0</v>
      </c>
      <c r="E354" s="171">
        <v>0</v>
      </c>
      <c r="F354" s="171">
        <v>0</v>
      </c>
      <c r="G354" s="171">
        <v>0</v>
      </c>
      <c r="H354" s="171">
        <v>9</v>
      </c>
      <c r="I354" s="171">
        <v>15</v>
      </c>
      <c r="J354" s="171">
        <v>0</v>
      </c>
      <c r="K354" s="171">
        <v>24</v>
      </c>
      <c r="L354" s="171">
        <v>1</v>
      </c>
      <c r="M354" s="171">
        <v>0</v>
      </c>
      <c r="N354" s="171">
        <v>5</v>
      </c>
      <c r="O354" s="171">
        <v>17</v>
      </c>
      <c r="P354" s="173">
        <v>2</v>
      </c>
    </row>
    <row r="355" spans="1:16">
      <c r="A355" s="172" t="s">
        <v>449</v>
      </c>
      <c r="B355" s="172" t="s">
        <v>467</v>
      </c>
      <c r="C355" s="172">
        <v>40</v>
      </c>
      <c r="D355" s="172">
        <v>1</v>
      </c>
      <c r="E355" s="172">
        <v>0</v>
      </c>
      <c r="F355" s="172">
        <v>0</v>
      </c>
      <c r="G355" s="172">
        <v>7</v>
      </c>
      <c r="H355" s="172">
        <v>15</v>
      </c>
      <c r="I355" s="172">
        <v>20</v>
      </c>
      <c r="J355" s="172">
        <v>0</v>
      </c>
      <c r="K355" s="172">
        <v>42</v>
      </c>
      <c r="L355" s="172">
        <v>35</v>
      </c>
      <c r="M355" s="172">
        <v>3</v>
      </c>
      <c r="N355" s="172">
        <v>3</v>
      </c>
      <c r="O355" s="172">
        <v>4</v>
      </c>
      <c r="P355" s="174">
        <v>2</v>
      </c>
    </row>
    <row r="356" spans="1:16">
      <c r="A356" s="171" t="s">
        <v>449</v>
      </c>
      <c r="B356" s="171" t="s">
        <v>467</v>
      </c>
      <c r="C356" s="171">
        <v>45</v>
      </c>
      <c r="D356" s="171">
        <v>15</v>
      </c>
      <c r="E356" s="171">
        <v>1</v>
      </c>
      <c r="F356" s="171">
        <v>2</v>
      </c>
      <c r="G356" s="171">
        <v>7</v>
      </c>
      <c r="H356" s="171">
        <v>2</v>
      </c>
      <c r="I356" s="171">
        <v>4</v>
      </c>
      <c r="J356" s="171">
        <v>0</v>
      </c>
      <c r="K356" s="171">
        <v>16</v>
      </c>
      <c r="L356" s="171">
        <v>3</v>
      </c>
      <c r="M356" s="171">
        <v>7</v>
      </c>
      <c r="N356" s="171">
        <v>2</v>
      </c>
      <c r="O356" s="171">
        <v>8</v>
      </c>
      <c r="P356" s="173">
        <v>0</v>
      </c>
    </row>
    <row r="357" spans="1:16">
      <c r="A357" s="172" t="s">
        <v>449</v>
      </c>
      <c r="B357" s="172" t="s">
        <v>467</v>
      </c>
      <c r="C357" s="172">
        <v>50</v>
      </c>
      <c r="D357" s="172">
        <v>0</v>
      </c>
      <c r="E357" s="172">
        <v>0</v>
      </c>
      <c r="F357" s="172">
        <v>0</v>
      </c>
      <c r="G357" s="172">
        <v>18</v>
      </c>
      <c r="H357" s="172">
        <v>9</v>
      </c>
      <c r="I357" s="172">
        <v>17</v>
      </c>
      <c r="J357" s="172">
        <v>0</v>
      </c>
      <c r="K357" s="172">
        <v>44</v>
      </c>
      <c r="L357" s="172">
        <v>32</v>
      </c>
      <c r="M357" s="172">
        <v>20</v>
      </c>
      <c r="N357" s="172">
        <v>12</v>
      </c>
      <c r="O357" s="172">
        <v>4</v>
      </c>
      <c r="P357" s="174">
        <v>2</v>
      </c>
    </row>
    <row r="358" spans="1:16">
      <c r="A358" s="171" t="s">
        <v>449</v>
      </c>
      <c r="B358" s="171" t="s">
        <v>467</v>
      </c>
      <c r="C358" s="171">
        <v>50</v>
      </c>
      <c r="D358" s="171">
        <v>8</v>
      </c>
      <c r="E358" s="171">
        <v>0</v>
      </c>
      <c r="F358" s="171">
        <v>3</v>
      </c>
      <c r="G358" s="171">
        <v>14</v>
      </c>
      <c r="H358" s="171">
        <v>13</v>
      </c>
      <c r="I358" s="171">
        <v>14</v>
      </c>
      <c r="J358" s="171">
        <v>0</v>
      </c>
      <c r="K358" s="171">
        <v>44</v>
      </c>
      <c r="L358" s="171">
        <v>14</v>
      </c>
      <c r="M358" s="171">
        <v>2</v>
      </c>
      <c r="N358" s="171">
        <v>1</v>
      </c>
      <c r="O358" s="171">
        <v>32</v>
      </c>
      <c r="P358" s="173">
        <v>0</v>
      </c>
    </row>
    <row r="359" spans="1:16">
      <c r="A359" s="172" t="s">
        <v>449</v>
      </c>
      <c r="B359" s="172" t="s">
        <v>467</v>
      </c>
      <c r="C359" s="172">
        <v>26</v>
      </c>
      <c r="D359" s="172">
        <v>10</v>
      </c>
      <c r="E359" s="172">
        <v>0</v>
      </c>
      <c r="F359" s="172">
        <v>3</v>
      </c>
      <c r="G359" s="172">
        <v>14</v>
      </c>
      <c r="H359" s="172">
        <v>12</v>
      </c>
      <c r="I359" s="172">
        <v>1</v>
      </c>
      <c r="J359" s="172">
        <v>0</v>
      </c>
      <c r="K359" s="172">
        <v>30</v>
      </c>
      <c r="L359" s="172">
        <v>29</v>
      </c>
      <c r="M359" s="172">
        <v>4</v>
      </c>
      <c r="N359" s="172">
        <v>1</v>
      </c>
      <c r="O359" s="172">
        <v>3</v>
      </c>
      <c r="P359" s="174">
        <v>1</v>
      </c>
    </row>
    <row r="360" spans="1:16">
      <c r="A360" s="171" t="s">
        <v>449</v>
      </c>
      <c r="B360" s="171" t="s">
        <v>467</v>
      </c>
      <c r="C360" s="171">
        <v>30</v>
      </c>
      <c r="D360" s="171">
        <v>0</v>
      </c>
      <c r="E360" s="171">
        <v>0</v>
      </c>
      <c r="F360" s="171">
        <v>0</v>
      </c>
      <c r="G360" s="171">
        <v>9</v>
      </c>
      <c r="H360" s="171">
        <v>9</v>
      </c>
      <c r="I360" s="171">
        <v>8</v>
      </c>
      <c r="J360" s="171">
        <v>0</v>
      </c>
      <c r="K360" s="171">
        <v>26</v>
      </c>
      <c r="L360" s="171">
        <v>5</v>
      </c>
      <c r="M360" s="171">
        <v>5</v>
      </c>
      <c r="N360" s="171">
        <v>8</v>
      </c>
      <c r="O360" s="171">
        <v>9</v>
      </c>
      <c r="P360" s="173">
        <v>5</v>
      </c>
    </row>
    <row r="361" spans="1:16">
      <c r="A361" s="172" t="s">
        <v>449</v>
      </c>
      <c r="B361" s="172" t="s">
        <v>467</v>
      </c>
      <c r="C361" s="172">
        <v>60</v>
      </c>
      <c r="D361" s="172">
        <v>24</v>
      </c>
      <c r="E361" s="172">
        <v>3</v>
      </c>
      <c r="F361" s="172">
        <v>14</v>
      </c>
      <c r="G361" s="172">
        <v>15</v>
      </c>
      <c r="H361" s="172">
        <v>15</v>
      </c>
      <c r="I361" s="172">
        <v>9</v>
      </c>
      <c r="J361" s="172">
        <v>1</v>
      </c>
      <c r="K361" s="172">
        <v>57</v>
      </c>
      <c r="L361" s="172">
        <v>40</v>
      </c>
      <c r="M361" s="172">
        <v>5</v>
      </c>
      <c r="N361" s="172">
        <v>2</v>
      </c>
      <c r="O361" s="172">
        <v>19</v>
      </c>
      <c r="P361" s="174">
        <v>6</v>
      </c>
    </row>
    <row r="362" spans="1:16">
      <c r="A362" s="171" t="s">
        <v>449</v>
      </c>
      <c r="B362" s="171" t="s">
        <v>467</v>
      </c>
      <c r="C362" s="171">
        <v>45</v>
      </c>
      <c r="D362" s="171">
        <v>10</v>
      </c>
      <c r="E362" s="171">
        <v>1</v>
      </c>
      <c r="F362" s="171">
        <v>7</v>
      </c>
      <c r="G362" s="171">
        <v>12</v>
      </c>
      <c r="H362" s="171">
        <v>14</v>
      </c>
      <c r="I362" s="171">
        <v>11</v>
      </c>
      <c r="J362" s="171">
        <v>1</v>
      </c>
      <c r="K362" s="171">
        <v>46</v>
      </c>
      <c r="L362" s="171">
        <v>45</v>
      </c>
      <c r="M362" s="171">
        <v>3</v>
      </c>
      <c r="N362" s="171">
        <v>8</v>
      </c>
      <c r="O362" s="171">
        <v>3</v>
      </c>
      <c r="P362" s="173">
        <v>1</v>
      </c>
    </row>
    <row r="363" spans="1:16">
      <c r="A363" s="172" t="s">
        <v>449</v>
      </c>
      <c r="B363" s="172" t="s">
        <v>467</v>
      </c>
      <c r="C363" s="172">
        <v>40</v>
      </c>
      <c r="D363" s="172">
        <v>0</v>
      </c>
      <c r="E363" s="172">
        <v>0</v>
      </c>
      <c r="F363" s="172">
        <v>0</v>
      </c>
      <c r="G363" s="172">
        <v>9</v>
      </c>
      <c r="H363" s="172">
        <v>16</v>
      </c>
      <c r="I363" s="172">
        <v>22</v>
      </c>
      <c r="J363" s="172">
        <v>1</v>
      </c>
      <c r="K363" s="172">
        <v>48</v>
      </c>
      <c r="L363" s="172">
        <v>38</v>
      </c>
      <c r="M363" s="172">
        <v>4</v>
      </c>
      <c r="N363" s="172">
        <v>0</v>
      </c>
      <c r="O363" s="172">
        <v>16</v>
      </c>
      <c r="P363" s="174">
        <v>1</v>
      </c>
    </row>
    <row r="364" spans="1:16">
      <c r="A364" s="171" t="s">
        <v>449</v>
      </c>
      <c r="B364" s="171" t="s">
        <v>467</v>
      </c>
      <c r="C364" s="171">
        <v>56</v>
      </c>
      <c r="D364" s="171">
        <v>18</v>
      </c>
      <c r="E364" s="171">
        <v>3</v>
      </c>
      <c r="F364" s="171">
        <v>15</v>
      </c>
      <c r="G364" s="171">
        <v>18</v>
      </c>
      <c r="H364" s="171">
        <v>13</v>
      </c>
      <c r="I364" s="171">
        <v>13</v>
      </c>
      <c r="J364" s="171">
        <v>0</v>
      </c>
      <c r="K364" s="171">
        <v>62</v>
      </c>
      <c r="L364" s="171">
        <v>49</v>
      </c>
      <c r="M364" s="171">
        <v>2</v>
      </c>
      <c r="N364" s="171">
        <v>3</v>
      </c>
      <c r="O364" s="171">
        <v>13</v>
      </c>
      <c r="P364" s="173">
        <v>14</v>
      </c>
    </row>
    <row r="365" spans="1:16">
      <c r="A365" s="172" t="s">
        <v>449</v>
      </c>
      <c r="B365" s="172" t="s">
        <v>467</v>
      </c>
      <c r="C365" s="172">
        <v>38</v>
      </c>
      <c r="D365" s="172">
        <v>8</v>
      </c>
      <c r="E365" s="172">
        <v>0</v>
      </c>
      <c r="F365" s="172">
        <v>5</v>
      </c>
      <c r="G365" s="172">
        <v>6</v>
      </c>
      <c r="H365" s="172">
        <v>12</v>
      </c>
      <c r="I365" s="172">
        <v>20</v>
      </c>
      <c r="J365" s="172">
        <v>1</v>
      </c>
      <c r="K365" s="172">
        <v>44</v>
      </c>
      <c r="L365" s="172">
        <v>41</v>
      </c>
      <c r="M365" s="172">
        <v>5</v>
      </c>
      <c r="N365" s="172">
        <v>1</v>
      </c>
      <c r="O365" s="172">
        <v>6</v>
      </c>
      <c r="P365" s="174">
        <v>3</v>
      </c>
    </row>
    <row r="366" spans="1:16">
      <c r="A366" s="171" t="s">
        <v>449</v>
      </c>
      <c r="B366" s="171" t="s">
        <v>467</v>
      </c>
      <c r="C366" s="171">
        <v>40</v>
      </c>
      <c r="D366" s="171">
        <v>0</v>
      </c>
      <c r="E366" s="171">
        <v>0</v>
      </c>
      <c r="F366" s="171">
        <v>0</v>
      </c>
      <c r="G366" s="171">
        <v>11</v>
      </c>
      <c r="H366" s="171">
        <v>18</v>
      </c>
      <c r="I366" s="171">
        <v>12</v>
      </c>
      <c r="J366" s="171">
        <v>0</v>
      </c>
      <c r="K366" s="171">
        <v>41</v>
      </c>
      <c r="L366" s="171">
        <v>22</v>
      </c>
      <c r="M366" s="171">
        <v>3</v>
      </c>
      <c r="N366" s="171">
        <v>1</v>
      </c>
      <c r="O366" s="171">
        <v>21</v>
      </c>
      <c r="P366" s="173">
        <v>1</v>
      </c>
    </row>
    <row r="367" spans="1:16">
      <c r="A367" s="172" t="s">
        <v>449</v>
      </c>
      <c r="B367" s="172" t="s">
        <v>467</v>
      </c>
      <c r="C367" s="172">
        <v>25</v>
      </c>
      <c r="D367" s="172">
        <v>0</v>
      </c>
      <c r="E367" s="172">
        <v>0</v>
      </c>
      <c r="F367" s="172">
        <v>0</v>
      </c>
      <c r="G367" s="172">
        <v>9</v>
      </c>
      <c r="H367" s="172">
        <v>13</v>
      </c>
      <c r="I367" s="172">
        <v>11</v>
      </c>
      <c r="J367" s="172">
        <v>0</v>
      </c>
      <c r="K367" s="172">
        <v>33</v>
      </c>
      <c r="L367" s="172">
        <v>25</v>
      </c>
      <c r="M367" s="172">
        <v>2</v>
      </c>
      <c r="N367" s="172">
        <v>8</v>
      </c>
      <c r="O367" s="172">
        <v>5</v>
      </c>
      <c r="P367" s="174">
        <v>1</v>
      </c>
    </row>
    <row r="368" spans="1:16">
      <c r="A368" s="171" t="s">
        <v>449</v>
      </c>
      <c r="B368" s="171" t="s">
        <v>467</v>
      </c>
      <c r="C368" s="171">
        <v>30</v>
      </c>
      <c r="D368" s="171">
        <v>0</v>
      </c>
      <c r="E368" s="171">
        <v>0</v>
      </c>
      <c r="F368" s="171">
        <v>0</v>
      </c>
      <c r="G368" s="171">
        <v>7</v>
      </c>
      <c r="H368" s="171">
        <v>4</v>
      </c>
      <c r="I368" s="171">
        <v>14</v>
      </c>
      <c r="J368" s="171">
        <v>1</v>
      </c>
      <c r="K368" s="171">
        <v>26</v>
      </c>
      <c r="L368" s="171">
        <v>23</v>
      </c>
      <c r="M368" s="171">
        <v>2</v>
      </c>
      <c r="N368" s="171">
        <v>0</v>
      </c>
      <c r="O368" s="171">
        <v>4</v>
      </c>
      <c r="P368" s="173">
        <v>1</v>
      </c>
    </row>
    <row r="369" spans="1:16">
      <c r="A369" s="172" t="s">
        <v>449</v>
      </c>
      <c r="B369" s="172" t="s">
        <v>467</v>
      </c>
      <c r="C369" s="172">
        <v>35</v>
      </c>
      <c r="D369" s="172">
        <v>0</v>
      </c>
      <c r="E369" s="172">
        <v>0</v>
      </c>
      <c r="F369" s="172">
        <v>0</v>
      </c>
      <c r="G369" s="172">
        <v>5</v>
      </c>
      <c r="H369" s="172">
        <v>10</v>
      </c>
      <c r="I369" s="172">
        <v>14</v>
      </c>
      <c r="J369" s="172">
        <v>0</v>
      </c>
      <c r="K369" s="172">
        <v>29</v>
      </c>
      <c r="L369" s="172">
        <v>5</v>
      </c>
      <c r="M369" s="172">
        <v>12</v>
      </c>
      <c r="N369" s="172">
        <v>9</v>
      </c>
      <c r="O369" s="172">
        <v>5</v>
      </c>
      <c r="P369" s="174">
        <v>4</v>
      </c>
    </row>
    <row r="370" spans="1:16">
      <c r="A370" s="171" t="s">
        <v>449</v>
      </c>
      <c r="B370" s="171" t="s">
        <v>467</v>
      </c>
      <c r="C370" s="171">
        <v>55</v>
      </c>
      <c r="D370" s="171">
        <v>0</v>
      </c>
      <c r="E370" s="171">
        <v>0</v>
      </c>
      <c r="F370" s="171">
        <v>0</v>
      </c>
      <c r="G370" s="171">
        <v>11</v>
      </c>
      <c r="H370" s="171">
        <v>26</v>
      </c>
      <c r="I370" s="171">
        <v>15</v>
      </c>
      <c r="J370" s="171">
        <v>1</v>
      </c>
      <c r="K370" s="171">
        <v>53</v>
      </c>
      <c r="L370" s="171">
        <v>42</v>
      </c>
      <c r="M370" s="171">
        <v>2</v>
      </c>
      <c r="N370" s="171">
        <v>2</v>
      </c>
      <c r="O370" s="171">
        <v>18</v>
      </c>
      <c r="P370" s="173">
        <v>0</v>
      </c>
    </row>
    <row r="371" spans="1:16">
      <c r="A371" s="172" t="s">
        <v>449</v>
      </c>
      <c r="B371" s="172" t="s">
        <v>467</v>
      </c>
      <c r="C371" s="172">
        <v>45</v>
      </c>
      <c r="D371" s="172">
        <v>0</v>
      </c>
      <c r="E371" s="172">
        <v>0</v>
      </c>
      <c r="F371" s="172">
        <v>0</v>
      </c>
      <c r="G371" s="172">
        <v>4</v>
      </c>
      <c r="H371" s="172">
        <v>18</v>
      </c>
      <c r="I371" s="172">
        <v>21</v>
      </c>
      <c r="J371" s="172">
        <v>4</v>
      </c>
      <c r="K371" s="172">
        <v>47</v>
      </c>
      <c r="L371" s="172">
        <v>20</v>
      </c>
      <c r="M371" s="172">
        <v>0</v>
      </c>
      <c r="N371" s="172">
        <v>0</v>
      </c>
      <c r="O371" s="172">
        <v>29</v>
      </c>
      <c r="P371" s="174">
        <v>5</v>
      </c>
    </row>
    <row r="372" spans="1:16">
      <c r="A372" s="171" t="s">
        <v>449</v>
      </c>
      <c r="B372" s="171" t="s">
        <v>467</v>
      </c>
      <c r="C372" s="171">
        <v>70</v>
      </c>
      <c r="D372" s="171">
        <v>22</v>
      </c>
      <c r="E372" s="171">
        <v>1</v>
      </c>
      <c r="F372" s="171">
        <v>11</v>
      </c>
      <c r="G372" s="171">
        <v>31</v>
      </c>
      <c r="H372" s="171">
        <v>18</v>
      </c>
      <c r="I372" s="171">
        <v>20</v>
      </c>
      <c r="J372" s="171">
        <v>0</v>
      </c>
      <c r="K372" s="171">
        <v>81</v>
      </c>
      <c r="L372" s="171">
        <v>80</v>
      </c>
      <c r="M372" s="171">
        <v>17</v>
      </c>
      <c r="N372" s="171">
        <v>3</v>
      </c>
      <c r="O372" s="171">
        <v>4</v>
      </c>
      <c r="P372" s="173">
        <v>4</v>
      </c>
    </row>
    <row r="373" spans="1:16" hidden="1">
      <c r="A373" s="172" t="s">
        <v>470</v>
      </c>
      <c r="B373" s="172" t="s">
        <v>467</v>
      </c>
      <c r="C373" s="172">
        <v>30</v>
      </c>
      <c r="D373" s="172">
        <v>0</v>
      </c>
      <c r="E373" s="172">
        <v>0</v>
      </c>
      <c r="F373" s="172">
        <v>0</v>
      </c>
      <c r="G373" s="172">
        <v>10</v>
      </c>
      <c r="H373" s="172">
        <v>2</v>
      </c>
      <c r="I373" s="172">
        <v>16</v>
      </c>
      <c r="J373" s="172">
        <v>1</v>
      </c>
      <c r="K373" s="172">
        <v>29</v>
      </c>
      <c r="L373" s="172">
        <v>0</v>
      </c>
      <c r="M373" s="172">
        <v>29</v>
      </c>
      <c r="N373" s="172">
        <v>2</v>
      </c>
      <c r="O373" s="172">
        <v>0</v>
      </c>
      <c r="P373" s="174">
        <v>1</v>
      </c>
    </row>
    <row r="374" spans="1:16">
      <c r="A374" s="171" t="s">
        <v>449</v>
      </c>
      <c r="B374" s="171" t="s">
        <v>467</v>
      </c>
      <c r="C374" s="171">
        <v>40</v>
      </c>
      <c r="D374" s="171">
        <v>10</v>
      </c>
      <c r="E374" s="171">
        <v>1</v>
      </c>
      <c r="F374" s="171">
        <v>9</v>
      </c>
      <c r="G374" s="171">
        <v>12</v>
      </c>
      <c r="H374" s="171">
        <v>12</v>
      </c>
      <c r="I374" s="171">
        <v>12</v>
      </c>
      <c r="J374" s="171">
        <v>0</v>
      </c>
      <c r="K374" s="171">
        <v>46</v>
      </c>
      <c r="L374" s="171">
        <v>37</v>
      </c>
      <c r="M374" s="171">
        <v>13</v>
      </c>
      <c r="N374" s="171">
        <v>10</v>
      </c>
      <c r="O374" s="171">
        <v>9</v>
      </c>
      <c r="P374" s="173">
        <v>6</v>
      </c>
    </row>
    <row r="375" spans="1:16">
      <c r="A375" s="172" t="s">
        <v>449</v>
      </c>
      <c r="B375" s="172" t="s">
        <v>467</v>
      </c>
      <c r="C375" s="172">
        <v>50</v>
      </c>
      <c r="D375" s="172">
        <v>0</v>
      </c>
      <c r="E375" s="172">
        <v>0</v>
      </c>
      <c r="F375" s="172">
        <v>0</v>
      </c>
      <c r="G375" s="172">
        <v>0</v>
      </c>
      <c r="H375" s="172">
        <v>18</v>
      </c>
      <c r="I375" s="172">
        <v>16</v>
      </c>
      <c r="J375" s="172">
        <v>3</v>
      </c>
      <c r="K375" s="172">
        <v>37</v>
      </c>
      <c r="L375" s="172">
        <v>7</v>
      </c>
      <c r="M375" s="172">
        <v>6</v>
      </c>
      <c r="N375" s="172">
        <v>11</v>
      </c>
      <c r="O375" s="172">
        <v>16</v>
      </c>
      <c r="P375" s="174">
        <v>3</v>
      </c>
    </row>
    <row r="376" spans="1:16">
      <c r="A376" s="171" t="s">
        <v>449</v>
      </c>
      <c r="B376" s="171" t="s">
        <v>467</v>
      </c>
      <c r="C376" s="171">
        <v>40</v>
      </c>
      <c r="D376" s="171">
        <v>0</v>
      </c>
      <c r="E376" s="171">
        <v>0</v>
      </c>
      <c r="F376" s="171">
        <v>0</v>
      </c>
      <c r="G376" s="171">
        <v>15</v>
      </c>
      <c r="H376" s="171">
        <v>19</v>
      </c>
      <c r="I376" s="171">
        <v>13</v>
      </c>
      <c r="J376" s="171">
        <v>1</v>
      </c>
      <c r="K376" s="171">
        <v>48</v>
      </c>
      <c r="L376" s="171">
        <v>38</v>
      </c>
      <c r="M376" s="171">
        <v>3</v>
      </c>
      <c r="N376" s="171">
        <v>2</v>
      </c>
      <c r="O376" s="171">
        <v>13</v>
      </c>
      <c r="P376" s="173">
        <v>1</v>
      </c>
    </row>
    <row r="377" spans="1:16">
      <c r="A377" s="172" t="s">
        <v>449</v>
      </c>
      <c r="B377" s="172" t="s">
        <v>467</v>
      </c>
      <c r="C377" s="172">
        <v>140</v>
      </c>
      <c r="D377" s="172">
        <v>40</v>
      </c>
      <c r="E377" s="172">
        <v>6</v>
      </c>
      <c r="F377" s="172">
        <v>35</v>
      </c>
      <c r="G377" s="172">
        <v>40</v>
      </c>
      <c r="H377" s="172">
        <v>35</v>
      </c>
      <c r="I377" s="172">
        <v>33</v>
      </c>
      <c r="J377" s="172">
        <v>1</v>
      </c>
      <c r="K377" s="172">
        <v>150</v>
      </c>
      <c r="L377" s="172">
        <v>119</v>
      </c>
      <c r="M377" s="172">
        <v>19</v>
      </c>
      <c r="N377" s="172">
        <v>11</v>
      </c>
      <c r="O377" s="172">
        <v>30</v>
      </c>
      <c r="P377" s="174">
        <v>15</v>
      </c>
    </row>
    <row r="378" spans="1:16">
      <c r="A378" s="171" t="s">
        <v>449</v>
      </c>
      <c r="B378" s="171" t="s">
        <v>467</v>
      </c>
      <c r="C378" s="171">
        <v>60</v>
      </c>
      <c r="D378" s="171">
        <v>16</v>
      </c>
      <c r="E378" s="171">
        <v>3</v>
      </c>
      <c r="F378" s="171">
        <v>10</v>
      </c>
      <c r="G378" s="171">
        <v>17</v>
      </c>
      <c r="H378" s="171">
        <v>12</v>
      </c>
      <c r="I378" s="171">
        <v>8</v>
      </c>
      <c r="J378" s="171">
        <v>0</v>
      </c>
      <c r="K378" s="171">
        <v>50</v>
      </c>
      <c r="L378" s="171">
        <v>31</v>
      </c>
      <c r="M378" s="171">
        <v>4</v>
      </c>
      <c r="N378" s="171">
        <v>1</v>
      </c>
      <c r="O378" s="171">
        <v>17</v>
      </c>
      <c r="P378" s="173">
        <v>5</v>
      </c>
    </row>
    <row r="379" spans="1:16">
      <c r="A379" s="172" t="s">
        <v>449</v>
      </c>
      <c r="B379" s="172" t="s">
        <v>467</v>
      </c>
      <c r="C379" s="172">
        <v>50</v>
      </c>
      <c r="D379" s="172">
        <v>16</v>
      </c>
      <c r="E379" s="172">
        <v>1</v>
      </c>
      <c r="F379" s="172">
        <v>5</v>
      </c>
      <c r="G379" s="172">
        <v>13</v>
      </c>
      <c r="H379" s="172">
        <v>12</v>
      </c>
      <c r="I379" s="172">
        <v>12</v>
      </c>
      <c r="J379" s="172">
        <v>1</v>
      </c>
      <c r="K379" s="172">
        <v>44</v>
      </c>
      <c r="L379" s="172">
        <v>28</v>
      </c>
      <c r="M379" s="172">
        <v>3</v>
      </c>
      <c r="N379" s="172">
        <v>0</v>
      </c>
      <c r="O379" s="172">
        <v>15</v>
      </c>
      <c r="P379" s="174">
        <v>6</v>
      </c>
    </row>
    <row r="380" spans="1:16">
      <c r="A380" s="171" t="s">
        <v>449</v>
      </c>
      <c r="B380" s="171" t="s">
        <v>467</v>
      </c>
      <c r="C380" s="171">
        <v>35</v>
      </c>
      <c r="D380" s="171">
        <v>0</v>
      </c>
      <c r="E380" s="171">
        <v>0</v>
      </c>
      <c r="F380" s="171">
        <v>0</v>
      </c>
      <c r="G380" s="171">
        <v>0</v>
      </c>
      <c r="H380" s="171">
        <v>3</v>
      </c>
      <c r="I380" s="171">
        <v>22</v>
      </c>
      <c r="J380" s="171">
        <v>0</v>
      </c>
      <c r="K380" s="171">
        <v>25</v>
      </c>
      <c r="L380" s="171">
        <v>2</v>
      </c>
      <c r="M380" s="171">
        <v>0</v>
      </c>
      <c r="N380" s="171">
        <v>0</v>
      </c>
      <c r="O380" s="171">
        <v>21</v>
      </c>
      <c r="P380" s="173">
        <v>3</v>
      </c>
    </row>
    <row r="381" spans="1:16" hidden="1">
      <c r="A381" s="172" t="s">
        <v>450</v>
      </c>
      <c r="B381" s="172" t="s">
        <v>467</v>
      </c>
      <c r="C381" s="172">
        <v>60</v>
      </c>
      <c r="D381" s="172">
        <v>60</v>
      </c>
      <c r="E381" s="172">
        <v>8</v>
      </c>
      <c r="F381" s="172">
        <v>7</v>
      </c>
      <c r="G381" s="172">
        <v>6</v>
      </c>
      <c r="H381" s="172">
        <v>12</v>
      </c>
      <c r="I381" s="172">
        <v>6</v>
      </c>
      <c r="J381" s="172">
        <v>1</v>
      </c>
      <c r="K381" s="172">
        <v>40</v>
      </c>
      <c r="L381" s="172">
        <v>9</v>
      </c>
      <c r="M381" s="172">
        <v>0</v>
      </c>
      <c r="N381" s="172">
        <v>28</v>
      </c>
      <c r="O381" s="172">
        <v>3</v>
      </c>
      <c r="P381" s="174">
        <v>5</v>
      </c>
    </row>
    <row r="382" spans="1:16">
      <c r="A382" s="171" t="s">
        <v>449</v>
      </c>
      <c r="B382" s="171" t="s">
        <v>467</v>
      </c>
      <c r="C382" s="171">
        <v>50</v>
      </c>
      <c r="D382" s="171">
        <v>16</v>
      </c>
      <c r="E382" s="171">
        <v>3</v>
      </c>
      <c r="F382" s="171">
        <v>13</v>
      </c>
      <c r="G382" s="171">
        <v>17</v>
      </c>
      <c r="H382" s="171">
        <v>14</v>
      </c>
      <c r="I382" s="171">
        <v>12</v>
      </c>
      <c r="J382" s="171">
        <v>0</v>
      </c>
      <c r="K382" s="171">
        <v>59</v>
      </c>
      <c r="L382" s="171">
        <v>51</v>
      </c>
      <c r="M382" s="171">
        <v>6</v>
      </c>
      <c r="N382" s="171">
        <v>4</v>
      </c>
      <c r="O382" s="171">
        <v>13</v>
      </c>
      <c r="P382" s="173">
        <v>1</v>
      </c>
    </row>
    <row r="383" spans="1:16">
      <c r="A383" s="172" t="s">
        <v>449</v>
      </c>
      <c r="B383" s="172" t="s">
        <v>467</v>
      </c>
      <c r="C383" s="172">
        <v>50</v>
      </c>
      <c r="D383" s="172">
        <v>12</v>
      </c>
      <c r="E383" s="172">
        <v>1</v>
      </c>
      <c r="F383" s="172">
        <v>3</v>
      </c>
      <c r="G383" s="172">
        <v>7</v>
      </c>
      <c r="H383" s="172">
        <v>7</v>
      </c>
      <c r="I383" s="172">
        <v>8</v>
      </c>
      <c r="J383" s="172">
        <v>0</v>
      </c>
      <c r="K383" s="172">
        <v>26</v>
      </c>
      <c r="L383" s="172">
        <v>16</v>
      </c>
      <c r="M383" s="172">
        <v>7</v>
      </c>
      <c r="N383" s="172">
        <v>2</v>
      </c>
      <c r="O383" s="172">
        <v>9</v>
      </c>
      <c r="P383" s="174">
        <v>0</v>
      </c>
    </row>
    <row r="384" spans="1:16">
      <c r="A384" s="171" t="s">
        <v>449</v>
      </c>
      <c r="B384" s="171" t="s">
        <v>467</v>
      </c>
      <c r="C384" s="171">
        <v>40</v>
      </c>
      <c r="D384" s="171">
        <v>18</v>
      </c>
      <c r="E384" s="171">
        <v>0</v>
      </c>
      <c r="F384" s="171">
        <v>6</v>
      </c>
      <c r="G384" s="171">
        <v>13</v>
      </c>
      <c r="H384" s="171">
        <v>8</v>
      </c>
      <c r="I384" s="171">
        <v>15</v>
      </c>
      <c r="J384" s="171">
        <v>0</v>
      </c>
      <c r="K384" s="171">
        <v>42</v>
      </c>
      <c r="L384" s="171">
        <v>16</v>
      </c>
      <c r="M384" s="171">
        <v>8</v>
      </c>
      <c r="N384" s="171">
        <v>5</v>
      </c>
      <c r="O384" s="171">
        <v>21</v>
      </c>
      <c r="P384" s="173">
        <v>3</v>
      </c>
    </row>
    <row r="385" spans="1:16">
      <c r="A385" s="172" t="s">
        <v>449</v>
      </c>
      <c r="B385" s="172" t="s">
        <v>467</v>
      </c>
      <c r="C385" s="172">
        <v>35</v>
      </c>
      <c r="D385" s="172">
        <v>0</v>
      </c>
      <c r="E385" s="172">
        <v>0</v>
      </c>
      <c r="F385" s="172">
        <v>0</v>
      </c>
      <c r="G385" s="172">
        <v>0</v>
      </c>
      <c r="H385" s="172">
        <v>4</v>
      </c>
      <c r="I385" s="172">
        <v>6</v>
      </c>
      <c r="J385" s="172">
        <v>7</v>
      </c>
      <c r="K385" s="172">
        <v>17</v>
      </c>
      <c r="L385" s="172">
        <v>7</v>
      </c>
      <c r="M385" s="172">
        <v>0</v>
      </c>
      <c r="N385" s="172">
        <v>0</v>
      </c>
      <c r="O385" s="172">
        <v>9</v>
      </c>
      <c r="P385" s="174">
        <v>3</v>
      </c>
    </row>
    <row r="386" spans="1:16">
      <c r="A386" s="171" t="s">
        <v>449</v>
      </c>
      <c r="B386" s="171" t="s">
        <v>467</v>
      </c>
      <c r="C386" s="171">
        <v>39</v>
      </c>
      <c r="D386" s="171">
        <v>0</v>
      </c>
      <c r="E386" s="171">
        <v>0</v>
      </c>
      <c r="F386" s="171">
        <v>0</v>
      </c>
      <c r="G386" s="171">
        <v>4</v>
      </c>
      <c r="H386" s="171">
        <v>15</v>
      </c>
      <c r="I386" s="171">
        <v>10</v>
      </c>
      <c r="J386" s="171">
        <v>0</v>
      </c>
      <c r="K386" s="171">
        <v>29</v>
      </c>
      <c r="L386" s="171">
        <v>22</v>
      </c>
      <c r="M386" s="171">
        <v>5</v>
      </c>
      <c r="N386" s="171">
        <v>3</v>
      </c>
      <c r="O386" s="171">
        <v>8</v>
      </c>
      <c r="P386" s="173">
        <v>1</v>
      </c>
    </row>
    <row r="387" spans="1:16">
      <c r="A387" s="172" t="s">
        <v>449</v>
      </c>
      <c r="B387" s="172" t="s">
        <v>467</v>
      </c>
      <c r="C387" s="172">
        <v>43</v>
      </c>
      <c r="D387" s="172">
        <v>0</v>
      </c>
      <c r="E387" s="172">
        <v>0</v>
      </c>
      <c r="F387" s="172">
        <v>0</v>
      </c>
      <c r="G387" s="172">
        <v>6</v>
      </c>
      <c r="H387" s="172">
        <v>18</v>
      </c>
      <c r="I387" s="172">
        <v>12</v>
      </c>
      <c r="J387" s="172">
        <v>1</v>
      </c>
      <c r="K387" s="172">
        <v>37</v>
      </c>
      <c r="L387" s="172">
        <v>20</v>
      </c>
      <c r="M387" s="172">
        <v>1</v>
      </c>
      <c r="N387" s="172">
        <v>1</v>
      </c>
      <c r="O387" s="172">
        <v>18</v>
      </c>
      <c r="P387" s="174">
        <v>0</v>
      </c>
    </row>
    <row r="388" spans="1:16">
      <c r="A388" s="171" t="s">
        <v>449</v>
      </c>
      <c r="B388" s="171" t="s">
        <v>467</v>
      </c>
      <c r="C388" s="171">
        <v>30</v>
      </c>
      <c r="D388" s="171">
        <v>8</v>
      </c>
      <c r="E388" s="171">
        <v>0</v>
      </c>
      <c r="F388" s="171">
        <v>1</v>
      </c>
      <c r="G388" s="171">
        <v>12</v>
      </c>
      <c r="H388" s="171">
        <v>17</v>
      </c>
      <c r="I388" s="171">
        <v>9</v>
      </c>
      <c r="J388" s="171">
        <v>0</v>
      </c>
      <c r="K388" s="171">
        <v>39</v>
      </c>
      <c r="L388" s="171">
        <v>38</v>
      </c>
      <c r="M388" s="171">
        <v>8</v>
      </c>
      <c r="N388" s="171">
        <v>0</v>
      </c>
      <c r="O388" s="171">
        <v>2</v>
      </c>
      <c r="P388" s="173">
        <v>2</v>
      </c>
    </row>
    <row r="389" spans="1:16">
      <c r="A389" s="172" t="s">
        <v>449</v>
      </c>
      <c r="B389" s="172" t="s">
        <v>467</v>
      </c>
      <c r="C389" s="172">
        <v>50</v>
      </c>
      <c r="D389" s="172">
        <v>12</v>
      </c>
      <c r="E389" s="172">
        <v>2</v>
      </c>
      <c r="F389" s="172">
        <v>11</v>
      </c>
      <c r="G389" s="172">
        <v>22</v>
      </c>
      <c r="H389" s="172">
        <v>16</v>
      </c>
      <c r="I389" s="172">
        <v>11</v>
      </c>
      <c r="J389" s="172">
        <v>2</v>
      </c>
      <c r="K389" s="172">
        <v>64</v>
      </c>
      <c r="L389" s="172">
        <v>60</v>
      </c>
      <c r="M389" s="172">
        <v>7</v>
      </c>
      <c r="N389" s="172">
        <v>2</v>
      </c>
      <c r="O389" s="172">
        <v>5</v>
      </c>
      <c r="P389" s="174">
        <v>1</v>
      </c>
    </row>
    <row r="390" spans="1:16">
      <c r="A390" s="171" t="s">
        <v>449</v>
      </c>
      <c r="B390" s="171" t="s">
        <v>467</v>
      </c>
      <c r="C390" s="171">
        <v>48</v>
      </c>
      <c r="D390" s="171">
        <v>10</v>
      </c>
      <c r="E390" s="171">
        <v>4</v>
      </c>
      <c r="F390" s="171">
        <v>3</v>
      </c>
      <c r="G390" s="171">
        <v>16</v>
      </c>
      <c r="H390" s="171">
        <v>15</v>
      </c>
      <c r="I390" s="171">
        <v>10</v>
      </c>
      <c r="J390" s="171">
        <v>0</v>
      </c>
      <c r="K390" s="171">
        <v>48</v>
      </c>
      <c r="L390" s="171">
        <v>40</v>
      </c>
      <c r="M390" s="171">
        <v>5</v>
      </c>
      <c r="N390" s="171">
        <v>3</v>
      </c>
      <c r="O390" s="171">
        <v>7</v>
      </c>
      <c r="P390" s="173">
        <v>1</v>
      </c>
    </row>
    <row r="391" spans="1:16">
      <c r="A391" s="172" t="s">
        <v>449</v>
      </c>
      <c r="B391" s="172" t="s">
        <v>467</v>
      </c>
      <c r="C391" s="172">
        <v>50</v>
      </c>
      <c r="D391" s="172">
        <v>15</v>
      </c>
      <c r="E391" s="172">
        <v>2</v>
      </c>
      <c r="F391" s="172">
        <v>3</v>
      </c>
      <c r="G391" s="172">
        <v>6</v>
      </c>
      <c r="H391" s="172">
        <v>5</v>
      </c>
      <c r="I391" s="172">
        <v>4</v>
      </c>
      <c r="J391" s="172">
        <v>0</v>
      </c>
      <c r="K391" s="172">
        <v>20</v>
      </c>
      <c r="L391" s="172">
        <v>15</v>
      </c>
      <c r="M391" s="172">
        <v>3</v>
      </c>
      <c r="N391" s="172">
        <v>3</v>
      </c>
      <c r="O391" s="172">
        <v>1</v>
      </c>
      <c r="P391" s="174">
        <v>0</v>
      </c>
    </row>
    <row r="392" spans="1:16">
      <c r="A392" s="171" t="s">
        <v>449</v>
      </c>
      <c r="B392" s="171" t="s">
        <v>467</v>
      </c>
      <c r="C392" s="171">
        <v>32</v>
      </c>
      <c r="D392" s="171">
        <v>10</v>
      </c>
      <c r="E392" s="171">
        <v>0</v>
      </c>
      <c r="F392" s="171">
        <v>3</v>
      </c>
      <c r="G392" s="171">
        <v>12</v>
      </c>
      <c r="H392" s="171">
        <v>9</v>
      </c>
      <c r="I392" s="171">
        <v>10</v>
      </c>
      <c r="J392" s="171">
        <v>0</v>
      </c>
      <c r="K392" s="171">
        <v>34</v>
      </c>
      <c r="L392" s="171">
        <v>28</v>
      </c>
      <c r="M392" s="171">
        <v>6</v>
      </c>
      <c r="N392" s="171">
        <v>5</v>
      </c>
      <c r="O392" s="171">
        <v>3</v>
      </c>
      <c r="P392" s="173">
        <v>2</v>
      </c>
    </row>
    <row r="393" spans="1:16">
      <c r="A393" s="172" t="s">
        <v>449</v>
      </c>
      <c r="B393" s="172" t="s">
        <v>467</v>
      </c>
      <c r="C393" s="172">
        <v>60</v>
      </c>
      <c r="D393" s="172">
        <v>15</v>
      </c>
      <c r="E393" s="172">
        <v>1</v>
      </c>
      <c r="F393" s="172">
        <v>15</v>
      </c>
      <c r="G393" s="172">
        <v>15</v>
      </c>
      <c r="H393" s="172">
        <v>13</v>
      </c>
      <c r="I393" s="172">
        <v>15</v>
      </c>
      <c r="J393" s="172">
        <v>0</v>
      </c>
      <c r="K393" s="172">
        <v>59</v>
      </c>
      <c r="L393" s="172">
        <v>56</v>
      </c>
      <c r="M393" s="172">
        <v>11</v>
      </c>
      <c r="N393" s="172">
        <v>1</v>
      </c>
      <c r="O393" s="172">
        <v>7</v>
      </c>
      <c r="P393" s="174">
        <v>3</v>
      </c>
    </row>
    <row r="394" spans="1:16">
      <c r="A394" s="171" t="s">
        <v>449</v>
      </c>
      <c r="B394" s="171" t="s">
        <v>467</v>
      </c>
      <c r="C394" s="171">
        <v>42</v>
      </c>
      <c r="D394" s="171">
        <v>12</v>
      </c>
      <c r="E394" s="171">
        <v>2</v>
      </c>
      <c r="F394" s="171">
        <v>10</v>
      </c>
      <c r="G394" s="171">
        <v>13</v>
      </c>
      <c r="H394" s="171">
        <v>10</v>
      </c>
      <c r="I394" s="171">
        <v>12</v>
      </c>
      <c r="J394" s="171">
        <v>0</v>
      </c>
      <c r="K394" s="171">
        <v>47</v>
      </c>
      <c r="L394" s="171">
        <v>37</v>
      </c>
      <c r="M394" s="171">
        <v>3</v>
      </c>
      <c r="N394" s="171">
        <v>6</v>
      </c>
      <c r="O394" s="171">
        <v>13</v>
      </c>
      <c r="P394" s="173">
        <v>1</v>
      </c>
    </row>
    <row r="395" spans="1:16">
      <c r="A395" s="172" t="s">
        <v>449</v>
      </c>
      <c r="B395" s="172" t="s">
        <v>467</v>
      </c>
      <c r="C395" s="172">
        <v>30</v>
      </c>
      <c r="D395" s="172">
        <v>0</v>
      </c>
      <c r="E395" s="172">
        <v>0</v>
      </c>
      <c r="F395" s="172">
        <v>0</v>
      </c>
      <c r="G395" s="172">
        <v>6</v>
      </c>
      <c r="H395" s="172">
        <v>17</v>
      </c>
      <c r="I395" s="172">
        <v>12</v>
      </c>
      <c r="J395" s="172">
        <v>3</v>
      </c>
      <c r="K395" s="172">
        <v>38</v>
      </c>
      <c r="L395" s="172">
        <v>34</v>
      </c>
      <c r="M395" s="172">
        <v>4</v>
      </c>
      <c r="N395" s="172">
        <v>3</v>
      </c>
      <c r="O395" s="172">
        <v>4</v>
      </c>
      <c r="P395" s="174">
        <v>3</v>
      </c>
    </row>
    <row r="396" spans="1:16" hidden="1">
      <c r="A396" s="171" t="s">
        <v>450</v>
      </c>
      <c r="B396" s="171" t="s">
        <v>467</v>
      </c>
      <c r="C396" s="171">
        <v>60</v>
      </c>
      <c r="D396" s="171">
        <v>60</v>
      </c>
      <c r="E396" s="171">
        <v>3</v>
      </c>
      <c r="F396" s="171">
        <v>7</v>
      </c>
      <c r="G396" s="171">
        <v>12</v>
      </c>
      <c r="H396" s="171">
        <v>6</v>
      </c>
      <c r="I396" s="171">
        <v>9</v>
      </c>
      <c r="J396" s="171">
        <v>0</v>
      </c>
      <c r="K396" s="171">
        <v>37</v>
      </c>
      <c r="L396" s="171">
        <v>32</v>
      </c>
      <c r="M396" s="171">
        <v>7</v>
      </c>
      <c r="N396" s="171">
        <v>5</v>
      </c>
      <c r="O396" s="171">
        <v>8</v>
      </c>
      <c r="P396" s="173">
        <v>2</v>
      </c>
    </row>
    <row r="397" spans="1:16" hidden="1">
      <c r="A397" s="172" t="s">
        <v>468</v>
      </c>
      <c r="B397" s="172" t="s">
        <v>467</v>
      </c>
      <c r="C397" s="172">
        <v>50</v>
      </c>
      <c r="D397" s="172">
        <v>16</v>
      </c>
      <c r="E397" s="172">
        <v>0</v>
      </c>
      <c r="F397" s="172">
        <v>13</v>
      </c>
      <c r="G397" s="172">
        <v>10</v>
      </c>
      <c r="H397" s="172">
        <v>11</v>
      </c>
      <c r="I397" s="172">
        <v>15</v>
      </c>
      <c r="J397" s="172">
        <v>0</v>
      </c>
      <c r="K397" s="172">
        <v>49</v>
      </c>
      <c r="L397" s="172">
        <v>16</v>
      </c>
      <c r="M397" s="172">
        <v>17</v>
      </c>
      <c r="N397" s="172">
        <v>49</v>
      </c>
      <c r="O397" s="172">
        <v>4</v>
      </c>
      <c r="P397" s="174">
        <v>1</v>
      </c>
    </row>
    <row r="398" spans="1:16">
      <c r="A398" s="171" t="s">
        <v>449</v>
      </c>
      <c r="B398" s="171" t="s">
        <v>467</v>
      </c>
      <c r="C398" s="171">
        <v>80</v>
      </c>
      <c r="D398" s="171">
        <v>25</v>
      </c>
      <c r="E398" s="171">
        <v>1</v>
      </c>
      <c r="F398" s="171">
        <v>14</v>
      </c>
      <c r="G398" s="171">
        <v>15</v>
      </c>
      <c r="H398" s="171">
        <v>13</v>
      </c>
      <c r="I398" s="171">
        <v>10</v>
      </c>
      <c r="J398" s="171">
        <v>0</v>
      </c>
      <c r="K398" s="171">
        <v>53</v>
      </c>
      <c r="L398" s="171">
        <v>44</v>
      </c>
      <c r="M398" s="171">
        <v>9</v>
      </c>
      <c r="N398" s="171">
        <v>2</v>
      </c>
      <c r="O398" s="171">
        <v>8</v>
      </c>
      <c r="P398" s="173">
        <v>5</v>
      </c>
    </row>
    <row r="399" spans="1:16">
      <c r="A399" s="172" t="s">
        <v>449</v>
      </c>
      <c r="B399" s="172" t="s">
        <v>467</v>
      </c>
      <c r="C399" s="172">
        <v>49</v>
      </c>
      <c r="D399" s="172">
        <v>10</v>
      </c>
      <c r="E399" s="172">
        <v>0</v>
      </c>
      <c r="F399" s="172">
        <v>4</v>
      </c>
      <c r="G399" s="172">
        <v>8</v>
      </c>
      <c r="H399" s="172">
        <v>7</v>
      </c>
      <c r="I399" s="172">
        <v>16</v>
      </c>
      <c r="J399" s="172">
        <v>3</v>
      </c>
      <c r="K399" s="172">
        <v>38</v>
      </c>
      <c r="L399" s="172">
        <v>28</v>
      </c>
      <c r="M399" s="172">
        <v>8</v>
      </c>
      <c r="N399" s="172">
        <v>3</v>
      </c>
      <c r="O399" s="172">
        <v>13</v>
      </c>
      <c r="P399" s="174">
        <v>0</v>
      </c>
    </row>
    <row r="400" spans="1:16">
      <c r="A400" s="171" t="s">
        <v>449</v>
      </c>
      <c r="B400" s="171" t="s">
        <v>467</v>
      </c>
      <c r="C400" s="171">
        <v>70</v>
      </c>
      <c r="D400" s="171">
        <v>25</v>
      </c>
      <c r="E400" s="171">
        <v>2</v>
      </c>
      <c r="F400" s="171">
        <v>14</v>
      </c>
      <c r="G400" s="171">
        <v>15</v>
      </c>
      <c r="H400" s="171">
        <v>9</v>
      </c>
      <c r="I400" s="171">
        <v>14</v>
      </c>
      <c r="J400" s="171">
        <v>0</v>
      </c>
      <c r="K400" s="171">
        <v>54</v>
      </c>
      <c r="L400" s="171">
        <v>28</v>
      </c>
      <c r="M400" s="171">
        <v>7</v>
      </c>
      <c r="N400" s="171">
        <v>11</v>
      </c>
      <c r="O400" s="171">
        <v>23</v>
      </c>
      <c r="P400" s="173">
        <v>3</v>
      </c>
    </row>
    <row r="401" spans="1:16">
      <c r="A401" s="172" t="s">
        <v>449</v>
      </c>
      <c r="B401" s="172" t="s">
        <v>467</v>
      </c>
      <c r="C401" s="172">
        <v>32</v>
      </c>
      <c r="D401" s="172">
        <v>12</v>
      </c>
      <c r="E401" s="172">
        <v>0</v>
      </c>
      <c r="F401" s="172">
        <v>0</v>
      </c>
      <c r="G401" s="172">
        <v>9</v>
      </c>
      <c r="H401" s="172">
        <v>6</v>
      </c>
      <c r="I401" s="172">
        <v>1</v>
      </c>
      <c r="J401" s="172">
        <v>0</v>
      </c>
      <c r="K401" s="172">
        <v>16</v>
      </c>
      <c r="L401" s="172">
        <v>11</v>
      </c>
      <c r="M401" s="172">
        <v>3</v>
      </c>
      <c r="N401" s="172">
        <v>3</v>
      </c>
      <c r="O401" s="172">
        <v>4</v>
      </c>
      <c r="P401" s="174">
        <v>2</v>
      </c>
    </row>
    <row r="402" spans="1:16">
      <c r="A402" s="171" t="s">
        <v>449</v>
      </c>
      <c r="B402" s="171" t="s">
        <v>467</v>
      </c>
      <c r="C402" s="171">
        <v>75</v>
      </c>
      <c r="D402" s="171">
        <v>35</v>
      </c>
      <c r="E402" s="171">
        <v>2</v>
      </c>
      <c r="F402" s="171">
        <v>9</v>
      </c>
      <c r="G402" s="171">
        <v>17</v>
      </c>
      <c r="H402" s="171">
        <v>10</v>
      </c>
      <c r="I402" s="171">
        <v>27</v>
      </c>
      <c r="J402" s="171">
        <v>3</v>
      </c>
      <c r="K402" s="171">
        <v>68</v>
      </c>
      <c r="L402" s="171">
        <v>19</v>
      </c>
      <c r="M402" s="171">
        <v>5</v>
      </c>
      <c r="N402" s="171">
        <v>11</v>
      </c>
      <c r="O402" s="171">
        <v>51</v>
      </c>
      <c r="P402" s="173">
        <v>0</v>
      </c>
    </row>
    <row r="403" spans="1:16">
      <c r="A403" s="170" t="s">
        <v>449</v>
      </c>
      <c r="B403" s="172" t="s">
        <v>467</v>
      </c>
      <c r="C403" s="172">
        <v>51</v>
      </c>
      <c r="D403" s="172">
        <v>17</v>
      </c>
      <c r="E403" s="172">
        <v>5</v>
      </c>
      <c r="F403" s="172">
        <v>12</v>
      </c>
      <c r="G403" s="172">
        <v>13</v>
      </c>
      <c r="H403" s="172">
        <v>15</v>
      </c>
      <c r="I403" s="172">
        <v>9</v>
      </c>
      <c r="J403" s="172">
        <v>0</v>
      </c>
      <c r="K403" s="172">
        <v>54</v>
      </c>
      <c r="L403" s="172">
        <v>43</v>
      </c>
      <c r="M403" s="172">
        <v>10</v>
      </c>
      <c r="N403" s="172">
        <v>2</v>
      </c>
      <c r="O403" s="172">
        <v>15</v>
      </c>
      <c r="P403" s="174">
        <v>1</v>
      </c>
    </row>
    <row r="404" spans="1:16">
      <c r="A404" s="169" t="s">
        <v>449</v>
      </c>
      <c r="B404" s="171" t="s">
        <v>467</v>
      </c>
      <c r="C404" s="171">
        <v>30</v>
      </c>
      <c r="D404" s="171">
        <v>25</v>
      </c>
      <c r="E404" s="171">
        <v>4</v>
      </c>
      <c r="F404" s="171">
        <v>18</v>
      </c>
      <c r="G404" s="171">
        <v>17</v>
      </c>
      <c r="H404" s="171">
        <v>1</v>
      </c>
      <c r="I404" s="171">
        <v>0</v>
      </c>
      <c r="J404" s="171">
        <v>0</v>
      </c>
      <c r="K404" s="171">
        <v>40</v>
      </c>
      <c r="L404" s="171">
        <v>37</v>
      </c>
      <c r="M404" s="171">
        <v>4</v>
      </c>
      <c r="N404" s="171">
        <v>1</v>
      </c>
      <c r="O404" s="171">
        <v>3</v>
      </c>
      <c r="P404" s="173">
        <v>3</v>
      </c>
    </row>
    <row r="405" spans="1:16" hidden="1">
      <c r="A405" s="172" t="s">
        <v>451</v>
      </c>
      <c r="B405" s="172" t="s">
        <v>467</v>
      </c>
      <c r="C405" s="172">
        <v>25</v>
      </c>
      <c r="D405" s="172">
        <v>25</v>
      </c>
      <c r="E405" s="172"/>
      <c r="F405" s="172"/>
      <c r="G405" s="172"/>
      <c r="H405" s="172"/>
      <c r="I405" s="172"/>
      <c r="J405" s="172"/>
      <c r="K405" s="172"/>
      <c r="L405" s="172"/>
      <c r="M405" s="172"/>
      <c r="N405" s="172"/>
      <c r="O405" s="172"/>
      <c r="P405" s="174"/>
    </row>
    <row r="406" spans="1:16" hidden="1">
      <c r="A406" s="171" t="s">
        <v>450</v>
      </c>
      <c r="B406" s="171" t="s">
        <v>467</v>
      </c>
      <c r="C406" s="171">
        <v>80</v>
      </c>
      <c r="D406" s="171">
        <v>80</v>
      </c>
      <c r="E406" s="171">
        <v>2</v>
      </c>
      <c r="F406" s="171">
        <v>22</v>
      </c>
      <c r="G406" s="171">
        <v>14</v>
      </c>
      <c r="H406" s="171">
        <v>15</v>
      </c>
      <c r="I406" s="171">
        <v>10</v>
      </c>
      <c r="J406" s="171">
        <v>1</v>
      </c>
      <c r="K406" s="171">
        <v>64</v>
      </c>
      <c r="L406" s="171">
        <v>44</v>
      </c>
      <c r="M406" s="171">
        <v>6</v>
      </c>
      <c r="N406" s="171">
        <v>15</v>
      </c>
      <c r="O406" s="171">
        <v>8</v>
      </c>
      <c r="P406" s="173">
        <v>2</v>
      </c>
    </row>
    <row r="407" spans="1:16">
      <c r="A407" s="172" t="s">
        <v>449</v>
      </c>
      <c r="B407" s="172" t="s">
        <v>467</v>
      </c>
      <c r="C407" s="172">
        <v>53</v>
      </c>
      <c r="D407" s="172">
        <v>23</v>
      </c>
      <c r="E407" s="172">
        <v>2</v>
      </c>
      <c r="F407" s="172">
        <v>11</v>
      </c>
      <c r="G407" s="172">
        <v>26</v>
      </c>
      <c r="H407" s="172">
        <v>7</v>
      </c>
      <c r="I407" s="172">
        <v>0</v>
      </c>
      <c r="J407" s="172">
        <v>0</v>
      </c>
      <c r="K407" s="172">
        <v>46</v>
      </c>
      <c r="L407" s="172">
        <v>33</v>
      </c>
      <c r="M407" s="172">
        <v>8</v>
      </c>
      <c r="N407" s="172">
        <v>3</v>
      </c>
      <c r="O407" s="172">
        <v>16</v>
      </c>
      <c r="P407" s="174">
        <v>4</v>
      </c>
    </row>
    <row r="408" spans="1:16">
      <c r="A408" s="171" t="s">
        <v>449</v>
      </c>
      <c r="B408" s="171" t="s">
        <v>467</v>
      </c>
      <c r="C408" s="171">
        <v>58</v>
      </c>
      <c r="D408" s="171">
        <v>20</v>
      </c>
      <c r="E408" s="171">
        <v>4</v>
      </c>
      <c r="F408" s="171">
        <v>10</v>
      </c>
      <c r="G408" s="171">
        <v>16</v>
      </c>
      <c r="H408" s="171">
        <v>18</v>
      </c>
      <c r="I408" s="171">
        <v>8</v>
      </c>
      <c r="J408" s="171">
        <v>1</v>
      </c>
      <c r="K408" s="171">
        <v>57</v>
      </c>
      <c r="L408" s="171">
        <v>20</v>
      </c>
      <c r="M408" s="171">
        <v>4</v>
      </c>
      <c r="N408" s="171">
        <v>2</v>
      </c>
      <c r="O408" s="171">
        <v>30</v>
      </c>
      <c r="P408" s="173">
        <v>14</v>
      </c>
    </row>
    <row r="409" spans="1:16">
      <c r="A409" s="172" t="s">
        <v>449</v>
      </c>
      <c r="B409" s="172" t="s">
        <v>467</v>
      </c>
      <c r="C409" s="172">
        <v>100</v>
      </c>
      <c r="D409" s="172">
        <v>25</v>
      </c>
      <c r="E409" s="172">
        <v>4</v>
      </c>
      <c r="F409" s="172">
        <v>22</v>
      </c>
      <c r="G409" s="172">
        <v>31</v>
      </c>
      <c r="H409" s="172">
        <v>26</v>
      </c>
      <c r="I409" s="172">
        <v>31</v>
      </c>
      <c r="J409" s="172">
        <v>1</v>
      </c>
      <c r="K409" s="172">
        <v>115</v>
      </c>
      <c r="L409" s="172">
        <v>55</v>
      </c>
      <c r="M409" s="172">
        <v>16</v>
      </c>
      <c r="N409" s="172">
        <v>7</v>
      </c>
      <c r="O409" s="172">
        <v>54</v>
      </c>
      <c r="P409" s="174">
        <v>13</v>
      </c>
    </row>
    <row r="410" spans="1:16">
      <c r="A410" s="171" t="s">
        <v>449</v>
      </c>
      <c r="B410" s="171" t="s">
        <v>467</v>
      </c>
      <c r="C410" s="171">
        <v>34</v>
      </c>
      <c r="D410" s="171">
        <v>5</v>
      </c>
      <c r="E410" s="171">
        <v>2</v>
      </c>
      <c r="F410" s="171">
        <v>2</v>
      </c>
      <c r="G410" s="171">
        <v>6</v>
      </c>
      <c r="H410" s="171">
        <v>7</v>
      </c>
      <c r="I410" s="171">
        <v>5</v>
      </c>
      <c r="J410" s="171">
        <v>1</v>
      </c>
      <c r="K410" s="171">
        <v>23</v>
      </c>
      <c r="L410" s="171">
        <v>5</v>
      </c>
      <c r="M410" s="171">
        <v>2</v>
      </c>
      <c r="N410" s="171">
        <v>1</v>
      </c>
      <c r="O410" s="171">
        <v>18</v>
      </c>
      <c r="P410" s="173">
        <v>1</v>
      </c>
    </row>
    <row r="411" spans="1:16">
      <c r="A411" s="172" t="s">
        <v>449</v>
      </c>
      <c r="B411" s="172" t="s">
        <v>467</v>
      </c>
      <c r="C411" s="172">
        <v>95</v>
      </c>
      <c r="D411" s="172">
        <v>25</v>
      </c>
      <c r="E411" s="172">
        <v>1</v>
      </c>
      <c r="F411" s="172">
        <v>10</v>
      </c>
      <c r="G411" s="172">
        <v>10</v>
      </c>
      <c r="H411" s="172">
        <v>16</v>
      </c>
      <c r="I411" s="172">
        <v>19</v>
      </c>
      <c r="J411" s="172">
        <v>1</v>
      </c>
      <c r="K411" s="172">
        <v>57</v>
      </c>
      <c r="L411" s="172">
        <v>16</v>
      </c>
      <c r="M411" s="172">
        <v>3</v>
      </c>
      <c r="N411" s="172">
        <v>4</v>
      </c>
      <c r="O411" s="172">
        <v>37</v>
      </c>
      <c r="P411" s="174">
        <v>4</v>
      </c>
    </row>
    <row r="412" spans="1:16">
      <c r="A412" s="171" t="s">
        <v>449</v>
      </c>
      <c r="B412" s="171" t="s">
        <v>467</v>
      </c>
      <c r="C412" s="171">
        <v>85</v>
      </c>
      <c r="D412" s="171">
        <v>25</v>
      </c>
      <c r="E412" s="171">
        <v>4</v>
      </c>
      <c r="F412" s="171">
        <v>11</v>
      </c>
      <c r="G412" s="171">
        <v>17</v>
      </c>
      <c r="H412" s="171">
        <v>20</v>
      </c>
      <c r="I412" s="171">
        <v>23</v>
      </c>
      <c r="J412" s="171">
        <v>0</v>
      </c>
      <c r="K412" s="171">
        <v>75</v>
      </c>
      <c r="L412" s="171">
        <v>23</v>
      </c>
      <c r="M412" s="171">
        <v>6</v>
      </c>
      <c r="N412" s="171">
        <v>4</v>
      </c>
      <c r="O412" s="171">
        <v>55</v>
      </c>
      <c r="P412" s="173">
        <v>1</v>
      </c>
    </row>
    <row r="413" spans="1:16">
      <c r="A413" s="172" t="s">
        <v>449</v>
      </c>
      <c r="B413" s="172" t="s">
        <v>467</v>
      </c>
      <c r="C413" s="172">
        <v>69</v>
      </c>
      <c r="D413" s="172">
        <v>0</v>
      </c>
      <c r="E413" s="172">
        <v>0</v>
      </c>
      <c r="F413" s="172">
        <v>0</v>
      </c>
      <c r="G413" s="172">
        <v>18</v>
      </c>
      <c r="H413" s="172">
        <v>25</v>
      </c>
      <c r="I413" s="172">
        <v>37</v>
      </c>
      <c r="J413" s="172">
        <v>2</v>
      </c>
      <c r="K413" s="172">
        <v>82</v>
      </c>
      <c r="L413" s="172">
        <v>59</v>
      </c>
      <c r="M413" s="172">
        <v>2</v>
      </c>
      <c r="N413" s="172">
        <v>2</v>
      </c>
      <c r="O413" s="172">
        <v>29</v>
      </c>
      <c r="P413" s="174">
        <v>0</v>
      </c>
    </row>
    <row r="414" spans="1:16">
      <c r="A414" s="171" t="s">
        <v>449</v>
      </c>
      <c r="B414" s="171" t="s">
        <v>467</v>
      </c>
      <c r="C414" s="171">
        <v>115</v>
      </c>
      <c r="D414" s="171">
        <v>25</v>
      </c>
      <c r="E414" s="171">
        <v>3</v>
      </c>
      <c r="F414" s="171">
        <v>11</v>
      </c>
      <c r="G414" s="171">
        <v>19</v>
      </c>
      <c r="H414" s="171">
        <v>20</v>
      </c>
      <c r="I414" s="171">
        <v>23</v>
      </c>
      <c r="J414" s="171">
        <v>1</v>
      </c>
      <c r="K414" s="171">
        <v>77</v>
      </c>
      <c r="L414" s="171">
        <v>38</v>
      </c>
      <c r="M414" s="171">
        <v>35</v>
      </c>
      <c r="N414" s="171">
        <v>26</v>
      </c>
      <c r="O414" s="171">
        <v>14</v>
      </c>
      <c r="P414" s="173">
        <v>9</v>
      </c>
    </row>
    <row r="415" spans="1:16">
      <c r="A415" s="172" t="s">
        <v>449</v>
      </c>
      <c r="B415" s="172" t="s">
        <v>467</v>
      </c>
      <c r="C415" s="172">
        <v>30</v>
      </c>
      <c r="D415" s="172">
        <v>0</v>
      </c>
      <c r="E415" s="172">
        <v>0</v>
      </c>
      <c r="F415" s="172">
        <v>0</v>
      </c>
      <c r="G415" s="172">
        <v>10</v>
      </c>
      <c r="H415" s="172">
        <v>12</v>
      </c>
      <c r="I415" s="172">
        <v>10</v>
      </c>
      <c r="J415" s="172">
        <v>0</v>
      </c>
      <c r="K415" s="172">
        <v>32</v>
      </c>
      <c r="L415" s="172">
        <v>28</v>
      </c>
      <c r="M415" s="172">
        <v>3</v>
      </c>
      <c r="N415" s="172">
        <v>3</v>
      </c>
      <c r="O415" s="172">
        <v>6</v>
      </c>
      <c r="P415" s="174">
        <v>0</v>
      </c>
    </row>
    <row r="416" spans="1:16">
      <c r="A416" s="171" t="s">
        <v>449</v>
      </c>
      <c r="B416" s="171" t="s">
        <v>467</v>
      </c>
      <c r="C416" s="171">
        <v>27</v>
      </c>
      <c r="D416" s="171">
        <v>8</v>
      </c>
      <c r="E416" s="171">
        <v>0</v>
      </c>
      <c r="F416" s="171">
        <v>2</v>
      </c>
      <c r="G416" s="171">
        <v>10</v>
      </c>
      <c r="H416" s="171">
        <v>4</v>
      </c>
      <c r="I416" s="171">
        <v>8</v>
      </c>
      <c r="J416" s="171">
        <v>1</v>
      </c>
      <c r="K416" s="171">
        <v>25</v>
      </c>
      <c r="L416" s="171">
        <v>11</v>
      </c>
      <c r="M416" s="171">
        <v>13</v>
      </c>
      <c r="N416" s="171">
        <v>12</v>
      </c>
      <c r="O416" s="171">
        <v>2</v>
      </c>
      <c r="P416" s="173">
        <v>1</v>
      </c>
    </row>
    <row r="417" spans="1:16">
      <c r="A417" s="172" t="s">
        <v>449</v>
      </c>
      <c r="B417" s="172" t="s">
        <v>467</v>
      </c>
      <c r="C417" s="172">
        <v>70</v>
      </c>
      <c r="D417" s="172">
        <v>6</v>
      </c>
      <c r="E417" s="172">
        <v>0</v>
      </c>
      <c r="F417" s="172">
        <v>4</v>
      </c>
      <c r="G417" s="172">
        <v>13</v>
      </c>
      <c r="H417" s="172">
        <v>23</v>
      </c>
      <c r="I417" s="172">
        <v>16</v>
      </c>
      <c r="J417" s="172">
        <v>3</v>
      </c>
      <c r="K417" s="172">
        <v>59</v>
      </c>
      <c r="L417" s="172">
        <v>21</v>
      </c>
      <c r="M417" s="172">
        <v>2</v>
      </c>
      <c r="N417" s="172">
        <v>2</v>
      </c>
      <c r="O417" s="172">
        <v>46</v>
      </c>
      <c r="P417" s="174">
        <v>1</v>
      </c>
    </row>
    <row r="418" spans="1:16">
      <c r="A418" s="171" t="s">
        <v>449</v>
      </c>
      <c r="B418" s="171" t="s">
        <v>467</v>
      </c>
      <c r="C418" s="171">
        <v>70</v>
      </c>
      <c r="D418" s="171">
        <v>25</v>
      </c>
      <c r="E418" s="171">
        <v>2</v>
      </c>
      <c r="F418" s="171">
        <v>10</v>
      </c>
      <c r="G418" s="171">
        <v>11</v>
      </c>
      <c r="H418" s="171">
        <v>11</v>
      </c>
      <c r="I418" s="171">
        <v>16</v>
      </c>
      <c r="J418" s="171">
        <v>0</v>
      </c>
      <c r="K418" s="171">
        <v>50</v>
      </c>
      <c r="L418" s="171">
        <v>23</v>
      </c>
      <c r="M418" s="171">
        <v>8</v>
      </c>
      <c r="N418" s="171">
        <v>0</v>
      </c>
      <c r="O418" s="171">
        <v>23</v>
      </c>
      <c r="P418" s="173">
        <v>7</v>
      </c>
    </row>
    <row r="419" spans="1:16">
      <c r="A419" s="172" t="s">
        <v>449</v>
      </c>
      <c r="B419" s="172" t="s">
        <v>467</v>
      </c>
      <c r="C419" s="172">
        <v>70</v>
      </c>
      <c r="D419" s="172">
        <v>25</v>
      </c>
      <c r="E419" s="172">
        <v>4</v>
      </c>
      <c r="F419" s="172">
        <v>11</v>
      </c>
      <c r="G419" s="172">
        <v>19</v>
      </c>
      <c r="H419" s="172">
        <v>16</v>
      </c>
      <c r="I419" s="172">
        <v>9</v>
      </c>
      <c r="J419" s="172">
        <v>2</v>
      </c>
      <c r="K419" s="172">
        <v>61</v>
      </c>
      <c r="L419" s="172">
        <v>56</v>
      </c>
      <c r="M419" s="172">
        <v>19</v>
      </c>
      <c r="N419" s="172">
        <v>8</v>
      </c>
      <c r="O419" s="172">
        <v>4</v>
      </c>
      <c r="P419" s="174">
        <v>0</v>
      </c>
    </row>
    <row r="420" spans="1:16">
      <c r="A420" s="171" t="s">
        <v>449</v>
      </c>
      <c r="B420" s="171" t="s">
        <v>467</v>
      </c>
      <c r="C420" s="171">
        <v>50</v>
      </c>
      <c r="D420" s="171">
        <v>20</v>
      </c>
      <c r="E420" s="171">
        <v>0</v>
      </c>
      <c r="F420" s="171">
        <v>11</v>
      </c>
      <c r="G420" s="171">
        <v>15</v>
      </c>
      <c r="H420" s="171">
        <v>16</v>
      </c>
      <c r="I420" s="171">
        <v>15</v>
      </c>
      <c r="J420" s="171">
        <v>0</v>
      </c>
      <c r="K420" s="171">
        <v>57</v>
      </c>
      <c r="L420" s="171">
        <v>53</v>
      </c>
      <c r="M420" s="171">
        <v>5</v>
      </c>
      <c r="N420" s="171">
        <v>3</v>
      </c>
      <c r="O420" s="171">
        <v>5</v>
      </c>
      <c r="P420" s="173">
        <v>3</v>
      </c>
    </row>
    <row r="421" spans="1:16" hidden="1">
      <c r="A421" s="172" t="s">
        <v>452</v>
      </c>
      <c r="B421" s="172" t="s">
        <v>467</v>
      </c>
      <c r="C421" s="172">
        <v>30</v>
      </c>
      <c r="D421" s="172">
        <v>0</v>
      </c>
      <c r="E421" s="172">
        <v>0</v>
      </c>
      <c r="F421" s="172">
        <v>0</v>
      </c>
      <c r="G421" s="172">
        <v>7</v>
      </c>
      <c r="H421" s="172">
        <v>17</v>
      </c>
      <c r="I421" s="172">
        <v>18</v>
      </c>
      <c r="J421" s="172">
        <v>1</v>
      </c>
      <c r="K421" s="172">
        <v>43</v>
      </c>
      <c r="L421" s="172">
        <v>41</v>
      </c>
      <c r="M421" s="172">
        <v>7</v>
      </c>
      <c r="N421" s="172">
        <v>1</v>
      </c>
      <c r="O421" s="172">
        <v>2</v>
      </c>
      <c r="P421" s="174">
        <v>1</v>
      </c>
    </row>
    <row r="422" spans="1:16">
      <c r="A422" s="171" t="s">
        <v>449</v>
      </c>
      <c r="B422" s="171" t="s">
        <v>467</v>
      </c>
      <c r="C422" s="171">
        <v>65</v>
      </c>
      <c r="D422" s="171">
        <v>20</v>
      </c>
      <c r="E422" s="171">
        <v>3</v>
      </c>
      <c r="F422" s="171">
        <v>17</v>
      </c>
      <c r="G422" s="171">
        <v>12</v>
      </c>
      <c r="H422" s="171">
        <v>14</v>
      </c>
      <c r="I422" s="171">
        <v>17</v>
      </c>
      <c r="J422" s="171">
        <v>1</v>
      </c>
      <c r="K422" s="171">
        <v>64</v>
      </c>
      <c r="L422" s="171">
        <v>24</v>
      </c>
      <c r="M422" s="171">
        <v>3</v>
      </c>
      <c r="N422" s="171">
        <v>8</v>
      </c>
      <c r="O422" s="171">
        <v>34</v>
      </c>
      <c r="P422" s="173">
        <v>12</v>
      </c>
    </row>
    <row r="423" spans="1:16">
      <c r="A423" s="172" t="s">
        <v>449</v>
      </c>
      <c r="B423" s="172" t="s">
        <v>467</v>
      </c>
      <c r="C423" s="172">
        <v>22</v>
      </c>
      <c r="D423" s="172">
        <v>0</v>
      </c>
      <c r="E423" s="172">
        <v>0</v>
      </c>
      <c r="F423" s="172">
        <v>0</v>
      </c>
      <c r="G423" s="172">
        <v>6</v>
      </c>
      <c r="H423" s="172">
        <v>17</v>
      </c>
      <c r="I423" s="172">
        <v>10</v>
      </c>
      <c r="J423" s="172">
        <v>0</v>
      </c>
      <c r="K423" s="172">
        <v>33</v>
      </c>
      <c r="L423" s="172">
        <v>30</v>
      </c>
      <c r="M423" s="172">
        <v>2</v>
      </c>
      <c r="N423" s="172">
        <v>2</v>
      </c>
      <c r="O423" s="172">
        <v>2</v>
      </c>
      <c r="P423" s="174">
        <v>2</v>
      </c>
    </row>
    <row r="424" spans="1:16">
      <c r="A424" s="171" t="s">
        <v>449</v>
      </c>
      <c r="B424" s="171" t="s">
        <v>467</v>
      </c>
      <c r="C424" s="171">
        <v>60</v>
      </c>
      <c r="D424" s="171">
        <v>30</v>
      </c>
      <c r="E424" s="171">
        <v>2</v>
      </c>
      <c r="F424" s="171">
        <v>16</v>
      </c>
      <c r="G424" s="171">
        <v>21</v>
      </c>
      <c r="H424" s="171">
        <v>10</v>
      </c>
      <c r="I424" s="171">
        <v>10</v>
      </c>
      <c r="J424" s="171">
        <v>1</v>
      </c>
      <c r="K424" s="171">
        <v>60</v>
      </c>
      <c r="L424" s="171">
        <v>47</v>
      </c>
      <c r="M424" s="171">
        <v>4</v>
      </c>
      <c r="N424" s="171">
        <v>2</v>
      </c>
      <c r="O424" s="171">
        <v>20</v>
      </c>
      <c r="P424" s="173">
        <v>4</v>
      </c>
    </row>
    <row r="425" spans="1:16" hidden="1">
      <c r="A425" s="172" t="s">
        <v>451</v>
      </c>
      <c r="B425" s="172" t="s">
        <v>467</v>
      </c>
      <c r="C425" s="172">
        <v>32</v>
      </c>
      <c r="D425" s="172">
        <v>32</v>
      </c>
      <c r="E425" s="172"/>
      <c r="F425" s="172"/>
      <c r="G425" s="172"/>
      <c r="H425" s="172"/>
      <c r="I425" s="172"/>
      <c r="J425" s="172"/>
      <c r="K425" s="172"/>
      <c r="L425" s="172"/>
      <c r="M425" s="172"/>
      <c r="N425" s="172"/>
      <c r="O425" s="172"/>
      <c r="P425" s="174"/>
    </row>
    <row r="426" spans="1:16" hidden="1">
      <c r="A426" s="171" t="s">
        <v>468</v>
      </c>
      <c r="B426" s="171" t="s">
        <v>467</v>
      </c>
      <c r="C426" s="171">
        <v>35</v>
      </c>
      <c r="D426" s="171">
        <v>10</v>
      </c>
      <c r="E426" s="171">
        <v>0</v>
      </c>
      <c r="F426" s="171">
        <v>4</v>
      </c>
      <c r="G426" s="171">
        <v>4</v>
      </c>
      <c r="H426" s="171">
        <v>9</v>
      </c>
      <c r="I426" s="171">
        <v>3</v>
      </c>
      <c r="J426" s="171">
        <v>0</v>
      </c>
      <c r="K426" s="171">
        <v>20</v>
      </c>
      <c r="L426" s="171">
        <v>2</v>
      </c>
      <c r="M426" s="171">
        <v>4</v>
      </c>
      <c r="N426" s="171">
        <v>20</v>
      </c>
      <c r="O426" s="171">
        <v>0</v>
      </c>
      <c r="P426" s="173">
        <v>0</v>
      </c>
    </row>
    <row r="427" spans="1:16">
      <c r="A427" s="172" t="s">
        <v>449</v>
      </c>
      <c r="B427" s="172" t="s">
        <v>467</v>
      </c>
      <c r="C427" s="172">
        <v>95</v>
      </c>
      <c r="D427" s="172">
        <v>25</v>
      </c>
      <c r="E427" s="172">
        <v>1</v>
      </c>
      <c r="F427" s="172">
        <v>15</v>
      </c>
      <c r="G427" s="172">
        <v>24</v>
      </c>
      <c r="H427" s="172">
        <v>24</v>
      </c>
      <c r="I427" s="172">
        <v>27</v>
      </c>
      <c r="J427" s="172">
        <v>0</v>
      </c>
      <c r="K427" s="172">
        <v>91</v>
      </c>
      <c r="L427" s="172">
        <v>4</v>
      </c>
      <c r="M427" s="172">
        <v>3</v>
      </c>
      <c r="N427" s="172">
        <v>8</v>
      </c>
      <c r="O427" s="172">
        <v>76</v>
      </c>
      <c r="P427" s="174">
        <v>5</v>
      </c>
    </row>
    <row r="428" spans="1:16">
      <c r="A428" s="171" t="s">
        <v>449</v>
      </c>
      <c r="B428" s="171" t="s">
        <v>467</v>
      </c>
      <c r="C428" s="171">
        <v>33</v>
      </c>
      <c r="D428" s="171">
        <v>8</v>
      </c>
      <c r="E428" s="171">
        <v>2</v>
      </c>
      <c r="F428" s="171">
        <v>6</v>
      </c>
      <c r="G428" s="171">
        <v>10</v>
      </c>
      <c r="H428" s="171">
        <v>8</v>
      </c>
      <c r="I428" s="171">
        <v>6</v>
      </c>
      <c r="J428" s="171">
        <v>0</v>
      </c>
      <c r="K428" s="171">
        <v>32</v>
      </c>
      <c r="L428" s="171">
        <v>12</v>
      </c>
      <c r="M428" s="171">
        <v>10</v>
      </c>
      <c r="N428" s="171">
        <v>12</v>
      </c>
      <c r="O428" s="171">
        <v>11</v>
      </c>
      <c r="P428" s="173">
        <v>0</v>
      </c>
    </row>
    <row r="429" spans="1:16">
      <c r="A429" s="172" t="s">
        <v>449</v>
      </c>
      <c r="B429" s="172" t="s">
        <v>467</v>
      </c>
      <c r="C429" s="172">
        <v>30</v>
      </c>
      <c r="D429" s="172">
        <v>0</v>
      </c>
      <c r="E429" s="172">
        <v>0</v>
      </c>
      <c r="F429" s="172">
        <v>0</v>
      </c>
      <c r="G429" s="172">
        <v>4</v>
      </c>
      <c r="H429" s="172">
        <v>5</v>
      </c>
      <c r="I429" s="172">
        <v>21</v>
      </c>
      <c r="J429" s="172">
        <v>2</v>
      </c>
      <c r="K429" s="172">
        <v>32</v>
      </c>
      <c r="L429" s="172">
        <v>20</v>
      </c>
      <c r="M429" s="172">
        <v>2</v>
      </c>
      <c r="N429" s="172">
        <v>7</v>
      </c>
      <c r="O429" s="172">
        <v>7</v>
      </c>
      <c r="P429" s="174">
        <v>4</v>
      </c>
    </row>
    <row r="430" spans="1:16">
      <c r="A430" s="171" t="s">
        <v>449</v>
      </c>
      <c r="B430" s="171" t="s">
        <v>467</v>
      </c>
      <c r="C430" s="171">
        <v>40</v>
      </c>
      <c r="D430" s="171">
        <v>0</v>
      </c>
      <c r="E430" s="171">
        <v>0</v>
      </c>
      <c r="F430" s="171">
        <v>0</v>
      </c>
      <c r="G430" s="171">
        <v>15</v>
      </c>
      <c r="H430" s="171">
        <v>10</v>
      </c>
      <c r="I430" s="171">
        <v>20</v>
      </c>
      <c r="J430" s="171">
        <v>1</v>
      </c>
      <c r="K430" s="171">
        <v>46</v>
      </c>
      <c r="L430" s="171">
        <v>15</v>
      </c>
      <c r="M430" s="171">
        <v>16</v>
      </c>
      <c r="N430" s="171">
        <v>20</v>
      </c>
      <c r="O430" s="171">
        <v>19</v>
      </c>
      <c r="P430" s="173">
        <v>0</v>
      </c>
    </row>
    <row r="431" spans="1:16" hidden="1">
      <c r="A431" s="172" t="s">
        <v>450</v>
      </c>
      <c r="B431" s="172" t="s">
        <v>467</v>
      </c>
      <c r="C431" s="172">
        <v>60</v>
      </c>
      <c r="D431" s="172">
        <v>60</v>
      </c>
      <c r="E431" s="172">
        <v>5</v>
      </c>
      <c r="F431" s="172">
        <v>7</v>
      </c>
      <c r="G431" s="172">
        <v>10</v>
      </c>
      <c r="H431" s="172">
        <v>7</v>
      </c>
      <c r="I431" s="172">
        <v>0</v>
      </c>
      <c r="J431" s="172">
        <v>0</v>
      </c>
      <c r="K431" s="172">
        <v>29</v>
      </c>
      <c r="L431" s="172">
        <v>18</v>
      </c>
      <c r="M431" s="172">
        <v>3</v>
      </c>
      <c r="N431" s="172">
        <v>2</v>
      </c>
      <c r="O431" s="172">
        <v>11</v>
      </c>
      <c r="P431" s="174">
        <v>2</v>
      </c>
    </row>
    <row r="432" spans="1:16">
      <c r="A432" s="171" t="s">
        <v>449</v>
      </c>
      <c r="B432" s="171" t="s">
        <v>467</v>
      </c>
      <c r="C432" s="171">
        <v>21</v>
      </c>
      <c r="D432" s="171">
        <v>5</v>
      </c>
      <c r="E432" s="171">
        <v>0</v>
      </c>
      <c r="F432" s="171">
        <v>1</v>
      </c>
      <c r="G432" s="171">
        <v>7</v>
      </c>
      <c r="H432" s="171">
        <v>14</v>
      </c>
      <c r="I432" s="171">
        <v>5</v>
      </c>
      <c r="J432" s="171">
        <v>3</v>
      </c>
      <c r="K432" s="171">
        <v>30</v>
      </c>
      <c r="L432" s="171">
        <v>20</v>
      </c>
      <c r="M432" s="171">
        <v>4</v>
      </c>
      <c r="N432" s="171">
        <v>1</v>
      </c>
      <c r="O432" s="171">
        <v>7</v>
      </c>
      <c r="P432" s="173">
        <v>2</v>
      </c>
    </row>
    <row r="433" spans="1:16">
      <c r="A433" s="172" t="s">
        <v>449</v>
      </c>
      <c r="B433" s="172" t="s">
        <v>467</v>
      </c>
      <c r="C433" s="172">
        <v>28</v>
      </c>
      <c r="D433" s="172">
        <v>0</v>
      </c>
      <c r="E433" s="172">
        <v>0</v>
      </c>
      <c r="F433" s="172">
        <v>0</v>
      </c>
      <c r="G433" s="172">
        <v>2</v>
      </c>
      <c r="H433" s="172">
        <v>12</v>
      </c>
      <c r="I433" s="172">
        <v>10</v>
      </c>
      <c r="J433" s="172">
        <v>1</v>
      </c>
      <c r="K433" s="172">
        <v>25</v>
      </c>
      <c r="L433" s="172">
        <v>6</v>
      </c>
      <c r="M433" s="172">
        <v>1</v>
      </c>
      <c r="N433" s="172">
        <v>0</v>
      </c>
      <c r="O433" s="172">
        <v>20</v>
      </c>
      <c r="P433" s="174">
        <v>4</v>
      </c>
    </row>
    <row r="434" spans="1:16">
      <c r="A434" s="171" t="s">
        <v>449</v>
      </c>
      <c r="B434" s="171" t="s">
        <v>467</v>
      </c>
      <c r="C434" s="171">
        <v>30</v>
      </c>
      <c r="D434" s="171">
        <v>12</v>
      </c>
      <c r="E434" s="171">
        <v>1</v>
      </c>
      <c r="F434" s="171">
        <v>6</v>
      </c>
      <c r="G434" s="171">
        <v>10</v>
      </c>
      <c r="H434" s="171">
        <v>12</v>
      </c>
      <c r="I434" s="171">
        <v>9</v>
      </c>
      <c r="J434" s="171">
        <v>0</v>
      </c>
      <c r="K434" s="171">
        <v>38</v>
      </c>
      <c r="L434" s="171">
        <v>38</v>
      </c>
      <c r="M434" s="171">
        <v>4</v>
      </c>
      <c r="N434" s="171">
        <v>2</v>
      </c>
      <c r="O434" s="171">
        <v>3</v>
      </c>
      <c r="P434" s="173">
        <v>2</v>
      </c>
    </row>
    <row r="435" spans="1:16">
      <c r="A435" s="172" t="s">
        <v>449</v>
      </c>
      <c r="B435" s="172" t="s">
        <v>467</v>
      </c>
      <c r="C435" s="172">
        <v>110</v>
      </c>
      <c r="D435" s="172">
        <v>35</v>
      </c>
      <c r="E435" s="172">
        <v>8</v>
      </c>
      <c r="F435" s="172">
        <v>17</v>
      </c>
      <c r="G435" s="172">
        <v>27</v>
      </c>
      <c r="H435" s="172">
        <v>26</v>
      </c>
      <c r="I435" s="172">
        <v>22</v>
      </c>
      <c r="J435" s="172">
        <v>1</v>
      </c>
      <c r="K435" s="172">
        <v>101</v>
      </c>
      <c r="L435" s="172">
        <v>19</v>
      </c>
      <c r="M435" s="172">
        <v>38</v>
      </c>
      <c r="N435" s="172">
        <v>78</v>
      </c>
      <c r="O435" s="172">
        <v>18</v>
      </c>
      <c r="P435" s="174">
        <v>1</v>
      </c>
    </row>
    <row r="436" spans="1:16">
      <c r="A436" s="171" t="s">
        <v>449</v>
      </c>
      <c r="B436" s="171" t="s">
        <v>467</v>
      </c>
      <c r="C436" s="171">
        <v>45</v>
      </c>
      <c r="D436" s="171">
        <v>10</v>
      </c>
      <c r="E436" s="171">
        <v>1</v>
      </c>
      <c r="F436" s="171">
        <v>5</v>
      </c>
      <c r="G436" s="171">
        <v>12</v>
      </c>
      <c r="H436" s="171">
        <v>11</v>
      </c>
      <c r="I436" s="171">
        <v>12</v>
      </c>
      <c r="J436" s="171">
        <v>1</v>
      </c>
      <c r="K436" s="171">
        <v>42</v>
      </c>
      <c r="L436" s="171">
        <v>2</v>
      </c>
      <c r="M436" s="171">
        <v>1</v>
      </c>
      <c r="N436" s="171">
        <v>2</v>
      </c>
      <c r="O436" s="171">
        <v>32</v>
      </c>
      <c r="P436" s="173">
        <v>6</v>
      </c>
    </row>
    <row r="437" spans="1:16">
      <c r="A437" s="172" t="s">
        <v>449</v>
      </c>
      <c r="B437" s="172" t="s">
        <v>467</v>
      </c>
      <c r="C437" s="172">
        <v>35</v>
      </c>
      <c r="D437" s="172">
        <v>0</v>
      </c>
      <c r="E437" s="172">
        <v>0</v>
      </c>
      <c r="F437" s="172">
        <v>0</v>
      </c>
      <c r="G437" s="172">
        <v>0</v>
      </c>
      <c r="H437" s="172">
        <v>24</v>
      </c>
      <c r="I437" s="172">
        <v>21</v>
      </c>
      <c r="J437" s="172">
        <v>0</v>
      </c>
      <c r="K437" s="172">
        <v>45</v>
      </c>
      <c r="L437" s="172">
        <v>32</v>
      </c>
      <c r="M437" s="172">
        <v>16</v>
      </c>
      <c r="N437" s="172">
        <v>8</v>
      </c>
      <c r="O437" s="172">
        <v>10</v>
      </c>
      <c r="P437" s="174">
        <v>1</v>
      </c>
    </row>
    <row r="438" spans="1:16" hidden="1">
      <c r="A438" s="171" t="s">
        <v>347</v>
      </c>
      <c r="B438" s="171" t="s">
        <v>467</v>
      </c>
      <c r="C438" s="171">
        <v>16</v>
      </c>
      <c r="D438" s="171">
        <v>4</v>
      </c>
      <c r="E438" s="171">
        <v>0</v>
      </c>
      <c r="F438" s="171">
        <v>2</v>
      </c>
      <c r="G438" s="171">
        <v>1</v>
      </c>
      <c r="H438" s="171">
        <v>4</v>
      </c>
      <c r="I438" s="171">
        <v>1</v>
      </c>
      <c r="J438" s="171">
        <v>0</v>
      </c>
      <c r="K438" s="171">
        <v>8</v>
      </c>
      <c r="L438" s="171">
        <v>0</v>
      </c>
      <c r="M438" s="171">
        <v>7</v>
      </c>
      <c r="N438" s="171">
        <v>0</v>
      </c>
      <c r="O438" s="171">
        <v>0</v>
      </c>
      <c r="P438" s="173">
        <v>1</v>
      </c>
    </row>
    <row r="439" spans="1:16">
      <c r="A439" s="172" t="s">
        <v>449</v>
      </c>
      <c r="B439" s="172" t="s">
        <v>467</v>
      </c>
      <c r="C439" s="172">
        <v>37</v>
      </c>
      <c r="D439" s="172">
        <v>8</v>
      </c>
      <c r="E439" s="172">
        <v>0</v>
      </c>
      <c r="F439" s="172">
        <v>10</v>
      </c>
      <c r="G439" s="172">
        <v>11</v>
      </c>
      <c r="H439" s="172">
        <v>11</v>
      </c>
      <c r="I439" s="172">
        <v>9</v>
      </c>
      <c r="J439" s="172">
        <v>1</v>
      </c>
      <c r="K439" s="172">
        <v>42</v>
      </c>
      <c r="L439" s="172">
        <v>32</v>
      </c>
      <c r="M439" s="172">
        <v>3</v>
      </c>
      <c r="N439" s="172">
        <v>3</v>
      </c>
      <c r="O439" s="172">
        <v>11</v>
      </c>
      <c r="P439" s="174">
        <v>4</v>
      </c>
    </row>
    <row r="440" spans="1:16" hidden="1">
      <c r="A440" s="171" t="s">
        <v>347</v>
      </c>
      <c r="B440" s="171" t="s">
        <v>467</v>
      </c>
      <c r="C440" s="171">
        <v>86</v>
      </c>
      <c r="D440" s="171">
        <v>25</v>
      </c>
      <c r="E440" s="171">
        <v>6</v>
      </c>
      <c r="F440" s="171">
        <v>16</v>
      </c>
      <c r="G440" s="171">
        <v>23</v>
      </c>
      <c r="H440" s="171">
        <v>20</v>
      </c>
      <c r="I440" s="171">
        <v>14</v>
      </c>
      <c r="J440" s="171">
        <v>0</v>
      </c>
      <c r="K440" s="171">
        <v>79</v>
      </c>
      <c r="L440" s="171">
        <v>0</v>
      </c>
      <c r="M440" s="171">
        <v>78</v>
      </c>
      <c r="N440" s="171">
        <v>0</v>
      </c>
      <c r="O440" s="171">
        <v>0</v>
      </c>
      <c r="P440" s="173">
        <v>1</v>
      </c>
    </row>
    <row r="441" spans="1:16" hidden="1">
      <c r="A441" s="172" t="s">
        <v>347</v>
      </c>
      <c r="B441" s="172" t="s">
        <v>467</v>
      </c>
      <c r="C441" s="172">
        <v>30</v>
      </c>
      <c r="D441" s="172">
        <v>8</v>
      </c>
      <c r="E441" s="172">
        <v>0</v>
      </c>
      <c r="F441" s="172">
        <v>5</v>
      </c>
      <c r="G441" s="172">
        <v>6</v>
      </c>
      <c r="H441" s="172">
        <v>8</v>
      </c>
      <c r="I441" s="172">
        <v>3</v>
      </c>
      <c r="J441" s="172">
        <v>0</v>
      </c>
      <c r="K441" s="172">
        <v>22</v>
      </c>
      <c r="L441" s="172">
        <v>0</v>
      </c>
      <c r="M441" s="172">
        <v>22</v>
      </c>
      <c r="N441" s="172">
        <v>0</v>
      </c>
      <c r="O441" s="172">
        <v>0</v>
      </c>
      <c r="P441" s="174">
        <v>0</v>
      </c>
    </row>
    <row r="442" spans="1:16">
      <c r="A442" s="171" t="s">
        <v>449</v>
      </c>
      <c r="B442" s="171" t="s">
        <v>467</v>
      </c>
      <c r="C442" s="171">
        <v>43</v>
      </c>
      <c r="D442" s="171">
        <v>0</v>
      </c>
      <c r="E442" s="171">
        <v>0</v>
      </c>
      <c r="F442" s="171">
        <v>0</v>
      </c>
      <c r="G442" s="171">
        <v>14</v>
      </c>
      <c r="H442" s="171">
        <v>8</v>
      </c>
      <c r="I442" s="171">
        <v>19</v>
      </c>
      <c r="J442" s="171">
        <v>1</v>
      </c>
      <c r="K442" s="171">
        <v>42</v>
      </c>
      <c r="L442" s="171">
        <v>16</v>
      </c>
      <c r="M442" s="171">
        <v>2</v>
      </c>
      <c r="N442" s="171">
        <v>2</v>
      </c>
      <c r="O442" s="171">
        <v>24</v>
      </c>
      <c r="P442" s="173">
        <v>4</v>
      </c>
    </row>
    <row r="443" spans="1:16">
      <c r="A443" s="172" t="s">
        <v>449</v>
      </c>
      <c r="B443" s="172" t="s">
        <v>467</v>
      </c>
      <c r="C443" s="172">
        <v>68</v>
      </c>
      <c r="D443" s="172">
        <v>18</v>
      </c>
      <c r="E443" s="172">
        <v>2</v>
      </c>
      <c r="F443" s="172">
        <v>9</v>
      </c>
      <c r="G443" s="172">
        <v>7</v>
      </c>
      <c r="H443" s="172">
        <v>6</v>
      </c>
      <c r="I443" s="172">
        <v>5</v>
      </c>
      <c r="J443" s="172">
        <v>0</v>
      </c>
      <c r="K443" s="172">
        <v>29</v>
      </c>
      <c r="L443" s="172">
        <v>23</v>
      </c>
      <c r="M443" s="172">
        <v>4</v>
      </c>
      <c r="N443" s="172">
        <v>0</v>
      </c>
      <c r="O443" s="172">
        <v>6</v>
      </c>
      <c r="P443" s="174">
        <v>4</v>
      </c>
    </row>
    <row r="444" spans="1:16">
      <c r="A444" s="171" t="s">
        <v>449</v>
      </c>
      <c r="B444" s="171" t="s">
        <v>467</v>
      </c>
      <c r="C444" s="171">
        <v>32</v>
      </c>
      <c r="D444" s="171">
        <v>10</v>
      </c>
      <c r="E444" s="171">
        <v>0</v>
      </c>
      <c r="F444" s="171">
        <v>8</v>
      </c>
      <c r="G444" s="171">
        <v>5</v>
      </c>
      <c r="H444" s="171">
        <v>9</v>
      </c>
      <c r="I444" s="171">
        <v>14</v>
      </c>
      <c r="J444" s="171">
        <v>0</v>
      </c>
      <c r="K444" s="171">
        <v>36</v>
      </c>
      <c r="L444" s="171">
        <v>23</v>
      </c>
      <c r="M444" s="171">
        <v>9</v>
      </c>
      <c r="N444" s="171">
        <v>6</v>
      </c>
      <c r="O444" s="171">
        <v>9</v>
      </c>
      <c r="P444" s="173">
        <v>3</v>
      </c>
    </row>
    <row r="445" spans="1:16">
      <c r="A445" s="172" t="s">
        <v>449</v>
      </c>
      <c r="B445" s="172" t="s">
        <v>467</v>
      </c>
      <c r="C445" s="172">
        <v>65</v>
      </c>
      <c r="D445" s="172">
        <v>20</v>
      </c>
      <c r="E445" s="172">
        <v>1</v>
      </c>
      <c r="F445" s="172">
        <v>10</v>
      </c>
      <c r="G445" s="172">
        <v>16</v>
      </c>
      <c r="H445" s="172">
        <v>14</v>
      </c>
      <c r="I445" s="172">
        <v>25</v>
      </c>
      <c r="J445" s="172">
        <v>1</v>
      </c>
      <c r="K445" s="172">
        <v>67</v>
      </c>
      <c r="L445" s="172">
        <v>39</v>
      </c>
      <c r="M445" s="172">
        <v>6</v>
      </c>
      <c r="N445" s="172">
        <v>15</v>
      </c>
      <c r="O445" s="172">
        <v>24</v>
      </c>
      <c r="P445" s="174">
        <v>8</v>
      </c>
    </row>
    <row r="446" spans="1:16">
      <c r="A446" s="171" t="s">
        <v>449</v>
      </c>
      <c r="B446" s="171" t="s">
        <v>467</v>
      </c>
      <c r="C446" s="171">
        <v>60</v>
      </c>
      <c r="D446" s="171">
        <v>20</v>
      </c>
      <c r="E446" s="171">
        <v>1</v>
      </c>
      <c r="F446" s="171">
        <v>11</v>
      </c>
      <c r="G446" s="171">
        <v>16</v>
      </c>
      <c r="H446" s="171">
        <v>18</v>
      </c>
      <c r="I446" s="171">
        <v>12</v>
      </c>
      <c r="J446" s="171">
        <v>0</v>
      </c>
      <c r="K446" s="171">
        <v>58</v>
      </c>
      <c r="L446" s="171">
        <v>51</v>
      </c>
      <c r="M446" s="171">
        <v>4</v>
      </c>
      <c r="N446" s="171">
        <v>3</v>
      </c>
      <c r="O446" s="171">
        <v>7</v>
      </c>
      <c r="P446" s="173">
        <v>3</v>
      </c>
    </row>
    <row r="447" spans="1:16">
      <c r="A447" s="172" t="s">
        <v>449</v>
      </c>
      <c r="B447" s="172" t="s">
        <v>467</v>
      </c>
      <c r="C447" s="172">
        <v>24</v>
      </c>
      <c r="D447" s="172">
        <v>10</v>
      </c>
      <c r="E447" s="172">
        <v>2</v>
      </c>
      <c r="F447" s="172">
        <v>10</v>
      </c>
      <c r="G447" s="172">
        <v>11</v>
      </c>
      <c r="H447" s="172">
        <v>3</v>
      </c>
      <c r="I447" s="172">
        <v>2</v>
      </c>
      <c r="J447" s="172">
        <v>0</v>
      </c>
      <c r="K447" s="172">
        <v>28</v>
      </c>
      <c r="L447" s="172">
        <v>26</v>
      </c>
      <c r="M447" s="172">
        <v>8</v>
      </c>
      <c r="N447" s="172">
        <v>0</v>
      </c>
      <c r="O447" s="172">
        <v>3</v>
      </c>
      <c r="P447" s="174">
        <v>0</v>
      </c>
    </row>
    <row r="448" spans="1:16">
      <c r="A448" s="171" t="s">
        <v>449</v>
      </c>
      <c r="B448" s="171" t="s">
        <v>467</v>
      </c>
      <c r="C448" s="171">
        <v>70</v>
      </c>
      <c r="D448" s="171">
        <v>36</v>
      </c>
      <c r="E448" s="171">
        <v>8</v>
      </c>
      <c r="F448" s="171">
        <v>19</v>
      </c>
      <c r="G448" s="171">
        <v>14</v>
      </c>
      <c r="H448" s="171">
        <v>29</v>
      </c>
      <c r="I448" s="171">
        <v>13</v>
      </c>
      <c r="J448" s="171">
        <v>0</v>
      </c>
      <c r="K448" s="171">
        <v>83</v>
      </c>
      <c r="L448" s="171">
        <v>75</v>
      </c>
      <c r="M448" s="171">
        <v>8</v>
      </c>
      <c r="N448" s="171">
        <v>3</v>
      </c>
      <c r="O448" s="171">
        <v>8</v>
      </c>
      <c r="P448" s="173">
        <v>2</v>
      </c>
    </row>
    <row r="449" spans="1:16">
      <c r="A449" s="172" t="s">
        <v>449</v>
      </c>
      <c r="B449" s="172" t="s">
        <v>467</v>
      </c>
      <c r="C449" s="172">
        <v>83</v>
      </c>
      <c r="D449" s="172">
        <v>25</v>
      </c>
      <c r="E449" s="172">
        <v>2</v>
      </c>
      <c r="F449" s="172">
        <v>14</v>
      </c>
      <c r="G449" s="172">
        <v>16</v>
      </c>
      <c r="H449" s="172">
        <v>22</v>
      </c>
      <c r="I449" s="172">
        <v>12</v>
      </c>
      <c r="J449" s="172">
        <v>1</v>
      </c>
      <c r="K449" s="172">
        <v>67</v>
      </c>
      <c r="L449" s="172">
        <v>36</v>
      </c>
      <c r="M449" s="172">
        <v>5</v>
      </c>
      <c r="N449" s="172">
        <v>0</v>
      </c>
      <c r="O449" s="172">
        <v>34</v>
      </c>
      <c r="P449" s="174">
        <v>4</v>
      </c>
    </row>
    <row r="450" spans="1:16">
      <c r="A450" s="171" t="s">
        <v>449</v>
      </c>
      <c r="B450" s="171" t="s">
        <v>467</v>
      </c>
      <c r="C450" s="171">
        <v>28</v>
      </c>
      <c r="D450" s="171">
        <v>8</v>
      </c>
      <c r="E450" s="171">
        <v>0</v>
      </c>
      <c r="F450" s="171">
        <v>2</v>
      </c>
      <c r="G450" s="171">
        <v>5</v>
      </c>
      <c r="H450" s="171">
        <v>2</v>
      </c>
      <c r="I450" s="171">
        <v>14</v>
      </c>
      <c r="J450" s="171">
        <v>2</v>
      </c>
      <c r="K450" s="171">
        <v>25</v>
      </c>
      <c r="L450" s="171">
        <v>24</v>
      </c>
      <c r="M450" s="171">
        <v>11</v>
      </c>
      <c r="N450" s="171">
        <v>2</v>
      </c>
      <c r="O450" s="171">
        <v>0</v>
      </c>
      <c r="P450" s="173">
        <v>1</v>
      </c>
    </row>
    <row r="451" spans="1:16">
      <c r="A451" s="172" t="s">
        <v>449</v>
      </c>
      <c r="B451" s="172" t="s">
        <v>467</v>
      </c>
      <c r="C451" s="172">
        <v>27</v>
      </c>
      <c r="D451" s="172">
        <v>5</v>
      </c>
      <c r="E451" s="172">
        <v>0</v>
      </c>
      <c r="F451" s="172">
        <v>3</v>
      </c>
      <c r="G451" s="172">
        <v>6</v>
      </c>
      <c r="H451" s="172">
        <v>2</v>
      </c>
      <c r="I451" s="172">
        <v>9</v>
      </c>
      <c r="J451" s="172">
        <v>0</v>
      </c>
      <c r="K451" s="172">
        <v>20</v>
      </c>
      <c r="L451" s="172">
        <v>16</v>
      </c>
      <c r="M451" s="172">
        <v>9</v>
      </c>
      <c r="N451" s="172">
        <v>0</v>
      </c>
      <c r="O451" s="172">
        <v>1</v>
      </c>
      <c r="P451" s="174">
        <v>7</v>
      </c>
    </row>
    <row r="452" spans="1:16" hidden="1">
      <c r="A452" s="171" t="s">
        <v>450</v>
      </c>
      <c r="B452" s="171" t="s">
        <v>467</v>
      </c>
      <c r="C452" s="171">
        <v>60</v>
      </c>
      <c r="D452" s="171">
        <v>60</v>
      </c>
      <c r="E452" s="171">
        <v>4</v>
      </c>
      <c r="F452" s="171">
        <v>9</v>
      </c>
      <c r="G452" s="171">
        <v>14</v>
      </c>
      <c r="H452" s="171">
        <v>5</v>
      </c>
      <c r="I452" s="171">
        <v>5</v>
      </c>
      <c r="J452" s="171">
        <v>0</v>
      </c>
      <c r="K452" s="171">
        <v>37</v>
      </c>
      <c r="L452" s="171">
        <v>16</v>
      </c>
      <c r="M452" s="171">
        <v>4</v>
      </c>
      <c r="N452" s="171">
        <v>5</v>
      </c>
      <c r="O452" s="171">
        <v>17</v>
      </c>
      <c r="P452" s="173">
        <v>5</v>
      </c>
    </row>
    <row r="453" spans="1:16" hidden="1">
      <c r="A453" s="172" t="s">
        <v>347</v>
      </c>
      <c r="B453" s="172" t="s">
        <v>467</v>
      </c>
      <c r="C453" s="172">
        <v>30</v>
      </c>
      <c r="D453" s="172">
        <v>5</v>
      </c>
      <c r="E453" s="172">
        <v>0</v>
      </c>
      <c r="F453" s="172">
        <v>2</v>
      </c>
      <c r="G453" s="172">
        <v>5</v>
      </c>
      <c r="H453" s="172">
        <v>5</v>
      </c>
      <c r="I453" s="172">
        <v>3</v>
      </c>
      <c r="J453" s="172">
        <v>0</v>
      </c>
      <c r="K453" s="172">
        <v>15</v>
      </c>
      <c r="L453" s="172">
        <v>0</v>
      </c>
      <c r="M453" s="172">
        <v>15</v>
      </c>
      <c r="N453" s="172">
        <v>0</v>
      </c>
      <c r="O453" s="172">
        <v>0</v>
      </c>
      <c r="P453" s="174">
        <v>0</v>
      </c>
    </row>
    <row r="454" spans="1:16">
      <c r="A454" s="171" t="s">
        <v>449</v>
      </c>
      <c r="B454" s="171" t="s">
        <v>467</v>
      </c>
      <c r="C454" s="171">
        <v>40</v>
      </c>
      <c r="D454" s="171">
        <v>0</v>
      </c>
      <c r="E454" s="171">
        <v>0</v>
      </c>
      <c r="F454" s="171">
        <v>0</v>
      </c>
      <c r="G454" s="171">
        <v>5</v>
      </c>
      <c r="H454" s="171">
        <v>10</v>
      </c>
      <c r="I454" s="171">
        <v>27</v>
      </c>
      <c r="J454" s="171">
        <v>2</v>
      </c>
      <c r="K454" s="171">
        <v>44</v>
      </c>
      <c r="L454" s="171">
        <v>17</v>
      </c>
      <c r="M454" s="171">
        <v>2</v>
      </c>
      <c r="N454" s="171">
        <v>1</v>
      </c>
      <c r="O454" s="171">
        <v>34</v>
      </c>
      <c r="P454" s="173">
        <v>0</v>
      </c>
    </row>
    <row r="455" spans="1:16">
      <c r="A455" s="172" t="s">
        <v>449</v>
      </c>
      <c r="B455" s="172" t="s">
        <v>467</v>
      </c>
      <c r="C455" s="172">
        <v>30</v>
      </c>
      <c r="D455" s="172">
        <v>0</v>
      </c>
      <c r="E455" s="172">
        <v>0</v>
      </c>
      <c r="F455" s="172">
        <v>0</v>
      </c>
      <c r="G455" s="172">
        <v>0</v>
      </c>
      <c r="H455" s="172">
        <v>8</v>
      </c>
      <c r="I455" s="172">
        <v>14</v>
      </c>
      <c r="J455" s="172">
        <v>2</v>
      </c>
      <c r="K455" s="172">
        <v>24</v>
      </c>
      <c r="L455" s="172">
        <v>13</v>
      </c>
      <c r="M455" s="172">
        <v>3</v>
      </c>
      <c r="N455" s="172">
        <v>0</v>
      </c>
      <c r="O455" s="172">
        <v>7</v>
      </c>
      <c r="P455" s="174">
        <v>6</v>
      </c>
    </row>
    <row r="456" spans="1:16">
      <c r="A456" s="171" t="s">
        <v>449</v>
      </c>
      <c r="B456" s="171" t="s">
        <v>467</v>
      </c>
      <c r="C456" s="171">
        <v>35</v>
      </c>
      <c r="D456" s="171">
        <v>15</v>
      </c>
      <c r="E456" s="171">
        <v>2</v>
      </c>
      <c r="F456" s="171">
        <v>6</v>
      </c>
      <c r="G456" s="171">
        <v>4</v>
      </c>
      <c r="H456" s="171">
        <v>7</v>
      </c>
      <c r="I456" s="171">
        <v>1</v>
      </c>
      <c r="J456" s="171">
        <v>0</v>
      </c>
      <c r="K456" s="171">
        <v>20</v>
      </c>
      <c r="L456" s="171">
        <v>15</v>
      </c>
      <c r="M456" s="171">
        <v>1</v>
      </c>
      <c r="N456" s="171">
        <v>1</v>
      </c>
      <c r="O456" s="171">
        <v>6</v>
      </c>
      <c r="P456" s="173">
        <v>0</v>
      </c>
    </row>
    <row r="457" spans="1:16">
      <c r="A457" s="172" t="s">
        <v>449</v>
      </c>
      <c r="B457" s="172" t="s">
        <v>467</v>
      </c>
      <c r="C457" s="172">
        <v>70</v>
      </c>
      <c r="D457" s="172">
        <v>20</v>
      </c>
      <c r="E457" s="172">
        <v>4</v>
      </c>
      <c r="F457" s="172">
        <v>13</v>
      </c>
      <c r="G457" s="172">
        <v>16</v>
      </c>
      <c r="H457" s="172">
        <v>20</v>
      </c>
      <c r="I457" s="172">
        <v>12</v>
      </c>
      <c r="J457" s="172">
        <v>0</v>
      </c>
      <c r="K457" s="172">
        <v>65</v>
      </c>
      <c r="L457" s="172">
        <v>41</v>
      </c>
      <c r="M457" s="172">
        <v>8</v>
      </c>
      <c r="N457" s="172">
        <v>2</v>
      </c>
      <c r="O457" s="172">
        <v>32</v>
      </c>
      <c r="P457" s="174">
        <v>3</v>
      </c>
    </row>
    <row r="458" spans="1:16">
      <c r="A458" s="171" t="s">
        <v>449</v>
      </c>
      <c r="B458" s="171" t="s">
        <v>467</v>
      </c>
      <c r="C458" s="171">
        <v>25</v>
      </c>
      <c r="D458" s="171">
        <v>20</v>
      </c>
      <c r="E458" s="171">
        <v>3</v>
      </c>
      <c r="F458" s="171">
        <v>13</v>
      </c>
      <c r="G458" s="171">
        <v>13</v>
      </c>
      <c r="H458" s="171">
        <v>0</v>
      </c>
      <c r="I458" s="171">
        <v>0</v>
      </c>
      <c r="J458" s="171">
        <v>0</v>
      </c>
      <c r="K458" s="171">
        <v>29</v>
      </c>
      <c r="L458" s="171">
        <v>29</v>
      </c>
      <c r="M458" s="171">
        <v>2</v>
      </c>
      <c r="N458" s="171">
        <v>2</v>
      </c>
      <c r="O458" s="171">
        <v>3</v>
      </c>
      <c r="P458" s="173">
        <v>2</v>
      </c>
    </row>
    <row r="459" spans="1:16">
      <c r="A459" s="172" t="s">
        <v>449</v>
      </c>
      <c r="B459" s="172" t="s">
        <v>467</v>
      </c>
      <c r="C459" s="172">
        <v>30</v>
      </c>
      <c r="D459" s="172">
        <v>2</v>
      </c>
      <c r="E459" s="172">
        <v>0</v>
      </c>
      <c r="F459" s="172">
        <v>0</v>
      </c>
      <c r="G459" s="172">
        <v>14</v>
      </c>
      <c r="H459" s="172">
        <v>9</v>
      </c>
      <c r="I459" s="172">
        <v>15</v>
      </c>
      <c r="J459" s="172">
        <v>0</v>
      </c>
      <c r="K459" s="172">
        <v>38</v>
      </c>
      <c r="L459" s="172">
        <v>35</v>
      </c>
      <c r="M459" s="172">
        <v>0</v>
      </c>
      <c r="N459" s="172">
        <v>0</v>
      </c>
      <c r="O459" s="172">
        <v>7</v>
      </c>
      <c r="P459" s="174">
        <v>3</v>
      </c>
    </row>
    <row r="460" spans="1:16">
      <c r="A460" s="171" t="s">
        <v>449</v>
      </c>
      <c r="B460" s="171" t="s">
        <v>467</v>
      </c>
      <c r="C460" s="171">
        <v>34</v>
      </c>
      <c r="D460" s="171">
        <v>12</v>
      </c>
      <c r="E460" s="171">
        <v>0</v>
      </c>
      <c r="F460" s="171">
        <v>13</v>
      </c>
      <c r="G460" s="171">
        <v>17</v>
      </c>
      <c r="H460" s="171">
        <v>6</v>
      </c>
      <c r="I460" s="171">
        <v>13</v>
      </c>
      <c r="J460" s="171">
        <v>1</v>
      </c>
      <c r="K460" s="171">
        <v>50</v>
      </c>
      <c r="L460" s="171">
        <v>37</v>
      </c>
      <c r="M460" s="171">
        <v>2</v>
      </c>
      <c r="N460" s="171">
        <v>1</v>
      </c>
      <c r="O460" s="171">
        <v>14</v>
      </c>
      <c r="P460" s="173">
        <v>4</v>
      </c>
    </row>
    <row r="461" spans="1:16">
      <c r="A461" s="172" t="s">
        <v>449</v>
      </c>
      <c r="B461" s="172" t="s">
        <v>467</v>
      </c>
      <c r="C461" s="172">
        <v>45</v>
      </c>
      <c r="D461" s="172">
        <v>5</v>
      </c>
      <c r="E461" s="172">
        <v>0</v>
      </c>
      <c r="F461" s="172">
        <v>5</v>
      </c>
      <c r="G461" s="172">
        <v>14</v>
      </c>
      <c r="H461" s="172">
        <v>10</v>
      </c>
      <c r="I461" s="172">
        <v>17</v>
      </c>
      <c r="J461" s="172">
        <v>2</v>
      </c>
      <c r="K461" s="172">
        <v>48</v>
      </c>
      <c r="L461" s="172">
        <v>42</v>
      </c>
      <c r="M461" s="172">
        <v>2</v>
      </c>
      <c r="N461" s="172">
        <v>0</v>
      </c>
      <c r="O461" s="172">
        <v>9</v>
      </c>
      <c r="P461" s="174">
        <v>1</v>
      </c>
    </row>
    <row r="462" spans="1:16">
      <c r="A462" s="171" t="s">
        <v>449</v>
      </c>
      <c r="B462" s="171" t="s">
        <v>467</v>
      </c>
      <c r="C462" s="171">
        <v>75</v>
      </c>
      <c r="D462" s="171">
        <v>20</v>
      </c>
      <c r="E462" s="171">
        <v>3</v>
      </c>
      <c r="F462" s="171">
        <v>18</v>
      </c>
      <c r="G462" s="171">
        <v>21</v>
      </c>
      <c r="H462" s="171">
        <v>18</v>
      </c>
      <c r="I462" s="171">
        <v>20</v>
      </c>
      <c r="J462" s="171">
        <v>0</v>
      </c>
      <c r="K462" s="171">
        <v>80</v>
      </c>
      <c r="L462" s="171">
        <v>65</v>
      </c>
      <c r="M462" s="171">
        <v>9</v>
      </c>
      <c r="N462" s="171">
        <v>11</v>
      </c>
      <c r="O462" s="171">
        <v>21</v>
      </c>
      <c r="P462" s="173">
        <v>2</v>
      </c>
    </row>
    <row r="463" spans="1:16">
      <c r="A463" s="172" t="s">
        <v>449</v>
      </c>
      <c r="B463" s="172" t="s">
        <v>467</v>
      </c>
      <c r="C463" s="172">
        <v>50</v>
      </c>
      <c r="D463" s="172">
        <v>15</v>
      </c>
      <c r="E463" s="172">
        <v>0</v>
      </c>
      <c r="F463" s="172">
        <v>12</v>
      </c>
      <c r="G463" s="172">
        <v>13</v>
      </c>
      <c r="H463" s="172">
        <v>11</v>
      </c>
      <c r="I463" s="172">
        <v>13</v>
      </c>
      <c r="J463" s="172">
        <v>0</v>
      </c>
      <c r="K463" s="172">
        <v>49</v>
      </c>
      <c r="L463" s="172">
        <v>32</v>
      </c>
      <c r="M463" s="172">
        <v>11</v>
      </c>
      <c r="N463" s="172">
        <v>8</v>
      </c>
      <c r="O463" s="172">
        <v>15</v>
      </c>
      <c r="P463" s="174">
        <v>5</v>
      </c>
    </row>
    <row r="464" spans="1:16">
      <c r="A464" s="171" t="s">
        <v>449</v>
      </c>
      <c r="B464" s="171" t="s">
        <v>467</v>
      </c>
      <c r="C464" s="171">
        <v>65</v>
      </c>
      <c r="D464" s="171">
        <v>15</v>
      </c>
      <c r="E464" s="171">
        <v>0</v>
      </c>
      <c r="F464" s="171">
        <v>0</v>
      </c>
      <c r="G464" s="171">
        <v>2</v>
      </c>
      <c r="H464" s="171">
        <v>8</v>
      </c>
      <c r="I464" s="171">
        <v>7</v>
      </c>
      <c r="J464" s="171">
        <v>1</v>
      </c>
      <c r="K464" s="171">
        <v>18</v>
      </c>
      <c r="L464" s="171">
        <v>5</v>
      </c>
      <c r="M464" s="171">
        <v>7</v>
      </c>
      <c r="N464" s="171">
        <v>7</v>
      </c>
      <c r="O464" s="171">
        <v>5</v>
      </c>
      <c r="P464" s="173">
        <v>2</v>
      </c>
    </row>
    <row r="465" spans="1:16">
      <c r="A465" s="172" t="s">
        <v>449</v>
      </c>
      <c r="B465" s="172" t="s">
        <v>467</v>
      </c>
      <c r="C465" s="172">
        <v>147</v>
      </c>
      <c r="D465" s="172">
        <v>40</v>
      </c>
      <c r="E465" s="172">
        <v>5</v>
      </c>
      <c r="F465" s="172">
        <v>27</v>
      </c>
      <c r="G465" s="172">
        <v>21</v>
      </c>
      <c r="H465" s="172">
        <v>27</v>
      </c>
      <c r="I465" s="172">
        <v>14</v>
      </c>
      <c r="J465" s="172">
        <v>1</v>
      </c>
      <c r="K465" s="172">
        <v>95</v>
      </c>
      <c r="L465" s="172">
        <v>64</v>
      </c>
      <c r="M465" s="172">
        <v>28</v>
      </c>
      <c r="N465" s="172">
        <v>9</v>
      </c>
      <c r="O465" s="172">
        <v>26</v>
      </c>
      <c r="P465" s="174">
        <v>3</v>
      </c>
    </row>
    <row r="466" spans="1:16">
      <c r="A466" s="171" t="s">
        <v>449</v>
      </c>
      <c r="B466" s="171" t="s">
        <v>467</v>
      </c>
      <c r="C466" s="171">
        <v>35</v>
      </c>
      <c r="D466" s="171">
        <v>8</v>
      </c>
      <c r="E466" s="171">
        <v>1</v>
      </c>
      <c r="F466" s="171">
        <v>4</v>
      </c>
      <c r="G466" s="171">
        <v>9</v>
      </c>
      <c r="H466" s="171">
        <v>6</v>
      </c>
      <c r="I466" s="171">
        <v>12</v>
      </c>
      <c r="J466" s="171">
        <v>0</v>
      </c>
      <c r="K466" s="171">
        <v>32</v>
      </c>
      <c r="L466" s="171">
        <v>20</v>
      </c>
      <c r="M466" s="171">
        <v>2</v>
      </c>
      <c r="N466" s="171">
        <v>2</v>
      </c>
      <c r="O466" s="171">
        <v>14</v>
      </c>
      <c r="P466" s="173">
        <v>1</v>
      </c>
    </row>
    <row r="467" spans="1:16">
      <c r="A467" s="172" t="s">
        <v>449</v>
      </c>
      <c r="B467" s="172" t="s">
        <v>467</v>
      </c>
      <c r="C467" s="172">
        <v>45</v>
      </c>
      <c r="D467" s="172">
        <v>10</v>
      </c>
      <c r="E467" s="172">
        <v>2</v>
      </c>
      <c r="F467" s="172">
        <v>10</v>
      </c>
      <c r="G467" s="172">
        <v>7</v>
      </c>
      <c r="H467" s="172">
        <v>14</v>
      </c>
      <c r="I467" s="172">
        <v>16</v>
      </c>
      <c r="J467" s="172">
        <v>1</v>
      </c>
      <c r="K467" s="172">
        <v>50</v>
      </c>
      <c r="L467" s="172">
        <v>34</v>
      </c>
      <c r="M467" s="172">
        <v>3</v>
      </c>
      <c r="N467" s="172">
        <v>2</v>
      </c>
      <c r="O467" s="172">
        <v>15</v>
      </c>
      <c r="P467" s="174">
        <v>9</v>
      </c>
    </row>
    <row r="468" spans="1:16">
      <c r="A468" s="171" t="s">
        <v>449</v>
      </c>
      <c r="B468" s="171" t="s">
        <v>467</v>
      </c>
      <c r="C468" s="171">
        <v>30</v>
      </c>
      <c r="D468" s="171">
        <v>10</v>
      </c>
      <c r="E468" s="171">
        <v>4</v>
      </c>
      <c r="F468" s="171">
        <v>2</v>
      </c>
      <c r="G468" s="171">
        <v>8</v>
      </c>
      <c r="H468" s="171">
        <v>6</v>
      </c>
      <c r="I468" s="171">
        <v>9</v>
      </c>
      <c r="J468" s="171">
        <v>0</v>
      </c>
      <c r="K468" s="171">
        <v>29</v>
      </c>
      <c r="L468" s="171">
        <v>20</v>
      </c>
      <c r="M468" s="171">
        <v>8</v>
      </c>
      <c r="N468" s="171">
        <v>8</v>
      </c>
      <c r="O468" s="171">
        <v>5</v>
      </c>
      <c r="P468" s="173">
        <v>1</v>
      </c>
    </row>
    <row r="469" spans="1:16">
      <c r="A469" s="172" t="s">
        <v>449</v>
      </c>
      <c r="B469" s="172" t="s">
        <v>467</v>
      </c>
      <c r="C469" s="172">
        <v>25</v>
      </c>
      <c r="D469" s="172">
        <v>8</v>
      </c>
      <c r="E469" s="172">
        <v>0</v>
      </c>
      <c r="F469" s="172">
        <v>2</v>
      </c>
      <c r="G469" s="172">
        <v>12</v>
      </c>
      <c r="H469" s="172">
        <v>8</v>
      </c>
      <c r="I469" s="172">
        <v>4</v>
      </c>
      <c r="J469" s="172">
        <v>4</v>
      </c>
      <c r="K469" s="172">
        <v>30</v>
      </c>
      <c r="L469" s="172">
        <v>9</v>
      </c>
      <c r="M469" s="172">
        <v>3</v>
      </c>
      <c r="N469" s="172">
        <v>2</v>
      </c>
      <c r="O469" s="172">
        <v>20</v>
      </c>
      <c r="P469" s="174">
        <v>0</v>
      </c>
    </row>
    <row r="470" spans="1:16">
      <c r="A470" s="171" t="s">
        <v>449</v>
      </c>
      <c r="B470" s="171" t="s">
        <v>467</v>
      </c>
      <c r="C470" s="171">
        <v>30</v>
      </c>
      <c r="D470" s="171">
        <v>10</v>
      </c>
      <c r="E470" s="171">
        <v>0</v>
      </c>
      <c r="F470" s="171">
        <v>8</v>
      </c>
      <c r="G470" s="171">
        <v>9</v>
      </c>
      <c r="H470" s="171">
        <v>8</v>
      </c>
      <c r="I470" s="171">
        <v>7</v>
      </c>
      <c r="J470" s="171">
        <v>1</v>
      </c>
      <c r="K470" s="171">
        <v>33</v>
      </c>
      <c r="L470" s="171">
        <v>33</v>
      </c>
      <c r="M470" s="171">
        <v>6</v>
      </c>
      <c r="N470" s="171">
        <v>1</v>
      </c>
      <c r="O470" s="171">
        <v>6</v>
      </c>
      <c r="P470" s="173">
        <v>1</v>
      </c>
    </row>
    <row r="471" spans="1:16" hidden="1">
      <c r="A471" s="172" t="s">
        <v>347</v>
      </c>
      <c r="B471" s="172" t="s">
        <v>467</v>
      </c>
      <c r="C471" s="172">
        <v>30</v>
      </c>
      <c r="D471" s="172">
        <v>5</v>
      </c>
      <c r="E471" s="172">
        <v>0</v>
      </c>
      <c r="F471" s="172">
        <v>3</v>
      </c>
      <c r="G471" s="172">
        <v>8</v>
      </c>
      <c r="H471" s="172">
        <v>7</v>
      </c>
      <c r="I471" s="172">
        <v>3</v>
      </c>
      <c r="J471" s="172">
        <v>0</v>
      </c>
      <c r="K471" s="172">
        <v>21</v>
      </c>
      <c r="L471" s="172">
        <v>0</v>
      </c>
      <c r="M471" s="172">
        <v>20</v>
      </c>
      <c r="N471" s="172">
        <v>0</v>
      </c>
      <c r="O471" s="172">
        <v>0</v>
      </c>
      <c r="P471" s="174">
        <v>1</v>
      </c>
    </row>
    <row r="472" spans="1:16" hidden="1">
      <c r="A472" s="171" t="s">
        <v>347</v>
      </c>
      <c r="B472" s="171" t="s">
        <v>467</v>
      </c>
      <c r="C472" s="171">
        <v>25</v>
      </c>
      <c r="D472" s="171">
        <v>6</v>
      </c>
      <c r="E472" s="171">
        <v>1</v>
      </c>
      <c r="F472" s="171">
        <v>4</v>
      </c>
      <c r="G472" s="171">
        <v>3</v>
      </c>
      <c r="H472" s="171">
        <v>5</v>
      </c>
      <c r="I472" s="171">
        <v>1</v>
      </c>
      <c r="J472" s="171">
        <v>0</v>
      </c>
      <c r="K472" s="171">
        <v>14</v>
      </c>
      <c r="L472" s="171">
        <v>0</v>
      </c>
      <c r="M472" s="171">
        <v>11</v>
      </c>
      <c r="N472" s="171">
        <v>3</v>
      </c>
      <c r="O472" s="171">
        <v>0</v>
      </c>
      <c r="P472" s="173">
        <v>0</v>
      </c>
    </row>
    <row r="473" spans="1:16">
      <c r="A473" s="172" t="s">
        <v>449</v>
      </c>
      <c r="B473" s="172" t="s">
        <v>467</v>
      </c>
      <c r="C473" s="172">
        <v>37</v>
      </c>
      <c r="D473" s="172">
        <v>10</v>
      </c>
      <c r="E473" s="172">
        <v>0</v>
      </c>
      <c r="F473" s="172">
        <v>9</v>
      </c>
      <c r="G473" s="172">
        <v>14</v>
      </c>
      <c r="H473" s="172">
        <v>8</v>
      </c>
      <c r="I473" s="172">
        <v>14</v>
      </c>
      <c r="J473" s="172">
        <v>0</v>
      </c>
      <c r="K473" s="172">
        <v>45</v>
      </c>
      <c r="L473" s="172">
        <v>39</v>
      </c>
      <c r="M473" s="172">
        <v>4</v>
      </c>
      <c r="N473" s="172">
        <v>1</v>
      </c>
      <c r="O473" s="172">
        <v>2</v>
      </c>
      <c r="P473" s="174">
        <v>2</v>
      </c>
    </row>
    <row r="474" spans="1:16">
      <c r="A474" s="171" t="s">
        <v>449</v>
      </c>
      <c r="B474" s="171" t="s">
        <v>467</v>
      </c>
      <c r="C474" s="171">
        <v>20</v>
      </c>
      <c r="D474" s="171">
        <v>4</v>
      </c>
      <c r="E474" s="171">
        <v>0</v>
      </c>
      <c r="F474" s="171">
        <v>4</v>
      </c>
      <c r="G474" s="171">
        <v>9</v>
      </c>
      <c r="H474" s="171">
        <v>4</v>
      </c>
      <c r="I474" s="171">
        <v>2</v>
      </c>
      <c r="J474" s="171">
        <v>0</v>
      </c>
      <c r="K474" s="171">
        <v>19</v>
      </c>
      <c r="L474" s="171">
        <v>16</v>
      </c>
      <c r="M474" s="171">
        <v>2</v>
      </c>
      <c r="N474" s="171">
        <v>1</v>
      </c>
      <c r="O474" s="171">
        <v>4</v>
      </c>
      <c r="P474" s="173">
        <v>2</v>
      </c>
    </row>
    <row r="475" spans="1:16" hidden="1">
      <c r="A475" s="172" t="s">
        <v>301</v>
      </c>
      <c r="B475" s="172" t="s">
        <v>467</v>
      </c>
      <c r="C475" s="172">
        <v>30</v>
      </c>
      <c r="D475" s="172">
        <v>15</v>
      </c>
      <c r="E475" s="172">
        <v>5</v>
      </c>
      <c r="F475" s="172">
        <v>8</v>
      </c>
      <c r="G475" s="172">
        <v>18</v>
      </c>
      <c r="H475" s="172">
        <v>12</v>
      </c>
      <c r="I475" s="172">
        <v>8</v>
      </c>
      <c r="J475" s="172">
        <v>2</v>
      </c>
      <c r="K475" s="172">
        <v>53</v>
      </c>
      <c r="L475" s="172">
        <v>49</v>
      </c>
      <c r="M475" s="172">
        <v>3</v>
      </c>
      <c r="N475" s="172">
        <v>1</v>
      </c>
      <c r="O475" s="172">
        <v>9</v>
      </c>
      <c r="P475" s="174">
        <v>4</v>
      </c>
    </row>
    <row r="476" spans="1:16" hidden="1">
      <c r="A476" s="171" t="s">
        <v>469</v>
      </c>
      <c r="B476" s="171" t="s">
        <v>467</v>
      </c>
      <c r="C476" s="171">
        <v>24</v>
      </c>
      <c r="D476" s="171">
        <v>6</v>
      </c>
      <c r="E476" s="171">
        <v>0</v>
      </c>
      <c r="F476" s="171">
        <v>3</v>
      </c>
      <c r="G476" s="171">
        <v>3</v>
      </c>
      <c r="H476" s="171">
        <v>3</v>
      </c>
      <c r="I476" s="171">
        <v>4</v>
      </c>
      <c r="J476" s="171">
        <v>0</v>
      </c>
      <c r="K476" s="171">
        <v>13</v>
      </c>
      <c r="L476" s="171">
        <v>0</v>
      </c>
      <c r="M476" s="171">
        <v>1</v>
      </c>
      <c r="N476" s="171">
        <v>13</v>
      </c>
      <c r="O476" s="171">
        <v>0</v>
      </c>
      <c r="P476" s="173">
        <v>0</v>
      </c>
    </row>
    <row r="477" spans="1:16">
      <c r="A477" s="172" t="s">
        <v>449</v>
      </c>
      <c r="B477" s="172" t="s">
        <v>467</v>
      </c>
      <c r="C477" s="172">
        <v>27</v>
      </c>
      <c r="D477" s="172">
        <v>0</v>
      </c>
      <c r="E477" s="172">
        <v>0</v>
      </c>
      <c r="F477" s="172">
        <v>0</v>
      </c>
      <c r="G477" s="172">
        <v>12</v>
      </c>
      <c r="H477" s="172">
        <v>2</v>
      </c>
      <c r="I477" s="172">
        <v>4</v>
      </c>
      <c r="J477" s="172">
        <v>2</v>
      </c>
      <c r="K477" s="172">
        <v>20</v>
      </c>
      <c r="L477" s="172">
        <v>14</v>
      </c>
      <c r="M477" s="172">
        <v>1</v>
      </c>
      <c r="N477" s="172">
        <v>1</v>
      </c>
      <c r="O477" s="172">
        <v>7</v>
      </c>
      <c r="P477" s="174">
        <v>1</v>
      </c>
    </row>
    <row r="478" spans="1:16">
      <c r="A478" s="171" t="s">
        <v>449</v>
      </c>
      <c r="B478" s="171" t="s">
        <v>467</v>
      </c>
      <c r="C478" s="171">
        <v>40</v>
      </c>
      <c r="D478" s="171">
        <v>10</v>
      </c>
      <c r="E478" s="171">
        <v>1</v>
      </c>
      <c r="F478" s="171">
        <v>4</v>
      </c>
      <c r="G478" s="171">
        <v>6</v>
      </c>
      <c r="H478" s="171">
        <v>9</v>
      </c>
      <c r="I478" s="171">
        <v>13</v>
      </c>
      <c r="J478" s="171">
        <v>0</v>
      </c>
      <c r="K478" s="171">
        <v>33</v>
      </c>
      <c r="L478" s="171">
        <v>19</v>
      </c>
      <c r="M478" s="171">
        <v>3</v>
      </c>
      <c r="N478" s="171">
        <v>5</v>
      </c>
      <c r="O478" s="171">
        <v>13</v>
      </c>
      <c r="P478" s="173">
        <v>0</v>
      </c>
    </row>
    <row r="479" spans="1:16">
      <c r="A479" s="172" t="s">
        <v>449</v>
      </c>
      <c r="B479" s="172" t="s">
        <v>467</v>
      </c>
      <c r="C479" s="172">
        <v>81</v>
      </c>
      <c r="D479" s="172">
        <v>0</v>
      </c>
      <c r="E479" s="172">
        <v>0</v>
      </c>
      <c r="F479" s="172">
        <v>0</v>
      </c>
      <c r="G479" s="172">
        <v>1</v>
      </c>
      <c r="H479" s="172">
        <v>16</v>
      </c>
      <c r="I479" s="172">
        <v>14</v>
      </c>
      <c r="J479" s="172">
        <v>23</v>
      </c>
      <c r="K479" s="172">
        <v>54</v>
      </c>
      <c r="L479" s="172">
        <v>44</v>
      </c>
      <c r="M479" s="172">
        <v>9</v>
      </c>
      <c r="N479" s="172">
        <v>3</v>
      </c>
      <c r="O479" s="172">
        <v>12</v>
      </c>
      <c r="P479" s="174">
        <v>1</v>
      </c>
    </row>
    <row r="480" spans="1:16">
      <c r="A480" s="171" t="s">
        <v>449</v>
      </c>
      <c r="B480" s="171" t="s">
        <v>467</v>
      </c>
      <c r="C480" s="171">
        <v>48</v>
      </c>
      <c r="D480" s="171">
        <v>0</v>
      </c>
      <c r="E480" s="171">
        <v>0</v>
      </c>
      <c r="F480" s="171">
        <v>0</v>
      </c>
      <c r="G480" s="171">
        <v>12</v>
      </c>
      <c r="H480" s="171">
        <v>20</v>
      </c>
      <c r="I480" s="171">
        <v>23</v>
      </c>
      <c r="J480" s="171">
        <v>3</v>
      </c>
      <c r="K480" s="171">
        <v>58</v>
      </c>
      <c r="L480" s="171">
        <v>55</v>
      </c>
      <c r="M480" s="171">
        <v>7</v>
      </c>
      <c r="N480" s="171">
        <v>2</v>
      </c>
      <c r="O480" s="171">
        <v>5</v>
      </c>
      <c r="P480" s="173">
        <v>2</v>
      </c>
    </row>
    <row r="481" spans="1:16">
      <c r="A481" s="172" t="s">
        <v>449</v>
      </c>
      <c r="B481" s="172" t="s">
        <v>467</v>
      </c>
      <c r="C481" s="172">
        <v>45</v>
      </c>
      <c r="D481" s="172">
        <v>0</v>
      </c>
      <c r="E481" s="172">
        <v>0</v>
      </c>
      <c r="F481" s="172">
        <v>0</v>
      </c>
      <c r="G481" s="172">
        <v>8</v>
      </c>
      <c r="H481" s="172">
        <v>12</v>
      </c>
      <c r="I481" s="172">
        <v>14</v>
      </c>
      <c r="J481" s="172">
        <v>2</v>
      </c>
      <c r="K481" s="172">
        <v>36</v>
      </c>
      <c r="L481" s="172">
        <v>9</v>
      </c>
      <c r="M481" s="172">
        <v>2</v>
      </c>
      <c r="N481" s="172">
        <v>1</v>
      </c>
      <c r="O481" s="172">
        <v>29</v>
      </c>
      <c r="P481" s="174">
        <v>1</v>
      </c>
    </row>
    <row r="482" spans="1:16">
      <c r="A482" s="171" t="s">
        <v>449</v>
      </c>
      <c r="B482" s="171" t="s">
        <v>467</v>
      </c>
      <c r="C482" s="171">
        <v>45</v>
      </c>
      <c r="D482" s="171">
        <v>0</v>
      </c>
      <c r="E482" s="171">
        <v>0</v>
      </c>
      <c r="F482" s="171">
        <v>0</v>
      </c>
      <c r="G482" s="171">
        <v>0</v>
      </c>
      <c r="H482" s="171">
        <v>10</v>
      </c>
      <c r="I482" s="171">
        <v>26</v>
      </c>
      <c r="J482" s="171">
        <v>1</v>
      </c>
      <c r="K482" s="171">
        <v>37</v>
      </c>
      <c r="L482" s="171">
        <v>18</v>
      </c>
      <c r="M482" s="171">
        <v>4</v>
      </c>
      <c r="N482" s="171">
        <v>2</v>
      </c>
      <c r="O482" s="171">
        <v>17</v>
      </c>
      <c r="P482" s="173">
        <v>1</v>
      </c>
    </row>
    <row r="483" spans="1:16">
      <c r="A483" s="172" t="s">
        <v>449</v>
      </c>
      <c r="B483" s="172" t="s">
        <v>467</v>
      </c>
      <c r="C483" s="172">
        <v>50</v>
      </c>
      <c r="D483" s="172">
        <v>15</v>
      </c>
      <c r="E483" s="172">
        <v>0</v>
      </c>
      <c r="F483" s="172">
        <v>0</v>
      </c>
      <c r="G483" s="172">
        <v>18</v>
      </c>
      <c r="H483" s="172">
        <v>14</v>
      </c>
      <c r="I483" s="172">
        <v>14</v>
      </c>
      <c r="J483" s="172">
        <v>1</v>
      </c>
      <c r="K483" s="172">
        <v>47</v>
      </c>
      <c r="L483" s="172">
        <v>38</v>
      </c>
      <c r="M483" s="172">
        <v>12</v>
      </c>
      <c r="N483" s="172">
        <v>7</v>
      </c>
      <c r="O483" s="172">
        <v>3</v>
      </c>
      <c r="P483" s="174">
        <v>1</v>
      </c>
    </row>
    <row r="484" spans="1:16" hidden="1">
      <c r="A484" s="171" t="s">
        <v>471</v>
      </c>
      <c r="B484" s="171" t="s">
        <v>467</v>
      </c>
      <c r="C484" s="171">
        <v>50</v>
      </c>
      <c r="D484" s="171">
        <v>15</v>
      </c>
      <c r="E484" s="171">
        <v>4</v>
      </c>
      <c r="F484" s="171">
        <v>4</v>
      </c>
      <c r="G484" s="171">
        <v>6</v>
      </c>
      <c r="H484" s="171">
        <v>16</v>
      </c>
      <c r="I484" s="171">
        <v>9</v>
      </c>
      <c r="J484" s="171">
        <v>0</v>
      </c>
      <c r="K484" s="171">
        <v>39</v>
      </c>
      <c r="L484" s="171">
        <v>6</v>
      </c>
      <c r="M484" s="171">
        <v>28</v>
      </c>
      <c r="N484" s="171">
        <v>20</v>
      </c>
      <c r="O484" s="171">
        <v>3</v>
      </c>
      <c r="P484" s="173">
        <v>1</v>
      </c>
    </row>
    <row r="485" spans="1:16">
      <c r="A485" s="172" t="s">
        <v>449</v>
      </c>
      <c r="B485" s="172" t="s">
        <v>467</v>
      </c>
      <c r="C485" s="172">
        <v>40</v>
      </c>
      <c r="D485" s="172">
        <v>14</v>
      </c>
      <c r="E485" s="172">
        <v>2</v>
      </c>
      <c r="F485" s="172">
        <v>6</v>
      </c>
      <c r="G485" s="172">
        <v>5</v>
      </c>
      <c r="H485" s="172">
        <v>15</v>
      </c>
      <c r="I485" s="172">
        <v>6</v>
      </c>
      <c r="J485" s="172">
        <v>0</v>
      </c>
      <c r="K485" s="172">
        <v>34</v>
      </c>
      <c r="L485" s="172">
        <v>15</v>
      </c>
      <c r="M485" s="172">
        <v>10</v>
      </c>
      <c r="N485" s="172">
        <v>11</v>
      </c>
      <c r="O485" s="172">
        <v>10</v>
      </c>
      <c r="P485" s="174">
        <v>4</v>
      </c>
    </row>
    <row r="486" spans="1:16" hidden="1">
      <c r="A486" s="171" t="s">
        <v>347</v>
      </c>
      <c r="B486" s="171" t="s">
        <v>467</v>
      </c>
      <c r="C486" s="171">
        <v>28</v>
      </c>
      <c r="D486" s="171">
        <v>8</v>
      </c>
      <c r="E486" s="171">
        <v>1</v>
      </c>
      <c r="F486" s="171">
        <v>4</v>
      </c>
      <c r="G486" s="171">
        <v>7</v>
      </c>
      <c r="H486" s="171">
        <v>5</v>
      </c>
      <c r="I486" s="171">
        <v>3</v>
      </c>
      <c r="J486" s="171">
        <v>0</v>
      </c>
      <c r="K486" s="171">
        <v>20</v>
      </c>
      <c r="L486" s="171">
        <v>0</v>
      </c>
      <c r="M486" s="171">
        <v>20</v>
      </c>
      <c r="N486" s="171">
        <v>0</v>
      </c>
      <c r="O486" s="171">
        <v>0</v>
      </c>
      <c r="P486" s="173">
        <v>0</v>
      </c>
    </row>
    <row r="487" spans="1:16">
      <c r="A487" s="172" t="s">
        <v>449</v>
      </c>
      <c r="B487" s="172" t="s">
        <v>467</v>
      </c>
      <c r="C487" s="172">
        <v>38</v>
      </c>
      <c r="D487" s="172">
        <v>13</v>
      </c>
      <c r="E487" s="172">
        <v>4</v>
      </c>
      <c r="F487" s="172">
        <v>10</v>
      </c>
      <c r="G487" s="172">
        <v>9</v>
      </c>
      <c r="H487" s="172">
        <v>10</v>
      </c>
      <c r="I487" s="172">
        <v>8</v>
      </c>
      <c r="J487" s="172">
        <v>0</v>
      </c>
      <c r="K487" s="172">
        <v>41</v>
      </c>
      <c r="L487" s="172">
        <v>12</v>
      </c>
      <c r="M487" s="172">
        <v>4</v>
      </c>
      <c r="N487" s="172">
        <v>5</v>
      </c>
      <c r="O487" s="172">
        <v>28</v>
      </c>
      <c r="P487" s="174">
        <v>5</v>
      </c>
    </row>
    <row r="488" spans="1:16">
      <c r="A488" s="171" t="s">
        <v>449</v>
      </c>
      <c r="B488" s="171" t="s">
        <v>467</v>
      </c>
      <c r="C488" s="171">
        <v>44</v>
      </c>
      <c r="D488" s="171">
        <v>0</v>
      </c>
      <c r="E488" s="171">
        <v>0</v>
      </c>
      <c r="F488" s="171">
        <v>0</v>
      </c>
      <c r="G488" s="171">
        <v>7</v>
      </c>
      <c r="H488" s="171">
        <v>9</v>
      </c>
      <c r="I488" s="171">
        <v>9</v>
      </c>
      <c r="J488" s="171">
        <v>2</v>
      </c>
      <c r="K488" s="171">
        <v>27</v>
      </c>
      <c r="L488" s="171">
        <v>26</v>
      </c>
      <c r="M488" s="171">
        <v>4</v>
      </c>
      <c r="N488" s="171">
        <v>2</v>
      </c>
      <c r="O488" s="171">
        <v>5</v>
      </c>
      <c r="P488" s="173">
        <v>3</v>
      </c>
    </row>
    <row r="489" spans="1:16">
      <c r="A489" s="172" t="s">
        <v>449</v>
      </c>
      <c r="B489" s="172" t="s">
        <v>467</v>
      </c>
      <c r="C489" s="172">
        <v>49</v>
      </c>
      <c r="D489" s="172">
        <v>14</v>
      </c>
      <c r="E489" s="172">
        <v>0</v>
      </c>
      <c r="F489" s="172">
        <v>9</v>
      </c>
      <c r="G489" s="172">
        <v>18</v>
      </c>
      <c r="H489" s="172">
        <v>13</v>
      </c>
      <c r="I489" s="172">
        <v>12</v>
      </c>
      <c r="J489" s="172">
        <v>0</v>
      </c>
      <c r="K489" s="172">
        <v>52</v>
      </c>
      <c r="L489" s="172">
        <v>50</v>
      </c>
      <c r="M489" s="172">
        <v>9</v>
      </c>
      <c r="N489" s="172">
        <v>3</v>
      </c>
      <c r="O489" s="172">
        <v>4</v>
      </c>
      <c r="P489" s="174">
        <v>4</v>
      </c>
    </row>
    <row r="490" spans="1:16" hidden="1">
      <c r="A490" s="171" t="s">
        <v>468</v>
      </c>
      <c r="B490" s="171" t="s">
        <v>467</v>
      </c>
      <c r="C490" s="171">
        <v>52</v>
      </c>
      <c r="D490" s="171">
        <v>8</v>
      </c>
      <c r="E490" s="171">
        <v>3</v>
      </c>
      <c r="F490" s="171">
        <v>4</v>
      </c>
      <c r="G490" s="171">
        <v>12</v>
      </c>
      <c r="H490" s="171">
        <v>16</v>
      </c>
      <c r="I490" s="171">
        <v>11</v>
      </c>
      <c r="J490" s="171">
        <v>1</v>
      </c>
      <c r="K490" s="171">
        <v>47</v>
      </c>
      <c r="L490" s="171">
        <v>2</v>
      </c>
      <c r="M490" s="171">
        <v>4</v>
      </c>
      <c r="N490" s="171">
        <v>43</v>
      </c>
      <c r="O490" s="171">
        <v>2</v>
      </c>
      <c r="P490" s="173">
        <v>0</v>
      </c>
    </row>
    <row r="491" spans="1:16">
      <c r="A491" s="172" t="s">
        <v>449</v>
      </c>
      <c r="B491" s="172" t="s">
        <v>467</v>
      </c>
      <c r="C491" s="172">
        <v>70</v>
      </c>
      <c r="D491" s="172">
        <v>20</v>
      </c>
      <c r="E491" s="172">
        <v>3</v>
      </c>
      <c r="F491" s="172">
        <v>12</v>
      </c>
      <c r="G491" s="172">
        <v>9</v>
      </c>
      <c r="H491" s="172">
        <v>23</v>
      </c>
      <c r="I491" s="172">
        <v>13</v>
      </c>
      <c r="J491" s="172">
        <v>1</v>
      </c>
      <c r="K491" s="172">
        <v>61</v>
      </c>
      <c r="L491" s="172">
        <v>24</v>
      </c>
      <c r="M491" s="172">
        <v>10</v>
      </c>
      <c r="N491" s="172">
        <v>14</v>
      </c>
      <c r="O491" s="172">
        <v>22</v>
      </c>
      <c r="P491" s="174">
        <v>6</v>
      </c>
    </row>
    <row r="492" spans="1:16">
      <c r="A492" s="171" t="s">
        <v>449</v>
      </c>
      <c r="B492" s="171" t="s">
        <v>467</v>
      </c>
      <c r="C492" s="171">
        <v>32</v>
      </c>
      <c r="D492" s="171">
        <v>0</v>
      </c>
      <c r="E492" s="171">
        <v>0</v>
      </c>
      <c r="F492" s="171">
        <v>0</v>
      </c>
      <c r="G492" s="171">
        <v>0</v>
      </c>
      <c r="H492" s="171">
        <v>14</v>
      </c>
      <c r="I492" s="171">
        <v>18</v>
      </c>
      <c r="J492" s="171">
        <v>2</v>
      </c>
      <c r="K492" s="171">
        <v>34</v>
      </c>
      <c r="L492" s="171">
        <v>16</v>
      </c>
      <c r="M492" s="171">
        <v>1</v>
      </c>
      <c r="N492" s="171">
        <v>2</v>
      </c>
      <c r="O492" s="171">
        <v>18</v>
      </c>
      <c r="P492" s="173">
        <v>2</v>
      </c>
    </row>
    <row r="493" spans="1:16">
      <c r="A493" s="172" t="s">
        <v>449</v>
      </c>
      <c r="B493" s="172" t="s">
        <v>467</v>
      </c>
      <c r="C493" s="172">
        <v>30</v>
      </c>
      <c r="D493" s="172">
        <v>0</v>
      </c>
      <c r="E493" s="172">
        <v>0</v>
      </c>
      <c r="F493" s="172">
        <v>0</v>
      </c>
      <c r="G493" s="172">
        <v>0</v>
      </c>
      <c r="H493" s="172">
        <v>8</v>
      </c>
      <c r="I493" s="172">
        <v>6</v>
      </c>
      <c r="J493" s="172">
        <v>1</v>
      </c>
      <c r="K493" s="172">
        <v>15</v>
      </c>
      <c r="L493" s="172">
        <v>8</v>
      </c>
      <c r="M493" s="172">
        <v>3</v>
      </c>
      <c r="N493" s="172">
        <v>2</v>
      </c>
      <c r="O493" s="172">
        <v>6</v>
      </c>
      <c r="P493" s="174">
        <v>0</v>
      </c>
    </row>
    <row r="494" spans="1:16">
      <c r="A494" s="171" t="s">
        <v>449</v>
      </c>
      <c r="B494" s="171" t="s">
        <v>467</v>
      </c>
      <c r="C494" s="171">
        <v>33</v>
      </c>
      <c r="D494" s="171">
        <v>0</v>
      </c>
      <c r="E494" s="171">
        <v>0</v>
      </c>
      <c r="F494" s="171">
        <v>0</v>
      </c>
      <c r="G494" s="171">
        <v>18</v>
      </c>
      <c r="H494" s="171">
        <v>14</v>
      </c>
      <c r="I494" s="171">
        <v>17</v>
      </c>
      <c r="J494" s="171">
        <v>2</v>
      </c>
      <c r="K494" s="171">
        <v>51</v>
      </c>
      <c r="L494" s="171">
        <v>49</v>
      </c>
      <c r="M494" s="171">
        <v>3</v>
      </c>
      <c r="N494" s="171">
        <v>0</v>
      </c>
      <c r="O494" s="171">
        <v>5</v>
      </c>
      <c r="P494" s="173">
        <v>2</v>
      </c>
    </row>
    <row r="495" spans="1:16">
      <c r="A495" s="172" t="s">
        <v>449</v>
      </c>
      <c r="B495" s="172" t="s">
        <v>467</v>
      </c>
      <c r="C495" s="172">
        <v>50</v>
      </c>
      <c r="D495" s="172">
        <v>0</v>
      </c>
      <c r="E495" s="172">
        <v>0</v>
      </c>
      <c r="F495" s="172">
        <v>0</v>
      </c>
      <c r="G495" s="172">
        <v>0</v>
      </c>
      <c r="H495" s="172">
        <v>0</v>
      </c>
      <c r="I495" s="172">
        <v>40</v>
      </c>
      <c r="J495" s="172">
        <v>7</v>
      </c>
      <c r="K495" s="172">
        <v>47</v>
      </c>
      <c r="L495" s="172">
        <v>20</v>
      </c>
      <c r="M495" s="172">
        <v>1</v>
      </c>
      <c r="N495" s="172">
        <v>1</v>
      </c>
      <c r="O495" s="172">
        <v>33</v>
      </c>
      <c r="P495" s="174">
        <v>2</v>
      </c>
    </row>
    <row r="496" spans="1:16">
      <c r="A496" s="171" t="s">
        <v>449</v>
      </c>
      <c r="B496" s="171" t="s">
        <v>467</v>
      </c>
      <c r="C496" s="171">
        <v>45</v>
      </c>
      <c r="D496" s="171">
        <v>0</v>
      </c>
      <c r="E496" s="171">
        <v>0</v>
      </c>
      <c r="F496" s="171">
        <v>0</v>
      </c>
      <c r="G496" s="171">
        <v>6</v>
      </c>
      <c r="H496" s="171">
        <v>11</v>
      </c>
      <c r="I496" s="171">
        <v>8</v>
      </c>
      <c r="J496" s="171">
        <v>0</v>
      </c>
      <c r="K496" s="171">
        <v>25</v>
      </c>
      <c r="L496" s="171">
        <v>7</v>
      </c>
      <c r="M496" s="171">
        <v>1</v>
      </c>
      <c r="N496" s="171">
        <v>1</v>
      </c>
      <c r="O496" s="171">
        <v>18</v>
      </c>
      <c r="P496" s="173">
        <v>5</v>
      </c>
    </row>
    <row r="497" spans="1:16">
      <c r="A497" s="172" t="s">
        <v>449</v>
      </c>
      <c r="B497" s="172" t="s">
        <v>467</v>
      </c>
      <c r="C497" s="172">
        <v>26</v>
      </c>
      <c r="D497" s="172">
        <v>10</v>
      </c>
      <c r="E497" s="172">
        <v>0</v>
      </c>
      <c r="F497" s="172">
        <v>5</v>
      </c>
      <c r="G497" s="172">
        <v>7</v>
      </c>
      <c r="H497" s="172">
        <v>3</v>
      </c>
      <c r="I497" s="172">
        <v>2</v>
      </c>
      <c r="J497" s="172">
        <v>0</v>
      </c>
      <c r="K497" s="172">
        <v>17</v>
      </c>
      <c r="L497" s="172">
        <v>12</v>
      </c>
      <c r="M497" s="172">
        <v>2</v>
      </c>
      <c r="N497" s="172">
        <v>0</v>
      </c>
      <c r="O497" s="172">
        <v>7</v>
      </c>
      <c r="P497" s="174">
        <v>1</v>
      </c>
    </row>
    <row r="498" spans="1:16">
      <c r="A498" s="171" t="s">
        <v>449</v>
      </c>
      <c r="B498" s="171" t="s">
        <v>467</v>
      </c>
      <c r="C498" s="171">
        <v>40</v>
      </c>
      <c r="D498" s="171">
        <v>0</v>
      </c>
      <c r="E498" s="171">
        <v>0</v>
      </c>
      <c r="F498" s="171">
        <v>0</v>
      </c>
      <c r="G498" s="171">
        <v>9</v>
      </c>
      <c r="H498" s="171">
        <v>8</v>
      </c>
      <c r="I498" s="171">
        <v>20</v>
      </c>
      <c r="J498" s="171">
        <v>1</v>
      </c>
      <c r="K498" s="171">
        <v>38</v>
      </c>
      <c r="L498" s="171">
        <v>3</v>
      </c>
      <c r="M498" s="171">
        <v>1</v>
      </c>
      <c r="N498" s="171">
        <v>6</v>
      </c>
      <c r="O498" s="171">
        <v>29</v>
      </c>
      <c r="P498" s="173">
        <v>2</v>
      </c>
    </row>
    <row r="499" spans="1:16">
      <c r="A499" s="172" t="s">
        <v>449</v>
      </c>
      <c r="B499" s="172" t="s">
        <v>467</v>
      </c>
      <c r="C499" s="172">
        <v>50</v>
      </c>
      <c r="D499" s="172">
        <v>14</v>
      </c>
      <c r="E499" s="172">
        <v>4</v>
      </c>
      <c r="F499" s="172">
        <v>9</v>
      </c>
      <c r="G499" s="172">
        <v>19</v>
      </c>
      <c r="H499" s="172">
        <v>14</v>
      </c>
      <c r="I499" s="172">
        <v>7</v>
      </c>
      <c r="J499" s="172">
        <v>1</v>
      </c>
      <c r="K499" s="172">
        <v>54</v>
      </c>
      <c r="L499" s="172">
        <v>23</v>
      </c>
      <c r="M499" s="172">
        <v>9</v>
      </c>
      <c r="N499" s="172">
        <v>6</v>
      </c>
      <c r="O499" s="172">
        <v>31</v>
      </c>
      <c r="P499" s="174">
        <v>2</v>
      </c>
    </row>
    <row r="500" spans="1:16">
      <c r="A500" s="171" t="s">
        <v>449</v>
      </c>
      <c r="B500" s="171" t="s">
        <v>467</v>
      </c>
      <c r="C500" s="171">
        <v>70</v>
      </c>
      <c r="D500" s="171">
        <v>25</v>
      </c>
      <c r="E500" s="171">
        <v>1</v>
      </c>
      <c r="F500" s="171">
        <v>15</v>
      </c>
      <c r="G500" s="171">
        <v>14</v>
      </c>
      <c r="H500" s="171">
        <v>14</v>
      </c>
      <c r="I500" s="171">
        <v>11</v>
      </c>
      <c r="J500" s="171">
        <v>1</v>
      </c>
      <c r="K500" s="171">
        <v>56</v>
      </c>
      <c r="L500" s="171">
        <v>38</v>
      </c>
      <c r="M500" s="171">
        <v>3</v>
      </c>
      <c r="N500" s="171">
        <v>3</v>
      </c>
      <c r="O500" s="171">
        <v>19</v>
      </c>
      <c r="P500" s="173">
        <v>4</v>
      </c>
    </row>
    <row r="501" spans="1:16">
      <c r="A501" s="172" t="s">
        <v>449</v>
      </c>
      <c r="B501" s="172" t="s">
        <v>467</v>
      </c>
      <c r="C501" s="172">
        <v>41</v>
      </c>
      <c r="D501" s="172">
        <v>4</v>
      </c>
      <c r="E501" s="172">
        <v>0</v>
      </c>
      <c r="F501" s="172">
        <v>0</v>
      </c>
      <c r="G501" s="172">
        <v>10</v>
      </c>
      <c r="H501" s="172">
        <v>9</v>
      </c>
      <c r="I501" s="172">
        <v>16</v>
      </c>
      <c r="J501" s="172">
        <v>0</v>
      </c>
      <c r="K501" s="172">
        <v>35</v>
      </c>
      <c r="L501" s="172">
        <v>23</v>
      </c>
      <c r="M501" s="172">
        <v>0</v>
      </c>
      <c r="N501" s="172">
        <v>0</v>
      </c>
      <c r="O501" s="172">
        <v>19</v>
      </c>
      <c r="P501" s="174">
        <v>0</v>
      </c>
    </row>
    <row r="502" spans="1:16">
      <c r="A502" s="171" t="s">
        <v>449</v>
      </c>
      <c r="B502" s="171" t="s">
        <v>467</v>
      </c>
      <c r="C502" s="171">
        <v>36</v>
      </c>
      <c r="D502" s="171">
        <v>0</v>
      </c>
      <c r="E502" s="171">
        <v>0</v>
      </c>
      <c r="F502" s="171">
        <v>0</v>
      </c>
      <c r="G502" s="171">
        <v>8</v>
      </c>
      <c r="H502" s="171">
        <v>19</v>
      </c>
      <c r="I502" s="171">
        <v>17</v>
      </c>
      <c r="J502" s="171">
        <v>3</v>
      </c>
      <c r="K502" s="171">
        <v>47</v>
      </c>
      <c r="L502" s="171">
        <v>42</v>
      </c>
      <c r="M502" s="171">
        <v>4</v>
      </c>
      <c r="N502" s="171">
        <v>1</v>
      </c>
      <c r="O502" s="171">
        <v>6</v>
      </c>
      <c r="P502" s="173">
        <v>0</v>
      </c>
    </row>
    <row r="503" spans="1:16">
      <c r="A503" s="172" t="s">
        <v>449</v>
      </c>
      <c r="B503" s="172" t="s">
        <v>467</v>
      </c>
      <c r="C503" s="172">
        <v>30</v>
      </c>
      <c r="D503" s="172">
        <v>0</v>
      </c>
      <c r="E503" s="172">
        <v>0</v>
      </c>
      <c r="F503" s="172">
        <v>0</v>
      </c>
      <c r="G503" s="172">
        <v>6</v>
      </c>
      <c r="H503" s="172">
        <v>15</v>
      </c>
      <c r="I503" s="172">
        <v>16</v>
      </c>
      <c r="J503" s="172">
        <v>4</v>
      </c>
      <c r="K503" s="172">
        <v>41</v>
      </c>
      <c r="L503" s="172">
        <v>28</v>
      </c>
      <c r="M503" s="172">
        <v>4</v>
      </c>
      <c r="N503" s="172">
        <v>0</v>
      </c>
      <c r="O503" s="172">
        <v>9</v>
      </c>
      <c r="P503" s="174">
        <v>7</v>
      </c>
    </row>
    <row r="504" spans="1:16">
      <c r="A504" s="171" t="s">
        <v>449</v>
      </c>
      <c r="B504" s="171" t="s">
        <v>467</v>
      </c>
      <c r="C504" s="171">
        <v>50</v>
      </c>
      <c r="D504" s="171">
        <v>12</v>
      </c>
      <c r="E504" s="171">
        <v>2</v>
      </c>
      <c r="F504" s="171">
        <v>11</v>
      </c>
      <c r="G504" s="171">
        <v>15</v>
      </c>
      <c r="H504" s="171">
        <v>13</v>
      </c>
      <c r="I504" s="171">
        <v>12</v>
      </c>
      <c r="J504" s="171">
        <v>0</v>
      </c>
      <c r="K504" s="171">
        <v>53</v>
      </c>
      <c r="L504" s="171">
        <v>33</v>
      </c>
      <c r="M504" s="171">
        <v>4</v>
      </c>
      <c r="N504" s="171">
        <v>1</v>
      </c>
      <c r="O504" s="171">
        <v>27</v>
      </c>
      <c r="P504" s="173">
        <v>3</v>
      </c>
    </row>
    <row r="505" spans="1:16">
      <c r="A505" s="172" t="s">
        <v>449</v>
      </c>
      <c r="B505" s="172" t="s">
        <v>467</v>
      </c>
      <c r="C505" s="172">
        <v>50</v>
      </c>
      <c r="D505" s="172">
        <v>0</v>
      </c>
      <c r="E505" s="172">
        <v>0</v>
      </c>
      <c r="F505" s="172">
        <v>0</v>
      </c>
      <c r="G505" s="172">
        <v>6</v>
      </c>
      <c r="H505" s="172">
        <v>15</v>
      </c>
      <c r="I505" s="172">
        <v>18</v>
      </c>
      <c r="J505" s="172">
        <v>1</v>
      </c>
      <c r="K505" s="172">
        <v>40</v>
      </c>
      <c r="L505" s="172">
        <v>10</v>
      </c>
      <c r="M505" s="172">
        <v>4</v>
      </c>
      <c r="N505" s="172">
        <v>14</v>
      </c>
      <c r="O505" s="172">
        <v>22</v>
      </c>
      <c r="P505" s="174">
        <v>1</v>
      </c>
    </row>
    <row r="506" spans="1:16">
      <c r="A506" s="171" t="s">
        <v>449</v>
      </c>
      <c r="B506" s="171" t="s">
        <v>467</v>
      </c>
      <c r="C506" s="171">
        <v>30</v>
      </c>
      <c r="D506" s="171">
        <v>0</v>
      </c>
      <c r="E506" s="171">
        <v>0</v>
      </c>
      <c r="F506" s="171">
        <v>0</v>
      </c>
      <c r="G506" s="171">
        <v>8</v>
      </c>
      <c r="H506" s="171">
        <v>9</v>
      </c>
      <c r="I506" s="171">
        <v>17</v>
      </c>
      <c r="J506" s="171">
        <v>4</v>
      </c>
      <c r="K506" s="171">
        <v>38</v>
      </c>
      <c r="L506" s="171">
        <v>25</v>
      </c>
      <c r="M506" s="171">
        <v>0</v>
      </c>
      <c r="N506" s="171">
        <v>0</v>
      </c>
      <c r="O506" s="171">
        <v>11</v>
      </c>
      <c r="P506" s="173">
        <v>6</v>
      </c>
    </row>
    <row r="507" spans="1:16">
      <c r="A507" s="172" t="s">
        <v>449</v>
      </c>
      <c r="B507" s="172" t="s">
        <v>467</v>
      </c>
      <c r="C507" s="172">
        <v>47</v>
      </c>
      <c r="D507" s="172">
        <v>15</v>
      </c>
      <c r="E507" s="172">
        <v>0</v>
      </c>
      <c r="F507" s="172">
        <v>9</v>
      </c>
      <c r="G507" s="172">
        <v>13</v>
      </c>
      <c r="H507" s="172">
        <v>12</v>
      </c>
      <c r="I507" s="172">
        <v>11</v>
      </c>
      <c r="J507" s="172">
        <v>0</v>
      </c>
      <c r="K507" s="172">
        <v>45</v>
      </c>
      <c r="L507" s="172">
        <v>6</v>
      </c>
      <c r="M507" s="172">
        <v>5</v>
      </c>
      <c r="N507" s="172">
        <v>2</v>
      </c>
      <c r="O507" s="172">
        <v>28</v>
      </c>
      <c r="P507" s="174">
        <v>12</v>
      </c>
    </row>
    <row r="508" spans="1:16">
      <c r="A508" s="171" t="s">
        <v>449</v>
      </c>
      <c r="B508" s="171" t="s">
        <v>467</v>
      </c>
      <c r="C508" s="171">
        <v>62</v>
      </c>
      <c r="D508" s="171">
        <v>12</v>
      </c>
      <c r="E508" s="171">
        <v>0</v>
      </c>
      <c r="F508" s="171">
        <v>9</v>
      </c>
      <c r="G508" s="171">
        <v>21</v>
      </c>
      <c r="H508" s="171">
        <v>19</v>
      </c>
      <c r="I508" s="171">
        <v>8</v>
      </c>
      <c r="J508" s="171">
        <v>0</v>
      </c>
      <c r="K508" s="171">
        <v>57</v>
      </c>
      <c r="L508" s="171">
        <v>24</v>
      </c>
      <c r="M508" s="171">
        <v>3</v>
      </c>
      <c r="N508" s="171">
        <v>3</v>
      </c>
      <c r="O508" s="171">
        <v>33</v>
      </c>
      <c r="P508" s="173">
        <v>3</v>
      </c>
    </row>
    <row r="509" spans="1:16">
      <c r="A509" s="172" t="s">
        <v>449</v>
      </c>
      <c r="B509" s="172" t="s">
        <v>467</v>
      </c>
      <c r="C509" s="172">
        <v>33</v>
      </c>
      <c r="D509" s="172">
        <v>9</v>
      </c>
      <c r="E509" s="172">
        <v>2</v>
      </c>
      <c r="F509" s="172">
        <v>4</v>
      </c>
      <c r="G509" s="172">
        <v>7</v>
      </c>
      <c r="H509" s="172">
        <v>8</v>
      </c>
      <c r="I509" s="172">
        <v>4</v>
      </c>
      <c r="J509" s="172">
        <v>0</v>
      </c>
      <c r="K509" s="172">
        <v>25</v>
      </c>
      <c r="L509" s="172">
        <v>17</v>
      </c>
      <c r="M509" s="172">
        <v>2</v>
      </c>
      <c r="N509" s="172">
        <v>5</v>
      </c>
      <c r="O509" s="172">
        <v>8</v>
      </c>
      <c r="P509" s="174">
        <v>0</v>
      </c>
    </row>
    <row r="510" spans="1:16">
      <c r="A510" s="171" t="s">
        <v>449</v>
      </c>
      <c r="B510" s="171" t="s">
        <v>467</v>
      </c>
      <c r="C510" s="171">
        <v>80</v>
      </c>
      <c r="D510" s="171">
        <v>20</v>
      </c>
      <c r="E510" s="171">
        <v>2</v>
      </c>
      <c r="F510" s="171">
        <v>12</v>
      </c>
      <c r="G510" s="171">
        <v>20</v>
      </c>
      <c r="H510" s="171">
        <v>24</v>
      </c>
      <c r="I510" s="171">
        <v>17</v>
      </c>
      <c r="J510" s="171">
        <v>1</v>
      </c>
      <c r="K510" s="171">
        <v>76</v>
      </c>
      <c r="L510" s="171">
        <v>21</v>
      </c>
      <c r="M510" s="171">
        <v>19</v>
      </c>
      <c r="N510" s="171">
        <v>26</v>
      </c>
      <c r="O510" s="171">
        <v>28</v>
      </c>
      <c r="P510" s="173">
        <v>15</v>
      </c>
    </row>
    <row r="511" spans="1:16">
      <c r="A511" s="172" t="s">
        <v>449</v>
      </c>
      <c r="B511" s="172" t="s">
        <v>467</v>
      </c>
      <c r="C511" s="172">
        <v>28</v>
      </c>
      <c r="D511" s="172">
        <v>0</v>
      </c>
      <c r="E511" s="172">
        <v>0</v>
      </c>
      <c r="F511" s="172">
        <v>0</v>
      </c>
      <c r="G511" s="172">
        <v>8</v>
      </c>
      <c r="H511" s="172">
        <v>11</v>
      </c>
      <c r="I511" s="172">
        <v>9</v>
      </c>
      <c r="J511" s="172">
        <v>1</v>
      </c>
      <c r="K511" s="172">
        <v>29</v>
      </c>
      <c r="L511" s="172">
        <v>13</v>
      </c>
      <c r="M511" s="172">
        <v>5</v>
      </c>
      <c r="N511" s="172">
        <v>2</v>
      </c>
      <c r="O511" s="172">
        <v>13</v>
      </c>
      <c r="P511" s="174">
        <v>1</v>
      </c>
    </row>
    <row r="512" spans="1:16" hidden="1">
      <c r="A512" s="171" t="s">
        <v>347</v>
      </c>
      <c r="B512" s="171" t="s">
        <v>467</v>
      </c>
      <c r="C512" s="171">
        <v>22</v>
      </c>
      <c r="D512" s="171">
        <v>4</v>
      </c>
      <c r="E512" s="171">
        <v>0</v>
      </c>
      <c r="F512" s="171">
        <v>4</v>
      </c>
      <c r="G512" s="171">
        <v>2</v>
      </c>
      <c r="H512" s="171">
        <v>5</v>
      </c>
      <c r="I512" s="171">
        <v>4</v>
      </c>
      <c r="J512" s="171">
        <v>0</v>
      </c>
      <c r="K512" s="171">
        <v>15</v>
      </c>
      <c r="L512" s="171">
        <v>0</v>
      </c>
      <c r="M512" s="171">
        <v>12</v>
      </c>
      <c r="N512" s="171">
        <v>3</v>
      </c>
      <c r="O512" s="171">
        <v>0</v>
      </c>
      <c r="P512" s="173">
        <v>0</v>
      </c>
    </row>
    <row r="513" spans="1:16" hidden="1">
      <c r="A513" s="172" t="s">
        <v>347</v>
      </c>
      <c r="B513" s="172" t="s">
        <v>467</v>
      </c>
      <c r="C513" s="172">
        <v>50</v>
      </c>
      <c r="D513" s="172">
        <v>15</v>
      </c>
      <c r="E513" s="172">
        <v>3</v>
      </c>
      <c r="F513" s="172">
        <v>9</v>
      </c>
      <c r="G513" s="172">
        <v>10</v>
      </c>
      <c r="H513" s="172">
        <v>10</v>
      </c>
      <c r="I513" s="172">
        <v>5</v>
      </c>
      <c r="J513" s="172">
        <v>0</v>
      </c>
      <c r="K513" s="172">
        <v>37</v>
      </c>
      <c r="L513" s="172">
        <v>0</v>
      </c>
      <c r="M513" s="172">
        <v>35</v>
      </c>
      <c r="N513" s="172">
        <v>0</v>
      </c>
      <c r="O513" s="172">
        <v>0</v>
      </c>
      <c r="P513" s="174">
        <v>2</v>
      </c>
    </row>
    <row r="514" spans="1:16">
      <c r="A514" s="171" t="s">
        <v>449</v>
      </c>
      <c r="B514" s="171" t="s">
        <v>467</v>
      </c>
      <c r="C514" s="171">
        <v>45</v>
      </c>
      <c r="D514" s="171">
        <v>0</v>
      </c>
      <c r="E514" s="171">
        <v>0</v>
      </c>
      <c r="F514" s="171">
        <v>0</v>
      </c>
      <c r="G514" s="171">
        <v>6</v>
      </c>
      <c r="H514" s="171">
        <v>5</v>
      </c>
      <c r="I514" s="171">
        <v>16</v>
      </c>
      <c r="J514" s="171">
        <v>2</v>
      </c>
      <c r="K514" s="171">
        <v>29</v>
      </c>
      <c r="L514" s="171">
        <v>13</v>
      </c>
      <c r="M514" s="171">
        <v>1</v>
      </c>
      <c r="N514" s="171">
        <v>0</v>
      </c>
      <c r="O514" s="171">
        <v>18</v>
      </c>
      <c r="P514" s="173">
        <v>3</v>
      </c>
    </row>
    <row r="515" spans="1:16">
      <c r="A515" s="172" t="s">
        <v>449</v>
      </c>
      <c r="B515" s="172" t="s">
        <v>467</v>
      </c>
      <c r="C515" s="172">
        <v>25</v>
      </c>
      <c r="D515" s="172">
        <v>8</v>
      </c>
      <c r="E515" s="172">
        <v>0</v>
      </c>
      <c r="F515" s="172">
        <v>1</v>
      </c>
      <c r="G515" s="172">
        <v>7</v>
      </c>
      <c r="H515" s="172">
        <v>11</v>
      </c>
      <c r="I515" s="172">
        <v>5</v>
      </c>
      <c r="J515" s="172">
        <v>0</v>
      </c>
      <c r="K515" s="172">
        <v>24</v>
      </c>
      <c r="L515" s="172">
        <v>0</v>
      </c>
      <c r="M515" s="172">
        <v>22</v>
      </c>
      <c r="N515" s="172">
        <v>0</v>
      </c>
      <c r="O515" s="172">
        <v>0</v>
      </c>
      <c r="P515" s="174">
        <v>2</v>
      </c>
    </row>
    <row r="516" spans="1:16">
      <c r="A516" s="171" t="s">
        <v>449</v>
      </c>
      <c r="B516" s="171" t="s">
        <v>467</v>
      </c>
      <c r="C516" s="171">
        <v>49</v>
      </c>
      <c r="D516" s="171">
        <v>15</v>
      </c>
      <c r="E516" s="171">
        <v>3</v>
      </c>
      <c r="F516" s="171">
        <v>3</v>
      </c>
      <c r="G516" s="171">
        <v>4</v>
      </c>
      <c r="H516" s="171">
        <v>4</v>
      </c>
      <c r="I516" s="171">
        <v>6</v>
      </c>
      <c r="J516" s="171">
        <v>0</v>
      </c>
      <c r="K516" s="171">
        <v>20</v>
      </c>
      <c r="L516" s="171">
        <v>11</v>
      </c>
      <c r="M516" s="171">
        <v>4</v>
      </c>
      <c r="N516" s="171">
        <v>4</v>
      </c>
      <c r="O516" s="171">
        <v>12</v>
      </c>
      <c r="P516" s="173">
        <v>0</v>
      </c>
    </row>
    <row r="517" spans="1:16">
      <c r="A517" s="172" t="s">
        <v>449</v>
      </c>
      <c r="B517" s="172" t="s">
        <v>467</v>
      </c>
      <c r="C517" s="172">
        <v>35</v>
      </c>
      <c r="D517" s="172">
        <v>8</v>
      </c>
      <c r="E517" s="172">
        <v>0</v>
      </c>
      <c r="F517" s="172">
        <v>4</v>
      </c>
      <c r="G517" s="172">
        <v>5</v>
      </c>
      <c r="H517" s="172">
        <v>9</v>
      </c>
      <c r="I517" s="172">
        <v>12</v>
      </c>
      <c r="J517" s="172">
        <v>1</v>
      </c>
      <c r="K517" s="172">
        <v>31</v>
      </c>
      <c r="L517" s="172">
        <v>22</v>
      </c>
      <c r="M517" s="172">
        <v>1</v>
      </c>
      <c r="N517" s="172">
        <v>2</v>
      </c>
      <c r="O517" s="172">
        <v>6</v>
      </c>
      <c r="P517" s="174">
        <v>4</v>
      </c>
    </row>
    <row r="518" spans="1:16">
      <c r="A518" s="171" t="s">
        <v>449</v>
      </c>
      <c r="B518" s="171" t="s">
        <v>467</v>
      </c>
      <c r="C518" s="171">
        <v>38</v>
      </c>
      <c r="D518" s="171">
        <v>14</v>
      </c>
      <c r="E518" s="171">
        <v>3</v>
      </c>
      <c r="F518" s="171">
        <v>7</v>
      </c>
      <c r="G518" s="171">
        <v>8</v>
      </c>
      <c r="H518" s="171">
        <v>13</v>
      </c>
      <c r="I518" s="171">
        <v>5</v>
      </c>
      <c r="J518" s="171">
        <v>1</v>
      </c>
      <c r="K518" s="171">
        <v>37</v>
      </c>
      <c r="L518" s="171">
        <v>18</v>
      </c>
      <c r="M518" s="171">
        <v>7</v>
      </c>
      <c r="N518" s="171">
        <v>2</v>
      </c>
      <c r="O518" s="171">
        <v>15</v>
      </c>
      <c r="P518" s="173">
        <v>5</v>
      </c>
    </row>
    <row r="519" spans="1:16">
      <c r="A519" s="172" t="s">
        <v>449</v>
      </c>
      <c r="B519" s="172" t="s">
        <v>467</v>
      </c>
      <c r="C519" s="172">
        <v>59</v>
      </c>
      <c r="D519" s="172">
        <v>9</v>
      </c>
      <c r="E519" s="172">
        <v>2</v>
      </c>
      <c r="F519" s="172">
        <v>6</v>
      </c>
      <c r="G519" s="172">
        <v>11</v>
      </c>
      <c r="H519" s="172">
        <v>15</v>
      </c>
      <c r="I519" s="172">
        <v>9</v>
      </c>
      <c r="J519" s="172">
        <v>1</v>
      </c>
      <c r="K519" s="172">
        <v>44</v>
      </c>
      <c r="L519" s="172">
        <v>22</v>
      </c>
      <c r="M519" s="172">
        <v>6</v>
      </c>
      <c r="N519" s="172">
        <v>8</v>
      </c>
      <c r="O519" s="172">
        <v>13</v>
      </c>
      <c r="P519" s="174">
        <v>5</v>
      </c>
    </row>
    <row r="520" spans="1:16" hidden="1">
      <c r="A520" s="171" t="s">
        <v>301</v>
      </c>
      <c r="B520" s="171" t="s">
        <v>467</v>
      </c>
      <c r="C520" s="171">
        <v>30</v>
      </c>
      <c r="D520" s="171">
        <v>15</v>
      </c>
      <c r="E520" s="171">
        <v>2</v>
      </c>
      <c r="F520" s="171">
        <v>5</v>
      </c>
      <c r="G520" s="171">
        <v>8</v>
      </c>
      <c r="H520" s="171">
        <v>6</v>
      </c>
      <c r="I520" s="171">
        <v>2</v>
      </c>
      <c r="J520" s="171">
        <v>0</v>
      </c>
      <c r="K520" s="171">
        <v>23</v>
      </c>
      <c r="L520" s="171">
        <v>17</v>
      </c>
      <c r="M520" s="171">
        <v>5</v>
      </c>
      <c r="N520" s="171">
        <v>2</v>
      </c>
      <c r="O520" s="171">
        <v>3</v>
      </c>
      <c r="P520" s="173">
        <v>2</v>
      </c>
    </row>
    <row r="521" spans="1:16" hidden="1">
      <c r="A521" s="172" t="s">
        <v>301</v>
      </c>
      <c r="B521" s="172" t="s">
        <v>467</v>
      </c>
      <c r="C521" s="172">
        <v>30</v>
      </c>
      <c r="D521" s="172">
        <v>20</v>
      </c>
      <c r="E521" s="172">
        <v>18</v>
      </c>
      <c r="F521" s="172">
        <v>7</v>
      </c>
      <c r="G521" s="172">
        <v>8</v>
      </c>
      <c r="H521" s="172">
        <v>9</v>
      </c>
      <c r="I521" s="172">
        <v>6</v>
      </c>
      <c r="J521" s="172">
        <v>1</v>
      </c>
      <c r="K521" s="172">
        <v>49</v>
      </c>
      <c r="L521" s="172">
        <v>44</v>
      </c>
      <c r="M521" s="172">
        <v>4</v>
      </c>
      <c r="N521" s="172">
        <v>3</v>
      </c>
      <c r="O521" s="172">
        <v>2</v>
      </c>
      <c r="P521" s="174">
        <v>5</v>
      </c>
    </row>
    <row r="522" spans="1:16" hidden="1">
      <c r="A522" s="171" t="s">
        <v>301</v>
      </c>
      <c r="B522" s="171" t="s">
        <v>467</v>
      </c>
      <c r="C522" s="171">
        <v>30</v>
      </c>
      <c r="D522" s="171">
        <v>20</v>
      </c>
      <c r="E522" s="171">
        <v>7</v>
      </c>
      <c r="F522" s="171">
        <v>2</v>
      </c>
      <c r="G522" s="171">
        <v>1</v>
      </c>
      <c r="H522" s="171">
        <v>0</v>
      </c>
      <c r="I522" s="171">
        <v>3</v>
      </c>
      <c r="J522" s="171">
        <v>0</v>
      </c>
      <c r="K522" s="171">
        <v>13</v>
      </c>
      <c r="L522" s="171">
        <v>13</v>
      </c>
      <c r="M522" s="171">
        <v>1</v>
      </c>
      <c r="N522" s="171">
        <v>1</v>
      </c>
      <c r="O522" s="171">
        <v>2</v>
      </c>
      <c r="P522" s="173">
        <v>0</v>
      </c>
    </row>
    <row r="523" spans="1:16" hidden="1">
      <c r="A523" s="172" t="s">
        <v>301</v>
      </c>
      <c r="B523" s="172" t="s">
        <v>467</v>
      </c>
      <c r="C523" s="172">
        <v>30</v>
      </c>
      <c r="D523" s="172">
        <v>20</v>
      </c>
      <c r="E523" s="172">
        <v>5</v>
      </c>
      <c r="F523" s="172">
        <v>2</v>
      </c>
      <c r="G523" s="172">
        <v>8</v>
      </c>
      <c r="H523" s="172">
        <v>1</v>
      </c>
      <c r="I523" s="172">
        <v>0</v>
      </c>
      <c r="J523" s="172">
        <v>0</v>
      </c>
      <c r="K523" s="172">
        <v>16</v>
      </c>
      <c r="L523" s="172">
        <v>14</v>
      </c>
      <c r="M523" s="172">
        <v>3</v>
      </c>
      <c r="N523" s="172">
        <v>2</v>
      </c>
      <c r="O523" s="172">
        <v>0</v>
      </c>
      <c r="P523" s="174">
        <v>1</v>
      </c>
    </row>
    <row r="524" spans="1:16" hidden="1">
      <c r="A524" s="171" t="s">
        <v>301</v>
      </c>
      <c r="B524" s="171" t="s">
        <v>467</v>
      </c>
      <c r="C524" s="171">
        <v>30</v>
      </c>
      <c r="D524" s="171">
        <v>20</v>
      </c>
      <c r="E524" s="171">
        <v>19</v>
      </c>
      <c r="F524" s="171">
        <v>8</v>
      </c>
      <c r="G524" s="171">
        <v>7</v>
      </c>
      <c r="H524" s="171">
        <v>7</v>
      </c>
      <c r="I524" s="171">
        <v>4</v>
      </c>
      <c r="J524" s="171">
        <v>0</v>
      </c>
      <c r="K524" s="171">
        <v>45</v>
      </c>
      <c r="L524" s="171">
        <v>41</v>
      </c>
      <c r="M524" s="171">
        <v>6</v>
      </c>
      <c r="N524" s="171">
        <v>6</v>
      </c>
      <c r="O524" s="171">
        <v>9</v>
      </c>
      <c r="P524" s="173">
        <v>1</v>
      </c>
    </row>
    <row r="525" spans="1:16" hidden="1">
      <c r="A525" s="172" t="s">
        <v>301</v>
      </c>
      <c r="B525" s="172" t="s">
        <v>467</v>
      </c>
      <c r="C525" s="172">
        <v>30</v>
      </c>
      <c r="D525" s="172">
        <v>15</v>
      </c>
      <c r="E525" s="172">
        <v>24</v>
      </c>
      <c r="F525" s="172">
        <v>6</v>
      </c>
      <c r="G525" s="172">
        <v>6</v>
      </c>
      <c r="H525" s="172">
        <v>4</v>
      </c>
      <c r="I525" s="172">
        <v>2</v>
      </c>
      <c r="J525" s="172">
        <v>0</v>
      </c>
      <c r="K525" s="172">
        <v>42</v>
      </c>
      <c r="L525" s="172">
        <v>34</v>
      </c>
      <c r="M525" s="172">
        <v>4</v>
      </c>
      <c r="N525" s="172">
        <v>2</v>
      </c>
      <c r="O525" s="172">
        <v>6</v>
      </c>
      <c r="P525" s="174">
        <v>7</v>
      </c>
    </row>
    <row r="526" spans="1:16" hidden="1">
      <c r="A526" s="171" t="s">
        <v>301</v>
      </c>
      <c r="B526" s="171" t="s">
        <v>467</v>
      </c>
      <c r="C526" s="171">
        <v>30</v>
      </c>
      <c r="D526" s="171">
        <v>20</v>
      </c>
      <c r="E526" s="171">
        <v>10</v>
      </c>
      <c r="F526" s="171">
        <v>10</v>
      </c>
      <c r="G526" s="171">
        <v>2</v>
      </c>
      <c r="H526" s="171">
        <v>3</v>
      </c>
      <c r="I526" s="171">
        <v>0</v>
      </c>
      <c r="J526" s="171">
        <v>0</v>
      </c>
      <c r="K526" s="171">
        <v>25</v>
      </c>
      <c r="L526" s="171">
        <v>22</v>
      </c>
      <c r="M526" s="171">
        <v>6</v>
      </c>
      <c r="N526" s="171">
        <v>4</v>
      </c>
      <c r="O526" s="171">
        <v>4</v>
      </c>
      <c r="P526" s="173">
        <v>1</v>
      </c>
    </row>
    <row r="527" spans="1:16" hidden="1">
      <c r="A527" s="172" t="s">
        <v>301</v>
      </c>
      <c r="B527" s="172" t="s">
        <v>467</v>
      </c>
      <c r="C527" s="172">
        <v>30</v>
      </c>
      <c r="D527" s="172">
        <v>15</v>
      </c>
      <c r="E527" s="172">
        <v>11</v>
      </c>
      <c r="F527" s="172">
        <v>7</v>
      </c>
      <c r="G527" s="172">
        <v>8</v>
      </c>
      <c r="H527" s="172">
        <v>6</v>
      </c>
      <c r="I527" s="172">
        <v>7</v>
      </c>
      <c r="J527" s="172">
        <v>1</v>
      </c>
      <c r="K527" s="172">
        <v>40</v>
      </c>
      <c r="L527" s="172">
        <v>34</v>
      </c>
      <c r="M527" s="172">
        <v>10</v>
      </c>
      <c r="N527" s="172">
        <v>5</v>
      </c>
      <c r="O527" s="172">
        <v>8</v>
      </c>
      <c r="P527" s="174">
        <v>2</v>
      </c>
    </row>
    <row r="528" spans="1:16" hidden="1">
      <c r="A528" s="171" t="s">
        <v>301</v>
      </c>
      <c r="B528" s="171" t="s">
        <v>467</v>
      </c>
      <c r="C528" s="171">
        <v>30</v>
      </c>
      <c r="D528" s="171">
        <v>15</v>
      </c>
      <c r="E528" s="171">
        <v>19</v>
      </c>
      <c r="F528" s="171">
        <v>7</v>
      </c>
      <c r="G528" s="171">
        <v>3</v>
      </c>
      <c r="H528" s="171">
        <v>3</v>
      </c>
      <c r="I528" s="171">
        <v>2</v>
      </c>
      <c r="J528" s="171">
        <v>0</v>
      </c>
      <c r="K528" s="171">
        <v>34</v>
      </c>
      <c r="L528" s="171">
        <v>33</v>
      </c>
      <c r="M528" s="171">
        <v>7</v>
      </c>
      <c r="N528" s="171">
        <v>3</v>
      </c>
      <c r="O528" s="171">
        <v>3</v>
      </c>
      <c r="P528" s="173">
        <v>2</v>
      </c>
    </row>
    <row r="529" spans="1:16" hidden="1">
      <c r="A529" s="172" t="s">
        <v>301</v>
      </c>
      <c r="B529" s="172" t="s">
        <v>467</v>
      </c>
      <c r="C529" s="172">
        <v>30</v>
      </c>
      <c r="D529" s="172">
        <v>15</v>
      </c>
      <c r="E529" s="172">
        <v>0</v>
      </c>
      <c r="F529" s="172">
        <v>4</v>
      </c>
      <c r="G529" s="172">
        <v>4</v>
      </c>
      <c r="H529" s="172">
        <v>7</v>
      </c>
      <c r="I529" s="172">
        <v>0</v>
      </c>
      <c r="J529" s="172">
        <v>0</v>
      </c>
      <c r="K529" s="172">
        <v>15</v>
      </c>
      <c r="L529" s="172">
        <v>15</v>
      </c>
      <c r="M529" s="172">
        <v>0</v>
      </c>
      <c r="N529" s="172">
        <v>0</v>
      </c>
      <c r="O529" s="172">
        <v>1</v>
      </c>
      <c r="P529" s="174">
        <v>0</v>
      </c>
    </row>
    <row r="530" spans="1:16" hidden="1">
      <c r="A530" s="171" t="s">
        <v>301</v>
      </c>
      <c r="B530" s="171" t="s">
        <v>467</v>
      </c>
      <c r="C530" s="171">
        <v>30</v>
      </c>
      <c r="D530" s="171">
        <v>20</v>
      </c>
      <c r="E530" s="171">
        <v>33</v>
      </c>
      <c r="F530" s="171">
        <v>7</v>
      </c>
      <c r="G530" s="171">
        <v>9</v>
      </c>
      <c r="H530" s="171">
        <v>7</v>
      </c>
      <c r="I530" s="171">
        <v>0</v>
      </c>
      <c r="J530" s="171">
        <v>0</v>
      </c>
      <c r="K530" s="171">
        <v>56</v>
      </c>
      <c r="L530" s="171">
        <v>44</v>
      </c>
      <c r="M530" s="171">
        <v>5</v>
      </c>
      <c r="N530" s="171">
        <v>3</v>
      </c>
      <c r="O530" s="171">
        <v>18</v>
      </c>
      <c r="P530" s="173">
        <v>3</v>
      </c>
    </row>
    <row r="531" spans="1:16" hidden="1">
      <c r="A531" s="172" t="s">
        <v>301</v>
      </c>
      <c r="B531" s="172" t="s">
        <v>467</v>
      </c>
      <c r="C531" s="172">
        <v>28</v>
      </c>
      <c r="D531" s="172">
        <v>15</v>
      </c>
      <c r="E531" s="172">
        <v>1</v>
      </c>
      <c r="F531" s="172">
        <v>3</v>
      </c>
      <c r="G531" s="172">
        <v>6</v>
      </c>
      <c r="H531" s="172">
        <v>5</v>
      </c>
      <c r="I531" s="172">
        <v>1</v>
      </c>
      <c r="J531" s="172">
        <v>0</v>
      </c>
      <c r="K531" s="172">
        <v>16</v>
      </c>
      <c r="L531" s="172">
        <v>13</v>
      </c>
      <c r="M531" s="172">
        <v>4</v>
      </c>
      <c r="N531" s="172">
        <v>2</v>
      </c>
      <c r="O531" s="172">
        <v>6</v>
      </c>
      <c r="P531" s="174">
        <v>0</v>
      </c>
    </row>
    <row r="532" spans="1:16" hidden="1">
      <c r="A532" s="171" t="s">
        <v>301</v>
      </c>
      <c r="B532" s="171" t="s">
        <v>467</v>
      </c>
      <c r="C532" s="171">
        <v>30</v>
      </c>
      <c r="D532" s="171">
        <v>15</v>
      </c>
      <c r="E532" s="171">
        <v>1</v>
      </c>
      <c r="F532" s="171">
        <v>9</v>
      </c>
      <c r="G532" s="171">
        <v>10</v>
      </c>
      <c r="H532" s="171">
        <v>4</v>
      </c>
      <c r="I532" s="171">
        <v>4</v>
      </c>
      <c r="J532" s="171">
        <v>0</v>
      </c>
      <c r="K532" s="171">
        <v>28</v>
      </c>
      <c r="L532" s="171">
        <v>21</v>
      </c>
      <c r="M532" s="171">
        <v>1</v>
      </c>
      <c r="N532" s="171">
        <v>2</v>
      </c>
      <c r="O532" s="171">
        <v>7</v>
      </c>
      <c r="P532" s="173">
        <v>3</v>
      </c>
    </row>
    <row r="533" spans="1:16" hidden="1">
      <c r="A533" s="172" t="s">
        <v>301</v>
      </c>
      <c r="B533" s="172" t="s">
        <v>467</v>
      </c>
      <c r="C533" s="172">
        <v>30</v>
      </c>
      <c r="D533" s="172">
        <v>15</v>
      </c>
      <c r="E533" s="172">
        <v>21</v>
      </c>
      <c r="F533" s="172">
        <v>4</v>
      </c>
      <c r="G533" s="172">
        <v>5</v>
      </c>
      <c r="H533" s="172">
        <v>9</v>
      </c>
      <c r="I533" s="172">
        <v>4</v>
      </c>
      <c r="J533" s="172">
        <v>1</v>
      </c>
      <c r="K533" s="172">
        <v>44</v>
      </c>
      <c r="L533" s="172">
        <v>36</v>
      </c>
      <c r="M533" s="172">
        <v>3</v>
      </c>
      <c r="N533" s="172">
        <v>1</v>
      </c>
      <c r="O533" s="172">
        <v>11</v>
      </c>
      <c r="P533" s="174">
        <v>4</v>
      </c>
    </row>
    <row r="534" spans="1:16" hidden="1">
      <c r="A534" s="171" t="s">
        <v>301</v>
      </c>
      <c r="B534" s="171" t="s">
        <v>467</v>
      </c>
      <c r="C534" s="171">
        <v>30</v>
      </c>
      <c r="D534" s="171">
        <v>15</v>
      </c>
      <c r="E534" s="171">
        <v>11</v>
      </c>
      <c r="F534" s="171">
        <v>5</v>
      </c>
      <c r="G534" s="171">
        <v>2</v>
      </c>
      <c r="H534" s="171">
        <v>4</v>
      </c>
      <c r="I534" s="171">
        <v>2</v>
      </c>
      <c r="J534" s="171">
        <v>1</v>
      </c>
      <c r="K534" s="171">
        <v>25</v>
      </c>
      <c r="L534" s="171">
        <v>20</v>
      </c>
      <c r="M534" s="171">
        <v>3</v>
      </c>
      <c r="N534" s="171">
        <v>0</v>
      </c>
      <c r="O534" s="171">
        <v>6</v>
      </c>
      <c r="P534" s="173">
        <v>4</v>
      </c>
    </row>
    <row r="535" spans="1:16" hidden="1">
      <c r="A535" s="172" t="s">
        <v>301</v>
      </c>
      <c r="B535" s="172" t="s">
        <v>467</v>
      </c>
      <c r="C535" s="172">
        <v>30</v>
      </c>
      <c r="D535" s="172">
        <v>15</v>
      </c>
      <c r="E535" s="172">
        <v>23</v>
      </c>
      <c r="F535" s="172">
        <v>3</v>
      </c>
      <c r="G535" s="172">
        <v>9</v>
      </c>
      <c r="H535" s="172">
        <v>5</v>
      </c>
      <c r="I535" s="172">
        <v>3</v>
      </c>
      <c r="J535" s="172">
        <v>1</v>
      </c>
      <c r="K535" s="172">
        <v>44</v>
      </c>
      <c r="L535" s="172">
        <v>33</v>
      </c>
      <c r="M535" s="172">
        <v>3</v>
      </c>
      <c r="N535" s="172">
        <v>3</v>
      </c>
      <c r="O535" s="172">
        <v>15</v>
      </c>
      <c r="P535" s="174">
        <v>8</v>
      </c>
    </row>
    <row r="536" spans="1:16" hidden="1">
      <c r="A536" s="171" t="s">
        <v>301</v>
      </c>
      <c r="B536" s="171" t="s">
        <v>467</v>
      </c>
      <c r="C536" s="171">
        <v>25</v>
      </c>
      <c r="D536" s="171">
        <v>15</v>
      </c>
      <c r="E536" s="171">
        <v>2</v>
      </c>
      <c r="F536" s="171">
        <v>2</v>
      </c>
      <c r="G536" s="171">
        <v>3</v>
      </c>
      <c r="H536" s="171">
        <v>2</v>
      </c>
      <c r="I536" s="171">
        <v>2</v>
      </c>
      <c r="J536" s="171">
        <v>0</v>
      </c>
      <c r="K536" s="171">
        <v>11</v>
      </c>
      <c r="L536" s="171">
        <v>11</v>
      </c>
      <c r="M536" s="171">
        <v>2</v>
      </c>
      <c r="N536" s="171">
        <v>0</v>
      </c>
      <c r="O536" s="171">
        <v>2</v>
      </c>
      <c r="P536" s="173">
        <v>0</v>
      </c>
    </row>
    <row r="537" spans="1:16" hidden="1">
      <c r="A537" s="172" t="s">
        <v>301</v>
      </c>
      <c r="B537" s="172" t="s">
        <v>467</v>
      </c>
      <c r="C537" s="172">
        <v>30</v>
      </c>
      <c r="D537" s="172">
        <v>15</v>
      </c>
      <c r="E537" s="172">
        <v>15</v>
      </c>
      <c r="F537" s="172">
        <v>3</v>
      </c>
      <c r="G537" s="172">
        <v>9</v>
      </c>
      <c r="H537" s="172">
        <v>4</v>
      </c>
      <c r="I537" s="172">
        <v>6</v>
      </c>
      <c r="J537" s="172">
        <v>1</v>
      </c>
      <c r="K537" s="172">
        <v>38</v>
      </c>
      <c r="L537" s="172">
        <v>27</v>
      </c>
      <c r="M537" s="172">
        <v>1</v>
      </c>
      <c r="N537" s="172">
        <v>1</v>
      </c>
      <c r="O537" s="172">
        <v>15</v>
      </c>
      <c r="P537" s="174">
        <v>6</v>
      </c>
    </row>
    <row r="538" spans="1:16" hidden="1">
      <c r="A538" s="171" t="s">
        <v>301</v>
      </c>
      <c r="B538" s="171" t="s">
        <v>467</v>
      </c>
      <c r="C538" s="171">
        <v>29</v>
      </c>
      <c r="D538" s="171">
        <v>15</v>
      </c>
      <c r="E538" s="171">
        <v>17</v>
      </c>
      <c r="F538" s="171">
        <v>8</v>
      </c>
      <c r="G538" s="171">
        <v>4</v>
      </c>
      <c r="H538" s="171">
        <v>5</v>
      </c>
      <c r="I538" s="171">
        <v>1</v>
      </c>
      <c r="J538" s="171">
        <v>1</v>
      </c>
      <c r="K538" s="171">
        <v>36</v>
      </c>
      <c r="L538" s="171">
        <v>32</v>
      </c>
      <c r="M538" s="171">
        <v>2</v>
      </c>
      <c r="N538" s="171">
        <v>0</v>
      </c>
      <c r="O538" s="171">
        <v>5</v>
      </c>
      <c r="P538" s="173">
        <v>0</v>
      </c>
    </row>
    <row r="539" spans="1:16" hidden="1">
      <c r="A539" s="172" t="s">
        <v>301</v>
      </c>
      <c r="B539" s="172" t="s">
        <v>467</v>
      </c>
      <c r="C539" s="172">
        <v>30</v>
      </c>
      <c r="D539" s="172">
        <v>15</v>
      </c>
      <c r="E539" s="172">
        <v>4</v>
      </c>
      <c r="F539" s="172">
        <v>4</v>
      </c>
      <c r="G539" s="172">
        <v>6</v>
      </c>
      <c r="H539" s="172">
        <v>8</v>
      </c>
      <c r="I539" s="172">
        <v>4</v>
      </c>
      <c r="J539" s="172">
        <v>0</v>
      </c>
      <c r="K539" s="172">
        <v>26</v>
      </c>
      <c r="L539" s="172">
        <v>23</v>
      </c>
      <c r="M539" s="172">
        <v>2</v>
      </c>
      <c r="N539" s="172">
        <v>0</v>
      </c>
      <c r="O539" s="172">
        <v>4</v>
      </c>
      <c r="P539" s="174">
        <v>5</v>
      </c>
    </row>
    <row r="540" spans="1:16" hidden="1">
      <c r="A540" s="171" t="s">
        <v>301</v>
      </c>
      <c r="B540" s="171" t="s">
        <v>467</v>
      </c>
      <c r="C540" s="171">
        <v>25</v>
      </c>
      <c r="D540" s="171">
        <v>15</v>
      </c>
      <c r="E540" s="171">
        <v>11</v>
      </c>
      <c r="F540" s="171">
        <v>6</v>
      </c>
      <c r="G540" s="171">
        <v>8</v>
      </c>
      <c r="H540" s="171">
        <v>7</v>
      </c>
      <c r="I540" s="171">
        <v>10</v>
      </c>
      <c r="J540" s="171">
        <v>0</v>
      </c>
      <c r="K540" s="171">
        <v>42</v>
      </c>
      <c r="L540" s="171">
        <v>28</v>
      </c>
      <c r="M540" s="171">
        <v>0</v>
      </c>
      <c r="N540" s="171">
        <v>0</v>
      </c>
      <c r="O540" s="171">
        <v>14</v>
      </c>
      <c r="P540" s="173">
        <v>8</v>
      </c>
    </row>
    <row r="541" spans="1:16" hidden="1">
      <c r="A541" s="172" t="s">
        <v>301</v>
      </c>
      <c r="B541" s="172" t="s">
        <v>467</v>
      </c>
      <c r="C541" s="172">
        <v>30</v>
      </c>
      <c r="D541" s="172">
        <v>15</v>
      </c>
      <c r="E541" s="172">
        <v>1</v>
      </c>
      <c r="F541" s="172">
        <v>3</v>
      </c>
      <c r="G541" s="172">
        <v>7</v>
      </c>
      <c r="H541" s="172">
        <v>6</v>
      </c>
      <c r="I541" s="172">
        <v>4</v>
      </c>
      <c r="J541" s="172">
        <v>1</v>
      </c>
      <c r="K541" s="172">
        <v>22</v>
      </c>
      <c r="L541" s="172">
        <v>12</v>
      </c>
      <c r="M541" s="172">
        <v>0</v>
      </c>
      <c r="N541" s="172">
        <v>0</v>
      </c>
      <c r="O541" s="172">
        <v>9</v>
      </c>
      <c r="P541" s="174">
        <v>3</v>
      </c>
    </row>
    <row r="542" spans="1:16" hidden="1">
      <c r="A542" s="171" t="s">
        <v>301</v>
      </c>
      <c r="B542" s="171" t="s">
        <v>467</v>
      </c>
      <c r="C542" s="171">
        <v>30</v>
      </c>
      <c r="D542" s="171">
        <v>15</v>
      </c>
      <c r="E542" s="171">
        <v>10</v>
      </c>
      <c r="F542" s="171">
        <v>10</v>
      </c>
      <c r="G542" s="171">
        <v>6</v>
      </c>
      <c r="H542" s="171">
        <v>7</v>
      </c>
      <c r="I542" s="171">
        <v>2</v>
      </c>
      <c r="J542" s="171">
        <v>0</v>
      </c>
      <c r="K542" s="171">
        <v>35</v>
      </c>
      <c r="L542" s="171">
        <v>31</v>
      </c>
      <c r="M542" s="171">
        <v>7</v>
      </c>
      <c r="N542" s="171">
        <v>1</v>
      </c>
      <c r="O542" s="171">
        <v>5</v>
      </c>
      <c r="P542" s="173">
        <v>5</v>
      </c>
    </row>
    <row r="543" spans="1:16" hidden="1">
      <c r="A543" s="172" t="s">
        <v>301</v>
      </c>
      <c r="B543" s="172" t="s">
        <v>467</v>
      </c>
      <c r="C543" s="172">
        <v>30</v>
      </c>
      <c r="D543" s="172">
        <v>15</v>
      </c>
      <c r="E543" s="172">
        <v>24</v>
      </c>
      <c r="F543" s="172">
        <v>5</v>
      </c>
      <c r="G543" s="172">
        <v>3</v>
      </c>
      <c r="H543" s="172">
        <v>1</v>
      </c>
      <c r="I543" s="172">
        <v>5</v>
      </c>
      <c r="J543" s="172">
        <v>2</v>
      </c>
      <c r="K543" s="172">
        <v>40</v>
      </c>
      <c r="L543" s="172">
        <v>36</v>
      </c>
      <c r="M543" s="172">
        <v>3</v>
      </c>
      <c r="N543" s="172">
        <v>2</v>
      </c>
      <c r="O543" s="172">
        <v>3</v>
      </c>
      <c r="P543" s="174">
        <v>3</v>
      </c>
    </row>
    <row r="544" spans="1:16" hidden="1">
      <c r="A544" s="171" t="s">
        <v>301</v>
      </c>
      <c r="B544" s="171" t="s">
        <v>467</v>
      </c>
      <c r="C544" s="171">
        <v>30</v>
      </c>
      <c r="D544" s="171">
        <v>15</v>
      </c>
      <c r="E544" s="171">
        <v>3</v>
      </c>
      <c r="F544" s="171">
        <v>3</v>
      </c>
      <c r="G544" s="171">
        <v>3</v>
      </c>
      <c r="H544" s="171">
        <v>0</v>
      </c>
      <c r="I544" s="171">
        <v>1</v>
      </c>
      <c r="J544" s="171">
        <v>0</v>
      </c>
      <c r="K544" s="171">
        <v>10</v>
      </c>
      <c r="L544" s="171">
        <v>9</v>
      </c>
      <c r="M544" s="171">
        <v>3</v>
      </c>
      <c r="N544" s="171">
        <v>3</v>
      </c>
      <c r="O544" s="171">
        <v>1</v>
      </c>
      <c r="P544" s="173">
        <v>1</v>
      </c>
    </row>
    <row r="545" spans="1:16" hidden="1">
      <c r="A545" s="172" t="s">
        <v>301</v>
      </c>
      <c r="B545" s="172" t="s">
        <v>467</v>
      </c>
      <c r="C545" s="172">
        <v>30</v>
      </c>
      <c r="D545" s="172">
        <v>15</v>
      </c>
      <c r="E545" s="172">
        <v>3</v>
      </c>
      <c r="F545" s="172">
        <v>7</v>
      </c>
      <c r="G545" s="172">
        <v>9</v>
      </c>
      <c r="H545" s="172">
        <v>9</v>
      </c>
      <c r="I545" s="172">
        <v>12</v>
      </c>
      <c r="J545" s="172">
        <v>1</v>
      </c>
      <c r="K545" s="172">
        <v>41</v>
      </c>
      <c r="L545" s="172">
        <v>41</v>
      </c>
      <c r="M545" s="172">
        <v>2</v>
      </c>
      <c r="N545" s="172">
        <v>1</v>
      </c>
      <c r="O545" s="172">
        <v>3</v>
      </c>
      <c r="P545" s="174">
        <v>2</v>
      </c>
    </row>
    <row r="546" spans="1:16" hidden="1">
      <c r="A546" s="171" t="s">
        <v>301</v>
      </c>
      <c r="B546" s="171" t="s">
        <v>467</v>
      </c>
      <c r="C546" s="171">
        <v>30</v>
      </c>
      <c r="D546" s="171">
        <v>20</v>
      </c>
      <c r="E546" s="171">
        <v>16</v>
      </c>
      <c r="F546" s="171">
        <v>4</v>
      </c>
      <c r="G546" s="171">
        <v>7</v>
      </c>
      <c r="H546" s="171">
        <v>6</v>
      </c>
      <c r="I546" s="171">
        <v>6</v>
      </c>
      <c r="J546" s="171">
        <v>0</v>
      </c>
      <c r="K546" s="171">
        <v>39</v>
      </c>
      <c r="L546" s="171">
        <v>32</v>
      </c>
      <c r="M546" s="171">
        <v>3</v>
      </c>
      <c r="N546" s="171">
        <v>0</v>
      </c>
      <c r="O546" s="171">
        <v>4</v>
      </c>
      <c r="P546" s="173">
        <v>3</v>
      </c>
    </row>
    <row r="547" spans="1:16" hidden="1">
      <c r="A547" s="172" t="s">
        <v>301</v>
      </c>
      <c r="B547" s="172" t="s">
        <v>467</v>
      </c>
      <c r="C547" s="172">
        <v>30</v>
      </c>
      <c r="D547" s="172">
        <v>15</v>
      </c>
      <c r="E547" s="172">
        <v>16</v>
      </c>
      <c r="F547" s="172">
        <v>8</v>
      </c>
      <c r="G547" s="172">
        <v>9</v>
      </c>
      <c r="H547" s="172">
        <v>7</v>
      </c>
      <c r="I547" s="172">
        <v>4</v>
      </c>
      <c r="J547" s="172">
        <v>0</v>
      </c>
      <c r="K547" s="172">
        <v>44</v>
      </c>
      <c r="L547" s="172">
        <v>38</v>
      </c>
      <c r="M547" s="172">
        <v>4</v>
      </c>
      <c r="N547" s="172">
        <v>0</v>
      </c>
      <c r="O547" s="172">
        <v>5</v>
      </c>
      <c r="P547" s="174">
        <v>0</v>
      </c>
    </row>
    <row r="548" spans="1:16" hidden="1">
      <c r="A548" s="171" t="s">
        <v>301</v>
      </c>
      <c r="B548" s="171" t="s">
        <v>467</v>
      </c>
      <c r="C548" s="171">
        <v>29</v>
      </c>
      <c r="D548" s="171">
        <v>15</v>
      </c>
      <c r="E548" s="171">
        <v>4</v>
      </c>
      <c r="F548" s="171">
        <v>3</v>
      </c>
      <c r="G548" s="171">
        <v>2</v>
      </c>
      <c r="H548" s="171">
        <v>3</v>
      </c>
      <c r="I548" s="171">
        <v>4</v>
      </c>
      <c r="J548" s="171">
        <v>0</v>
      </c>
      <c r="K548" s="171">
        <v>16</v>
      </c>
      <c r="L548" s="171">
        <v>16</v>
      </c>
      <c r="M548" s="171">
        <v>0</v>
      </c>
      <c r="N548" s="171">
        <v>0</v>
      </c>
      <c r="O548" s="171">
        <v>0</v>
      </c>
      <c r="P548" s="173">
        <v>0</v>
      </c>
    </row>
    <row r="549" spans="1:16" hidden="1">
      <c r="A549" s="172" t="s">
        <v>301</v>
      </c>
      <c r="B549" s="172" t="s">
        <v>467</v>
      </c>
      <c r="C549" s="172">
        <v>30</v>
      </c>
      <c r="D549" s="172">
        <v>15</v>
      </c>
      <c r="E549" s="172">
        <v>12</v>
      </c>
      <c r="F549" s="172">
        <v>4</v>
      </c>
      <c r="G549" s="172">
        <v>13</v>
      </c>
      <c r="H549" s="172">
        <v>7</v>
      </c>
      <c r="I549" s="172">
        <v>5</v>
      </c>
      <c r="J549" s="172">
        <v>0</v>
      </c>
      <c r="K549" s="172">
        <v>41</v>
      </c>
      <c r="L549" s="172">
        <v>28</v>
      </c>
      <c r="M549" s="172">
        <v>2</v>
      </c>
      <c r="N549" s="172">
        <v>2</v>
      </c>
      <c r="O549" s="172">
        <v>15</v>
      </c>
      <c r="P549" s="174">
        <v>3</v>
      </c>
    </row>
    <row r="550" spans="1:16" hidden="1">
      <c r="A550" s="171" t="s">
        <v>301</v>
      </c>
      <c r="B550" s="171" t="s">
        <v>467</v>
      </c>
      <c r="C550" s="171">
        <v>30</v>
      </c>
      <c r="D550" s="171">
        <v>15</v>
      </c>
      <c r="E550" s="171">
        <v>0</v>
      </c>
      <c r="F550" s="171">
        <v>2</v>
      </c>
      <c r="G550" s="171">
        <v>4</v>
      </c>
      <c r="H550" s="171">
        <v>1</v>
      </c>
      <c r="I550" s="171">
        <v>2</v>
      </c>
      <c r="J550" s="171">
        <v>0</v>
      </c>
      <c r="K550" s="171">
        <v>9</v>
      </c>
      <c r="L550" s="171">
        <v>8</v>
      </c>
      <c r="M550" s="171">
        <v>3</v>
      </c>
      <c r="N550" s="171">
        <v>1</v>
      </c>
      <c r="O550" s="171">
        <v>0</v>
      </c>
      <c r="P550" s="173">
        <v>0</v>
      </c>
    </row>
    <row r="551" spans="1:16" hidden="1">
      <c r="A551" s="172" t="s">
        <v>301</v>
      </c>
      <c r="B551" s="172" t="s">
        <v>467</v>
      </c>
      <c r="C551" s="172">
        <v>30</v>
      </c>
      <c r="D551" s="172">
        <v>15</v>
      </c>
      <c r="E551" s="172">
        <v>13</v>
      </c>
      <c r="F551" s="172">
        <v>7</v>
      </c>
      <c r="G551" s="172">
        <v>3</v>
      </c>
      <c r="H551" s="172">
        <v>7</v>
      </c>
      <c r="I551" s="172">
        <v>4</v>
      </c>
      <c r="J551" s="172">
        <v>0</v>
      </c>
      <c r="K551" s="172">
        <v>34</v>
      </c>
      <c r="L551" s="172">
        <v>34</v>
      </c>
      <c r="M551" s="172">
        <v>2</v>
      </c>
      <c r="N551" s="172">
        <v>1</v>
      </c>
      <c r="O551" s="172">
        <v>4</v>
      </c>
      <c r="P551" s="174">
        <v>0</v>
      </c>
    </row>
    <row r="552" spans="1:16" hidden="1">
      <c r="A552" s="171" t="s">
        <v>301</v>
      </c>
      <c r="B552" s="171" t="s">
        <v>467</v>
      </c>
      <c r="C552" s="171">
        <v>28</v>
      </c>
      <c r="D552" s="171">
        <v>20</v>
      </c>
      <c r="E552" s="171">
        <v>26</v>
      </c>
      <c r="F552" s="171">
        <v>5</v>
      </c>
      <c r="G552" s="171">
        <v>3</v>
      </c>
      <c r="H552" s="171">
        <v>3</v>
      </c>
      <c r="I552" s="171">
        <v>3</v>
      </c>
      <c r="J552" s="171">
        <v>1</v>
      </c>
      <c r="K552" s="171">
        <v>41</v>
      </c>
      <c r="L552" s="171">
        <v>35</v>
      </c>
      <c r="M552" s="171">
        <v>7</v>
      </c>
      <c r="N552" s="171">
        <v>2</v>
      </c>
      <c r="O552" s="171">
        <v>8</v>
      </c>
      <c r="P552" s="173">
        <v>1</v>
      </c>
    </row>
    <row r="553" spans="1:16" hidden="1">
      <c r="A553" s="172" t="s">
        <v>301</v>
      </c>
      <c r="B553" s="172" t="s">
        <v>467</v>
      </c>
      <c r="C553" s="172">
        <v>30</v>
      </c>
      <c r="D553" s="172">
        <v>15</v>
      </c>
      <c r="E553" s="172">
        <v>12</v>
      </c>
      <c r="F553" s="172">
        <v>13</v>
      </c>
      <c r="G553" s="172">
        <v>11</v>
      </c>
      <c r="H553" s="172">
        <v>9</v>
      </c>
      <c r="I553" s="172">
        <v>4</v>
      </c>
      <c r="J553" s="172">
        <v>1</v>
      </c>
      <c r="K553" s="172">
        <v>50</v>
      </c>
      <c r="L553" s="172">
        <v>42</v>
      </c>
      <c r="M553" s="172">
        <v>6</v>
      </c>
      <c r="N553" s="172">
        <v>2</v>
      </c>
      <c r="O553" s="172">
        <v>7</v>
      </c>
      <c r="P553" s="174">
        <v>3</v>
      </c>
    </row>
    <row r="554" spans="1:16" hidden="1">
      <c r="A554" s="171" t="s">
        <v>301</v>
      </c>
      <c r="B554" s="171" t="s">
        <v>467</v>
      </c>
      <c r="C554" s="171">
        <v>30</v>
      </c>
      <c r="D554" s="171">
        <v>15</v>
      </c>
      <c r="E554" s="171">
        <v>32</v>
      </c>
      <c r="F554" s="171">
        <v>10</v>
      </c>
      <c r="G554" s="171">
        <v>3</v>
      </c>
      <c r="H554" s="171">
        <v>4</v>
      </c>
      <c r="I554" s="171">
        <v>6</v>
      </c>
      <c r="J554" s="171">
        <v>1</v>
      </c>
      <c r="K554" s="171">
        <v>56</v>
      </c>
      <c r="L554" s="171">
        <v>52</v>
      </c>
      <c r="M554" s="171">
        <v>9</v>
      </c>
      <c r="N554" s="171">
        <v>2</v>
      </c>
      <c r="O554" s="171">
        <v>4</v>
      </c>
      <c r="P554" s="173">
        <v>0</v>
      </c>
    </row>
    <row r="555" spans="1:16" hidden="1">
      <c r="A555" s="172" t="s">
        <v>301</v>
      </c>
      <c r="B555" s="172" t="s">
        <v>467</v>
      </c>
      <c r="C555" s="172">
        <v>30</v>
      </c>
      <c r="D555" s="172">
        <v>15</v>
      </c>
      <c r="E555" s="172">
        <v>24</v>
      </c>
      <c r="F555" s="172">
        <v>4</v>
      </c>
      <c r="G555" s="172">
        <v>4</v>
      </c>
      <c r="H555" s="172">
        <v>2</v>
      </c>
      <c r="I555" s="172">
        <v>0</v>
      </c>
      <c r="J555" s="172">
        <v>0</v>
      </c>
      <c r="K555" s="172">
        <v>34</v>
      </c>
      <c r="L555" s="172">
        <v>25</v>
      </c>
      <c r="M555" s="172">
        <v>3</v>
      </c>
      <c r="N555" s="172">
        <v>0</v>
      </c>
      <c r="O555" s="172">
        <v>10</v>
      </c>
      <c r="P555" s="174">
        <v>2</v>
      </c>
    </row>
    <row r="556" spans="1:16" hidden="1">
      <c r="A556" s="171" t="s">
        <v>301</v>
      </c>
      <c r="B556" s="171" t="s">
        <v>467</v>
      </c>
      <c r="C556" s="171">
        <v>29</v>
      </c>
      <c r="D556" s="171">
        <v>10</v>
      </c>
      <c r="E556" s="171">
        <v>1</v>
      </c>
      <c r="F556" s="171">
        <v>6</v>
      </c>
      <c r="G556" s="171">
        <v>7</v>
      </c>
      <c r="H556" s="171">
        <v>3</v>
      </c>
      <c r="I556" s="171">
        <v>6</v>
      </c>
      <c r="J556" s="171">
        <v>0</v>
      </c>
      <c r="K556" s="171">
        <v>23</v>
      </c>
      <c r="L556" s="171">
        <v>21</v>
      </c>
      <c r="M556" s="171">
        <v>3</v>
      </c>
      <c r="N556" s="171">
        <v>0</v>
      </c>
      <c r="O556" s="171">
        <v>0</v>
      </c>
      <c r="P556" s="173">
        <v>2</v>
      </c>
    </row>
    <row r="557" spans="1:16" hidden="1">
      <c r="A557" s="172" t="s">
        <v>301</v>
      </c>
      <c r="B557" s="172" t="s">
        <v>467</v>
      </c>
      <c r="C557" s="172">
        <v>29</v>
      </c>
      <c r="D557" s="172">
        <v>15</v>
      </c>
      <c r="E557" s="172">
        <v>11</v>
      </c>
      <c r="F557" s="172">
        <v>4</v>
      </c>
      <c r="G557" s="172">
        <v>10</v>
      </c>
      <c r="H557" s="172">
        <v>3</v>
      </c>
      <c r="I557" s="172">
        <v>6</v>
      </c>
      <c r="J557" s="172">
        <v>4</v>
      </c>
      <c r="K557" s="172">
        <v>38</v>
      </c>
      <c r="L557" s="172">
        <v>30</v>
      </c>
      <c r="M557" s="172">
        <v>0</v>
      </c>
      <c r="N557" s="172">
        <v>1</v>
      </c>
      <c r="O557" s="172">
        <v>10</v>
      </c>
      <c r="P557" s="174">
        <v>0</v>
      </c>
    </row>
    <row r="558" spans="1:16" hidden="1">
      <c r="A558" s="171" t="s">
        <v>301</v>
      </c>
      <c r="B558" s="171" t="s">
        <v>467</v>
      </c>
      <c r="C558" s="171">
        <v>30</v>
      </c>
      <c r="D558" s="171">
        <v>15</v>
      </c>
      <c r="E558" s="171">
        <v>7</v>
      </c>
      <c r="F558" s="171">
        <v>5</v>
      </c>
      <c r="G558" s="171">
        <v>9</v>
      </c>
      <c r="H558" s="171">
        <v>3</v>
      </c>
      <c r="I558" s="171">
        <v>7</v>
      </c>
      <c r="J558" s="171">
        <v>0</v>
      </c>
      <c r="K558" s="171">
        <v>31</v>
      </c>
      <c r="L558" s="171">
        <v>28</v>
      </c>
      <c r="M558" s="171">
        <v>3</v>
      </c>
      <c r="N558" s="171">
        <v>1</v>
      </c>
      <c r="O558" s="171">
        <v>2</v>
      </c>
      <c r="P558" s="173">
        <v>6</v>
      </c>
    </row>
    <row r="559" spans="1:16" hidden="1">
      <c r="A559" s="172" t="s">
        <v>301</v>
      </c>
      <c r="B559" s="172" t="s">
        <v>467</v>
      </c>
      <c r="C559" s="172">
        <v>30</v>
      </c>
      <c r="D559" s="172">
        <v>15</v>
      </c>
      <c r="E559" s="172">
        <v>12</v>
      </c>
      <c r="F559" s="172">
        <v>4</v>
      </c>
      <c r="G559" s="172">
        <v>7</v>
      </c>
      <c r="H559" s="172">
        <v>3</v>
      </c>
      <c r="I559" s="172">
        <v>2</v>
      </c>
      <c r="J559" s="172">
        <v>1</v>
      </c>
      <c r="K559" s="172">
        <v>29</v>
      </c>
      <c r="L559" s="172">
        <v>26</v>
      </c>
      <c r="M559" s="172">
        <v>2</v>
      </c>
      <c r="N559" s="172">
        <v>1</v>
      </c>
      <c r="O559" s="172">
        <v>1</v>
      </c>
      <c r="P559" s="174">
        <v>1</v>
      </c>
    </row>
    <row r="560" spans="1:16" hidden="1">
      <c r="A560" s="171" t="s">
        <v>301</v>
      </c>
      <c r="B560" s="171" t="s">
        <v>467</v>
      </c>
      <c r="C560" s="171">
        <v>30</v>
      </c>
      <c r="D560" s="171">
        <v>15</v>
      </c>
      <c r="E560" s="171">
        <v>6</v>
      </c>
      <c r="F560" s="171">
        <v>7</v>
      </c>
      <c r="G560" s="171">
        <v>10</v>
      </c>
      <c r="H560" s="171">
        <v>7</v>
      </c>
      <c r="I560" s="171">
        <v>7</v>
      </c>
      <c r="J560" s="171">
        <v>1</v>
      </c>
      <c r="K560" s="171">
        <v>38</v>
      </c>
      <c r="L560" s="171">
        <v>38</v>
      </c>
      <c r="M560" s="171">
        <v>8</v>
      </c>
      <c r="N560" s="171">
        <v>0</v>
      </c>
      <c r="O560" s="171">
        <v>2</v>
      </c>
      <c r="P560" s="173">
        <v>2</v>
      </c>
    </row>
    <row r="561" spans="1:16" hidden="1">
      <c r="A561" s="172" t="s">
        <v>301</v>
      </c>
      <c r="B561" s="172" t="s">
        <v>467</v>
      </c>
      <c r="C561" s="172">
        <v>30</v>
      </c>
      <c r="D561" s="172">
        <v>15</v>
      </c>
      <c r="E561" s="172">
        <v>18</v>
      </c>
      <c r="F561" s="172">
        <v>3</v>
      </c>
      <c r="G561" s="172">
        <v>8</v>
      </c>
      <c r="H561" s="172">
        <v>4</v>
      </c>
      <c r="I561" s="172">
        <v>2</v>
      </c>
      <c r="J561" s="172">
        <v>2</v>
      </c>
      <c r="K561" s="172">
        <v>37</v>
      </c>
      <c r="L561" s="172">
        <v>31</v>
      </c>
      <c r="M561" s="172">
        <v>9</v>
      </c>
      <c r="N561" s="172">
        <v>4</v>
      </c>
      <c r="O561" s="172">
        <v>8</v>
      </c>
      <c r="P561" s="174">
        <v>1</v>
      </c>
    </row>
    <row r="562" spans="1:16" hidden="1">
      <c r="A562" s="171" t="s">
        <v>301</v>
      </c>
      <c r="B562" s="171" t="s">
        <v>467</v>
      </c>
      <c r="C562" s="171">
        <v>25</v>
      </c>
      <c r="D562" s="171">
        <v>20</v>
      </c>
      <c r="E562" s="171">
        <v>19</v>
      </c>
      <c r="F562" s="171">
        <v>27</v>
      </c>
      <c r="G562" s="171">
        <v>13</v>
      </c>
      <c r="H562" s="171">
        <v>6</v>
      </c>
      <c r="I562" s="171">
        <v>4</v>
      </c>
      <c r="J562" s="171">
        <v>0</v>
      </c>
      <c r="K562" s="171">
        <v>69</v>
      </c>
      <c r="L562" s="171">
        <v>60</v>
      </c>
      <c r="M562" s="171">
        <v>1</v>
      </c>
      <c r="N562" s="171">
        <v>1</v>
      </c>
      <c r="O562" s="171">
        <v>8</v>
      </c>
      <c r="P562" s="173">
        <v>6</v>
      </c>
    </row>
    <row r="563" spans="1:16" hidden="1">
      <c r="A563" s="172" t="s">
        <v>301</v>
      </c>
      <c r="B563" s="172" t="s">
        <v>467</v>
      </c>
      <c r="C563" s="172">
        <v>25</v>
      </c>
      <c r="D563" s="172">
        <v>15</v>
      </c>
      <c r="E563" s="172">
        <v>10</v>
      </c>
      <c r="F563" s="172">
        <v>6</v>
      </c>
      <c r="G563" s="172">
        <v>6</v>
      </c>
      <c r="H563" s="172">
        <v>3</v>
      </c>
      <c r="I563" s="172">
        <v>5</v>
      </c>
      <c r="J563" s="172">
        <v>0</v>
      </c>
      <c r="K563" s="172">
        <v>30</v>
      </c>
      <c r="L563" s="172">
        <v>25</v>
      </c>
      <c r="M563" s="172">
        <v>4</v>
      </c>
      <c r="N563" s="172">
        <v>4</v>
      </c>
      <c r="O563" s="172">
        <v>7</v>
      </c>
      <c r="P563" s="174">
        <v>3</v>
      </c>
    </row>
    <row r="564" spans="1:16" hidden="1">
      <c r="A564" s="171" t="s">
        <v>301</v>
      </c>
      <c r="B564" s="171" t="s">
        <v>467</v>
      </c>
      <c r="C564" s="171">
        <v>30</v>
      </c>
      <c r="D564" s="171">
        <v>20</v>
      </c>
      <c r="E564" s="171">
        <v>25</v>
      </c>
      <c r="F564" s="171">
        <v>8</v>
      </c>
      <c r="G564" s="171">
        <v>5</v>
      </c>
      <c r="H564" s="171">
        <v>2</v>
      </c>
      <c r="I564" s="171">
        <v>4</v>
      </c>
      <c r="J564" s="171">
        <v>0</v>
      </c>
      <c r="K564" s="171">
        <v>44</v>
      </c>
      <c r="L564" s="171">
        <v>37</v>
      </c>
      <c r="M564" s="171">
        <v>3</v>
      </c>
      <c r="N564" s="171">
        <v>3</v>
      </c>
      <c r="O564" s="171">
        <v>7</v>
      </c>
      <c r="P564" s="173">
        <v>1</v>
      </c>
    </row>
    <row r="565" spans="1:16">
      <c r="A565" s="172" t="s">
        <v>449</v>
      </c>
      <c r="B565" s="172" t="s">
        <v>467</v>
      </c>
      <c r="C565" s="172">
        <v>60</v>
      </c>
      <c r="D565" s="172">
        <v>20</v>
      </c>
      <c r="E565" s="172">
        <v>2</v>
      </c>
      <c r="F565" s="172">
        <v>6</v>
      </c>
      <c r="G565" s="172">
        <v>5</v>
      </c>
      <c r="H565" s="172">
        <v>3</v>
      </c>
      <c r="I565" s="172">
        <v>5</v>
      </c>
      <c r="J565" s="172">
        <v>0</v>
      </c>
      <c r="K565" s="172">
        <v>21</v>
      </c>
      <c r="L565" s="172">
        <v>5</v>
      </c>
      <c r="M565" s="172">
        <v>1</v>
      </c>
      <c r="N565" s="172">
        <v>4</v>
      </c>
      <c r="O565" s="172">
        <v>18</v>
      </c>
      <c r="P565" s="174">
        <v>4</v>
      </c>
    </row>
    <row r="566" spans="1:16">
      <c r="A566" s="171" t="s">
        <v>449</v>
      </c>
      <c r="B566" s="171" t="s">
        <v>467</v>
      </c>
      <c r="C566" s="171">
        <v>150</v>
      </c>
      <c r="D566" s="171">
        <v>0</v>
      </c>
      <c r="E566" s="171">
        <v>0</v>
      </c>
      <c r="F566" s="171">
        <v>0</v>
      </c>
      <c r="G566" s="171">
        <v>26</v>
      </c>
      <c r="H566" s="171">
        <v>32</v>
      </c>
      <c r="I566" s="171">
        <v>33</v>
      </c>
      <c r="J566" s="171">
        <v>0</v>
      </c>
      <c r="K566" s="171">
        <v>91</v>
      </c>
      <c r="L566" s="171">
        <v>57</v>
      </c>
      <c r="M566" s="171">
        <v>12</v>
      </c>
      <c r="N566" s="171">
        <v>5</v>
      </c>
      <c r="O566" s="171">
        <v>35</v>
      </c>
      <c r="P566" s="173">
        <v>3</v>
      </c>
    </row>
    <row r="567" spans="1:16">
      <c r="A567" s="172" t="s">
        <v>449</v>
      </c>
      <c r="B567" s="172" t="s">
        <v>467</v>
      </c>
      <c r="C567" s="172">
        <v>40</v>
      </c>
      <c r="D567" s="172">
        <v>10</v>
      </c>
      <c r="E567" s="172">
        <v>1</v>
      </c>
      <c r="F567" s="172">
        <v>7</v>
      </c>
      <c r="G567" s="172">
        <v>4</v>
      </c>
      <c r="H567" s="172">
        <v>6</v>
      </c>
      <c r="I567" s="172">
        <v>8</v>
      </c>
      <c r="J567" s="172">
        <v>1</v>
      </c>
      <c r="K567" s="172">
        <v>27</v>
      </c>
      <c r="L567" s="172">
        <v>7</v>
      </c>
      <c r="M567" s="172">
        <v>11</v>
      </c>
      <c r="N567" s="172">
        <v>13</v>
      </c>
      <c r="O567" s="172">
        <v>10</v>
      </c>
      <c r="P567" s="174">
        <v>0</v>
      </c>
    </row>
    <row r="568" spans="1:16" hidden="1">
      <c r="A568" s="171" t="s">
        <v>468</v>
      </c>
      <c r="B568" s="171" t="s">
        <v>467</v>
      </c>
      <c r="C568" s="171">
        <v>30</v>
      </c>
      <c r="D568" s="171">
        <v>0</v>
      </c>
      <c r="E568" s="171">
        <v>0</v>
      </c>
      <c r="F568" s="171">
        <v>0</v>
      </c>
      <c r="G568" s="171">
        <v>8</v>
      </c>
      <c r="H568" s="171">
        <v>2</v>
      </c>
      <c r="I568" s="171">
        <v>9</v>
      </c>
      <c r="J568" s="171">
        <v>2</v>
      </c>
      <c r="K568" s="171">
        <v>21</v>
      </c>
      <c r="L568" s="171">
        <v>0</v>
      </c>
      <c r="M568" s="171">
        <v>0</v>
      </c>
      <c r="N568" s="171">
        <v>21</v>
      </c>
      <c r="O568" s="171">
        <v>1</v>
      </c>
      <c r="P568" s="173">
        <v>1</v>
      </c>
    </row>
    <row r="569" spans="1:16">
      <c r="A569" s="172" t="s">
        <v>449</v>
      </c>
      <c r="B569" s="172" t="s">
        <v>467</v>
      </c>
      <c r="C569" s="172">
        <v>90</v>
      </c>
      <c r="D569" s="172">
        <v>20</v>
      </c>
      <c r="E569" s="172">
        <v>4</v>
      </c>
      <c r="F569" s="172">
        <v>5</v>
      </c>
      <c r="G569" s="172">
        <v>22</v>
      </c>
      <c r="H569" s="172">
        <v>19</v>
      </c>
      <c r="I569" s="172">
        <v>9</v>
      </c>
      <c r="J569" s="172">
        <v>0</v>
      </c>
      <c r="K569" s="172">
        <v>59</v>
      </c>
      <c r="L569" s="172">
        <v>13</v>
      </c>
      <c r="M569" s="172">
        <v>9</v>
      </c>
      <c r="N569" s="172">
        <v>29</v>
      </c>
      <c r="O569" s="172">
        <v>20</v>
      </c>
      <c r="P569" s="174">
        <v>2</v>
      </c>
    </row>
    <row r="570" spans="1:16">
      <c r="A570" s="171" t="s">
        <v>449</v>
      </c>
      <c r="B570" s="171" t="s">
        <v>467</v>
      </c>
      <c r="C570" s="171">
        <v>30</v>
      </c>
      <c r="D570" s="171">
        <v>0</v>
      </c>
      <c r="E570" s="171">
        <v>0</v>
      </c>
      <c r="F570" s="171">
        <v>0</v>
      </c>
      <c r="G570" s="171">
        <v>8</v>
      </c>
      <c r="H570" s="171">
        <v>17</v>
      </c>
      <c r="I570" s="171">
        <v>17</v>
      </c>
      <c r="J570" s="171">
        <v>0</v>
      </c>
      <c r="K570" s="171">
        <v>42</v>
      </c>
      <c r="L570" s="171">
        <v>30</v>
      </c>
      <c r="M570" s="171">
        <v>2</v>
      </c>
      <c r="N570" s="171">
        <v>1</v>
      </c>
      <c r="O570" s="171">
        <v>11</v>
      </c>
      <c r="P570" s="173">
        <v>8</v>
      </c>
    </row>
    <row r="571" spans="1:16">
      <c r="A571" s="172" t="s">
        <v>449</v>
      </c>
      <c r="B571" s="172" t="s">
        <v>467</v>
      </c>
      <c r="C571" s="172">
        <v>35</v>
      </c>
      <c r="D571" s="172">
        <v>0</v>
      </c>
      <c r="E571" s="172">
        <v>0</v>
      </c>
      <c r="F571" s="172">
        <v>0</v>
      </c>
      <c r="G571" s="172">
        <v>9</v>
      </c>
      <c r="H571" s="172">
        <v>9</v>
      </c>
      <c r="I571" s="172">
        <v>11</v>
      </c>
      <c r="J571" s="172">
        <v>0</v>
      </c>
      <c r="K571" s="172">
        <v>29</v>
      </c>
      <c r="L571" s="172">
        <v>23</v>
      </c>
      <c r="M571" s="172">
        <v>1</v>
      </c>
      <c r="N571" s="172">
        <v>1</v>
      </c>
      <c r="O571" s="172">
        <v>8</v>
      </c>
      <c r="P571" s="174">
        <v>2</v>
      </c>
    </row>
    <row r="572" spans="1:16">
      <c r="A572" s="171" t="s">
        <v>449</v>
      </c>
      <c r="B572" s="171" t="s">
        <v>467</v>
      </c>
      <c r="C572" s="171">
        <v>35</v>
      </c>
      <c r="D572" s="171">
        <v>10</v>
      </c>
      <c r="E572" s="171">
        <v>4</v>
      </c>
      <c r="F572" s="171">
        <v>6</v>
      </c>
      <c r="G572" s="171">
        <v>6</v>
      </c>
      <c r="H572" s="171">
        <v>10</v>
      </c>
      <c r="I572" s="171">
        <v>11</v>
      </c>
      <c r="J572" s="171">
        <v>3</v>
      </c>
      <c r="K572" s="171">
        <v>40</v>
      </c>
      <c r="L572" s="171">
        <v>4</v>
      </c>
      <c r="M572" s="171">
        <v>5</v>
      </c>
      <c r="N572" s="171">
        <v>27</v>
      </c>
      <c r="O572" s="171">
        <v>14</v>
      </c>
      <c r="P572" s="173">
        <v>1</v>
      </c>
    </row>
    <row r="573" spans="1:16">
      <c r="A573" s="172" t="s">
        <v>449</v>
      </c>
      <c r="B573" s="172" t="s">
        <v>467</v>
      </c>
      <c r="C573" s="172">
        <v>39</v>
      </c>
      <c r="D573" s="172">
        <v>0</v>
      </c>
      <c r="E573" s="172">
        <v>0</v>
      </c>
      <c r="F573" s="172">
        <v>0</v>
      </c>
      <c r="G573" s="172">
        <v>7</v>
      </c>
      <c r="H573" s="172">
        <v>11</v>
      </c>
      <c r="I573" s="172">
        <v>16</v>
      </c>
      <c r="J573" s="172">
        <v>2</v>
      </c>
      <c r="K573" s="172">
        <v>36</v>
      </c>
      <c r="L573" s="172">
        <v>4</v>
      </c>
      <c r="M573" s="172">
        <v>1</v>
      </c>
      <c r="N573" s="172">
        <v>2</v>
      </c>
      <c r="O573" s="172">
        <v>34</v>
      </c>
      <c r="P573" s="174">
        <v>0</v>
      </c>
    </row>
    <row r="574" spans="1:16">
      <c r="A574" s="171" t="s">
        <v>449</v>
      </c>
      <c r="B574" s="171" t="s">
        <v>467</v>
      </c>
      <c r="C574" s="171">
        <v>50</v>
      </c>
      <c r="D574" s="171">
        <v>0</v>
      </c>
      <c r="E574" s="171">
        <v>0</v>
      </c>
      <c r="F574" s="171">
        <v>0</v>
      </c>
      <c r="G574" s="171">
        <v>0</v>
      </c>
      <c r="H574" s="171">
        <v>10</v>
      </c>
      <c r="I574" s="171">
        <v>12</v>
      </c>
      <c r="J574" s="171">
        <v>3</v>
      </c>
      <c r="K574" s="171">
        <v>25</v>
      </c>
      <c r="L574" s="171">
        <v>9</v>
      </c>
      <c r="M574" s="171">
        <v>2</v>
      </c>
      <c r="N574" s="171">
        <v>0</v>
      </c>
      <c r="O574" s="171">
        <v>15</v>
      </c>
      <c r="P574" s="173">
        <v>2</v>
      </c>
    </row>
    <row r="575" spans="1:16">
      <c r="A575" s="172" t="s">
        <v>449</v>
      </c>
      <c r="B575" s="172" t="s">
        <v>467</v>
      </c>
      <c r="C575" s="172">
        <v>50</v>
      </c>
      <c r="D575" s="172">
        <v>15</v>
      </c>
      <c r="E575" s="172">
        <v>1</v>
      </c>
      <c r="F575" s="172">
        <v>3</v>
      </c>
      <c r="G575" s="172">
        <v>9</v>
      </c>
      <c r="H575" s="172">
        <v>8</v>
      </c>
      <c r="I575" s="172">
        <v>10</v>
      </c>
      <c r="J575" s="172">
        <v>0</v>
      </c>
      <c r="K575" s="172">
        <v>31</v>
      </c>
      <c r="L575" s="172">
        <v>22</v>
      </c>
      <c r="M575" s="172">
        <v>0</v>
      </c>
      <c r="N575" s="172">
        <v>2</v>
      </c>
      <c r="O575" s="172">
        <v>10</v>
      </c>
      <c r="P575" s="174">
        <v>2</v>
      </c>
    </row>
    <row r="576" spans="1:16">
      <c r="A576" s="171" t="s">
        <v>449</v>
      </c>
      <c r="B576" s="171" t="s">
        <v>467</v>
      </c>
      <c r="C576" s="171">
        <v>30</v>
      </c>
      <c r="D576" s="171">
        <v>0</v>
      </c>
      <c r="E576" s="171">
        <v>0</v>
      </c>
      <c r="F576" s="171">
        <v>0</v>
      </c>
      <c r="G576" s="171">
        <v>3</v>
      </c>
      <c r="H576" s="171">
        <v>11</v>
      </c>
      <c r="I576" s="171">
        <v>15</v>
      </c>
      <c r="J576" s="171">
        <v>2</v>
      </c>
      <c r="K576" s="171">
        <v>31</v>
      </c>
      <c r="L576" s="171">
        <v>6</v>
      </c>
      <c r="M576" s="171">
        <v>3</v>
      </c>
      <c r="N576" s="171">
        <v>11</v>
      </c>
      <c r="O576" s="171">
        <v>8</v>
      </c>
      <c r="P576" s="173">
        <v>9</v>
      </c>
    </row>
    <row r="577" spans="1:16">
      <c r="A577" s="172" t="s">
        <v>449</v>
      </c>
      <c r="B577" s="172" t="s">
        <v>467</v>
      </c>
      <c r="C577" s="172">
        <v>30</v>
      </c>
      <c r="D577" s="172">
        <v>10</v>
      </c>
      <c r="E577" s="172">
        <v>0</v>
      </c>
      <c r="F577" s="172">
        <v>4</v>
      </c>
      <c r="G577" s="172">
        <v>8</v>
      </c>
      <c r="H577" s="172">
        <v>6</v>
      </c>
      <c r="I577" s="172">
        <v>12</v>
      </c>
      <c r="J577" s="172">
        <v>1</v>
      </c>
      <c r="K577" s="172">
        <v>31</v>
      </c>
      <c r="L577" s="172">
        <v>1</v>
      </c>
      <c r="M577" s="172">
        <v>7</v>
      </c>
      <c r="N577" s="172">
        <v>19</v>
      </c>
      <c r="O577" s="172">
        <v>12</v>
      </c>
      <c r="P577" s="174">
        <v>0</v>
      </c>
    </row>
    <row r="578" spans="1:16">
      <c r="A578" s="171" t="s">
        <v>449</v>
      </c>
      <c r="B578" s="171" t="s">
        <v>467</v>
      </c>
      <c r="C578" s="171">
        <v>50</v>
      </c>
      <c r="D578" s="171">
        <v>20</v>
      </c>
      <c r="E578" s="171">
        <v>1</v>
      </c>
      <c r="F578" s="171">
        <v>6</v>
      </c>
      <c r="G578" s="171">
        <v>8</v>
      </c>
      <c r="H578" s="171">
        <v>14</v>
      </c>
      <c r="I578" s="171">
        <v>8</v>
      </c>
      <c r="J578" s="171">
        <v>0</v>
      </c>
      <c r="K578" s="171">
        <v>37</v>
      </c>
      <c r="L578" s="171">
        <v>12</v>
      </c>
      <c r="M578" s="171">
        <v>7</v>
      </c>
      <c r="N578" s="171">
        <v>3</v>
      </c>
      <c r="O578" s="171">
        <v>21</v>
      </c>
      <c r="P578" s="173">
        <v>2</v>
      </c>
    </row>
    <row r="579" spans="1:16">
      <c r="A579" s="172" t="s">
        <v>449</v>
      </c>
      <c r="B579" s="172" t="s">
        <v>467</v>
      </c>
      <c r="C579" s="172">
        <v>70</v>
      </c>
      <c r="D579" s="172">
        <v>30</v>
      </c>
      <c r="E579" s="172">
        <v>1</v>
      </c>
      <c r="F579" s="172">
        <v>4</v>
      </c>
      <c r="G579" s="172">
        <v>12</v>
      </c>
      <c r="H579" s="172">
        <v>12</v>
      </c>
      <c r="I579" s="172">
        <v>16</v>
      </c>
      <c r="J579" s="172">
        <v>0</v>
      </c>
      <c r="K579" s="172">
        <v>45</v>
      </c>
      <c r="L579" s="172">
        <v>10</v>
      </c>
      <c r="M579" s="172">
        <v>13</v>
      </c>
      <c r="N579" s="172">
        <v>28</v>
      </c>
      <c r="O579" s="172">
        <v>17</v>
      </c>
      <c r="P579" s="174">
        <v>0</v>
      </c>
    </row>
    <row r="580" spans="1:16" hidden="1">
      <c r="A580" s="171" t="s">
        <v>347</v>
      </c>
      <c r="B580" s="171" t="s">
        <v>467</v>
      </c>
      <c r="C580" s="171">
        <v>40</v>
      </c>
      <c r="D580" s="171">
        <v>9</v>
      </c>
      <c r="E580" s="171">
        <v>1</v>
      </c>
      <c r="F580" s="171">
        <v>4</v>
      </c>
      <c r="G580" s="171">
        <v>9</v>
      </c>
      <c r="H580" s="171">
        <v>6</v>
      </c>
      <c r="I580" s="171">
        <v>8</v>
      </c>
      <c r="J580" s="171">
        <v>0</v>
      </c>
      <c r="K580" s="171">
        <v>28</v>
      </c>
      <c r="L580" s="171">
        <v>0</v>
      </c>
      <c r="M580" s="171">
        <v>26</v>
      </c>
      <c r="N580" s="171">
        <v>1</v>
      </c>
      <c r="O580" s="171">
        <v>0</v>
      </c>
      <c r="P580" s="173">
        <v>1</v>
      </c>
    </row>
    <row r="581" spans="1:16" hidden="1">
      <c r="A581" s="172" t="s">
        <v>452</v>
      </c>
      <c r="B581" s="172" t="s">
        <v>467</v>
      </c>
      <c r="C581" s="172">
        <v>30</v>
      </c>
      <c r="D581" s="172">
        <v>0</v>
      </c>
      <c r="E581" s="172">
        <v>0</v>
      </c>
      <c r="F581" s="172">
        <v>0</v>
      </c>
      <c r="G581" s="172">
        <v>4</v>
      </c>
      <c r="H581" s="172">
        <v>9</v>
      </c>
      <c r="I581" s="172">
        <v>17</v>
      </c>
      <c r="J581" s="172">
        <v>1</v>
      </c>
      <c r="K581" s="172">
        <v>31</v>
      </c>
      <c r="L581" s="172">
        <v>6</v>
      </c>
      <c r="M581" s="172">
        <v>12</v>
      </c>
      <c r="N581" s="172">
        <v>13</v>
      </c>
      <c r="O581" s="172">
        <v>12</v>
      </c>
      <c r="P581" s="174">
        <v>1</v>
      </c>
    </row>
    <row r="582" spans="1:16">
      <c r="A582" s="171" t="s">
        <v>449</v>
      </c>
      <c r="B582" s="171" t="s">
        <v>467</v>
      </c>
      <c r="C582" s="171">
        <v>90</v>
      </c>
      <c r="D582" s="171">
        <v>30</v>
      </c>
      <c r="E582" s="171">
        <v>2</v>
      </c>
      <c r="F582" s="171">
        <v>27</v>
      </c>
      <c r="G582" s="171">
        <v>23</v>
      </c>
      <c r="H582" s="171">
        <v>17</v>
      </c>
      <c r="I582" s="171">
        <v>23</v>
      </c>
      <c r="J582" s="171">
        <v>2</v>
      </c>
      <c r="K582" s="171">
        <v>94</v>
      </c>
      <c r="L582" s="171">
        <v>49</v>
      </c>
      <c r="M582" s="171">
        <v>14</v>
      </c>
      <c r="N582" s="171">
        <v>29</v>
      </c>
      <c r="O582" s="171">
        <v>21</v>
      </c>
      <c r="P582" s="173">
        <v>6</v>
      </c>
    </row>
    <row r="583" spans="1:16">
      <c r="A583" s="172" t="s">
        <v>449</v>
      </c>
      <c r="B583" s="172" t="s">
        <v>467</v>
      </c>
      <c r="C583" s="172">
        <v>30</v>
      </c>
      <c r="D583" s="172">
        <v>10</v>
      </c>
      <c r="E583" s="172">
        <v>2</v>
      </c>
      <c r="F583" s="172">
        <v>7</v>
      </c>
      <c r="G583" s="172">
        <v>7</v>
      </c>
      <c r="H583" s="172">
        <v>11</v>
      </c>
      <c r="I583" s="172">
        <v>7</v>
      </c>
      <c r="J583" s="172">
        <v>0</v>
      </c>
      <c r="K583" s="172">
        <v>34</v>
      </c>
      <c r="L583" s="172">
        <v>23</v>
      </c>
      <c r="M583" s="172">
        <v>8</v>
      </c>
      <c r="N583" s="172">
        <v>3</v>
      </c>
      <c r="O583" s="172">
        <v>6</v>
      </c>
      <c r="P583" s="174">
        <v>4</v>
      </c>
    </row>
    <row r="584" spans="1:16">
      <c r="A584" s="171" t="s">
        <v>449</v>
      </c>
      <c r="B584" s="171" t="s">
        <v>467</v>
      </c>
      <c r="C584" s="171">
        <v>40</v>
      </c>
      <c r="D584" s="171">
        <v>0</v>
      </c>
      <c r="E584" s="171">
        <v>0</v>
      </c>
      <c r="F584" s="171">
        <v>0</v>
      </c>
      <c r="G584" s="171">
        <v>8</v>
      </c>
      <c r="H584" s="171">
        <v>18</v>
      </c>
      <c r="I584" s="171">
        <v>14</v>
      </c>
      <c r="J584" s="171">
        <v>1</v>
      </c>
      <c r="K584" s="171">
        <v>41</v>
      </c>
      <c r="L584" s="171">
        <v>18</v>
      </c>
      <c r="M584" s="171">
        <v>3</v>
      </c>
      <c r="N584" s="171">
        <v>3</v>
      </c>
      <c r="O584" s="171">
        <v>23</v>
      </c>
      <c r="P584" s="173">
        <v>5</v>
      </c>
    </row>
    <row r="585" spans="1:16">
      <c r="A585" s="172" t="s">
        <v>449</v>
      </c>
      <c r="B585" s="172" t="s">
        <v>467</v>
      </c>
      <c r="C585" s="172">
        <v>40</v>
      </c>
      <c r="D585" s="172">
        <v>10</v>
      </c>
      <c r="E585" s="172">
        <v>0</v>
      </c>
      <c r="F585" s="172">
        <v>4</v>
      </c>
      <c r="G585" s="172">
        <v>8</v>
      </c>
      <c r="H585" s="172">
        <v>6</v>
      </c>
      <c r="I585" s="172">
        <v>10</v>
      </c>
      <c r="J585" s="172">
        <v>1</v>
      </c>
      <c r="K585" s="172">
        <v>29</v>
      </c>
      <c r="L585" s="172">
        <v>12</v>
      </c>
      <c r="M585" s="172">
        <v>8</v>
      </c>
      <c r="N585" s="172">
        <v>12</v>
      </c>
      <c r="O585" s="172">
        <v>4</v>
      </c>
      <c r="P585" s="174">
        <v>5</v>
      </c>
    </row>
    <row r="586" spans="1:16">
      <c r="A586" s="171" t="s">
        <v>449</v>
      </c>
      <c r="B586" s="171" t="s">
        <v>467</v>
      </c>
      <c r="C586" s="171">
        <v>30</v>
      </c>
      <c r="D586" s="171">
        <v>0</v>
      </c>
      <c r="E586" s="171">
        <v>0</v>
      </c>
      <c r="F586" s="171">
        <v>0</v>
      </c>
      <c r="G586" s="171">
        <v>1</v>
      </c>
      <c r="H586" s="171">
        <v>7</v>
      </c>
      <c r="I586" s="171">
        <v>10</v>
      </c>
      <c r="J586" s="171">
        <v>0</v>
      </c>
      <c r="K586" s="171">
        <v>18</v>
      </c>
      <c r="L586" s="171">
        <v>13</v>
      </c>
      <c r="M586" s="171">
        <v>1</v>
      </c>
      <c r="N586" s="171">
        <v>3</v>
      </c>
      <c r="O586" s="171">
        <v>3</v>
      </c>
      <c r="P586" s="173">
        <v>0</v>
      </c>
    </row>
    <row r="587" spans="1:16">
      <c r="A587" s="172" t="s">
        <v>449</v>
      </c>
      <c r="B587" s="172" t="s">
        <v>467</v>
      </c>
      <c r="C587" s="172">
        <v>80</v>
      </c>
      <c r="D587" s="172">
        <v>25</v>
      </c>
      <c r="E587" s="172">
        <v>6</v>
      </c>
      <c r="F587" s="172">
        <v>8</v>
      </c>
      <c r="G587" s="172">
        <v>21</v>
      </c>
      <c r="H587" s="172">
        <v>13</v>
      </c>
      <c r="I587" s="172">
        <v>15</v>
      </c>
      <c r="J587" s="172">
        <v>1</v>
      </c>
      <c r="K587" s="172">
        <v>64</v>
      </c>
      <c r="L587" s="172">
        <v>31</v>
      </c>
      <c r="M587" s="172">
        <v>27</v>
      </c>
      <c r="N587" s="172">
        <v>35</v>
      </c>
      <c r="O587" s="172">
        <v>10</v>
      </c>
      <c r="P587" s="174">
        <v>2</v>
      </c>
    </row>
    <row r="588" spans="1:16">
      <c r="A588" s="171" t="s">
        <v>449</v>
      </c>
      <c r="B588" s="171" t="s">
        <v>467</v>
      </c>
      <c r="C588" s="171">
        <v>100</v>
      </c>
      <c r="D588" s="171">
        <v>15</v>
      </c>
      <c r="E588" s="171">
        <v>1</v>
      </c>
      <c r="F588" s="171">
        <v>12</v>
      </c>
      <c r="G588" s="171">
        <v>20</v>
      </c>
      <c r="H588" s="171">
        <v>27</v>
      </c>
      <c r="I588" s="171">
        <v>25</v>
      </c>
      <c r="J588" s="171">
        <v>1</v>
      </c>
      <c r="K588" s="171">
        <v>86</v>
      </c>
      <c r="L588" s="171">
        <v>7</v>
      </c>
      <c r="M588" s="171">
        <v>18</v>
      </c>
      <c r="N588" s="171">
        <v>10</v>
      </c>
      <c r="O588" s="171">
        <v>62</v>
      </c>
      <c r="P588" s="173">
        <v>3</v>
      </c>
    </row>
    <row r="589" spans="1:16">
      <c r="A589" s="172" t="s">
        <v>449</v>
      </c>
      <c r="B589" s="172" t="s">
        <v>467</v>
      </c>
      <c r="C589" s="172">
        <v>60</v>
      </c>
      <c r="D589" s="172">
        <v>20</v>
      </c>
      <c r="E589" s="172">
        <v>0</v>
      </c>
      <c r="F589" s="172">
        <v>13</v>
      </c>
      <c r="G589" s="172">
        <v>11</v>
      </c>
      <c r="H589" s="172">
        <v>9</v>
      </c>
      <c r="I589" s="172">
        <v>17</v>
      </c>
      <c r="J589" s="172">
        <v>3</v>
      </c>
      <c r="K589" s="172">
        <v>53</v>
      </c>
      <c r="L589" s="172">
        <v>8</v>
      </c>
      <c r="M589" s="172">
        <v>4</v>
      </c>
      <c r="N589" s="172">
        <v>7</v>
      </c>
      <c r="O589" s="172">
        <v>38</v>
      </c>
      <c r="P589" s="174">
        <v>1</v>
      </c>
    </row>
    <row r="590" spans="1:16">
      <c r="A590" s="171" t="s">
        <v>449</v>
      </c>
      <c r="B590" s="171" t="s">
        <v>467</v>
      </c>
      <c r="C590" s="171">
        <v>65</v>
      </c>
      <c r="D590" s="171">
        <v>20</v>
      </c>
      <c r="E590" s="171">
        <v>2</v>
      </c>
      <c r="F590" s="171">
        <v>11</v>
      </c>
      <c r="G590" s="171">
        <v>16</v>
      </c>
      <c r="H590" s="171">
        <v>18</v>
      </c>
      <c r="I590" s="171">
        <v>22</v>
      </c>
      <c r="J590" s="171">
        <v>2</v>
      </c>
      <c r="K590" s="171">
        <v>71</v>
      </c>
      <c r="L590" s="171">
        <v>10</v>
      </c>
      <c r="M590" s="171">
        <v>30</v>
      </c>
      <c r="N590" s="171">
        <v>21</v>
      </c>
      <c r="O590" s="171">
        <v>18</v>
      </c>
      <c r="P590" s="173">
        <v>4</v>
      </c>
    </row>
    <row r="591" spans="1:16">
      <c r="A591" s="172" t="s">
        <v>449</v>
      </c>
      <c r="B591" s="172" t="s">
        <v>467</v>
      </c>
      <c r="C591" s="172">
        <v>80</v>
      </c>
      <c r="D591" s="172">
        <v>10</v>
      </c>
      <c r="E591" s="172">
        <v>0</v>
      </c>
      <c r="F591" s="172">
        <v>4</v>
      </c>
      <c r="G591" s="172">
        <v>13</v>
      </c>
      <c r="H591" s="172">
        <v>14</v>
      </c>
      <c r="I591" s="172">
        <v>24</v>
      </c>
      <c r="J591" s="172">
        <v>3</v>
      </c>
      <c r="K591" s="172">
        <v>58</v>
      </c>
      <c r="L591" s="172">
        <v>12</v>
      </c>
      <c r="M591" s="172">
        <v>17</v>
      </c>
      <c r="N591" s="172">
        <v>48</v>
      </c>
      <c r="O591" s="172">
        <v>9</v>
      </c>
      <c r="P591" s="174">
        <v>0</v>
      </c>
    </row>
    <row r="592" spans="1:16">
      <c r="A592" s="171" t="s">
        <v>449</v>
      </c>
      <c r="B592" s="171" t="s">
        <v>467</v>
      </c>
      <c r="C592" s="171">
        <v>50</v>
      </c>
      <c r="D592" s="171">
        <v>14</v>
      </c>
      <c r="E592" s="171">
        <v>1</v>
      </c>
      <c r="F592" s="171">
        <v>6</v>
      </c>
      <c r="G592" s="171">
        <v>8</v>
      </c>
      <c r="H592" s="171">
        <v>18</v>
      </c>
      <c r="I592" s="171">
        <v>16</v>
      </c>
      <c r="J592" s="171">
        <v>0</v>
      </c>
      <c r="K592" s="171">
        <v>49</v>
      </c>
      <c r="L592" s="171">
        <v>0</v>
      </c>
      <c r="M592" s="171">
        <v>2</v>
      </c>
      <c r="N592" s="171">
        <v>9</v>
      </c>
      <c r="O592" s="171">
        <v>41</v>
      </c>
      <c r="P592" s="173">
        <v>0</v>
      </c>
    </row>
    <row r="593" spans="1:16">
      <c r="A593" s="172" t="s">
        <v>449</v>
      </c>
      <c r="B593" s="172" t="s">
        <v>467</v>
      </c>
      <c r="C593" s="172">
        <v>62</v>
      </c>
      <c r="D593" s="172">
        <v>13</v>
      </c>
      <c r="E593" s="172">
        <v>1</v>
      </c>
      <c r="F593" s="172">
        <v>12</v>
      </c>
      <c r="G593" s="172">
        <v>15</v>
      </c>
      <c r="H593" s="172">
        <v>22</v>
      </c>
      <c r="I593" s="172">
        <v>21</v>
      </c>
      <c r="J593" s="172">
        <v>2</v>
      </c>
      <c r="K593" s="172">
        <v>73</v>
      </c>
      <c r="L593" s="172">
        <v>71</v>
      </c>
      <c r="M593" s="172">
        <v>9</v>
      </c>
      <c r="N593" s="172">
        <v>3</v>
      </c>
      <c r="O593" s="172">
        <v>6</v>
      </c>
      <c r="P593" s="174">
        <v>3</v>
      </c>
    </row>
    <row r="594" spans="1:16">
      <c r="A594" s="171" t="s">
        <v>449</v>
      </c>
      <c r="B594" s="171" t="s">
        <v>467</v>
      </c>
      <c r="C594" s="171">
        <v>40</v>
      </c>
      <c r="D594" s="171">
        <v>0</v>
      </c>
      <c r="E594" s="171">
        <v>0</v>
      </c>
      <c r="F594" s="171">
        <v>0</v>
      </c>
      <c r="G594" s="171">
        <v>13</v>
      </c>
      <c r="H594" s="171">
        <v>10</v>
      </c>
      <c r="I594" s="171">
        <v>17</v>
      </c>
      <c r="J594" s="171">
        <v>1</v>
      </c>
      <c r="K594" s="171">
        <v>41</v>
      </c>
      <c r="L594" s="171">
        <v>4</v>
      </c>
      <c r="M594" s="171">
        <v>9</v>
      </c>
      <c r="N594" s="171">
        <v>31</v>
      </c>
      <c r="O594" s="171">
        <v>6</v>
      </c>
      <c r="P594" s="173">
        <v>0</v>
      </c>
    </row>
    <row r="595" spans="1:16">
      <c r="A595" s="172" t="s">
        <v>449</v>
      </c>
      <c r="B595" s="172" t="s">
        <v>467</v>
      </c>
      <c r="C595" s="172">
        <v>50</v>
      </c>
      <c r="D595" s="172">
        <v>10</v>
      </c>
      <c r="E595" s="172">
        <v>2</v>
      </c>
      <c r="F595" s="172">
        <v>7</v>
      </c>
      <c r="G595" s="172">
        <v>8</v>
      </c>
      <c r="H595" s="172">
        <v>13</v>
      </c>
      <c r="I595" s="172">
        <v>22</v>
      </c>
      <c r="J595" s="172">
        <v>3</v>
      </c>
      <c r="K595" s="172">
        <v>55</v>
      </c>
      <c r="L595" s="172">
        <v>5</v>
      </c>
      <c r="M595" s="172">
        <v>3</v>
      </c>
      <c r="N595" s="172">
        <v>21</v>
      </c>
      <c r="O595" s="172">
        <v>34</v>
      </c>
      <c r="P595" s="174">
        <v>0</v>
      </c>
    </row>
    <row r="596" spans="1:16">
      <c r="A596" s="171" t="s">
        <v>449</v>
      </c>
      <c r="B596" s="171" t="s">
        <v>467</v>
      </c>
      <c r="C596" s="171">
        <v>50</v>
      </c>
      <c r="D596" s="171">
        <v>4</v>
      </c>
      <c r="E596" s="171">
        <v>0</v>
      </c>
      <c r="F596" s="171">
        <v>0</v>
      </c>
      <c r="G596" s="171">
        <v>2</v>
      </c>
      <c r="H596" s="171">
        <v>12</v>
      </c>
      <c r="I596" s="171">
        <v>16</v>
      </c>
      <c r="J596" s="171">
        <v>3</v>
      </c>
      <c r="K596" s="171">
        <v>33</v>
      </c>
      <c r="L596" s="171">
        <v>9</v>
      </c>
      <c r="M596" s="171">
        <v>7</v>
      </c>
      <c r="N596" s="171">
        <v>24</v>
      </c>
      <c r="O596" s="171">
        <v>2</v>
      </c>
      <c r="P596" s="173">
        <v>4</v>
      </c>
    </row>
    <row r="597" spans="1:16" hidden="1">
      <c r="A597" s="172" t="s">
        <v>468</v>
      </c>
      <c r="B597" s="172" t="s">
        <v>467</v>
      </c>
      <c r="C597" s="172">
        <v>25</v>
      </c>
      <c r="D597" s="172">
        <v>5</v>
      </c>
      <c r="E597" s="172">
        <v>0</v>
      </c>
      <c r="F597" s="172">
        <v>5</v>
      </c>
      <c r="G597" s="172">
        <v>9</v>
      </c>
      <c r="H597" s="172">
        <v>5</v>
      </c>
      <c r="I597" s="172">
        <v>3</v>
      </c>
      <c r="J597" s="172">
        <v>0</v>
      </c>
      <c r="K597" s="172">
        <v>22</v>
      </c>
      <c r="L597" s="172">
        <v>0</v>
      </c>
      <c r="M597" s="172">
        <v>1</v>
      </c>
      <c r="N597" s="172">
        <v>22</v>
      </c>
      <c r="O597" s="172">
        <v>0</v>
      </c>
      <c r="P597" s="174">
        <v>2</v>
      </c>
    </row>
    <row r="598" spans="1:16" hidden="1">
      <c r="A598" s="171" t="s">
        <v>347</v>
      </c>
      <c r="B598" s="171" t="s">
        <v>467</v>
      </c>
      <c r="C598" s="171">
        <v>37</v>
      </c>
      <c r="D598" s="171">
        <v>10</v>
      </c>
      <c r="E598" s="171">
        <v>3</v>
      </c>
      <c r="F598" s="171">
        <v>3</v>
      </c>
      <c r="G598" s="171">
        <v>8</v>
      </c>
      <c r="H598" s="171">
        <v>9</v>
      </c>
      <c r="I598" s="171">
        <v>4</v>
      </c>
      <c r="J598" s="171">
        <v>0</v>
      </c>
      <c r="K598" s="171">
        <v>27</v>
      </c>
      <c r="L598" s="171">
        <v>0</v>
      </c>
      <c r="M598" s="171">
        <v>24</v>
      </c>
      <c r="N598" s="171">
        <v>3</v>
      </c>
      <c r="O598" s="171">
        <v>0</v>
      </c>
      <c r="P598" s="173">
        <v>0</v>
      </c>
    </row>
    <row r="599" spans="1:16">
      <c r="A599" s="172" t="s">
        <v>449</v>
      </c>
      <c r="B599" s="172" t="s">
        <v>467</v>
      </c>
      <c r="C599" s="172">
        <v>84</v>
      </c>
      <c r="D599" s="172">
        <v>25</v>
      </c>
      <c r="E599" s="172">
        <v>1</v>
      </c>
      <c r="F599" s="172">
        <v>8</v>
      </c>
      <c r="G599" s="172">
        <v>15</v>
      </c>
      <c r="H599" s="172">
        <v>6</v>
      </c>
      <c r="I599" s="172">
        <v>8</v>
      </c>
      <c r="J599" s="172">
        <v>2</v>
      </c>
      <c r="K599" s="172">
        <v>40</v>
      </c>
      <c r="L599" s="172">
        <v>21</v>
      </c>
      <c r="M599" s="172">
        <v>6</v>
      </c>
      <c r="N599" s="172">
        <v>9</v>
      </c>
      <c r="O599" s="172">
        <v>12</v>
      </c>
      <c r="P599" s="174">
        <v>2</v>
      </c>
    </row>
    <row r="600" spans="1:16" hidden="1">
      <c r="A600" s="171" t="s">
        <v>347</v>
      </c>
      <c r="B600" s="171" t="s">
        <v>467</v>
      </c>
      <c r="C600" s="171">
        <v>35</v>
      </c>
      <c r="D600" s="171">
        <v>8</v>
      </c>
      <c r="E600" s="171">
        <v>0</v>
      </c>
      <c r="F600" s="171">
        <v>8</v>
      </c>
      <c r="G600" s="171">
        <v>4</v>
      </c>
      <c r="H600" s="171">
        <v>11</v>
      </c>
      <c r="I600" s="171">
        <v>8</v>
      </c>
      <c r="J600" s="171">
        <v>0</v>
      </c>
      <c r="K600" s="171">
        <v>31</v>
      </c>
      <c r="L600" s="171">
        <v>0</v>
      </c>
      <c r="M600" s="171">
        <v>29</v>
      </c>
      <c r="N600" s="171">
        <v>1</v>
      </c>
      <c r="O600" s="171">
        <v>0</v>
      </c>
      <c r="P600" s="173">
        <v>1</v>
      </c>
    </row>
    <row r="601" spans="1:16">
      <c r="A601" s="172" t="s">
        <v>449</v>
      </c>
      <c r="B601" s="172" t="s">
        <v>467</v>
      </c>
      <c r="C601" s="172">
        <v>110</v>
      </c>
      <c r="D601" s="172">
        <v>40</v>
      </c>
      <c r="E601" s="172">
        <v>3</v>
      </c>
      <c r="F601" s="172">
        <v>24</v>
      </c>
      <c r="G601" s="172">
        <v>31</v>
      </c>
      <c r="H601" s="172">
        <v>33</v>
      </c>
      <c r="I601" s="172">
        <v>29</v>
      </c>
      <c r="J601" s="172">
        <v>1</v>
      </c>
      <c r="K601" s="172">
        <v>121</v>
      </c>
      <c r="L601" s="172">
        <v>88</v>
      </c>
      <c r="M601" s="172">
        <v>11</v>
      </c>
      <c r="N601" s="172">
        <v>4</v>
      </c>
      <c r="O601" s="172">
        <v>51</v>
      </c>
      <c r="P601" s="174">
        <v>3</v>
      </c>
    </row>
    <row r="602" spans="1:16">
      <c r="A602" s="171" t="s">
        <v>449</v>
      </c>
      <c r="B602" s="171" t="s">
        <v>467</v>
      </c>
      <c r="C602" s="171">
        <v>75</v>
      </c>
      <c r="D602" s="171">
        <v>18</v>
      </c>
      <c r="E602" s="171">
        <v>5</v>
      </c>
      <c r="F602" s="171">
        <v>10</v>
      </c>
      <c r="G602" s="171">
        <v>12</v>
      </c>
      <c r="H602" s="171">
        <v>10</v>
      </c>
      <c r="I602" s="171">
        <v>17</v>
      </c>
      <c r="J602" s="171">
        <v>1</v>
      </c>
      <c r="K602" s="171">
        <v>55</v>
      </c>
      <c r="L602" s="171">
        <v>11</v>
      </c>
      <c r="M602" s="171">
        <v>14</v>
      </c>
      <c r="N602" s="171">
        <v>27</v>
      </c>
      <c r="O602" s="171">
        <v>23</v>
      </c>
      <c r="P602" s="173">
        <v>0</v>
      </c>
    </row>
    <row r="603" spans="1:16">
      <c r="A603" s="172" t="s">
        <v>449</v>
      </c>
      <c r="B603" s="172" t="s">
        <v>467</v>
      </c>
      <c r="C603" s="172">
        <v>30</v>
      </c>
      <c r="D603" s="172">
        <v>0</v>
      </c>
      <c r="E603" s="172">
        <v>0</v>
      </c>
      <c r="F603" s="172">
        <v>0</v>
      </c>
      <c r="G603" s="172">
        <v>5</v>
      </c>
      <c r="H603" s="172">
        <v>10</v>
      </c>
      <c r="I603" s="172">
        <v>16</v>
      </c>
      <c r="J603" s="172">
        <v>1</v>
      </c>
      <c r="K603" s="172">
        <v>32</v>
      </c>
      <c r="L603" s="172">
        <v>27</v>
      </c>
      <c r="M603" s="172">
        <v>5</v>
      </c>
      <c r="N603" s="172">
        <v>2</v>
      </c>
      <c r="O603" s="172">
        <v>4</v>
      </c>
      <c r="P603" s="174">
        <v>1</v>
      </c>
    </row>
    <row r="604" spans="1:16">
      <c r="A604" s="171" t="s">
        <v>449</v>
      </c>
      <c r="B604" s="171" t="s">
        <v>467</v>
      </c>
      <c r="C604" s="171">
        <v>74</v>
      </c>
      <c r="D604" s="171">
        <v>24</v>
      </c>
      <c r="E604" s="171">
        <v>4</v>
      </c>
      <c r="F604" s="171">
        <v>11</v>
      </c>
      <c r="G604" s="171">
        <v>16</v>
      </c>
      <c r="H604" s="171">
        <v>12</v>
      </c>
      <c r="I604" s="171">
        <v>8</v>
      </c>
      <c r="J604" s="171">
        <v>0</v>
      </c>
      <c r="K604" s="171">
        <v>51</v>
      </c>
      <c r="L604" s="171">
        <v>37</v>
      </c>
      <c r="M604" s="171">
        <v>4</v>
      </c>
      <c r="N604" s="171">
        <v>2</v>
      </c>
      <c r="O604" s="171">
        <v>12</v>
      </c>
      <c r="P604" s="173">
        <v>9</v>
      </c>
    </row>
    <row r="605" spans="1:16">
      <c r="A605" s="172" t="s">
        <v>449</v>
      </c>
      <c r="B605" s="172" t="s">
        <v>467</v>
      </c>
      <c r="C605" s="172">
        <v>39</v>
      </c>
      <c r="D605" s="172">
        <v>0</v>
      </c>
      <c r="E605" s="172">
        <v>0</v>
      </c>
      <c r="F605" s="172">
        <v>0</v>
      </c>
      <c r="G605" s="172">
        <v>8</v>
      </c>
      <c r="H605" s="172">
        <v>15</v>
      </c>
      <c r="I605" s="172">
        <v>11</v>
      </c>
      <c r="J605" s="172">
        <v>3</v>
      </c>
      <c r="K605" s="172">
        <v>37</v>
      </c>
      <c r="L605" s="172">
        <v>6</v>
      </c>
      <c r="M605" s="172">
        <v>23</v>
      </c>
      <c r="N605" s="172">
        <v>19</v>
      </c>
      <c r="O605" s="172">
        <v>3</v>
      </c>
      <c r="P605" s="174">
        <v>0</v>
      </c>
    </row>
    <row r="606" spans="1:16">
      <c r="A606" s="171" t="s">
        <v>449</v>
      </c>
      <c r="B606" s="171" t="s">
        <v>467</v>
      </c>
      <c r="C606" s="171">
        <v>24</v>
      </c>
      <c r="D606" s="171">
        <v>8</v>
      </c>
      <c r="E606" s="171">
        <v>0</v>
      </c>
      <c r="F606" s="171">
        <v>0</v>
      </c>
      <c r="G606" s="171">
        <v>7</v>
      </c>
      <c r="H606" s="171">
        <v>9</v>
      </c>
      <c r="I606" s="171">
        <v>25</v>
      </c>
      <c r="J606" s="171">
        <v>1</v>
      </c>
      <c r="K606" s="171">
        <v>42</v>
      </c>
      <c r="L606" s="171">
        <v>36</v>
      </c>
      <c r="M606" s="171">
        <v>2</v>
      </c>
      <c r="N606" s="171">
        <v>0</v>
      </c>
      <c r="O606" s="171">
        <v>6</v>
      </c>
      <c r="P606" s="173">
        <v>3</v>
      </c>
    </row>
    <row r="607" spans="1:16">
      <c r="A607" s="172" t="s">
        <v>449</v>
      </c>
      <c r="B607" s="172" t="s">
        <v>467</v>
      </c>
      <c r="C607" s="172">
        <v>59</v>
      </c>
      <c r="D607" s="172">
        <v>14</v>
      </c>
      <c r="E607" s="172">
        <v>1</v>
      </c>
      <c r="F607" s="172">
        <v>5</v>
      </c>
      <c r="G607" s="172">
        <v>10</v>
      </c>
      <c r="H607" s="172">
        <v>19</v>
      </c>
      <c r="I607" s="172">
        <v>12</v>
      </c>
      <c r="J607" s="172">
        <v>0</v>
      </c>
      <c r="K607" s="172">
        <v>47</v>
      </c>
      <c r="L607" s="172">
        <v>11</v>
      </c>
      <c r="M607" s="172">
        <v>4</v>
      </c>
      <c r="N607" s="172">
        <v>5</v>
      </c>
      <c r="O607" s="172">
        <v>34</v>
      </c>
      <c r="P607" s="174">
        <v>2</v>
      </c>
    </row>
    <row r="608" spans="1:16">
      <c r="A608" s="171" t="s">
        <v>449</v>
      </c>
      <c r="B608" s="171" t="s">
        <v>467</v>
      </c>
      <c r="C608" s="171">
        <v>38</v>
      </c>
      <c r="D608" s="171">
        <v>8</v>
      </c>
      <c r="E608" s="171">
        <v>2</v>
      </c>
      <c r="F608" s="171">
        <v>5</v>
      </c>
      <c r="G608" s="171">
        <v>11</v>
      </c>
      <c r="H608" s="171">
        <v>8</v>
      </c>
      <c r="I608" s="171">
        <v>13</v>
      </c>
      <c r="J608" s="171">
        <v>0</v>
      </c>
      <c r="K608" s="171">
        <v>39</v>
      </c>
      <c r="L608" s="171">
        <v>32</v>
      </c>
      <c r="M608" s="171">
        <v>12</v>
      </c>
      <c r="N608" s="171">
        <v>3</v>
      </c>
      <c r="O608" s="171">
        <v>1</v>
      </c>
      <c r="P608" s="173">
        <v>3</v>
      </c>
    </row>
    <row r="609" spans="1:16" hidden="1">
      <c r="A609" s="172" t="s">
        <v>347</v>
      </c>
      <c r="B609" s="172" t="s">
        <v>467</v>
      </c>
      <c r="C609" s="172">
        <v>31</v>
      </c>
      <c r="D609" s="172">
        <v>10</v>
      </c>
      <c r="E609" s="172">
        <v>2</v>
      </c>
      <c r="F609" s="172">
        <v>7</v>
      </c>
      <c r="G609" s="172">
        <v>8</v>
      </c>
      <c r="H609" s="172">
        <v>7</v>
      </c>
      <c r="I609" s="172">
        <v>1</v>
      </c>
      <c r="J609" s="172">
        <v>0</v>
      </c>
      <c r="K609" s="172">
        <v>25</v>
      </c>
      <c r="L609" s="172">
        <v>0</v>
      </c>
      <c r="M609" s="172">
        <v>23</v>
      </c>
      <c r="N609" s="172">
        <v>2</v>
      </c>
      <c r="O609" s="172">
        <v>0</v>
      </c>
      <c r="P609" s="174">
        <v>0</v>
      </c>
    </row>
    <row r="610" spans="1:16" hidden="1">
      <c r="A610" s="171" t="s">
        <v>468</v>
      </c>
      <c r="B610" s="171" t="s">
        <v>467</v>
      </c>
      <c r="C610" s="171">
        <v>50</v>
      </c>
      <c r="D610" s="171">
        <v>15</v>
      </c>
      <c r="E610" s="171">
        <v>1</v>
      </c>
      <c r="F610" s="171">
        <v>4</v>
      </c>
      <c r="G610" s="171">
        <v>10</v>
      </c>
      <c r="H610" s="171">
        <v>8</v>
      </c>
      <c r="I610" s="171">
        <v>7</v>
      </c>
      <c r="J610" s="171">
        <v>0</v>
      </c>
      <c r="K610" s="171">
        <v>30</v>
      </c>
      <c r="L610" s="171">
        <v>4</v>
      </c>
      <c r="M610" s="171">
        <v>3</v>
      </c>
      <c r="N610" s="171">
        <v>29</v>
      </c>
      <c r="O610" s="171">
        <v>1</v>
      </c>
      <c r="P610" s="173">
        <v>0</v>
      </c>
    </row>
    <row r="611" spans="1:16">
      <c r="A611" s="172" t="s">
        <v>449</v>
      </c>
      <c r="B611" s="172" t="s">
        <v>467</v>
      </c>
      <c r="C611" s="172">
        <v>130</v>
      </c>
      <c r="D611" s="172">
        <v>22</v>
      </c>
      <c r="E611" s="172">
        <v>2</v>
      </c>
      <c r="F611" s="172">
        <v>17</v>
      </c>
      <c r="G611" s="172">
        <v>26</v>
      </c>
      <c r="H611" s="172">
        <v>30</v>
      </c>
      <c r="I611" s="172">
        <v>43</v>
      </c>
      <c r="J611" s="172">
        <v>0</v>
      </c>
      <c r="K611" s="172">
        <v>118</v>
      </c>
      <c r="L611" s="172">
        <v>10</v>
      </c>
      <c r="M611" s="172">
        <v>8</v>
      </c>
      <c r="N611" s="172">
        <v>22</v>
      </c>
      <c r="O611" s="172">
        <v>88</v>
      </c>
      <c r="P611" s="174">
        <v>7</v>
      </c>
    </row>
    <row r="612" spans="1:16">
      <c r="A612" s="171" t="s">
        <v>449</v>
      </c>
      <c r="B612" s="171" t="s">
        <v>467</v>
      </c>
      <c r="C612" s="171">
        <v>120</v>
      </c>
      <c r="D612" s="171">
        <v>0</v>
      </c>
      <c r="E612" s="171">
        <v>0</v>
      </c>
      <c r="F612" s="171">
        <v>0</v>
      </c>
      <c r="G612" s="171">
        <v>0</v>
      </c>
      <c r="H612" s="171">
        <v>26</v>
      </c>
      <c r="I612" s="171">
        <v>34</v>
      </c>
      <c r="J612" s="171">
        <v>5</v>
      </c>
      <c r="K612" s="171">
        <v>65</v>
      </c>
      <c r="L612" s="171">
        <v>13</v>
      </c>
      <c r="M612" s="171">
        <v>8</v>
      </c>
      <c r="N612" s="171">
        <v>13</v>
      </c>
      <c r="O612" s="171">
        <v>35</v>
      </c>
      <c r="P612" s="173">
        <v>4</v>
      </c>
    </row>
    <row r="613" spans="1:16">
      <c r="A613" s="172" t="s">
        <v>449</v>
      </c>
      <c r="B613" s="172" t="s">
        <v>467</v>
      </c>
      <c r="C613" s="172">
        <v>35</v>
      </c>
      <c r="D613" s="172">
        <v>10</v>
      </c>
      <c r="E613" s="172">
        <v>3</v>
      </c>
      <c r="F613" s="172">
        <v>2</v>
      </c>
      <c r="G613" s="172">
        <v>4</v>
      </c>
      <c r="H613" s="172">
        <v>6</v>
      </c>
      <c r="I613" s="172">
        <v>5</v>
      </c>
      <c r="J613" s="172">
        <v>0</v>
      </c>
      <c r="K613" s="172">
        <v>20</v>
      </c>
      <c r="L613" s="172">
        <v>7</v>
      </c>
      <c r="M613" s="172">
        <v>6</v>
      </c>
      <c r="N613" s="172">
        <v>11</v>
      </c>
      <c r="O613" s="172">
        <v>5</v>
      </c>
      <c r="P613" s="174">
        <v>1</v>
      </c>
    </row>
    <row r="614" spans="1:16">
      <c r="A614" s="171" t="s">
        <v>449</v>
      </c>
      <c r="B614" s="171" t="s">
        <v>467</v>
      </c>
      <c r="C614" s="171">
        <v>39</v>
      </c>
      <c r="D614" s="171">
        <v>20</v>
      </c>
      <c r="E614" s="171">
        <v>4</v>
      </c>
      <c r="F614" s="171">
        <v>4</v>
      </c>
      <c r="G614" s="171">
        <v>7</v>
      </c>
      <c r="H614" s="171">
        <v>2</v>
      </c>
      <c r="I614" s="171">
        <v>5</v>
      </c>
      <c r="J614" s="171">
        <v>0</v>
      </c>
      <c r="K614" s="171">
        <v>22</v>
      </c>
      <c r="L614" s="171">
        <v>5</v>
      </c>
      <c r="M614" s="171">
        <v>15</v>
      </c>
      <c r="N614" s="171">
        <v>12</v>
      </c>
      <c r="O614" s="171">
        <v>1</v>
      </c>
      <c r="P614" s="173">
        <v>3</v>
      </c>
    </row>
    <row r="615" spans="1:16">
      <c r="A615" s="172" t="s">
        <v>449</v>
      </c>
      <c r="B615" s="172" t="s">
        <v>467</v>
      </c>
      <c r="C615" s="172">
        <v>76</v>
      </c>
      <c r="D615" s="172">
        <v>25</v>
      </c>
      <c r="E615" s="172">
        <v>5</v>
      </c>
      <c r="F615" s="172">
        <v>10</v>
      </c>
      <c r="G615" s="172">
        <v>19</v>
      </c>
      <c r="H615" s="172">
        <v>26</v>
      </c>
      <c r="I615" s="172">
        <v>16</v>
      </c>
      <c r="J615" s="172">
        <v>3</v>
      </c>
      <c r="K615" s="172">
        <v>79</v>
      </c>
      <c r="L615" s="172">
        <v>22</v>
      </c>
      <c r="M615" s="172">
        <v>32</v>
      </c>
      <c r="N615" s="172">
        <v>22</v>
      </c>
      <c r="O615" s="172">
        <v>22</v>
      </c>
      <c r="P615" s="174">
        <v>7</v>
      </c>
    </row>
    <row r="616" spans="1:16">
      <c r="A616" s="171" t="s">
        <v>449</v>
      </c>
      <c r="B616" s="171" t="s">
        <v>467</v>
      </c>
      <c r="C616" s="171">
        <v>37</v>
      </c>
      <c r="D616" s="171">
        <v>0</v>
      </c>
      <c r="E616" s="171">
        <v>0</v>
      </c>
      <c r="F616" s="171">
        <v>0</v>
      </c>
      <c r="G616" s="171">
        <v>8</v>
      </c>
      <c r="H616" s="171">
        <v>14</v>
      </c>
      <c r="I616" s="171">
        <v>13</v>
      </c>
      <c r="J616" s="171">
        <v>1</v>
      </c>
      <c r="K616" s="171">
        <v>36</v>
      </c>
      <c r="L616" s="171">
        <v>2</v>
      </c>
      <c r="M616" s="171">
        <v>5</v>
      </c>
      <c r="N616" s="171">
        <v>13</v>
      </c>
      <c r="O616" s="171">
        <v>23</v>
      </c>
      <c r="P616" s="173">
        <v>0</v>
      </c>
    </row>
    <row r="617" spans="1:16">
      <c r="A617" s="172" t="s">
        <v>449</v>
      </c>
      <c r="B617" s="172" t="s">
        <v>467</v>
      </c>
      <c r="C617" s="172">
        <v>44</v>
      </c>
      <c r="D617" s="172">
        <v>10</v>
      </c>
      <c r="E617" s="172">
        <v>2</v>
      </c>
      <c r="F617" s="172">
        <v>3</v>
      </c>
      <c r="G617" s="172">
        <v>6</v>
      </c>
      <c r="H617" s="172">
        <v>8</v>
      </c>
      <c r="I617" s="172">
        <v>11</v>
      </c>
      <c r="J617" s="172">
        <v>0</v>
      </c>
      <c r="K617" s="172">
        <v>30</v>
      </c>
      <c r="L617" s="172">
        <v>12</v>
      </c>
      <c r="M617" s="172">
        <v>10</v>
      </c>
      <c r="N617" s="172">
        <v>10</v>
      </c>
      <c r="O617" s="172">
        <v>8</v>
      </c>
      <c r="P617" s="174">
        <v>1</v>
      </c>
    </row>
    <row r="618" spans="1:16" hidden="1">
      <c r="A618" s="171" t="s">
        <v>469</v>
      </c>
      <c r="B618" s="171" t="s">
        <v>467</v>
      </c>
      <c r="C618" s="171">
        <v>30</v>
      </c>
      <c r="D618" s="171">
        <v>5</v>
      </c>
      <c r="E618" s="171">
        <v>2</v>
      </c>
      <c r="F618" s="171">
        <v>2</v>
      </c>
      <c r="G618" s="171">
        <v>3</v>
      </c>
      <c r="H618" s="171">
        <v>6</v>
      </c>
      <c r="I618" s="171">
        <v>4</v>
      </c>
      <c r="J618" s="171">
        <v>2</v>
      </c>
      <c r="K618" s="171">
        <v>19</v>
      </c>
      <c r="L618" s="171">
        <v>3</v>
      </c>
      <c r="M618" s="171">
        <v>10</v>
      </c>
      <c r="N618" s="171">
        <v>17</v>
      </c>
      <c r="O618" s="171">
        <v>0</v>
      </c>
      <c r="P618" s="173">
        <v>0</v>
      </c>
    </row>
    <row r="619" spans="1:16" hidden="1">
      <c r="A619" s="172" t="s">
        <v>347</v>
      </c>
      <c r="B619" s="172" t="s">
        <v>467</v>
      </c>
      <c r="C619" s="172">
        <v>23</v>
      </c>
      <c r="D619" s="172">
        <v>5</v>
      </c>
      <c r="E619" s="172">
        <v>0</v>
      </c>
      <c r="F619" s="172">
        <v>2</v>
      </c>
      <c r="G619" s="172">
        <v>4</v>
      </c>
      <c r="H619" s="172">
        <v>4</v>
      </c>
      <c r="I619" s="172">
        <v>8</v>
      </c>
      <c r="J619" s="172">
        <v>0</v>
      </c>
      <c r="K619" s="172">
        <v>18</v>
      </c>
      <c r="L619" s="172">
        <v>0</v>
      </c>
      <c r="M619" s="172">
        <v>17</v>
      </c>
      <c r="N619" s="172">
        <v>1</v>
      </c>
      <c r="O619" s="172">
        <v>0</v>
      </c>
      <c r="P619" s="174">
        <v>0</v>
      </c>
    </row>
    <row r="620" spans="1:16" hidden="1">
      <c r="A620" s="171" t="s">
        <v>468</v>
      </c>
      <c r="B620" s="171" t="s">
        <v>467</v>
      </c>
      <c r="C620" s="171">
        <v>40</v>
      </c>
      <c r="D620" s="171">
        <v>12</v>
      </c>
      <c r="E620" s="171">
        <v>1</v>
      </c>
      <c r="F620" s="171">
        <v>7</v>
      </c>
      <c r="G620" s="171">
        <v>7</v>
      </c>
      <c r="H620" s="171">
        <v>5</v>
      </c>
      <c r="I620" s="171">
        <v>9</v>
      </c>
      <c r="J620" s="171">
        <v>1</v>
      </c>
      <c r="K620" s="171">
        <v>30</v>
      </c>
      <c r="L620" s="171">
        <v>4</v>
      </c>
      <c r="M620" s="171">
        <v>1</v>
      </c>
      <c r="N620" s="171">
        <v>29</v>
      </c>
      <c r="O620" s="171">
        <v>0</v>
      </c>
      <c r="P620" s="173">
        <v>0</v>
      </c>
    </row>
    <row r="621" spans="1:16" hidden="1">
      <c r="A621" s="172" t="s">
        <v>452</v>
      </c>
      <c r="B621" s="172" t="s">
        <v>467</v>
      </c>
      <c r="C621" s="172">
        <v>30</v>
      </c>
      <c r="D621" s="172">
        <v>0</v>
      </c>
      <c r="E621" s="172">
        <v>0</v>
      </c>
      <c r="F621" s="172">
        <v>0</v>
      </c>
      <c r="G621" s="172">
        <v>10</v>
      </c>
      <c r="H621" s="172">
        <v>9</v>
      </c>
      <c r="I621" s="172">
        <v>14</v>
      </c>
      <c r="J621" s="172">
        <v>0</v>
      </c>
      <c r="K621" s="172">
        <v>33</v>
      </c>
      <c r="L621" s="172">
        <v>26</v>
      </c>
      <c r="M621" s="172">
        <v>2</v>
      </c>
      <c r="N621" s="172">
        <v>2</v>
      </c>
      <c r="O621" s="172">
        <v>7</v>
      </c>
      <c r="P621" s="174">
        <v>3</v>
      </c>
    </row>
    <row r="622" spans="1:16" hidden="1">
      <c r="A622" s="171" t="s">
        <v>347</v>
      </c>
      <c r="B622" s="171" t="s">
        <v>467</v>
      </c>
      <c r="C622" s="171">
        <v>28</v>
      </c>
      <c r="D622" s="171">
        <v>8</v>
      </c>
      <c r="E622" s="171">
        <v>2</v>
      </c>
      <c r="F622" s="171">
        <v>5</v>
      </c>
      <c r="G622" s="171">
        <v>9</v>
      </c>
      <c r="H622" s="171">
        <v>3</v>
      </c>
      <c r="I622" s="171">
        <v>6</v>
      </c>
      <c r="J622" s="171">
        <v>0</v>
      </c>
      <c r="K622" s="171">
        <v>25</v>
      </c>
      <c r="L622" s="171">
        <v>0</v>
      </c>
      <c r="M622" s="171">
        <v>25</v>
      </c>
      <c r="N622" s="171">
        <v>0</v>
      </c>
      <c r="O622" s="171">
        <v>0</v>
      </c>
      <c r="P622" s="173">
        <v>0</v>
      </c>
    </row>
    <row r="623" spans="1:16" hidden="1">
      <c r="A623" s="172" t="s">
        <v>347</v>
      </c>
      <c r="B623" s="172" t="s">
        <v>467</v>
      </c>
      <c r="C623" s="172">
        <v>35</v>
      </c>
      <c r="D623" s="172">
        <v>12</v>
      </c>
      <c r="E623" s="172">
        <v>0</v>
      </c>
      <c r="F623" s="172">
        <v>3</v>
      </c>
      <c r="G623" s="172">
        <v>6</v>
      </c>
      <c r="H623" s="172">
        <v>7</v>
      </c>
      <c r="I623" s="172">
        <v>4</v>
      </c>
      <c r="J623" s="172">
        <v>0</v>
      </c>
      <c r="K623" s="172">
        <v>20</v>
      </c>
      <c r="L623" s="172">
        <v>0</v>
      </c>
      <c r="M623" s="172">
        <v>19</v>
      </c>
      <c r="N623" s="172">
        <v>1</v>
      </c>
      <c r="O623" s="172">
        <v>0</v>
      </c>
      <c r="P623" s="174">
        <v>0</v>
      </c>
    </row>
    <row r="624" spans="1:16">
      <c r="A624" s="171" t="s">
        <v>449</v>
      </c>
      <c r="B624" s="171" t="s">
        <v>467</v>
      </c>
      <c r="C624" s="171">
        <v>80</v>
      </c>
      <c r="D624" s="171">
        <v>20</v>
      </c>
      <c r="E624" s="171">
        <v>5</v>
      </c>
      <c r="F624" s="171">
        <v>11</v>
      </c>
      <c r="G624" s="171">
        <v>11</v>
      </c>
      <c r="H624" s="171">
        <v>9</v>
      </c>
      <c r="I624" s="171">
        <v>16</v>
      </c>
      <c r="J624" s="171">
        <v>0</v>
      </c>
      <c r="K624" s="171">
        <v>52</v>
      </c>
      <c r="L624" s="171">
        <v>15</v>
      </c>
      <c r="M624" s="171">
        <v>6</v>
      </c>
      <c r="N624" s="171">
        <v>22</v>
      </c>
      <c r="O624" s="171">
        <v>19</v>
      </c>
      <c r="P624" s="173">
        <v>1</v>
      </c>
    </row>
    <row r="625" spans="1:16">
      <c r="A625" s="172" t="s">
        <v>449</v>
      </c>
      <c r="B625" s="172" t="s">
        <v>467</v>
      </c>
      <c r="C625" s="172">
        <v>28</v>
      </c>
      <c r="D625" s="172">
        <v>5</v>
      </c>
      <c r="E625" s="172">
        <v>0</v>
      </c>
      <c r="F625" s="172">
        <v>5</v>
      </c>
      <c r="G625" s="172">
        <v>5</v>
      </c>
      <c r="H625" s="172">
        <v>6</v>
      </c>
      <c r="I625" s="172">
        <v>11</v>
      </c>
      <c r="J625" s="172">
        <v>0</v>
      </c>
      <c r="K625" s="172">
        <v>27</v>
      </c>
      <c r="L625" s="172">
        <v>4</v>
      </c>
      <c r="M625" s="172">
        <v>15</v>
      </c>
      <c r="N625" s="172">
        <v>23</v>
      </c>
      <c r="O625" s="172">
        <v>0</v>
      </c>
      <c r="P625" s="174">
        <v>0</v>
      </c>
    </row>
    <row r="626" spans="1:16">
      <c r="A626" s="171" t="s">
        <v>449</v>
      </c>
      <c r="B626" s="171" t="s">
        <v>467</v>
      </c>
      <c r="C626" s="171">
        <v>33</v>
      </c>
      <c r="D626" s="171">
        <v>8</v>
      </c>
      <c r="E626" s="171">
        <v>0</v>
      </c>
      <c r="F626" s="171">
        <v>3</v>
      </c>
      <c r="G626" s="171">
        <v>8</v>
      </c>
      <c r="H626" s="171">
        <v>5</v>
      </c>
      <c r="I626" s="171">
        <v>8</v>
      </c>
      <c r="J626" s="171">
        <v>0</v>
      </c>
      <c r="K626" s="171">
        <v>24</v>
      </c>
      <c r="L626" s="171">
        <v>12</v>
      </c>
      <c r="M626" s="171">
        <v>1</v>
      </c>
      <c r="N626" s="171">
        <v>1</v>
      </c>
      <c r="O626" s="171">
        <v>12</v>
      </c>
      <c r="P626" s="173">
        <v>1</v>
      </c>
    </row>
    <row r="627" spans="1:16">
      <c r="A627" s="172" t="s">
        <v>449</v>
      </c>
      <c r="B627" s="172" t="s">
        <v>467</v>
      </c>
      <c r="C627" s="172">
        <v>50</v>
      </c>
      <c r="D627" s="172">
        <v>20</v>
      </c>
      <c r="E627" s="172">
        <v>4</v>
      </c>
      <c r="F627" s="172">
        <v>10</v>
      </c>
      <c r="G627" s="172">
        <v>9</v>
      </c>
      <c r="H627" s="172">
        <v>10</v>
      </c>
      <c r="I627" s="172">
        <v>9</v>
      </c>
      <c r="J627" s="172">
        <v>1</v>
      </c>
      <c r="K627" s="172">
        <v>43</v>
      </c>
      <c r="L627" s="172">
        <v>21</v>
      </c>
      <c r="M627" s="172">
        <v>8</v>
      </c>
      <c r="N627" s="172">
        <v>8</v>
      </c>
      <c r="O627" s="172">
        <v>17</v>
      </c>
      <c r="P627" s="174">
        <v>1</v>
      </c>
    </row>
    <row r="628" spans="1:16" hidden="1">
      <c r="A628" s="171" t="s">
        <v>347</v>
      </c>
      <c r="B628" s="171" t="s">
        <v>467</v>
      </c>
      <c r="C628" s="171">
        <v>39</v>
      </c>
      <c r="D628" s="171">
        <v>12</v>
      </c>
      <c r="E628" s="171">
        <v>2</v>
      </c>
      <c r="F628" s="171">
        <v>5</v>
      </c>
      <c r="G628" s="171">
        <v>4</v>
      </c>
      <c r="H628" s="171">
        <v>5</v>
      </c>
      <c r="I628" s="171">
        <v>6</v>
      </c>
      <c r="J628" s="171">
        <v>0</v>
      </c>
      <c r="K628" s="171">
        <v>22</v>
      </c>
      <c r="L628" s="171">
        <v>0</v>
      </c>
      <c r="M628" s="171">
        <v>22</v>
      </c>
      <c r="N628" s="171">
        <v>0</v>
      </c>
      <c r="O628" s="171">
        <v>0</v>
      </c>
      <c r="P628" s="173">
        <v>0</v>
      </c>
    </row>
    <row r="629" spans="1:16" hidden="1">
      <c r="A629" s="172" t="s">
        <v>347</v>
      </c>
      <c r="B629" s="172" t="s">
        <v>467</v>
      </c>
      <c r="C629" s="172">
        <v>35</v>
      </c>
      <c r="D629" s="172">
        <v>10</v>
      </c>
      <c r="E629" s="172">
        <v>0</v>
      </c>
      <c r="F629" s="172">
        <v>6</v>
      </c>
      <c r="G629" s="172">
        <v>4</v>
      </c>
      <c r="H629" s="172">
        <v>3</v>
      </c>
      <c r="I629" s="172">
        <v>1</v>
      </c>
      <c r="J629" s="172">
        <v>0</v>
      </c>
      <c r="K629" s="172">
        <v>14</v>
      </c>
      <c r="L629" s="172">
        <v>0</v>
      </c>
      <c r="M629" s="172">
        <v>14</v>
      </c>
      <c r="N629" s="172">
        <v>0</v>
      </c>
      <c r="O629" s="172">
        <v>0</v>
      </c>
      <c r="P629" s="174">
        <v>0</v>
      </c>
    </row>
    <row r="630" spans="1:16" hidden="1">
      <c r="A630" s="171" t="s">
        <v>347</v>
      </c>
      <c r="B630" s="171" t="s">
        <v>467</v>
      </c>
      <c r="C630" s="171">
        <v>34</v>
      </c>
      <c r="D630" s="171">
        <v>16</v>
      </c>
      <c r="E630" s="171">
        <v>2</v>
      </c>
      <c r="F630" s="171">
        <v>2</v>
      </c>
      <c r="G630" s="171">
        <v>6</v>
      </c>
      <c r="H630" s="171">
        <v>1</v>
      </c>
      <c r="I630" s="171">
        <v>3</v>
      </c>
      <c r="J630" s="171">
        <v>0</v>
      </c>
      <c r="K630" s="171">
        <v>14</v>
      </c>
      <c r="L630" s="171">
        <v>0</v>
      </c>
      <c r="M630" s="171">
        <v>14</v>
      </c>
      <c r="N630" s="171">
        <v>0</v>
      </c>
      <c r="O630" s="171">
        <v>0</v>
      </c>
      <c r="P630" s="173">
        <v>0</v>
      </c>
    </row>
    <row r="631" spans="1:16" hidden="1">
      <c r="A631" s="172" t="s">
        <v>347</v>
      </c>
      <c r="B631" s="172" t="s">
        <v>467</v>
      </c>
      <c r="C631" s="172">
        <v>20</v>
      </c>
      <c r="D631" s="172">
        <v>8</v>
      </c>
      <c r="E631" s="172">
        <v>0</v>
      </c>
      <c r="F631" s="172">
        <v>4</v>
      </c>
      <c r="G631" s="172">
        <v>0</v>
      </c>
      <c r="H631" s="172">
        <v>4</v>
      </c>
      <c r="I631" s="172">
        <v>2</v>
      </c>
      <c r="J631" s="172">
        <v>0</v>
      </c>
      <c r="K631" s="172">
        <v>10</v>
      </c>
      <c r="L631" s="172">
        <v>0</v>
      </c>
      <c r="M631" s="172">
        <v>10</v>
      </c>
      <c r="N631" s="172">
        <v>0</v>
      </c>
      <c r="O631" s="172">
        <v>0</v>
      </c>
      <c r="P631" s="174">
        <v>0</v>
      </c>
    </row>
    <row r="632" spans="1:16" hidden="1">
      <c r="A632" s="171" t="s">
        <v>347</v>
      </c>
      <c r="B632" s="171" t="s">
        <v>467</v>
      </c>
      <c r="C632" s="171">
        <v>48</v>
      </c>
      <c r="D632" s="171">
        <v>10</v>
      </c>
      <c r="E632" s="171">
        <v>1</v>
      </c>
      <c r="F632" s="171">
        <v>6</v>
      </c>
      <c r="G632" s="171">
        <v>11</v>
      </c>
      <c r="H632" s="171">
        <v>7</v>
      </c>
      <c r="I632" s="171">
        <v>7</v>
      </c>
      <c r="J632" s="171">
        <v>0</v>
      </c>
      <c r="K632" s="171">
        <v>32</v>
      </c>
      <c r="L632" s="171">
        <v>0</v>
      </c>
      <c r="M632" s="171">
        <v>29</v>
      </c>
      <c r="N632" s="171">
        <v>3</v>
      </c>
      <c r="O632" s="171">
        <v>0</v>
      </c>
      <c r="P632" s="173">
        <v>0</v>
      </c>
    </row>
    <row r="633" spans="1:16" hidden="1">
      <c r="A633" s="172" t="s">
        <v>347</v>
      </c>
      <c r="B633" s="172" t="s">
        <v>467</v>
      </c>
      <c r="C633" s="172">
        <v>21</v>
      </c>
      <c r="D633" s="172">
        <v>5</v>
      </c>
      <c r="E633" s="172">
        <v>1</v>
      </c>
      <c r="F633" s="172">
        <v>2</v>
      </c>
      <c r="G633" s="172">
        <v>5</v>
      </c>
      <c r="H633" s="172">
        <v>6</v>
      </c>
      <c r="I633" s="172">
        <v>1</v>
      </c>
      <c r="J633" s="172">
        <v>0</v>
      </c>
      <c r="K633" s="172">
        <v>15</v>
      </c>
      <c r="L633" s="172">
        <v>0</v>
      </c>
      <c r="M633" s="172">
        <v>13</v>
      </c>
      <c r="N633" s="172">
        <v>1</v>
      </c>
      <c r="O633" s="172">
        <v>0</v>
      </c>
      <c r="P633" s="174">
        <v>1</v>
      </c>
    </row>
    <row r="634" spans="1:16">
      <c r="A634" s="171" t="s">
        <v>449</v>
      </c>
      <c r="B634" s="171" t="s">
        <v>467</v>
      </c>
      <c r="C634" s="171">
        <v>34</v>
      </c>
      <c r="D634" s="171">
        <v>20</v>
      </c>
      <c r="E634" s="171">
        <v>3</v>
      </c>
      <c r="F634" s="171">
        <v>4</v>
      </c>
      <c r="G634" s="171">
        <v>8</v>
      </c>
      <c r="H634" s="171">
        <v>10</v>
      </c>
      <c r="I634" s="171">
        <v>8</v>
      </c>
      <c r="J634" s="171">
        <v>1</v>
      </c>
      <c r="K634" s="171">
        <v>34</v>
      </c>
      <c r="L634" s="171">
        <v>8</v>
      </c>
      <c r="M634" s="171">
        <v>13</v>
      </c>
      <c r="N634" s="171">
        <v>27</v>
      </c>
      <c r="O634" s="171">
        <v>2</v>
      </c>
      <c r="P634" s="173">
        <v>1</v>
      </c>
    </row>
    <row r="635" spans="1:16" hidden="1">
      <c r="A635" s="172" t="s">
        <v>468</v>
      </c>
      <c r="B635" s="172" t="s">
        <v>467</v>
      </c>
      <c r="C635" s="172">
        <v>33</v>
      </c>
      <c r="D635" s="172">
        <v>10</v>
      </c>
      <c r="E635" s="172">
        <v>0</v>
      </c>
      <c r="F635" s="172">
        <v>6</v>
      </c>
      <c r="G635" s="172">
        <v>8</v>
      </c>
      <c r="H635" s="172">
        <v>4</v>
      </c>
      <c r="I635" s="172">
        <v>9</v>
      </c>
      <c r="J635" s="172">
        <v>0</v>
      </c>
      <c r="K635" s="172">
        <v>27</v>
      </c>
      <c r="L635" s="172">
        <v>6</v>
      </c>
      <c r="M635" s="172">
        <v>1</v>
      </c>
      <c r="N635" s="172">
        <v>27</v>
      </c>
      <c r="O635" s="172">
        <v>0</v>
      </c>
      <c r="P635" s="174">
        <v>1</v>
      </c>
    </row>
    <row r="636" spans="1:16">
      <c r="A636" s="171" t="s">
        <v>449</v>
      </c>
      <c r="B636" s="171" t="s">
        <v>467</v>
      </c>
      <c r="C636" s="171">
        <v>150</v>
      </c>
      <c r="D636" s="171">
        <v>25</v>
      </c>
      <c r="E636" s="171">
        <v>5</v>
      </c>
      <c r="F636" s="171">
        <v>17</v>
      </c>
      <c r="G636" s="171">
        <v>31</v>
      </c>
      <c r="H636" s="171">
        <v>37</v>
      </c>
      <c r="I636" s="171">
        <v>23</v>
      </c>
      <c r="J636" s="171">
        <v>0</v>
      </c>
      <c r="K636" s="171">
        <v>113</v>
      </c>
      <c r="L636" s="171">
        <v>35</v>
      </c>
      <c r="M636" s="171">
        <v>5</v>
      </c>
      <c r="N636" s="171">
        <v>2</v>
      </c>
      <c r="O636" s="171">
        <v>77</v>
      </c>
      <c r="P636" s="173">
        <v>8</v>
      </c>
    </row>
    <row r="637" spans="1:16">
      <c r="A637" s="172" t="s">
        <v>449</v>
      </c>
      <c r="B637" s="172" t="s">
        <v>467</v>
      </c>
      <c r="C637" s="172">
        <v>40</v>
      </c>
      <c r="D637" s="172">
        <v>12</v>
      </c>
      <c r="E637" s="172">
        <v>4</v>
      </c>
      <c r="F637" s="172">
        <v>5</v>
      </c>
      <c r="G637" s="172">
        <v>8</v>
      </c>
      <c r="H637" s="172">
        <v>9</v>
      </c>
      <c r="I637" s="172">
        <v>8</v>
      </c>
      <c r="J637" s="172">
        <v>0</v>
      </c>
      <c r="K637" s="172">
        <v>34</v>
      </c>
      <c r="L637" s="172">
        <v>0</v>
      </c>
      <c r="M637" s="172">
        <v>1</v>
      </c>
      <c r="N637" s="172">
        <v>1</v>
      </c>
      <c r="O637" s="172">
        <v>7</v>
      </c>
      <c r="P637" s="174">
        <v>25</v>
      </c>
    </row>
    <row r="638" spans="1:16" hidden="1">
      <c r="A638" s="171" t="s">
        <v>347</v>
      </c>
      <c r="B638" s="171" t="s">
        <v>467</v>
      </c>
      <c r="C638" s="171">
        <v>30</v>
      </c>
      <c r="D638" s="171">
        <v>10</v>
      </c>
      <c r="E638" s="171">
        <v>1</v>
      </c>
      <c r="F638" s="171">
        <v>3</v>
      </c>
      <c r="G638" s="171">
        <v>7</v>
      </c>
      <c r="H638" s="171">
        <v>6</v>
      </c>
      <c r="I638" s="171">
        <v>2</v>
      </c>
      <c r="J638" s="171">
        <v>0</v>
      </c>
      <c r="K638" s="171">
        <v>19</v>
      </c>
      <c r="L638" s="171">
        <v>0</v>
      </c>
      <c r="M638" s="171">
        <v>19</v>
      </c>
      <c r="N638" s="171">
        <v>0</v>
      </c>
      <c r="O638" s="171">
        <v>0</v>
      </c>
      <c r="P638" s="173">
        <v>0</v>
      </c>
    </row>
    <row r="639" spans="1:16" hidden="1">
      <c r="A639" s="172" t="s">
        <v>347</v>
      </c>
      <c r="B639" s="172" t="s">
        <v>467</v>
      </c>
      <c r="C639" s="172">
        <v>40</v>
      </c>
      <c r="D639" s="172">
        <v>12</v>
      </c>
      <c r="E639" s="172">
        <v>1</v>
      </c>
      <c r="F639" s="172">
        <v>5</v>
      </c>
      <c r="G639" s="172">
        <v>7</v>
      </c>
      <c r="H639" s="172">
        <v>9</v>
      </c>
      <c r="I639" s="172">
        <v>7</v>
      </c>
      <c r="J639" s="172">
        <v>0</v>
      </c>
      <c r="K639" s="172">
        <v>29</v>
      </c>
      <c r="L639" s="172">
        <v>0</v>
      </c>
      <c r="M639" s="172">
        <v>29</v>
      </c>
      <c r="N639" s="172">
        <v>0</v>
      </c>
      <c r="O639" s="172">
        <v>0</v>
      </c>
      <c r="P639" s="174">
        <v>0</v>
      </c>
    </row>
    <row r="640" spans="1:16" hidden="1">
      <c r="A640" s="171" t="s">
        <v>347</v>
      </c>
      <c r="B640" s="171" t="s">
        <v>467</v>
      </c>
      <c r="C640" s="171">
        <v>35</v>
      </c>
      <c r="D640" s="171">
        <v>8</v>
      </c>
      <c r="E640" s="171">
        <v>2</v>
      </c>
      <c r="F640" s="171">
        <v>5</v>
      </c>
      <c r="G640" s="171">
        <v>9</v>
      </c>
      <c r="H640" s="171">
        <v>10</v>
      </c>
      <c r="I640" s="171">
        <v>4</v>
      </c>
      <c r="J640" s="171">
        <v>0</v>
      </c>
      <c r="K640" s="171">
        <v>30</v>
      </c>
      <c r="L640" s="171">
        <v>0</v>
      </c>
      <c r="M640" s="171">
        <v>27</v>
      </c>
      <c r="N640" s="171">
        <v>2</v>
      </c>
      <c r="O640" s="171">
        <v>0</v>
      </c>
      <c r="P640" s="173">
        <v>1</v>
      </c>
    </row>
    <row r="641" spans="1:16" hidden="1">
      <c r="A641" s="172" t="s">
        <v>347</v>
      </c>
      <c r="B641" s="172" t="s">
        <v>467</v>
      </c>
      <c r="C641" s="172">
        <v>22</v>
      </c>
      <c r="D641" s="172">
        <v>8</v>
      </c>
      <c r="E641" s="172">
        <v>1</v>
      </c>
      <c r="F641" s="172">
        <v>5</v>
      </c>
      <c r="G641" s="172">
        <v>5</v>
      </c>
      <c r="H641" s="172">
        <v>4</v>
      </c>
      <c r="I641" s="172">
        <v>3</v>
      </c>
      <c r="J641" s="172">
        <v>0</v>
      </c>
      <c r="K641" s="172">
        <v>18</v>
      </c>
      <c r="L641" s="172">
        <v>0</v>
      </c>
      <c r="M641" s="172">
        <v>17</v>
      </c>
      <c r="N641" s="172">
        <v>1</v>
      </c>
      <c r="O641" s="172">
        <v>0</v>
      </c>
      <c r="P641" s="174">
        <v>0</v>
      </c>
    </row>
    <row r="642" spans="1:16">
      <c r="A642" s="171" t="s">
        <v>449</v>
      </c>
      <c r="B642" s="171" t="s">
        <v>467</v>
      </c>
      <c r="C642" s="171">
        <v>20</v>
      </c>
      <c r="D642" s="171">
        <v>20</v>
      </c>
      <c r="E642" s="171">
        <v>1</v>
      </c>
      <c r="F642" s="171">
        <v>12</v>
      </c>
      <c r="G642" s="171">
        <v>4</v>
      </c>
      <c r="H642" s="171">
        <v>0</v>
      </c>
      <c r="I642" s="171">
        <v>0</v>
      </c>
      <c r="J642" s="171">
        <v>0</v>
      </c>
      <c r="K642" s="171">
        <v>17</v>
      </c>
      <c r="L642" s="171">
        <v>6</v>
      </c>
      <c r="M642" s="171">
        <v>1</v>
      </c>
      <c r="N642" s="171">
        <v>3</v>
      </c>
      <c r="O642" s="171">
        <v>10</v>
      </c>
      <c r="P642" s="173">
        <v>0</v>
      </c>
    </row>
    <row r="643" spans="1:16">
      <c r="A643" s="172" t="s">
        <v>449</v>
      </c>
      <c r="B643" s="172" t="s">
        <v>467</v>
      </c>
      <c r="C643" s="172">
        <v>35</v>
      </c>
      <c r="D643" s="172">
        <v>0</v>
      </c>
      <c r="E643" s="172">
        <v>0</v>
      </c>
      <c r="F643" s="172">
        <v>0</v>
      </c>
      <c r="G643" s="172">
        <v>3</v>
      </c>
      <c r="H643" s="172">
        <v>7</v>
      </c>
      <c r="I643" s="172">
        <v>4</v>
      </c>
      <c r="J643" s="172">
        <v>0</v>
      </c>
      <c r="K643" s="172">
        <v>14</v>
      </c>
      <c r="L643" s="172">
        <v>1</v>
      </c>
      <c r="M643" s="172">
        <v>7</v>
      </c>
      <c r="N643" s="172">
        <v>5</v>
      </c>
      <c r="O643" s="172">
        <v>4</v>
      </c>
      <c r="P643" s="174">
        <v>0</v>
      </c>
    </row>
    <row r="644" spans="1:16">
      <c r="A644" s="169" t="s">
        <v>449</v>
      </c>
      <c r="B644" s="171" t="s">
        <v>467</v>
      </c>
      <c r="C644" s="171">
        <v>38</v>
      </c>
      <c r="D644" s="171">
        <v>10</v>
      </c>
      <c r="E644" s="171">
        <v>3</v>
      </c>
      <c r="F644" s="171">
        <v>9</v>
      </c>
      <c r="G644" s="171">
        <v>8</v>
      </c>
      <c r="H644" s="171">
        <v>5</v>
      </c>
      <c r="I644" s="171">
        <v>1</v>
      </c>
      <c r="J644" s="171">
        <v>1</v>
      </c>
      <c r="K644" s="171">
        <v>27</v>
      </c>
      <c r="L644" s="171">
        <v>36</v>
      </c>
      <c r="M644" s="171">
        <v>2</v>
      </c>
      <c r="N644" s="171">
        <v>1</v>
      </c>
      <c r="O644" s="171">
        <v>4</v>
      </c>
      <c r="P644" s="173">
        <v>6</v>
      </c>
    </row>
    <row r="645" spans="1:16">
      <c r="A645" s="170" t="s">
        <v>449</v>
      </c>
      <c r="B645" s="172" t="s">
        <v>467</v>
      </c>
      <c r="C645" s="172">
        <v>40</v>
      </c>
      <c r="D645" s="172">
        <v>0</v>
      </c>
      <c r="E645" s="172">
        <v>0</v>
      </c>
      <c r="F645" s="172">
        <v>0</v>
      </c>
      <c r="G645" s="172">
        <v>6</v>
      </c>
      <c r="H645" s="172">
        <v>8</v>
      </c>
      <c r="I645" s="172">
        <v>15</v>
      </c>
      <c r="J645" s="172">
        <v>2</v>
      </c>
      <c r="K645" s="172">
        <v>31</v>
      </c>
      <c r="L645" s="172">
        <v>11</v>
      </c>
      <c r="M645" s="172">
        <v>5</v>
      </c>
      <c r="N645" s="172">
        <v>11</v>
      </c>
      <c r="O645" s="172">
        <v>9</v>
      </c>
      <c r="P645" s="174">
        <v>2</v>
      </c>
    </row>
    <row r="646" spans="1:16" hidden="1">
      <c r="A646" s="171" t="s">
        <v>468</v>
      </c>
      <c r="B646" s="171" t="s">
        <v>467</v>
      </c>
      <c r="C646" s="171">
        <v>28</v>
      </c>
      <c r="D646" s="171">
        <v>4</v>
      </c>
      <c r="E646" s="171">
        <v>0</v>
      </c>
      <c r="F646" s="171">
        <v>6</v>
      </c>
      <c r="G646" s="171">
        <v>12</v>
      </c>
      <c r="H646" s="171">
        <v>8</v>
      </c>
      <c r="I646" s="171">
        <v>5</v>
      </c>
      <c r="J646" s="171">
        <v>0</v>
      </c>
      <c r="K646" s="171">
        <v>31</v>
      </c>
      <c r="L646" s="171">
        <v>1</v>
      </c>
      <c r="M646" s="171">
        <v>1</v>
      </c>
      <c r="N646" s="171">
        <v>30</v>
      </c>
      <c r="O646" s="171">
        <v>3</v>
      </c>
      <c r="P646" s="173">
        <v>1</v>
      </c>
    </row>
    <row r="647" spans="1:16">
      <c r="A647" s="172" t="s">
        <v>449</v>
      </c>
      <c r="B647" s="172" t="s">
        <v>467</v>
      </c>
      <c r="C647" s="172">
        <v>40</v>
      </c>
      <c r="D647" s="172">
        <v>0</v>
      </c>
      <c r="E647" s="172">
        <v>0</v>
      </c>
      <c r="F647" s="172">
        <v>0</v>
      </c>
      <c r="G647" s="172">
        <v>3</v>
      </c>
      <c r="H647" s="172">
        <v>13</v>
      </c>
      <c r="I647" s="172">
        <v>18</v>
      </c>
      <c r="J647" s="172">
        <v>0</v>
      </c>
      <c r="K647" s="172">
        <v>34</v>
      </c>
      <c r="L647" s="172">
        <v>9</v>
      </c>
      <c r="M647" s="172">
        <v>3</v>
      </c>
      <c r="N647" s="172">
        <v>3</v>
      </c>
      <c r="O647" s="172">
        <v>23</v>
      </c>
      <c r="P647" s="174">
        <v>9</v>
      </c>
    </row>
    <row r="648" spans="1:16">
      <c r="A648" s="171" t="s">
        <v>449</v>
      </c>
      <c r="B648" s="171" t="s">
        <v>467</v>
      </c>
      <c r="C648" s="171">
        <v>35</v>
      </c>
      <c r="D648" s="171">
        <v>15</v>
      </c>
      <c r="E648" s="171">
        <v>0</v>
      </c>
      <c r="F648" s="171">
        <v>1</v>
      </c>
      <c r="G648" s="171">
        <v>8</v>
      </c>
      <c r="H648" s="171">
        <v>11</v>
      </c>
      <c r="I648" s="171">
        <v>9</v>
      </c>
      <c r="J648" s="171">
        <v>2</v>
      </c>
      <c r="K648" s="171">
        <v>31</v>
      </c>
      <c r="L648" s="171">
        <v>7</v>
      </c>
      <c r="M648" s="171">
        <v>14</v>
      </c>
      <c r="N648" s="171">
        <v>16</v>
      </c>
      <c r="O648" s="171">
        <v>4</v>
      </c>
      <c r="P648" s="173">
        <v>0</v>
      </c>
    </row>
    <row r="649" spans="1:16">
      <c r="A649" s="172" t="s">
        <v>449</v>
      </c>
      <c r="B649" s="172" t="s">
        <v>467</v>
      </c>
      <c r="C649" s="172">
        <v>50</v>
      </c>
      <c r="D649" s="172">
        <v>18</v>
      </c>
      <c r="E649" s="172">
        <v>2</v>
      </c>
      <c r="F649" s="172">
        <v>7</v>
      </c>
      <c r="G649" s="172">
        <v>5</v>
      </c>
      <c r="H649" s="172">
        <v>7</v>
      </c>
      <c r="I649" s="172">
        <v>4</v>
      </c>
      <c r="J649" s="172">
        <v>0</v>
      </c>
      <c r="K649" s="172">
        <v>25</v>
      </c>
      <c r="L649" s="172">
        <v>14</v>
      </c>
      <c r="M649" s="172">
        <v>2</v>
      </c>
      <c r="N649" s="172">
        <v>2</v>
      </c>
      <c r="O649" s="172">
        <v>11</v>
      </c>
      <c r="P649" s="174">
        <v>2</v>
      </c>
    </row>
    <row r="650" spans="1:16">
      <c r="A650" s="171" t="s">
        <v>449</v>
      </c>
      <c r="B650" s="171" t="s">
        <v>467</v>
      </c>
      <c r="C650" s="171">
        <v>150</v>
      </c>
      <c r="D650" s="171">
        <v>20</v>
      </c>
      <c r="E650" s="171">
        <v>3</v>
      </c>
      <c r="F650" s="171">
        <v>13</v>
      </c>
      <c r="G650" s="171">
        <v>30</v>
      </c>
      <c r="H650" s="171">
        <v>42</v>
      </c>
      <c r="I650" s="171">
        <v>40</v>
      </c>
      <c r="J650" s="171">
        <v>3</v>
      </c>
      <c r="K650" s="171">
        <v>131</v>
      </c>
      <c r="L650" s="171">
        <v>16</v>
      </c>
      <c r="M650" s="171">
        <v>14</v>
      </c>
      <c r="N650" s="171">
        <v>29</v>
      </c>
      <c r="O650" s="171">
        <v>90</v>
      </c>
      <c r="P650" s="173">
        <v>4</v>
      </c>
    </row>
    <row r="651" spans="1:16">
      <c r="A651" s="172" t="s">
        <v>449</v>
      </c>
      <c r="B651" s="172" t="s">
        <v>467</v>
      </c>
      <c r="C651" s="172">
        <v>47</v>
      </c>
      <c r="D651" s="172">
        <v>8</v>
      </c>
      <c r="E651" s="172">
        <v>1</v>
      </c>
      <c r="F651" s="172">
        <v>9</v>
      </c>
      <c r="G651" s="172">
        <v>15</v>
      </c>
      <c r="H651" s="172">
        <v>9</v>
      </c>
      <c r="I651" s="172">
        <v>18</v>
      </c>
      <c r="J651" s="172">
        <v>0</v>
      </c>
      <c r="K651" s="172">
        <v>52</v>
      </c>
      <c r="L651" s="172">
        <v>21</v>
      </c>
      <c r="M651" s="172">
        <v>3</v>
      </c>
      <c r="N651" s="172">
        <v>4</v>
      </c>
      <c r="O651" s="172">
        <v>32</v>
      </c>
      <c r="P651" s="174">
        <v>8</v>
      </c>
    </row>
    <row r="652" spans="1:16" hidden="1">
      <c r="A652" s="171" t="s">
        <v>301</v>
      </c>
      <c r="B652" s="171" t="s">
        <v>467</v>
      </c>
      <c r="C652" s="171">
        <v>30</v>
      </c>
      <c r="D652" s="171">
        <v>15</v>
      </c>
      <c r="E652" s="171">
        <v>0</v>
      </c>
      <c r="F652" s="171">
        <v>2</v>
      </c>
      <c r="G652" s="171">
        <v>4</v>
      </c>
      <c r="H652" s="171">
        <v>4</v>
      </c>
      <c r="I652" s="171">
        <v>3</v>
      </c>
      <c r="J652" s="171">
        <v>0</v>
      </c>
      <c r="K652" s="171">
        <v>13</v>
      </c>
      <c r="L652" s="171">
        <v>13</v>
      </c>
      <c r="M652" s="171">
        <v>0</v>
      </c>
      <c r="N652" s="171">
        <v>0</v>
      </c>
      <c r="O652" s="171">
        <v>1</v>
      </c>
      <c r="P652" s="173">
        <v>0</v>
      </c>
    </row>
    <row r="653" spans="1:16" hidden="1">
      <c r="A653" s="172" t="s">
        <v>301</v>
      </c>
      <c r="B653" s="172" t="s">
        <v>467</v>
      </c>
      <c r="C653" s="172">
        <v>29</v>
      </c>
      <c r="D653" s="172">
        <v>15</v>
      </c>
      <c r="E653" s="172">
        <v>15</v>
      </c>
      <c r="F653" s="172">
        <v>3</v>
      </c>
      <c r="G653" s="172">
        <v>3</v>
      </c>
      <c r="H653" s="172">
        <v>3</v>
      </c>
      <c r="I653" s="172">
        <v>4</v>
      </c>
      <c r="J653" s="172">
        <v>0</v>
      </c>
      <c r="K653" s="172">
        <v>28</v>
      </c>
      <c r="L653" s="172">
        <v>24</v>
      </c>
      <c r="M653" s="172">
        <v>5</v>
      </c>
      <c r="N653" s="172">
        <v>4</v>
      </c>
      <c r="O653" s="172">
        <v>2</v>
      </c>
      <c r="P653" s="174">
        <v>4</v>
      </c>
    </row>
    <row r="654" spans="1:16" hidden="1">
      <c r="A654" s="171" t="s">
        <v>301</v>
      </c>
      <c r="B654" s="171" t="s">
        <v>467</v>
      </c>
      <c r="C654" s="171">
        <v>26</v>
      </c>
      <c r="D654" s="171">
        <v>10</v>
      </c>
      <c r="E654" s="171">
        <v>1</v>
      </c>
      <c r="F654" s="171">
        <v>2</v>
      </c>
      <c r="G654" s="171">
        <v>3</v>
      </c>
      <c r="H654" s="171">
        <v>4</v>
      </c>
      <c r="I654" s="171">
        <v>6</v>
      </c>
      <c r="J654" s="171">
        <v>0</v>
      </c>
      <c r="K654" s="171">
        <v>16</v>
      </c>
      <c r="L654" s="171">
        <v>15</v>
      </c>
      <c r="M654" s="171">
        <v>4</v>
      </c>
      <c r="N654" s="171">
        <v>2</v>
      </c>
      <c r="O654" s="171">
        <v>1</v>
      </c>
      <c r="P654" s="173">
        <v>0</v>
      </c>
    </row>
    <row r="655" spans="1:16" hidden="1">
      <c r="A655" s="172" t="s">
        <v>301</v>
      </c>
      <c r="B655" s="172" t="s">
        <v>467</v>
      </c>
      <c r="C655" s="172">
        <v>28</v>
      </c>
      <c r="D655" s="172">
        <v>15</v>
      </c>
      <c r="E655" s="172">
        <v>13</v>
      </c>
      <c r="F655" s="172">
        <v>6</v>
      </c>
      <c r="G655" s="172">
        <v>3</v>
      </c>
      <c r="H655" s="172">
        <v>7</v>
      </c>
      <c r="I655" s="172">
        <v>2</v>
      </c>
      <c r="J655" s="172">
        <v>0</v>
      </c>
      <c r="K655" s="172">
        <v>31</v>
      </c>
      <c r="L655" s="172">
        <v>26</v>
      </c>
      <c r="M655" s="172">
        <v>9</v>
      </c>
      <c r="N655" s="172">
        <v>2</v>
      </c>
      <c r="O655" s="172">
        <v>4</v>
      </c>
      <c r="P655" s="174">
        <v>0</v>
      </c>
    </row>
    <row r="656" spans="1:16" hidden="1">
      <c r="A656" s="171" t="s">
        <v>301</v>
      </c>
      <c r="B656" s="171" t="s">
        <v>467</v>
      </c>
      <c r="C656" s="171">
        <v>30</v>
      </c>
      <c r="D656" s="171">
        <v>10</v>
      </c>
      <c r="E656" s="171">
        <v>1</v>
      </c>
      <c r="F656" s="171">
        <v>2</v>
      </c>
      <c r="G656" s="171">
        <v>2</v>
      </c>
      <c r="H656" s="171">
        <v>1</v>
      </c>
      <c r="I656" s="171">
        <v>2</v>
      </c>
      <c r="J656" s="171">
        <v>0</v>
      </c>
      <c r="K656" s="171">
        <v>8</v>
      </c>
      <c r="L656" s="171">
        <v>4</v>
      </c>
      <c r="M656" s="171">
        <v>4</v>
      </c>
      <c r="N656" s="171">
        <v>0</v>
      </c>
      <c r="O656" s="171">
        <v>0</v>
      </c>
      <c r="P656" s="173">
        <v>1</v>
      </c>
    </row>
    <row r="657" spans="1:16" hidden="1">
      <c r="A657" s="170" t="s">
        <v>301</v>
      </c>
      <c r="B657" s="172" t="s">
        <v>467</v>
      </c>
      <c r="C657" s="172">
        <v>30</v>
      </c>
      <c r="D657" s="172">
        <v>15</v>
      </c>
      <c r="E657" s="172">
        <v>1</v>
      </c>
      <c r="F657" s="172">
        <v>8</v>
      </c>
      <c r="G657" s="172">
        <v>9</v>
      </c>
      <c r="H657" s="172">
        <v>2</v>
      </c>
      <c r="I657" s="172">
        <v>1</v>
      </c>
      <c r="J657" s="172">
        <v>0</v>
      </c>
      <c r="K657" s="172">
        <v>21</v>
      </c>
      <c r="L657" s="172">
        <v>16</v>
      </c>
      <c r="M657" s="172">
        <v>10</v>
      </c>
      <c r="N657" s="172">
        <v>6</v>
      </c>
      <c r="O657" s="172">
        <v>3</v>
      </c>
      <c r="P657" s="174">
        <v>2</v>
      </c>
    </row>
    <row r="658" spans="1:16" hidden="1">
      <c r="A658" s="169" t="s">
        <v>301</v>
      </c>
      <c r="B658" s="171" t="s">
        <v>467</v>
      </c>
      <c r="C658" s="171">
        <v>30</v>
      </c>
      <c r="D658" s="171">
        <v>10</v>
      </c>
      <c r="E658" s="171">
        <v>2</v>
      </c>
      <c r="F658" s="171">
        <v>5</v>
      </c>
      <c r="G658" s="171">
        <v>6</v>
      </c>
      <c r="H658" s="171">
        <v>5</v>
      </c>
      <c r="I658" s="171">
        <v>2</v>
      </c>
      <c r="J658" s="171">
        <v>0</v>
      </c>
      <c r="K658" s="171">
        <v>20</v>
      </c>
      <c r="L658" s="171">
        <v>17</v>
      </c>
      <c r="M658" s="171">
        <v>0</v>
      </c>
      <c r="N658" s="171">
        <v>1</v>
      </c>
      <c r="O658" s="171">
        <v>3</v>
      </c>
      <c r="P658" s="173">
        <v>1</v>
      </c>
    </row>
    <row r="659" spans="1:16" hidden="1">
      <c r="A659" s="170" t="s">
        <v>301</v>
      </c>
      <c r="B659" s="172" t="s">
        <v>467</v>
      </c>
      <c r="C659" s="172">
        <v>30</v>
      </c>
      <c r="D659" s="172">
        <v>15</v>
      </c>
      <c r="E659" s="172">
        <v>3</v>
      </c>
      <c r="F659" s="172">
        <v>11</v>
      </c>
      <c r="G659" s="172">
        <v>6</v>
      </c>
      <c r="H659" s="172">
        <v>5</v>
      </c>
      <c r="I659" s="172">
        <v>5</v>
      </c>
      <c r="J659" s="172">
        <v>0</v>
      </c>
      <c r="K659" s="172">
        <v>30</v>
      </c>
      <c r="L659" s="172">
        <v>27</v>
      </c>
      <c r="M659" s="172">
        <v>3</v>
      </c>
      <c r="N659" s="172">
        <v>3</v>
      </c>
      <c r="O659" s="172">
        <v>3</v>
      </c>
      <c r="P659" s="174">
        <v>0</v>
      </c>
    </row>
    <row r="660" spans="1:16" hidden="1">
      <c r="A660" s="169" t="s">
        <v>301</v>
      </c>
      <c r="B660" s="171" t="s">
        <v>467</v>
      </c>
      <c r="C660" s="171">
        <v>30</v>
      </c>
      <c r="D660" s="171">
        <v>15</v>
      </c>
      <c r="E660" s="171">
        <v>9</v>
      </c>
      <c r="F660" s="171">
        <v>6</v>
      </c>
      <c r="G660" s="171">
        <v>5</v>
      </c>
      <c r="H660" s="171">
        <v>9</v>
      </c>
      <c r="I660" s="171">
        <v>2</v>
      </c>
      <c r="J660" s="171">
        <v>1</v>
      </c>
      <c r="K660" s="171">
        <v>32</v>
      </c>
      <c r="L660" s="171">
        <v>30</v>
      </c>
      <c r="M660" s="171">
        <v>2</v>
      </c>
      <c r="N660" s="171">
        <v>0</v>
      </c>
      <c r="O660" s="171">
        <v>2</v>
      </c>
      <c r="P660" s="173">
        <v>1</v>
      </c>
    </row>
    <row r="661" spans="1:16" hidden="1">
      <c r="A661" s="170" t="s">
        <v>301</v>
      </c>
      <c r="B661" s="172" t="s">
        <v>467</v>
      </c>
      <c r="C661" s="172">
        <v>30</v>
      </c>
      <c r="D661" s="172">
        <v>15</v>
      </c>
      <c r="E661" s="172">
        <v>1</v>
      </c>
      <c r="F661" s="172">
        <v>6</v>
      </c>
      <c r="G661" s="172">
        <v>2</v>
      </c>
      <c r="H661" s="172">
        <v>5</v>
      </c>
      <c r="I661" s="172">
        <v>3</v>
      </c>
      <c r="J661" s="172">
        <v>1</v>
      </c>
      <c r="K661" s="172">
        <v>18</v>
      </c>
      <c r="L661" s="172">
        <v>16</v>
      </c>
      <c r="M661" s="172">
        <v>2</v>
      </c>
      <c r="N661" s="172">
        <v>0</v>
      </c>
      <c r="O661" s="172">
        <v>2</v>
      </c>
      <c r="P661" s="174">
        <v>2</v>
      </c>
    </row>
    <row r="662" spans="1:16" hidden="1">
      <c r="A662" s="171" t="s">
        <v>301</v>
      </c>
      <c r="B662" s="171" t="s">
        <v>467</v>
      </c>
      <c r="C662" s="171">
        <v>30</v>
      </c>
      <c r="D662" s="171">
        <v>15</v>
      </c>
      <c r="E662" s="171">
        <v>11</v>
      </c>
      <c r="F662" s="171">
        <v>6</v>
      </c>
      <c r="G662" s="171">
        <v>3</v>
      </c>
      <c r="H662" s="171">
        <v>5</v>
      </c>
      <c r="I662" s="171">
        <v>3</v>
      </c>
      <c r="J662" s="171">
        <v>0</v>
      </c>
      <c r="K662" s="171">
        <v>28</v>
      </c>
      <c r="L662" s="171">
        <v>24</v>
      </c>
      <c r="M662" s="171">
        <v>2</v>
      </c>
      <c r="N662" s="171">
        <v>0</v>
      </c>
      <c r="O662" s="171">
        <v>6</v>
      </c>
      <c r="P662" s="173">
        <v>0</v>
      </c>
    </row>
    <row r="663" spans="1:16" hidden="1">
      <c r="A663" s="172" t="s">
        <v>301</v>
      </c>
      <c r="B663" s="172" t="s">
        <v>467</v>
      </c>
      <c r="C663" s="172">
        <v>30</v>
      </c>
      <c r="D663" s="172">
        <v>15</v>
      </c>
      <c r="E663" s="172">
        <v>16</v>
      </c>
      <c r="F663" s="172">
        <v>9</v>
      </c>
      <c r="G663" s="172">
        <v>6</v>
      </c>
      <c r="H663" s="172">
        <v>4</v>
      </c>
      <c r="I663" s="172">
        <v>2</v>
      </c>
      <c r="J663" s="172">
        <v>0</v>
      </c>
      <c r="K663" s="172">
        <v>37</v>
      </c>
      <c r="L663" s="172">
        <v>29</v>
      </c>
      <c r="M663" s="172">
        <v>3</v>
      </c>
      <c r="N663" s="172">
        <v>0</v>
      </c>
      <c r="O663" s="172">
        <v>12</v>
      </c>
      <c r="P663" s="174">
        <v>3</v>
      </c>
    </row>
    <row r="664" spans="1:16" hidden="1">
      <c r="A664" s="171" t="s">
        <v>301</v>
      </c>
      <c r="B664" s="171" t="s">
        <v>467</v>
      </c>
      <c r="C664" s="171">
        <v>30</v>
      </c>
      <c r="D664" s="171">
        <v>20</v>
      </c>
      <c r="E664" s="171">
        <v>17</v>
      </c>
      <c r="F664" s="171">
        <v>4</v>
      </c>
      <c r="G664" s="171">
        <v>8</v>
      </c>
      <c r="H664" s="171">
        <v>4</v>
      </c>
      <c r="I664" s="171">
        <v>3</v>
      </c>
      <c r="J664" s="171">
        <v>1</v>
      </c>
      <c r="K664" s="171">
        <v>37</v>
      </c>
      <c r="L664" s="171">
        <v>30</v>
      </c>
      <c r="M664" s="171">
        <v>1</v>
      </c>
      <c r="N664" s="171">
        <v>1</v>
      </c>
      <c r="O664" s="171">
        <v>11</v>
      </c>
      <c r="P664" s="173">
        <v>4</v>
      </c>
    </row>
    <row r="665" spans="1:16" hidden="1">
      <c r="A665" s="172" t="s">
        <v>301</v>
      </c>
      <c r="B665" s="172" t="s">
        <v>467</v>
      </c>
      <c r="C665" s="172">
        <v>30</v>
      </c>
      <c r="D665" s="172">
        <v>15</v>
      </c>
      <c r="E665" s="172">
        <v>1</v>
      </c>
      <c r="F665" s="172">
        <v>5</v>
      </c>
      <c r="G665" s="172">
        <v>6</v>
      </c>
      <c r="H665" s="172">
        <v>2</v>
      </c>
      <c r="I665" s="172">
        <v>11</v>
      </c>
      <c r="J665" s="172">
        <v>0</v>
      </c>
      <c r="K665" s="172">
        <v>25</v>
      </c>
      <c r="L665" s="172">
        <v>17</v>
      </c>
      <c r="M665" s="172">
        <v>3</v>
      </c>
      <c r="N665" s="172">
        <v>5</v>
      </c>
      <c r="O665" s="172">
        <v>7</v>
      </c>
      <c r="P665" s="174">
        <v>3</v>
      </c>
    </row>
    <row r="666" spans="1:16" hidden="1">
      <c r="A666" s="171" t="s">
        <v>301</v>
      </c>
      <c r="B666" s="171" t="s">
        <v>467</v>
      </c>
      <c r="C666" s="171">
        <v>25</v>
      </c>
      <c r="D666" s="171">
        <v>20</v>
      </c>
      <c r="E666" s="171">
        <v>11</v>
      </c>
      <c r="F666" s="171">
        <v>12</v>
      </c>
      <c r="G666" s="171">
        <v>3</v>
      </c>
      <c r="H666" s="171">
        <v>3</v>
      </c>
      <c r="I666" s="171">
        <v>1</v>
      </c>
      <c r="J666" s="171">
        <v>0</v>
      </c>
      <c r="K666" s="171">
        <v>30</v>
      </c>
      <c r="L666" s="171">
        <v>22</v>
      </c>
      <c r="M666" s="171">
        <v>2</v>
      </c>
      <c r="N666" s="171">
        <v>2</v>
      </c>
      <c r="O666" s="171">
        <v>14</v>
      </c>
      <c r="P666" s="173">
        <v>0</v>
      </c>
    </row>
    <row r="667" spans="1:16" hidden="1">
      <c r="A667" s="172" t="s">
        <v>301</v>
      </c>
      <c r="B667" s="172" t="s">
        <v>467</v>
      </c>
      <c r="C667" s="172">
        <v>30</v>
      </c>
      <c r="D667" s="172">
        <v>15</v>
      </c>
      <c r="E667" s="172">
        <v>3</v>
      </c>
      <c r="F667" s="172">
        <v>9</v>
      </c>
      <c r="G667" s="172">
        <v>5</v>
      </c>
      <c r="H667" s="172">
        <v>3</v>
      </c>
      <c r="I667" s="172">
        <v>3</v>
      </c>
      <c r="J667" s="172">
        <v>0</v>
      </c>
      <c r="K667" s="172">
        <v>23</v>
      </c>
      <c r="L667" s="172">
        <v>20</v>
      </c>
      <c r="M667" s="172">
        <v>8</v>
      </c>
      <c r="N667" s="172">
        <v>0</v>
      </c>
      <c r="O667" s="172">
        <v>5</v>
      </c>
      <c r="P667" s="174">
        <v>0</v>
      </c>
    </row>
    <row r="668" spans="1:16" hidden="1">
      <c r="A668" s="171" t="s">
        <v>301</v>
      </c>
      <c r="B668" s="171" t="s">
        <v>467</v>
      </c>
      <c r="C668" s="171">
        <v>25</v>
      </c>
      <c r="D668" s="171">
        <v>20</v>
      </c>
      <c r="E668" s="171">
        <v>1</v>
      </c>
      <c r="F668" s="171">
        <v>4</v>
      </c>
      <c r="G668" s="171">
        <v>3</v>
      </c>
      <c r="H668" s="171">
        <v>1</v>
      </c>
      <c r="I668" s="171">
        <v>2</v>
      </c>
      <c r="J668" s="171">
        <v>0</v>
      </c>
      <c r="K668" s="171">
        <v>11</v>
      </c>
      <c r="L668" s="171">
        <v>9</v>
      </c>
      <c r="M668" s="171">
        <v>3</v>
      </c>
      <c r="N668" s="171">
        <v>2</v>
      </c>
      <c r="O668" s="171">
        <v>2</v>
      </c>
      <c r="P668" s="173">
        <v>0</v>
      </c>
    </row>
    <row r="669" spans="1:16" hidden="1">
      <c r="A669" s="172" t="s">
        <v>301</v>
      </c>
      <c r="B669" s="172" t="s">
        <v>467</v>
      </c>
      <c r="C669" s="172">
        <v>25</v>
      </c>
      <c r="D669" s="172">
        <v>15</v>
      </c>
      <c r="E669" s="172">
        <v>15</v>
      </c>
      <c r="F669" s="172">
        <v>5</v>
      </c>
      <c r="G669" s="172">
        <v>6</v>
      </c>
      <c r="H669" s="172">
        <v>7</v>
      </c>
      <c r="I669" s="172">
        <v>0</v>
      </c>
      <c r="J669" s="172">
        <v>0</v>
      </c>
      <c r="K669" s="172">
        <v>33</v>
      </c>
      <c r="L669" s="172">
        <v>28</v>
      </c>
      <c r="M669" s="172">
        <v>7</v>
      </c>
      <c r="N669" s="172">
        <v>1</v>
      </c>
      <c r="O669" s="172">
        <v>9</v>
      </c>
      <c r="P669" s="174">
        <v>0</v>
      </c>
    </row>
    <row r="670" spans="1:16">
      <c r="A670" s="171" t="s">
        <v>449</v>
      </c>
      <c r="B670" s="171" t="s">
        <v>467</v>
      </c>
      <c r="C670" s="171">
        <v>48</v>
      </c>
      <c r="D670" s="171">
        <v>10</v>
      </c>
      <c r="E670" s="171">
        <v>1</v>
      </c>
      <c r="F670" s="171">
        <v>10</v>
      </c>
      <c r="G670" s="171">
        <v>11</v>
      </c>
      <c r="H670" s="171">
        <v>15</v>
      </c>
      <c r="I670" s="171">
        <v>14</v>
      </c>
      <c r="J670" s="171">
        <v>0</v>
      </c>
      <c r="K670" s="171">
        <v>51</v>
      </c>
      <c r="L670" s="171">
        <v>49</v>
      </c>
      <c r="M670" s="171">
        <v>14</v>
      </c>
      <c r="N670" s="171">
        <v>7</v>
      </c>
      <c r="O670" s="171">
        <v>4</v>
      </c>
      <c r="P670" s="173">
        <v>0</v>
      </c>
    </row>
    <row r="671" spans="1:16" hidden="1">
      <c r="A671" s="172" t="s">
        <v>347</v>
      </c>
      <c r="B671" s="172" t="s">
        <v>467</v>
      </c>
      <c r="C671" s="172">
        <v>50</v>
      </c>
      <c r="D671" s="172">
        <v>12</v>
      </c>
      <c r="E671" s="172">
        <v>0</v>
      </c>
      <c r="F671" s="172">
        <v>0</v>
      </c>
      <c r="G671" s="172">
        <v>9</v>
      </c>
      <c r="H671" s="172">
        <v>12</v>
      </c>
      <c r="I671" s="172">
        <v>5</v>
      </c>
      <c r="J671" s="172">
        <v>0</v>
      </c>
      <c r="K671" s="172">
        <v>26</v>
      </c>
      <c r="L671" s="172">
        <v>0</v>
      </c>
      <c r="M671" s="172">
        <v>23</v>
      </c>
      <c r="N671" s="172">
        <v>3</v>
      </c>
      <c r="O671" s="172">
        <v>0</v>
      </c>
      <c r="P671" s="174">
        <v>0</v>
      </c>
    </row>
    <row r="672" spans="1:16" hidden="1">
      <c r="A672" s="171" t="s">
        <v>347</v>
      </c>
      <c r="B672" s="171" t="s">
        <v>467</v>
      </c>
      <c r="C672" s="171">
        <v>50</v>
      </c>
      <c r="D672" s="171">
        <v>25</v>
      </c>
      <c r="E672" s="171">
        <v>2</v>
      </c>
      <c r="F672" s="171">
        <v>14</v>
      </c>
      <c r="G672" s="171">
        <v>10</v>
      </c>
      <c r="H672" s="171">
        <v>13</v>
      </c>
      <c r="I672" s="171">
        <v>4</v>
      </c>
      <c r="J672" s="171">
        <v>0</v>
      </c>
      <c r="K672" s="171">
        <v>43</v>
      </c>
      <c r="L672" s="171">
        <v>0</v>
      </c>
      <c r="M672" s="171">
        <v>43</v>
      </c>
      <c r="N672" s="171">
        <v>0</v>
      </c>
      <c r="O672" s="171">
        <v>0</v>
      </c>
      <c r="P672" s="173">
        <v>0</v>
      </c>
    </row>
    <row r="673" spans="1:16">
      <c r="A673" s="172" t="s">
        <v>449</v>
      </c>
      <c r="B673" s="172" t="s">
        <v>467</v>
      </c>
      <c r="C673" s="172">
        <v>30</v>
      </c>
      <c r="D673" s="172">
        <v>10</v>
      </c>
      <c r="E673" s="172">
        <v>1</v>
      </c>
      <c r="F673" s="172">
        <v>5</v>
      </c>
      <c r="G673" s="172">
        <v>7</v>
      </c>
      <c r="H673" s="172">
        <v>9</v>
      </c>
      <c r="I673" s="172">
        <v>3</v>
      </c>
      <c r="J673" s="172">
        <v>2</v>
      </c>
      <c r="K673" s="172">
        <v>27</v>
      </c>
      <c r="L673" s="172">
        <v>17</v>
      </c>
      <c r="M673" s="172">
        <v>14</v>
      </c>
      <c r="N673" s="172">
        <v>9</v>
      </c>
      <c r="O673" s="172">
        <v>6</v>
      </c>
      <c r="P673" s="174">
        <v>0</v>
      </c>
    </row>
    <row r="674" spans="1:16">
      <c r="A674" s="171" t="s">
        <v>449</v>
      </c>
      <c r="B674" s="171" t="s">
        <v>467</v>
      </c>
      <c r="C674" s="171">
        <v>50</v>
      </c>
      <c r="D674" s="171">
        <v>0</v>
      </c>
      <c r="E674" s="171">
        <v>0</v>
      </c>
      <c r="F674" s="171">
        <v>0</v>
      </c>
      <c r="G674" s="171">
        <v>15</v>
      </c>
      <c r="H674" s="171">
        <v>12</v>
      </c>
      <c r="I674" s="171">
        <v>32</v>
      </c>
      <c r="J674" s="171">
        <v>3</v>
      </c>
      <c r="K674" s="171">
        <v>62</v>
      </c>
      <c r="L674" s="171">
        <v>14</v>
      </c>
      <c r="M674" s="171">
        <v>9</v>
      </c>
      <c r="N674" s="171">
        <v>15</v>
      </c>
      <c r="O674" s="171">
        <v>31</v>
      </c>
      <c r="P674" s="173">
        <v>11</v>
      </c>
    </row>
    <row r="675" spans="1:16">
      <c r="A675" s="172" t="s">
        <v>449</v>
      </c>
      <c r="B675" s="172" t="s">
        <v>467</v>
      </c>
      <c r="C675" s="172">
        <v>98</v>
      </c>
      <c r="D675" s="172">
        <v>20</v>
      </c>
      <c r="E675" s="172">
        <v>2</v>
      </c>
      <c r="F675" s="172">
        <v>9</v>
      </c>
      <c r="G675" s="172">
        <v>20</v>
      </c>
      <c r="H675" s="172">
        <v>20</v>
      </c>
      <c r="I675" s="172">
        <v>28</v>
      </c>
      <c r="J675" s="172">
        <v>1</v>
      </c>
      <c r="K675" s="172">
        <v>80</v>
      </c>
      <c r="L675" s="172">
        <v>4</v>
      </c>
      <c r="M675" s="172">
        <v>8</v>
      </c>
      <c r="N675" s="172">
        <v>64</v>
      </c>
      <c r="O675" s="172">
        <v>13</v>
      </c>
      <c r="P675" s="174">
        <v>0</v>
      </c>
    </row>
    <row r="676" spans="1:16" hidden="1">
      <c r="A676" s="171" t="s">
        <v>347</v>
      </c>
      <c r="B676" s="171" t="s">
        <v>467</v>
      </c>
      <c r="C676" s="171">
        <v>20</v>
      </c>
      <c r="D676" s="171">
        <v>5</v>
      </c>
      <c r="E676" s="171">
        <v>0</v>
      </c>
      <c r="F676" s="171">
        <v>1</v>
      </c>
      <c r="G676" s="171">
        <v>4</v>
      </c>
      <c r="H676" s="171">
        <v>3</v>
      </c>
      <c r="I676" s="171">
        <v>0</v>
      </c>
      <c r="J676" s="171">
        <v>0</v>
      </c>
      <c r="K676" s="171">
        <v>8</v>
      </c>
      <c r="L676" s="171">
        <v>0</v>
      </c>
      <c r="M676" s="171">
        <v>8</v>
      </c>
      <c r="N676" s="171">
        <v>0</v>
      </c>
      <c r="O676" s="171">
        <v>0</v>
      </c>
      <c r="P676" s="173">
        <v>0</v>
      </c>
    </row>
    <row r="677" spans="1:16">
      <c r="A677" s="172" t="s">
        <v>449</v>
      </c>
      <c r="B677" s="172" t="s">
        <v>467</v>
      </c>
      <c r="C677" s="172">
        <v>36</v>
      </c>
      <c r="D677" s="172">
        <v>5</v>
      </c>
      <c r="E677" s="172">
        <v>0</v>
      </c>
      <c r="F677" s="172">
        <v>5</v>
      </c>
      <c r="G677" s="172">
        <v>6</v>
      </c>
      <c r="H677" s="172">
        <v>6</v>
      </c>
      <c r="I677" s="172">
        <v>11</v>
      </c>
      <c r="J677" s="172">
        <v>0</v>
      </c>
      <c r="K677" s="172">
        <v>28</v>
      </c>
      <c r="L677" s="172">
        <v>10</v>
      </c>
      <c r="M677" s="172">
        <v>3</v>
      </c>
      <c r="N677" s="172">
        <v>6</v>
      </c>
      <c r="O677" s="172">
        <v>13</v>
      </c>
      <c r="P677" s="174">
        <v>4</v>
      </c>
    </row>
    <row r="678" spans="1:16">
      <c r="A678" s="171" t="s">
        <v>449</v>
      </c>
      <c r="B678" s="171" t="s">
        <v>467</v>
      </c>
      <c r="C678" s="171">
        <v>50</v>
      </c>
      <c r="D678" s="171">
        <v>8</v>
      </c>
      <c r="E678" s="171">
        <v>0</v>
      </c>
      <c r="F678" s="171">
        <v>9</v>
      </c>
      <c r="G678" s="171">
        <v>9</v>
      </c>
      <c r="H678" s="171">
        <v>18</v>
      </c>
      <c r="I678" s="171">
        <v>13</v>
      </c>
      <c r="J678" s="171">
        <v>1</v>
      </c>
      <c r="K678" s="171">
        <v>50</v>
      </c>
      <c r="L678" s="171">
        <v>45</v>
      </c>
      <c r="M678" s="171">
        <v>12</v>
      </c>
      <c r="N678" s="171">
        <v>2</v>
      </c>
      <c r="O678" s="171">
        <v>2</v>
      </c>
      <c r="P678" s="173">
        <v>5</v>
      </c>
    </row>
    <row r="679" spans="1:16">
      <c r="A679" s="172" t="s">
        <v>449</v>
      </c>
      <c r="B679" s="172" t="s">
        <v>467</v>
      </c>
      <c r="C679" s="172">
        <v>23</v>
      </c>
      <c r="D679" s="172">
        <v>15</v>
      </c>
      <c r="E679" s="172">
        <v>3</v>
      </c>
      <c r="F679" s="172">
        <v>9</v>
      </c>
      <c r="G679" s="172">
        <v>9</v>
      </c>
      <c r="H679" s="172">
        <v>3</v>
      </c>
      <c r="I679" s="172">
        <v>1</v>
      </c>
      <c r="J679" s="172">
        <v>0</v>
      </c>
      <c r="K679" s="172">
        <v>25</v>
      </c>
      <c r="L679" s="172">
        <v>12</v>
      </c>
      <c r="M679" s="172">
        <v>0</v>
      </c>
      <c r="N679" s="172">
        <v>2</v>
      </c>
      <c r="O679" s="172">
        <v>4</v>
      </c>
      <c r="P679" s="174">
        <v>13</v>
      </c>
    </row>
    <row r="680" spans="1:16">
      <c r="A680" s="169" t="s">
        <v>449</v>
      </c>
      <c r="B680" s="171" t="s">
        <v>467</v>
      </c>
      <c r="C680" s="171">
        <v>40</v>
      </c>
      <c r="D680" s="171">
        <v>0</v>
      </c>
      <c r="E680" s="171">
        <v>0</v>
      </c>
      <c r="F680" s="171">
        <v>0</v>
      </c>
      <c r="G680" s="171">
        <v>0</v>
      </c>
      <c r="H680" s="171">
        <v>14</v>
      </c>
      <c r="I680" s="171">
        <v>25</v>
      </c>
      <c r="J680" s="171">
        <v>0</v>
      </c>
      <c r="K680" s="171">
        <v>39</v>
      </c>
      <c r="L680" s="171">
        <v>5</v>
      </c>
      <c r="M680" s="171">
        <v>5</v>
      </c>
      <c r="N680" s="171">
        <v>22</v>
      </c>
      <c r="O680" s="171">
        <v>17</v>
      </c>
      <c r="P680" s="173">
        <v>0</v>
      </c>
    </row>
    <row r="681" spans="1:16">
      <c r="A681" s="170" t="s">
        <v>449</v>
      </c>
      <c r="B681" s="172" t="s">
        <v>467</v>
      </c>
      <c r="C681" s="172">
        <v>50</v>
      </c>
      <c r="D681" s="172">
        <v>50</v>
      </c>
      <c r="E681" s="172">
        <v>4</v>
      </c>
      <c r="F681" s="172">
        <v>27</v>
      </c>
      <c r="G681" s="172">
        <v>9</v>
      </c>
      <c r="H681" s="172">
        <v>16</v>
      </c>
      <c r="I681" s="172">
        <v>12</v>
      </c>
      <c r="J681" s="172">
        <v>0</v>
      </c>
      <c r="K681" s="172">
        <v>68</v>
      </c>
      <c r="L681" s="172">
        <v>44</v>
      </c>
      <c r="M681" s="172">
        <v>17</v>
      </c>
      <c r="N681" s="172">
        <v>10</v>
      </c>
      <c r="O681" s="172">
        <v>23</v>
      </c>
      <c r="P681" s="174">
        <v>2</v>
      </c>
    </row>
    <row r="682" spans="1:16">
      <c r="A682" s="171" t="s">
        <v>449</v>
      </c>
      <c r="B682" s="171" t="s">
        <v>467</v>
      </c>
      <c r="C682" s="171">
        <v>70</v>
      </c>
      <c r="D682" s="171">
        <v>20</v>
      </c>
      <c r="E682" s="171">
        <v>4</v>
      </c>
      <c r="F682" s="171">
        <v>10</v>
      </c>
      <c r="G682" s="171">
        <v>17</v>
      </c>
      <c r="H682" s="171">
        <v>17</v>
      </c>
      <c r="I682" s="171">
        <v>16</v>
      </c>
      <c r="J682" s="171">
        <v>0</v>
      </c>
      <c r="K682" s="171">
        <v>64</v>
      </c>
      <c r="L682" s="171">
        <v>9</v>
      </c>
      <c r="M682" s="171">
        <v>17</v>
      </c>
      <c r="N682" s="171">
        <v>27</v>
      </c>
      <c r="O682" s="171">
        <v>31</v>
      </c>
      <c r="P682" s="173">
        <v>2</v>
      </c>
    </row>
    <row r="683" spans="1:16">
      <c r="A683" s="172" t="s">
        <v>449</v>
      </c>
      <c r="B683" s="172" t="s">
        <v>467</v>
      </c>
      <c r="C683" s="172">
        <v>38</v>
      </c>
      <c r="D683" s="172">
        <v>10</v>
      </c>
      <c r="E683" s="172">
        <v>0</v>
      </c>
      <c r="F683" s="172">
        <v>0</v>
      </c>
      <c r="G683" s="172">
        <v>2</v>
      </c>
      <c r="H683" s="172">
        <v>12</v>
      </c>
      <c r="I683" s="172">
        <v>7</v>
      </c>
      <c r="J683" s="172">
        <v>1</v>
      </c>
      <c r="K683" s="172">
        <v>22</v>
      </c>
      <c r="L683" s="172">
        <v>17</v>
      </c>
      <c r="M683" s="172">
        <v>1</v>
      </c>
      <c r="N683" s="172">
        <v>0</v>
      </c>
      <c r="O683" s="172">
        <v>4</v>
      </c>
      <c r="P683" s="174">
        <v>1</v>
      </c>
    </row>
    <row r="684" spans="1:16">
      <c r="A684" s="171" t="s">
        <v>449</v>
      </c>
      <c r="B684" s="171" t="s">
        <v>467</v>
      </c>
      <c r="C684" s="171">
        <v>50</v>
      </c>
      <c r="D684" s="171">
        <v>15</v>
      </c>
      <c r="E684" s="171">
        <v>0</v>
      </c>
      <c r="F684" s="171">
        <v>0</v>
      </c>
      <c r="G684" s="171">
        <v>6</v>
      </c>
      <c r="H684" s="171">
        <v>6</v>
      </c>
      <c r="I684" s="171">
        <v>14</v>
      </c>
      <c r="J684" s="171">
        <v>4</v>
      </c>
      <c r="K684" s="171">
        <v>30</v>
      </c>
      <c r="L684" s="171">
        <v>23</v>
      </c>
      <c r="M684" s="171">
        <v>3</v>
      </c>
      <c r="N684" s="171">
        <v>3</v>
      </c>
      <c r="O684" s="171">
        <v>4</v>
      </c>
      <c r="P684" s="173">
        <v>0</v>
      </c>
    </row>
    <row r="685" spans="1:16">
      <c r="A685" s="172" t="s">
        <v>449</v>
      </c>
      <c r="B685" s="172" t="s">
        <v>467</v>
      </c>
      <c r="C685" s="172">
        <v>100</v>
      </c>
      <c r="D685" s="172">
        <v>15</v>
      </c>
      <c r="E685" s="172">
        <v>0</v>
      </c>
      <c r="F685" s="172">
        <v>0</v>
      </c>
      <c r="G685" s="172">
        <v>4</v>
      </c>
      <c r="H685" s="172">
        <v>7</v>
      </c>
      <c r="I685" s="172">
        <v>6</v>
      </c>
      <c r="J685" s="172">
        <v>1</v>
      </c>
      <c r="K685" s="172">
        <v>18</v>
      </c>
      <c r="L685" s="172">
        <v>0</v>
      </c>
      <c r="M685" s="172">
        <v>1</v>
      </c>
      <c r="N685" s="172">
        <v>17</v>
      </c>
      <c r="O685" s="172">
        <v>0</v>
      </c>
      <c r="P685" s="174">
        <v>0</v>
      </c>
    </row>
    <row r="686" spans="1:16" hidden="1">
      <c r="A686" s="171" t="s">
        <v>301</v>
      </c>
      <c r="B686" s="171" t="s">
        <v>467</v>
      </c>
      <c r="C686" s="171">
        <v>30</v>
      </c>
      <c r="D686" s="171">
        <v>10</v>
      </c>
      <c r="E686" s="171">
        <v>1</v>
      </c>
      <c r="F686" s="171">
        <v>1</v>
      </c>
      <c r="G686" s="171">
        <v>2</v>
      </c>
      <c r="H686" s="171">
        <v>2</v>
      </c>
      <c r="I686" s="171">
        <v>0</v>
      </c>
      <c r="J686" s="171">
        <v>0</v>
      </c>
      <c r="K686" s="171">
        <v>6</v>
      </c>
      <c r="L686" s="171">
        <v>5</v>
      </c>
      <c r="M686" s="171">
        <v>0</v>
      </c>
      <c r="N686" s="171">
        <v>0</v>
      </c>
      <c r="O686" s="171">
        <v>4</v>
      </c>
      <c r="P686" s="173">
        <v>0</v>
      </c>
    </row>
    <row r="687" spans="1:16" hidden="1">
      <c r="A687" s="172" t="s">
        <v>451</v>
      </c>
      <c r="B687" s="172" t="s">
        <v>467</v>
      </c>
      <c r="C687" s="172">
        <v>36</v>
      </c>
      <c r="D687" s="172">
        <v>25</v>
      </c>
      <c r="E687" s="172"/>
      <c r="F687" s="172"/>
      <c r="G687" s="172"/>
      <c r="H687" s="172"/>
      <c r="I687" s="172"/>
      <c r="J687" s="172"/>
      <c r="K687" s="172"/>
      <c r="L687" s="172"/>
      <c r="M687" s="172"/>
      <c r="N687" s="172"/>
      <c r="O687" s="172"/>
      <c r="P687" s="174"/>
    </row>
    <row r="688" spans="1:16">
      <c r="A688" s="171" t="s">
        <v>449</v>
      </c>
      <c r="B688" s="171" t="s">
        <v>467</v>
      </c>
      <c r="C688" s="171">
        <v>50</v>
      </c>
      <c r="D688" s="171">
        <v>0</v>
      </c>
      <c r="E688" s="171">
        <v>0</v>
      </c>
      <c r="F688" s="171">
        <v>0</v>
      </c>
      <c r="G688" s="171">
        <v>4</v>
      </c>
      <c r="H688" s="171">
        <v>20</v>
      </c>
      <c r="I688" s="171">
        <v>17</v>
      </c>
      <c r="J688" s="171">
        <v>4</v>
      </c>
      <c r="K688" s="171">
        <v>45</v>
      </c>
      <c r="L688" s="171">
        <v>1</v>
      </c>
      <c r="M688" s="171">
        <v>3</v>
      </c>
      <c r="N688" s="171">
        <v>11</v>
      </c>
      <c r="O688" s="171">
        <v>32</v>
      </c>
      <c r="P688" s="173">
        <v>0</v>
      </c>
    </row>
    <row r="689" spans="1:16">
      <c r="A689" s="172" t="s">
        <v>449</v>
      </c>
      <c r="B689" s="172" t="s">
        <v>467</v>
      </c>
      <c r="C689" s="172">
        <v>55</v>
      </c>
      <c r="D689" s="172">
        <v>15</v>
      </c>
      <c r="E689" s="172">
        <v>1</v>
      </c>
      <c r="F689" s="172">
        <v>9</v>
      </c>
      <c r="G689" s="172">
        <v>15</v>
      </c>
      <c r="H689" s="172">
        <v>19</v>
      </c>
      <c r="I689" s="172">
        <v>16</v>
      </c>
      <c r="J689" s="172">
        <v>0</v>
      </c>
      <c r="K689" s="172">
        <v>60</v>
      </c>
      <c r="L689" s="172">
        <v>47</v>
      </c>
      <c r="M689" s="172">
        <v>4</v>
      </c>
      <c r="N689" s="172">
        <v>1</v>
      </c>
      <c r="O689" s="172">
        <v>17</v>
      </c>
      <c r="P689" s="174">
        <v>2</v>
      </c>
    </row>
    <row r="690" spans="1:16">
      <c r="A690" s="171" t="s">
        <v>449</v>
      </c>
      <c r="B690" s="171" t="s">
        <v>467</v>
      </c>
      <c r="C690" s="171">
        <v>67</v>
      </c>
      <c r="D690" s="171">
        <v>15</v>
      </c>
      <c r="E690" s="171">
        <v>1</v>
      </c>
      <c r="F690" s="171">
        <v>8</v>
      </c>
      <c r="G690" s="171">
        <v>16</v>
      </c>
      <c r="H690" s="171">
        <v>23</v>
      </c>
      <c r="I690" s="171">
        <v>24</v>
      </c>
      <c r="J690" s="171">
        <v>0</v>
      </c>
      <c r="K690" s="171">
        <v>72</v>
      </c>
      <c r="L690" s="171">
        <v>13</v>
      </c>
      <c r="M690" s="171">
        <v>13</v>
      </c>
      <c r="N690" s="171">
        <v>36</v>
      </c>
      <c r="O690" s="171">
        <v>28</v>
      </c>
      <c r="P690" s="173">
        <v>7</v>
      </c>
    </row>
    <row r="691" spans="1:16" hidden="1">
      <c r="A691" s="172" t="s">
        <v>347</v>
      </c>
      <c r="B691" s="172" t="s">
        <v>467</v>
      </c>
      <c r="C691" s="172">
        <v>20</v>
      </c>
      <c r="D691" s="172">
        <v>4</v>
      </c>
      <c r="E691" s="172">
        <v>0</v>
      </c>
      <c r="F691" s="172">
        <v>1</v>
      </c>
      <c r="G691" s="172">
        <v>4</v>
      </c>
      <c r="H691" s="172">
        <v>6</v>
      </c>
      <c r="I691" s="172">
        <v>5</v>
      </c>
      <c r="J691" s="172">
        <v>0</v>
      </c>
      <c r="K691" s="172">
        <v>16</v>
      </c>
      <c r="L691" s="172">
        <v>0</v>
      </c>
      <c r="M691" s="172">
        <v>16</v>
      </c>
      <c r="N691" s="172">
        <v>0</v>
      </c>
      <c r="O691" s="172">
        <v>0</v>
      </c>
      <c r="P691" s="174">
        <v>0</v>
      </c>
    </row>
    <row r="692" spans="1:16">
      <c r="A692" s="171" t="s">
        <v>449</v>
      </c>
      <c r="B692" s="171" t="s">
        <v>467</v>
      </c>
      <c r="C692" s="171">
        <v>24</v>
      </c>
      <c r="D692" s="171">
        <v>9</v>
      </c>
      <c r="E692" s="171">
        <v>0</v>
      </c>
      <c r="F692" s="171">
        <v>2</v>
      </c>
      <c r="G692" s="171">
        <v>2</v>
      </c>
      <c r="H692" s="171">
        <v>6</v>
      </c>
      <c r="I692" s="171">
        <v>9</v>
      </c>
      <c r="J692" s="171">
        <v>0</v>
      </c>
      <c r="K692" s="171">
        <v>19</v>
      </c>
      <c r="L692" s="171">
        <v>2</v>
      </c>
      <c r="M692" s="171">
        <v>7</v>
      </c>
      <c r="N692" s="171">
        <v>11</v>
      </c>
      <c r="O692" s="171">
        <v>4</v>
      </c>
      <c r="P692" s="173">
        <v>0</v>
      </c>
    </row>
    <row r="693" spans="1:16">
      <c r="A693" s="172" t="s">
        <v>449</v>
      </c>
      <c r="B693" s="172" t="s">
        <v>467</v>
      </c>
      <c r="C693" s="172">
        <v>75</v>
      </c>
      <c r="D693" s="172">
        <v>15</v>
      </c>
      <c r="E693" s="172">
        <v>0</v>
      </c>
      <c r="F693" s="172">
        <v>8</v>
      </c>
      <c r="G693" s="172">
        <v>8</v>
      </c>
      <c r="H693" s="172">
        <v>10</v>
      </c>
      <c r="I693" s="172">
        <v>15</v>
      </c>
      <c r="J693" s="172">
        <v>0</v>
      </c>
      <c r="K693" s="172">
        <v>41</v>
      </c>
      <c r="L693" s="172">
        <v>4</v>
      </c>
      <c r="M693" s="172">
        <v>23</v>
      </c>
      <c r="N693" s="172">
        <v>27</v>
      </c>
      <c r="O693" s="172">
        <v>4</v>
      </c>
      <c r="P693" s="174">
        <v>2</v>
      </c>
    </row>
    <row r="694" spans="1:16" hidden="1">
      <c r="A694" s="171" t="s">
        <v>301</v>
      </c>
      <c r="B694" s="171" t="s">
        <v>467</v>
      </c>
      <c r="C694" s="171">
        <v>30</v>
      </c>
      <c r="D694" s="171">
        <v>15</v>
      </c>
      <c r="E694" s="171">
        <v>3</v>
      </c>
      <c r="F694" s="171">
        <v>2</v>
      </c>
      <c r="G694" s="171">
        <v>9</v>
      </c>
      <c r="H694" s="171">
        <v>1</v>
      </c>
      <c r="I694" s="171">
        <v>4</v>
      </c>
      <c r="J694" s="171">
        <v>0</v>
      </c>
      <c r="K694" s="171">
        <v>19</v>
      </c>
      <c r="L694" s="171">
        <v>19</v>
      </c>
      <c r="M694" s="171">
        <v>2</v>
      </c>
      <c r="N694" s="171">
        <v>0</v>
      </c>
      <c r="O694" s="171">
        <v>0</v>
      </c>
      <c r="P694" s="173">
        <v>0</v>
      </c>
    </row>
    <row r="695" spans="1:16" hidden="1">
      <c r="A695" s="172" t="s">
        <v>468</v>
      </c>
      <c r="B695" s="172" t="s">
        <v>467</v>
      </c>
      <c r="C695" s="172">
        <v>60</v>
      </c>
      <c r="D695" s="172">
        <v>18</v>
      </c>
      <c r="E695" s="172">
        <v>3</v>
      </c>
      <c r="F695" s="172">
        <v>4</v>
      </c>
      <c r="G695" s="172">
        <v>16</v>
      </c>
      <c r="H695" s="172">
        <v>13</v>
      </c>
      <c r="I695" s="172">
        <v>16</v>
      </c>
      <c r="J695" s="172">
        <v>0</v>
      </c>
      <c r="K695" s="172">
        <v>52</v>
      </c>
      <c r="L695" s="172">
        <v>3</v>
      </c>
      <c r="M695" s="172">
        <v>0</v>
      </c>
      <c r="N695" s="172">
        <v>52</v>
      </c>
      <c r="O695" s="172">
        <v>3</v>
      </c>
      <c r="P695" s="174">
        <v>0</v>
      </c>
    </row>
    <row r="696" spans="1:16" hidden="1">
      <c r="A696" s="171" t="s">
        <v>347</v>
      </c>
      <c r="B696" s="171" t="s">
        <v>467</v>
      </c>
      <c r="C696" s="171">
        <v>33</v>
      </c>
      <c r="D696" s="171">
        <v>12</v>
      </c>
      <c r="E696" s="171">
        <v>2</v>
      </c>
      <c r="F696" s="171">
        <v>8</v>
      </c>
      <c r="G696" s="171">
        <v>10</v>
      </c>
      <c r="H696" s="171">
        <v>5</v>
      </c>
      <c r="I696" s="171">
        <v>6</v>
      </c>
      <c r="J696" s="171">
        <v>0</v>
      </c>
      <c r="K696" s="171">
        <v>31</v>
      </c>
      <c r="L696" s="171">
        <v>0</v>
      </c>
      <c r="M696" s="171">
        <v>30</v>
      </c>
      <c r="N696" s="171">
        <v>1</v>
      </c>
      <c r="O696" s="171">
        <v>0</v>
      </c>
      <c r="P696" s="173">
        <v>0</v>
      </c>
    </row>
    <row r="697" spans="1:16" hidden="1">
      <c r="A697" s="172" t="s">
        <v>468</v>
      </c>
      <c r="B697" s="172" t="s">
        <v>467</v>
      </c>
      <c r="C697" s="172">
        <v>35</v>
      </c>
      <c r="D697" s="172">
        <v>5</v>
      </c>
      <c r="E697" s="172">
        <v>0</v>
      </c>
      <c r="F697" s="172">
        <v>2</v>
      </c>
      <c r="G697" s="172">
        <v>4</v>
      </c>
      <c r="H697" s="172">
        <v>3</v>
      </c>
      <c r="I697" s="172">
        <v>8</v>
      </c>
      <c r="J697" s="172">
        <v>0</v>
      </c>
      <c r="K697" s="172">
        <v>17</v>
      </c>
      <c r="L697" s="172">
        <v>0</v>
      </c>
      <c r="M697" s="172">
        <v>0</v>
      </c>
      <c r="N697" s="172">
        <v>17</v>
      </c>
      <c r="O697" s="172">
        <v>0</v>
      </c>
      <c r="P697" s="174">
        <v>0</v>
      </c>
    </row>
    <row r="698" spans="1:16">
      <c r="A698" s="171" t="s">
        <v>449</v>
      </c>
      <c r="B698" s="171" t="s">
        <v>467</v>
      </c>
      <c r="C698" s="171">
        <v>30</v>
      </c>
      <c r="D698" s="171">
        <v>5</v>
      </c>
      <c r="E698" s="171">
        <v>1</v>
      </c>
      <c r="F698" s="171">
        <v>4</v>
      </c>
      <c r="G698" s="171">
        <v>7</v>
      </c>
      <c r="H698" s="171">
        <v>5</v>
      </c>
      <c r="I698" s="171">
        <v>2</v>
      </c>
      <c r="J698" s="171">
        <v>1</v>
      </c>
      <c r="K698" s="171">
        <v>20</v>
      </c>
      <c r="L698" s="171">
        <v>5</v>
      </c>
      <c r="M698" s="171">
        <v>8</v>
      </c>
      <c r="N698" s="171">
        <v>17</v>
      </c>
      <c r="O698" s="171">
        <v>2</v>
      </c>
      <c r="P698" s="173">
        <v>1</v>
      </c>
    </row>
    <row r="699" spans="1:16">
      <c r="A699" s="172" t="s">
        <v>449</v>
      </c>
      <c r="B699" s="172" t="s">
        <v>467</v>
      </c>
      <c r="C699" s="172">
        <v>113</v>
      </c>
      <c r="D699" s="172">
        <v>29</v>
      </c>
      <c r="E699" s="172">
        <v>6</v>
      </c>
      <c r="F699" s="172">
        <v>22</v>
      </c>
      <c r="G699" s="172">
        <v>33</v>
      </c>
      <c r="H699" s="172">
        <v>33</v>
      </c>
      <c r="I699" s="172">
        <v>30</v>
      </c>
      <c r="J699" s="172">
        <v>6</v>
      </c>
      <c r="K699" s="172">
        <v>130</v>
      </c>
      <c r="L699" s="172">
        <v>59</v>
      </c>
      <c r="M699" s="172">
        <v>6</v>
      </c>
      <c r="N699" s="172">
        <v>5</v>
      </c>
      <c r="O699" s="172">
        <v>71</v>
      </c>
      <c r="P699" s="174">
        <v>10</v>
      </c>
    </row>
    <row r="700" spans="1:16">
      <c r="A700" s="171" t="s">
        <v>449</v>
      </c>
      <c r="B700" s="171" t="s">
        <v>467</v>
      </c>
      <c r="C700" s="171">
        <v>40</v>
      </c>
      <c r="D700" s="171">
        <v>0</v>
      </c>
      <c r="E700" s="171">
        <v>0</v>
      </c>
      <c r="F700" s="171">
        <v>0</v>
      </c>
      <c r="G700" s="171">
        <v>6</v>
      </c>
      <c r="H700" s="171">
        <v>18</v>
      </c>
      <c r="I700" s="171">
        <v>22</v>
      </c>
      <c r="J700" s="171">
        <v>0</v>
      </c>
      <c r="K700" s="171">
        <v>46</v>
      </c>
      <c r="L700" s="171">
        <v>32</v>
      </c>
      <c r="M700" s="171">
        <v>2</v>
      </c>
      <c r="N700" s="171">
        <v>7</v>
      </c>
      <c r="O700" s="171">
        <v>16</v>
      </c>
      <c r="P700" s="173">
        <v>3</v>
      </c>
    </row>
    <row r="701" spans="1:16">
      <c r="A701" s="172" t="s">
        <v>449</v>
      </c>
      <c r="B701" s="172" t="s">
        <v>467</v>
      </c>
      <c r="C701" s="172">
        <v>75</v>
      </c>
      <c r="D701" s="172">
        <v>25</v>
      </c>
      <c r="E701" s="172">
        <v>3</v>
      </c>
      <c r="F701" s="172">
        <v>27</v>
      </c>
      <c r="G701" s="172">
        <v>21</v>
      </c>
      <c r="H701" s="172">
        <v>22</v>
      </c>
      <c r="I701" s="172">
        <v>11</v>
      </c>
      <c r="J701" s="172">
        <v>0</v>
      </c>
      <c r="K701" s="172">
        <v>84</v>
      </c>
      <c r="L701" s="172">
        <v>80</v>
      </c>
      <c r="M701" s="172">
        <v>7</v>
      </c>
      <c r="N701" s="172">
        <v>1</v>
      </c>
      <c r="O701" s="172">
        <v>7</v>
      </c>
      <c r="P701" s="174">
        <v>5</v>
      </c>
    </row>
    <row r="702" spans="1:16">
      <c r="A702" s="171" t="s">
        <v>449</v>
      </c>
      <c r="B702" s="171" t="s">
        <v>467</v>
      </c>
      <c r="C702" s="171">
        <v>40</v>
      </c>
      <c r="D702" s="171">
        <v>12</v>
      </c>
      <c r="E702" s="171">
        <v>2</v>
      </c>
      <c r="F702" s="171">
        <v>6</v>
      </c>
      <c r="G702" s="171">
        <v>5</v>
      </c>
      <c r="H702" s="171">
        <v>10</v>
      </c>
      <c r="I702" s="171">
        <v>4</v>
      </c>
      <c r="J702" s="171">
        <v>0</v>
      </c>
      <c r="K702" s="171">
        <v>27</v>
      </c>
      <c r="L702" s="171">
        <v>12</v>
      </c>
      <c r="M702" s="171">
        <v>10</v>
      </c>
      <c r="N702" s="171">
        <v>9</v>
      </c>
      <c r="O702" s="171">
        <v>7</v>
      </c>
      <c r="P702" s="173">
        <v>0</v>
      </c>
    </row>
    <row r="703" spans="1:16">
      <c r="A703" s="172" t="s">
        <v>449</v>
      </c>
      <c r="B703" s="172" t="s">
        <v>467</v>
      </c>
      <c r="C703" s="172">
        <v>39</v>
      </c>
      <c r="D703" s="172">
        <v>5</v>
      </c>
      <c r="E703" s="172">
        <v>0</v>
      </c>
      <c r="F703" s="172">
        <v>0</v>
      </c>
      <c r="G703" s="172">
        <v>1</v>
      </c>
      <c r="H703" s="172">
        <v>20</v>
      </c>
      <c r="I703" s="172">
        <v>24</v>
      </c>
      <c r="J703" s="172">
        <v>9</v>
      </c>
      <c r="K703" s="172">
        <v>54</v>
      </c>
      <c r="L703" s="172">
        <v>51</v>
      </c>
      <c r="M703" s="172">
        <v>6</v>
      </c>
      <c r="N703" s="172">
        <v>3</v>
      </c>
      <c r="O703" s="172">
        <v>5</v>
      </c>
      <c r="P703" s="174">
        <v>1</v>
      </c>
    </row>
    <row r="704" spans="1:16">
      <c r="A704" s="171" t="s">
        <v>449</v>
      </c>
      <c r="B704" s="171" t="s">
        <v>467</v>
      </c>
      <c r="C704" s="171">
        <v>50</v>
      </c>
      <c r="D704" s="171">
        <v>20</v>
      </c>
      <c r="E704" s="171">
        <v>1</v>
      </c>
      <c r="F704" s="171">
        <v>11</v>
      </c>
      <c r="G704" s="171">
        <v>10</v>
      </c>
      <c r="H704" s="171">
        <v>9</v>
      </c>
      <c r="I704" s="171">
        <v>14</v>
      </c>
      <c r="J704" s="171">
        <v>0</v>
      </c>
      <c r="K704" s="171">
        <v>45</v>
      </c>
      <c r="L704" s="171">
        <v>41</v>
      </c>
      <c r="M704" s="171">
        <v>4</v>
      </c>
      <c r="N704" s="171">
        <v>3</v>
      </c>
      <c r="O704" s="171">
        <v>7</v>
      </c>
      <c r="P704" s="173">
        <v>4</v>
      </c>
    </row>
    <row r="705" spans="1:16">
      <c r="A705" s="172" t="s">
        <v>449</v>
      </c>
      <c r="B705" s="172" t="s">
        <v>467</v>
      </c>
      <c r="C705" s="172">
        <v>100</v>
      </c>
      <c r="D705" s="172">
        <v>15</v>
      </c>
      <c r="E705" s="172">
        <v>3</v>
      </c>
      <c r="F705" s="172">
        <v>9</v>
      </c>
      <c r="G705" s="172">
        <v>22</v>
      </c>
      <c r="H705" s="172">
        <v>34</v>
      </c>
      <c r="I705" s="172">
        <v>45</v>
      </c>
      <c r="J705" s="172">
        <v>3</v>
      </c>
      <c r="K705" s="172">
        <v>116</v>
      </c>
      <c r="L705" s="172">
        <v>11</v>
      </c>
      <c r="M705" s="172">
        <v>13</v>
      </c>
      <c r="N705" s="172">
        <v>25</v>
      </c>
      <c r="O705" s="172">
        <v>78</v>
      </c>
      <c r="P705" s="174">
        <v>7</v>
      </c>
    </row>
    <row r="706" spans="1:16">
      <c r="A706" s="171" t="s">
        <v>449</v>
      </c>
      <c r="B706" s="171" t="s">
        <v>467</v>
      </c>
      <c r="C706" s="171">
        <v>40</v>
      </c>
      <c r="D706" s="171">
        <v>10</v>
      </c>
      <c r="E706" s="171">
        <v>7</v>
      </c>
      <c r="F706" s="171">
        <v>4</v>
      </c>
      <c r="G706" s="171">
        <v>15</v>
      </c>
      <c r="H706" s="171">
        <v>7</v>
      </c>
      <c r="I706" s="171">
        <v>12</v>
      </c>
      <c r="J706" s="171">
        <v>1</v>
      </c>
      <c r="K706" s="171">
        <v>46</v>
      </c>
      <c r="L706" s="171">
        <v>0</v>
      </c>
      <c r="M706" s="171">
        <v>11</v>
      </c>
      <c r="N706" s="171">
        <v>29</v>
      </c>
      <c r="O706" s="171">
        <v>14</v>
      </c>
      <c r="P706" s="173">
        <v>0</v>
      </c>
    </row>
    <row r="707" spans="1:16">
      <c r="A707" s="172" t="s">
        <v>449</v>
      </c>
      <c r="B707" s="172" t="s">
        <v>467</v>
      </c>
      <c r="C707" s="172">
        <v>50</v>
      </c>
      <c r="D707" s="172">
        <v>12</v>
      </c>
      <c r="E707" s="172">
        <v>0</v>
      </c>
      <c r="F707" s="172">
        <v>0</v>
      </c>
      <c r="G707" s="172">
        <v>11</v>
      </c>
      <c r="H707" s="172">
        <v>6</v>
      </c>
      <c r="I707" s="172">
        <v>20</v>
      </c>
      <c r="J707" s="172">
        <v>1</v>
      </c>
      <c r="K707" s="172">
        <v>38</v>
      </c>
      <c r="L707" s="172">
        <v>1</v>
      </c>
      <c r="M707" s="172">
        <v>14</v>
      </c>
      <c r="N707" s="172">
        <v>27</v>
      </c>
      <c r="O707" s="172">
        <v>5</v>
      </c>
      <c r="P707" s="174">
        <v>0</v>
      </c>
    </row>
    <row r="708" spans="1:16" hidden="1">
      <c r="A708" s="171" t="s">
        <v>470</v>
      </c>
      <c r="B708" s="171" t="s">
        <v>467</v>
      </c>
      <c r="C708" s="171">
        <v>45</v>
      </c>
      <c r="D708" s="171">
        <v>15</v>
      </c>
      <c r="E708" s="171">
        <v>0</v>
      </c>
      <c r="F708" s="171">
        <v>1</v>
      </c>
      <c r="G708" s="171">
        <v>7</v>
      </c>
      <c r="H708" s="171">
        <v>6</v>
      </c>
      <c r="I708" s="171">
        <v>10</v>
      </c>
      <c r="J708" s="171">
        <v>0</v>
      </c>
      <c r="K708" s="171">
        <v>24</v>
      </c>
      <c r="L708" s="171">
        <v>6</v>
      </c>
      <c r="M708" s="171">
        <v>23</v>
      </c>
      <c r="N708" s="171">
        <v>6</v>
      </c>
      <c r="O708" s="171">
        <v>2</v>
      </c>
      <c r="P708" s="173">
        <v>1</v>
      </c>
    </row>
    <row r="709" spans="1:16">
      <c r="A709" s="172" t="s">
        <v>449</v>
      </c>
      <c r="B709" s="172" t="s">
        <v>467</v>
      </c>
      <c r="C709" s="172">
        <v>98</v>
      </c>
      <c r="D709" s="172">
        <v>20</v>
      </c>
      <c r="E709" s="172">
        <v>2</v>
      </c>
      <c r="F709" s="172">
        <v>14</v>
      </c>
      <c r="G709" s="172">
        <v>20</v>
      </c>
      <c r="H709" s="172">
        <v>16</v>
      </c>
      <c r="I709" s="172">
        <v>16</v>
      </c>
      <c r="J709" s="172">
        <v>0</v>
      </c>
      <c r="K709" s="172">
        <v>68</v>
      </c>
      <c r="L709" s="172">
        <v>9</v>
      </c>
      <c r="M709" s="172">
        <v>5</v>
      </c>
      <c r="N709" s="172">
        <v>11</v>
      </c>
      <c r="O709" s="172">
        <v>52</v>
      </c>
      <c r="P709" s="174">
        <v>3</v>
      </c>
    </row>
    <row r="710" spans="1:16">
      <c r="A710" s="171" t="s">
        <v>449</v>
      </c>
      <c r="B710" s="171" t="s">
        <v>467</v>
      </c>
      <c r="C710" s="171">
        <v>128</v>
      </c>
      <c r="D710" s="171">
        <v>24</v>
      </c>
      <c r="E710" s="171">
        <v>2</v>
      </c>
      <c r="F710" s="171">
        <v>17</v>
      </c>
      <c r="G710" s="171">
        <v>26</v>
      </c>
      <c r="H710" s="171">
        <v>40</v>
      </c>
      <c r="I710" s="171">
        <v>23</v>
      </c>
      <c r="J710" s="171">
        <v>0</v>
      </c>
      <c r="K710" s="171">
        <v>108</v>
      </c>
      <c r="L710" s="171">
        <v>90</v>
      </c>
      <c r="M710" s="171">
        <v>33</v>
      </c>
      <c r="N710" s="171">
        <v>13</v>
      </c>
      <c r="O710" s="171">
        <v>17</v>
      </c>
      <c r="P710" s="173">
        <v>6</v>
      </c>
    </row>
    <row r="711" spans="1:16">
      <c r="A711" s="172" t="s">
        <v>449</v>
      </c>
      <c r="B711" s="172" t="s">
        <v>467</v>
      </c>
      <c r="C711" s="172">
        <v>36</v>
      </c>
      <c r="D711" s="172">
        <v>0</v>
      </c>
      <c r="E711" s="172">
        <v>0</v>
      </c>
      <c r="F711" s="172">
        <v>0</v>
      </c>
      <c r="G711" s="172">
        <v>4</v>
      </c>
      <c r="H711" s="172">
        <v>14</v>
      </c>
      <c r="I711" s="172">
        <v>15</v>
      </c>
      <c r="J711" s="172">
        <v>0</v>
      </c>
      <c r="K711" s="172">
        <v>33</v>
      </c>
      <c r="L711" s="172">
        <v>24</v>
      </c>
      <c r="M711" s="172">
        <v>2</v>
      </c>
      <c r="N711" s="172">
        <v>1</v>
      </c>
      <c r="O711" s="172">
        <v>7</v>
      </c>
      <c r="P711" s="174">
        <v>7</v>
      </c>
    </row>
    <row r="712" spans="1:16">
      <c r="A712" s="171" t="s">
        <v>449</v>
      </c>
      <c r="B712" s="171" t="s">
        <v>467</v>
      </c>
      <c r="C712" s="171">
        <v>107</v>
      </c>
      <c r="D712" s="171">
        <v>25</v>
      </c>
      <c r="E712" s="171">
        <v>4</v>
      </c>
      <c r="F712" s="171">
        <v>26</v>
      </c>
      <c r="G712" s="171">
        <v>22</v>
      </c>
      <c r="H712" s="171">
        <v>16</v>
      </c>
      <c r="I712" s="171">
        <v>29</v>
      </c>
      <c r="J712" s="171">
        <v>1</v>
      </c>
      <c r="K712" s="171">
        <v>98</v>
      </c>
      <c r="L712" s="171">
        <v>77</v>
      </c>
      <c r="M712" s="171">
        <v>12</v>
      </c>
      <c r="N712" s="171">
        <v>4</v>
      </c>
      <c r="O712" s="171">
        <v>25</v>
      </c>
      <c r="P712" s="173">
        <v>5</v>
      </c>
    </row>
    <row r="713" spans="1:16">
      <c r="A713" s="172" t="s">
        <v>449</v>
      </c>
      <c r="B713" s="172" t="s">
        <v>467</v>
      </c>
      <c r="C713" s="172">
        <v>82</v>
      </c>
      <c r="D713" s="172">
        <v>25</v>
      </c>
      <c r="E713" s="172">
        <v>3</v>
      </c>
      <c r="F713" s="172">
        <v>3</v>
      </c>
      <c r="G713" s="172">
        <v>13</v>
      </c>
      <c r="H713" s="172">
        <v>16</v>
      </c>
      <c r="I713" s="172">
        <v>9</v>
      </c>
      <c r="J713" s="172">
        <v>0</v>
      </c>
      <c r="K713" s="172">
        <v>44</v>
      </c>
      <c r="L713" s="172">
        <v>33</v>
      </c>
      <c r="M713" s="172">
        <v>10</v>
      </c>
      <c r="N713" s="172">
        <v>11</v>
      </c>
      <c r="O713" s="172">
        <v>11</v>
      </c>
      <c r="P713" s="174">
        <v>0</v>
      </c>
    </row>
    <row r="714" spans="1:16" hidden="1">
      <c r="A714" s="171" t="s">
        <v>468</v>
      </c>
      <c r="B714" s="171" t="s">
        <v>467</v>
      </c>
      <c r="C714" s="171">
        <v>40</v>
      </c>
      <c r="D714" s="171">
        <v>10</v>
      </c>
      <c r="E714" s="171">
        <v>3</v>
      </c>
      <c r="F714" s="171">
        <v>4</v>
      </c>
      <c r="G714" s="171">
        <v>9</v>
      </c>
      <c r="H714" s="171">
        <v>8</v>
      </c>
      <c r="I714" s="171">
        <v>10</v>
      </c>
      <c r="J714" s="171">
        <v>1</v>
      </c>
      <c r="K714" s="171">
        <v>35</v>
      </c>
      <c r="L714" s="171">
        <v>1</v>
      </c>
      <c r="M714" s="171">
        <v>3</v>
      </c>
      <c r="N714" s="171">
        <v>34</v>
      </c>
      <c r="O714" s="171">
        <v>1</v>
      </c>
      <c r="P714" s="173">
        <v>0</v>
      </c>
    </row>
    <row r="715" spans="1:16">
      <c r="A715" s="172" t="s">
        <v>449</v>
      </c>
      <c r="B715" s="172" t="s">
        <v>467</v>
      </c>
      <c r="C715" s="172">
        <v>50</v>
      </c>
      <c r="D715" s="172">
        <v>0</v>
      </c>
      <c r="E715" s="172">
        <v>0</v>
      </c>
      <c r="F715" s="172">
        <v>0</v>
      </c>
      <c r="G715" s="172">
        <v>10</v>
      </c>
      <c r="H715" s="172">
        <v>18</v>
      </c>
      <c r="I715" s="172">
        <v>18</v>
      </c>
      <c r="J715" s="172">
        <v>0</v>
      </c>
      <c r="K715" s="172">
        <v>46</v>
      </c>
      <c r="L715" s="172">
        <v>5</v>
      </c>
      <c r="M715" s="172">
        <v>4</v>
      </c>
      <c r="N715" s="172">
        <v>38</v>
      </c>
      <c r="O715" s="172">
        <v>7</v>
      </c>
      <c r="P715" s="174">
        <v>2</v>
      </c>
    </row>
    <row r="716" spans="1:16">
      <c r="A716" s="171" t="s">
        <v>449</v>
      </c>
      <c r="B716" s="171" t="s">
        <v>467</v>
      </c>
      <c r="C716" s="171">
        <v>35</v>
      </c>
      <c r="D716" s="171">
        <v>20</v>
      </c>
      <c r="E716" s="171">
        <v>0</v>
      </c>
      <c r="F716" s="171">
        <v>7</v>
      </c>
      <c r="G716" s="171">
        <v>11</v>
      </c>
      <c r="H716" s="171">
        <v>10</v>
      </c>
      <c r="I716" s="171">
        <v>10</v>
      </c>
      <c r="J716" s="171">
        <v>0</v>
      </c>
      <c r="K716" s="171">
        <v>38</v>
      </c>
      <c r="L716" s="171">
        <v>29</v>
      </c>
      <c r="M716" s="171">
        <v>0</v>
      </c>
      <c r="N716" s="171">
        <v>3</v>
      </c>
      <c r="O716" s="171">
        <v>9</v>
      </c>
      <c r="P716" s="173">
        <v>0</v>
      </c>
    </row>
    <row r="717" spans="1:16">
      <c r="A717" s="172" t="s">
        <v>449</v>
      </c>
      <c r="B717" s="172" t="s">
        <v>467</v>
      </c>
      <c r="C717" s="172">
        <v>90</v>
      </c>
      <c r="D717" s="172">
        <v>20</v>
      </c>
      <c r="E717" s="172">
        <v>3</v>
      </c>
      <c r="F717" s="172">
        <v>11</v>
      </c>
      <c r="G717" s="172">
        <v>21</v>
      </c>
      <c r="H717" s="172">
        <v>24</v>
      </c>
      <c r="I717" s="172">
        <v>21</v>
      </c>
      <c r="J717" s="172">
        <v>1</v>
      </c>
      <c r="K717" s="172">
        <v>81</v>
      </c>
      <c r="L717" s="172">
        <v>33</v>
      </c>
      <c r="M717" s="172">
        <v>24</v>
      </c>
      <c r="N717" s="172">
        <v>19</v>
      </c>
      <c r="O717" s="172">
        <v>27</v>
      </c>
      <c r="P717" s="174">
        <v>7</v>
      </c>
    </row>
    <row r="718" spans="1:16">
      <c r="A718" s="171" t="s">
        <v>449</v>
      </c>
      <c r="B718" s="171" t="s">
        <v>467</v>
      </c>
      <c r="C718" s="171">
        <v>85</v>
      </c>
      <c r="D718" s="171">
        <v>25</v>
      </c>
      <c r="E718" s="171">
        <v>0</v>
      </c>
      <c r="F718" s="171">
        <v>12</v>
      </c>
      <c r="G718" s="171">
        <v>8</v>
      </c>
      <c r="H718" s="171">
        <v>11</v>
      </c>
      <c r="I718" s="171">
        <v>14</v>
      </c>
      <c r="J718" s="171">
        <v>0</v>
      </c>
      <c r="K718" s="171">
        <v>45</v>
      </c>
      <c r="L718" s="171">
        <v>6</v>
      </c>
      <c r="M718" s="171">
        <v>4</v>
      </c>
      <c r="N718" s="171">
        <v>6</v>
      </c>
      <c r="O718" s="171">
        <v>36</v>
      </c>
      <c r="P718" s="173">
        <v>1</v>
      </c>
    </row>
    <row r="719" spans="1:16">
      <c r="A719" s="172" t="s">
        <v>449</v>
      </c>
      <c r="B719" s="172" t="s">
        <v>467</v>
      </c>
      <c r="C719" s="172">
        <v>50</v>
      </c>
      <c r="D719" s="172">
        <v>10</v>
      </c>
      <c r="E719" s="172">
        <v>0</v>
      </c>
      <c r="F719" s="172">
        <v>12</v>
      </c>
      <c r="G719" s="172">
        <v>15</v>
      </c>
      <c r="H719" s="172">
        <v>12</v>
      </c>
      <c r="I719" s="172">
        <v>14</v>
      </c>
      <c r="J719" s="172">
        <v>1</v>
      </c>
      <c r="K719" s="172">
        <v>54</v>
      </c>
      <c r="L719" s="172">
        <v>45</v>
      </c>
      <c r="M719" s="172">
        <v>5</v>
      </c>
      <c r="N719" s="172">
        <v>2</v>
      </c>
      <c r="O719" s="172">
        <v>3</v>
      </c>
      <c r="P719" s="174">
        <v>3</v>
      </c>
    </row>
    <row r="720" spans="1:16">
      <c r="A720" s="171" t="s">
        <v>449</v>
      </c>
      <c r="B720" s="171" t="s">
        <v>467</v>
      </c>
      <c r="C720" s="171">
        <v>49</v>
      </c>
      <c r="D720" s="171">
        <v>13</v>
      </c>
      <c r="E720" s="171">
        <v>0</v>
      </c>
      <c r="F720" s="171">
        <v>1</v>
      </c>
      <c r="G720" s="171">
        <v>2</v>
      </c>
      <c r="H720" s="171">
        <v>7</v>
      </c>
      <c r="I720" s="171">
        <v>7</v>
      </c>
      <c r="J720" s="171">
        <v>1</v>
      </c>
      <c r="K720" s="171">
        <v>18</v>
      </c>
      <c r="L720" s="171">
        <v>3</v>
      </c>
      <c r="M720" s="171">
        <v>7</v>
      </c>
      <c r="N720" s="171">
        <v>11</v>
      </c>
      <c r="O720" s="171">
        <v>5</v>
      </c>
      <c r="P720" s="173">
        <v>1</v>
      </c>
    </row>
    <row r="721" spans="1:16">
      <c r="A721" s="172" t="s">
        <v>449</v>
      </c>
      <c r="B721" s="172" t="s">
        <v>467</v>
      </c>
      <c r="C721" s="172">
        <v>38</v>
      </c>
      <c r="D721" s="172">
        <v>12</v>
      </c>
      <c r="E721" s="172">
        <v>1</v>
      </c>
      <c r="F721" s="172">
        <v>4</v>
      </c>
      <c r="G721" s="172">
        <v>9</v>
      </c>
      <c r="H721" s="172">
        <v>10</v>
      </c>
      <c r="I721" s="172">
        <v>7</v>
      </c>
      <c r="J721" s="172">
        <v>1</v>
      </c>
      <c r="K721" s="172">
        <v>32</v>
      </c>
      <c r="L721" s="172">
        <v>15</v>
      </c>
      <c r="M721" s="172">
        <v>12</v>
      </c>
      <c r="N721" s="172">
        <v>14</v>
      </c>
      <c r="O721" s="172">
        <v>2</v>
      </c>
      <c r="P721" s="174">
        <v>0</v>
      </c>
    </row>
    <row r="722" spans="1:16">
      <c r="A722" s="171" t="s">
        <v>449</v>
      </c>
      <c r="B722" s="171" t="s">
        <v>467</v>
      </c>
      <c r="C722" s="171">
        <v>50</v>
      </c>
      <c r="D722" s="171">
        <v>12</v>
      </c>
      <c r="E722" s="171">
        <v>0</v>
      </c>
      <c r="F722" s="171">
        <v>9</v>
      </c>
      <c r="G722" s="171">
        <v>5</v>
      </c>
      <c r="H722" s="171">
        <v>5</v>
      </c>
      <c r="I722" s="171">
        <v>7</v>
      </c>
      <c r="J722" s="171">
        <v>0</v>
      </c>
      <c r="K722" s="171">
        <v>26</v>
      </c>
      <c r="L722" s="171">
        <v>4</v>
      </c>
      <c r="M722" s="171">
        <v>3</v>
      </c>
      <c r="N722" s="171">
        <v>11</v>
      </c>
      <c r="O722" s="171">
        <v>12</v>
      </c>
      <c r="P722" s="173">
        <v>0</v>
      </c>
    </row>
    <row r="723" spans="1:16">
      <c r="A723" s="172" t="s">
        <v>449</v>
      </c>
      <c r="B723" s="172" t="s">
        <v>467</v>
      </c>
      <c r="C723" s="172">
        <v>85</v>
      </c>
      <c r="D723" s="172">
        <v>15</v>
      </c>
      <c r="E723" s="172">
        <v>3</v>
      </c>
      <c r="F723" s="172">
        <v>7</v>
      </c>
      <c r="G723" s="172">
        <v>7</v>
      </c>
      <c r="H723" s="172">
        <v>12</v>
      </c>
      <c r="I723" s="172">
        <v>13</v>
      </c>
      <c r="J723" s="172">
        <v>4</v>
      </c>
      <c r="K723" s="172">
        <v>46</v>
      </c>
      <c r="L723" s="172">
        <v>10</v>
      </c>
      <c r="M723" s="172">
        <v>17</v>
      </c>
      <c r="N723" s="172">
        <v>28</v>
      </c>
      <c r="O723" s="172">
        <v>10</v>
      </c>
      <c r="P723" s="174">
        <v>0</v>
      </c>
    </row>
    <row r="724" spans="1:16">
      <c r="A724" s="171" t="s">
        <v>449</v>
      </c>
      <c r="B724" s="171" t="s">
        <v>467</v>
      </c>
      <c r="C724" s="171">
        <v>90</v>
      </c>
      <c r="D724" s="171">
        <v>30</v>
      </c>
      <c r="E724" s="171">
        <v>1</v>
      </c>
      <c r="F724" s="171">
        <v>6</v>
      </c>
      <c r="G724" s="171">
        <v>12</v>
      </c>
      <c r="H724" s="171">
        <v>14</v>
      </c>
      <c r="I724" s="171">
        <v>16</v>
      </c>
      <c r="J724" s="171">
        <v>0</v>
      </c>
      <c r="K724" s="171">
        <v>49</v>
      </c>
      <c r="L724" s="171">
        <v>17</v>
      </c>
      <c r="M724" s="171">
        <v>14</v>
      </c>
      <c r="N724" s="171">
        <v>10</v>
      </c>
      <c r="O724" s="171">
        <v>21</v>
      </c>
      <c r="P724" s="173">
        <v>3</v>
      </c>
    </row>
    <row r="725" spans="1:16">
      <c r="A725" s="172" t="s">
        <v>449</v>
      </c>
      <c r="B725" s="172" t="s">
        <v>467</v>
      </c>
      <c r="C725" s="172">
        <v>50</v>
      </c>
      <c r="D725" s="172">
        <v>15</v>
      </c>
      <c r="E725" s="172">
        <v>1</v>
      </c>
      <c r="F725" s="172">
        <v>8</v>
      </c>
      <c r="G725" s="172">
        <v>14</v>
      </c>
      <c r="H725" s="172">
        <v>1</v>
      </c>
      <c r="I725" s="172">
        <v>11</v>
      </c>
      <c r="J725" s="172">
        <v>0</v>
      </c>
      <c r="K725" s="172">
        <v>35</v>
      </c>
      <c r="L725" s="172">
        <v>32</v>
      </c>
      <c r="M725" s="172">
        <v>9</v>
      </c>
      <c r="N725" s="172">
        <v>1</v>
      </c>
      <c r="O725" s="172">
        <v>2</v>
      </c>
      <c r="P725" s="174">
        <v>0</v>
      </c>
    </row>
    <row r="726" spans="1:16">
      <c r="A726" s="171" t="s">
        <v>449</v>
      </c>
      <c r="B726" s="171" t="s">
        <v>467</v>
      </c>
      <c r="C726" s="171">
        <v>40</v>
      </c>
      <c r="D726" s="171">
        <v>0</v>
      </c>
      <c r="E726" s="171">
        <v>0</v>
      </c>
      <c r="F726" s="171">
        <v>0</v>
      </c>
      <c r="G726" s="171">
        <v>11</v>
      </c>
      <c r="H726" s="171">
        <v>18</v>
      </c>
      <c r="I726" s="171">
        <v>14</v>
      </c>
      <c r="J726" s="171">
        <v>0</v>
      </c>
      <c r="K726" s="171">
        <v>43</v>
      </c>
      <c r="L726" s="171">
        <v>1</v>
      </c>
      <c r="M726" s="171">
        <v>0</v>
      </c>
      <c r="N726" s="171">
        <v>2</v>
      </c>
      <c r="O726" s="171">
        <v>41</v>
      </c>
      <c r="P726" s="173">
        <v>0</v>
      </c>
    </row>
    <row r="727" spans="1:16">
      <c r="A727" s="172" t="s">
        <v>449</v>
      </c>
      <c r="B727" s="172" t="s">
        <v>467</v>
      </c>
      <c r="C727" s="172">
        <v>30</v>
      </c>
      <c r="D727" s="172">
        <v>20</v>
      </c>
      <c r="E727" s="172">
        <v>4</v>
      </c>
      <c r="F727" s="172">
        <v>14</v>
      </c>
      <c r="G727" s="172">
        <v>14</v>
      </c>
      <c r="H727" s="172">
        <v>3</v>
      </c>
      <c r="I727" s="172">
        <v>0</v>
      </c>
      <c r="J727" s="172">
        <v>0</v>
      </c>
      <c r="K727" s="172">
        <v>35</v>
      </c>
      <c r="L727" s="172">
        <v>26</v>
      </c>
      <c r="M727" s="172">
        <v>14</v>
      </c>
      <c r="N727" s="172">
        <v>5</v>
      </c>
      <c r="O727" s="172">
        <v>4</v>
      </c>
      <c r="P727" s="174">
        <v>1</v>
      </c>
    </row>
    <row r="728" spans="1:16">
      <c r="A728" s="171" t="s">
        <v>449</v>
      </c>
      <c r="B728" s="171" t="s">
        <v>467</v>
      </c>
      <c r="C728" s="171">
        <v>105</v>
      </c>
      <c r="D728" s="171">
        <v>25</v>
      </c>
      <c r="E728" s="171">
        <v>2</v>
      </c>
      <c r="F728" s="171">
        <v>13</v>
      </c>
      <c r="G728" s="171">
        <v>31</v>
      </c>
      <c r="H728" s="171">
        <v>25</v>
      </c>
      <c r="I728" s="171">
        <v>38</v>
      </c>
      <c r="J728" s="171">
        <v>1</v>
      </c>
      <c r="K728" s="171">
        <v>110</v>
      </c>
      <c r="L728" s="171">
        <v>19</v>
      </c>
      <c r="M728" s="171">
        <v>7</v>
      </c>
      <c r="N728" s="171">
        <v>6</v>
      </c>
      <c r="O728" s="171">
        <v>85</v>
      </c>
      <c r="P728" s="173">
        <v>7</v>
      </c>
    </row>
    <row r="729" spans="1:16">
      <c r="A729" s="172" t="s">
        <v>449</v>
      </c>
      <c r="B729" s="172" t="s">
        <v>467</v>
      </c>
      <c r="C729" s="172">
        <v>75</v>
      </c>
      <c r="D729" s="172">
        <v>25</v>
      </c>
      <c r="E729" s="172">
        <v>3</v>
      </c>
      <c r="F729" s="172">
        <v>10</v>
      </c>
      <c r="G729" s="172">
        <v>24</v>
      </c>
      <c r="H729" s="172">
        <v>22</v>
      </c>
      <c r="I729" s="172">
        <v>25</v>
      </c>
      <c r="J729" s="172">
        <v>0</v>
      </c>
      <c r="K729" s="172">
        <v>84</v>
      </c>
      <c r="L729" s="172">
        <v>78</v>
      </c>
      <c r="M729" s="172">
        <v>17</v>
      </c>
      <c r="N729" s="172">
        <v>5</v>
      </c>
      <c r="O729" s="172">
        <v>10</v>
      </c>
      <c r="P729" s="174">
        <v>0</v>
      </c>
    </row>
    <row r="730" spans="1:16">
      <c r="A730" s="171" t="s">
        <v>449</v>
      </c>
      <c r="B730" s="171" t="s">
        <v>467</v>
      </c>
      <c r="C730" s="171">
        <v>50</v>
      </c>
      <c r="D730" s="171">
        <v>20</v>
      </c>
      <c r="E730" s="171">
        <v>1</v>
      </c>
      <c r="F730" s="171">
        <v>4</v>
      </c>
      <c r="G730" s="171">
        <v>9</v>
      </c>
      <c r="H730" s="171">
        <v>11</v>
      </c>
      <c r="I730" s="171">
        <v>20</v>
      </c>
      <c r="J730" s="171">
        <v>0</v>
      </c>
      <c r="K730" s="171">
        <v>45</v>
      </c>
      <c r="L730" s="171">
        <v>0</v>
      </c>
      <c r="M730" s="171">
        <v>3</v>
      </c>
      <c r="N730" s="171">
        <v>5</v>
      </c>
      <c r="O730" s="171">
        <v>40</v>
      </c>
      <c r="P730" s="173">
        <v>1</v>
      </c>
    </row>
    <row r="731" spans="1:16">
      <c r="A731" s="172" t="s">
        <v>449</v>
      </c>
      <c r="B731" s="172" t="s">
        <v>467</v>
      </c>
      <c r="C731" s="172">
        <v>60</v>
      </c>
      <c r="D731" s="172">
        <v>25</v>
      </c>
      <c r="E731" s="172">
        <v>4</v>
      </c>
      <c r="F731" s="172">
        <v>13</v>
      </c>
      <c r="G731" s="172">
        <v>16</v>
      </c>
      <c r="H731" s="172">
        <v>13</v>
      </c>
      <c r="I731" s="172">
        <v>11</v>
      </c>
      <c r="J731" s="172">
        <v>1</v>
      </c>
      <c r="K731" s="172">
        <v>58</v>
      </c>
      <c r="L731" s="172">
        <v>18</v>
      </c>
      <c r="M731" s="172">
        <v>1</v>
      </c>
      <c r="N731" s="172">
        <v>2</v>
      </c>
      <c r="O731" s="172">
        <v>39</v>
      </c>
      <c r="P731" s="174">
        <v>9</v>
      </c>
    </row>
    <row r="732" spans="1:16">
      <c r="A732" s="171" t="s">
        <v>449</v>
      </c>
      <c r="B732" s="171" t="s">
        <v>467</v>
      </c>
      <c r="C732" s="171">
        <v>70</v>
      </c>
      <c r="D732" s="171">
        <v>20</v>
      </c>
      <c r="E732" s="171">
        <v>3</v>
      </c>
      <c r="F732" s="171">
        <v>14</v>
      </c>
      <c r="G732" s="171">
        <v>12</v>
      </c>
      <c r="H732" s="171">
        <v>15</v>
      </c>
      <c r="I732" s="171">
        <v>19</v>
      </c>
      <c r="J732" s="171">
        <v>1</v>
      </c>
      <c r="K732" s="171">
        <v>64</v>
      </c>
      <c r="L732" s="171">
        <v>15</v>
      </c>
      <c r="M732" s="171">
        <v>15</v>
      </c>
      <c r="N732" s="171">
        <v>44</v>
      </c>
      <c r="O732" s="171">
        <v>17</v>
      </c>
      <c r="P732" s="173">
        <v>5</v>
      </c>
    </row>
    <row r="733" spans="1:16">
      <c r="A733" s="172" t="s">
        <v>449</v>
      </c>
      <c r="B733" s="172" t="s">
        <v>467</v>
      </c>
      <c r="C733" s="172">
        <v>40</v>
      </c>
      <c r="D733" s="172">
        <v>15</v>
      </c>
      <c r="E733" s="172">
        <v>0</v>
      </c>
      <c r="F733" s="172">
        <v>10</v>
      </c>
      <c r="G733" s="172">
        <v>9</v>
      </c>
      <c r="H733" s="172">
        <v>7</v>
      </c>
      <c r="I733" s="172">
        <v>11</v>
      </c>
      <c r="J733" s="172">
        <v>1</v>
      </c>
      <c r="K733" s="172">
        <v>38</v>
      </c>
      <c r="L733" s="172">
        <v>16</v>
      </c>
      <c r="M733" s="172">
        <v>21</v>
      </c>
      <c r="N733" s="172">
        <v>5</v>
      </c>
      <c r="O733" s="172">
        <v>6</v>
      </c>
      <c r="P733" s="174">
        <v>1</v>
      </c>
    </row>
    <row r="734" spans="1:16">
      <c r="A734" s="171" t="s">
        <v>449</v>
      </c>
      <c r="B734" s="171" t="s">
        <v>467</v>
      </c>
      <c r="C734" s="171">
        <v>50</v>
      </c>
      <c r="D734" s="171">
        <v>15</v>
      </c>
      <c r="E734" s="171">
        <v>1</v>
      </c>
      <c r="F734" s="171">
        <v>7</v>
      </c>
      <c r="G734" s="171">
        <v>6</v>
      </c>
      <c r="H734" s="171">
        <v>15</v>
      </c>
      <c r="I734" s="171">
        <v>11</v>
      </c>
      <c r="J734" s="171">
        <v>2</v>
      </c>
      <c r="K734" s="171">
        <v>42</v>
      </c>
      <c r="L734" s="171">
        <v>2</v>
      </c>
      <c r="M734" s="171">
        <v>11</v>
      </c>
      <c r="N734" s="171">
        <v>12</v>
      </c>
      <c r="O734" s="171">
        <v>26</v>
      </c>
      <c r="P734" s="173">
        <v>0</v>
      </c>
    </row>
    <row r="735" spans="1:16">
      <c r="A735" s="172" t="s">
        <v>449</v>
      </c>
      <c r="B735" s="172" t="s">
        <v>467</v>
      </c>
      <c r="C735" s="172">
        <v>70</v>
      </c>
      <c r="D735" s="172">
        <v>20</v>
      </c>
      <c r="E735" s="172">
        <v>3</v>
      </c>
      <c r="F735" s="172">
        <v>15</v>
      </c>
      <c r="G735" s="172">
        <v>17</v>
      </c>
      <c r="H735" s="172">
        <v>18</v>
      </c>
      <c r="I735" s="172">
        <v>13</v>
      </c>
      <c r="J735" s="172">
        <v>0</v>
      </c>
      <c r="K735" s="172">
        <v>66</v>
      </c>
      <c r="L735" s="172">
        <v>35</v>
      </c>
      <c r="M735" s="172">
        <v>12</v>
      </c>
      <c r="N735" s="172">
        <v>14</v>
      </c>
      <c r="O735" s="172">
        <v>21</v>
      </c>
      <c r="P735" s="174">
        <v>4</v>
      </c>
    </row>
    <row r="736" spans="1:16">
      <c r="A736" s="171" t="s">
        <v>449</v>
      </c>
      <c r="B736" s="171" t="s">
        <v>467</v>
      </c>
      <c r="C736" s="171">
        <v>150</v>
      </c>
      <c r="D736" s="171">
        <v>75</v>
      </c>
      <c r="E736" s="171">
        <v>10</v>
      </c>
      <c r="F736" s="171">
        <v>35</v>
      </c>
      <c r="G736" s="171">
        <v>22</v>
      </c>
      <c r="H736" s="171">
        <v>21</v>
      </c>
      <c r="I736" s="171">
        <v>21</v>
      </c>
      <c r="J736" s="171">
        <v>1</v>
      </c>
      <c r="K736" s="171">
        <v>110</v>
      </c>
      <c r="L736" s="171">
        <v>52</v>
      </c>
      <c r="M736" s="171">
        <v>13</v>
      </c>
      <c r="N736" s="171">
        <v>21</v>
      </c>
      <c r="O736" s="171">
        <v>56</v>
      </c>
      <c r="P736" s="173">
        <v>11</v>
      </c>
    </row>
    <row r="737" spans="1:16">
      <c r="A737" s="172" t="s">
        <v>449</v>
      </c>
      <c r="B737" s="172" t="s">
        <v>467</v>
      </c>
      <c r="C737" s="172">
        <v>38</v>
      </c>
      <c r="D737" s="172">
        <v>12</v>
      </c>
      <c r="E737" s="172">
        <v>3</v>
      </c>
      <c r="F737" s="172">
        <v>10</v>
      </c>
      <c r="G737" s="172">
        <v>9</v>
      </c>
      <c r="H737" s="172">
        <v>10</v>
      </c>
      <c r="I737" s="172">
        <v>10</v>
      </c>
      <c r="J737" s="172">
        <v>2</v>
      </c>
      <c r="K737" s="172">
        <v>44</v>
      </c>
      <c r="L737" s="172">
        <v>29</v>
      </c>
      <c r="M737" s="172">
        <v>5</v>
      </c>
      <c r="N737" s="172">
        <v>2</v>
      </c>
      <c r="O737" s="172">
        <v>18</v>
      </c>
      <c r="P737" s="174">
        <v>4</v>
      </c>
    </row>
    <row r="738" spans="1:16" hidden="1">
      <c r="A738" s="171" t="s">
        <v>469</v>
      </c>
      <c r="B738" s="171" t="s">
        <v>467</v>
      </c>
      <c r="C738" s="171">
        <v>38</v>
      </c>
      <c r="D738" s="171">
        <v>6</v>
      </c>
      <c r="E738" s="171">
        <v>2</v>
      </c>
      <c r="F738" s="171">
        <v>4</v>
      </c>
      <c r="G738" s="171">
        <v>5</v>
      </c>
      <c r="H738" s="171">
        <v>11</v>
      </c>
      <c r="I738" s="171">
        <v>13</v>
      </c>
      <c r="J738" s="171">
        <v>0</v>
      </c>
      <c r="K738" s="171">
        <v>35</v>
      </c>
      <c r="L738" s="171">
        <v>2</v>
      </c>
      <c r="M738" s="171">
        <v>1</v>
      </c>
      <c r="N738" s="171">
        <v>25</v>
      </c>
      <c r="O738" s="171">
        <v>7</v>
      </c>
      <c r="P738" s="173">
        <v>4</v>
      </c>
    </row>
    <row r="739" spans="1:16" hidden="1">
      <c r="A739" s="172" t="s">
        <v>448</v>
      </c>
      <c r="B739" s="172" t="s">
        <v>467</v>
      </c>
      <c r="C739" s="172">
        <v>41</v>
      </c>
      <c r="D739" s="172">
        <v>20</v>
      </c>
      <c r="E739" s="172"/>
      <c r="F739" s="172"/>
      <c r="G739" s="172"/>
      <c r="H739" s="172"/>
      <c r="I739" s="172"/>
      <c r="J739" s="172"/>
      <c r="K739" s="172"/>
      <c r="L739" s="172"/>
      <c r="M739" s="172"/>
      <c r="N739" s="172"/>
      <c r="O739" s="172"/>
      <c r="P739" s="174"/>
    </row>
    <row r="740" spans="1:16">
      <c r="A740" s="171" t="s">
        <v>449</v>
      </c>
      <c r="B740" s="171" t="s">
        <v>467</v>
      </c>
      <c r="C740" s="171">
        <v>120</v>
      </c>
      <c r="D740" s="171">
        <v>35</v>
      </c>
      <c r="E740" s="171">
        <v>0</v>
      </c>
      <c r="F740" s="171">
        <v>17</v>
      </c>
      <c r="G740" s="171">
        <v>22</v>
      </c>
      <c r="H740" s="171">
        <v>25</v>
      </c>
      <c r="I740" s="171">
        <v>26</v>
      </c>
      <c r="J740" s="171">
        <v>0</v>
      </c>
      <c r="K740" s="171">
        <v>90</v>
      </c>
      <c r="L740" s="171">
        <v>26</v>
      </c>
      <c r="M740" s="171">
        <v>7</v>
      </c>
      <c r="N740" s="171">
        <v>16</v>
      </c>
      <c r="O740" s="171">
        <v>54</v>
      </c>
      <c r="P740" s="173">
        <v>7</v>
      </c>
    </row>
    <row r="741" spans="1:16">
      <c r="A741" s="172" t="s">
        <v>449</v>
      </c>
      <c r="B741" s="172" t="s">
        <v>467</v>
      </c>
      <c r="C741" s="172">
        <v>40</v>
      </c>
      <c r="D741" s="172">
        <v>10</v>
      </c>
      <c r="E741" s="172">
        <v>1</v>
      </c>
      <c r="F741" s="172">
        <v>6</v>
      </c>
      <c r="G741" s="172">
        <v>5</v>
      </c>
      <c r="H741" s="172">
        <v>4</v>
      </c>
      <c r="I741" s="172">
        <v>4</v>
      </c>
      <c r="J741" s="172">
        <v>0</v>
      </c>
      <c r="K741" s="172">
        <v>20</v>
      </c>
      <c r="L741" s="172">
        <v>16</v>
      </c>
      <c r="M741" s="172">
        <v>3</v>
      </c>
      <c r="N741" s="172">
        <v>2</v>
      </c>
      <c r="O741" s="172">
        <v>3</v>
      </c>
      <c r="P741" s="174">
        <v>0</v>
      </c>
    </row>
    <row r="742" spans="1:16">
      <c r="A742" s="169" t="s">
        <v>449</v>
      </c>
      <c r="B742" s="171" t="s">
        <v>467</v>
      </c>
      <c r="C742" s="171">
        <v>128</v>
      </c>
      <c r="D742" s="171">
        <v>30</v>
      </c>
      <c r="E742" s="171">
        <v>2</v>
      </c>
      <c r="F742" s="171">
        <v>19</v>
      </c>
      <c r="G742" s="171">
        <v>19</v>
      </c>
      <c r="H742" s="171">
        <v>20</v>
      </c>
      <c r="I742" s="171">
        <v>20</v>
      </c>
      <c r="J742" s="171">
        <v>3</v>
      </c>
      <c r="K742" s="171">
        <v>83</v>
      </c>
      <c r="L742" s="171">
        <v>34</v>
      </c>
      <c r="M742" s="171">
        <v>2</v>
      </c>
      <c r="N742" s="171">
        <v>0</v>
      </c>
      <c r="O742" s="171">
        <v>54</v>
      </c>
      <c r="P742" s="173">
        <v>5</v>
      </c>
    </row>
    <row r="743" spans="1:16">
      <c r="A743" s="170" t="s">
        <v>449</v>
      </c>
      <c r="B743" s="172" t="s">
        <v>467</v>
      </c>
      <c r="C743" s="172">
        <v>32</v>
      </c>
      <c r="D743" s="172">
        <v>15</v>
      </c>
      <c r="E743" s="172">
        <v>1</v>
      </c>
      <c r="F743" s="172">
        <v>3</v>
      </c>
      <c r="G743" s="172">
        <v>3</v>
      </c>
      <c r="H743" s="172">
        <v>11</v>
      </c>
      <c r="I743" s="172">
        <v>5</v>
      </c>
      <c r="J743" s="172">
        <v>2</v>
      </c>
      <c r="K743" s="172">
        <v>25</v>
      </c>
      <c r="L743" s="172">
        <v>11</v>
      </c>
      <c r="M743" s="172">
        <v>3</v>
      </c>
      <c r="N743" s="172">
        <v>3</v>
      </c>
      <c r="O743" s="172">
        <v>14</v>
      </c>
      <c r="P743" s="174">
        <v>3</v>
      </c>
    </row>
    <row r="744" spans="1:16" hidden="1">
      <c r="A744" s="171" t="s">
        <v>450</v>
      </c>
      <c r="B744" s="171" t="s">
        <v>467</v>
      </c>
      <c r="C744" s="171">
        <v>50</v>
      </c>
      <c r="D744" s="171">
        <v>50</v>
      </c>
      <c r="E744" s="171">
        <v>9</v>
      </c>
      <c r="F744" s="171">
        <v>13</v>
      </c>
      <c r="G744" s="171">
        <v>9</v>
      </c>
      <c r="H744" s="171">
        <v>12</v>
      </c>
      <c r="I744" s="171">
        <v>10</v>
      </c>
      <c r="J744" s="171">
        <v>0</v>
      </c>
      <c r="K744" s="171">
        <v>53</v>
      </c>
      <c r="L744" s="171">
        <v>4</v>
      </c>
      <c r="M744" s="171">
        <v>0</v>
      </c>
      <c r="N744" s="171">
        <v>0</v>
      </c>
      <c r="O744" s="171">
        <v>52</v>
      </c>
      <c r="P744" s="173">
        <v>0</v>
      </c>
    </row>
    <row r="745" spans="1:16">
      <c r="A745" s="172" t="s">
        <v>449</v>
      </c>
      <c r="B745" s="172" t="s">
        <v>467</v>
      </c>
      <c r="C745" s="172">
        <v>125</v>
      </c>
      <c r="D745" s="172">
        <v>35</v>
      </c>
      <c r="E745" s="172">
        <v>5</v>
      </c>
      <c r="F745" s="172">
        <v>21</v>
      </c>
      <c r="G745" s="172">
        <v>22</v>
      </c>
      <c r="H745" s="172">
        <v>18</v>
      </c>
      <c r="I745" s="172">
        <v>25</v>
      </c>
      <c r="J745" s="172">
        <v>0</v>
      </c>
      <c r="K745" s="172">
        <v>91</v>
      </c>
      <c r="L745" s="172">
        <v>48</v>
      </c>
      <c r="M745" s="172">
        <v>19</v>
      </c>
      <c r="N745" s="172">
        <v>24</v>
      </c>
      <c r="O745" s="172">
        <v>29</v>
      </c>
      <c r="P745" s="174">
        <v>7</v>
      </c>
    </row>
    <row r="746" spans="1:16">
      <c r="A746" s="171" t="s">
        <v>449</v>
      </c>
      <c r="B746" s="171" t="s">
        <v>467</v>
      </c>
      <c r="C746" s="171">
        <v>150</v>
      </c>
      <c r="D746" s="171">
        <v>20</v>
      </c>
      <c r="E746" s="171">
        <v>3</v>
      </c>
      <c r="F746" s="171">
        <v>17</v>
      </c>
      <c r="G746" s="171">
        <v>27</v>
      </c>
      <c r="H746" s="171">
        <v>36</v>
      </c>
      <c r="I746" s="171">
        <v>41</v>
      </c>
      <c r="J746" s="171">
        <v>3</v>
      </c>
      <c r="K746" s="171">
        <v>127</v>
      </c>
      <c r="L746" s="171">
        <v>30</v>
      </c>
      <c r="M746" s="171">
        <v>38</v>
      </c>
      <c r="N746" s="171">
        <v>25</v>
      </c>
      <c r="O746" s="171">
        <v>52</v>
      </c>
      <c r="P746" s="173">
        <v>20</v>
      </c>
    </row>
    <row r="747" spans="1:16">
      <c r="A747" s="172" t="s">
        <v>449</v>
      </c>
      <c r="B747" s="172" t="s">
        <v>467</v>
      </c>
      <c r="C747" s="172">
        <v>50</v>
      </c>
      <c r="D747" s="172">
        <v>10</v>
      </c>
      <c r="E747" s="172">
        <v>1</v>
      </c>
      <c r="F747" s="172">
        <v>4</v>
      </c>
      <c r="G747" s="172">
        <v>6</v>
      </c>
      <c r="H747" s="172">
        <v>13</v>
      </c>
      <c r="I747" s="172">
        <v>10</v>
      </c>
      <c r="J747" s="172">
        <v>3</v>
      </c>
      <c r="K747" s="172">
        <v>37</v>
      </c>
      <c r="L747" s="172">
        <v>11</v>
      </c>
      <c r="M747" s="172">
        <v>4</v>
      </c>
      <c r="N747" s="172">
        <v>3</v>
      </c>
      <c r="O747" s="172">
        <v>23</v>
      </c>
      <c r="P747" s="174">
        <v>2</v>
      </c>
    </row>
    <row r="748" spans="1:16">
      <c r="A748" s="171" t="s">
        <v>449</v>
      </c>
      <c r="B748" s="171" t="s">
        <v>467</v>
      </c>
      <c r="C748" s="171">
        <v>62</v>
      </c>
      <c r="D748" s="171">
        <v>25</v>
      </c>
      <c r="E748" s="171">
        <v>2</v>
      </c>
      <c r="F748" s="171">
        <v>19</v>
      </c>
      <c r="G748" s="171">
        <v>16</v>
      </c>
      <c r="H748" s="171">
        <v>14</v>
      </c>
      <c r="I748" s="171">
        <v>14</v>
      </c>
      <c r="J748" s="171">
        <v>1</v>
      </c>
      <c r="K748" s="171">
        <v>66</v>
      </c>
      <c r="L748" s="171">
        <v>63</v>
      </c>
      <c r="M748" s="171">
        <v>0</v>
      </c>
      <c r="N748" s="171">
        <v>2</v>
      </c>
      <c r="O748" s="171">
        <v>13</v>
      </c>
      <c r="P748" s="173">
        <v>2</v>
      </c>
    </row>
    <row r="749" spans="1:16">
      <c r="A749" s="172" t="s">
        <v>449</v>
      </c>
      <c r="B749" s="172" t="s">
        <v>467</v>
      </c>
      <c r="C749" s="172">
        <v>100</v>
      </c>
      <c r="D749" s="172">
        <v>35</v>
      </c>
      <c r="E749" s="172">
        <v>2</v>
      </c>
      <c r="F749" s="172">
        <v>15</v>
      </c>
      <c r="G749" s="172">
        <v>20</v>
      </c>
      <c r="H749" s="172">
        <v>16</v>
      </c>
      <c r="I749" s="172">
        <v>19</v>
      </c>
      <c r="J749" s="172">
        <v>0</v>
      </c>
      <c r="K749" s="172">
        <v>72</v>
      </c>
      <c r="L749" s="172">
        <v>40</v>
      </c>
      <c r="M749" s="172">
        <v>6</v>
      </c>
      <c r="N749" s="172">
        <v>2</v>
      </c>
      <c r="O749" s="172">
        <v>36</v>
      </c>
      <c r="P749" s="174">
        <v>1</v>
      </c>
    </row>
    <row r="750" spans="1:16">
      <c r="A750" s="171" t="s">
        <v>449</v>
      </c>
      <c r="B750" s="171" t="s">
        <v>467</v>
      </c>
      <c r="C750" s="171">
        <v>30</v>
      </c>
      <c r="D750" s="171">
        <v>0</v>
      </c>
      <c r="E750" s="171">
        <v>0</v>
      </c>
      <c r="F750" s="171">
        <v>0</v>
      </c>
      <c r="G750" s="171">
        <v>8</v>
      </c>
      <c r="H750" s="171">
        <v>11</v>
      </c>
      <c r="I750" s="171">
        <v>13</v>
      </c>
      <c r="J750" s="171">
        <v>0</v>
      </c>
      <c r="K750" s="171">
        <v>32</v>
      </c>
      <c r="L750" s="171">
        <v>27</v>
      </c>
      <c r="M750" s="171">
        <v>4</v>
      </c>
      <c r="N750" s="171">
        <v>4</v>
      </c>
      <c r="O750" s="171">
        <v>5</v>
      </c>
      <c r="P750" s="173">
        <v>1</v>
      </c>
    </row>
    <row r="751" spans="1:16">
      <c r="A751" s="172" t="s">
        <v>449</v>
      </c>
      <c r="B751" s="172" t="s">
        <v>467</v>
      </c>
      <c r="C751" s="172">
        <v>50</v>
      </c>
      <c r="D751" s="172">
        <v>12</v>
      </c>
      <c r="E751" s="172">
        <v>0</v>
      </c>
      <c r="F751" s="172">
        <v>10</v>
      </c>
      <c r="G751" s="172">
        <v>8</v>
      </c>
      <c r="H751" s="172">
        <v>16</v>
      </c>
      <c r="I751" s="172">
        <v>9</v>
      </c>
      <c r="J751" s="172">
        <v>0</v>
      </c>
      <c r="K751" s="172">
        <v>43</v>
      </c>
      <c r="L751" s="172">
        <v>12</v>
      </c>
      <c r="M751" s="172">
        <v>9</v>
      </c>
      <c r="N751" s="172">
        <v>18</v>
      </c>
      <c r="O751" s="172">
        <v>16</v>
      </c>
      <c r="P751" s="174">
        <v>0</v>
      </c>
    </row>
    <row r="752" spans="1:16">
      <c r="A752" s="171" t="s">
        <v>449</v>
      </c>
      <c r="B752" s="171" t="s">
        <v>467</v>
      </c>
      <c r="C752" s="171">
        <v>50</v>
      </c>
      <c r="D752" s="171">
        <v>0</v>
      </c>
      <c r="E752" s="171">
        <v>0</v>
      </c>
      <c r="F752" s="171">
        <v>0</v>
      </c>
      <c r="G752" s="171">
        <v>10</v>
      </c>
      <c r="H752" s="171">
        <v>21</v>
      </c>
      <c r="I752" s="171">
        <v>20</v>
      </c>
      <c r="J752" s="171">
        <v>1</v>
      </c>
      <c r="K752" s="171">
        <v>52</v>
      </c>
      <c r="L752" s="171">
        <v>4</v>
      </c>
      <c r="M752" s="171">
        <v>8</v>
      </c>
      <c r="N752" s="171">
        <v>10</v>
      </c>
      <c r="O752" s="171">
        <v>33</v>
      </c>
      <c r="P752" s="173">
        <v>2</v>
      </c>
    </row>
    <row r="753" spans="1:16" hidden="1">
      <c r="A753" s="172" t="s">
        <v>347</v>
      </c>
      <c r="B753" s="172" t="s">
        <v>467</v>
      </c>
      <c r="C753" s="172">
        <v>30</v>
      </c>
      <c r="D753" s="172">
        <v>10</v>
      </c>
      <c r="E753" s="172">
        <v>0</v>
      </c>
      <c r="F753" s="172">
        <v>2</v>
      </c>
      <c r="G753" s="172">
        <v>4</v>
      </c>
      <c r="H753" s="172">
        <v>6</v>
      </c>
      <c r="I753" s="172">
        <v>4</v>
      </c>
      <c r="J753" s="172">
        <v>0</v>
      </c>
      <c r="K753" s="172">
        <v>16</v>
      </c>
      <c r="L753" s="172">
        <v>0</v>
      </c>
      <c r="M753" s="172">
        <v>14</v>
      </c>
      <c r="N753" s="172">
        <v>0</v>
      </c>
      <c r="O753" s="172">
        <v>0</v>
      </c>
      <c r="P753" s="174">
        <v>2</v>
      </c>
    </row>
    <row r="754" spans="1:16">
      <c r="A754" s="171" t="s">
        <v>449</v>
      </c>
      <c r="B754" s="171" t="s">
        <v>467</v>
      </c>
      <c r="C754" s="171">
        <v>38</v>
      </c>
      <c r="D754" s="171">
        <v>0</v>
      </c>
      <c r="E754" s="171">
        <v>0</v>
      </c>
      <c r="F754" s="171">
        <v>0</v>
      </c>
      <c r="G754" s="171">
        <v>3</v>
      </c>
      <c r="H754" s="171">
        <v>9</v>
      </c>
      <c r="I754" s="171">
        <v>12</v>
      </c>
      <c r="J754" s="171">
        <v>0</v>
      </c>
      <c r="K754" s="171">
        <v>24</v>
      </c>
      <c r="L754" s="171">
        <v>1</v>
      </c>
      <c r="M754" s="171">
        <v>1</v>
      </c>
      <c r="N754" s="171">
        <v>0</v>
      </c>
      <c r="O754" s="171">
        <v>24</v>
      </c>
      <c r="P754" s="173">
        <v>0</v>
      </c>
    </row>
    <row r="755" spans="1:16">
      <c r="A755" s="172" t="s">
        <v>449</v>
      </c>
      <c r="B755" s="172" t="s">
        <v>467</v>
      </c>
      <c r="C755" s="172">
        <v>40</v>
      </c>
      <c r="D755" s="172">
        <v>0</v>
      </c>
      <c r="E755" s="172">
        <v>0</v>
      </c>
      <c r="F755" s="172">
        <v>0</v>
      </c>
      <c r="G755" s="172">
        <v>1</v>
      </c>
      <c r="H755" s="172">
        <v>11</v>
      </c>
      <c r="I755" s="172">
        <v>16</v>
      </c>
      <c r="J755" s="172">
        <v>0</v>
      </c>
      <c r="K755" s="172">
        <v>28</v>
      </c>
      <c r="L755" s="172">
        <v>2</v>
      </c>
      <c r="M755" s="172">
        <v>6</v>
      </c>
      <c r="N755" s="172">
        <v>14</v>
      </c>
      <c r="O755" s="172">
        <v>14</v>
      </c>
      <c r="P755" s="174">
        <v>2</v>
      </c>
    </row>
    <row r="756" spans="1:16">
      <c r="A756" s="171" t="s">
        <v>449</v>
      </c>
      <c r="B756" s="171" t="s">
        <v>467</v>
      </c>
      <c r="C756" s="171">
        <v>135</v>
      </c>
      <c r="D756" s="171">
        <v>25</v>
      </c>
      <c r="E756" s="171">
        <v>4</v>
      </c>
      <c r="F756" s="171">
        <v>12</v>
      </c>
      <c r="G756" s="171">
        <v>13</v>
      </c>
      <c r="H756" s="171">
        <v>19</v>
      </c>
      <c r="I756" s="171">
        <v>18</v>
      </c>
      <c r="J756" s="171">
        <v>1</v>
      </c>
      <c r="K756" s="171">
        <v>67</v>
      </c>
      <c r="L756" s="171">
        <v>7</v>
      </c>
      <c r="M756" s="171">
        <v>1</v>
      </c>
      <c r="N756" s="171">
        <v>11</v>
      </c>
      <c r="O756" s="171">
        <v>52</v>
      </c>
      <c r="P756" s="173">
        <v>5</v>
      </c>
    </row>
    <row r="757" spans="1:16" hidden="1">
      <c r="A757" s="172" t="s">
        <v>468</v>
      </c>
      <c r="B757" s="172" t="s">
        <v>467</v>
      </c>
      <c r="C757" s="172">
        <v>65</v>
      </c>
      <c r="D757" s="172">
        <v>15</v>
      </c>
      <c r="E757" s="172">
        <v>0</v>
      </c>
      <c r="F757" s="172">
        <v>0</v>
      </c>
      <c r="G757" s="172">
        <v>7</v>
      </c>
      <c r="H757" s="172">
        <v>6</v>
      </c>
      <c r="I757" s="172">
        <v>3</v>
      </c>
      <c r="J757" s="172">
        <v>0</v>
      </c>
      <c r="K757" s="172">
        <v>16</v>
      </c>
      <c r="L757" s="172">
        <v>0</v>
      </c>
      <c r="M757" s="172">
        <v>0</v>
      </c>
      <c r="N757" s="172">
        <v>16</v>
      </c>
      <c r="O757" s="172">
        <v>0</v>
      </c>
      <c r="P757" s="174">
        <v>0</v>
      </c>
    </row>
    <row r="758" spans="1:16">
      <c r="A758" s="169" t="s">
        <v>449</v>
      </c>
      <c r="B758" s="171" t="s">
        <v>467</v>
      </c>
      <c r="C758" s="171">
        <v>30</v>
      </c>
      <c r="D758" s="171">
        <v>0</v>
      </c>
      <c r="E758" s="171">
        <v>0</v>
      </c>
      <c r="F758" s="171">
        <v>0</v>
      </c>
      <c r="G758" s="171">
        <v>8</v>
      </c>
      <c r="H758" s="171">
        <v>9</v>
      </c>
      <c r="I758" s="171">
        <v>12</v>
      </c>
      <c r="J758" s="171">
        <v>3</v>
      </c>
      <c r="K758" s="171">
        <v>32</v>
      </c>
      <c r="L758" s="171">
        <v>30</v>
      </c>
      <c r="M758" s="171">
        <v>4</v>
      </c>
      <c r="N758" s="171">
        <v>5</v>
      </c>
      <c r="O758" s="171">
        <v>4</v>
      </c>
      <c r="P758" s="173">
        <v>2</v>
      </c>
    </row>
    <row r="759" spans="1:16">
      <c r="A759" s="170" t="s">
        <v>449</v>
      </c>
      <c r="B759" s="172" t="s">
        <v>467</v>
      </c>
      <c r="C759" s="172">
        <v>63</v>
      </c>
      <c r="D759" s="172">
        <v>16</v>
      </c>
      <c r="E759" s="172">
        <v>3</v>
      </c>
      <c r="F759" s="172">
        <v>10</v>
      </c>
      <c r="G759" s="172">
        <v>19</v>
      </c>
      <c r="H759" s="172">
        <v>19</v>
      </c>
      <c r="I759" s="172">
        <v>17</v>
      </c>
      <c r="J759" s="172">
        <v>0</v>
      </c>
      <c r="K759" s="172">
        <v>68</v>
      </c>
      <c r="L759" s="172">
        <v>40</v>
      </c>
      <c r="M759" s="172">
        <v>17</v>
      </c>
      <c r="N759" s="172">
        <v>12</v>
      </c>
      <c r="O759" s="172">
        <v>23</v>
      </c>
      <c r="P759" s="174">
        <v>3</v>
      </c>
    </row>
    <row r="760" spans="1:16">
      <c r="A760" s="169" t="s">
        <v>449</v>
      </c>
      <c r="B760" s="171" t="s">
        <v>467</v>
      </c>
      <c r="C760" s="171">
        <v>120</v>
      </c>
      <c r="D760" s="171">
        <v>40</v>
      </c>
      <c r="E760" s="171">
        <v>7</v>
      </c>
      <c r="F760" s="171">
        <v>17</v>
      </c>
      <c r="G760" s="171">
        <v>28</v>
      </c>
      <c r="H760" s="171">
        <v>36</v>
      </c>
      <c r="I760" s="171">
        <v>26</v>
      </c>
      <c r="J760" s="171">
        <v>1</v>
      </c>
      <c r="K760" s="171">
        <v>115</v>
      </c>
      <c r="L760" s="171">
        <v>65</v>
      </c>
      <c r="M760" s="171">
        <v>4</v>
      </c>
      <c r="N760" s="171">
        <v>1</v>
      </c>
      <c r="O760" s="171">
        <v>60</v>
      </c>
      <c r="P760" s="173">
        <v>2</v>
      </c>
    </row>
    <row r="761" spans="1:16">
      <c r="A761" s="170" t="s">
        <v>449</v>
      </c>
      <c r="B761" s="172" t="s">
        <v>467</v>
      </c>
      <c r="C761" s="172">
        <v>46</v>
      </c>
      <c r="D761" s="172">
        <v>24</v>
      </c>
      <c r="E761" s="172">
        <v>0</v>
      </c>
      <c r="F761" s="172">
        <v>2</v>
      </c>
      <c r="G761" s="172">
        <v>5</v>
      </c>
      <c r="H761" s="172">
        <v>4</v>
      </c>
      <c r="I761" s="172">
        <v>9</v>
      </c>
      <c r="J761" s="172">
        <v>0</v>
      </c>
      <c r="K761" s="172">
        <v>20</v>
      </c>
      <c r="L761" s="172">
        <v>18</v>
      </c>
      <c r="M761" s="172">
        <v>4</v>
      </c>
      <c r="N761" s="172">
        <v>2</v>
      </c>
      <c r="O761" s="172">
        <v>4</v>
      </c>
      <c r="P761" s="174">
        <v>0</v>
      </c>
    </row>
    <row r="762" spans="1:16">
      <c r="A762" s="169" t="s">
        <v>449</v>
      </c>
      <c r="B762" s="171" t="s">
        <v>467</v>
      </c>
      <c r="C762" s="171">
        <v>75</v>
      </c>
      <c r="D762" s="171">
        <v>25</v>
      </c>
      <c r="E762" s="171">
        <v>2</v>
      </c>
      <c r="F762" s="171">
        <v>9</v>
      </c>
      <c r="G762" s="171">
        <v>16</v>
      </c>
      <c r="H762" s="171">
        <v>22</v>
      </c>
      <c r="I762" s="171">
        <v>16</v>
      </c>
      <c r="J762" s="171">
        <v>3</v>
      </c>
      <c r="K762" s="171">
        <v>68</v>
      </c>
      <c r="L762" s="171">
        <v>17</v>
      </c>
      <c r="M762" s="171">
        <v>20</v>
      </c>
      <c r="N762" s="171">
        <v>21</v>
      </c>
      <c r="O762" s="171">
        <v>32</v>
      </c>
      <c r="P762" s="173">
        <v>2</v>
      </c>
    </row>
    <row r="763" spans="1:16">
      <c r="A763" s="170" t="s">
        <v>449</v>
      </c>
      <c r="B763" s="172" t="s">
        <v>467</v>
      </c>
      <c r="C763" s="172">
        <v>100</v>
      </c>
      <c r="D763" s="172">
        <v>44</v>
      </c>
      <c r="E763" s="172">
        <v>5</v>
      </c>
      <c r="F763" s="172">
        <v>14</v>
      </c>
      <c r="G763" s="172">
        <v>23</v>
      </c>
      <c r="H763" s="172">
        <v>29</v>
      </c>
      <c r="I763" s="172">
        <v>28</v>
      </c>
      <c r="J763" s="172">
        <v>0</v>
      </c>
      <c r="K763" s="172">
        <v>99</v>
      </c>
      <c r="L763" s="172">
        <v>49</v>
      </c>
      <c r="M763" s="172">
        <v>3</v>
      </c>
      <c r="N763" s="172">
        <v>1</v>
      </c>
      <c r="O763" s="172">
        <v>59</v>
      </c>
      <c r="P763" s="174">
        <v>0</v>
      </c>
    </row>
    <row r="764" spans="1:16">
      <c r="A764" s="169" t="s">
        <v>449</v>
      </c>
      <c r="B764" s="171" t="s">
        <v>467</v>
      </c>
      <c r="C764" s="171">
        <v>50</v>
      </c>
      <c r="D764" s="171">
        <v>0</v>
      </c>
      <c r="E764" s="171">
        <v>0</v>
      </c>
      <c r="F764" s="171">
        <v>0</v>
      </c>
      <c r="G764" s="171">
        <v>14</v>
      </c>
      <c r="H764" s="171">
        <v>6</v>
      </c>
      <c r="I764" s="171">
        <v>10</v>
      </c>
      <c r="J764" s="171">
        <v>2</v>
      </c>
      <c r="K764" s="171">
        <v>32</v>
      </c>
      <c r="L764" s="171">
        <v>6</v>
      </c>
      <c r="M764" s="171">
        <v>7</v>
      </c>
      <c r="N764" s="171">
        <v>8</v>
      </c>
      <c r="O764" s="171">
        <v>14</v>
      </c>
      <c r="P764" s="173">
        <v>4</v>
      </c>
    </row>
    <row r="765" spans="1:16" hidden="1">
      <c r="A765" s="170" t="s">
        <v>451</v>
      </c>
      <c r="B765" s="172" t="s">
        <v>467</v>
      </c>
      <c r="C765" s="172">
        <v>25</v>
      </c>
      <c r="D765" s="172">
        <v>25</v>
      </c>
      <c r="E765" s="172"/>
      <c r="F765" s="172"/>
      <c r="G765" s="172"/>
      <c r="H765" s="172"/>
      <c r="I765" s="172"/>
      <c r="J765" s="172"/>
      <c r="K765" s="172"/>
      <c r="L765" s="172"/>
      <c r="M765" s="172"/>
      <c r="N765" s="172"/>
      <c r="O765" s="172"/>
      <c r="P765" s="174"/>
    </row>
    <row r="766" spans="1:16">
      <c r="A766" s="169" t="s">
        <v>449</v>
      </c>
      <c r="B766" s="171" t="s">
        <v>467</v>
      </c>
      <c r="C766" s="171">
        <v>50</v>
      </c>
      <c r="D766" s="171">
        <v>10</v>
      </c>
      <c r="E766" s="171">
        <v>1</v>
      </c>
      <c r="F766" s="171">
        <v>5</v>
      </c>
      <c r="G766" s="171">
        <v>8</v>
      </c>
      <c r="H766" s="171">
        <v>7</v>
      </c>
      <c r="I766" s="171">
        <v>1</v>
      </c>
      <c r="J766" s="171">
        <v>1</v>
      </c>
      <c r="K766" s="171">
        <v>23</v>
      </c>
      <c r="L766" s="171">
        <v>15</v>
      </c>
      <c r="M766" s="171">
        <v>0</v>
      </c>
      <c r="N766" s="171">
        <v>2</v>
      </c>
      <c r="O766" s="171">
        <v>17</v>
      </c>
      <c r="P766" s="173">
        <v>0</v>
      </c>
    </row>
    <row r="767" spans="1:16" hidden="1">
      <c r="A767" s="170" t="s">
        <v>468</v>
      </c>
      <c r="B767" s="172" t="s">
        <v>467</v>
      </c>
      <c r="C767" s="172">
        <v>25</v>
      </c>
      <c r="D767" s="172">
        <v>25</v>
      </c>
      <c r="E767" s="172">
        <v>0</v>
      </c>
      <c r="F767" s="172">
        <v>10</v>
      </c>
      <c r="G767" s="172">
        <v>10</v>
      </c>
      <c r="H767" s="172">
        <v>0</v>
      </c>
      <c r="I767" s="172">
        <v>0</v>
      </c>
      <c r="J767" s="172">
        <v>0</v>
      </c>
      <c r="K767" s="172">
        <v>20</v>
      </c>
      <c r="L767" s="172">
        <v>2</v>
      </c>
      <c r="M767" s="172">
        <v>2</v>
      </c>
      <c r="N767" s="172">
        <v>20</v>
      </c>
      <c r="O767" s="172">
        <v>0</v>
      </c>
      <c r="P767" s="174">
        <v>0</v>
      </c>
    </row>
    <row r="768" spans="1:16">
      <c r="A768" s="169" t="s">
        <v>449</v>
      </c>
      <c r="B768" s="171" t="s">
        <v>467</v>
      </c>
      <c r="C768" s="171">
        <v>60</v>
      </c>
      <c r="D768" s="171">
        <v>30</v>
      </c>
      <c r="E768" s="171">
        <v>3</v>
      </c>
      <c r="F768" s="171">
        <v>14</v>
      </c>
      <c r="G768" s="171">
        <v>15</v>
      </c>
      <c r="H768" s="171">
        <v>18</v>
      </c>
      <c r="I768" s="171">
        <v>14</v>
      </c>
      <c r="J768" s="171">
        <v>1</v>
      </c>
      <c r="K768" s="171">
        <v>65</v>
      </c>
      <c r="L768" s="171">
        <v>18</v>
      </c>
      <c r="M768" s="171">
        <v>3</v>
      </c>
      <c r="N768" s="171">
        <v>4</v>
      </c>
      <c r="O768" s="171">
        <v>47</v>
      </c>
      <c r="P768" s="173">
        <v>3</v>
      </c>
    </row>
    <row r="769" spans="1:16">
      <c r="A769" s="172" t="s">
        <v>449</v>
      </c>
      <c r="B769" s="172" t="s">
        <v>467</v>
      </c>
      <c r="C769" s="172">
        <v>30</v>
      </c>
      <c r="D769" s="172">
        <v>1</v>
      </c>
      <c r="E769" s="172">
        <v>0</v>
      </c>
      <c r="F769" s="172">
        <v>0</v>
      </c>
      <c r="G769" s="172">
        <v>9</v>
      </c>
      <c r="H769" s="172">
        <v>8</v>
      </c>
      <c r="I769" s="172">
        <v>13</v>
      </c>
      <c r="J769" s="172">
        <v>1</v>
      </c>
      <c r="K769" s="172">
        <v>31</v>
      </c>
      <c r="L769" s="172">
        <v>31</v>
      </c>
      <c r="M769" s="172">
        <v>1</v>
      </c>
      <c r="N769" s="172">
        <v>5</v>
      </c>
      <c r="O769" s="172">
        <v>0</v>
      </c>
      <c r="P769" s="174">
        <v>0</v>
      </c>
    </row>
    <row r="770" spans="1:16">
      <c r="A770" s="169" t="s">
        <v>449</v>
      </c>
      <c r="B770" s="171" t="s">
        <v>467</v>
      </c>
      <c r="C770" s="171">
        <v>80</v>
      </c>
      <c r="D770" s="171">
        <v>25</v>
      </c>
      <c r="E770" s="171">
        <v>2</v>
      </c>
      <c r="F770" s="171">
        <v>10</v>
      </c>
      <c r="G770" s="171">
        <v>15</v>
      </c>
      <c r="H770" s="171">
        <v>16</v>
      </c>
      <c r="I770" s="171">
        <v>12</v>
      </c>
      <c r="J770" s="171">
        <v>1</v>
      </c>
      <c r="K770" s="171">
        <v>56</v>
      </c>
      <c r="L770" s="171">
        <v>38</v>
      </c>
      <c r="M770" s="171">
        <v>9</v>
      </c>
      <c r="N770" s="171">
        <v>6</v>
      </c>
      <c r="O770" s="171">
        <v>18</v>
      </c>
      <c r="P770" s="173">
        <v>2</v>
      </c>
    </row>
    <row r="771" spans="1:16" hidden="1">
      <c r="A771" s="170" t="s">
        <v>450</v>
      </c>
      <c r="B771" s="172" t="s">
        <v>467</v>
      </c>
      <c r="C771" s="172">
        <v>80</v>
      </c>
      <c r="D771" s="172">
        <v>80</v>
      </c>
      <c r="E771" s="172">
        <v>2</v>
      </c>
      <c r="F771" s="172">
        <v>11</v>
      </c>
      <c r="G771" s="172">
        <v>19</v>
      </c>
      <c r="H771" s="172">
        <v>14</v>
      </c>
      <c r="I771" s="172">
        <v>13</v>
      </c>
      <c r="J771" s="172">
        <v>2</v>
      </c>
      <c r="K771" s="172">
        <v>61</v>
      </c>
      <c r="L771" s="172">
        <v>34</v>
      </c>
      <c r="M771" s="172">
        <v>2</v>
      </c>
      <c r="N771" s="172">
        <v>19</v>
      </c>
      <c r="O771" s="172">
        <v>18</v>
      </c>
      <c r="P771" s="174">
        <v>1</v>
      </c>
    </row>
    <row r="772" spans="1:16">
      <c r="A772" s="169" t="s">
        <v>449</v>
      </c>
      <c r="B772" s="171" t="s">
        <v>467</v>
      </c>
      <c r="C772" s="171">
        <v>92</v>
      </c>
      <c r="D772" s="171">
        <v>15</v>
      </c>
      <c r="E772" s="171">
        <v>2</v>
      </c>
      <c r="F772" s="171">
        <v>7</v>
      </c>
      <c r="G772" s="171">
        <v>8</v>
      </c>
      <c r="H772" s="171">
        <v>21</v>
      </c>
      <c r="I772" s="171">
        <v>30</v>
      </c>
      <c r="J772" s="171">
        <v>0</v>
      </c>
      <c r="K772" s="171">
        <v>68</v>
      </c>
      <c r="L772" s="171">
        <v>6</v>
      </c>
      <c r="M772" s="171">
        <v>4</v>
      </c>
      <c r="N772" s="171">
        <v>5</v>
      </c>
      <c r="O772" s="171">
        <v>60</v>
      </c>
      <c r="P772" s="173">
        <v>2</v>
      </c>
    </row>
    <row r="773" spans="1:16" hidden="1">
      <c r="A773" s="170" t="s">
        <v>347</v>
      </c>
      <c r="B773" s="172" t="s">
        <v>467</v>
      </c>
      <c r="C773" s="172">
        <v>30</v>
      </c>
      <c r="D773" s="172">
        <v>8</v>
      </c>
      <c r="E773" s="172">
        <v>0</v>
      </c>
      <c r="F773" s="172">
        <v>5</v>
      </c>
      <c r="G773" s="172">
        <v>5</v>
      </c>
      <c r="H773" s="172">
        <v>7</v>
      </c>
      <c r="I773" s="172">
        <v>6</v>
      </c>
      <c r="J773" s="172">
        <v>0</v>
      </c>
      <c r="K773" s="172">
        <v>23</v>
      </c>
      <c r="L773" s="172">
        <v>0</v>
      </c>
      <c r="M773" s="172">
        <v>21</v>
      </c>
      <c r="N773" s="172">
        <v>0</v>
      </c>
      <c r="O773" s="172">
        <v>0</v>
      </c>
      <c r="P773" s="174">
        <v>2</v>
      </c>
    </row>
    <row r="774" spans="1:16">
      <c r="A774" s="169" t="s">
        <v>449</v>
      </c>
      <c r="B774" s="171" t="s">
        <v>467</v>
      </c>
      <c r="C774" s="171">
        <v>75</v>
      </c>
      <c r="D774" s="171">
        <v>25</v>
      </c>
      <c r="E774" s="171">
        <v>2</v>
      </c>
      <c r="F774" s="171">
        <v>14</v>
      </c>
      <c r="G774" s="171">
        <v>15</v>
      </c>
      <c r="H774" s="171">
        <v>16</v>
      </c>
      <c r="I774" s="171">
        <v>11</v>
      </c>
      <c r="J774" s="171">
        <v>0</v>
      </c>
      <c r="K774" s="171">
        <v>58</v>
      </c>
      <c r="L774" s="171">
        <v>27</v>
      </c>
      <c r="M774" s="171">
        <v>6</v>
      </c>
      <c r="N774" s="171">
        <v>4</v>
      </c>
      <c r="O774" s="171">
        <v>37</v>
      </c>
      <c r="P774" s="173">
        <v>4</v>
      </c>
    </row>
    <row r="775" spans="1:16">
      <c r="A775" s="170" t="s">
        <v>449</v>
      </c>
      <c r="B775" s="172" t="s">
        <v>467</v>
      </c>
      <c r="C775" s="172">
        <v>60</v>
      </c>
      <c r="D775" s="172">
        <v>10</v>
      </c>
      <c r="E775" s="172">
        <v>1</v>
      </c>
      <c r="F775" s="172">
        <v>3</v>
      </c>
      <c r="G775" s="172">
        <v>4</v>
      </c>
      <c r="H775" s="172">
        <v>13</v>
      </c>
      <c r="I775" s="172">
        <v>19</v>
      </c>
      <c r="J775" s="172">
        <v>0</v>
      </c>
      <c r="K775" s="172">
        <v>40</v>
      </c>
      <c r="L775" s="172">
        <v>7</v>
      </c>
      <c r="M775" s="172">
        <v>2</v>
      </c>
      <c r="N775" s="172">
        <v>3</v>
      </c>
      <c r="O775" s="172">
        <v>23</v>
      </c>
      <c r="P775" s="174">
        <v>12</v>
      </c>
    </row>
    <row r="776" spans="1:16">
      <c r="A776" s="171" t="s">
        <v>449</v>
      </c>
      <c r="B776" s="171" t="s">
        <v>467</v>
      </c>
      <c r="C776" s="171">
        <v>60</v>
      </c>
      <c r="D776" s="171">
        <v>20</v>
      </c>
      <c r="E776" s="171">
        <v>1</v>
      </c>
      <c r="F776" s="171">
        <v>8</v>
      </c>
      <c r="G776" s="171">
        <v>9</v>
      </c>
      <c r="H776" s="171">
        <v>6</v>
      </c>
      <c r="I776" s="171">
        <v>4</v>
      </c>
      <c r="J776" s="171">
        <v>0</v>
      </c>
      <c r="K776" s="171">
        <v>28</v>
      </c>
      <c r="L776" s="171">
        <v>9</v>
      </c>
      <c r="M776" s="171">
        <v>5</v>
      </c>
      <c r="N776" s="171">
        <v>8</v>
      </c>
      <c r="O776" s="171">
        <v>10</v>
      </c>
      <c r="P776" s="173">
        <v>0</v>
      </c>
    </row>
    <row r="777" spans="1:16">
      <c r="A777" s="172" t="s">
        <v>449</v>
      </c>
      <c r="B777" s="172" t="s">
        <v>467</v>
      </c>
      <c r="C777" s="172">
        <v>61</v>
      </c>
      <c r="D777" s="172">
        <v>14</v>
      </c>
      <c r="E777" s="172">
        <v>4</v>
      </c>
      <c r="F777" s="172">
        <v>14</v>
      </c>
      <c r="G777" s="172">
        <v>13</v>
      </c>
      <c r="H777" s="172">
        <v>13</v>
      </c>
      <c r="I777" s="172">
        <v>11</v>
      </c>
      <c r="J777" s="172">
        <v>0</v>
      </c>
      <c r="K777" s="172">
        <v>55</v>
      </c>
      <c r="L777" s="172">
        <v>37</v>
      </c>
      <c r="M777" s="172">
        <v>2</v>
      </c>
      <c r="N777" s="172">
        <v>8</v>
      </c>
      <c r="O777" s="172">
        <v>18</v>
      </c>
      <c r="P777" s="174">
        <v>2</v>
      </c>
    </row>
    <row r="778" spans="1:16" hidden="1">
      <c r="A778" s="169" t="s">
        <v>450</v>
      </c>
      <c r="B778" s="171" t="s">
        <v>467</v>
      </c>
      <c r="C778" s="171">
        <v>80</v>
      </c>
      <c r="D778" s="171">
        <v>80</v>
      </c>
      <c r="E778" s="171">
        <v>2</v>
      </c>
      <c r="F778" s="171">
        <v>8</v>
      </c>
      <c r="G778" s="171">
        <v>9</v>
      </c>
      <c r="H778" s="171">
        <v>10</v>
      </c>
      <c r="I778" s="171">
        <v>10</v>
      </c>
      <c r="J778" s="171">
        <v>1</v>
      </c>
      <c r="K778" s="171">
        <v>40</v>
      </c>
      <c r="L778" s="171">
        <v>2</v>
      </c>
      <c r="M778" s="171">
        <v>4</v>
      </c>
      <c r="N778" s="171">
        <v>29</v>
      </c>
      <c r="O778" s="171">
        <v>10</v>
      </c>
      <c r="P778" s="173">
        <v>0</v>
      </c>
    </row>
    <row r="779" spans="1:16">
      <c r="A779" s="170" t="s">
        <v>449</v>
      </c>
      <c r="B779" s="172" t="s">
        <v>467</v>
      </c>
      <c r="C779" s="172">
        <v>80</v>
      </c>
      <c r="D779" s="172">
        <v>20</v>
      </c>
      <c r="E779" s="172">
        <v>1</v>
      </c>
      <c r="F779" s="172">
        <v>12</v>
      </c>
      <c r="G779" s="172">
        <v>12</v>
      </c>
      <c r="H779" s="172">
        <v>22</v>
      </c>
      <c r="I779" s="172">
        <v>21</v>
      </c>
      <c r="J779" s="172">
        <v>2</v>
      </c>
      <c r="K779" s="172">
        <v>70</v>
      </c>
      <c r="L779" s="172">
        <v>23</v>
      </c>
      <c r="M779" s="172">
        <v>14</v>
      </c>
      <c r="N779" s="172">
        <v>8</v>
      </c>
      <c r="O779" s="172">
        <v>39</v>
      </c>
      <c r="P779" s="174">
        <v>5</v>
      </c>
    </row>
    <row r="780" spans="1:16">
      <c r="A780" s="169" t="s">
        <v>449</v>
      </c>
      <c r="B780" s="171" t="s">
        <v>467</v>
      </c>
      <c r="C780" s="171">
        <v>40</v>
      </c>
      <c r="D780" s="171">
        <v>12</v>
      </c>
      <c r="E780" s="171">
        <v>0</v>
      </c>
      <c r="F780" s="171">
        <v>5</v>
      </c>
      <c r="G780" s="171">
        <v>10</v>
      </c>
      <c r="H780" s="171">
        <v>10</v>
      </c>
      <c r="I780" s="171">
        <v>15</v>
      </c>
      <c r="J780" s="171">
        <v>2</v>
      </c>
      <c r="K780" s="171">
        <v>42</v>
      </c>
      <c r="L780" s="171">
        <v>21</v>
      </c>
      <c r="M780" s="171">
        <v>6</v>
      </c>
      <c r="N780" s="171">
        <v>9</v>
      </c>
      <c r="O780" s="171">
        <v>14</v>
      </c>
      <c r="P780" s="173">
        <v>3</v>
      </c>
    </row>
    <row r="781" spans="1:16">
      <c r="A781" s="170" t="s">
        <v>449</v>
      </c>
      <c r="B781" s="172" t="s">
        <v>467</v>
      </c>
      <c r="C781" s="172">
        <v>30</v>
      </c>
      <c r="D781" s="172">
        <v>8</v>
      </c>
      <c r="E781" s="172">
        <v>2</v>
      </c>
      <c r="F781" s="172">
        <v>1</v>
      </c>
      <c r="G781" s="172">
        <v>6</v>
      </c>
      <c r="H781" s="172">
        <v>8</v>
      </c>
      <c r="I781" s="172">
        <v>10</v>
      </c>
      <c r="J781" s="172">
        <v>0</v>
      </c>
      <c r="K781" s="172">
        <v>27</v>
      </c>
      <c r="L781" s="172">
        <v>4</v>
      </c>
      <c r="M781" s="172">
        <v>0</v>
      </c>
      <c r="N781" s="172">
        <v>1</v>
      </c>
      <c r="O781" s="172">
        <v>23</v>
      </c>
      <c r="P781" s="174">
        <v>1</v>
      </c>
    </row>
    <row r="782" spans="1:16">
      <c r="A782" s="171" t="s">
        <v>449</v>
      </c>
      <c r="B782" s="171" t="s">
        <v>467</v>
      </c>
      <c r="C782" s="171">
        <v>70</v>
      </c>
      <c r="D782" s="171">
        <v>20</v>
      </c>
      <c r="E782" s="171">
        <v>2</v>
      </c>
      <c r="F782" s="171">
        <v>11</v>
      </c>
      <c r="G782" s="171">
        <v>9</v>
      </c>
      <c r="H782" s="171">
        <v>18</v>
      </c>
      <c r="I782" s="171">
        <v>17</v>
      </c>
      <c r="J782" s="171">
        <v>2</v>
      </c>
      <c r="K782" s="171">
        <v>59</v>
      </c>
      <c r="L782" s="171">
        <v>4</v>
      </c>
      <c r="M782" s="171">
        <v>11</v>
      </c>
      <c r="N782" s="171">
        <v>25</v>
      </c>
      <c r="O782" s="171">
        <v>30</v>
      </c>
      <c r="P782" s="173">
        <v>2</v>
      </c>
    </row>
    <row r="783" spans="1:16">
      <c r="A783" s="170" t="s">
        <v>449</v>
      </c>
      <c r="B783" s="172" t="s">
        <v>467</v>
      </c>
      <c r="C783" s="172">
        <v>50</v>
      </c>
      <c r="D783" s="172">
        <v>10</v>
      </c>
      <c r="E783" s="172">
        <v>1</v>
      </c>
      <c r="F783" s="172">
        <v>5</v>
      </c>
      <c r="G783" s="172">
        <v>6</v>
      </c>
      <c r="H783" s="172">
        <v>10</v>
      </c>
      <c r="I783" s="172">
        <v>3</v>
      </c>
      <c r="J783" s="172">
        <v>0</v>
      </c>
      <c r="K783" s="172">
        <v>25</v>
      </c>
      <c r="L783" s="172">
        <v>3</v>
      </c>
      <c r="M783" s="172">
        <v>1</v>
      </c>
      <c r="N783" s="172">
        <v>18</v>
      </c>
      <c r="O783" s="172">
        <v>4</v>
      </c>
      <c r="P783" s="174">
        <v>0</v>
      </c>
    </row>
    <row r="784" spans="1:16">
      <c r="A784" s="169" t="s">
        <v>449</v>
      </c>
      <c r="B784" s="171" t="s">
        <v>467</v>
      </c>
      <c r="C784" s="171">
        <v>47</v>
      </c>
      <c r="D784" s="171">
        <v>15</v>
      </c>
      <c r="E784" s="171">
        <v>1</v>
      </c>
      <c r="F784" s="171">
        <v>5</v>
      </c>
      <c r="G784" s="171">
        <v>9</v>
      </c>
      <c r="H784" s="171">
        <v>11</v>
      </c>
      <c r="I784" s="171">
        <v>13</v>
      </c>
      <c r="J784" s="171">
        <v>4</v>
      </c>
      <c r="K784" s="171">
        <v>43</v>
      </c>
      <c r="L784" s="171">
        <v>24</v>
      </c>
      <c r="M784" s="171">
        <v>0</v>
      </c>
      <c r="N784" s="171">
        <v>2</v>
      </c>
      <c r="O784" s="171">
        <v>19</v>
      </c>
      <c r="P784" s="173">
        <v>0</v>
      </c>
    </row>
    <row r="785" spans="1:16" hidden="1">
      <c r="A785" s="170" t="s">
        <v>452</v>
      </c>
      <c r="B785" s="172" t="s">
        <v>467</v>
      </c>
      <c r="C785" s="172">
        <v>50</v>
      </c>
      <c r="D785" s="172">
        <v>10</v>
      </c>
      <c r="E785" s="172">
        <v>0</v>
      </c>
      <c r="F785" s="172">
        <v>5</v>
      </c>
      <c r="G785" s="172">
        <v>14</v>
      </c>
      <c r="H785" s="172">
        <v>14</v>
      </c>
      <c r="I785" s="172">
        <v>17</v>
      </c>
      <c r="J785" s="172">
        <v>0</v>
      </c>
      <c r="K785" s="172">
        <v>50</v>
      </c>
      <c r="L785" s="172">
        <v>10</v>
      </c>
      <c r="M785" s="172">
        <v>4</v>
      </c>
      <c r="N785" s="172">
        <v>10</v>
      </c>
      <c r="O785" s="172">
        <v>33</v>
      </c>
      <c r="P785" s="174">
        <v>5</v>
      </c>
    </row>
    <row r="786" spans="1:16">
      <c r="A786" s="169" t="s">
        <v>449</v>
      </c>
      <c r="B786" s="171" t="s">
        <v>467</v>
      </c>
      <c r="C786" s="171">
        <v>35</v>
      </c>
      <c r="D786" s="171">
        <v>10</v>
      </c>
      <c r="E786" s="171">
        <v>1</v>
      </c>
      <c r="F786" s="171">
        <v>6</v>
      </c>
      <c r="G786" s="171">
        <v>5</v>
      </c>
      <c r="H786" s="171">
        <v>13</v>
      </c>
      <c r="I786" s="171">
        <v>8</v>
      </c>
      <c r="J786" s="171">
        <v>1</v>
      </c>
      <c r="K786" s="171">
        <v>34</v>
      </c>
      <c r="L786" s="171">
        <v>16</v>
      </c>
      <c r="M786" s="171">
        <v>9</v>
      </c>
      <c r="N786" s="171">
        <v>17</v>
      </c>
      <c r="O786" s="171">
        <v>7</v>
      </c>
      <c r="P786" s="173">
        <v>1</v>
      </c>
    </row>
    <row r="787" spans="1:16">
      <c r="A787" s="170" t="s">
        <v>449</v>
      </c>
      <c r="B787" s="172" t="s">
        <v>467</v>
      </c>
      <c r="C787" s="172">
        <v>55</v>
      </c>
      <c r="D787" s="172">
        <v>16</v>
      </c>
      <c r="E787" s="172">
        <v>0</v>
      </c>
      <c r="F787" s="172">
        <v>4</v>
      </c>
      <c r="G787" s="172">
        <v>15</v>
      </c>
      <c r="H787" s="172">
        <v>10</v>
      </c>
      <c r="I787" s="172">
        <v>10</v>
      </c>
      <c r="J787" s="172">
        <v>0</v>
      </c>
      <c r="K787" s="172">
        <v>39</v>
      </c>
      <c r="L787" s="172">
        <v>9</v>
      </c>
      <c r="M787" s="172">
        <v>14</v>
      </c>
      <c r="N787" s="172">
        <v>34</v>
      </c>
      <c r="O787" s="172">
        <v>2</v>
      </c>
      <c r="P787" s="174">
        <v>0</v>
      </c>
    </row>
    <row r="788" spans="1:16">
      <c r="A788" s="169" t="s">
        <v>449</v>
      </c>
      <c r="B788" s="171" t="s">
        <v>467</v>
      </c>
      <c r="C788" s="171">
        <v>98</v>
      </c>
      <c r="D788" s="171">
        <v>12</v>
      </c>
      <c r="E788" s="171">
        <v>2</v>
      </c>
      <c r="F788" s="171">
        <v>6</v>
      </c>
      <c r="G788" s="171">
        <v>24</v>
      </c>
      <c r="H788" s="171">
        <v>29</v>
      </c>
      <c r="I788" s="171">
        <v>16</v>
      </c>
      <c r="J788" s="171">
        <v>1</v>
      </c>
      <c r="K788" s="171">
        <v>78</v>
      </c>
      <c r="L788" s="171">
        <v>2</v>
      </c>
      <c r="M788" s="171">
        <v>5</v>
      </c>
      <c r="N788" s="171">
        <v>8</v>
      </c>
      <c r="O788" s="171">
        <v>57</v>
      </c>
      <c r="P788" s="173">
        <v>12</v>
      </c>
    </row>
    <row r="789" spans="1:16" hidden="1">
      <c r="A789" s="170" t="s">
        <v>301</v>
      </c>
      <c r="B789" s="172" t="s">
        <v>467</v>
      </c>
      <c r="C789" s="172">
        <v>26</v>
      </c>
      <c r="D789" s="172">
        <v>15</v>
      </c>
      <c r="E789" s="172">
        <v>1</v>
      </c>
      <c r="F789" s="172">
        <v>4</v>
      </c>
      <c r="G789" s="172">
        <v>4</v>
      </c>
      <c r="H789" s="172">
        <v>6</v>
      </c>
      <c r="I789" s="172">
        <v>2</v>
      </c>
      <c r="J789" s="172">
        <v>0</v>
      </c>
      <c r="K789" s="172">
        <v>17</v>
      </c>
      <c r="L789" s="172">
        <v>14</v>
      </c>
      <c r="M789" s="172">
        <v>2</v>
      </c>
      <c r="N789" s="172">
        <v>0</v>
      </c>
      <c r="O789" s="172">
        <v>6</v>
      </c>
      <c r="P789" s="174">
        <v>1</v>
      </c>
    </row>
    <row r="790" spans="1:16">
      <c r="A790" s="169" t="s">
        <v>449</v>
      </c>
      <c r="B790" s="171" t="s">
        <v>467</v>
      </c>
      <c r="C790" s="171">
        <v>30</v>
      </c>
      <c r="D790" s="171">
        <v>5</v>
      </c>
      <c r="E790" s="171">
        <v>1</v>
      </c>
      <c r="F790" s="171">
        <v>5</v>
      </c>
      <c r="G790" s="171">
        <v>8</v>
      </c>
      <c r="H790" s="171">
        <v>11</v>
      </c>
      <c r="I790" s="171">
        <v>13</v>
      </c>
      <c r="J790" s="171">
        <v>0</v>
      </c>
      <c r="K790" s="171">
        <v>38</v>
      </c>
      <c r="L790" s="171">
        <v>13</v>
      </c>
      <c r="M790" s="171">
        <v>15</v>
      </c>
      <c r="N790" s="171">
        <v>4</v>
      </c>
      <c r="O790" s="171">
        <v>4</v>
      </c>
      <c r="P790" s="173">
        <v>5</v>
      </c>
    </row>
    <row r="791" spans="1:16" hidden="1">
      <c r="A791" s="170" t="s">
        <v>452</v>
      </c>
      <c r="B791" s="172" t="s">
        <v>467</v>
      </c>
      <c r="C791" s="172">
        <v>80</v>
      </c>
      <c r="D791" s="172">
        <v>20</v>
      </c>
      <c r="E791" s="172">
        <v>1</v>
      </c>
      <c r="F791" s="172">
        <v>10</v>
      </c>
      <c r="G791" s="172">
        <v>20</v>
      </c>
      <c r="H791" s="172">
        <v>22</v>
      </c>
      <c r="I791" s="172">
        <v>21</v>
      </c>
      <c r="J791" s="172">
        <v>0</v>
      </c>
      <c r="K791" s="172">
        <v>74</v>
      </c>
      <c r="L791" s="172">
        <v>42</v>
      </c>
      <c r="M791" s="172">
        <v>3</v>
      </c>
      <c r="N791" s="172">
        <v>4</v>
      </c>
      <c r="O791" s="172">
        <v>37</v>
      </c>
      <c r="P791" s="174">
        <v>7</v>
      </c>
    </row>
    <row r="792" spans="1:16">
      <c r="A792" s="169" t="s">
        <v>449</v>
      </c>
      <c r="B792" s="171" t="s">
        <v>467</v>
      </c>
      <c r="C792" s="171">
        <v>37</v>
      </c>
      <c r="D792" s="171">
        <v>6</v>
      </c>
      <c r="E792" s="171">
        <v>1</v>
      </c>
      <c r="F792" s="171">
        <v>3</v>
      </c>
      <c r="G792" s="171">
        <v>7</v>
      </c>
      <c r="H792" s="171">
        <v>13</v>
      </c>
      <c r="I792" s="171">
        <v>10</v>
      </c>
      <c r="J792" s="171">
        <v>1</v>
      </c>
      <c r="K792" s="171">
        <v>35</v>
      </c>
      <c r="L792" s="171">
        <v>12</v>
      </c>
      <c r="M792" s="171">
        <v>1</v>
      </c>
      <c r="N792" s="171">
        <v>2</v>
      </c>
      <c r="O792" s="171">
        <v>30</v>
      </c>
      <c r="P792" s="173">
        <v>3</v>
      </c>
    </row>
    <row r="793" spans="1:16">
      <c r="A793" s="170" t="s">
        <v>449</v>
      </c>
      <c r="B793" s="172" t="s">
        <v>467</v>
      </c>
      <c r="C793" s="172">
        <v>50</v>
      </c>
      <c r="D793" s="172">
        <v>0</v>
      </c>
      <c r="E793" s="172">
        <v>0</v>
      </c>
      <c r="F793" s="172">
        <v>0</v>
      </c>
      <c r="G793" s="172">
        <v>13</v>
      </c>
      <c r="H793" s="172">
        <v>20</v>
      </c>
      <c r="I793" s="172">
        <v>28</v>
      </c>
      <c r="J793" s="172">
        <v>2</v>
      </c>
      <c r="K793" s="172">
        <v>63</v>
      </c>
      <c r="L793" s="172">
        <v>8</v>
      </c>
      <c r="M793" s="172">
        <v>5</v>
      </c>
      <c r="N793" s="172">
        <v>5</v>
      </c>
      <c r="O793" s="172">
        <v>54</v>
      </c>
      <c r="P793" s="174">
        <v>1</v>
      </c>
    </row>
    <row r="794" spans="1:16">
      <c r="A794" s="169" t="s">
        <v>449</v>
      </c>
      <c r="B794" s="171" t="s">
        <v>467</v>
      </c>
      <c r="C794" s="171">
        <v>70</v>
      </c>
      <c r="D794" s="171">
        <v>15</v>
      </c>
      <c r="E794" s="171">
        <v>0</v>
      </c>
      <c r="F794" s="171">
        <v>5</v>
      </c>
      <c r="G794" s="171">
        <v>9</v>
      </c>
      <c r="H794" s="171">
        <v>20</v>
      </c>
      <c r="I794" s="171">
        <v>16</v>
      </c>
      <c r="J794" s="171">
        <v>0</v>
      </c>
      <c r="K794" s="171">
        <v>50</v>
      </c>
      <c r="L794" s="171">
        <v>41</v>
      </c>
      <c r="M794" s="171">
        <v>10</v>
      </c>
      <c r="N794" s="171">
        <v>6</v>
      </c>
      <c r="O794" s="171">
        <v>9</v>
      </c>
      <c r="P794" s="173">
        <v>1</v>
      </c>
    </row>
    <row r="795" spans="1:16" hidden="1">
      <c r="A795" s="170" t="s">
        <v>468</v>
      </c>
      <c r="B795" s="172" t="s">
        <v>467</v>
      </c>
      <c r="C795" s="172">
        <v>50</v>
      </c>
      <c r="D795" s="172">
        <v>10</v>
      </c>
      <c r="E795" s="172">
        <v>2</v>
      </c>
      <c r="F795" s="172">
        <v>8</v>
      </c>
      <c r="G795" s="172">
        <v>19</v>
      </c>
      <c r="H795" s="172">
        <v>12</v>
      </c>
      <c r="I795" s="172">
        <v>4</v>
      </c>
      <c r="J795" s="172">
        <v>0</v>
      </c>
      <c r="K795" s="172">
        <v>45</v>
      </c>
      <c r="L795" s="172">
        <v>22</v>
      </c>
      <c r="M795" s="172">
        <v>12</v>
      </c>
      <c r="N795" s="172">
        <v>42</v>
      </c>
      <c r="O795" s="172">
        <v>1</v>
      </c>
      <c r="P795" s="174">
        <v>2</v>
      </c>
    </row>
    <row r="796" spans="1:16">
      <c r="A796" s="169" t="s">
        <v>449</v>
      </c>
      <c r="B796" s="171" t="s">
        <v>467</v>
      </c>
      <c r="C796" s="171">
        <v>80</v>
      </c>
      <c r="D796" s="171">
        <v>5</v>
      </c>
      <c r="E796" s="171">
        <v>1</v>
      </c>
      <c r="F796" s="171">
        <v>4</v>
      </c>
      <c r="G796" s="171">
        <v>12</v>
      </c>
      <c r="H796" s="171">
        <v>22</v>
      </c>
      <c r="I796" s="171">
        <v>31</v>
      </c>
      <c r="J796" s="171">
        <v>2</v>
      </c>
      <c r="K796" s="171">
        <v>72</v>
      </c>
      <c r="L796" s="171">
        <v>13</v>
      </c>
      <c r="M796" s="171">
        <v>3</v>
      </c>
      <c r="N796" s="171">
        <v>25</v>
      </c>
      <c r="O796" s="171">
        <v>40</v>
      </c>
      <c r="P796" s="173">
        <v>5</v>
      </c>
    </row>
    <row r="797" spans="1:16" hidden="1">
      <c r="A797" s="170" t="s">
        <v>469</v>
      </c>
      <c r="B797" s="172" t="s">
        <v>467</v>
      </c>
      <c r="C797" s="172">
        <v>50</v>
      </c>
      <c r="D797" s="172">
        <v>10</v>
      </c>
      <c r="E797" s="172">
        <v>1</v>
      </c>
      <c r="F797" s="172">
        <v>3</v>
      </c>
      <c r="G797" s="172">
        <v>6</v>
      </c>
      <c r="H797" s="172">
        <v>10</v>
      </c>
      <c r="I797" s="172">
        <v>11</v>
      </c>
      <c r="J797" s="172">
        <v>1</v>
      </c>
      <c r="K797" s="172">
        <v>32</v>
      </c>
      <c r="L797" s="172">
        <v>1</v>
      </c>
      <c r="M797" s="172">
        <v>5</v>
      </c>
      <c r="N797" s="172">
        <v>32</v>
      </c>
      <c r="O797" s="172">
        <v>3</v>
      </c>
      <c r="P797" s="174">
        <v>0</v>
      </c>
    </row>
    <row r="798" spans="1:16">
      <c r="A798" s="169" t="s">
        <v>449</v>
      </c>
      <c r="B798" s="171" t="s">
        <v>467</v>
      </c>
      <c r="C798" s="171">
        <v>40</v>
      </c>
      <c r="D798" s="171">
        <v>10</v>
      </c>
      <c r="E798" s="171">
        <v>1</v>
      </c>
      <c r="F798" s="171">
        <v>11</v>
      </c>
      <c r="G798" s="171">
        <v>12</v>
      </c>
      <c r="H798" s="171">
        <v>19</v>
      </c>
      <c r="I798" s="171">
        <v>10</v>
      </c>
      <c r="J798" s="171">
        <v>0</v>
      </c>
      <c r="K798" s="171">
        <v>53</v>
      </c>
      <c r="L798" s="171">
        <v>53</v>
      </c>
      <c r="M798" s="171">
        <v>7</v>
      </c>
      <c r="N798" s="171">
        <v>3</v>
      </c>
      <c r="O798" s="171">
        <v>0</v>
      </c>
      <c r="P798" s="173">
        <v>1</v>
      </c>
    </row>
    <row r="799" spans="1:16">
      <c r="A799" s="170" t="s">
        <v>449</v>
      </c>
      <c r="B799" s="172" t="s">
        <v>467</v>
      </c>
      <c r="C799" s="172">
        <v>30</v>
      </c>
      <c r="D799" s="172">
        <v>0</v>
      </c>
      <c r="E799" s="172">
        <v>0</v>
      </c>
      <c r="F799" s="172">
        <v>0</v>
      </c>
      <c r="G799" s="172">
        <v>5</v>
      </c>
      <c r="H799" s="172">
        <v>5</v>
      </c>
      <c r="I799" s="172">
        <v>6</v>
      </c>
      <c r="J799" s="172">
        <v>0</v>
      </c>
      <c r="K799" s="172">
        <v>16</v>
      </c>
      <c r="L799" s="172">
        <v>16</v>
      </c>
      <c r="M799" s="172">
        <v>1</v>
      </c>
      <c r="N799" s="172">
        <v>2</v>
      </c>
      <c r="O799" s="172">
        <v>0</v>
      </c>
      <c r="P799" s="174">
        <v>0</v>
      </c>
    </row>
    <row r="800" spans="1:16">
      <c r="A800" s="171" t="s">
        <v>449</v>
      </c>
      <c r="B800" s="171" t="s">
        <v>467</v>
      </c>
      <c r="C800" s="171">
        <v>30</v>
      </c>
      <c r="D800" s="171">
        <v>0</v>
      </c>
      <c r="E800" s="171">
        <v>0</v>
      </c>
      <c r="F800" s="171">
        <v>0</v>
      </c>
      <c r="G800" s="171">
        <v>4</v>
      </c>
      <c r="H800" s="171">
        <v>7</v>
      </c>
      <c r="I800" s="171">
        <v>13</v>
      </c>
      <c r="J800" s="171">
        <v>1</v>
      </c>
      <c r="K800" s="171">
        <v>25</v>
      </c>
      <c r="L800" s="171">
        <v>9</v>
      </c>
      <c r="M800" s="171">
        <v>3</v>
      </c>
      <c r="N800" s="171">
        <v>2</v>
      </c>
      <c r="O800" s="171">
        <v>15</v>
      </c>
      <c r="P800" s="173">
        <v>0</v>
      </c>
    </row>
    <row r="801" spans="1:16" hidden="1">
      <c r="A801" s="170" t="s">
        <v>450</v>
      </c>
      <c r="B801" s="172" t="s">
        <v>467</v>
      </c>
      <c r="C801" s="172">
        <v>60</v>
      </c>
      <c r="D801" s="172">
        <v>60</v>
      </c>
      <c r="E801" s="172">
        <v>2</v>
      </c>
      <c r="F801" s="172">
        <v>3</v>
      </c>
      <c r="G801" s="172">
        <v>4</v>
      </c>
      <c r="H801" s="172">
        <v>7</v>
      </c>
      <c r="I801" s="172">
        <v>6</v>
      </c>
      <c r="J801" s="172">
        <v>0</v>
      </c>
      <c r="K801" s="172">
        <v>22</v>
      </c>
      <c r="L801" s="172">
        <v>5</v>
      </c>
      <c r="M801" s="172">
        <v>3</v>
      </c>
      <c r="N801" s="172">
        <v>11</v>
      </c>
      <c r="O801" s="172">
        <v>8</v>
      </c>
      <c r="P801" s="174">
        <v>1</v>
      </c>
    </row>
    <row r="802" spans="1:16" hidden="1">
      <c r="A802" s="169" t="s">
        <v>347</v>
      </c>
      <c r="B802" s="171" t="s">
        <v>467</v>
      </c>
      <c r="C802" s="171">
        <v>40</v>
      </c>
      <c r="D802" s="171">
        <v>10</v>
      </c>
      <c r="E802" s="171">
        <v>0</v>
      </c>
      <c r="F802" s="171">
        <v>5</v>
      </c>
      <c r="G802" s="171">
        <v>3</v>
      </c>
      <c r="H802" s="171">
        <v>8</v>
      </c>
      <c r="I802" s="171">
        <v>12</v>
      </c>
      <c r="J802" s="171">
        <v>0</v>
      </c>
      <c r="K802" s="171">
        <v>28</v>
      </c>
      <c r="L802" s="171">
        <v>0</v>
      </c>
      <c r="M802" s="171">
        <v>27</v>
      </c>
      <c r="N802" s="171">
        <v>1</v>
      </c>
      <c r="O802" s="171">
        <v>0</v>
      </c>
      <c r="P802" s="173">
        <v>0</v>
      </c>
    </row>
    <row r="803" spans="1:16">
      <c r="A803" s="170" t="s">
        <v>449</v>
      </c>
      <c r="B803" s="172" t="s">
        <v>467</v>
      </c>
      <c r="C803" s="172">
        <v>80</v>
      </c>
      <c r="D803" s="172">
        <v>20</v>
      </c>
      <c r="E803" s="172">
        <v>2</v>
      </c>
      <c r="F803" s="172">
        <v>12</v>
      </c>
      <c r="G803" s="172">
        <v>11</v>
      </c>
      <c r="H803" s="172">
        <v>13</v>
      </c>
      <c r="I803" s="172">
        <v>12</v>
      </c>
      <c r="J803" s="172">
        <v>1</v>
      </c>
      <c r="K803" s="172">
        <v>51</v>
      </c>
      <c r="L803" s="172">
        <v>18</v>
      </c>
      <c r="M803" s="172">
        <v>6</v>
      </c>
      <c r="N803" s="172">
        <v>4</v>
      </c>
      <c r="O803" s="172">
        <v>27</v>
      </c>
      <c r="P803" s="174">
        <v>5</v>
      </c>
    </row>
    <row r="804" spans="1:16">
      <c r="A804" s="169" t="s">
        <v>449</v>
      </c>
      <c r="B804" s="171" t="s">
        <v>467</v>
      </c>
      <c r="C804" s="171">
        <v>100</v>
      </c>
      <c r="D804" s="171">
        <v>36</v>
      </c>
      <c r="E804" s="171">
        <v>10</v>
      </c>
      <c r="F804" s="171">
        <v>20</v>
      </c>
      <c r="G804" s="171">
        <v>34</v>
      </c>
      <c r="H804" s="171">
        <v>27</v>
      </c>
      <c r="I804" s="171">
        <v>14</v>
      </c>
      <c r="J804" s="171">
        <v>0</v>
      </c>
      <c r="K804" s="171">
        <v>105</v>
      </c>
      <c r="L804" s="171">
        <v>72</v>
      </c>
      <c r="M804" s="171">
        <v>20</v>
      </c>
      <c r="N804" s="171">
        <v>21</v>
      </c>
      <c r="O804" s="171">
        <v>28</v>
      </c>
      <c r="P804" s="173">
        <v>6</v>
      </c>
    </row>
    <row r="805" spans="1:16">
      <c r="A805" s="170" t="s">
        <v>449</v>
      </c>
      <c r="B805" s="172" t="s">
        <v>467</v>
      </c>
      <c r="C805" s="172">
        <v>73</v>
      </c>
      <c r="D805" s="172">
        <v>13</v>
      </c>
      <c r="E805" s="172">
        <v>0</v>
      </c>
      <c r="F805" s="172">
        <v>8</v>
      </c>
      <c r="G805" s="172">
        <v>15</v>
      </c>
      <c r="H805" s="172">
        <v>21</v>
      </c>
      <c r="I805" s="172">
        <v>12</v>
      </c>
      <c r="J805" s="172">
        <v>1</v>
      </c>
      <c r="K805" s="172">
        <v>57</v>
      </c>
      <c r="L805" s="172">
        <v>17</v>
      </c>
      <c r="M805" s="172">
        <v>21</v>
      </c>
      <c r="N805" s="172">
        <v>23</v>
      </c>
      <c r="O805" s="172">
        <v>25</v>
      </c>
      <c r="P805" s="174">
        <v>4</v>
      </c>
    </row>
    <row r="806" spans="1:16">
      <c r="A806" s="169" t="s">
        <v>449</v>
      </c>
      <c r="B806" s="171" t="s">
        <v>467</v>
      </c>
      <c r="C806" s="171">
        <v>130</v>
      </c>
      <c r="D806" s="171">
        <v>25</v>
      </c>
      <c r="E806" s="171">
        <v>6</v>
      </c>
      <c r="F806" s="171">
        <v>21</v>
      </c>
      <c r="G806" s="171">
        <v>28</v>
      </c>
      <c r="H806" s="171">
        <v>30</v>
      </c>
      <c r="I806" s="171">
        <v>36</v>
      </c>
      <c r="J806" s="171">
        <v>2</v>
      </c>
      <c r="K806" s="171">
        <v>123</v>
      </c>
      <c r="L806" s="171">
        <v>44</v>
      </c>
      <c r="M806" s="171">
        <v>18</v>
      </c>
      <c r="N806" s="171">
        <v>41</v>
      </c>
      <c r="O806" s="171">
        <v>48</v>
      </c>
      <c r="P806" s="173">
        <v>5</v>
      </c>
    </row>
    <row r="807" spans="1:16" hidden="1">
      <c r="A807" s="172" t="s">
        <v>469</v>
      </c>
      <c r="B807" s="172" t="s">
        <v>467</v>
      </c>
      <c r="C807" s="172">
        <v>50</v>
      </c>
      <c r="D807" s="172">
        <v>10</v>
      </c>
      <c r="E807" s="172">
        <v>1</v>
      </c>
      <c r="F807" s="172">
        <v>6</v>
      </c>
      <c r="G807" s="172">
        <v>9</v>
      </c>
      <c r="H807" s="172">
        <v>10</v>
      </c>
      <c r="I807" s="172">
        <v>12</v>
      </c>
      <c r="J807" s="172">
        <v>2</v>
      </c>
      <c r="K807" s="172">
        <v>40</v>
      </c>
      <c r="L807" s="172">
        <v>5</v>
      </c>
      <c r="M807" s="172">
        <v>5</v>
      </c>
      <c r="N807" s="172">
        <v>40</v>
      </c>
      <c r="O807" s="172">
        <v>1</v>
      </c>
      <c r="P807" s="174">
        <v>0</v>
      </c>
    </row>
    <row r="808" spans="1:16" hidden="1">
      <c r="A808" s="169" t="s">
        <v>450</v>
      </c>
      <c r="B808" s="171" t="s">
        <v>467</v>
      </c>
      <c r="C808" s="171">
        <v>50</v>
      </c>
      <c r="D808" s="171">
        <v>50</v>
      </c>
      <c r="E808" s="171">
        <v>8</v>
      </c>
      <c r="F808" s="171">
        <v>11</v>
      </c>
      <c r="G808" s="171">
        <v>8</v>
      </c>
      <c r="H808" s="171">
        <v>13</v>
      </c>
      <c r="I808" s="171">
        <v>8</v>
      </c>
      <c r="J808" s="171">
        <v>1</v>
      </c>
      <c r="K808" s="171">
        <v>49</v>
      </c>
      <c r="L808" s="171">
        <v>3</v>
      </c>
      <c r="M808" s="171">
        <v>0</v>
      </c>
      <c r="N808" s="171">
        <v>1</v>
      </c>
      <c r="O808" s="171">
        <v>49</v>
      </c>
      <c r="P808" s="173">
        <v>1</v>
      </c>
    </row>
    <row r="809" spans="1:16" hidden="1">
      <c r="A809" s="170" t="s">
        <v>469</v>
      </c>
      <c r="B809" s="172" t="s">
        <v>467</v>
      </c>
      <c r="C809" s="172">
        <v>50</v>
      </c>
      <c r="D809" s="172">
        <v>15</v>
      </c>
      <c r="E809" s="172">
        <v>0</v>
      </c>
      <c r="F809" s="172">
        <v>4</v>
      </c>
      <c r="G809" s="172">
        <v>10</v>
      </c>
      <c r="H809" s="172">
        <v>3</v>
      </c>
      <c r="I809" s="172">
        <v>6</v>
      </c>
      <c r="J809" s="172">
        <v>0</v>
      </c>
      <c r="K809" s="172">
        <v>23</v>
      </c>
      <c r="L809" s="172">
        <v>5</v>
      </c>
      <c r="M809" s="172">
        <v>3</v>
      </c>
      <c r="N809" s="172">
        <v>23</v>
      </c>
      <c r="O809" s="172">
        <v>0</v>
      </c>
      <c r="P809" s="174">
        <v>0</v>
      </c>
    </row>
    <row r="810" spans="1:16">
      <c r="A810" s="169" t="s">
        <v>449</v>
      </c>
      <c r="B810" s="171" t="s">
        <v>467</v>
      </c>
      <c r="C810" s="171">
        <v>80</v>
      </c>
      <c r="D810" s="171">
        <v>20</v>
      </c>
      <c r="E810" s="171">
        <v>1</v>
      </c>
      <c r="F810" s="171">
        <v>4</v>
      </c>
      <c r="G810" s="171">
        <v>15</v>
      </c>
      <c r="H810" s="171">
        <v>5</v>
      </c>
      <c r="I810" s="171">
        <v>15</v>
      </c>
      <c r="J810" s="171">
        <v>0</v>
      </c>
      <c r="K810" s="171">
        <v>40</v>
      </c>
      <c r="L810" s="171">
        <v>28</v>
      </c>
      <c r="M810" s="171">
        <v>7</v>
      </c>
      <c r="N810" s="171">
        <v>2</v>
      </c>
      <c r="O810" s="171">
        <v>12</v>
      </c>
      <c r="P810" s="173">
        <v>0</v>
      </c>
    </row>
    <row r="811" spans="1:16" hidden="1">
      <c r="A811" s="170" t="s">
        <v>450</v>
      </c>
      <c r="B811" s="172" t="s">
        <v>467</v>
      </c>
      <c r="C811" s="172">
        <v>80</v>
      </c>
      <c r="D811" s="172">
        <v>80</v>
      </c>
      <c r="E811" s="172">
        <v>5</v>
      </c>
      <c r="F811" s="172">
        <v>12</v>
      </c>
      <c r="G811" s="172">
        <v>19</v>
      </c>
      <c r="H811" s="172">
        <v>24</v>
      </c>
      <c r="I811" s="172">
        <v>13</v>
      </c>
      <c r="J811" s="172">
        <v>1</v>
      </c>
      <c r="K811" s="172">
        <v>74</v>
      </c>
      <c r="L811" s="172">
        <v>60</v>
      </c>
      <c r="M811" s="172">
        <v>9</v>
      </c>
      <c r="N811" s="172">
        <v>5</v>
      </c>
      <c r="O811" s="172">
        <v>19</v>
      </c>
      <c r="P811" s="174">
        <v>0</v>
      </c>
    </row>
    <row r="812" spans="1:16">
      <c r="A812" s="169" t="s">
        <v>449</v>
      </c>
      <c r="B812" s="171" t="s">
        <v>467</v>
      </c>
      <c r="C812" s="171">
        <v>60</v>
      </c>
      <c r="D812" s="171">
        <v>20</v>
      </c>
      <c r="E812" s="171">
        <v>1</v>
      </c>
      <c r="F812" s="171">
        <v>8</v>
      </c>
      <c r="G812" s="171">
        <v>13</v>
      </c>
      <c r="H812" s="171">
        <v>13</v>
      </c>
      <c r="I812" s="171">
        <v>11</v>
      </c>
      <c r="J812" s="171">
        <v>1</v>
      </c>
      <c r="K812" s="171">
        <v>47</v>
      </c>
      <c r="L812" s="171">
        <v>14</v>
      </c>
      <c r="M812" s="171">
        <v>5</v>
      </c>
      <c r="N812" s="171">
        <v>16</v>
      </c>
      <c r="O812" s="171">
        <v>24</v>
      </c>
      <c r="P812" s="173">
        <v>1</v>
      </c>
    </row>
    <row r="813" spans="1:16">
      <c r="A813" s="170" t="s">
        <v>449</v>
      </c>
      <c r="B813" s="172" t="s">
        <v>467</v>
      </c>
      <c r="C813" s="172">
        <v>17</v>
      </c>
      <c r="D813" s="172">
        <v>8</v>
      </c>
      <c r="E813" s="172">
        <v>0</v>
      </c>
      <c r="F813" s="172">
        <v>8</v>
      </c>
      <c r="G813" s="172">
        <v>3</v>
      </c>
      <c r="H813" s="172">
        <v>9</v>
      </c>
      <c r="I813" s="172">
        <v>3</v>
      </c>
      <c r="J813" s="172">
        <v>0</v>
      </c>
      <c r="K813" s="172">
        <v>23</v>
      </c>
      <c r="L813" s="172">
        <v>23</v>
      </c>
      <c r="M813" s="172">
        <v>0</v>
      </c>
      <c r="N813" s="172">
        <v>0</v>
      </c>
      <c r="O813" s="172">
        <v>0</v>
      </c>
      <c r="P813" s="174">
        <v>0</v>
      </c>
    </row>
    <row r="814" spans="1:16">
      <c r="A814" s="171" t="s">
        <v>449</v>
      </c>
      <c r="B814" s="171" t="s">
        <v>467</v>
      </c>
      <c r="C814" s="171">
        <v>85</v>
      </c>
      <c r="D814" s="171">
        <v>15</v>
      </c>
      <c r="E814" s="171">
        <v>2</v>
      </c>
      <c r="F814" s="171">
        <v>9</v>
      </c>
      <c r="G814" s="171">
        <v>16</v>
      </c>
      <c r="H814" s="171">
        <v>7</v>
      </c>
      <c r="I814" s="171">
        <v>5</v>
      </c>
      <c r="J814" s="171">
        <v>0</v>
      </c>
      <c r="K814" s="171">
        <v>39</v>
      </c>
      <c r="L814" s="171">
        <v>22</v>
      </c>
      <c r="M814" s="171">
        <v>6</v>
      </c>
      <c r="N814" s="171">
        <v>4</v>
      </c>
      <c r="O814" s="171">
        <v>15</v>
      </c>
      <c r="P814" s="173">
        <v>8</v>
      </c>
    </row>
    <row r="815" spans="1:16" hidden="1">
      <c r="A815" s="170" t="s">
        <v>301</v>
      </c>
      <c r="B815" s="172" t="s">
        <v>467</v>
      </c>
      <c r="C815" s="172">
        <v>25</v>
      </c>
      <c r="D815" s="172">
        <v>25</v>
      </c>
      <c r="E815" s="172">
        <v>41</v>
      </c>
      <c r="F815" s="172">
        <v>24</v>
      </c>
      <c r="G815" s="172">
        <v>2</v>
      </c>
      <c r="H815" s="172">
        <v>0</v>
      </c>
      <c r="I815" s="172">
        <v>0</v>
      </c>
      <c r="J815" s="172">
        <v>0</v>
      </c>
      <c r="K815" s="172">
        <v>67</v>
      </c>
      <c r="L815" s="172">
        <v>55</v>
      </c>
      <c r="M815" s="172">
        <v>4</v>
      </c>
      <c r="N815" s="172">
        <v>1</v>
      </c>
      <c r="O815" s="172">
        <v>18</v>
      </c>
      <c r="P815" s="174">
        <v>1</v>
      </c>
    </row>
    <row r="816" spans="1:16">
      <c r="A816" s="169" t="s">
        <v>449</v>
      </c>
      <c r="B816" s="171" t="s">
        <v>467</v>
      </c>
      <c r="C816" s="171">
        <v>100</v>
      </c>
      <c r="D816" s="171">
        <v>20</v>
      </c>
      <c r="E816" s="171">
        <v>4</v>
      </c>
      <c r="F816" s="171">
        <v>8</v>
      </c>
      <c r="G816" s="171">
        <v>32</v>
      </c>
      <c r="H816" s="171">
        <v>25</v>
      </c>
      <c r="I816" s="171">
        <v>32</v>
      </c>
      <c r="J816" s="171">
        <v>0</v>
      </c>
      <c r="K816" s="171">
        <v>101</v>
      </c>
      <c r="L816" s="171">
        <v>14</v>
      </c>
      <c r="M816" s="171">
        <v>11</v>
      </c>
      <c r="N816" s="171">
        <v>14</v>
      </c>
      <c r="O816" s="171">
        <v>65</v>
      </c>
      <c r="P816" s="173">
        <v>10</v>
      </c>
    </row>
    <row r="817" spans="1:16">
      <c r="A817" s="170" t="s">
        <v>449</v>
      </c>
      <c r="B817" s="172" t="s">
        <v>467</v>
      </c>
      <c r="C817" s="172">
        <v>45</v>
      </c>
      <c r="D817" s="172">
        <v>0</v>
      </c>
      <c r="E817" s="172">
        <v>0</v>
      </c>
      <c r="F817" s="172">
        <v>0</v>
      </c>
      <c r="G817" s="172">
        <v>10</v>
      </c>
      <c r="H817" s="172">
        <v>16</v>
      </c>
      <c r="I817" s="172">
        <v>23</v>
      </c>
      <c r="J817" s="172">
        <v>2</v>
      </c>
      <c r="K817" s="172">
        <v>51</v>
      </c>
      <c r="L817" s="172">
        <v>7</v>
      </c>
      <c r="M817" s="172">
        <v>13</v>
      </c>
      <c r="N817" s="172">
        <v>18</v>
      </c>
      <c r="O817" s="172">
        <v>21</v>
      </c>
      <c r="P817" s="174">
        <v>5</v>
      </c>
    </row>
    <row r="818" spans="1:16">
      <c r="A818" s="169" t="s">
        <v>449</v>
      </c>
      <c r="B818" s="171" t="s">
        <v>467</v>
      </c>
      <c r="C818" s="171">
        <v>35</v>
      </c>
      <c r="D818" s="171">
        <v>0</v>
      </c>
      <c r="E818" s="171">
        <v>0</v>
      </c>
      <c r="F818" s="171">
        <v>0</v>
      </c>
      <c r="G818" s="171">
        <v>4</v>
      </c>
      <c r="H818" s="171">
        <v>8</v>
      </c>
      <c r="I818" s="171">
        <v>11</v>
      </c>
      <c r="J818" s="171">
        <v>2</v>
      </c>
      <c r="K818" s="171">
        <v>25</v>
      </c>
      <c r="L818" s="171">
        <v>2</v>
      </c>
      <c r="M818" s="171">
        <v>9</v>
      </c>
      <c r="N818" s="171">
        <v>12</v>
      </c>
      <c r="O818" s="171">
        <v>10</v>
      </c>
      <c r="P818" s="173">
        <v>1</v>
      </c>
    </row>
    <row r="819" spans="1:16">
      <c r="A819" s="170" t="s">
        <v>449</v>
      </c>
      <c r="B819" s="172" t="s">
        <v>467</v>
      </c>
      <c r="C819" s="172">
        <v>40</v>
      </c>
      <c r="D819" s="172">
        <v>0</v>
      </c>
      <c r="E819" s="172">
        <v>0</v>
      </c>
      <c r="F819" s="172">
        <v>0</v>
      </c>
      <c r="G819" s="172">
        <v>0</v>
      </c>
      <c r="H819" s="172">
        <v>11</v>
      </c>
      <c r="I819" s="172">
        <v>20</v>
      </c>
      <c r="J819" s="172">
        <v>2</v>
      </c>
      <c r="K819" s="172">
        <v>33</v>
      </c>
      <c r="L819" s="172">
        <v>8</v>
      </c>
      <c r="M819" s="172">
        <v>1</v>
      </c>
      <c r="N819" s="172">
        <v>2</v>
      </c>
      <c r="O819" s="172">
        <v>25</v>
      </c>
      <c r="P819" s="174">
        <v>0</v>
      </c>
    </row>
    <row r="820" spans="1:16">
      <c r="A820" s="169" t="s">
        <v>449</v>
      </c>
      <c r="B820" s="171" t="s">
        <v>467</v>
      </c>
      <c r="C820" s="171">
        <v>100</v>
      </c>
      <c r="D820" s="171">
        <v>25</v>
      </c>
      <c r="E820" s="171">
        <v>2</v>
      </c>
      <c r="F820" s="171">
        <v>12</v>
      </c>
      <c r="G820" s="171">
        <v>17</v>
      </c>
      <c r="H820" s="171">
        <v>13</v>
      </c>
      <c r="I820" s="171">
        <v>13</v>
      </c>
      <c r="J820" s="171">
        <v>1</v>
      </c>
      <c r="K820" s="171">
        <v>58</v>
      </c>
      <c r="L820" s="171">
        <v>38</v>
      </c>
      <c r="M820" s="171">
        <v>7</v>
      </c>
      <c r="N820" s="171">
        <v>4</v>
      </c>
      <c r="O820" s="171">
        <v>19</v>
      </c>
      <c r="P820" s="173">
        <v>3</v>
      </c>
    </row>
    <row r="821" spans="1:16">
      <c r="A821" s="170" t="s">
        <v>449</v>
      </c>
      <c r="B821" s="172" t="s">
        <v>467</v>
      </c>
      <c r="C821" s="172">
        <v>80</v>
      </c>
      <c r="D821" s="172">
        <v>20</v>
      </c>
      <c r="E821" s="172">
        <v>5</v>
      </c>
      <c r="F821" s="172">
        <v>13</v>
      </c>
      <c r="G821" s="172">
        <v>23</v>
      </c>
      <c r="H821" s="172">
        <v>15</v>
      </c>
      <c r="I821" s="172">
        <v>4</v>
      </c>
      <c r="J821" s="172">
        <v>0</v>
      </c>
      <c r="K821" s="172">
        <v>60</v>
      </c>
      <c r="L821" s="172">
        <v>17</v>
      </c>
      <c r="M821" s="172">
        <v>9</v>
      </c>
      <c r="N821" s="172">
        <v>6</v>
      </c>
      <c r="O821" s="172">
        <v>38</v>
      </c>
      <c r="P821" s="174">
        <v>10</v>
      </c>
    </row>
    <row r="822" spans="1:16">
      <c r="A822" s="169" t="s">
        <v>449</v>
      </c>
      <c r="B822" s="171" t="s">
        <v>467</v>
      </c>
      <c r="C822" s="171">
        <v>60</v>
      </c>
      <c r="D822" s="171">
        <v>0</v>
      </c>
      <c r="E822" s="171">
        <v>0</v>
      </c>
      <c r="F822" s="171">
        <v>0</v>
      </c>
      <c r="G822" s="171">
        <v>20</v>
      </c>
      <c r="H822" s="171">
        <v>22</v>
      </c>
      <c r="I822" s="171">
        <v>18</v>
      </c>
      <c r="J822" s="171">
        <v>0</v>
      </c>
      <c r="K822" s="171">
        <v>60</v>
      </c>
      <c r="L822" s="171">
        <v>16</v>
      </c>
      <c r="M822" s="171">
        <v>16</v>
      </c>
      <c r="N822" s="171">
        <v>19</v>
      </c>
      <c r="O822" s="171">
        <v>25</v>
      </c>
      <c r="P822" s="173">
        <v>0</v>
      </c>
    </row>
    <row r="823" spans="1:16">
      <c r="A823" s="170" t="s">
        <v>449</v>
      </c>
      <c r="B823" s="172" t="s">
        <v>467</v>
      </c>
      <c r="C823" s="172">
        <v>145</v>
      </c>
      <c r="D823" s="172">
        <v>50</v>
      </c>
      <c r="E823" s="172">
        <v>2</v>
      </c>
      <c r="F823" s="172">
        <v>15</v>
      </c>
      <c r="G823" s="172">
        <v>21</v>
      </c>
      <c r="H823" s="172">
        <v>17</v>
      </c>
      <c r="I823" s="172">
        <v>33</v>
      </c>
      <c r="J823" s="172">
        <v>3</v>
      </c>
      <c r="K823" s="172">
        <v>91</v>
      </c>
      <c r="L823" s="172">
        <v>33</v>
      </c>
      <c r="M823" s="172">
        <v>0</v>
      </c>
      <c r="N823" s="172">
        <v>3</v>
      </c>
      <c r="O823" s="172">
        <v>68</v>
      </c>
      <c r="P823" s="174">
        <v>6</v>
      </c>
    </row>
    <row r="824" spans="1:16">
      <c r="A824" s="169" t="s">
        <v>449</v>
      </c>
      <c r="B824" s="171" t="s">
        <v>467</v>
      </c>
      <c r="C824" s="171">
        <v>80</v>
      </c>
      <c r="D824" s="171">
        <v>25</v>
      </c>
      <c r="E824" s="171">
        <v>6</v>
      </c>
      <c r="F824" s="171">
        <v>21</v>
      </c>
      <c r="G824" s="171">
        <v>17</v>
      </c>
      <c r="H824" s="171">
        <v>19</v>
      </c>
      <c r="I824" s="171">
        <v>23</v>
      </c>
      <c r="J824" s="171">
        <v>0</v>
      </c>
      <c r="K824" s="171">
        <v>86</v>
      </c>
      <c r="L824" s="171">
        <v>86</v>
      </c>
      <c r="M824" s="171">
        <v>12</v>
      </c>
      <c r="N824" s="171">
        <v>5</v>
      </c>
      <c r="O824" s="171">
        <v>1</v>
      </c>
      <c r="P824" s="173">
        <v>1</v>
      </c>
    </row>
    <row r="825" spans="1:16" hidden="1">
      <c r="A825" s="170" t="s">
        <v>452</v>
      </c>
      <c r="B825" s="172" t="s">
        <v>467</v>
      </c>
      <c r="C825" s="172">
        <v>40</v>
      </c>
      <c r="D825" s="172">
        <v>0</v>
      </c>
      <c r="E825" s="172">
        <v>0</v>
      </c>
      <c r="F825" s="172">
        <v>0</v>
      </c>
      <c r="G825" s="172">
        <v>1</v>
      </c>
      <c r="H825" s="172">
        <v>21</v>
      </c>
      <c r="I825" s="172">
        <v>29</v>
      </c>
      <c r="J825" s="172">
        <v>1</v>
      </c>
      <c r="K825" s="172">
        <v>52</v>
      </c>
      <c r="L825" s="172">
        <v>13</v>
      </c>
      <c r="M825" s="172">
        <v>5</v>
      </c>
      <c r="N825" s="172">
        <v>7</v>
      </c>
      <c r="O825" s="172">
        <v>30</v>
      </c>
      <c r="P825" s="174">
        <v>5</v>
      </c>
    </row>
    <row r="826" spans="1:16" hidden="1">
      <c r="A826" s="169" t="s">
        <v>450</v>
      </c>
      <c r="B826" s="171" t="s">
        <v>467</v>
      </c>
      <c r="C826" s="171">
        <v>50</v>
      </c>
      <c r="D826" s="171">
        <v>50</v>
      </c>
      <c r="E826" s="171">
        <v>4</v>
      </c>
      <c r="F826" s="171">
        <v>10</v>
      </c>
      <c r="G826" s="171">
        <v>9</v>
      </c>
      <c r="H826" s="171">
        <v>9</v>
      </c>
      <c r="I826" s="171">
        <v>10</v>
      </c>
      <c r="J826" s="171">
        <v>0</v>
      </c>
      <c r="K826" s="171">
        <v>42</v>
      </c>
      <c r="L826" s="171">
        <v>0</v>
      </c>
      <c r="M826" s="171">
        <v>0</v>
      </c>
      <c r="N826" s="171">
        <v>0</v>
      </c>
      <c r="O826" s="171">
        <v>42</v>
      </c>
      <c r="P826" s="173">
        <v>0</v>
      </c>
    </row>
    <row r="827" spans="1:16">
      <c r="A827" s="170" t="s">
        <v>449</v>
      </c>
      <c r="B827" s="172" t="s">
        <v>467</v>
      </c>
      <c r="C827" s="172">
        <v>48</v>
      </c>
      <c r="D827" s="172">
        <v>10</v>
      </c>
      <c r="E827" s="172">
        <v>0</v>
      </c>
      <c r="F827" s="172">
        <v>6</v>
      </c>
      <c r="G827" s="172">
        <v>7</v>
      </c>
      <c r="H827" s="172">
        <v>11</v>
      </c>
      <c r="I827" s="172">
        <v>10</v>
      </c>
      <c r="J827" s="172">
        <v>1</v>
      </c>
      <c r="K827" s="172">
        <v>35</v>
      </c>
      <c r="L827" s="172">
        <v>2</v>
      </c>
      <c r="M827" s="172">
        <v>0</v>
      </c>
      <c r="N827" s="172">
        <v>0</v>
      </c>
      <c r="O827" s="172">
        <v>33</v>
      </c>
      <c r="P827" s="174">
        <v>0</v>
      </c>
    </row>
    <row r="828" spans="1:16">
      <c r="A828" s="171" t="s">
        <v>449</v>
      </c>
      <c r="B828" s="171" t="s">
        <v>467</v>
      </c>
      <c r="C828" s="171">
        <v>50</v>
      </c>
      <c r="D828" s="171">
        <v>10</v>
      </c>
      <c r="E828" s="171">
        <v>0</v>
      </c>
      <c r="F828" s="171">
        <v>2</v>
      </c>
      <c r="G828" s="171">
        <v>5</v>
      </c>
      <c r="H828" s="171">
        <v>8</v>
      </c>
      <c r="I828" s="171">
        <v>17</v>
      </c>
      <c r="J828" s="171">
        <v>0</v>
      </c>
      <c r="K828" s="171">
        <v>32</v>
      </c>
      <c r="L828" s="171">
        <v>2</v>
      </c>
      <c r="M828" s="171">
        <v>15</v>
      </c>
      <c r="N828" s="171">
        <v>23</v>
      </c>
      <c r="O828" s="171">
        <v>5</v>
      </c>
      <c r="P828" s="173">
        <v>0</v>
      </c>
    </row>
    <row r="829" spans="1:16">
      <c r="A829" s="170" t="s">
        <v>449</v>
      </c>
      <c r="B829" s="172" t="s">
        <v>467</v>
      </c>
      <c r="C829" s="172">
        <v>30</v>
      </c>
      <c r="D829" s="172">
        <v>0</v>
      </c>
      <c r="E829" s="172">
        <v>0</v>
      </c>
      <c r="F829" s="172">
        <v>0</v>
      </c>
      <c r="G829" s="172">
        <v>6</v>
      </c>
      <c r="H829" s="172">
        <v>10</v>
      </c>
      <c r="I829" s="172">
        <v>17</v>
      </c>
      <c r="J829" s="172">
        <v>1</v>
      </c>
      <c r="K829" s="172">
        <v>34</v>
      </c>
      <c r="L829" s="172">
        <v>26</v>
      </c>
      <c r="M829" s="172">
        <v>1</v>
      </c>
      <c r="N829" s="172">
        <v>1</v>
      </c>
      <c r="O829" s="172">
        <v>7</v>
      </c>
      <c r="P829" s="174">
        <v>3</v>
      </c>
    </row>
    <row r="830" spans="1:16">
      <c r="A830" s="169" t="s">
        <v>449</v>
      </c>
      <c r="B830" s="171" t="s">
        <v>467</v>
      </c>
      <c r="C830" s="171">
        <v>74</v>
      </c>
      <c r="D830" s="171">
        <v>10</v>
      </c>
      <c r="E830" s="171">
        <v>2</v>
      </c>
      <c r="F830" s="171">
        <v>3</v>
      </c>
      <c r="G830" s="171">
        <v>9</v>
      </c>
      <c r="H830" s="171">
        <v>15</v>
      </c>
      <c r="I830" s="171">
        <v>27</v>
      </c>
      <c r="J830" s="171">
        <v>5</v>
      </c>
      <c r="K830" s="171">
        <v>61</v>
      </c>
      <c r="L830" s="171">
        <v>19</v>
      </c>
      <c r="M830" s="171">
        <v>20</v>
      </c>
      <c r="N830" s="171">
        <v>41</v>
      </c>
      <c r="O830" s="171">
        <v>11</v>
      </c>
      <c r="P830" s="173">
        <v>0</v>
      </c>
    </row>
    <row r="831" spans="1:16" hidden="1">
      <c r="A831" s="170" t="s">
        <v>450</v>
      </c>
      <c r="B831" s="172" t="s">
        <v>467</v>
      </c>
      <c r="C831" s="172">
        <v>60</v>
      </c>
      <c r="D831" s="172">
        <v>60</v>
      </c>
      <c r="E831" s="172">
        <v>1</v>
      </c>
      <c r="F831" s="172">
        <v>0</v>
      </c>
      <c r="G831" s="172">
        <v>1</v>
      </c>
      <c r="H831" s="172">
        <v>0</v>
      </c>
      <c r="I831" s="172">
        <v>0</v>
      </c>
      <c r="J831" s="172">
        <v>0</v>
      </c>
      <c r="K831" s="172">
        <v>2</v>
      </c>
      <c r="L831" s="172">
        <v>2</v>
      </c>
      <c r="M831" s="172">
        <v>0</v>
      </c>
      <c r="N831" s="172">
        <v>0</v>
      </c>
      <c r="O831" s="172">
        <v>2</v>
      </c>
      <c r="P831" s="174">
        <v>0</v>
      </c>
    </row>
    <row r="832" spans="1:16">
      <c r="A832" s="169" t="s">
        <v>449</v>
      </c>
      <c r="B832" s="171" t="s">
        <v>467</v>
      </c>
      <c r="C832" s="171">
        <v>75</v>
      </c>
      <c r="D832" s="171">
        <v>25</v>
      </c>
      <c r="E832" s="171">
        <v>1</v>
      </c>
      <c r="F832" s="171">
        <v>14</v>
      </c>
      <c r="G832" s="171">
        <v>20</v>
      </c>
      <c r="H832" s="171">
        <v>20</v>
      </c>
      <c r="I832" s="171">
        <v>23</v>
      </c>
      <c r="J832" s="171">
        <v>0</v>
      </c>
      <c r="K832" s="171">
        <v>78</v>
      </c>
      <c r="L832" s="171">
        <v>23</v>
      </c>
      <c r="M832" s="171">
        <v>3</v>
      </c>
      <c r="N832" s="171">
        <v>1</v>
      </c>
      <c r="O832" s="171">
        <v>52</v>
      </c>
      <c r="P832" s="173">
        <v>5</v>
      </c>
    </row>
    <row r="833" spans="1:16">
      <c r="A833" s="170" t="s">
        <v>449</v>
      </c>
      <c r="B833" s="172" t="s">
        <v>467</v>
      </c>
      <c r="C833" s="172">
        <v>35</v>
      </c>
      <c r="D833" s="172">
        <v>0</v>
      </c>
      <c r="E833" s="172">
        <v>0</v>
      </c>
      <c r="F833" s="172">
        <v>0</v>
      </c>
      <c r="G833" s="172">
        <v>8</v>
      </c>
      <c r="H833" s="172">
        <v>6</v>
      </c>
      <c r="I833" s="172">
        <v>11</v>
      </c>
      <c r="J833" s="172">
        <v>0</v>
      </c>
      <c r="K833" s="172">
        <v>25</v>
      </c>
      <c r="L833" s="172">
        <v>4</v>
      </c>
      <c r="M833" s="172">
        <v>3</v>
      </c>
      <c r="N833" s="172">
        <v>5</v>
      </c>
      <c r="O833" s="172">
        <v>17</v>
      </c>
      <c r="P833" s="174">
        <v>0</v>
      </c>
    </row>
    <row r="834" spans="1:16">
      <c r="A834" s="169" t="s">
        <v>449</v>
      </c>
      <c r="B834" s="171" t="s">
        <v>467</v>
      </c>
      <c r="C834" s="171">
        <v>80</v>
      </c>
      <c r="D834" s="171">
        <v>25</v>
      </c>
      <c r="E834" s="171">
        <v>3</v>
      </c>
      <c r="F834" s="171">
        <v>23</v>
      </c>
      <c r="G834" s="171">
        <v>19</v>
      </c>
      <c r="H834" s="171">
        <v>13</v>
      </c>
      <c r="I834" s="171">
        <v>25</v>
      </c>
      <c r="J834" s="171">
        <v>0</v>
      </c>
      <c r="K834" s="171">
        <v>83</v>
      </c>
      <c r="L834" s="171">
        <v>67</v>
      </c>
      <c r="M834" s="171">
        <v>9</v>
      </c>
      <c r="N834" s="171">
        <v>3</v>
      </c>
      <c r="O834" s="171">
        <v>18</v>
      </c>
      <c r="P834" s="173">
        <v>5</v>
      </c>
    </row>
    <row r="835" spans="1:16">
      <c r="A835" s="170" t="s">
        <v>449</v>
      </c>
      <c r="B835" s="172" t="s">
        <v>467</v>
      </c>
      <c r="C835" s="172">
        <v>80</v>
      </c>
      <c r="D835" s="172">
        <v>25</v>
      </c>
      <c r="E835" s="172">
        <v>0</v>
      </c>
      <c r="F835" s="172">
        <v>7</v>
      </c>
      <c r="G835" s="172">
        <v>4</v>
      </c>
      <c r="H835" s="172">
        <v>14</v>
      </c>
      <c r="I835" s="172">
        <v>3</v>
      </c>
      <c r="J835" s="172">
        <v>0</v>
      </c>
      <c r="K835" s="172">
        <v>28</v>
      </c>
      <c r="L835" s="172">
        <v>3</v>
      </c>
      <c r="M835" s="172">
        <v>0</v>
      </c>
      <c r="N835" s="172">
        <v>13</v>
      </c>
      <c r="O835" s="172">
        <v>9</v>
      </c>
      <c r="P835" s="174">
        <v>8</v>
      </c>
    </row>
    <row r="836" spans="1:16" hidden="1">
      <c r="A836" s="169" t="s">
        <v>450</v>
      </c>
      <c r="B836" s="171" t="s">
        <v>467</v>
      </c>
      <c r="C836" s="171">
        <v>60</v>
      </c>
      <c r="D836" s="171">
        <v>60</v>
      </c>
      <c r="E836" s="171">
        <v>5</v>
      </c>
      <c r="F836" s="171">
        <v>7</v>
      </c>
      <c r="G836" s="171">
        <v>8</v>
      </c>
      <c r="H836" s="171">
        <v>12</v>
      </c>
      <c r="I836" s="171">
        <v>9</v>
      </c>
      <c r="J836" s="171">
        <v>2</v>
      </c>
      <c r="K836" s="171">
        <v>43</v>
      </c>
      <c r="L836" s="171">
        <v>0</v>
      </c>
      <c r="M836" s="171">
        <v>1</v>
      </c>
      <c r="N836" s="171">
        <v>42</v>
      </c>
      <c r="O836" s="171">
        <v>1</v>
      </c>
      <c r="P836" s="173">
        <v>0</v>
      </c>
    </row>
    <row r="837" spans="1:16">
      <c r="A837" s="170" t="s">
        <v>449</v>
      </c>
      <c r="B837" s="172" t="s">
        <v>467</v>
      </c>
      <c r="C837" s="172">
        <v>30</v>
      </c>
      <c r="D837" s="172">
        <v>8</v>
      </c>
      <c r="E837" s="172">
        <v>0</v>
      </c>
      <c r="F837" s="172">
        <v>0</v>
      </c>
      <c r="G837" s="172">
        <v>2</v>
      </c>
      <c r="H837" s="172">
        <v>3</v>
      </c>
      <c r="I837" s="172">
        <v>5</v>
      </c>
      <c r="J837" s="172">
        <v>0</v>
      </c>
      <c r="K837" s="172">
        <v>10</v>
      </c>
      <c r="L837" s="172">
        <v>9</v>
      </c>
      <c r="M837" s="172">
        <v>2</v>
      </c>
      <c r="N837" s="172">
        <v>0</v>
      </c>
      <c r="O837" s="172">
        <v>1</v>
      </c>
      <c r="P837" s="174">
        <v>0</v>
      </c>
    </row>
    <row r="838" spans="1:16">
      <c r="A838" s="169" t="s">
        <v>449</v>
      </c>
      <c r="B838" s="171" t="s">
        <v>467</v>
      </c>
      <c r="C838" s="171">
        <v>125</v>
      </c>
      <c r="D838" s="171">
        <v>50</v>
      </c>
      <c r="E838" s="171">
        <v>9</v>
      </c>
      <c r="F838" s="171">
        <v>24</v>
      </c>
      <c r="G838" s="171">
        <v>25</v>
      </c>
      <c r="H838" s="171">
        <v>27</v>
      </c>
      <c r="I838" s="171">
        <v>29</v>
      </c>
      <c r="J838" s="171">
        <v>1</v>
      </c>
      <c r="K838" s="171">
        <v>115</v>
      </c>
      <c r="L838" s="171">
        <v>62</v>
      </c>
      <c r="M838" s="171">
        <v>33</v>
      </c>
      <c r="N838" s="171">
        <v>19</v>
      </c>
      <c r="O838" s="171">
        <v>33</v>
      </c>
      <c r="P838" s="173">
        <v>9</v>
      </c>
    </row>
    <row r="839" spans="1:16">
      <c r="A839" s="172" t="s">
        <v>449</v>
      </c>
      <c r="B839" s="172" t="s">
        <v>467</v>
      </c>
      <c r="C839" s="172">
        <v>49</v>
      </c>
      <c r="D839" s="172">
        <v>15</v>
      </c>
      <c r="E839" s="172">
        <v>2</v>
      </c>
      <c r="F839" s="172">
        <v>7</v>
      </c>
      <c r="G839" s="172">
        <v>7</v>
      </c>
      <c r="H839" s="172">
        <v>13</v>
      </c>
      <c r="I839" s="172">
        <v>15</v>
      </c>
      <c r="J839" s="172">
        <v>0</v>
      </c>
      <c r="K839" s="172">
        <v>44</v>
      </c>
      <c r="L839" s="172">
        <v>8</v>
      </c>
      <c r="M839" s="172">
        <v>3</v>
      </c>
      <c r="N839" s="172">
        <v>8</v>
      </c>
      <c r="O839" s="172">
        <v>36</v>
      </c>
      <c r="P839" s="174">
        <v>0</v>
      </c>
    </row>
    <row r="840" spans="1:16" hidden="1">
      <c r="A840" s="171" t="s">
        <v>450</v>
      </c>
      <c r="B840" s="171" t="s">
        <v>467</v>
      </c>
      <c r="C840" s="171">
        <v>80</v>
      </c>
      <c r="D840" s="171">
        <v>80</v>
      </c>
      <c r="E840" s="171">
        <v>4</v>
      </c>
      <c r="F840" s="171">
        <v>13</v>
      </c>
      <c r="G840" s="171">
        <v>11</v>
      </c>
      <c r="H840" s="171">
        <v>10</v>
      </c>
      <c r="I840" s="171">
        <v>8</v>
      </c>
      <c r="J840" s="171">
        <v>0</v>
      </c>
      <c r="K840" s="171">
        <v>46</v>
      </c>
      <c r="L840" s="171">
        <v>39</v>
      </c>
      <c r="M840" s="171">
        <v>1</v>
      </c>
      <c r="N840" s="171">
        <v>1</v>
      </c>
      <c r="O840" s="171">
        <v>7</v>
      </c>
      <c r="P840" s="173">
        <v>2</v>
      </c>
    </row>
    <row r="841" spans="1:16">
      <c r="A841" s="172" t="s">
        <v>449</v>
      </c>
      <c r="B841" s="172" t="s">
        <v>467</v>
      </c>
      <c r="C841" s="172">
        <v>75</v>
      </c>
      <c r="D841" s="172">
        <v>25</v>
      </c>
      <c r="E841" s="172">
        <v>4</v>
      </c>
      <c r="F841" s="172">
        <v>7</v>
      </c>
      <c r="G841" s="172">
        <v>20</v>
      </c>
      <c r="H841" s="172">
        <v>15</v>
      </c>
      <c r="I841" s="172">
        <v>19</v>
      </c>
      <c r="J841" s="172">
        <v>0</v>
      </c>
      <c r="K841" s="172">
        <v>65</v>
      </c>
      <c r="L841" s="172">
        <v>34</v>
      </c>
      <c r="M841" s="172">
        <v>9</v>
      </c>
      <c r="N841" s="172">
        <v>2</v>
      </c>
      <c r="O841" s="172">
        <v>31</v>
      </c>
      <c r="P841" s="174">
        <v>2</v>
      </c>
    </row>
    <row r="842" spans="1:16">
      <c r="A842" s="171" t="s">
        <v>449</v>
      </c>
      <c r="B842" s="171" t="s">
        <v>467</v>
      </c>
      <c r="C842" s="171">
        <v>50</v>
      </c>
      <c r="D842" s="171">
        <v>10</v>
      </c>
      <c r="E842" s="171">
        <v>2</v>
      </c>
      <c r="F842" s="171">
        <v>2</v>
      </c>
      <c r="G842" s="171">
        <v>4</v>
      </c>
      <c r="H842" s="171">
        <v>12</v>
      </c>
      <c r="I842" s="171">
        <v>8</v>
      </c>
      <c r="J842" s="171">
        <v>0</v>
      </c>
      <c r="K842" s="171">
        <v>28</v>
      </c>
      <c r="L842" s="171">
        <v>23</v>
      </c>
      <c r="M842" s="171">
        <v>3</v>
      </c>
      <c r="N842" s="171">
        <v>3</v>
      </c>
      <c r="O842" s="171">
        <v>5</v>
      </c>
      <c r="P842" s="173">
        <v>0</v>
      </c>
    </row>
    <row r="843" spans="1:16">
      <c r="A843" s="172" t="s">
        <v>449</v>
      </c>
      <c r="B843" s="172" t="s">
        <v>467</v>
      </c>
      <c r="C843" s="172">
        <v>33</v>
      </c>
      <c r="D843" s="172">
        <v>8</v>
      </c>
      <c r="E843" s="172">
        <v>0</v>
      </c>
      <c r="F843" s="172">
        <v>5</v>
      </c>
      <c r="G843" s="172">
        <v>7</v>
      </c>
      <c r="H843" s="172">
        <v>10</v>
      </c>
      <c r="I843" s="172">
        <v>5</v>
      </c>
      <c r="J843" s="172">
        <v>0</v>
      </c>
      <c r="K843" s="172">
        <v>27</v>
      </c>
      <c r="L843" s="172">
        <v>21</v>
      </c>
      <c r="M843" s="172">
        <v>2</v>
      </c>
      <c r="N843" s="172">
        <v>0</v>
      </c>
      <c r="O843" s="172">
        <v>12</v>
      </c>
      <c r="P843" s="174">
        <v>1</v>
      </c>
    </row>
    <row r="844" spans="1:16" hidden="1">
      <c r="A844" s="169" t="s">
        <v>471</v>
      </c>
      <c r="B844" s="171" t="s">
        <v>467</v>
      </c>
      <c r="C844" s="171">
        <v>45</v>
      </c>
      <c r="D844" s="171">
        <v>0</v>
      </c>
      <c r="E844" s="171">
        <v>0</v>
      </c>
      <c r="F844" s="171">
        <v>0</v>
      </c>
      <c r="G844" s="171">
        <v>8</v>
      </c>
      <c r="H844" s="171">
        <v>18</v>
      </c>
      <c r="I844" s="171">
        <v>17</v>
      </c>
      <c r="J844" s="171">
        <v>1</v>
      </c>
      <c r="K844" s="171">
        <v>44</v>
      </c>
      <c r="L844" s="171">
        <v>14</v>
      </c>
      <c r="M844" s="171">
        <v>28</v>
      </c>
      <c r="N844" s="171">
        <v>27</v>
      </c>
      <c r="O844" s="171">
        <v>6</v>
      </c>
      <c r="P844" s="173">
        <v>0</v>
      </c>
    </row>
    <row r="845" spans="1:16">
      <c r="A845" s="170" t="s">
        <v>449</v>
      </c>
      <c r="B845" s="172" t="s">
        <v>467</v>
      </c>
      <c r="C845" s="172">
        <v>50</v>
      </c>
      <c r="D845" s="172">
        <v>0</v>
      </c>
      <c r="E845" s="172">
        <v>0</v>
      </c>
      <c r="F845" s="172">
        <v>0</v>
      </c>
      <c r="G845" s="172">
        <v>11</v>
      </c>
      <c r="H845" s="172">
        <v>17</v>
      </c>
      <c r="I845" s="172">
        <v>14</v>
      </c>
      <c r="J845" s="172">
        <v>0</v>
      </c>
      <c r="K845" s="172">
        <v>42</v>
      </c>
      <c r="L845" s="172">
        <v>29</v>
      </c>
      <c r="M845" s="172">
        <v>3</v>
      </c>
      <c r="N845" s="172">
        <v>7</v>
      </c>
      <c r="O845" s="172">
        <v>7</v>
      </c>
      <c r="P845" s="174">
        <v>8</v>
      </c>
    </row>
    <row r="846" spans="1:16">
      <c r="A846" s="169" t="s">
        <v>449</v>
      </c>
      <c r="B846" s="171" t="s">
        <v>467</v>
      </c>
      <c r="C846" s="171">
        <v>34</v>
      </c>
      <c r="D846" s="171">
        <v>0</v>
      </c>
      <c r="E846" s="171">
        <v>0</v>
      </c>
      <c r="F846" s="171">
        <v>0</v>
      </c>
      <c r="G846" s="171">
        <v>12</v>
      </c>
      <c r="H846" s="171">
        <v>15</v>
      </c>
      <c r="I846" s="171">
        <v>20</v>
      </c>
      <c r="J846" s="171">
        <v>1</v>
      </c>
      <c r="K846" s="171">
        <v>48</v>
      </c>
      <c r="L846" s="171">
        <v>42</v>
      </c>
      <c r="M846" s="171">
        <v>10</v>
      </c>
      <c r="N846" s="171">
        <v>3</v>
      </c>
      <c r="O846" s="171">
        <v>5</v>
      </c>
      <c r="P846" s="173">
        <v>6</v>
      </c>
    </row>
    <row r="847" spans="1:16">
      <c r="A847" s="170" t="s">
        <v>449</v>
      </c>
      <c r="B847" s="172" t="s">
        <v>467</v>
      </c>
      <c r="C847" s="172">
        <v>100</v>
      </c>
      <c r="D847" s="172">
        <v>25</v>
      </c>
      <c r="E847" s="172">
        <v>2</v>
      </c>
      <c r="F847" s="172">
        <v>12</v>
      </c>
      <c r="G847" s="172">
        <v>24</v>
      </c>
      <c r="H847" s="172">
        <v>20</v>
      </c>
      <c r="I847" s="172">
        <v>23</v>
      </c>
      <c r="J847" s="172">
        <v>1</v>
      </c>
      <c r="K847" s="172">
        <v>82</v>
      </c>
      <c r="L847" s="172">
        <v>70</v>
      </c>
      <c r="M847" s="172">
        <v>19</v>
      </c>
      <c r="N847" s="172">
        <v>8</v>
      </c>
      <c r="O847" s="172">
        <v>14</v>
      </c>
      <c r="P847" s="174">
        <v>1</v>
      </c>
    </row>
    <row r="848" spans="1:16">
      <c r="A848" s="171" t="s">
        <v>449</v>
      </c>
      <c r="B848" s="171" t="s">
        <v>467</v>
      </c>
      <c r="C848" s="171">
        <v>90</v>
      </c>
      <c r="D848" s="171">
        <v>25</v>
      </c>
      <c r="E848" s="171">
        <v>3</v>
      </c>
      <c r="F848" s="171">
        <v>15</v>
      </c>
      <c r="G848" s="171">
        <v>17</v>
      </c>
      <c r="H848" s="171">
        <v>24</v>
      </c>
      <c r="I848" s="171">
        <v>24</v>
      </c>
      <c r="J848" s="171">
        <v>0</v>
      </c>
      <c r="K848" s="171">
        <v>83</v>
      </c>
      <c r="L848" s="171">
        <v>36</v>
      </c>
      <c r="M848" s="171">
        <v>3</v>
      </c>
      <c r="N848" s="171">
        <v>0</v>
      </c>
      <c r="O848" s="171">
        <v>47</v>
      </c>
      <c r="P848" s="173">
        <v>4</v>
      </c>
    </row>
    <row r="849" spans="1:16">
      <c r="A849" s="172" t="s">
        <v>449</v>
      </c>
      <c r="B849" s="172" t="s">
        <v>467</v>
      </c>
      <c r="C849" s="172">
        <v>37</v>
      </c>
      <c r="D849" s="172">
        <v>0</v>
      </c>
      <c r="E849" s="172">
        <v>0</v>
      </c>
      <c r="F849" s="172">
        <v>0</v>
      </c>
      <c r="G849" s="172">
        <v>1</v>
      </c>
      <c r="H849" s="172">
        <v>12</v>
      </c>
      <c r="I849" s="172">
        <v>6</v>
      </c>
      <c r="J849" s="172">
        <v>1</v>
      </c>
      <c r="K849" s="172">
        <v>20</v>
      </c>
      <c r="L849" s="172">
        <v>8</v>
      </c>
      <c r="M849" s="172">
        <v>3</v>
      </c>
      <c r="N849" s="172">
        <v>3</v>
      </c>
      <c r="O849" s="172">
        <v>13</v>
      </c>
      <c r="P849" s="174">
        <v>0</v>
      </c>
    </row>
    <row r="850" spans="1:16">
      <c r="A850" s="171" t="s">
        <v>449</v>
      </c>
      <c r="B850" s="171" t="s">
        <v>467</v>
      </c>
      <c r="C850" s="171">
        <v>100</v>
      </c>
      <c r="D850" s="171">
        <v>25</v>
      </c>
      <c r="E850" s="171">
        <v>1</v>
      </c>
      <c r="F850" s="171">
        <v>12</v>
      </c>
      <c r="G850" s="171">
        <v>22</v>
      </c>
      <c r="H850" s="171">
        <v>38</v>
      </c>
      <c r="I850" s="171">
        <v>47</v>
      </c>
      <c r="J850" s="171">
        <v>7</v>
      </c>
      <c r="K850" s="171">
        <v>127</v>
      </c>
      <c r="L850" s="171">
        <v>23</v>
      </c>
      <c r="M850" s="171">
        <v>4</v>
      </c>
      <c r="N850" s="171">
        <v>9</v>
      </c>
      <c r="O850" s="171">
        <v>110</v>
      </c>
      <c r="P850" s="173">
        <v>6</v>
      </c>
    </row>
    <row r="851" spans="1:16">
      <c r="A851" s="172" t="s">
        <v>449</v>
      </c>
      <c r="B851" s="172" t="s">
        <v>467</v>
      </c>
      <c r="C851" s="172">
        <v>30</v>
      </c>
      <c r="D851" s="172">
        <v>25</v>
      </c>
      <c r="E851" s="172">
        <v>3</v>
      </c>
      <c r="F851" s="172">
        <v>8</v>
      </c>
      <c r="G851" s="172">
        <v>4</v>
      </c>
      <c r="H851" s="172">
        <v>1</v>
      </c>
      <c r="I851" s="172">
        <v>9</v>
      </c>
      <c r="J851" s="172">
        <v>2</v>
      </c>
      <c r="K851" s="172">
        <v>27</v>
      </c>
      <c r="L851" s="172">
        <v>12</v>
      </c>
      <c r="M851" s="172">
        <v>12</v>
      </c>
      <c r="N851" s="172">
        <v>8</v>
      </c>
      <c r="O851" s="172">
        <v>9</v>
      </c>
      <c r="P851" s="174">
        <v>0</v>
      </c>
    </row>
    <row r="852" spans="1:16">
      <c r="A852" s="169" t="s">
        <v>449</v>
      </c>
      <c r="B852" s="171" t="s">
        <v>467</v>
      </c>
      <c r="C852" s="171">
        <v>30</v>
      </c>
      <c r="D852" s="171">
        <v>0</v>
      </c>
      <c r="E852" s="171">
        <v>0</v>
      </c>
      <c r="F852" s="171">
        <v>0</v>
      </c>
      <c r="G852" s="171">
        <v>8</v>
      </c>
      <c r="H852" s="171">
        <v>11</v>
      </c>
      <c r="I852" s="171">
        <v>8</v>
      </c>
      <c r="J852" s="171">
        <v>0</v>
      </c>
      <c r="K852" s="171">
        <v>27</v>
      </c>
      <c r="L852" s="171">
        <v>21</v>
      </c>
      <c r="M852" s="171">
        <v>0</v>
      </c>
      <c r="N852" s="171">
        <v>2</v>
      </c>
      <c r="O852" s="171">
        <v>9</v>
      </c>
      <c r="P852" s="173">
        <v>3</v>
      </c>
    </row>
    <row r="853" spans="1:16">
      <c r="A853" s="170" t="s">
        <v>449</v>
      </c>
      <c r="B853" s="172" t="s">
        <v>467</v>
      </c>
      <c r="C853" s="172">
        <v>50</v>
      </c>
      <c r="D853" s="172">
        <v>14</v>
      </c>
      <c r="E853" s="172">
        <v>3</v>
      </c>
      <c r="F853" s="172">
        <v>6</v>
      </c>
      <c r="G853" s="172">
        <v>13</v>
      </c>
      <c r="H853" s="172">
        <v>19</v>
      </c>
      <c r="I853" s="172">
        <v>15</v>
      </c>
      <c r="J853" s="172">
        <v>0</v>
      </c>
      <c r="K853" s="172">
        <v>56</v>
      </c>
      <c r="L853" s="172">
        <v>44</v>
      </c>
      <c r="M853" s="172">
        <v>3</v>
      </c>
      <c r="N853" s="172">
        <v>2</v>
      </c>
      <c r="O853" s="172">
        <v>15</v>
      </c>
      <c r="P853" s="174">
        <v>3</v>
      </c>
    </row>
    <row r="854" spans="1:16">
      <c r="A854" s="169" t="s">
        <v>449</v>
      </c>
      <c r="B854" s="171" t="s">
        <v>467</v>
      </c>
      <c r="C854" s="171">
        <v>39</v>
      </c>
      <c r="D854" s="171">
        <v>0</v>
      </c>
      <c r="E854" s="171">
        <v>0</v>
      </c>
      <c r="F854" s="171">
        <v>0</v>
      </c>
      <c r="G854" s="171">
        <v>7</v>
      </c>
      <c r="H854" s="171">
        <v>7</v>
      </c>
      <c r="I854" s="171">
        <v>6</v>
      </c>
      <c r="J854" s="171">
        <v>2</v>
      </c>
      <c r="K854" s="171">
        <v>22</v>
      </c>
      <c r="L854" s="171">
        <v>1</v>
      </c>
      <c r="M854" s="171">
        <v>5</v>
      </c>
      <c r="N854" s="171">
        <v>9</v>
      </c>
      <c r="O854" s="171">
        <v>10</v>
      </c>
      <c r="P854" s="173">
        <v>3</v>
      </c>
    </row>
    <row r="855" spans="1:16">
      <c r="A855" s="170" t="s">
        <v>449</v>
      </c>
      <c r="B855" s="172" t="s">
        <v>467</v>
      </c>
      <c r="C855" s="172">
        <v>46</v>
      </c>
      <c r="D855" s="172">
        <v>10</v>
      </c>
      <c r="E855" s="172">
        <v>2</v>
      </c>
      <c r="F855" s="172">
        <v>4</v>
      </c>
      <c r="G855" s="172">
        <v>9</v>
      </c>
      <c r="H855" s="172">
        <v>15</v>
      </c>
      <c r="I855" s="172">
        <v>20</v>
      </c>
      <c r="J855" s="172">
        <v>0</v>
      </c>
      <c r="K855" s="172">
        <v>50</v>
      </c>
      <c r="L855" s="172">
        <v>14</v>
      </c>
      <c r="M855" s="172">
        <v>22</v>
      </c>
      <c r="N855" s="172">
        <v>35</v>
      </c>
      <c r="O855" s="172">
        <v>7</v>
      </c>
      <c r="P855" s="174">
        <v>1</v>
      </c>
    </row>
    <row r="856" spans="1:16">
      <c r="A856" s="171" t="s">
        <v>449</v>
      </c>
      <c r="B856" s="171" t="s">
        <v>467</v>
      </c>
      <c r="C856" s="171">
        <v>50</v>
      </c>
      <c r="D856" s="171">
        <v>15</v>
      </c>
      <c r="E856" s="171">
        <v>4</v>
      </c>
      <c r="F856" s="171">
        <v>11</v>
      </c>
      <c r="G856" s="171">
        <v>13</v>
      </c>
      <c r="H856" s="171">
        <v>8</v>
      </c>
      <c r="I856" s="171">
        <v>18</v>
      </c>
      <c r="J856" s="171">
        <v>1</v>
      </c>
      <c r="K856" s="171">
        <v>55</v>
      </c>
      <c r="L856" s="171">
        <v>40</v>
      </c>
      <c r="M856" s="171">
        <v>6</v>
      </c>
      <c r="N856" s="171">
        <v>11</v>
      </c>
      <c r="O856" s="171">
        <v>17</v>
      </c>
      <c r="P856" s="173">
        <v>3</v>
      </c>
    </row>
    <row r="857" spans="1:16">
      <c r="A857" s="172" t="s">
        <v>449</v>
      </c>
      <c r="B857" s="172" t="s">
        <v>467</v>
      </c>
      <c r="C857" s="172">
        <v>43</v>
      </c>
      <c r="D857" s="172">
        <v>14</v>
      </c>
      <c r="E857" s="172">
        <v>2</v>
      </c>
      <c r="F857" s="172">
        <v>17</v>
      </c>
      <c r="G857" s="172">
        <v>7</v>
      </c>
      <c r="H857" s="172">
        <v>10</v>
      </c>
      <c r="I857" s="172">
        <v>14</v>
      </c>
      <c r="J857" s="172">
        <v>0</v>
      </c>
      <c r="K857" s="172">
        <v>50</v>
      </c>
      <c r="L857" s="172">
        <v>44</v>
      </c>
      <c r="M857" s="172">
        <v>5</v>
      </c>
      <c r="N857" s="172">
        <v>0</v>
      </c>
      <c r="O857" s="172">
        <v>2</v>
      </c>
      <c r="P857" s="174">
        <v>4</v>
      </c>
    </row>
    <row r="858" spans="1:16">
      <c r="A858" s="169" t="s">
        <v>449</v>
      </c>
      <c r="B858" s="171" t="s">
        <v>467</v>
      </c>
      <c r="C858" s="171">
        <v>50</v>
      </c>
      <c r="D858" s="171">
        <v>0</v>
      </c>
      <c r="E858" s="171">
        <v>0</v>
      </c>
      <c r="F858" s="171">
        <v>0</v>
      </c>
      <c r="G858" s="171">
        <v>19</v>
      </c>
      <c r="H858" s="171">
        <v>21</v>
      </c>
      <c r="I858" s="171">
        <v>29</v>
      </c>
      <c r="J858" s="171">
        <v>6</v>
      </c>
      <c r="K858" s="171">
        <v>75</v>
      </c>
      <c r="L858" s="171">
        <v>16</v>
      </c>
      <c r="M858" s="171">
        <v>58</v>
      </c>
      <c r="N858" s="171">
        <v>30</v>
      </c>
      <c r="O858" s="171">
        <v>3</v>
      </c>
      <c r="P858" s="173">
        <v>1</v>
      </c>
    </row>
    <row r="859" spans="1:16">
      <c r="A859" s="170" t="s">
        <v>449</v>
      </c>
      <c r="B859" s="172" t="s">
        <v>467</v>
      </c>
      <c r="C859" s="172">
        <v>50</v>
      </c>
      <c r="D859" s="172">
        <v>16</v>
      </c>
      <c r="E859" s="172">
        <v>5</v>
      </c>
      <c r="F859" s="172">
        <v>15</v>
      </c>
      <c r="G859" s="172">
        <v>16</v>
      </c>
      <c r="H859" s="172">
        <v>20</v>
      </c>
      <c r="I859" s="172">
        <v>7</v>
      </c>
      <c r="J859" s="172">
        <v>0</v>
      </c>
      <c r="K859" s="172">
        <v>63</v>
      </c>
      <c r="L859" s="172">
        <v>52</v>
      </c>
      <c r="M859" s="172">
        <v>6</v>
      </c>
      <c r="N859" s="172">
        <v>5</v>
      </c>
      <c r="O859" s="172">
        <v>11</v>
      </c>
      <c r="P859" s="174">
        <v>5</v>
      </c>
    </row>
    <row r="860" spans="1:16">
      <c r="A860" s="171" t="s">
        <v>449</v>
      </c>
      <c r="B860" s="171" t="s">
        <v>467</v>
      </c>
      <c r="C860" s="171">
        <v>90</v>
      </c>
      <c r="D860" s="171">
        <v>20</v>
      </c>
      <c r="E860" s="171">
        <v>2</v>
      </c>
      <c r="F860" s="171">
        <v>12</v>
      </c>
      <c r="G860" s="171">
        <v>27</v>
      </c>
      <c r="H860" s="171">
        <v>19</v>
      </c>
      <c r="I860" s="171">
        <v>32</v>
      </c>
      <c r="J860" s="171">
        <v>2</v>
      </c>
      <c r="K860" s="171">
        <v>94</v>
      </c>
      <c r="L860" s="171">
        <v>12</v>
      </c>
      <c r="M860" s="171">
        <v>16</v>
      </c>
      <c r="N860" s="171">
        <v>34</v>
      </c>
      <c r="O860" s="171">
        <v>50</v>
      </c>
      <c r="P860" s="173">
        <v>3</v>
      </c>
    </row>
    <row r="861" spans="1:16">
      <c r="A861" s="170" t="s">
        <v>449</v>
      </c>
      <c r="B861" s="172" t="s">
        <v>467</v>
      </c>
      <c r="C861" s="172">
        <v>30</v>
      </c>
      <c r="D861" s="172">
        <v>0</v>
      </c>
      <c r="E861" s="172">
        <v>0</v>
      </c>
      <c r="F861" s="172">
        <v>0</v>
      </c>
      <c r="G861" s="172">
        <v>4</v>
      </c>
      <c r="H861" s="172">
        <v>6</v>
      </c>
      <c r="I861" s="172">
        <v>12</v>
      </c>
      <c r="J861" s="172">
        <v>3</v>
      </c>
      <c r="K861" s="172">
        <v>25</v>
      </c>
      <c r="L861" s="172">
        <v>1</v>
      </c>
      <c r="M861" s="172">
        <v>2</v>
      </c>
      <c r="N861" s="172">
        <v>18</v>
      </c>
      <c r="O861" s="172">
        <v>3</v>
      </c>
      <c r="P861" s="174">
        <v>2</v>
      </c>
    </row>
    <row r="862" spans="1:16">
      <c r="A862" s="169" t="s">
        <v>449</v>
      </c>
      <c r="B862" s="171" t="s">
        <v>467</v>
      </c>
      <c r="C862" s="171">
        <v>70</v>
      </c>
      <c r="D862" s="171">
        <v>20</v>
      </c>
      <c r="E862" s="171">
        <v>5</v>
      </c>
      <c r="F862" s="171">
        <v>14</v>
      </c>
      <c r="G862" s="171">
        <v>20</v>
      </c>
      <c r="H862" s="171">
        <v>12</v>
      </c>
      <c r="I862" s="171">
        <v>15</v>
      </c>
      <c r="J862" s="171">
        <v>2</v>
      </c>
      <c r="K862" s="171">
        <v>68</v>
      </c>
      <c r="L862" s="171">
        <v>1</v>
      </c>
      <c r="M862" s="171">
        <v>13</v>
      </c>
      <c r="N862" s="171">
        <v>44</v>
      </c>
      <c r="O862" s="171">
        <v>24</v>
      </c>
      <c r="P862" s="173">
        <v>0</v>
      </c>
    </row>
    <row r="863" spans="1:16">
      <c r="A863" s="170" t="s">
        <v>449</v>
      </c>
      <c r="B863" s="172" t="s">
        <v>467</v>
      </c>
      <c r="C863" s="172">
        <v>70</v>
      </c>
      <c r="D863" s="172">
        <v>20</v>
      </c>
      <c r="E863" s="172">
        <v>0</v>
      </c>
      <c r="F863" s="172">
        <v>14</v>
      </c>
      <c r="G863" s="172">
        <v>15</v>
      </c>
      <c r="H863" s="172">
        <v>12</v>
      </c>
      <c r="I863" s="172">
        <v>13</v>
      </c>
      <c r="J863" s="172">
        <v>0</v>
      </c>
      <c r="K863" s="172">
        <v>54</v>
      </c>
      <c r="L863" s="172">
        <v>18</v>
      </c>
      <c r="M863" s="172">
        <v>3</v>
      </c>
      <c r="N863" s="172">
        <v>6</v>
      </c>
      <c r="O863" s="172">
        <v>33</v>
      </c>
      <c r="P863" s="174">
        <v>3</v>
      </c>
    </row>
    <row r="864" spans="1:16">
      <c r="A864" s="169" t="s">
        <v>449</v>
      </c>
      <c r="B864" s="171" t="s">
        <v>467</v>
      </c>
      <c r="C864" s="171">
        <v>50</v>
      </c>
      <c r="D864" s="171">
        <v>0</v>
      </c>
      <c r="E864" s="171">
        <v>0</v>
      </c>
      <c r="F864" s="171">
        <v>0</v>
      </c>
      <c r="G864" s="171">
        <v>2</v>
      </c>
      <c r="H864" s="171">
        <v>12</v>
      </c>
      <c r="I864" s="171">
        <v>16</v>
      </c>
      <c r="J864" s="171">
        <v>0</v>
      </c>
      <c r="K864" s="171">
        <v>30</v>
      </c>
      <c r="L864" s="171">
        <v>1</v>
      </c>
      <c r="M864" s="171">
        <v>7</v>
      </c>
      <c r="N864" s="171">
        <v>17</v>
      </c>
      <c r="O864" s="171">
        <v>9</v>
      </c>
      <c r="P864" s="173">
        <v>0</v>
      </c>
    </row>
    <row r="865" spans="1:16">
      <c r="A865" s="170" t="s">
        <v>449</v>
      </c>
      <c r="B865" s="172" t="s">
        <v>467</v>
      </c>
      <c r="C865" s="172">
        <v>40</v>
      </c>
      <c r="D865" s="172">
        <v>5</v>
      </c>
      <c r="E865" s="172">
        <v>1</v>
      </c>
      <c r="F865" s="172">
        <v>2</v>
      </c>
      <c r="G865" s="172">
        <v>7</v>
      </c>
      <c r="H865" s="172">
        <v>14</v>
      </c>
      <c r="I865" s="172">
        <v>8</v>
      </c>
      <c r="J865" s="172">
        <v>1</v>
      </c>
      <c r="K865" s="172">
        <v>33</v>
      </c>
      <c r="L865" s="172">
        <v>2</v>
      </c>
      <c r="M865" s="172">
        <v>10</v>
      </c>
      <c r="N865" s="172">
        <v>29</v>
      </c>
      <c r="O865" s="172">
        <v>5</v>
      </c>
      <c r="P865" s="174">
        <v>0</v>
      </c>
    </row>
    <row r="866" spans="1:16" hidden="1">
      <c r="A866" s="169" t="s">
        <v>450</v>
      </c>
      <c r="B866" s="171" t="s">
        <v>467</v>
      </c>
      <c r="C866" s="171">
        <v>80</v>
      </c>
      <c r="D866" s="171">
        <v>80</v>
      </c>
      <c r="E866" s="171">
        <v>2</v>
      </c>
      <c r="F866" s="171">
        <v>21</v>
      </c>
      <c r="G866" s="171">
        <v>24</v>
      </c>
      <c r="H866" s="171">
        <v>21</v>
      </c>
      <c r="I866" s="171">
        <v>16</v>
      </c>
      <c r="J866" s="171">
        <v>1</v>
      </c>
      <c r="K866" s="171">
        <v>85</v>
      </c>
      <c r="L866" s="171">
        <v>73</v>
      </c>
      <c r="M866" s="171">
        <v>3</v>
      </c>
      <c r="N866" s="171">
        <v>1</v>
      </c>
      <c r="O866" s="171">
        <v>12</v>
      </c>
      <c r="P866" s="173">
        <v>3</v>
      </c>
    </row>
    <row r="867" spans="1:16">
      <c r="A867" s="170" t="s">
        <v>449</v>
      </c>
      <c r="B867" s="172" t="s">
        <v>467</v>
      </c>
      <c r="C867" s="172">
        <v>80</v>
      </c>
      <c r="D867" s="172">
        <v>35</v>
      </c>
      <c r="E867" s="172">
        <v>2</v>
      </c>
      <c r="F867" s="172">
        <v>13</v>
      </c>
      <c r="G867" s="172">
        <v>33</v>
      </c>
      <c r="H867" s="172">
        <v>16</v>
      </c>
      <c r="I867" s="172">
        <v>24</v>
      </c>
      <c r="J867" s="172">
        <v>1</v>
      </c>
      <c r="K867" s="172">
        <v>89</v>
      </c>
      <c r="L867" s="172">
        <v>54</v>
      </c>
      <c r="M867" s="172">
        <v>4</v>
      </c>
      <c r="N867" s="172">
        <v>1</v>
      </c>
      <c r="O867" s="172">
        <v>34</v>
      </c>
      <c r="P867" s="174">
        <v>8</v>
      </c>
    </row>
    <row r="868" spans="1:16">
      <c r="A868" s="169" t="s">
        <v>449</v>
      </c>
      <c r="B868" s="171" t="s">
        <v>467</v>
      </c>
      <c r="C868" s="171">
        <v>53</v>
      </c>
      <c r="D868" s="171">
        <v>10</v>
      </c>
      <c r="E868" s="171">
        <v>0</v>
      </c>
      <c r="F868" s="171">
        <v>10</v>
      </c>
      <c r="G868" s="171">
        <v>6</v>
      </c>
      <c r="H868" s="171">
        <v>9</v>
      </c>
      <c r="I868" s="171">
        <v>15</v>
      </c>
      <c r="J868" s="171">
        <v>1</v>
      </c>
      <c r="K868" s="171">
        <v>41</v>
      </c>
      <c r="L868" s="171">
        <v>0</v>
      </c>
      <c r="M868" s="171">
        <v>1</v>
      </c>
      <c r="N868" s="171">
        <v>4</v>
      </c>
      <c r="O868" s="171">
        <v>30</v>
      </c>
      <c r="P868" s="173">
        <v>7</v>
      </c>
    </row>
    <row r="869" spans="1:16">
      <c r="A869" s="170" t="s">
        <v>449</v>
      </c>
      <c r="B869" s="172" t="s">
        <v>467</v>
      </c>
      <c r="C869" s="172">
        <v>60</v>
      </c>
      <c r="D869" s="172">
        <v>20</v>
      </c>
      <c r="E869" s="172">
        <v>0</v>
      </c>
      <c r="F869" s="172">
        <v>9</v>
      </c>
      <c r="G869" s="172">
        <v>13</v>
      </c>
      <c r="H869" s="172">
        <v>4</v>
      </c>
      <c r="I869" s="172">
        <v>17</v>
      </c>
      <c r="J869" s="172">
        <v>2</v>
      </c>
      <c r="K869" s="172">
        <v>45</v>
      </c>
      <c r="L869" s="172">
        <v>12</v>
      </c>
      <c r="M869" s="172">
        <v>2</v>
      </c>
      <c r="N869" s="172">
        <v>5</v>
      </c>
      <c r="O869" s="172">
        <v>29</v>
      </c>
      <c r="P869" s="174">
        <v>3</v>
      </c>
    </row>
    <row r="870" spans="1:16">
      <c r="A870" s="169" t="s">
        <v>449</v>
      </c>
      <c r="B870" s="171" t="s">
        <v>467</v>
      </c>
      <c r="C870" s="171">
        <v>60</v>
      </c>
      <c r="D870" s="171">
        <v>15</v>
      </c>
      <c r="E870" s="171">
        <v>3</v>
      </c>
      <c r="F870" s="171">
        <v>14</v>
      </c>
      <c r="G870" s="171">
        <v>14</v>
      </c>
      <c r="H870" s="171">
        <v>16</v>
      </c>
      <c r="I870" s="171">
        <v>16</v>
      </c>
      <c r="J870" s="171">
        <v>1</v>
      </c>
      <c r="K870" s="171">
        <v>64</v>
      </c>
      <c r="L870" s="171">
        <v>18</v>
      </c>
      <c r="M870" s="171">
        <v>3</v>
      </c>
      <c r="N870" s="171">
        <v>4</v>
      </c>
      <c r="O870" s="171">
        <v>46</v>
      </c>
      <c r="P870" s="173">
        <v>3</v>
      </c>
    </row>
    <row r="871" spans="1:16" hidden="1">
      <c r="A871" s="170" t="s">
        <v>347</v>
      </c>
      <c r="B871" s="172" t="s">
        <v>467</v>
      </c>
      <c r="C871" s="172">
        <v>25</v>
      </c>
      <c r="D871" s="172">
        <v>5</v>
      </c>
      <c r="E871" s="172">
        <v>1</v>
      </c>
      <c r="F871" s="172">
        <v>2</v>
      </c>
      <c r="G871" s="172">
        <v>7</v>
      </c>
      <c r="H871" s="172">
        <v>6</v>
      </c>
      <c r="I871" s="172">
        <v>7</v>
      </c>
      <c r="J871" s="172">
        <v>0</v>
      </c>
      <c r="K871" s="172">
        <v>23</v>
      </c>
      <c r="L871" s="172">
        <v>0</v>
      </c>
      <c r="M871" s="172">
        <v>23</v>
      </c>
      <c r="N871" s="172">
        <v>0</v>
      </c>
      <c r="O871" s="172">
        <v>0</v>
      </c>
      <c r="P871" s="174">
        <v>0</v>
      </c>
    </row>
    <row r="872" spans="1:16">
      <c r="A872" s="169" t="s">
        <v>449</v>
      </c>
      <c r="B872" s="171" t="s">
        <v>467</v>
      </c>
      <c r="C872" s="171">
        <v>45</v>
      </c>
      <c r="D872" s="171">
        <v>5</v>
      </c>
      <c r="E872" s="171">
        <v>2</v>
      </c>
      <c r="F872" s="171">
        <v>1</v>
      </c>
      <c r="G872" s="171">
        <v>4</v>
      </c>
      <c r="H872" s="171">
        <v>7</v>
      </c>
      <c r="I872" s="171">
        <v>9</v>
      </c>
      <c r="J872" s="171">
        <v>0</v>
      </c>
      <c r="K872" s="171">
        <v>23</v>
      </c>
      <c r="L872" s="171">
        <v>6</v>
      </c>
      <c r="M872" s="171">
        <v>2</v>
      </c>
      <c r="N872" s="171">
        <v>5</v>
      </c>
      <c r="O872" s="171">
        <v>12</v>
      </c>
      <c r="P872" s="173">
        <v>3</v>
      </c>
    </row>
    <row r="873" spans="1:16">
      <c r="A873" s="170" t="s">
        <v>449</v>
      </c>
      <c r="B873" s="172" t="s">
        <v>467</v>
      </c>
      <c r="C873" s="172">
        <v>122</v>
      </c>
      <c r="D873" s="172">
        <v>20</v>
      </c>
      <c r="E873" s="172">
        <v>4</v>
      </c>
      <c r="F873" s="172">
        <v>8</v>
      </c>
      <c r="G873" s="172">
        <v>21</v>
      </c>
      <c r="H873" s="172">
        <v>24</v>
      </c>
      <c r="I873" s="172">
        <v>37</v>
      </c>
      <c r="J873" s="172">
        <v>4</v>
      </c>
      <c r="K873" s="172">
        <v>98</v>
      </c>
      <c r="L873" s="172">
        <v>20</v>
      </c>
      <c r="M873" s="172">
        <v>26</v>
      </c>
      <c r="N873" s="172">
        <v>38</v>
      </c>
      <c r="O873" s="172">
        <v>33</v>
      </c>
      <c r="P873" s="174">
        <v>2</v>
      </c>
    </row>
    <row r="874" spans="1:16">
      <c r="A874" s="169" t="s">
        <v>449</v>
      </c>
      <c r="B874" s="171" t="s">
        <v>467</v>
      </c>
      <c r="C874" s="171">
        <v>30</v>
      </c>
      <c r="D874" s="171">
        <v>10</v>
      </c>
      <c r="E874" s="171">
        <v>0</v>
      </c>
      <c r="F874" s="171">
        <v>3</v>
      </c>
      <c r="G874" s="171">
        <v>7</v>
      </c>
      <c r="H874" s="171">
        <v>12</v>
      </c>
      <c r="I874" s="171">
        <v>6</v>
      </c>
      <c r="J874" s="171">
        <v>0</v>
      </c>
      <c r="K874" s="171">
        <v>28</v>
      </c>
      <c r="L874" s="171">
        <v>25</v>
      </c>
      <c r="M874" s="171">
        <v>4</v>
      </c>
      <c r="N874" s="171">
        <v>0</v>
      </c>
      <c r="O874" s="171">
        <v>4</v>
      </c>
      <c r="P874" s="173">
        <v>1</v>
      </c>
    </row>
    <row r="875" spans="1:16">
      <c r="A875" s="170" t="s">
        <v>449</v>
      </c>
      <c r="B875" s="172" t="s">
        <v>467</v>
      </c>
      <c r="C875" s="172">
        <v>49</v>
      </c>
      <c r="D875" s="172">
        <v>15</v>
      </c>
      <c r="E875" s="172">
        <v>3</v>
      </c>
      <c r="F875" s="172">
        <v>11</v>
      </c>
      <c r="G875" s="172">
        <v>15</v>
      </c>
      <c r="H875" s="172">
        <v>13</v>
      </c>
      <c r="I875" s="172">
        <v>13</v>
      </c>
      <c r="J875" s="172">
        <v>0</v>
      </c>
      <c r="K875" s="172">
        <v>55</v>
      </c>
      <c r="L875" s="172">
        <v>42</v>
      </c>
      <c r="M875" s="172">
        <v>1</v>
      </c>
      <c r="N875" s="172">
        <v>1</v>
      </c>
      <c r="O875" s="172">
        <v>4</v>
      </c>
      <c r="P875" s="174">
        <v>10</v>
      </c>
    </row>
    <row r="876" spans="1:16" hidden="1">
      <c r="A876" s="169" t="s">
        <v>452</v>
      </c>
      <c r="B876" s="171" t="s">
        <v>467</v>
      </c>
      <c r="C876" s="171">
        <v>40</v>
      </c>
      <c r="D876" s="171">
        <v>0</v>
      </c>
      <c r="E876" s="171">
        <v>0</v>
      </c>
      <c r="F876" s="171">
        <v>0</v>
      </c>
      <c r="G876" s="171">
        <v>7</v>
      </c>
      <c r="H876" s="171">
        <v>13</v>
      </c>
      <c r="I876" s="171">
        <v>29</v>
      </c>
      <c r="J876" s="171">
        <v>0</v>
      </c>
      <c r="K876" s="171">
        <v>49</v>
      </c>
      <c r="L876" s="171">
        <v>21</v>
      </c>
      <c r="M876" s="171">
        <v>7</v>
      </c>
      <c r="N876" s="171">
        <v>18</v>
      </c>
      <c r="O876" s="171">
        <v>8</v>
      </c>
      <c r="P876" s="173">
        <v>6</v>
      </c>
    </row>
    <row r="877" spans="1:16">
      <c r="A877" s="170" t="s">
        <v>449</v>
      </c>
      <c r="B877" s="172" t="s">
        <v>467</v>
      </c>
      <c r="C877" s="172">
        <v>117</v>
      </c>
      <c r="D877" s="172">
        <v>20</v>
      </c>
      <c r="E877" s="172">
        <v>1</v>
      </c>
      <c r="F877" s="172">
        <v>18</v>
      </c>
      <c r="G877" s="172">
        <v>33</v>
      </c>
      <c r="H877" s="172">
        <v>48</v>
      </c>
      <c r="I877" s="172">
        <v>48</v>
      </c>
      <c r="J877" s="172">
        <v>3</v>
      </c>
      <c r="K877" s="172">
        <v>151</v>
      </c>
      <c r="L877" s="172">
        <v>46</v>
      </c>
      <c r="M877" s="172">
        <v>109</v>
      </c>
      <c r="N877" s="172">
        <v>51</v>
      </c>
      <c r="O877" s="172">
        <v>19</v>
      </c>
      <c r="P877" s="174">
        <v>3</v>
      </c>
    </row>
    <row r="878" spans="1:16">
      <c r="A878" s="169" t="s">
        <v>449</v>
      </c>
      <c r="B878" s="171" t="s">
        <v>467</v>
      </c>
      <c r="C878" s="171">
        <v>30</v>
      </c>
      <c r="D878" s="171">
        <v>0</v>
      </c>
      <c r="E878" s="171">
        <v>0</v>
      </c>
      <c r="F878" s="171">
        <v>0</v>
      </c>
      <c r="G878" s="171">
        <v>9</v>
      </c>
      <c r="H878" s="171">
        <v>4</v>
      </c>
      <c r="I878" s="171">
        <v>9</v>
      </c>
      <c r="J878" s="171">
        <v>0</v>
      </c>
      <c r="K878" s="171">
        <v>22</v>
      </c>
      <c r="L878" s="171">
        <v>2</v>
      </c>
      <c r="M878" s="171">
        <v>1</v>
      </c>
      <c r="N878" s="171">
        <v>1</v>
      </c>
      <c r="O878" s="171">
        <v>19</v>
      </c>
      <c r="P878" s="173">
        <v>0</v>
      </c>
    </row>
    <row r="879" spans="1:16">
      <c r="A879" s="170" t="s">
        <v>449</v>
      </c>
      <c r="B879" s="172" t="s">
        <v>467</v>
      </c>
      <c r="C879" s="172">
        <v>30</v>
      </c>
      <c r="D879" s="172">
        <v>0</v>
      </c>
      <c r="E879" s="172">
        <v>0</v>
      </c>
      <c r="F879" s="172">
        <v>0</v>
      </c>
      <c r="G879" s="172">
        <v>4</v>
      </c>
      <c r="H879" s="172">
        <v>9</v>
      </c>
      <c r="I879" s="172">
        <v>10</v>
      </c>
      <c r="J879" s="172">
        <v>0</v>
      </c>
      <c r="K879" s="172">
        <v>23</v>
      </c>
      <c r="L879" s="172">
        <v>3</v>
      </c>
      <c r="M879" s="172">
        <v>6</v>
      </c>
      <c r="N879" s="172">
        <v>7</v>
      </c>
      <c r="O879" s="172">
        <v>11</v>
      </c>
      <c r="P879" s="174">
        <v>3</v>
      </c>
    </row>
    <row r="880" spans="1:16">
      <c r="A880" s="169" t="s">
        <v>449</v>
      </c>
      <c r="B880" s="171" t="s">
        <v>467</v>
      </c>
      <c r="C880" s="171">
        <v>34</v>
      </c>
      <c r="D880" s="171">
        <v>0</v>
      </c>
      <c r="E880" s="171">
        <v>0</v>
      </c>
      <c r="F880" s="171">
        <v>0</v>
      </c>
      <c r="G880" s="171">
        <v>11</v>
      </c>
      <c r="H880" s="171">
        <v>14</v>
      </c>
      <c r="I880" s="171">
        <v>15</v>
      </c>
      <c r="J880" s="171">
        <v>1</v>
      </c>
      <c r="K880" s="171">
        <v>41</v>
      </c>
      <c r="L880" s="171">
        <v>34</v>
      </c>
      <c r="M880" s="171">
        <v>6</v>
      </c>
      <c r="N880" s="171">
        <v>1</v>
      </c>
      <c r="O880" s="171">
        <v>3</v>
      </c>
      <c r="P880" s="173">
        <v>3</v>
      </c>
    </row>
    <row r="881" spans="1:16">
      <c r="A881" s="170" t="s">
        <v>449</v>
      </c>
      <c r="B881" s="172" t="s">
        <v>467</v>
      </c>
      <c r="C881" s="172">
        <v>50</v>
      </c>
      <c r="D881" s="172">
        <v>20</v>
      </c>
      <c r="E881" s="172">
        <v>4</v>
      </c>
      <c r="F881" s="172">
        <v>16</v>
      </c>
      <c r="G881" s="172">
        <v>14</v>
      </c>
      <c r="H881" s="172">
        <v>8</v>
      </c>
      <c r="I881" s="172">
        <v>7</v>
      </c>
      <c r="J881" s="172">
        <v>0</v>
      </c>
      <c r="K881" s="172">
        <v>49</v>
      </c>
      <c r="L881" s="172">
        <v>25</v>
      </c>
      <c r="M881" s="172">
        <v>0</v>
      </c>
      <c r="N881" s="172">
        <v>0</v>
      </c>
      <c r="O881" s="172">
        <v>3</v>
      </c>
      <c r="P881" s="174">
        <v>22</v>
      </c>
    </row>
    <row r="882" spans="1:16">
      <c r="A882" s="169" t="s">
        <v>449</v>
      </c>
      <c r="B882" s="171" t="s">
        <v>467</v>
      </c>
      <c r="C882" s="171">
        <v>75</v>
      </c>
      <c r="D882" s="171">
        <v>16</v>
      </c>
      <c r="E882" s="171">
        <v>1</v>
      </c>
      <c r="F882" s="171">
        <v>12</v>
      </c>
      <c r="G882" s="171">
        <v>10</v>
      </c>
      <c r="H882" s="171">
        <v>25</v>
      </c>
      <c r="I882" s="171">
        <v>19</v>
      </c>
      <c r="J882" s="171">
        <v>1</v>
      </c>
      <c r="K882" s="171">
        <v>68</v>
      </c>
      <c r="L882" s="171">
        <v>44</v>
      </c>
      <c r="M882" s="171">
        <v>17</v>
      </c>
      <c r="N882" s="171">
        <v>8</v>
      </c>
      <c r="O882" s="171">
        <v>14</v>
      </c>
      <c r="P882" s="173">
        <v>7</v>
      </c>
    </row>
    <row r="883" spans="1:16">
      <c r="A883" s="170" t="s">
        <v>449</v>
      </c>
      <c r="B883" s="172" t="s">
        <v>467</v>
      </c>
      <c r="C883" s="172">
        <v>45</v>
      </c>
      <c r="D883" s="172">
        <v>8</v>
      </c>
      <c r="E883" s="172">
        <v>0</v>
      </c>
      <c r="F883" s="172">
        <v>7</v>
      </c>
      <c r="G883" s="172">
        <v>6</v>
      </c>
      <c r="H883" s="172">
        <v>10</v>
      </c>
      <c r="I883" s="172">
        <v>4</v>
      </c>
      <c r="J883" s="172">
        <v>0</v>
      </c>
      <c r="K883" s="172">
        <v>27</v>
      </c>
      <c r="L883" s="172">
        <v>11</v>
      </c>
      <c r="M883" s="172">
        <v>2</v>
      </c>
      <c r="N883" s="172">
        <v>1</v>
      </c>
      <c r="O883" s="172">
        <v>17</v>
      </c>
      <c r="P883" s="174">
        <v>2</v>
      </c>
    </row>
    <row r="884" spans="1:16">
      <c r="A884" s="169" t="s">
        <v>449</v>
      </c>
      <c r="B884" s="171" t="s">
        <v>467</v>
      </c>
      <c r="C884" s="171">
        <v>70</v>
      </c>
      <c r="D884" s="171">
        <v>15</v>
      </c>
      <c r="E884" s="171">
        <v>0</v>
      </c>
      <c r="F884" s="171">
        <v>12</v>
      </c>
      <c r="G884" s="171">
        <v>9</v>
      </c>
      <c r="H884" s="171">
        <v>5</v>
      </c>
      <c r="I884" s="171">
        <v>16</v>
      </c>
      <c r="J884" s="171">
        <v>0</v>
      </c>
      <c r="K884" s="171">
        <v>42</v>
      </c>
      <c r="L884" s="171">
        <v>15</v>
      </c>
      <c r="M884" s="171">
        <v>1</v>
      </c>
      <c r="N884" s="171">
        <v>1</v>
      </c>
      <c r="O884" s="171">
        <v>19</v>
      </c>
      <c r="P884" s="173">
        <v>13</v>
      </c>
    </row>
    <row r="885" spans="1:16">
      <c r="A885" s="170" t="s">
        <v>449</v>
      </c>
      <c r="B885" s="172" t="s">
        <v>467</v>
      </c>
      <c r="C885" s="172">
        <v>52</v>
      </c>
      <c r="D885" s="172">
        <v>12</v>
      </c>
      <c r="E885" s="172">
        <v>3</v>
      </c>
      <c r="F885" s="172">
        <v>8</v>
      </c>
      <c r="G885" s="172">
        <v>12</v>
      </c>
      <c r="H885" s="172">
        <v>13</v>
      </c>
      <c r="I885" s="172">
        <v>17</v>
      </c>
      <c r="J885" s="172">
        <v>0</v>
      </c>
      <c r="K885" s="172">
        <v>53</v>
      </c>
      <c r="L885" s="172">
        <v>49</v>
      </c>
      <c r="M885" s="172">
        <v>20</v>
      </c>
      <c r="N885" s="172">
        <v>6</v>
      </c>
      <c r="O885" s="172">
        <v>0</v>
      </c>
      <c r="P885" s="174">
        <v>0</v>
      </c>
    </row>
    <row r="886" spans="1:16" hidden="1">
      <c r="A886" s="169" t="s">
        <v>450</v>
      </c>
      <c r="B886" s="171" t="s">
        <v>467</v>
      </c>
      <c r="C886" s="171">
        <v>60</v>
      </c>
      <c r="D886" s="171">
        <v>60</v>
      </c>
      <c r="E886" s="171">
        <v>6</v>
      </c>
      <c r="F886" s="171">
        <v>9</v>
      </c>
      <c r="G886" s="171">
        <v>9</v>
      </c>
      <c r="H886" s="171">
        <v>8</v>
      </c>
      <c r="I886" s="171">
        <v>6</v>
      </c>
      <c r="J886" s="171">
        <v>1</v>
      </c>
      <c r="K886" s="171">
        <v>39</v>
      </c>
      <c r="L886" s="171">
        <v>0</v>
      </c>
      <c r="M886" s="171">
        <v>2</v>
      </c>
      <c r="N886" s="171">
        <v>39</v>
      </c>
      <c r="O886" s="171">
        <v>2</v>
      </c>
      <c r="P886" s="173">
        <v>0</v>
      </c>
    </row>
    <row r="887" spans="1:16">
      <c r="A887" s="172" t="s">
        <v>449</v>
      </c>
      <c r="B887" s="172" t="s">
        <v>467</v>
      </c>
      <c r="C887" s="172">
        <v>40</v>
      </c>
      <c r="D887" s="172">
        <v>15</v>
      </c>
      <c r="E887" s="172">
        <v>7</v>
      </c>
      <c r="F887" s="172">
        <v>4</v>
      </c>
      <c r="G887" s="172">
        <v>9</v>
      </c>
      <c r="H887" s="172">
        <v>12</v>
      </c>
      <c r="I887" s="172">
        <v>9</v>
      </c>
      <c r="J887" s="172">
        <v>0</v>
      </c>
      <c r="K887" s="172">
        <v>41</v>
      </c>
      <c r="L887" s="172">
        <v>6</v>
      </c>
      <c r="M887" s="172">
        <v>7</v>
      </c>
      <c r="N887" s="172">
        <v>5</v>
      </c>
      <c r="O887" s="172">
        <v>28</v>
      </c>
      <c r="P887" s="174">
        <v>2</v>
      </c>
    </row>
    <row r="888" spans="1:16" hidden="1">
      <c r="A888" s="171" t="s">
        <v>469</v>
      </c>
      <c r="B888" s="171" t="s">
        <v>467</v>
      </c>
      <c r="C888" s="171">
        <v>60</v>
      </c>
      <c r="D888" s="171">
        <v>15</v>
      </c>
      <c r="E888" s="171">
        <v>1</v>
      </c>
      <c r="F888" s="171">
        <v>5</v>
      </c>
      <c r="G888" s="171">
        <v>10</v>
      </c>
      <c r="H888" s="171">
        <v>12</v>
      </c>
      <c r="I888" s="171">
        <v>17</v>
      </c>
      <c r="J888" s="171">
        <v>0</v>
      </c>
      <c r="K888" s="171">
        <v>45</v>
      </c>
      <c r="L888" s="171">
        <v>0</v>
      </c>
      <c r="M888" s="171">
        <v>1</v>
      </c>
      <c r="N888" s="171">
        <v>44</v>
      </c>
      <c r="O888" s="171">
        <v>1</v>
      </c>
      <c r="P888" s="173">
        <v>0</v>
      </c>
    </row>
    <row r="889" spans="1:16">
      <c r="A889" s="170" t="s">
        <v>449</v>
      </c>
      <c r="B889" s="172" t="s">
        <v>467</v>
      </c>
      <c r="C889" s="172">
        <v>80</v>
      </c>
      <c r="D889" s="172">
        <v>35</v>
      </c>
      <c r="E889" s="172">
        <v>3</v>
      </c>
      <c r="F889" s="172">
        <v>10</v>
      </c>
      <c r="G889" s="172">
        <v>17</v>
      </c>
      <c r="H889" s="172">
        <v>22</v>
      </c>
      <c r="I889" s="172">
        <v>18</v>
      </c>
      <c r="J889" s="172">
        <v>1</v>
      </c>
      <c r="K889" s="172">
        <v>71</v>
      </c>
      <c r="L889" s="172">
        <v>53</v>
      </c>
      <c r="M889" s="172">
        <v>5</v>
      </c>
      <c r="N889" s="172">
        <v>1</v>
      </c>
      <c r="O889" s="172">
        <v>20</v>
      </c>
      <c r="P889" s="174">
        <v>2</v>
      </c>
    </row>
    <row r="890" spans="1:16">
      <c r="A890" s="169" t="s">
        <v>449</v>
      </c>
      <c r="B890" s="171" t="s">
        <v>467</v>
      </c>
      <c r="C890" s="171">
        <v>150</v>
      </c>
      <c r="D890" s="171">
        <v>40</v>
      </c>
      <c r="E890" s="171">
        <v>0</v>
      </c>
      <c r="F890" s="171">
        <v>22</v>
      </c>
      <c r="G890" s="171">
        <v>28</v>
      </c>
      <c r="H890" s="171">
        <v>30</v>
      </c>
      <c r="I890" s="171">
        <v>36</v>
      </c>
      <c r="J890" s="171">
        <v>0</v>
      </c>
      <c r="K890" s="171">
        <v>116</v>
      </c>
      <c r="L890" s="171">
        <v>81</v>
      </c>
      <c r="M890" s="171">
        <v>7</v>
      </c>
      <c r="N890" s="171">
        <v>5</v>
      </c>
      <c r="O890" s="171">
        <v>44</v>
      </c>
      <c r="P890" s="173">
        <v>10</v>
      </c>
    </row>
    <row r="891" spans="1:16">
      <c r="A891" s="170" t="s">
        <v>449</v>
      </c>
      <c r="B891" s="172" t="s">
        <v>467</v>
      </c>
      <c r="C891" s="172">
        <v>110</v>
      </c>
      <c r="D891" s="172">
        <v>35</v>
      </c>
      <c r="E891" s="172">
        <v>1</v>
      </c>
      <c r="F891" s="172">
        <v>18</v>
      </c>
      <c r="G891" s="172">
        <v>14</v>
      </c>
      <c r="H891" s="172">
        <v>23</v>
      </c>
      <c r="I891" s="172">
        <v>24</v>
      </c>
      <c r="J891" s="172">
        <v>1</v>
      </c>
      <c r="K891" s="172">
        <v>81</v>
      </c>
      <c r="L891" s="172">
        <v>31</v>
      </c>
      <c r="M891" s="172">
        <v>31</v>
      </c>
      <c r="N891" s="172">
        <v>35</v>
      </c>
      <c r="O891" s="172">
        <v>21</v>
      </c>
      <c r="P891" s="174">
        <v>8</v>
      </c>
    </row>
    <row r="892" spans="1:16">
      <c r="A892" s="169" t="s">
        <v>449</v>
      </c>
      <c r="B892" s="171" t="s">
        <v>467</v>
      </c>
      <c r="C892" s="171">
        <v>37</v>
      </c>
      <c r="D892" s="171">
        <v>0</v>
      </c>
      <c r="E892" s="171">
        <v>0</v>
      </c>
      <c r="F892" s="171">
        <v>0</v>
      </c>
      <c r="G892" s="171">
        <v>5</v>
      </c>
      <c r="H892" s="171">
        <v>3</v>
      </c>
      <c r="I892" s="171">
        <v>16</v>
      </c>
      <c r="J892" s="171">
        <v>1</v>
      </c>
      <c r="K892" s="171">
        <v>25</v>
      </c>
      <c r="L892" s="171">
        <v>8</v>
      </c>
      <c r="M892" s="171">
        <v>7</v>
      </c>
      <c r="N892" s="171">
        <v>5</v>
      </c>
      <c r="O892" s="171">
        <v>11</v>
      </c>
      <c r="P892" s="173">
        <v>2</v>
      </c>
    </row>
    <row r="893" spans="1:16">
      <c r="A893" s="172" t="s">
        <v>449</v>
      </c>
      <c r="B893" s="172" t="s">
        <v>467</v>
      </c>
      <c r="C893" s="172">
        <v>34</v>
      </c>
      <c r="D893" s="172">
        <v>8</v>
      </c>
      <c r="E893" s="172">
        <v>0</v>
      </c>
      <c r="F893" s="172">
        <v>7</v>
      </c>
      <c r="G893" s="172">
        <v>13</v>
      </c>
      <c r="H893" s="172">
        <v>7</v>
      </c>
      <c r="I893" s="172">
        <v>8</v>
      </c>
      <c r="J893" s="172">
        <v>1</v>
      </c>
      <c r="K893" s="172">
        <v>36</v>
      </c>
      <c r="L893" s="172">
        <v>30</v>
      </c>
      <c r="M893" s="172">
        <v>2</v>
      </c>
      <c r="N893" s="172">
        <v>2</v>
      </c>
      <c r="O893" s="172">
        <v>1</v>
      </c>
      <c r="P893" s="174">
        <v>6</v>
      </c>
    </row>
    <row r="894" spans="1:16">
      <c r="A894" s="169" t="s">
        <v>449</v>
      </c>
      <c r="B894" s="171" t="s">
        <v>467</v>
      </c>
      <c r="C894" s="171">
        <v>100</v>
      </c>
      <c r="D894" s="171">
        <v>20</v>
      </c>
      <c r="E894" s="171">
        <v>5</v>
      </c>
      <c r="F894" s="171">
        <v>9</v>
      </c>
      <c r="G894" s="171">
        <v>21</v>
      </c>
      <c r="H894" s="171">
        <v>25</v>
      </c>
      <c r="I894" s="171">
        <v>29</v>
      </c>
      <c r="J894" s="171">
        <v>1</v>
      </c>
      <c r="K894" s="171">
        <v>90</v>
      </c>
      <c r="L894" s="171">
        <v>21</v>
      </c>
      <c r="M894" s="171">
        <v>16</v>
      </c>
      <c r="N894" s="171">
        <v>36</v>
      </c>
      <c r="O894" s="171">
        <v>42</v>
      </c>
      <c r="P894" s="173">
        <v>4</v>
      </c>
    </row>
    <row r="895" spans="1:16">
      <c r="A895" s="170" t="s">
        <v>449</v>
      </c>
      <c r="B895" s="172" t="s">
        <v>467</v>
      </c>
      <c r="C895" s="172">
        <v>28</v>
      </c>
      <c r="D895" s="172">
        <v>0</v>
      </c>
      <c r="E895" s="172">
        <v>0</v>
      </c>
      <c r="F895" s="172">
        <v>0</v>
      </c>
      <c r="G895" s="172">
        <v>0</v>
      </c>
      <c r="H895" s="172">
        <v>0</v>
      </c>
      <c r="I895" s="172">
        <v>16</v>
      </c>
      <c r="J895" s="172">
        <v>4</v>
      </c>
      <c r="K895" s="172">
        <v>20</v>
      </c>
      <c r="L895" s="172">
        <v>8</v>
      </c>
      <c r="M895" s="172">
        <v>0</v>
      </c>
      <c r="N895" s="172">
        <v>1</v>
      </c>
      <c r="O895" s="172">
        <v>15</v>
      </c>
      <c r="P895" s="174">
        <v>0</v>
      </c>
    </row>
    <row r="896" spans="1:16">
      <c r="A896" s="169" t="s">
        <v>449</v>
      </c>
      <c r="B896" s="171" t="s">
        <v>467</v>
      </c>
      <c r="C896" s="171">
        <v>100</v>
      </c>
      <c r="D896" s="171">
        <v>25</v>
      </c>
      <c r="E896" s="171">
        <v>1</v>
      </c>
      <c r="F896" s="171">
        <v>18</v>
      </c>
      <c r="G896" s="171">
        <v>23</v>
      </c>
      <c r="H896" s="171">
        <v>34</v>
      </c>
      <c r="I896" s="171">
        <v>36</v>
      </c>
      <c r="J896" s="171">
        <v>3</v>
      </c>
      <c r="K896" s="171">
        <v>115</v>
      </c>
      <c r="L896" s="171">
        <v>9</v>
      </c>
      <c r="M896" s="171">
        <v>11</v>
      </c>
      <c r="N896" s="171">
        <v>19</v>
      </c>
      <c r="O896" s="171">
        <v>85</v>
      </c>
      <c r="P896" s="173">
        <v>10</v>
      </c>
    </row>
    <row r="897" spans="1:16" hidden="1">
      <c r="A897" s="170" t="s">
        <v>469</v>
      </c>
      <c r="B897" s="172" t="s">
        <v>467</v>
      </c>
      <c r="C897" s="172">
        <v>50</v>
      </c>
      <c r="D897" s="172">
        <v>10</v>
      </c>
      <c r="E897" s="172">
        <v>1</v>
      </c>
      <c r="F897" s="172">
        <v>5</v>
      </c>
      <c r="G897" s="172">
        <v>7</v>
      </c>
      <c r="H897" s="172">
        <v>12</v>
      </c>
      <c r="I897" s="172">
        <v>9</v>
      </c>
      <c r="J897" s="172">
        <v>0</v>
      </c>
      <c r="K897" s="172">
        <v>34</v>
      </c>
      <c r="L897" s="172">
        <v>4</v>
      </c>
      <c r="M897" s="172">
        <v>4</v>
      </c>
      <c r="N897" s="172">
        <v>34</v>
      </c>
      <c r="O897" s="172">
        <v>1</v>
      </c>
      <c r="P897" s="174">
        <v>0</v>
      </c>
    </row>
    <row r="898" spans="1:16">
      <c r="A898" s="169" t="s">
        <v>449</v>
      </c>
      <c r="B898" s="171" t="s">
        <v>467</v>
      </c>
      <c r="C898" s="171">
        <v>40</v>
      </c>
      <c r="D898" s="171">
        <v>10</v>
      </c>
      <c r="E898" s="171">
        <v>2</v>
      </c>
      <c r="F898" s="171">
        <v>6</v>
      </c>
      <c r="G898" s="171">
        <v>10</v>
      </c>
      <c r="H898" s="171">
        <v>5</v>
      </c>
      <c r="I898" s="171">
        <v>16</v>
      </c>
      <c r="J898" s="171">
        <v>1</v>
      </c>
      <c r="K898" s="171">
        <v>40</v>
      </c>
      <c r="L898" s="171">
        <v>25</v>
      </c>
      <c r="M898" s="171">
        <v>15</v>
      </c>
      <c r="N898" s="171">
        <v>11</v>
      </c>
      <c r="O898" s="171">
        <v>10</v>
      </c>
      <c r="P898" s="173">
        <v>1</v>
      </c>
    </row>
    <row r="899" spans="1:16">
      <c r="A899" s="170" t="s">
        <v>449</v>
      </c>
      <c r="B899" s="172" t="s">
        <v>467</v>
      </c>
      <c r="C899" s="172">
        <v>40</v>
      </c>
      <c r="D899" s="172">
        <v>0</v>
      </c>
      <c r="E899" s="172">
        <v>0</v>
      </c>
      <c r="F899" s="172">
        <v>0</v>
      </c>
      <c r="G899" s="172">
        <v>3</v>
      </c>
      <c r="H899" s="172">
        <v>14</v>
      </c>
      <c r="I899" s="172">
        <v>16</v>
      </c>
      <c r="J899" s="172">
        <v>2</v>
      </c>
      <c r="K899" s="172">
        <v>35</v>
      </c>
      <c r="L899" s="172">
        <v>5</v>
      </c>
      <c r="M899" s="172">
        <v>16</v>
      </c>
      <c r="N899" s="172">
        <v>17</v>
      </c>
      <c r="O899" s="172">
        <v>5</v>
      </c>
      <c r="P899" s="174">
        <v>2</v>
      </c>
    </row>
    <row r="900" spans="1:16" hidden="1">
      <c r="A900" s="169" t="s">
        <v>468</v>
      </c>
      <c r="B900" s="171" t="s">
        <v>467</v>
      </c>
      <c r="C900" s="171">
        <v>50</v>
      </c>
      <c r="D900" s="171">
        <v>10</v>
      </c>
      <c r="E900" s="171">
        <v>1</v>
      </c>
      <c r="F900" s="171">
        <v>10</v>
      </c>
      <c r="G900" s="171">
        <v>14</v>
      </c>
      <c r="H900" s="171">
        <v>15</v>
      </c>
      <c r="I900" s="171">
        <v>10</v>
      </c>
      <c r="J900" s="171">
        <v>0</v>
      </c>
      <c r="K900" s="171">
        <v>50</v>
      </c>
      <c r="L900" s="171">
        <v>3</v>
      </c>
      <c r="M900" s="171">
        <v>8</v>
      </c>
      <c r="N900" s="171">
        <v>49</v>
      </c>
      <c r="O900" s="171">
        <v>1</v>
      </c>
      <c r="P900" s="173">
        <v>0</v>
      </c>
    </row>
    <row r="901" spans="1:16" hidden="1">
      <c r="A901" s="170" t="s">
        <v>469</v>
      </c>
      <c r="B901" s="172" t="s">
        <v>467</v>
      </c>
      <c r="C901" s="172">
        <v>50</v>
      </c>
      <c r="D901" s="172">
        <v>10</v>
      </c>
      <c r="E901" s="172">
        <v>0</v>
      </c>
      <c r="F901" s="172">
        <v>4</v>
      </c>
      <c r="G901" s="172">
        <v>4</v>
      </c>
      <c r="H901" s="172">
        <v>7</v>
      </c>
      <c r="I901" s="172">
        <v>11</v>
      </c>
      <c r="J901" s="172">
        <v>2</v>
      </c>
      <c r="K901" s="172">
        <v>28</v>
      </c>
      <c r="L901" s="172">
        <v>1</v>
      </c>
      <c r="M901" s="172">
        <v>8</v>
      </c>
      <c r="N901" s="172">
        <v>6</v>
      </c>
      <c r="O901" s="172">
        <v>2</v>
      </c>
      <c r="P901" s="174">
        <v>17</v>
      </c>
    </row>
    <row r="902" spans="1:16" hidden="1">
      <c r="A902" s="169" t="s">
        <v>450</v>
      </c>
      <c r="B902" s="171" t="s">
        <v>467</v>
      </c>
      <c r="C902" s="171">
        <v>50</v>
      </c>
      <c r="D902" s="171">
        <v>50</v>
      </c>
      <c r="E902" s="171">
        <v>9</v>
      </c>
      <c r="F902" s="171">
        <v>13</v>
      </c>
      <c r="G902" s="171">
        <v>8</v>
      </c>
      <c r="H902" s="171">
        <v>11</v>
      </c>
      <c r="I902" s="171">
        <v>4</v>
      </c>
      <c r="J902" s="171">
        <v>0</v>
      </c>
      <c r="K902" s="171">
        <v>45</v>
      </c>
      <c r="L902" s="171">
        <v>9</v>
      </c>
      <c r="M902" s="171">
        <v>0</v>
      </c>
      <c r="N902" s="171">
        <v>0</v>
      </c>
      <c r="O902" s="171">
        <v>39</v>
      </c>
      <c r="P902" s="173">
        <v>1</v>
      </c>
    </row>
    <row r="903" spans="1:16">
      <c r="A903" s="172" t="s">
        <v>449</v>
      </c>
      <c r="B903" s="172" t="s">
        <v>467</v>
      </c>
      <c r="C903" s="172">
        <v>80</v>
      </c>
      <c r="D903" s="172">
        <v>20</v>
      </c>
      <c r="E903" s="172">
        <v>1</v>
      </c>
      <c r="F903" s="172">
        <v>6</v>
      </c>
      <c r="G903" s="172">
        <v>15</v>
      </c>
      <c r="H903" s="172">
        <v>12</v>
      </c>
      <c r="I903" s="172">
        <v>21</v>
      </c>
      <c r="J903" s="172">
        <v>2</v>
      </c>
      <c r="K903" s="172">
        <v>57</v>
      </c>
      <c r="L903" s="172">
        <v>5</v>
      </c>
      <c r="M903" s="172">
        <v>17</v>
      </c>
      <c r="N903" s="172">
        <v>43</v>
      </c>
      <c r="O903" s="172">
        <v>6</v>
      </c>
      <c r="P903" s="174">
        <v>1</v>
      </c>
    </row>
    <row r="904" spans="1:16">
      <c r="A904" s="171" t="s">
        <v>449</v>
      </c>
      <c r="B904" s="171" t="s">
        <v>467</v>
      </c>
      <c r="C904" s="171">
        <v>57</v>
      </c>
      <c r="D904" s="171">
        <v>0</v>
      </c>
      <c r="E904" s="171">
        <v>0</v>
      </c>
      <c r="F904" s="171">
        <v>0</v>
      </c>
      <c r="G904" s="171">
        <v>7</v>
      </c>
      <c r="H904" s="171">
        <v>11</v>
      </c>
      <c r="I904" s="171">
        <v>21</v>
      </c>
      <c r="J904" s="171">
        <v>0</v>
      </c>
      <c r="K904" s="171">
        <v>39</v>
      </c>
      <c r="L904" s="171">
        <v>3</v>
      </c>
      <c r="M904" s="171">
        <v>4</v>
      </c>
      <c r="N904" s="171">
        <v>26</v>
      </c>
      <c r="O904" s="171">
        <v>11</v>
      </c>
      <c r="P904" s="173">
        <v>0</v>
      </c>
    </row>
    <row r="905" spans="1:16">
      <c r="A905" s="170" t="s">
        <v>449</v>
      </c>
      <c r="B905" s="172" t="s">
        <v>467</v>
      </c>
      <c r="C905" s="172">
        <v>68</v>
      </c>
      <c r="D905" s="172">
        <v>20</v>
      </c>
      <c r="E905" s="172">
        <v>1</v>
      </c>
      <c r="F905" s="172">
        <v>12</v>
      </c>
      <c r="G905" s="172">
        <v>17</v>
      </c>
      <c r="H905" s="172">
        <v>11</v>
      </c>
      <c r="I905" s="172">
        <v>19</v>
      </c>
      <c r="J905" s="172">
        <v>0</v>
      </c>
      <c r="K905" s="172">
        <v>60</v>
      </c>
      <c r="L905" s="172">
        <v>5</v>
      </c>
      <c r="M905" s="172">
        <v>3</v>
      </c>
      <c r="N905" s="172">
        <v>13</v>
      </c>
      <c r="O905" s="172">
        <v>49</v>
      </c>
      <c r="P905" s="174">
        <v>1</v>
      </c>
    </row>
    <row r="906" spans="1:16">
      <c r="A906" s="169" t="s">
        <v>449</v>
      </c>
      <c r="B906" s="171" t="s">
        <v>467</v>
      </c>
      <c r="C906" s="171">
        <v>48</v>
      </c>
      <c r="D906" s="171">
        <v>15</v>
      </c>
      <c r="E906" s="171">
        <v>0</v>
      </c>
      <c r="F906" s="171">
        <v>1</v>
      </c>
      <c r="G906" s="171">
        <v>2</v>
      </c>
      <c r="H906" s="171">
        <v>9</v>
      </c>
      <c r="I906" s="171">
        <v>4</v>
      </c>
      <c r="J906" s="171">
        <v>0</v>
      </c>
      <c r="K906" s="171">
        <v>16</v>
      </c>
      <c r="L906" s="171">
        <v>10</v>
      </c>
      <c r="M906" s="171">
        <v>2</v>
      </c>
      <c r="N906" s="171">
        <v>0</v>
      </c>
      <c r="O906" s="171">
        <v>5</v>
      </c>
      <c r="P906" s="173">
        <v>0</v>
      </c>
    </row>
    <row r="907" spans="1:16">
      <c r="A907" s="170" t="s">
        <v>449</v>
      </c>
      <c r="B907" s="172" t="s">
        <v>467</v>
      </c>
      <c r="C907" s="172">
        <v>36</v>
      </c>
      <c r="D907" s="172">
        <v>0</v>
      </c>
      <c r="E907" s="172">
        <v>0</v>
      </c>
      <c r="F907" s="172">
        <v>0</v>
      </c>
      <c r="G907" s="172">
        <v>12</v>
      </c>
      <c r="H907" s="172">
        <v>9</v>
      </c>
      <c r="I907" s="172">
        <v>13</v>
      </c>
      <c r="J907" s="172">
        <v>1</v>
      </c>
      <c r="K907" s="172">
        <v>35</v>
      </c>
      <c r="L907" s="172">
        <v>5</v>
      </c>
      <c r="M907" s="172">
        <v>0</v>
      </c>
      <c r="N907" s="172">
        <v>2</v>
      </c>
      <c r="O907" s="172">
        <v>29</v>
      </c>
      <c r="P907" s="174">
        <v>3</v>
      </c>
    </row>
    <row r="908" spans="1:16">
      <c r="A908" s="169" t="s">
        <v>449</v>
      </c>
      <c r="B908" s="171" t="s">
        <v>467</v>
      </c>
      <c r="C908" s="171">
        <v>80</v>
      </c>
      <c r="D908" s="171">
        <v>0</v>
      </c>
      <c r="E908" s="171">
        <v>0</v>
      </c>
      <c r="F908" s="171">
        <v>0</v>
      </c>
      <c r="G908" s="171">
        <v>14</v>
      </c>
      <c r="H908" s="171">
        <v>22</v>
      </c>
      <c r="I908" s="171">
        <v>23</v>
      </c>
      <c r="J908" s="171">
        <v>1</v>
      </c>
      <c r="K908" s="171">
        <v>60</v>
      </c>
      <c r="L908" s="171">
        <v>1</v>
      </c>
      <c r="M908" s="171">
        <v>8</v>
      </c>
      <c r="N908" s="171">
        <v>48</v>
      </c>
      <c r="O908" s="171">
        <v>6</v>
      </c>
      <c r="P908" s="173">
        <v>3</v>
      </c>
    </row>
    <row r="909" spans="1:16" hidden="1">
      <c r="A909" s="170" t="s">
        <v>347</v>
      </c>
      <c r="B909" s="172" t="s">
        <v>467</v>
      </c>
      <c r="C909" s="172">
        <v>20</v>
      </c>
      <c r="D909" s="172">
        <v>8</v>
      </c>
      <c r="E909" s="172">
        <v>0</v>
      </c>
      <c r="F909" s="172">
        <v>2</v>
      </c>
      <c r="G909" s="172">
        <v>4</v>
      </c>
      <c r="H909" s="172">
        <v>2</v>
      </c>
      <c r="I909" s="172">
        <v>5</v>
      </c>
      <c r="J909" s="172">
        <v>0</v>
      </c>
      <c r="K909" s="172">
        <v>13</v>
      </c>
      <c r="L909" s="172">
        <v>0</v>
      </c>
      <c r="M909" s="172">
        <v>12</v>
      </c>
      <c r="N909" s="172">
        <v>1</v>
      </c>
      <c r="O909" s="172">
        <v>0</v>
      </c>
      <c r="P909" s="174">
        <v>0</v>
      </c>
    </row>
    <row r="910" spans="1:16">
      <c r="A910" s="169" t="s">
        <v>449</v>
      </c>
      <c r="B910" s="171" t="s">
        <v>467</v>
      </c>
      <c r="C910" s="171">
        <v>80</v>
      </c>
      <c r="D910" s="171">
        <v>10</v>
      </c>
      <c r="E910" s="171">
        <v>0</v>
      </c>
      <c r="F910" s="171">
        <v>8</v>
      </c>
      <c r="G910" s="171">
        <v>10</v>
      </c>
      <c r="H910" s="171">
        <v>19</v>
      </c>
      <c r="I910" s="171">
        <v>20</v>
      </c>
      <c r="J910" s="171">
        <v>2</v>
      </c>
      <c r="K910" s="171">
        <v>59</v>
      </c>
      <c r="L910" s="171">
        <v>9</v>
      </c>
      <c r="M910" s="171">
        <v>4</v>
      </c>
      <c r="N910" s="171">
        <v>5</v>
      </c>
      <c r="O910" s="171">
        <v>41</v>
      </c>
      <c r="P910" s="173">
        <v>6</v>
      </c>
    </row>
    <row r="911" spans="1:16" hidden="1">
      <c r="A911" s="170" t="s">
        <v>450</v>
      </c>
      <c r="B911" s="172" t="s">
        <v>467</v>
      </c>
      <c r="C911" s="172">
        <v>20</v>
      </c>
      <c r="D911" s="172">
        <v>20</v>
      </c>
      <c r="E911" s="172">
        <v>0</v>
      </c>
      <c r="F911" s="172">
        <v>1</v>
      </c>
      <c r="G911" s="172">
        <v>1</v>
      </c>
      <c r="H911" s="172">
        <v>0</v>
      </c>
      <c r="I911" s="172">
        <v>0</v>
      </c>
      <c r="J911" s="172">
        <v>0</v>
      </c>
      <c r="K911" s="172">
        <v>2</v>
      </c>
      <c r="L911" s="172">
        <v>2</v>
      </c>
      <c r="M911" s="172">
        <v>0</v>
      </c>
      <c r="N911" s="172">
        <v>0</v>
      </c>
      <c r="O911" s="172">
        <v>0</v>
      </c>
      <c r="P911" s="174">
        <v>0</v>
      </c>
    </row>
    <row r="912" spans="1:16">
      <c r="A912" s="169" t="s">
        <v>449</v>
      </c>
      <c r="B912" s="171" t="s">
        <v>467</v>
      </c>
      <c r="C912" s="171">
        <v>95</v>
      </c>
      <c r="D912" s="171">
        <v>35</v>
      </c>
      <c r="E912" s="171">
        <v>1</v>
      </c>
      <c r="F912" s="171">
        <v>27</v>
      </c>
      <c r="G912" s="171">
        <v>24</v>
      </c>
      <c r="H912" s="171">
        <v>16</v>
      </c>
      <c r="I912" s="171">
        <v>22</v>
      </c>
      <c r="J912" s="171">
        <v>0</v>
      </c>
      <c r="K912" s="171">
        <v>90</v>
      </c>
      <c r="L912" s="171">
        <v>76</v>
      </c>
      <c r="M912" s="171">
        <v>11</v>
      </c>
      <c r="N912" s="171">
        <v>3</v>
      </c>
      <c r="O912" s="171">
        <v>17</v>
      </c>
      <c r="P912" s="173">
        <v>4</v>
      </c>
    </row>
    <row r="913" spans="1:16">
      <c r="A913" s="170" t="s">
        <v>449</v>
      </c>
      <c r="B913" s="172" t="s">
        <v>467</v>
      </c>
      <c r="C913" s="172">
        <v>42</v>
      </c>
      <c r="D913" s="172">
        <v>10</v>
      </c>
      <c r="E913" s="172">
        <v>1</v>
      </c>
      <c r="F913" s="172">
        <v>1</v>
      </c>
      <c r="G913" s="172">
        <v>12</v>
      </c>
      <c r="H913" s="172">
        <v>10</v>
      </c>
      <c r="I913" s="172">
        <v>9</v>
      </c>
      <c r="J913" s="172">
        <v>1</v>
      </c>
      <c r="K913" s="172">
        <v>34</v>
      </c>
      <c r="L913" s="172">
        <v>0</v>
      </c>
      <c r="M913" s="172">
        <v>1</v>
      </c>
      <c r="N913" s="172">
        <v>0</v>
      </c>
      <c r="O913" s="172">
        <v>33</v>
      </c>
      <c r="P913" s="174">
        <v>0</v>
      </c>
    </row>
    <row r="914" spans="1:16">
      <c r="A914" s="169" t="s">
        <v>449</v>
      </c>
      <c r="B914" s="171" t="s">
        <v>467</v>
      </c>
      <c r="C914" s="171">
        <v>45</v>
      </c>
      <c r="D914" s="171">
        <v>0</v>
      </c>
      <c r="E914" s="171">
        <v>0</v>
      </c>
      <c r="F914" s="171">
        <v>0</v>
      </c>
      <c r="G914" s="171">
        <v>11</v>
      </c>
      <c r="H914" s="171">
        <v>12</v>
      </c>
      <c r="I914" s="171">
        <v>18</v>
      </c>
      <c r="J914" s="171">
        <v>2</v>
      </c>
      <c r="K914" s="171">
        <v>43</v>
      </c>
      <c r="L914" s="171">
        <v>29</v>
      </c>
      <c r="M914" s="171">
        <v>3</v>
      </c>
      <c r="N914" s="171">
        <v>0</v>
      </c>
      <c r="O914" s="171">
        <v>14</v>
      </c>
      <c r="P914" s="173">
        <v>4</v>
      </c>
    </row>
    <row r="915" spans="1:16" hidden="1">
      <c r="A915" s="170" t="s">
        <v>450</v>
      </c>
      <c r="B915" s="172" t="s">
        <v>467</v>
      </c>
      <c r="C915" s="172">
        <v>60</v>
      </c>
      <c r="D915" s="172">
        <v>60</v>
      </c>
      <c r="E915" s="172">
        <v>8</v>
      </c>
      <c r="F915" s="172">
        <v>11</v>
      </c>
      <c r="G915" s="172">
        <v>12</v>
      </c>
      <c r="H915" s="172">
        <v>12</v>
      </c>
      <c r="I915" s="172">
        <v>5</v>
      </c>
      <c r="J915" s="172">
        <v>0</v>
      </c>
      <c r="K915" s="172">
        <v>48</v>
      </c>
      <c r="L915" s="172">
        <v>0</v>
      </c>
      <c r="M915" s="172">
        <v>0</v>
      </c>
      <c r="N915" s="172">
        <v>48</v>
      </c>
      <c r="O915" s="172">
        <v>0</v>
      </c>
      <c r="P915" s="174">
        <v>0</v>
      </c>
    </row>
    <row r="916" spans="1:16">
      <c r="A916" s="169" t="s">
        <v>449</v>
      </c>
      <c r="B916" s="171" t="s">
        <v>467</v>
      </c>
      <c r="C916" s="171">
        <v>80</v>
      </c>
      <c r="D916" s="171">
        <v>16</v>
      </c>
      <c r="E916" s="171">
        <v>2</v>
      </c>
      <c r="F916" s="171">
        <v>20</v>
      </c>
      <c r="G916" s="171">
        <v>17</v>
      </c>
      <c r="H916" s="171">
        <v>19</v>
      </c>
      <c r="I916" s="171">
        <v>19</v>
      </c>
      <c r="J916" s="171">
        <v>2</v>
      </c>
      <c r="K916" s="171">
        <v>79</v>
      </c>
      <c r="L916" s="171">
        <v>69</v>
      </c>
      <c r="M916" s="171">
        <v>4</v>
      </c>
      <c r="N916" s="171">
        <v>7</v>
      </c>
      <c r="O916" s="171">
        <v>12</v>
      </c>
      <c r="P916" s="173">
        <v>1</v>
      </c>
    </row>
    <row r="917" spans="1:16">
      <c r="A917" s="170" t="s">
        <v>449</v>
      </c>
      <c r="B917" s="172" t="s">
        <v>467</v>
      </c>
      <c r="C917" s="172">
        <v>70</v>
      </c>
      <c r="D917" s="172">
        <v>12</v>
      </c>
      <c r="E917" s="172">
        <v>1</v>
      </c>
      <c r="F917" s="172">
        <v>12</v>
      </c>
      <c r="G917" s="172">
        <v>9</v>
      </c>
      <c r="H917" s="172">
        <v>21</v>
      </c>
      <c r="I917" s="172">
        <v>6</v>
      </c>
      <c r="J917" s="172">
        <v>0</v>
      </c>
      <c r="K917" s="172">
        <v>49</v>
      </c>
      <c r="L917" s="172">
        <v>20</v>
      </c>
      <c r="M917" s="172">
        <v>9</v>
      </c>
      <c r="N917" s="172">
        <v>10</v>
      </c>
      <c r="O917" s="172">
        <v>23</v>
      </c>
      <c r="P917" s="174">
        <v>6</v>
      </c>
    </row>
    <row r="918" spans="1:16">
      <c r="A918" s="171" t="s">
        <v>449</v>
      </c>
      <c r="B918" s="171" t="s">
        <v>467</v>
      </c>
      <c r="C918" s="171">
        <v>110</v>
      </c>
      <c r="D918" s="171">
        <v>25</v>
      </c>
      <c r="E918" s="171">
        <v>1</v>
      </c>
      <c r="F918" s="171">
        <v>7</v>
      </c>
      <c r="G918" s="171">
        <v>18</v>
      </c>
      <c r="H918" s="171">
        <v>27</v>
      </c>
      <c r="I918" s="171">
        <v>37</v>
      </c>
      <c r="J918" s="171">
        <v>2</v>
      </c>
      <c r="K918" s="171">
        <v>92</v>
      </c>
      <c r="L918" s="171">
        <v>54</v>
      </c>
      <c r="M918" s="171">
        <v>2</v>
      </c>
      <c r="N918" s="171">
        <v>0</v>
      </c>
      <c r="O918" s="171">
        <v>41</v>
      </c>
      <c r="P918" s="173">
        <v>7</v>
      </c>
    </row>
    <row r="919" spans="1:16">
      <c r="A919" s="170" t="s">
        <v>449</v>
      </c>
      <c r="B919" s="172" t="s">
        <v>467</v>
      </c>
      <c r="C919" s="172">
        <v>70</v>
      </c>
      <c r="D919" s="172">
        <v>20</v>
      </c>
      <c r="E919" s="172">
        <v>5</v>
      </c>
      <c r="F919" s="172">
        <v>11</v>
      </c>
      <c r="G919" s="172">
        <v>19</v>
      </c>
      <c r="H919" s="172">
        <v>21</v>
      </c>
      <c r="I919" s="172">
        <v>21</v>
      </c>
      <c r="J919" s="172">
        <v>0</v>
      </c>
      <c r="K919" s="172">
        <v>77</v>
      </c>
      <c r="L919" s="172">
        <v>8</v>
      </c>
      <c r="M919" s="172">
        <v>22</v>
      </c>
      <c r="N919" s="172">
        <v>18</v>
      </c>
      <c r="O919" s="172">
        <v>41</v>
      </c>
      <c r="P919" s="174">
        <v>4</v>
      </c>
    </row>
    <row r="920" spans="1:16">
      <c r="A920" s="169" t="s">
        <v>449</v>
      </c>
      <c r="B920" s="171" t="s">
        <v>467</v>
      </c>
      <c r="C920" s="171">
        <v>30</v>
      </c>
      <c r="D920" s="171">
        <v>0</v>
      </c>
      <c r="E920" s="171">
        <v>0</v>
      </c>
      <c r="F920" s="171">
        <v>0</v>
      </c>
      <c r="G920" s="171">
        <v>3</v>
      </c>
      <c r="H920" s="171">
        <v>11</v>
      </c>
      <c r="I920" s="171">
        <v>16</v>
      </c>
      <c r="J920" s="171">
        <v>0</v>
      </c>
      <c r="K920" s="171">
        <v>30</v>
      </c>
      <c r="L920" s="171">
        <v>29</v>
      </c>
      <c r="M920" s="171">
        <v>3</v>
      </c>
      <c r="N920" s="171">
        <v>1</v>
      </c>
      <c r="O920" s="171">
        <v>4</v>
      </c>
      <c r="P920" s="173">
        <v>0</v>
      </c>
    </row>
    <row r="921" spans="1:16">
      <c r="A921" s="170" t="s">
        <v>449</v>
      </c>
      <c r="B921" s="172" t="s">
        <v>467</v>
      </c>
      <c r="C921" s="172">
        <v>57</v>
      </c>
      <c r="D921" s="172">
        <v>12</v>
      </c>
      <c r="E921" s="172">
        <v>1</v>
      </c>
      <c r="F921" s="172">
        <v>1</v>
      </c>
      <c r="G921" s="172">
        <v>6</v>
      </c>
      <c r="H921" s="172">
        <v>5</v>
      </c>
      <c r="I921" s="172">
        <v>12</v>
      </c>
      <c r="J921" s="172">
        <v>1</v>
      </c>
      <c r="K921" s="172">
        <v>26</v>
      </c>
      <c r="L921" s="172">
        <v>3</v>
      </c>
      <c r="M921" s="172">
        <v>7</v>
      </c>
      <c r="N921" s="172">
        <v>12</v>
      </c>
      <c r="O921" s="172">
        <v>8</v>
      </c>
      <c r="P921" s="174">
        <v>1</v>
      </c>
    </row>
    <row r="922" spans="1:16">
      <c r="A922" s="169" t="s">
        <v>449</v>
      </c>
      <c r="B922" s="171" t="s">
        <v>467</v>
      </c>
      <c r="C922" s="171">
        <v>50</v>
      </c>
      <c r="D922" s="171">
        <v>0</v>
      </c>
      <c r="E922" s="171">
        <v>0</v>
      </c>
      <c r="F922" s="171">
        <v>0</v>
      </c>
      <c r="G922" s="171">
        <v>11</v>
      </c>
      <c r="H922" s="171">
        <v>13</v>
      </c>
      <c r="I922" s="171">
        <v>23</v>
      </c>
      <c r="J922" s="171">
        <v>1</v>
      </c>
      <c r="K922" s="171">
        <v>48</v>
      </c>
      <c r="L922" s="171">
        <v>16</v>
      </c>
      <c r="M922" s="171">
        <v>1</v>
      </c>
      <c r="N922" s="171">
        <v>2</v>
      </c>
      <c r="O922" s="171">
        <v>40</v>
      </c>
      <c r="P922" s="173">
        <v>1</v>
      </c>
    </row>
    <row r="923" spans="1:16">
      <c r="A923" s="170" t="s">
        <v>449</v>
      </c>
      <c r="B923" s="172" t="s">
        <v>467</v>
      </c>
      <c r="C923" s="172">
        <v>42</v>
      </c>
      <c r="D923" s="172">
        <v>0</v>
      </c>
      <c r="E923" s="172">
        <v>0</v>
      </c>
      <c r="F923" s="172">
        <v>0</v>
      </c>
      <c r="G923" s="172">
        <v>0</v>
      </c>
      <c r="H923" s="172">
        <v>14</v>
      </c>
      <c r="I923" s="172">
        <v>33</v>
      </c>
      <c r="J923" s="172">
        <v>1</v>
      </c>
      <c r="K923" s="172">
        <v>48</v>
      </c>
      <c r="L923" s="172">
        <v>46</v>
      </c>
      <c r="M923" s="172">
        <v>3</v>
      </c>
      <c r="N923" s="172">
        <v>1</v>
      </c>
      <c r="O923" s="172">
        <v>1</v>
      </c>
      <c r="P923" s="174">
        <v>0</v>
      </c>
    </row>
    <row r="924" spans="1:16">
      <c r="A924" s="169" t="s">
        <v>449</v>
      </c>
      <c r="B924" s="171" t="s">
        <v>467</v>
      </c>
      <c r="C924" s="171">
        <v>72</v>
      </c>
      <c r="D924" s="171">
        <v>5</v>
      </c>
      <c r="E924" s="171">
        <v>1</v>
      </c>
      <c r="F924" s="171">
        <v>1</v>
      </c>
      <c r="G924" s="171">
        <v>11</v>
      </c>
      <c r="H924" s="171">
        <v>24</v>
      </c>
      <c r="I924" s="171">
        <v>18</v>
      </c>
      <c r="J924" s="171">
        <v>4</v>
      </c>
      <c r="K924" s="171">
        <v>59</v>
      </c>
      <c r="L924" s="171">
        <v>4</v>
      </c>
      <c r="M924" s="171">
        <v>5</v>
      </c>
      <c r="N924" s="171">
        <v>10</v>
      </c>
      <c r="O924" s="171">
        <v>48</v>
      </c>
      <c r="P924" s="173">
        <v>4</v>
      </c>
    </row>
    <row r="925" spans="1:16">
      <c r="A925" s="170" t="s">
        <v>449</v>
      </c>
      <c r="B925" s="172" t="s">
        <v>467</v>
      </c>
      <c r="C925" s="172">
        <v>40</v>
      </c>
      <c r="D925" s="172">
        <v>10</v>
      </c>
      <c r="E925" s="172">
        <v>1</v>
      </c>
      <c r="F925" s="172">
        <v>6</v>
      </c>
      <c r="G925" s="172">
        <v>16</v>
      </c>
      <c r="H925" s="172">
        <v>13</v>
      </c>
      <c r="I925" s="172">
        <v>14</v>
      </c>
      <c r="J925" s="172">
        <v>2</v>
      </c>
      <c r="K925" s="172">
        <v>52</v>
      </c>
      <c r="L925" s="172">
        <v>11</v>
      </c>
      <c r="M925" s="172">
        <v>43</v>
      </c>
      <c r="N925" s="172">
        <v>25</v>
      </c>
      <c r="O925" s="172">
        <v>5</v>
      </c>
      <c r="P925" s="174">
        <v>1</v>
      </c>
    </row>
    <row r="926" spans="1:16">
      <c r="A926" s="169" t="s">
        <v>449</v>
      </c>
      <c r="B926" s="171" t="s">
        <v>467</v>
      </c>
      <c r="C926" s="171">
        <v>80</v>
      </c>
      <c r="D926" s="171">
        <v>10</v>
      </c>
      <c r="E926" s="171">
        <v>0</v>
      </c>
      <c r="F926" s="171">
        <v>3</v>
      </c>
      <c r="G926" s="171">
        <v>17</v>
      </c>
      <c r="H926" s="171">
        <v>15</v>
      </c>
      <c r="I926" s="171">
        <v>27</v>
      </c>
      <c r="J926" s="171">
        <v>1</v>
      </c>
      <c r="K926" s="171">
        <v>63</v>
      </c>
      <c r="L926" s="171">
        <v>8</v>
      </c>
      <c r="M926" s="171">
        <v>19</v>
      </c>
      <c r="N926" s="171">
        <v>49</v>
      </c>
      <c r="O926" s="171">
        <v>4</v>
      </c>
      <c r="P926" s="173">
        <v>0</v>
      </c>
    </row>
    <row r="927" spans="1:16">
      <c r="A927" s="172" t="s">
        <v>449</v>
      </c>
      <c r="B927" s="172" t="s">
        <v>467</v>
      </c>
      <c r="C927" s="172">
        <v>50</v>
      </c>
      <c r="D927" s="172">
        <v>20</v>
      </c>
      <c r="E927" s="172">
        <v>1</v>
      </c>
      <c r="F927" s="172">
        <v>4</v>
      </c>
      <c r="G927" s="172">
        <v>8</v>
      </c>
      <c r="H927" s="172">
        <v>4</v>
      </c>
      <c r="I927" s="172">
        <v>6</v>
      </c>
      <c r="J927" s="172">
        <v>0</v>
      </c>
      <c r="K927" s="172">
        <v>23</v>
      </c>
      <c r="L927" s="172">
        <v>9</v>
      </c>
      <c r="M927" s="172">
        <v>0</v>
      </c>
      <c r="N927" s="172">
        <v>2</v>
      </c>
      <c r="O927" s="172">
        <v>13</v>
      </c>
      <c r="P927" s="174">
        <v>2</v>
      </c>
    </row>
    <row r="928" spans="1:16">
      <c r="A928" s="171" t="s">
        <v>449</v>
      </c>
      <c r="B928" s="171" t="s">
        <v>467</v>
      </c>
      <c r="C928" s="171">
        <v>70</v>
      </c>
      <c r="D928" s="171">
        <v>10</v>
      </c>
      <c r="E928" s="171">
        <v>0</v>
      </c>
      <c r="F928" s="171">
        <v>7</v>
      </c>
      <c r="G928" s="171">
        <v>10</v>
      </c>
      <c r="H928" s="171">
        <v>29</v>
      </c>
      <c r="I928" s="171">
        <v>19</v>
      </c>
      <c r="J928" s="171">
        <v>4</v>
      </c>
      <c r="K928" s="171">
        <v>69</v>
      </c>
      <c r="L928" s="171">
        <v>1</v>
      </c>
      <c r="M928" s="171">
        <v>6</v>
      </c>
      <c r="N928" s="171">
        <v>6</v>
      </c>
      <c r="O928" s="171">
        <v>55</v>
      </c>
      <c r="P928" s="173">
        <v>2</v>
      </c>
    </row>
    <row r="929" spans="1:16">
      <c r="A929" s="170" t="s">
        <v>449</v>
      </c>
      <c r="B929" s="172" t="s">
        <v>467</v>
      </c>
      <c r="C929" s="172">
        <v>90</v>
      </c>
      <c r="D929" s="172">
        <v>20</v>
      </c>
      <c r="E929" s="172">
        <v>2</v>
      </c>
      <c r="F929" s="172">
        <v>14</v>
      </c>
      <c r="G929" s="172">
        <v>13</v>
      </c>
      <c r="H929" s="172">
        <v>21</v>
      </c>
      <c r="I929" s="172">
        <v>21</v>
      </c>
      <c r="J929" s="172">
        <v>0</v>
      </c>
      <c r="K929" s="172">
        <v>71</v>
      </c>
      <c r="L929" s="172">
        <v>10</v>
      </c>
      <c r="M929" s="172">
        <v>5</v>
      </c>
      <c r="N929" s="172">
        <v>13</v>
      </c>
      <c r="O929" s="172">
        <v>42</v>
      </c>
      <c r="P929" s="174">
        <v>7</v>
      </c>
    </row>
    <row r="930" spans="1:16" hidden="1">
      <c r="A930" s="169" t="s">
        <v>452</v>
      </c>
      <c r="B930" s="171" t="s">
        <v>467</v>
      </c>
      <c r="C930" s="171">
        <v>96</v>
      </c>
      <c r="D930" s="171">
        <v>12</v>
      </c>
      <c r="E930" s="171">
        <v>4</v>
      </c>
      <c r="F930" s="171">
        <v>8</v>
      </c>
      <c r="G930" s="171">
        <v>26</v>
      </c>
      <c r="H930" s="171">
        <v>23</v>
      </c>
      <c r="I930" s="171">
        <v>36</v>
      </c>
      <c r="J930" s="171">
        <v>2</v>
      </c>
      <c r="K930" s="171">
        <v>99</v>
      </c>
      <c r="L930" s="171">
        <v>42</v>
      </c>
      <c r="M930" s="171">
        <v>13</v>
      </c>
      <c r="N930" s="171">
        <v>12</v>
      </c>
      <c r="O930" s="171">
        <v>53</v>
      </c>
      <c r="P930" s="173">
        <v>6</v>
      </c>
    </row>
    <row r="931" spans="1:16">
      <c r="A931" s="170" t="s">
        <v>449</v>
      </c>
      <c r="B931" s="172" t="s">
        <v>467</v>
      </c>
      <c r="C931" s="172">
        <v>100</v>
      </c>
      <c r="D931" s="172">
        <v>30</v>
      </c>
      <c r="E931" s="172">
        <v>4</v>
      </c>
      <c r="F931" s="172">
        <v>12</v>
      </c>
      <c r="G931" s="172">
        <v>19</v>
      </c>
      <c r="H931" s="172">
        <v>8</v>
      </c>
      <c r="I931" s="172">
        <v>17</v>
      </c>
      <c r="J931" s="172">
        <v>1</v>
      </c>
      <c r="K931" s="172">
        <v>61</v>
      </c>
      <c r="L931" s="172">
        <v>27</v>
      </c>
      <c r="M931" s="172">
        <v>7</v>
      </c>
      <c r="N931" s="172">
        <v>5</v>
      </c>
      <c r="O931" s="172">
        <v>29</v>
      </c>
      <c r="P931" s="174">
        <v>7</v>
      </c>
    </row>
    <row r="932" spans="1:16">
      <c r="A932" s="169" t="s">
        <v>449</v>
      </c>
      <c r="B932" s="171" t="s">
        <v>467</v>
      </c>
      <c r="C932" s="171">
        <v>65</v>
      </c>
      <c r="D932" s="171">
        <v>18</v>
      </c>
      <c r="E932" s="171">
        <v>1</v>
      </c>
      <c r="F932" s="171">
        <v>19</v>
      </c>
      <c r="G932" s="171">
        <v>12</v>
      </c>
      <c r="H932" s="171">
        <v>22</v>
      </c>
      <c r="I932" s="171">
        <v>22</v>
      </c>
      <c r="J932" s="171">
        <v>0</v>
      </c>
      <c r="K932" s="171">
        <v>76</v>
      </c>
      <c r="L932" s="171">
        <v>45</v>
      </c>
      <c r="M932" s="171">
        <v>9</v>
      </c>
      <c r="N932" s="171">
        <v>14</v>
      </c>
      <c r="O932" s="171">
        <v>21</v>
      </c>
      <c r="P932" s="173">
        <v>5</v>
      </c>
    </row>
    <row r="933" spans="1:16">
      <c r="A933" s="170" t="s">
        <v>449</v>
      </c>
      <c r="B933" s="172" t="s">
        <v>467</v>
      </c>
      <c r="C933" s="172">
        <v>35</v>
      </c>
      <c r="D933" s="172">
        <v>10</v>
      </c>
      <c r="E933" s="172">
        <v>0</v>
      </c>
      <c r="F933" s="172">
        <v>5</v>
      </c>
      <c r="G933" s="172">
        <v>8</v>
      </c>
      <c r="H933" s="172">
        <v>6</v>
      </c>
      <c r="I933" s="172">
        <v>15</v>
      </c>
      <c r="J933" s="172">
        <v>0</v>
      </c>
      <c r="K933" s="172">
        <v>34</v>
      </c>
      <c r="L933" s="172">
        <v>1</v>
      </c>
      <c r="M933" s="172">
        <v>1</v>
      </c>
      <c r="N933" s="172">
        <v>8</v>
      </c>
      <c r="O933" s="172">
        <v>27</v>
      </c>
      <c r="P933" s="174">
        <v>0</v>
      </c>
    </row>
    <row r="934" spans="1:16" hidden="1">
      <c r="A934" s="169" t="s">
        <v>450</v>
      </c>
      <c r="B934" s="171" t="s">
        <v>467</v>
      </c>
      <c r="C934" s="171">
        <v>50</v>
      </c>
      <c r="D934" s="171">
        <v>50</v>
      </c>
      <c r="E934" s="171">
        <v>4</v>
      </c>
      <c r="F934" s="171">
        <v>7</v>
      </c>
      <c r="G934" s="171">
        <v>8</v>
      </c>
      <c r="H934" s="171">
        <v>9</v>
      </c>
      <c r="I934" s="171">
        <v>8</v>
      </c>
      <c r="J934" s="171">
        <v>2</v>
      </c>
      <c r="K934" s="171">
        <v>38</v>
      </c>
      <c r="L934" s="171">
        <v>0</v>
      </c>
      <c r="M934" s="171">
        <v>0</v>
      </c>
      <c r="N934" s="171">
        <v>33</v>
      </c>
      <c r="O934" s="171">
        <v>5</v>
      </c>
      <c r="P934" s="173">
        <v>0</v>
      </c>
    </row>
    <row r="935" spans="1:16" hidden="1">
      <c r="A935" s="170" t="s">
        <v>450</v>
      </c>
      <c r="B935" s="172" t="s">
        <v>467</v>
      </c>
      <c r="C935" s="172">
        <v>80</v>
      </c>
      <c r="D935" s="172">
        <v>80</v>
      </c>
      <c r="E935" s="172">
        <v>2</v>
      </c>
      <c r="F935" s="172">
        <v>11</v>
      </c>
      <c r="G935" s="172">
        <v>16</v>
      </c>
      <c r="H935" s="172">
        <v>8</v>
      </c>
      <c r="I935" s="172">
        <v>5</v>
      </c>
      <c r="J935" s="172">
        <v>0</v>
      </c>
      <c r="K935" s="172">
        <v>42</v>
      </c>
      <c r="L935" s="172">
        <v>26</v>
      </c>
      <c r="M935" s="172">
        <v>4</v>
      </c>
      <c r="N935" s="172">
        <v>6</v>
      </c>
      <c r="O935" s="172">
        <v>13</v>
      </c>
      <c r="P935" s="174">
        <v>3</v>
      </c>
    </row>
    <row r="936" spans="1:16">
      <c r="A936" s="171" t="s">
        <v>449</v>
      </c>
      <c r="B936" s="171" t="s">
        <v>467</v>
      </c>
      <c r="C936" s="171">
        <v>42</v>
      </c>
      <c r="D936" s="171">
        <v>13</v>
      </c>
      <c r="E936" s="171">
        <v>0</v>
      </c>
      <c r="F936" s="171">
        <v>4</v>
      </c>
      <c r="G936" s="171">
        <v>13</v>
      </c>
      <c r="H936" s="171">
        <v>14</v>
      </c>
      <c r="I936" s="171">
        <v>12</v>
      </c>
      <c r="J936" s="171">
        <v>0</v>
      </c>
      <c r="K936" s="171">
        <v>43</v>
      </c>
      <c r="L936" s="171">
        <v>3</v>
      </c>
      <c r="M936" s="171">
        <v>0</v>
      </c>
      <c r="N936" s="171">
        <v>6</v>
      </c>
      <c r="O936" s="171">
        <v>36</v>
      </c>
      <c r="P936" s="173">
        <v>0</v>
      </c>
    </row>
    <row r="937" spans="1:16">
      <c r="A937" s="170" t="s">
        <v>449</v>
      </c>
      <c r="B937" s="172" t="s">
        <v>467</v>
      </c>
      <c r="C937" s="172">
        <v>40</v>
      </c>
      <c r="D937" s="172">
        <v>6</v>
      </c>
      <c r="E937" s="172">
        <v>1</v>
      </c>
      <c r="F937" s="172">
        <v>5</v>
      </c>
      <c r="G937" s="172">
        <v>8</v>
      </c>
      <c r="H937" s="172">
        <v>8</v>
      </c>
      <c r="I937" s="172">
        <v>8</v>
      </c>
      <c r="J937" s="172">
        <v>0</v>
      </c>
      <c r="K937" s="172">
        <v>30</v>
      </c>
      <c r="L937" s="172">
        <v>6</v>
      </c>
      <c r="M937" s="172">
        <v>14</v>
      </c>
      <c r="N937" s="172">
        <v>23</v>
      </c>
      <c r="O937" s="172">
        <v>4</v>
      </c>
      <c r="P937" s="174">
        <v>0</v>
      </c>
    </row>
    <row r="938" spans="1:16">
      <c r="A938" s="169" t="s">
        <v>449</v>
      </c>
      <c r="B938" s="171" t="s">
        <v>467</v>
      </c>
      <c r="C938" s="171">
        <v>30</v>
      </c>
      <c r="D938" s="171">
        <v>0</v>
      </c>
      <c r="E938" s="171">
        <v>0</v>
      </c>
      <c r="F938" s="171">
        <v>0</v>
      </c>
      <c r="G938" s="171">
        <v>4</v>
      </c>
      <c r="H938" s="171">
        <v>5</v>
      </c>
      <c r="I938" s="171">
        <v>5</v>
      </c>
      <c r="J938" s="171">
        <v>2</v>
      </c>
      <c r="K938" s="171">
        <v>16</v>
      </c>
      <c r="L938" s="171">
        <v>4</v>
      </c>
      <c r="M938" s="171">
        <v>2</v>
      </c>
      <c r="N938" s="171">
        <v>0</v>
      </c>
      <c r="O938" s="171">
        <v>14</v>
      </c>
      <c r="P938" s="173">
        <v>1</v>
      </c>
    </row>
    <row r="939" spans="1:16">
      <c r="A939" s="170" t="s">
        <v>449</v>
      </c>
      <c r="B939" s="172" t="s">
        <v>467</v>
      </c>
      <c r="C939" s="172">
        <v>39</v>
      </c>
      <c r="D939" s="172">
        <v>10</v>
      </c>
      <c r="E939" s="172">
        <v>1</v>
      </c>
      <c r="F939" s="172">
        <v>3</v>
      </c>
      <c r="G939" s="172">
        <v>13</v>
      </c>
      <c r="H939" s="172">
        <v>9</v>
      </c>
      <c r="I939" s="172">
        <v>14</v>
      </c>
      <c r="J939" s="172">
        <v>0</v>
      </c>
      <c r="K939" s="172">
        <v>40</v>
      </c>
      <c r="L939" s="172">
        <v>0</v>
      </c>
      <c r="M939" s="172">
        <v>4</v>
      </c>
      <c r="N939" s="172">
        <v>8</v>
      </c>
      <c r="O939" s="172">
        <v>31</v>
      </c>
      <c r="P939" s="174">
        <v>0</v>
      </c>
    </row>
    <row r="940" spans="1:16" hidden="1">
      <c r="A940" s="169" t="s">
        <v>450</v>
      </c>
      <c r="B940" s="171" t="s">
        <v>467</v>
      </c>
      <c r="C940" s="171">
        <v>60</v>
      </c>
      <c r="D940" s="171">
        <v>60</v>
      </c>
      <c r="E940" s="171">
        <v>5</v>
      </c>
      <c r="F940" s="171">
        <v>7</v>
      </c>
      <c r="G940" s="171">
        <v>11</v>
      </c>
      <c r="H940" s="171">
        <v>10</v>
      </c>
      <c r="I940" s="171">
        <v>7</v>
      </c>
      <c r="J940" s="171">
        <v>0</v>
      </c>
      <c r="K940" s="171">
        <v>40</v>
      </c>
      <c r="L940" s="171">
        <v>0</v>
      </c>
      <c r="M940" s="171">
        <v>1</v>
      </c>
      <c r="N940" s="171">
        <v>40</v>
      </c>
      <c r="O940" s="171">
        <v>0</v>
      </c>
      <c r="P940" s="173">
        <v>0</v>
      </c>
    </row>
    <row r="941" spans="1:16" hidden="1">
      <c r="A941" s="170" t="s">
        <v>450</v>
      </c>
      <c r="B941" s="172" t="s">
        <v>467</v>
      </c>
      <c r="C941" s="172">
        <v>60</v>
      </c>
      <c r="D941" s="172">
        <v>60</v>
      </c>
      <c r="E941" s="172">
        <v>7</v>
      </c>
      <c r="F941" s="172">
        <v>7</v>
      </c>
      <c r="G941" s="172">
        <v>6</v>
      </c>
      <c r="H941" s="172">
        <v>9</v>
      </c>
      <c r="I941" s="172">
        <v>6</v>
      </c>
      <c r="J941" s="172">
        <v>1</v>
      </c>
      <c r="K941" s="172">
        <v>36</v>
      </c>
      <c r="L941" s="172">
        <v>0</v>
      </c>
      <c r="M941" s="172">
        <v>1</v>
      </c>
      <c r="N941" s="172">
        <v>36</v>
      </c>
      <c r="O941" s="172">
        <v>0</v>
      </c>
      <c r="P941" s="174">
        <v>0</v>
      </c>
    </row>
    <row r="942" spans="1:16" hidden="1">
      <c r="A942" s="171" t="s">
        <v>450</v>
      </c>
      <c r="B942" s="171" t="s">
        <v>467</v>
      </c>
      <c r="C942" s="171">
        <v>80</v>
      </c>
      <c r="D942" s="171">
        <v>80</v>
      </c>
      <c r="E942" s="171">
        <v>4</v>
      </c>
      <c r="F942" s="171">
        <v>16</v>
      </c>
      <c r="G942" s="171">
        <v>10</v>
      </c>
      <c r="H942" s="171">
        <v>6</v>
      </c>
      <c r="I942" s="171">
        <v>2</v>
      </c>
      <c r="J942" s="171">
        <v>0</v>
      </c>
      <c r="K942" s="171">
        <v>38</v>
      </c>
      <c r="L942" s="171">
        <v>37</v>
      </c>
      <c r="M942" s="171">
        <v>7</v>
      </c>
      <c r="N942" s="171">
        <v>1</v>
      </c>
      <c r="O942" s="171">
        <v>7</v>
      </c>
      <c r="P942" s="173">
        <v>0</v>
      </c>
    </row>
    <row r="943" spans="1:16">
      <c r="A943" s="170" t="s">
        <v>449</v>
      </c>
      <c r="B943" s="172" t="s">
        <v>467</v>
      </c>
      <c r="C943" s="172">
        <v>86</v>
      </c>
      <c r="D943" s="172">
        <v>26</v>
      </c>
      <c r="E943" s="172">
        <v>3</v>
      </c>
      <c r="F943" s="172">
        <v>12</v>
      </c>
      <c r="G943" s="172">
        <v>21</v>
      </c>
      <c r="H943" s="172">
        <v>11</v>
      </c>
      <c r="I943" s="172">
        <v>13</v>
      </c>
      <c r="J943" s="172">
        <v>1</v>
      </c>
      <c r="K943" s="172">
        <v>61</v>
      </c>
      <c r="L943" s="172">
        <v>31</v>
      </c>
      <c r="M943" s="172">
        <v>3</v>
      </c>
      <c r="N943" s="172">
        <v>6</v>
      </c>
      <c r="O943" s="172">
        <v>27</v>
      </c>
      <c r="P943" s="174">
        <v>9</v>
      </c>
    </row>
    <row r="944" spans="1:16" hidden="1">
      <c r="A944" s="169" t="s">
        <v>450</v>
      </c>
      <c r="B944" s="171" t="s">
        <v>467</v>
      </c>
      <c r="C944" s="171">
        <v>80</v>
      </c>
      <c r="D944" s="171">
        <v>80</v>
      </c>
      <c r="E944" s="171">
        <v>3</v>
      </c>
      <c r="F944" s="171">
        <v>7</v>
      </c>
      <c r="G944" s="171">
        <v>10</v>
      </c>
      <c r="H944" s="171">
        <v>11</v>
      </c>
      <c r="I944" s="171">
        <v>9</v>
      </c>
      <c r="J944" s="171">
        <v>0</v>
      </c>
      <c r="K944" s="171">
        <v>40</v>
      </c>
      <c r="L944" s="171">
        <v>4</v>
      </c>
      <c r="M944" s="171">
        <v>0</v>
      </c>
      <c r="N944" s="171">
        <v>8</v>
      </c>
      <c r="O944" s="171">
        <v>27</v>
      </c>
      <c r="P944" s="173">
        <v>2</v>
      </c>
    </row>
    <row r="945" spans="1:16">
      <c r="A945" s="170" t="s">
        <v>449</v>
      </c>
      <c r="B945" s="172" t="s">
        <v>467</v>
      </c>
      <c r="C945" s="172">
        <v>90</v>
      </c>
      <c r="D945" s="172">
        <v>20</v>
      </c>
      <c r="E945" s="172">
        <v>6</v>
      </c>
      <c r="F945" s="172">
        <v>11</v>
      </c>
      <c r="G945" s="172">
        <v>17</v>
      </c>
      <c r="H945" s="172">
        <v>25</v>
      </c>
      <c r="I945" s="172">
        <v>27</v>
      </c>
      <c r="J945" s="172">
        <v>2</v>
      </c>
      <c r="K945" s="172">
        <v>88</v>
      </c>
      <c r="L945" s="172">
        <v>10</v>
      </c>
      <c r="M945" s="172">
        <v>28</v>
      </c>
      <c r="N945" s="172">
        <v>50</v>
      </c>
      <c r="O945" s="172">
        <v>25</v>
      </c>
      <c r="P945" s="174">
        <v>3</v>
      </c>
    </row>
    <row r="946" spans="1:16" hidden="1">
      <c r="A946" s="169" t="s">
        <v>450</v>
      </c>
      <c r="B946" s="171" t="s">
        <v>467</v>
      </c>
      <c r="C946" s="171">
        <v>80</v>
      </c>
      <c r="D946" s="171">
        <v>80</v>
      </c>
      <c r="E946" s="171">
        <v>5</v>
      </c>
      <c r="F946" s="171">
        <v>5</v>
      </c>
      <c r="G946" s="171">
        <v>9</v>
      </c>
      <c r="H946" s="171">
        <v>8</v>
      </c>
      <c r="I946" s="171">
        <v>8</v>
      </c>
      <c r="J946" s="171">
        <v>3</v>
      </c>
      <c r="K946" s="171">
        <v>38</v>
      </c>
      <c r="L946" s="171">
        <v>0</v>
      </c>
      <c r="M946" s="171">
        <v>0</v>
      </c>
      <c r="N946" s="171">
        <v>9</v>
      </c>
      <c r="O946" s="171">
        <v>27</v>
      </c>
      <c r="P946" s="173">
        <v>2</v>
      </c>
    </row>
    <row r="947" spans="1:16">
      <c r="A947" s="170" t="s">
        <v>449</v>
      </c>
      <c r="B947" s="172" t="s">
        <v>467</v>
      </c>
      <c r="C947" s="172">
        <v>100</v>
      </c>
      <c r="D947" s="172">
        <v>20</v>
      </c>
      <c r="E947" s="172">
        <v>0</v>
      </c>
      <c r="F947" s="172">
        <v>0</v>
      </c>
      <c r="G947" s="172">
        <v>34</v>
      </c>
      <c r="H947" s="172">
        <v>44</v>
      </c>
      <c r="I947" s="172">
        <v>47</v>
      </c>
      <c r="J947" s="172">
        <v>7</v>
      </c>
      <c r="K947" s="172">
        <v>132</v>
      </c>
      <c r="L947" s="172">
        <v>20</v>
      </c>
      <c r="M947" s="172">
        <v>81</v>
      </c>
      <c r="N947" s="172">
        <v>52</v>
      </c>
      <c r="O947" s="172">
        <v>20</v>
      </c>
      <c r="P947" s="174">
        <v>2</v>
      </c>
    </row>
    <row r="948" spans="1:16">
      <c r="A948" s="169" t="s">
        <v>449</v>
      </c>
      <c r="B948" s="171" t="s">
        <v>467</v>
      </c>
      <c r="C948" s="171">
        <v>75</v>
      </c>
      <c r="D948" s="171">
        <v>25</v>
      </c>
      <c r="E948" s="171">
        <v>5</v>
      </c>
      <c r="F948" s="171">
        <v>15</v>
      </c>
      <c r="G948" s="171">
        <v>16</v>
      </c>
      <c r="H948" s="171">
        <v>18</v>
      </c>
      <c r="I948" s="171">
        <v>22</v>
      </c>
      <c r="J948" s="171">
        <v>0</v>
      </c>
      <c r="K948" s="171">
        <v>76</v>
      </c>
      <c r="L948" s="171">
        <v>31</v>
      </c>
      <c r="M948" s="171">
        <v>10</v>
      </c>
      <c r="N948" s="171">
        <v>10</v>
      </c>
      <c r="O948" s="171">
        <v>39</v>
      </c>
      <c r="P948" s="173">
        <v>8</v>
      </c>
    </row>
    <row r="949" spans="1:16">
      <c r="A949" s="170" t="s">
        <v>449</v>
      </c>
      <c r="B949" s="172" t="s">
        <v>467</v>
      </c>
      <c r="C949" s="172">
        <v>110</v>
      </c>
      <c r="D949" s="172">
        <v>20</v>
      </c>
      <c r="E949" s="172">
        <v>3</v>
      </c>
      <c r="F949" s="172">
        <v>10</v>
      </c>
      <c r="G949" s="172">
        <v>26</v>
      </c>
      <c r="H949" s="172">
        <v>30</v>
      </c>
      <c r="I949" s="172">
        <v>25</v>
      </c>
      <c r="J949" s="172">
        <v>1</v>
      </c>
      <c r="K949" s="172">
        <v>95</v>
      </c>
      <c r="L949" s="172">
        <v>13</v>
      </c>
      <c r="M949" s="172">
        <v>7</v>
      </c>
      <c r="N949" s="172">
        <v>23</v>
      </c>
      <c r="O949" s="172">
        <v>62</v>
      </c>
      <c r="P949" s="174">
        <v>6</v>
      </c>
    </row>
    <row r="950" spans="1:16" hidden="1">
      <c r="A950" s="169" t="s">
        <v>450</v>
      </c>
      <c r="B950" s="171" t="s">
        <v>467</v>
      </c>
      <c r="C950" s="171">
        <v>80</v>
      </c>
      <c r="D950" s="171">
        <v>80</v>
      </c>
      <c r="E950" s="171">
        <v>3</v>
      </c>
      <c r="F950" s="171">
        <v>3</v>
      </c>
      <c r="G950" s="171">
        <v>4</v>
      </c>
      <c r="H950" s="171">
        <v>4</v>
      </c>
      <c r="I950" s="171">
        <v>2</v>
      </c>
      <c r="J950" s="171">
        <v>0</v>
      </c>
      <c r="K950" s="171">
        <v>16</v>
      </c>
      <c r="L950" s="171">
        <v>7</v>
      </c>
      <c r="M950" s="171">
        <v>4</v>
      </c>
      <c r="N950" s="171">
        <v>2</v>
      </c>
      <c r="O950" s="171">
        <v>5</v>
      </c>
      <c r="P950" s="173">
        <v>5</v>
      </c>
    </row>
    <row r="951" spans="1:16">
      <c r="A951" s="170" t="s">
        <v>449</v>
      </c>
      <c r="B951" s="172" t="s">
        <v>467</v>
      </c>
      <c r="C951" s="172">
        <v>60</v>
      </c>
      <c r="D951" s="172">
        <v>12</v>
      </c>
      <c r="E951" s="172">
        <v>3</v>
      </c>
      <c r="F951" s="172">
        <v>11</v>
      </c>
      <c r="G951" s="172">
        <v>11</v>
      </c>
      <c r="H951" s="172">
        <v>9</v>
      </c>
      <c r="I951" s="172">
        <v>7</v>
      </c>
      <c r="J951" s="172">
        <v>1</v>
      </c>
      <c r="K951" s="172">
        <v>42</v>
      </c>
      <c r="L951" s="172">
        <v>23</v>
      </c>
      <c r="M951" s="172">
        <v>4</v>
      </c>
      <c r="N951" s="172">
        <v>3</v>
      </c>
      <c r="O951" s="172">
        <v>19</v>
      </c>
      <c r="P951" s="174">
        <v>3</v>
      </c>
    </row>
    <row r="952" spans="1:16">
      <c r="A952" s="171" t="s">
        <v>449</v>
      </c>
      <c r="B952" s="171" t="s">
        <v>467</v>
      </c>
      <c r="C952" s="171">
        <v>80</v>
      </c>
      <c r="D952" s="171">
        <v>30</v>
      </c>
      <c r="E952" s="171">
        <v>3</v>
      </c>
      <c r="F952" s="171">
        <v>9</v>
      </c>
      <c r="G952" s="171">
        <v>14</v>
      </c>
      <c r="H952" s="171">
        <v>17</v>
      </c>
      <c r="I952" s="171">
        <v>12</v>
      </c>
      <c r="J952" s="171">
        <v>1</v>
      </c>
      <c r="K952" s="171">
        <v>56</v>
      </c>
      <c r="L952" s="171">
        <v>12</v>
      </c>
      <c r="M952" s="171">
        <v>16</v>
      </c>
      <c r="N952" s="171">
        <v>40</v>
      </c>
      <c r="O952" s="171">
        <v>12</v>
      </c>
      <c r="P952" s="173">
        <v>0</v>
      </c>
    </row>
    <row r="953" spans="1:16">
      <c r="A953" s="172" t="s">
        <v>449</v>
      </c>
      <c r="B953" s="172" t="s">
        <v>467</v>
      </c>
      <c r="C953" s="172">
        <v>64</v>
      </c>
      <c r="D953" s="172">
        <v>15</v>
      </c>
      <c r="E953" s="172">
        <v>4</v>
      </c>
      <c r="F953" s="172">
        <v>6</v>
      </c>
      <c r="G953" s="172">
        <v>16</v>
      </c>
      <c r="H953" s="172">
        <v>14</v>
      </c>
      <c r="I953" s="172">
        <v>22</v>
      </c>
      <c r="J953" s="172">
        <v>1</v>
      </c>
      <c r="K953" s="172">
        <v>63</v>
      </c>
      <c r="L953" s="172">
        <v>5</v>
      </c>
      <c r="M953" s="172">
        <v>5</v>
      </c>
      <c r="N953" s="172">
        <v>19</v>
      </c>
      <c r="O953" s="172">
        <v>40</v>
      </c>
      <c r="P953" s="174">
        <v>1</v>
      </c>
    </row>
    <row r="954" spans="1:16" hidden="1">
      <c r="A954" s="169" t="s">
        <v>452</v>
      </c>
      <c r="B954" s="171" t="s">
        <v>467</v>
      </c>
      <c r="C954" s="171">
        <v>80</v>
      </c>
      <c r="D954" s="171">
        <v>20</v>
      </c>
      <c r="E954" s="171">
        <v>1</v>
      </c>
      <c r="F954" s="171">
        <v>13</v>
      </c>
      <c r="G954" s="171">
        <v>14</v>
      </c>
      <c r="H954" s="171">
        <v>29</v>
      </c>
      <c r="I954" s="171">
        <v>25</v>
      </c>
      <c r="J954" s="171">
        <v>1</v>
      </c>
      <c r="K954" s="171">
        <v>83</v>
      </c>
      <c r="L954" s="171">
        <v>54</v>
      </c>
      <c r="M954" s="171">
        <v>1</v>
      </c>
      <c r="N954" s="171">
        <v>3</v>
      </c>
      <c r="O954" s="171">
        <v>36</v>
      </c>
      <c r="P954" s="173">
        <v>5</v>
      </c>
    </row>
    <row r="955" spans="1:16">
      <c r="A955" s="170" t="s">
        <v>449</v>
      </c>
      <c r="B955" s="172" t="s">
        <v>467</v>
      </c>
      <c r="C955" s="172">
        <v>30</v>
      </c>
      <c r="D955" s="172">
        <v>0</v>
      </c>
      <c r="E955" s="172">
        <v>0</v>
      </c>
      <c r="F955" s="172">
        <v>0</v>
      </c>
      <c r="G955" s="172">
        <v>10</v>
      </c>
      <c r="H955" s="172">
        <v>11</v>
      </c>
      <c r="I955" s="172">
        <v>10</v>
      </c>
      <c r="J955" s="172">
        <v>1</v>
      </c>
      <c r="K955" s="172">
        <v>32</v>
      </c>
      <c r="L955" s="172">
        <v>30</v>
      </c>
      <c r="M955" s="172">
        <v>4</v>
      </c>
      <c r="N955" s="172">
        <v>2</v>
      </c>
      <c r="O955" s="172">
        <v>1</v>
      </c>
      <c r="P955" s="174">
        <v>1</v>
      </c>
    </row>
    <row r="956" spans="1:16" hidden="1">
      <c r="A956" s="171" t="s">
        <v>301</v>
      </c>
      <c r="B956" s="171" t="s">
        <v>467</v>
      </c>
      <c r="C956" s="171">
        <v>25</v>
      </c>
      <c r="D956" s="171">
        <v>15</v>
      </c>
      <c r="E956" s="171">
        <v>24</v>
      </c>
      <c r="F956" s="171">
        <v>7</v>
      </c>
      <c r="G956" s="171">
        <v>11</v>
      </c>
      <c r="H956" s="171">
        <v>9</v>
      </c>
      <c r="I956" s="171">
        <v>2</v>
      </c>
      <c r="J956" s="171">
        <v>0</v>
      </c>
      <c r="K956" s="171">
        <v>53</v>
      </c>
      <c r="L956" s="171">
        <v>41</v>
      </c>
      <c r="M956" s="171">
        <v>4</v>
      </c>
      <c r="N956" s="171">
        <v>3</v>
      </c>
      <c r="O956" s="171">
        <v>15</v>
      </c>
      <c r="P956" s="173">
        <v>6</v>
      </c>
    </row>
    <row r="957" spans="1:16" hidden="1">
      <c r="A957" s="170" t="s">
        <v>450</v>
      </c>
      <c r="B957" s="172" t="s">
        <v>467</v>
      </c>
      <c r="C957" s="172">
        <v>40</v>
      </c>
      <c r="D957" s="172">
        <v>40</v>
      </c>
      <c r="E957" s="172">
        <v>0</v>
      </c>
      <c r="F957" s="172">
        <v>4</v>
      </c>
      <c r="G957" s="172">
        <v>6</v>
      </c>
      <c r="H957" s="172">
        <v>8</v>
      </c>
      <c r="I957" s="172">
        <v>8</v>
      </c>
      <c r="J957" s="172">
        <v>1</v>
      </c>
      <c r="K957" s="172">
        <v>27</v>
      </c>
      <c r="L957" s="172">
        <v>1</v>
      </c>
      <c r="M957" s="172">
        <v>3</v>
      </c>
      <c r="N957" s="172">
        <v>27</v>
      </c>
      <c r="O957" s="172">
        <v>0</v>
      </c>
      <c r="P957" s="174">
        <v>0</v>
      </c>
    </row>
    <row r="958" spans="1:16">
      <c r="A958" s="169" t="s">
        <v>449</v>
      </c>
      <c r="B958" s="171" t="s">
        <v>467</v>
      </c>
      <c r="C958" s="171">
        <v>45</v>
      </c>
      <c r="D958" s="171">
        <v>0</v>
      </c>
      <c r="E958" s="171">
        <v>0</v>
      </c>
      <c r="F958" s="171">
        <v>0</v>
      </c>
      <c r="G958" s="171">
        <v>7</v>
      </c>
      <c r="H958" s="171">
        <v>15</v>
      </c>
      <c r="I958" s="171">
        <v>14</v>
      </c>
      <c r="J958" s="171">
        <v>2</v>
      </c>
      <c r="K958" s="171">
        <v>38</v>
      </c>
      <c r="L958" s="171">
        <v>2</v>
      </c>
      <c r="M958" s="171">
        <v>14</v>
      </c>
      <c r="N958" s="171">
        <v>22</v>
      </c>
      <c r="O958" s="171">
        <v>11</v>
      </c>
      <c r="P958" s="173">
        <v>2</v>
      </c>
    </row>
    <row r="959" spans="1:16">
      <c r="A959" s="170" t="s">
        <v>449</v>
      </c>
      <c r="B959" s="172" t="s">
        <v>467</v>
      </c>
      <c r="C959" s="172">
        <v>72</v>
      </c>
      <c r="D959" s="172">
        <v>20</v>
      </c>
      <c r="E959" s="172">
        <v>3</v>
      </c>
      <c r="F959" s="172">
        <v>13</v>
      </c>
      <c r="G959" s="172">
        <v>15</v>
      </c>
      <c r="H959" s="172">
        <v>17</v>
      </c>
      <c r="I959" s="172">
        <v>17</v>
      </c>
      <c r="J959" s="172">
        <v>0</v>
      </c>
      <c r="K959" s="172">
        <v>65</v>
      </c>
      <c r="L959" s="172">
        <v>63</v>
      </c>
      <c r="M959" s="172">
        <v>8</v>
      </c>
      <c r="N959" s="172">
        <v>2</v>
      </c>
      <c r="O959" s="172">
        <v>5</v>
      </c>
      <c r="P959" s="174">
        <v>2</v>
      </c>
    </row>
    <row r="960" spans="1:16">
      <c r="A960" s="169" t="s">
        <v>449</v>
      </c>
      <c r="B960" s="171" t="s">
        <v>467</v>
      </c>
      <c r="C960" s="171">
        <v>55</v>
      </c>
      <c r="D960" s="171">
        <v>0</v>
      </c>
      <c r="E960" s="171">
        <v>0</v>
      </c>
      <c r="F960" s="171">
        <v>0</v>
      </c>
      <c r="G960" s="171">
        <v>9</v>
      </c>
      <c r="H960" s="171">
        <v>17</v>
      </c>
      <c r="I960" s="171">
        <v>15</v>
      </c>
      <c r="J960" s="171">
        <v>4</v>
      </c>
      <c r="K960" s="171">
        <v>45</v>
      </c>
      <c r="L960" s="171">
        <v>0</v>
      </c>
      <c r="M960" s="171">
        <v>6</v>
      </c>
      <c r="N960" s="171">
        <v>17</v>
      </c>
      <c r="O960" s="171">
        <v>27</v>
      </c>
      <c r="P960" s="173">
        <v>0</v>
      </c>
    </row>
    <row r="961" spans="1:16">
      <c r="A961" s="170" t="s">
        <v>449</v>
      </c>
      <c r="B961" s="172" t="s">
        <v>467</v>
      </c>
      <c r="C961" s="172">
        <v>120</v>
      </c>
      <c r="D961" s="172">
        <v>32</v>
      </c>
      <c r="E961" s="172">
        <v>2</v>
      </c>
      <c r="F961" s="172">
        <v>18</v>
      </c>
      <c r="G961" s="172">
        <v>27</v>
      </c>
      <c r="H961" s="172">
        <v>41</v>
      </c>
      <c r="I961" s="172">
        <v>42</v>
      </c>
      <c r="J961" s="172">
        <v>2</v>
      </c>
      <c r="K961" s="172">
        <v>132</v>
      </c>
      <c r="L961" s="172">
        <v>96</v>
      </c>
      <c r="M961" s="172">
        <v>28</v>
      </c>
      <c r="N961" s="172">
        <v>15</v>
      </c>
      <c r="O961" s="172">
        <v>24</v>
      </c>
      <c r="P961" s="174">
        <v>11</v>
      </c>
    </row>
    <row r="962" spans="1:16">
      <c r="A962" s="169" t="s">
        <v>449</v>
      </c>
      <c r="B962" s="171" t="s">
        <v>467</v>
      </c>
      <c r="C962" s="171">
        <v>37</v>
      </c>
      <c r="D962" s="171">
        <v>12</v>
      </c>
      <c r="E962" s="171">
        <v>3</v>
      </c>
      <c r="F962" s="171">
        <v>7</v>
      </c>
      <c r="G962" s="171">
        <v>5</v>
      </c>
      <c r="H962" s="171">
        <v>11</v>
      </c>
      <c r="I962" s="171">
        <v>7</v>
      </c>
      <c r="J962" s="171">
        <v>0</v>
      </c>
      <c r="K962" s="171">
        <v>33</v>
      </c>
      <c r="L962" s="171">
        <v>21</v>
      </c>
      <c r="M962" s="171">
        <v>1</v>
      </c>
      <c r="N962" s="171">
        <v>0</v>
      </c>
      <c r="O962" s="171">
        <v>8</v>
      </c>
      <c r="P962" s="173">
        <v>5</v>
      </c>
    </row>
    <row r="963" spans="1:16">
      <c r="A963" s="170" t="s">
        <v>449</v>
      </c>
      <c r="B963" s="172" t="s">
        <v>467</v>
      </c>
      <c r="C963" s="172">
        <v>120</v>
      </c>
      <c r="D963" s="172">
        <v>25</v>
      </c>
      <c r="E963" s="172">
        <v>7</v>
      </c>
      <c r="F963" s="172">
        <v>18</v>
      </c>
      <c r="G963" s="172">
        <v>21</v>
      </c>
      <c r="H963" s="172">
        <v>27</v>
      </c>
      <c r="I963" s="172">
        <v>30</v>
      </c>
      <c r="J963" s="172">
        <v>0</v>
      </c>
      <c r="K963" s="172">
        <v>103</v>
      </c>
      <c r="L963" s="172">
        <v>20</v>
      </c>
      <c r="M963" s="172">
        <v>17</v>
      </c>
      <c r="N963" s="172">
        <v>14</v>
      </c>
      <c r="O963" s="172">
        <v>80</v>
      </c>
      <c r="P963" s="174">
        <v>2</v>
      </c>
    </row>
    <row r="964" spans="1:16">
      <c r="A964" s="169" t="s">
        <v>449</v>
      </c>
      <c r="B964" s="171" t="s">
        <v>467</v>
      </c>
      <c r="C964" s="171">
        <v>31</v>
      </c>
      <c r="D964" s="171">
        <v>5</v>
      </c>
      <c r="E964" s="171">
        <v>0</v>
      </c>
      <c r="F964" s="171">
        <v>3</v>
      </c>
      <c r="G964" s="171">
        <v>7</v>
      </c>
      <c r="H964" s="171">
        <v>5</v>
      </c>
      <c r="I964" s="171">
        <v>6</v>
      </c>
      <c r="J964" s="171">
        <v>3</v>
      </c>
      <c r="K964" s="171">
        <v>24</v>
      </c>
      <c r="L964" s="171">
        <v>1</v>
      </c>
      <c r="M964" s="171">
        <v>6</v>
      </c>
      <c r="N964" s="171">
        <v>19</v>
      </c>
      <c r="O964" s="171">
        <v>3</v>
      </c>
      <c r="P964" s="173">
        <v>0</v>
      </c>
    </row>
    <row r="965" spans="1:16">
      <c r="A965" s="170" t="s">
        <v>449</v>
      </c>
      <c r="B965" s="172" t="s">
        <v>467</v>
      </c>
      <c r="C965" s="172">
        <v>74</v>
      </c>
      <c r="D965" s="172">
        <v>25</v>
      </c>
      <c r="E965" s="172">
        <v>1</v>
      </c>
      <c r="F965" s="172">
        <v>19</v>
      </c>
      <c r="G965" s="172">
        <v>27</v>
      </c>
      <c r="H965" s="172">
        <v>28</v>
      </c>
      <c r="I965" s="172">
        <v>18</v>
      </c>
      <c r="J965" s="172">
        <v>0</v>
      </c>
      <c r="K965" s="172">
        <v>93</v>
      </c>
      <c r="L965" s="172">
        <v>89</v>
      </c>
      <c r="M965" s="172">
        <v>11</v>
      </c>
      <c r="N965" s="172">
        <v>2</v>
      </c>
      <c r="O965" s="172">
        <v>7</v>
      </c>
      <c r="P965" s="174">
        <v>1</v>
      </c>
    </row>
    <row r="966" spans="1:16">
      <c r="A966" s="169" t="s">
        <v>449</v>
      </c>
      <c r="B966" s="171" t="s">
        <v>467</v>
      </c>
      <c r="C966" s="171">
        <v>97</v>
      </c>
      <c r="D966" s="171">
        <v>25</v>
      </c>
      <c r="E966" s="171">
        <v>1</v>
      </c>
      <c r="F966" s="171">
        <v>8</v>
      </c>
      <c r="G966" s="171">
        <v>17</v>
      </c>
      <c r="H966" s="171">
        <v>12</v>
      </c>
      <c r="I966" s="171">
        <v>17</v>
      </c>
      <c r="J966" s="171">
        <v>1</v>
      </c>
      <c r="K966" s="171">
        <v>56</v>
      </c>
      <c r="L966" s="171">
        <v>29</v>
      </c>
      <c r="M966" s="171">
        <v>6</v>
      </c>
      <c r="N966" s="171">
        <v>3</v>
      </c>
      <c r="O966" s="171">
        <v>30</v>
      </c>
      <c r="P966" s="173">
        <v>1</v>
      </c>
    </row>
    <row r="967" spans="1:16">
      <c r="A967" s="170" t="s">
        <v>449</v>
      </c>
      <c r="B967" s="172" t="s">
        <v>467</v>
      </c>
      <c r="C967" s="172">
        <v>82</v>
      </c>
      <c r="D967" s="172">
        <v>30</v>
      </c>
      <c r="E967" s="172">
        <v>4</v>
      </c>
      <c r="F967" s="172">
        <v>19</v>
      </c>
      <c r="G967" s="172">
        <v>21</v>
      </c>
      <c r="H967" s="172">
        <v>24</v>
      </c>
      <c r="I967" s="172">
        <v>15</v>
      </c>
      <c r="J967" s="172">
        <v>0</v>
      </c>
      <c r="K967" s="172">
        <v>83</v>
      </c>
      <c r="L967" s="172">
        <v>31</v>
      </c>
      <c r="M967" s="172">
        <v>10</v>
      </c>
      <c r="N967" s="172">
        <v>14</v>
      </c>
      <c r="O967" s="172">
        <v>43</v>
      </c>
      <c r="P967" s="174">
        <v>1</v>
      </c>
    </row>
    <row r="968" spans="1:16">
      <c r="A968" s="169" t="s">
        <v>449</v>
      </c>
      <c r="B968" s="171" t="s">
        <v>467</v>
      </c>
      <c r="C968" s="171">
        <v>150</v>
      </c>
      <c r="D968" s="171">
        <v>50</v>
      </c>
      <c r="E968" s="171">
        <v>9</v>
      </c>
      <c r="F968" s="171">
        <v>36</v>
      </c>
      <c r="G968" s="171">
        <v>29</v>
      </c>
      <c r="H968" s="171">
        <v>30</v>
      </c>
      <c r="I968" s="171">
        <v>26</v>
      </c>
      <c r="J968" s="171">
        <v>0</v>
      </c>
      <c r="K968" s="171">
        <v>130</v>
      </c>
      <c r="L968" s="171">
        <v>68</v>
      </c>
      <c r="M968" s="171">
        <v>17</v>
      </c>
      <c r="N968" s="171">
        <v>19</v>
      </c>
      <c r="O968" s="171">
        <v>47</v>
      </c>
      <c r="P968" s="173">
        <v>12</v>
      </c>
    </row>
    <row r="969" spans="1:16">
      <c r="A969" s="170" t="s">
        <v>449</v>
      </c>
      <c r="B969" s="172" t="s">
        <v>467</v>
      </c>
      <c r="C969" s="172">
        <v>75</v>
      </c>
      <c r="D969" s="172">
        <v>20</v>
      </c>
      <c r="E969" s="172">
        <v>2</v>
      </c>
      <c r="F969" s="172">
        <v>14</v>
      </c>
      <c r="G969" s="172">
        <v>15</v>
      </c>
      <c r="H969" s="172">
        <v>11</v>
      </c>
      <c r="I969" s="172">
        <v>16</v>
      </c>
      <c r="J969" s="172">
        <v>2</v>
      </c>
      <c r="K969" s="172">
        <v>60</v>
      </c>
      <c r="L969" s="172">
        <v>23</v>
      </c>
      <c r="M969" s="172">
        <v>12</v>
      </c>
      <c r="N969" s="172">
        <v>14</v>
      </c>
      <c r="O969" s="172">
        <v>31</v>
      </c>
      <c r="P969" s="174">
        <v>6</v>
      </c>
    </row>
    <row r="970" spans="1:16" hidden="1">
      <c r="A970" s="169" t="s">
        <v>450</v>
      </c>
      <c r="B970" s="171" t="s">
        <v>467</v>
      </c>
      <c r="C970" s="171">
        <v>80</v>
      </c>
      <c r="D970" s="171">
        <v>80</v>
      </c>
      <c r="E970" s="171">
        <v>4</v>
      </c>
      <c r="F970" s="171">
        <v>12</v>
      </c>
      <c r="G970" s="171">
        <v>11</v>
      </c>
      <c r="H970" s="171">
        <v>11</v>
      </c>
      <c r="I970" s="171">
        <v>12</v>
      </c>
      <c r="J970" s="171">
        <v>0</v>
      </c>
      <c r="K970" s="171">
        <v>50</v>
      </c>
      <c r="L970" s="171">
        <v>1</v>
      </c>
      <c r="M970" s="171">
        <v>0</v>
      </c>
      <c r="N970" s="171">
        <v>0</v>
      </c>
      <c r="O970" s="171">
        <v>50</v>
      </c>
      <c r="P970" s="173">
        <v>0</v>
      </c>
    </row>
    <row r="971" spans="1:16">
      <c r="A971" s="170" t="s">
        <v>449</v>
      </c>
      <c r="B971" s="172" t="s">
        <v>467</v>
      </c>
      <c r="C971" s="172">
        <v>49</v>
      </c>
      <c r="D971" s="172">
        <v>15</v>
      </c>
      <c r="E971" s="172">
        <v>0</v>
      </c>
      <c r="F971" s="172">
        <v>3</v>
      </c>
      <c r="G971" s="172">
        <v>6</v>
      </c>
      <c r="H971" s="172">
        <v>11</v>
      </c>
      <c r="I971" s="172">
        <v>12</v>
      </c>
      <c r="J971" s="172">
        <v>1</v>
      </c>
      <c r="K971" s="172">
        <v>33</v>
      </c>
      <c r="L971" s="172">
        <v>0</v>
      </c>
      <c r="M971" s="172">
        <v>0</v>
      </c>
      <c r="N971" s="172">
        <v>1</v>
      </c>
      <c r="O971" s="172">
        <v>33</v>
      </c>
      <c r="P971" s="174">
        <v>1</v>
      </c>
    </row>
    <row r="972" spans="1:16">
      <c r="A972" s="169" t="s">
        <v>449</v>
      </c>
      <c r="B972" s="171" t="s">
        <v>467</v>
      </c>
      <c r="C972" s="171">
        <v>50</v>
      </c>
      <c r="D972" s="171">
        <v>0</v>
      </c>
      <c r="E972" s="171">
        <v>0</v>
      </c>
      <c r="F972" s="171">
        <v>0</v>
      </c>
      <c r="G972" s="171">
        <v>11</v>
      </c>
      <c r="H972" s="171">
        <v>10</v>
      </c>
      <c r="I972" s="171">
        <v>15</v>
      </c>
      <c r="J972" s="171">
        <v>0</v>
      </c>
      <c r="K972" s="171">
        <v>36</v>
      </c>
      <c r="L972" s="171">
        <v>13</v>
      </c>
      <c r="M972" s="171">
        <v>29</v>
      </c>
      <c r="N972" s="171">
        <v>23</v>
      </c>
      <c r="O972" s="171">
        <v>2</v>
      </c>
      <c r="P972" s="173">
        <v>0</v>
      </c>
    </row>
    <row r="973" spans="1:16">
      <c r="A973" s="170" t="s">
        <v>449</v>
      </c>
      <c r="B973" s="172" t="s">
        <v>467</v>
      </c>
      <c r="C973" s="172">
        <v>150</v>
      </c>
      <c r="D973" s="172">
        <v>20</v>
      </c>
      <c r="E973" s="172">
        <v>4</v>
      </c>
      <c r="F973" s="172">
        <v>18</v>
      </c>
      <c r="G973" s="172">
        <v>33</v>
      </c>
      <c r="H973" s="172">
        <v>38</v>
      </c>
      <c r="I973" s="172">
        <v>46</v>
      </c>
      <c r="J973" s="172">
        <v>6</v>
      </c>
      <c r="K973" s="172">
        <v>145</v>
      </c>
      <c r="L973" s="172">
        <v>17</v>
      </c>
      <c r="M973" s="172">
        <v>18</v>
      </c>
      <c r="N973" s="172">
        <v>22</v>
      </c>
      <c r="O973" s="172">
        <v>101</v>
      </c>
      <c r="P973" s="174">
        <v>7</v>
      </c>
    </row>
    <row r="974" spans="1:16">
      <c r="A974" s="169" t="s">
        <v>449</v>
      </c>
      <c r="B974" s="171" t="s">
        <v>467</v>
      </c>
      <c r="C974" s="171">
        <v>80</v>
      </c>
      <c r="D974" s="171">
        <v>19</v>
      </c>
      <c r="E974" s="171">
        <v>3</v>
      </c>
      <c r="F974" s="171">
        <v>15</v>
      </c>
      <c r="G974" s="171">
        <v>19</v>
      </c>
      <c r="H974" s="171">
        <v>19</v>
      </c>
      <c r="I974" s="171">
        <v>19</v>
      </c>
      <c r="J974" s="171">
        <v>0</v>
      </c>
      <c r="K974" s="171">
        <v>75</v>
      </c>
      <c r="L974" s="171">
        <v>42</v>
      </c>
      <c r="M974" s="171">
        <v>14</v>
      </c>
      <c r="N974" s="171">
        <v>10</v>
      </c>
      <c r="O974" s="171">
        <v>25</v>
      </c>
      <c r="P974" s="173">
        <v>5</v>
      </c>
    </row>
    <row r="975" spans="1:16" hidden="1">
      <c r="A975" s="170" t="s">
        <v>450</v>
      </c>
      <c r="B975" s="172" t="s">
        <v>467</v>
      </c>
      <c r="C975" s="172">
        <v>80</v>
      </c>
      <c r="D975" s="172">
        <v>80</v>
      </c>
      <c r="E975" s="172">
        <v>8</v>
      </c>
      <c r="F975" s="172">
        <v>12</v>
      </c>
      <c r="G975" s="172">
        <v>5</v>
      </c>
      <c r="H975" s="172">
        <v>10</v>
      </c>
      <c r="I975" s="172">
        <v>15</v>
      </c>
      <c r="J975" s="172">
        <v>0</v>
      </c>
      <c r="K975" s="172">
        <v>50</v>
      </c>
      <c r="L975" s="172">
        <v>1</v>
      </c>
      <c r="M975" s="172">
        <v>0</v>
      </c>
      <c r="N975" s="172">
        <v>0</v>
      </c>
      <c r="O975" s="172">
        <v>50</v>
      </c>
      <c r="P975" s="174">
        <v>0</v>
      </c>
    </row>
    <row r="976" spans="1:16">
      <c r="A976" s="169" t="s">
        <v>449</v>
      </c>
      <c r="B976" s="171" t="s">
        <v>467</v>
      </c>
      <c r="C976" s="171">
        <v>40</v>
      </c>
      <c r="D976" s="171">
        <v>10</v>
      </c>
      <c r="E976" s="171">
        <v>1</v>
      </c>
      <c r="F976" s="171">
        <v>0</v>
      </c>
      <c r="G976" s="171">
        <v>4</v>
      </c>
      <c r="H976" s="171">
        <v>4</v>
      </c>
      <c r="I976" s="171">
        <v>3</v>
      </c>
      <c r="J976" s="171">
        <v>1</v>
      </c>
      <c r="K976" s="171">
        <v>13</v>
      </c>
      <c r="L976" s="171">
        <v>2</v>
      </c>
      <c r="M976" s="171">
        <v>0</v>
      </c>
      <c r="N976" s="171">
        <v>13</v>
      </c>
      <c r="O976" s="171">
        <v>0</v>
      </c>
      <c r="P976" s="173">
        <v>0</v>
      </c>
    </row>
    <row r="977" spans="1:16" hidden="1">
      <c r="A977" s="172" t="s">
        <v>450</v>
      </c>
      <c r="B977" s="172" t="s">
        <v>467</v>
      </c>
      <c r="C977" s="172">
        <v>40</v>
      </c>
      <c r="D977" s="172">
        <v>40</v>
      </c>
      <c r="E977" s="172">
        <v>2</v>
      </c>
      <c r="F977" s="172">
        <v>9</v>
      </c>
      <c r="G977" s="172">
        <v>7</v>
      </c>
      <c r="H977" s="172">
        <v>6</v>
      </c>
      <c r="I977" s="172">
        <v>4</v>
      </c>
      <c r="J977" s="172">
        <v>2</v>
      </c>
      <c r="K977" s="172">
        <v>30</v>
      </c>
      <c r="L977" s="172">
        <v>1</v>
      </c>
      <c r="M977" s="172">
        <v>3</v>
      </c>
      <c r="N977" s="172">
        <v>30</v>
      </c>
      <c r="O977" s="172">
        <v>0</v>
      </c>
      <c r="P977" s="174">
        <v>0</v>
      </c>
    </row>
    <row r="978" spans="1:16" hidden="1">
      <c r="A978" s="169" t="s">
        <v>450</v>
      </c>
      <c r="B978" s="171" t="s">
        <v>467</v>
      </c>
      <c r="C978" s="171">
        <v>60</v>
      </c>
      <c r="D978" s="171">
        <v>60</v>
      </c>
      <c r="E978" s="171">
        <v>5</v>
      </c>
      <c r="F978" s="171">
        <v>11</v>
      </c>
      <c r="G978" s="171">
        <v>10</v>
      </c>
      <c r="H978" s="171">
        <v>9</v>
      </c>
      <c r="I978" s="171">
        <v>7</v>
      </c>
      <c r="J978" s="171">
        <v>0</v>
      </c>
      <c r="K978" s="171">
        <v>42</v>
      </c>
      <c r="L978" s="171">
        <v>0</v>
      </c>
      <c r="M978" s="171">
        <v>0</v>
      </c>
      <c r="N978" s="171">
        <v>42</v>
      </c>
      <c r="O978" s="171">
        <v>0</v>
      </c>
      <c r="P978" s="173">
        <v>0</v>
      </c>
    </row>
    <row r="979" spans="1:16">
      <c r="A979" s="170" t="s">
        <v>449</v>
      </c>
      <c r="B979" s="172" t="s">
        <v>467</v>
      </c>
      <c r="C979" s="172">
        <v>30</v>
      </c>
      <c r="D979" s="172">
        <v>0</v>
      </c>
      <c r="E979" s="172">
        <v>0</v>
      </c>
      <c r="F979" s="172">
        <v>0</v>
      </c>
      <c r="G979" s="172">
        <v>0</v>
      </c>
      <c r="H979" s="172">
        <v>5</v>
      </c>
      <c r="I979" s="172">
        <v>21</v>
      </c>
      <c r="J979" s="172">
        <v>0</v>
      </c>
      <c r="K979" s="172">
        <v>26</v>
      </c>
      <c r="L979" s="172">
        <v>4</v>
      </c>
      <c r="M979" s="172">
        <v>1</v>
      </c>
      <c r="N979" s="172">
        <v>1</v>
      </c>
      <c r="O979" s="172">
        <v>22</v>
      </c>
      <c r="P979" s="174">
        <v>2</v>
      </c>
    </row>
    <row r="980" spans="1:16">
      <c r="A980" s="169" t="s">
        <v>449</v>
      </c>
      <c r="B980" s="171" t="s">
        <v>467</v>
      </c>
      <c r="C980" s="171">
        <v>60</v>
      </c>
      <c r="D980" s="171">
        <v>10</v>
      </c>
      <c r="E980" s="171">
        <v>2</v>
      </c>
      <c r="F980" s="171">
        <v>7</v>
      </c>
      <c r="G980" s="171">
        <v>10</v>
      </c>
      <c r="H980" s="171">
        <v>17</v>
      </c>
      <c r="I980" s="171">
        <v>13</v>
      </c>
      <c r="J980" s="171">
        <v>3</v>
      </c>
      <c r="K980" s="171">
        <v>52</v>
      </c>
      <c r="L980" s="171">
        <v>14</v>
      </c>
      <c r="M980" s="171">
        <v>11</v>
      </c>
      <c r="N980" s="171">
        <v>38</v>
      </c>
      <c r="O980" s="171">
        <v>5</v>
      </c>
      <c r="P980" s="173">
        <v>7</v>
      </c>
    </row>
    <row r="981" spans="1:16" hidden="1">
      <c r="A981" s="170" t="s">
        <v>450</v>
      </c>
      <c r="B981" s="172" t="s">
        <v>467</v>
      </c>
      <c r="C981" s="172">
        <v>80</v>
      </c>
      <c r="D981" s="172">
        <v>80</v>
      </c>
      <c r="E981" s="172">
        <v>6</v>
      </c>
      <c r="F981" s="172">
        <v>10</v>
      </c>
      <c r="G981" s="172">
        <v>13</v>
      </c>
      <c r="H981" s="172">
        <v>10</v>
      </c>
      <c r="I981" s="172">
        <v>12</v>
      </c>
      <c r="J981" s="172">
        <v>0</v>
      </c>
      <c r="K981" s="172">
        <v>51</v>
      </c>
      <c r="L981" s="172">
        <v>3</v>
      </c>
      <c r="M981" s="172">
        <v>0</v>
      </c>
      <c r="N981" s="172">
        <v>0</v>
      </c>
      <c r="O981" s="172">
        <v>51</v>
      </c>
      <c r="P981" s="174">
        <v>0</v>
      </c>
    </row>
    <row r="982" spans="1:16">
      <c r="A982" s="169" t="s">
        <v>449</v>
      </c>
      <c r="B982" s="171" t="s">
        <v>467</v>
      </c>
      <c r="C982" s="171">
        <v>130</v>
      </c>
      <c r="D982" s="171">
        <v>40</v>
      </c>
      <c r="E982" s="171">
        <v>2</v>
      </c>
      <c r="F982" s="171">
        <v>21</v>
      </c>
      <c r="G982" s="171">
        <v>31</v>
      </c>
      <c r="H982" s="171">
        <v>32</v>
      </c>
      <c r="I982" s="171">
        <v>41</v>
      </c>
      <c r="J982" s="171">
        <v>0</v>
      </c>
      <c r="K982" s="171">
        <v>127</v>
      </c>
      <c r="L982" s="171">
        <v>64</v>
      </c>
      <c r="M982" s="171">
        <v>5</v>
      </c>
      <c r="N982" s="171">
        <v>5</v>
      </c>
      <c r="O982" s="171">
        <v>64</v>
      </c>
      <c r="P982" s="173">
        <v>6</v>
      </c>
    </row>
    <row r="983" spans="1:16">
      <c r="A983" s="170" t="s">
        <v>449</v>
      </c>
      <c r="B983" s="172" t="s">
        <v>467</v>
      </c>
      <c r="C983" s="172">
        <v>75</v>
      </c>
      <c r="D983" s="172">
        <v>30</v>
      </c>
      <c r="E983" s="172">
        <v>4</v>
      </c>
      <c r="F983" s="172">
        <v>19</v>
      </c>
      <c r="G983" s="172">
        <v>27</v>
      </c>
      <c r="H983" s="172">
        <v>22</v>
      </c>
      <c r="I983" s="172">
        <v>14</v>
      </c>
      <c r="J983" s="172">
        <v>1</v>
      </c>
      <c r="K983" s="172">
        <v>87</v>
      </c>
      <c r="L983" s="172">
        <v>61</v>
      </c>
      <c r="M983" s="172">
        <v>10</v>
      </c>
      <c r="N983" s="172">
        <v>10</v>
      </c>
      <c r="O983" s="172">
        <v>22</v>
      </c>
      <c r="P983" s="174">
        <v>7</v>
      </c>
    </row>
    <row r="984" spans="1:16">
      <c r="A984" s="169" t="s">
        <v>449</v>
      </c>
      <c r="B984" s="171" t="s">
        <v>467</v>
      </c>
      <c r="C984" s="171">
        <v>84</v>
      </c>
      <c r="D984" s="171">
        <v>20</v>
      </c>
      <c r="E984" s="171">
        <v>2</v>
      </c>
      <c r="F984" s="171">
        <v>18</v>
      </c>
      <c r="G984" s="171">
        <v>10</v>
      </c>
      <c r="H984" s="171">
        <v>26</v>
      </c>
      <c r="I984" s="171">
        <v>14</v>
      </c>
      <c r="J984" s="171">
        <v>0</v>
      </c>
      <c r="K984" s="171">
        <v>70</v>
      </c>
      <c r="L984" s="171">
        <v>17</v>
      </c>
      <c r="M984" s="171">
        <v>1</v>
      </c>
      <c r="N984" s="171">
        <v>7</v>
      </c>
      <c r="O984" s="171">
        <v>55</v>
      </c>
      <c r="P984" s="173">
        <v>1</v>
      </c>
    </row>
    <row r="985" spans="1:16">
      <c r="A985" s="170" t="s">
        <v>449</v>
      </c>
      <c r="B985" s="172" t="s">
        <v>467</v>
      </c>
      <c r="C985" s="172">
        <v>75</v>
      </c>
      <c r="D985" s="172">
        <v>18</v>
      </c>
      <c r="E985" s="172">
        <v>2</v>
      </c>
      <c r="F985" s="172">
        <v>9</v>
      </c>
      <c r="G985" s="172">
        <v>11</v>
      </c>
      <c r="H985" s="172">
        <v>22</v>
      </c>
      <c r="I985" s="172">
        <v>17</v>
      </c>
      <c r="J985" s="172">
        <v>2</v>
      </c>
      <c r="K985" s="172">
        <v>63</v>
      </c>
      <c r="L985" s="172">
        <v>19</v>
      </c>
      <c r="M985" s="172">
        <v>34</v>
      </c>
      <c r="N985" s="172">
        <v>19</v>
      </c>
      <c r="O985" s="172">
        <v>12</v>
      </c>
      <c r="P985" s="174">
        <v>1</v>
      </c>
    </row>
    <row r="986" spans="1:16">
      <c r="A986" s="169" t="s">
        <v>449</v>
      </c>
      <c r="B986" s="171" t="s">
        <v>467</v>
      </c>
      <c r="C986" s="171">
        <v>120</v>
      </c>
      <c r="D986" s="171">
        <v>20</v>
      </c>
      <c r="E986" s="171">
        <v>4</v>
      </c>
      <c r="F986" s="171">
        <v>13</v>
      </c>
      <c r="G986" s="171">
        <v>22</v>
      </c>
      <c r="H986" s="171">
        <v>25</v>
      </c>
      <c r="I986" s="171">
        <v>23</v>
      </c>
      <c r="J986" s="171">
        <v>1</v>
      </c>
      <c r="K986" s="171">
        <v>88</v>
      </c>
      <c r="L986" s="171">
        <v>45</v>
      </c>
      <c r="M986" s="171">
        <v>9</v>
      </c>
      <c r="N986" s="171">
        <v>4</v>
      </c>
      <c r="O986" s="171">
        <v>43</v>
      </c>
      <c r="P986" s="173">
        <v>6</v>
      </c>
    </row>
    <row r="987" spans="1:16">
      <c r="A987" s="170" t="s">
        <v>449</v>
      </c>
      <c r="B987" s="172" t="s">
        <v>467</v>
      </c>
      <c r="C987" s="172">
        <v>27</v>
      </c>
      <c r="D987" s="172">
        <v>0</v>
      </c>
      <c r="E987" s="172">
        <v>0</v>
      </c>
      <c r="F987" s="172">
        <v>0</v>
      </c>
      <c r="G987" s="172">
        <v>8</v>
      </c>
      <c r="H987" s="172">
        <v>13</v>
      </c>
      <c r="I987" s="172">
        <v>13</v>
      </c>
      <c r="J987" s="172">
        <v>1</v>
      </c>
      <c r="K987" s="172">
        <v>35</v>
      </c>
      <c r="L987" s="172">
        <v>29</v>
      </c>
      <c r="M987" s="172">
        <v>21</v>
      </c>
      <c r="N987" s="172">
        <v>4</v>
      </c>
      <c r="O987" s="172">
        <v>3</v>
      </c>
      <c r="P987" s="174">
        <v>0</v>
      </c>
    </row>
    <row r="988" spans="1:16">
      <c r="A988" s="169" t="s">
        <v>449</v>
      </c>
      <c r="B988" s="171" t="s">
        <v>467</v>
      </c>
      <c r="C988" s="171">
        <v>45</v>
      </c>
      <c r="D988" s="171">
        <v>15</v>
      </c>
      <c r="E988" s="171">
        <v>1</v>
      </c>
      <c r="F988" s="171">
        <v>6</v>
      </c>
      <c r="G988" s="171">
        <v>6</v>
      </c>
      <c r="H988" s="171">
        <v>9</v>
      </c>
      <c r="I988" s="171">
        <v>4</v>
      </c>
      <c r="J988" s="171">
        <v>1</v>
      </c>
      <c r="K988" s="171">
        <v>27</v>
      </c>
      <c r="L988" s="171">
        <v>8</v>
      </c>
      <c r="M988" s="171">
        <v>8</v>
      </c>
      <c r="N988" s="171">
        <v>11</v>
      </c>
      <c r="O988" s="171">
        <v>12</v>
      </c>
      <c r="P988" s="173">
        <v>2</v>
      </c>
    </row>
    <row r="989" spans="1:16" hidden="1">
      <c r="A989" s="170" t="s">
        <v>450</v>
      </c>
      <c r="B989" s="172" t="s">
        <v>467</v>
      </c>
      <c r="C989" s="172">
        <v>80</v>
      </c>
      <c r="D989" s="172">
        <v>80</v>
      </c>
      <c r="E989" s="172">
        <v>10</v>
      </c>
      <c r="F989" s="172">
        <v>5</v>
      </c>
      <c r="G989" s="172">
        <v>14</v>
      </c>
      <c r="H989" s="172">
        <v>10</v>
      </c>
      <c r="I989" s="172">
        <v>8</v>
      </c>
      <c r="J989" s="172">
        <v>1</v>
      </c>
      <c r="K989" s="172">
        <v>48</v>
      </c>
      <c r="L989" s="172">
        <v>4</v>
      </c>
      <c r="M989" s="172">
        <v>0</v>
      </c>
      <c r="N989" s="172">
        <v>0</v>
      </c>
      <c r="O989" s="172">
        <v>48</v>
      </c>
      <c r="P989" s="174">
        <v>0</v>
      </c>
    </row>
    <row r="990" spans="1:16">
      <c r="A990" s="171" t="s">
        <v>449</v>
      </c>
      <c r="B990" s="171" t="s">
        <v>467</v>
      </c>
      <c r="C990" s="171">
        <v>50</v>
      </c>
      <c r="D990" s="171">
        <v>20</v>
      </c>
      <c r="E990" s="171">
        <v>1</v>
      </c>
      <c r="F990" s="171">
        <v>9</v>
      </c>
      <c r="G990" s="171">
        <v>9</v>
      </c>
      <c r="H990" s="171">
        <v>16</v>
      </c>
      <c r="I990" s="171">
        <v>6</v>
      </c>
      <c r="J990" s="171">
        <v>1</v>
      </c>
      <c r="K990" s="171">
        <v>42</v>
      </c>
      <c r="L990" s="171">
        <v>5</v>
      </c>
      <c r="M990" s="171">
        <v>8</v>
      </c>
      <c r="N990" s="171">
        <v>12</v>
      </c>
      <c r="O990" s="171">
        <v>23</v>
      </c>
      <c r="P990" s="173">
        <v>0</v>
      </c>
    </row>
    <row r="991" spans="1:16" hidden="1">
      <c r="A991" s="172" t="s">
        <v>450</v>
      </c>
      <c r="B991" s="172" t="s">
        <v>467</v>
      </c>
      <c r="C991" s="172">
        <v>60</v>
      </c>
      <c r="D991" s="172">
        <v>60</v>
      </c>
      <c r="E991" s="172">
        <v>8</v>
      </c>
      <c r="F991" s="172">
        <v>9</v>
      </c>
      <c r="G991" s="172">
        <v>8</v>
      </c>
      <c r="H991" s="172">
        <v>8</v>
      </c>
      <c r="I991" s="172">
        <v>7</v>
      </c>
      <c r="J991" s="172">
        <v>2</v>
      </c>
      <c r="K991" s="172">
        <v>42</v>
      </c>
      <c r="L991" s="172">
        <v>0</v>
      </c>
      <c r="M991" s="172">
        <v>0</v>
      </c>
      <c r="N991" s="172">
        <v>39</v>
      </c>
      <c r="O991" s="172">
        <v>1</v>
      </c>
      <c r="P991" s="174">
        <v>2</v>
      </c>
    </row>
    <row r="992" spans="1:16">
      <c r="A992" s="171" t="s">
        <v>449</v>
      </c>
      <c r="B992" s="171" t="s">
        <v>467</v>
      </c>
      <c r="C992" s="171">
        <v>59</v>
      </c>
      <c r="D992" s="171">
        <v>10</v>
      </c>
      <c r="E992" s="171">
        <v>0</v>
      </c>
      <c r="F992" s="171">
        <v>10</v>
      </c>
      <c r="G992" s="171">
        <v>15</v>
      </c>
      <c r="H992" s="171">
        <v>22</v>
      </c>
      <c r="I992" s="171">
        <v>24</v>
      </c>
      <c r="J992" s="171">
        <v>1</v>
      </c>
      <c r="K992" s="171">
        <v>72</v>
      </c>
      <c r="L992" s="171">
        <v>12</v>
      </c>
      <c r="M992" s="171">
        <v>4</v>
      </c>
      <c r="N992" s="171">
        <v>8</v>
      </c>
      <c r="O992" s="171">
        <v>57</v>
      </c>
      <c r="P992" s="173">
        <v>2</v>
      </c>
    </row>
    <row r="993" spans="1:16">
      <c r="A993" s="170" t="s">
        <v>449</v>
      </c>
      <c r="B993" s="172" t="s">
        <v>467</v>
      </c>
      <c r="C993" s="172">
        <v>30</v>
      </c>
      <c r="D993" s="172">
        <v>12</v>
      </c>
      <c r="E993" s="172">
        <v>3</v>
      </c>
      <c r="F993" s="172">
        <v>6</v>
      </c>
      <c r="G993" s="172">
        <v>8</v>
      </c>
      <c r="H993" s="172">
        <v>8</v>
      </c>
      <c r="I993" s="172">
        <v>13</v>
      </c>
      <c r="J993" s="172">
        <v>0</v>
      </c>
      <c r="K993" s="172">
        <v>38</v>
      </c>
      <c r="L993" s="172">
        <v>30</v>
      </c>
      <c r="M993" s="172">
        <v>10</v>
      </c>
      <c r="N993" s="172">
        <v>3</v>
      </c>
      <c r="O993" s="172">
        <v>0</v>
      </c>
      <c r="P993" s="174">
        <v>2</v>
      </c>
    </row>
    <row r="994" spans="1:16" hidden="1">
      <c r="A994" s="169" t="s">
        <v>450</v>
      </c>
      <c r="B994" s="171" t="s">
        <v>467</v>
      </c>
      <c r="C994" s="171">
        <v>50</v>
      </c>
      <c r="D994" s="171">
        <v>50</v>
      </c>
      <c r="E994" s="171">
        <v>4</v>
      </c>
      <c r="F994" s="171">
        <v>4</v>
      </c>
      <c r="G994" s="171">
        <v>6</v>
      </c>
      <c r="H994" s="171">
        <v>6</v>
      </c>
      <c r="I994" s="171">
        <v>1</v>
      </c>
      <c r="J994" s="171">
        <v>0</v>
      </c>
      <c r="K994" s="171">
        <v>21</v>
      </c>
      <c r="L994" s="171">
        <v>1</v>
      </c>
      <c r="M994" s="171">
        <v>0</v>
      </c>
      <c r="N994" s="171">
        <v>9</v>
      </c>
      <c r="O994" s="171">
        <v>8</v>
      </c>
      <c r="P994" s="173">
        <v>3</v>
      </c>
    </row>
    <row r="995" spans="1:16">
      <c r="A995" s="170" t="s">
        <v>449</v>
      </c>
      <c r="B995" s="172" t="s">
        <v>467</v>
      </c>
      <c r="C995" s="172">
        <v>125</v>
      </c>
      <c r="D995" s="172">
        <v>25</v>
      </c>
      <c r="E995" s="172">
        <v>0</v>
      </c>
      <c r="F995" s="172">
        <v>0</v>
      </c>
      <c r="G995" s="172">
        <v>2</v>
      </c>
      <c r="H995" s="172">
        <v>30</v>
      </c>
      <c r="I995" s="172">
        <v>44</v>
      </c>
      <c r="J995" s="172">
        <v>0</v>
      </c>
      <c r="K995" s="172">
        <v>76</v>
      </c>
      <c r="L995" s="172">
        <v>39</v>
      </c>
      <c r="M995" s="172">
        <v>6</v>
      </c>
      <c r="N995" s="172">
        <v>1</v>
      </c>
      <c r="O995" s="172">
        <v>35</v>
      </c>
      <c r="P995" s="174">
        <v>5</v>
      </c>
    </row>
    <row r="996" spans="1:16">
      <c r="A996" s="169" t="s">
        <v>449</v>
      </c>
      <c r="B996" s="171" t="s">
        <v>467</v>
      </c>
      <c r="C996" s="171">
        <v>48</v>
      </c>
      <c r="D996" s="171">
        <v>15</v>
      </c>
      <c r="E996" s="171"/>
      <c r="F996" s="171"/>
      <c r="G996" s="171"/>
      <c r="H996" s="171"/>
      <c r="I996" s="171"/>
      <c r="J996" s="171"/>
      <c r="K996" s="171"/>
      <c r="L996" s="171"/>
      <c r="M996" s="171"/>
      <c r="N996" s="171"/>
      <c r="O996" s="171"/>
      <c r="P996" s="173"/>
    </row>
    <row r="997" spans="1:16">
      <c r="A997" s="170" t="s">
        <v>449</v>
      </c>
      <c r="B997" s="172" t="s">
        <v>467</v>
      </c>
      <c r="C997" s="172">
        <v>100</v>
      </c>
      <c r="D997" s="172">
        <v>35</v>
      </c>
      <c r="E997" s="172">
        <v>2</v>
      </c>
      <c r="F997" s="172">
        <v>10</v>
      </c>
      <c r="G997" s="172">
        <v>18</v>
      </c>
      <c r="H997" s="172">
        <v>19</v>
      </c>
      <c r="I997" s="172">
        <v>17</v>
      </c>
      <c r="J997" s="172">
        <v>1</v>
      </c>
      <c r="K997" s="172">
        <v>67</v>
      </c>
      <c r="L997" s="172">
        <v>27</v>
      </c>
      <c r="M997" s="172">
        <v>6</v>
      </c>
      <c r="N997" s="172">
        <v>4</v>
      </c>
      <c r="O997" s="172">
        <v>36</v>
      </c>
      <c r="P997" s="174">
        <v>3</v>
      </c>
    </row>
    <row r="998" spans="1:16" hidden="1">
      <c r="A998" s="169" t="s">
        <v>450</v>
      </c>
      <c r="B998" s="171" t="s">
        <v>467</v>
      </c>
      <c r="C998" s="171">
        <v>80</v>
      </c>
      <c r="D998" s="171">
        <v>80</v>
      </c>
      <c r="E998" s="171">
        <v>0</v>
      </c>
      <c r="F998" s="171">
        <v>12</v>
      </c>
      <c r="G998" s="171">
        <v>7</v>
      </c>
      <c r="H998" s="171">
        <v>9</v>
      </c>
      <c r="I998" s="171">
        <v>2</v>
      </c>
      <c r="J998" s="171">
        <v>0</v>
      </c>
      <c r="K998" s="171">
        <v>30</v>
      </c>
      <c r="L998" s="171">
        <v>23</v>
      </c>
      <c r="M998" s="171">
        <v>5</v>
      </c>
      <c r="N998" s="171">
        <v>0</v>
      </c>
      <c r="O998" s="171">
        <v>5</v>
      </c>
      <c r="P998" s="173">
        <v>1</v>
      </c>
    </row>
    <row r="999" spans="1:16">
      <c r="A999" s="172" t="s">
        <v>449</v>
      </c>
      <c r="B999" s="172" t="s">
        <v>467</v>
      </c>
      <c r="C999" s="172">
        <v>50</v>
      </c>
      <c r="D999" s="172">
        <v>0</v>
      </c>
      <c r="E999" s="172">
        <v>0</v>
      </c>
      <c r="F999" s="172">
        <v>0</v>
      </c>
      <c r="G999" s="172">
        <v>17</v>
      </c>
      <c r="H999" s="172">
        <v>20</v>
      </c>
      <c r="I999" s="172">
        <v>31</v>
      </c>
      <c r="J999" s="172">
        <v>4</v>
      </c>
      <c r="K999" s="172">
        <v>72</v>
      </c>
      <c r="L999" s="172">
        <v>52</v>
      </c>
      <c r="M999" s="172">
        <v>3</v>
      </c>
      <c r="N999" s="172">
        <v>7</v>
      </c>
      <c r="O999" s="172">
        <v>14</v>
      </c>
      <c r="P999" s="174">
        <v>11</v>
      </c>
    </row>
    <row r="1000" spans="1:16">
      <c r="A1000" s="171" t="s">
        <v>449</v>
      </c>
      <c r="B1000" s="171" t="s">
        <v>467</v>
      </c>
      <c r="C1000" s="171">
        <v>30</v>
      </c>
      <c r="D1000" s="171">
        <v>0</v>
      </c>
      <c r="E1000" s="171">
        <v>0</v>
      </c>
      <c r="F1000" s="171">
        <v>0</v>
      </c>
      <c r="G1000" s="171">
        <v>7</v>
      </c>
      <c r="H1000" s="171">
        <v>20</v>
      </c>
      <c r="I1000" s="171">
        <v>11</v>
      </c>
      <c r="J1000" s="171">
        <v>3</v>
      </c>
      <c r="K1000" s="171">
        <v>41</v>
      </c>
      <c r="L1000" s="171">
        <v>39</v>
      </c>
      <c r="M1000" s="171">
        <v>0</v>
      </c>
      <c r="N1000" s="171">
        <v>1</v>
      </c>
      <c r="O1000" s="171">
        <v>4</v>
      </c>
      <c r="P1000" s="173">
        <v>1</v>
      </c>
    </row>
    <row r="1001" spans="1:16">
      <c r="A1001" s="170" t="s">
        <v>449</v>
      </c>
      <c r="B1001" s="172" t="s">
        <v>467</v>
      </c>
      <c r="C1001" s="172">
        <v>35</v>
      </c>
      <c r="D1001" s="172">
        <v>10</v>
      </c>
      <c r="E1001" s="172">
        <v>1</v>
      </c>
      <c r="F1001" s="172">
        <v>10</v>
      </c>
      <c r="G1001" s="172">
        <v>7</v>
      </c>
      <c r="H1001" s="172">
        <v>7</v>
      </c>
      <c r="I1001" s="172">
        <v>10</v>
      </c>
      <c r="J1001" s="172">
        <v>1</v>
      </c>
      <c r="K1001" s="172">
        <v>36</v>
      </c>
      <c r="L1001" s="172">
        <v>36</v>
      </c>
      <c r="M1001" s="172">
        <v>6</v>
      </c>
      <c r="N1001" s="172">
        <v>0</v>
      </c>
      <c r="O1001" s="172">
        <v>0</v>
      </c>
      <c r="P1001" s="174">
        <v>0</v>
      </c>
    </row>
    <row r="1002" spans="1:16">
      <c r="A1002" s="169" t="s">
        <v>449</v>
      </c>
      <c r="B1002" s="171" t="s">
        <v>467</v>
      </c>
      <c r="C1002" s="171">
        <v>82</v>
      </c>
      <c r="D1002" s="171">
        <v>18</v>
      </c>
      <c r="E1002" s="171">
        <v>5</v>
      </c>
      <c r="F1002" s="171">
        <v>17</v>
      </c>
      <c r="G1002" s="171">
        <v>15</v>
      </c>
      <c r="H1002" s="171">
        <v>26</v>
      </c>
      <c r="I1002" s="171">
        <v>23</v>
      </c>
      <c r="J1002" s="171">
        <v>1</v>
      </c>
      <c r="K1002" s="171">
        <v>87</v>
      </c>
      <c r="L1002" s="171">
        <v>80</v>
      </c>
      <c r="M1002" s="171">
        <v>12</v>
      </c>
      <c r="N1002" s="171">
        <v>6</v>
      </c>
      <c r="O1002" s="171">
        <v>11</v>
      </c>
      <c r="P1002" s="173">
        <v>0</v>
      </c>
    </row>
    <row r="1003" spans="1:16">
      <c r="A1003" s="170" t="s">
        <v>449</v>
      </c>
      <c r="B1003" s="172" t="s">
        <v>467</v>
      </c>
      <c r="C1003" s="172">
        <v>100</v>
      </c>
      <c r="D1003" s="172">
        <v>25</v>
      </c>
      <c r="E1003" s="172">
        <v>0</v>
      </c>
      <c r="F1003" s="172">
        <v>3</v>
      </c>
      <c r="G1003" s="172">
        <v>12</v>
      </c>
      <c r="H1003" s="172">
        <v>19</v>
      </c>
      <c r="I1003" s="172">
        <v>23</v>
      </c>
      <c r="J1003" s="172">
        <v>1</v>
      </c>
      <c r="K1003" s="172">
        <v>58</v>
      </c>
      <c r="L1003" s="172">
        <v>8</v>
      </c>
      <c r="M1003" s="172">
        <v>16</v>
      </c>
      <c r="N1003" s="172">
        <v>18</v>
      </c>
      <c r="O1003" s="172">
        <v>23</v>
      </c>
      <c r="P1003" s="174">
        <v>1</v>
      </c>
    </row>
    <row r="1004" spans="1:16">
      <c r="A1004" s="169" t="s">
        <v>449</v>
      </c>
      <c r="B1004" s="171" t="s">
        <v>467</v>
      </c>
      <c r="C1004" s="171">
        <v>88</v>
      </c>
      <c r="D1004" s="171">
        <v>24</v>
      </c>
      <c r="E1004" s="171">
        <v>3</v>
      </c>
      <c r="F1004" s="171">
        <v>9</v>
      </c>
      <c r="G1004" s="171">
        <v>16</v>
      </c>
      <c r="H1004" s="171">
        <v>20</v>
      </c>
      <c r="I1004" s="171">
        <v>15</v>
      </c>
      <c r="J1004" s="171">
        <v>1</v>
      </c>
      <c r="K1004" s="171">
        <v>64</v>
      </c>
      <c r="L1004" s="171">
        <v>13</v>
      </c>
      <c r="M1004" s="171">
        <v>16</v>
      </c>
      <c r="N1004" s="171">
        <v>39</v>
      </c>
      <c r="O1004" s="171">
        <v>18</v>
      </c>
      <c r="P1004" s="173">
        <v>1</v>
      </c>
    </row>
    <row r="1005" spans="1:16">
      <c r="A1005" s="170" t="s">
        <v>449</v>
      </c>
      <c r="B1005" s="172" t="s">
        <v>467</v>
      </c>
      <c r="C1005" s="172">
        <v>100</v>
      </c>
      <c r="D1005" s="172">
        <v>25</v>
      </c>
      <c r="E1005" s="172">
        <v>3</v>
      </c>
      <c r="F1005" s="172">
        <v>18</v>
      </c>
      <c r="G1005" s="172">
        <v>20</v>
      </c>
      <c r="H1005" s="172">
        <v>30</v>
      </c>
      <c r="I1005" s="172">
        <v>27</v>
      </c>
      <c r="J1005" s="172">
        <v>0</v>
      </c>
      <c r="K1005" s="172">
        <v>98</v>
      </c>
      <c r="L1005" s="172">
        <v>27</v>
      </c>
      <c r="M1005" s="172">
        <v>6</v>
      </c>
      <c r="N1005" s="172">
        <v>5</v>
      </c>
      <c r="O1005" s="172">
        <v>71</v>
      </c>
      <c r="P1005" s="174">
        <v>4</v>
      </c>
    </row>
    <row r="1006" spans="1:16" hidden="1">
      <c r="A1006" s="169" t="s">
        <v>450</v>
      </c>
      <c r="B1006" s="171" t="s">
        <v>467</v>
      </c>
      <c r="C1006" s="171">
        <v>80</v>
      </c>
      <c r="D1006" s="171">
        <v>80</v>
      </c>
      <c r="E1006" s="171">
        <v>8</v>
      </c>
      <c r="F1006" s="171">
        <v>11</v>
      </c>
      <c r="G1006" s="171">
        <v>11</v>
      </c>
      <c r="H1006" s="171">
        <v>10</v>
      </c>
      <c r="I1006" s="171">
        <v>6</v>
      </c>
      <c r="J1006" s="171">
        <v>0</v>
      </c>
      <c r="K1006" s="171">
        <v>46</v>
      </c>
      <c r="L1006" s="171">
        <v>0</v>
      </c>
      <c r="M1006" s="171">
        <v>0</v>
      </c>
      <c r="N1006" s="171">
        <v>24</v>
      </c>
      <c r="O1006" s="171">
        <v>22</v>
      </c>
      <c r="P1006" s="173">
        <v>0</v>
      </c>
    </row>
    <row r="1007" spans="1:16">
      <c r="A1007" s="170" t="s">
        <v>449</v>
      </c>
      <c r="B1007" s="172" t="s">
        <v>467</v>
      </c>
      <c r="C1007" s="172">
        <v>60</v>
      </c>
      <c r="D1007" s="172">
        <v>8</v>
      </c>
      <c r="E1007" s="172">
        <v>0</v>
      </c>
      <c r="F1007" s="172">
        <v>9</v>
      </c>
      <c r="G1007" s="172">
        <v>21</v>
      </c>
      <c r="H1007" s="172">
        <v>9</v>
      </c>
      <c r="I1007" s="172">
        <v>16</v>
      </c>
      <c r="J1007" s="172">
        <v>5</v>
      </c>
      <c r="K1007" s="172">
        <v>60</v>
      </c>
      <c r="L1007" s="172">
        <v>47</v>
      </c>
      <c r="M1007" s="172">
        <v>15</v>
      </c>
      <c r="N1007" s="172">
        <v>3</v>
      </c>
      <c r="O1007" s="172">
        <v>18</v>
      </c>
      <c r="P1007" s="174">
        <v>5</v>
      </c>
    </row>
    <row r="1008" spans="1:16" hidden="1">
      <c r="A1008" s="169" t="s">
        <v>450</v>
      </c>
      <c r="B1008" s="171" t="s">
        <v>467</v>
      </c>
      <c r="C1008" s="171">
        <v>80</v>
      </c>
      <c r="D1008" s="171">
        <v>80</v>
      </c>
      <c r="E1008" s="171">
        <v>0</v>
      </c>
      <c r="F1008" s="171">
        <v>9</v>
      </c>
      <c r="G1008" s="171">
        <v>16</v>
      </c>
      <c r="H1008" s="171">
        <v>20</v>
      </c>
      <c r="I1008" s="171">
        <v>5</v>
      </c>
      <c r="J1008" s="171">
        <v>1</v>
      </c>
      <c r="K1008" s="171">
        <v>51</v>
      </c>
      <c r="L1008" s="171">
        <v>49</v>
      </c>
      <c r="M1008" s="171">
        <v>1</v>
      </c>
      <c r="N1008" s="171">
        <v>0</v>
      </c>
      <c r="O1008" s="171">
        <v>5</v>
      </c>
      <c r="P1008" s="173">
        <v>3</v>
      </c>
    </row>
    <row r="1009" spans="1:16">
      <c r="A1009" s="172" t="s">
        <v>449</v>
      </c>
      <c r="B1009" s="172" t="s">
        <v>467</v>
      </c>
      <c r="C1009" s="172">
        <v>80</v>
      </c>
      <c r="D1009" s="172">
        <v>0</v>
      </c>
      <c r="E1009" s="172">
        <v>0</v>
      </c>
      <c r="F1009" s="172">
        <v>0</v>
      </c>
      <c r="G1009" s="172">
        <v>11</v>
      </c>
      <c r="H1009" s="172">
        <v>30</v>
      </c>
      <c r="I1009" s="172">
        <v>33</v>
      </c>
      <c r="J1009" s="172">
        <v>1</v>
      </c>
      <c r="K1009" s="172">
        <v>75</v>
      </c>
      <c r="L1009" s="172">
        <v>13</v>
      </c>
      <c r="M1009" s="172">
        <v>13</v>
      </c>
      <c r="N1009" s="172">
        <v>44</v>
      </c>
      <c r="O1009" s="172">
        <v>26</v>
      </c>
      <c r="P1009" s="174">
        <v>5</v>
      </c>
    </row>
    <row r="1010" spans="1:16">
      <c r="A1010" s="169" t="s">
        <v>449</v>
      </c>
      <c r="B1010" s="171" t="s">
        <v>467</v>
      </c>
      <c r="C1010" s="171">
        <v>55</v>
      </c>
      <c r="D1010" s="171">
        <v>5</v>
      </c>
      <c r="E1010" s="171">
        <v>0</v>
      </c>
      <c r="F1010" s="171">
        <v>4</v>
      </c>
      <c r="G1010" s="171">
        <v>11</v>
      </c>
      <c r="H1010" s="171">
        <v>20</v>
      </c>
      <c r="I1010" s="171">
        <v>22</v>
      </c>
      <c r="J1010" s="171">
        <v>0</v>
      </c>
      <c r="K1010" s="171">
        <v>57</v>
      </c>
      <c r="L1010" s="171">
        <v>7</v>
      </c>
      <c r="M1010" s="171">
        <v>5</v>
      </c>
      <c r="N1010" s="171">
        <v>4</v>
      </c>
      <c r="O1010" s="171">
        <v>52</v>
      </c>
      <c r="P1010" s="173">
        <v>5</v>
      </c>
    </row>
    <row r="1011" spans="1:16" hidden="1">
      <c r="A1011" s="170" t="s">
        <v>450</v>
      </c>
      <c r="B1011" s="172" t="s">
        <v>467</v>
      </c>
      <c r="C1011" s="172">
        <v>60</v>
      </c>
      <c r="D1011" s="172">
        <v>60</v>
      </c>
      <c r="E1011" s="172">
        <v>4</v>
      </c>
      <c r="F1011" s="172">
        <v>12</v>
      </c>
      <c r="G1011" s="172">
        <v>13</v>
      </c>
      <c r="H1011" s="172">
        <v>12</v>
      </c>
      <c r="I1011" s="172">
        <v>11</v>
      </c>
      <c r="J1011" s="172">
        <v>1</v>
      </c>
      <c r="K1011" s="172">
        <v>53</v>
      </c>
      <c r="L1011" s="172">
        <v>4</v>
      </c>
      <c r="M1011" s="172">
        <v>17</v>
      </c>
      <c r="N1011" s="172">
        <v>46</v>
      </c>
      <c r="O1011" s="172">
        <v>3</v>
      </c>
      <c r="P1011" s="174">
        <v>1</v>
      </c>
    </row>
    <row r="1012" spans="1:16">
      <c r="A1012" s="169" t="s">
        <v>449</v>
      </c>
      <c r="B1012" s="171" t="s">
        <v>467</v>
      </c>
      <c r="C1012" s="171">
        <v>70</v>
      </c>
      <c r="D1012" s="171">
        <v>15</v>
      </c>
      <c r="E1012" s="171">
        <v>3</v>
      </c>
      <c r="F1012" s="171">
        <v>11</v>
      </c>
      <c r="G1012" s="171">
        <v>15</v>
      </c>
      <c r="H1012" s="171">
        <v>16</v>
      </c>
      <c r="I1012" s="171">
        <v>16</v>
      </c>
      <c r="J1012" s="171">
        <v>0</v>
      </c>
      <c r="K1012" s="171">
        <v>61</v>
      </c>
      <c r="L1012" s="171">
        <v>27</v>
      </c>
      <c r="M1012" s="171">
        <v>19</v>
      </c>
      <c r="N1012" s="171">
        <v>16</v>
      </c>
      <c r="O1012" s="171">
        <v>27</v>
      </c>
      <c r="P1012" s="173">
        <v>5</v>
      </c>
    </row>
    <row r="1013" spans="1:16" hidden="1">
      <c r="A1013" s="170" t="s">
        <v>450</v>
      </c>
      <c r="B1013" s="172" t="s">
        <v>467</v>
      </c>
      <c r="C1013" s="172">
        <v>35</v>
      </c>
      <c r="D1013" s="172">
        <v>35</v>
      </c>
      <c r="E1013" s="172">
        <v>4</v>
      </c>
      <c r="F1013" s="172">
        <v>5</v>
      </c>
      <c r="G1013" s="172">
        <v>7</v>
      </c>
      <c r="H1013" s="172">
        <v>2</v>
      </c>
      <c r="I1013" s="172">
        <v>8</v>
      </c>
      <c r="J1013" s="172">
        <v>1</v>
      </c>
      <c r="K1013" s="172">
        <v>27</v>
      </c>
      <c r="L1013" s="172">
        <v>0</v>
      </c>
      <c r="M1013" s="172">
        <v>2</v>
      </c>
      <c r="N1013" s="172">
        <v>27</v>
      </c>
      <c r="O1013" s="172">
        <v>0</v>
      </c>
      <c r="P1013" s="174">
        <v>0</v>
      </c>
    </row>
    <row r="1014" spans="1:16">
      <c r="A1014" s="169" t="s">
        <v>449</v>
      </c>
      <c r="B1014" s="171" t="s">
        <v>467</v>
      </c>
      <c r="C1014" s="171">
        <v>110</v>
      </c>
      <c r="D1014" s="171">
        <v>25</v>
      </c>
      <c r="E1014" s="171">
        <v>0</v>
      </c>
      <c r="F1014" s="171">
        <v>28</v>
      </c>
      <c r="G1014" s="171">
        <v>22</v>
      </c>
      <c r="H1014" s="171">
        <v>35</v>
      </c>
      <c r="I1014" s="171">
        <v>27</v>
      </c>
      <c r="J1014" s="171">
        <v>1</v>
      </c>
      <c r="K1014" s="171">
        <v>113</v>
      </c>
      <c r="L1014" s="171">
        <v>48</v>
      </c>
      <c r="M1014" s="171">
        <v>8</v>
      </c>
      <c r="N1014" s="171">
        <v>10</v>
      </c>
      <c r="O1014" s="171">
        <v>57</v>
      </c>
      <c r="P1014" s="173">
        <v>5</v>
      </c>
    </row>
    <row r="1015" spans="1:16" hidden="1">
      <c r="A1015" s="170" t="s">
        <v>469</v>
      </c>
      <c r="B1015" s="172" t="s">
        <v>467</v>
      </c>
      <c r="C1015" s="172">
        <v>50</v>
      </c>
      <c r="D1015" s="172">
        <v>10</v>
      </c>
      <c r="E1015" s="172">
        <v>0</v>
      </c>
      <c r="F1015" s="172">
        <v>7</v>
      </c>
      <c r="G1015" s="172">
        <v>9</v>
      </c>
      <c r="H1015" s="172">
        <v>6</v>
      </c>
      <c r="I1015" s="172">
        <v>12</v>
      </c>
      <c r="J1015" s="172">
        <v>1</v>
      </c>
      <c r="K1015" s="172">
        <v>35</v>
      </c>
      <c r="L1015" s="172">
        <v>3</v>
      </c>
      <c r="M1015" s="172">
        <v>14</v>
      </c>
      <c r="N1015" s="172">
        <v>34</v>
      </c>
      <c r="O1015" s="172">
        <v>2</v>
      </c>
      <c r="P1015" s="174">
        <v>0</v>
      </c>
    </row>
    <row r="1016" spans="1:16">
      <c r="A1016" s="169" t="s">
        <v>449</v>
      </c>
      <c r="B1016" s="171" t="s">
        <v>467</v>
      </c>
      <c r="C1016" s="171">
        <v>97</v>
      </c>
      <c r="D1016" s="171">
        <v>38</v>
      </c>
      <c r="E1016" s="171">
        <v>1</v>
      </c>
      <c r="F1016" s="171">
        <v>20</v>
      </c>
      <c r="G1016" s="171">
        <v>23</v>
      </c>
      <c r="H1016" s="171">
        <v>22</v>
      </c>
      <c r="I1016" s="171">
        <v>13</v>
      </c>
      <c r="J1016" s="171">
        <v>0</v>
      </c>
      <c r="K1016" s="171">
        <v>79</v>
      </c>
      <c r="L1016" s="171">
        <v>59</v>
      </c>
      <c r="M1016" s="171">
        <v>8</v>
      </c>
      <c r="N1016" s="171">
        <v>9</v>
      </c>
      <c r="O1016" s="171">
        <v>12</v>
      </c>
      <c r="P1016" s="173">
        <v>6</v>
      </c>
    </row>
    <row r="1017" spans="1:16">
      <c r="A1017" s="172" t="s">
        <v>449</v>
      </c>
      <c r="B1017" s="172" t="s">
        <v>467</v>
      </c>
      <c r="C1017" s="172">
        <v>32</v>
      </c>
      <c r="D1017" s="172">
        <v>0</v>
      </c>
      <c r="E1017" s="172">
        <v>0</v>
      </c>
      <c r="F1017" s="172">
        <v>0</v>
      </c>
      <c r="G1017" s="172">
        <v>9</v>
      </c>
      <c r="H1017" s="172">
        <v>9</v>
      </c>
      <c r="I1017" s="172">
        <v>19</v>
      </c>
      <c r="J1017" s="172">
        <v>2</v>
      </c>
      <c r="K1017" s="172">
        <v>39</v>
      </c>
      <c r="L1017" s="172">
        <v>5</v>
      </c>
      <c r="M1017" s="172">
        <v>11</v>
      </c>
      <c r="N1017" s="172">
        <v>25</v>
      </c>
      <c r="O1017" s="172">
        <v>2</v>
      </c>
      <c r="P1017" s="174">
        <v>3</v>
      </c>
    </row>
    <row r="1018" spans="1:16" hidden="1">
      <c r="A1018" s="169" t="s">
        <v>450</v>
      </c>
      <c r="B1018" s="171" t="s">
        <v>467</v>
      </c>
      <c r="C1018" s="171">
        <v>50</v>
      </c>
      <c r="D1018" s="171">
        <v>50</v>
      </c>
      <c r="E1018" s="171">
        <v>8</v>
      </c>
      <c r="F1018" s="171">
        <v>9</v>
      </c>
      <c r="G1018" s="171">
        <v>14</v>
      </c>
      <c r="H1018" s="171">
        <v>8</v>
      </c>
      <c r="I1018" s="171">
        <v>10</v>
      </c>
      <c r="J1018" s="171">
        <v>0</v>
      </c>
      <c r="K1018" s="171">
        <v>49</v>
      </c>
      <c r="L1018" s="171">
        <v>0</v>
      </c>
      <c r="M1018" s="171">
        <v>0</v>
      </c>
      <c r="N1018" s="171">
        <v>49</v>
      </c>
      <c r="O1018" s="171">
        <v>0</v>
      </c>
      <c r="P1018" s="173">
        <v>0</v>
      </c>
    </row>
    <row r="1019" spans="1:16">
      <c r="A1019" s="170" t="s">
        <v>449</v>
      </c>
      <c r="B1019" s="172" t="s">
        <v>467</v>
      </c>
      <c r="C1019" s="172">
        <v>60</v>
      </c>
      <c r="D1019" s="172">
        <v>25</v>
      </c>
      <c r="E1019" s="172">
        <v>6</v>
      </c>
      <c r="F1019" s="172">
        <v>17</v>
      </c>
      <c r="G1019" s="172">
        <v>28</v>
      </c>
      <c r="H1019" s="172">
        <v>22</v>
      </c>
      <c r="I1019" s="172">
        <v>0</v>
      </c>
      <c r="J1019" s="172">
        <v>0</v>
      </c>
      <c r="K1019" s="172">
        <v>73</v>
      </c>
      <c r="L1019" s="172">
        <v>70</v>
      </c>
      <c r="M1019" s="172">
        <v>10</v>
      </c>
      <c r="N1019" s="172">
        <v>2</v>
      </c>
      <c r="O1019" s="172">
        <v>3</v>
      </c>
      <c r="P1019" s="174">
        <v>1</v>
      </c>
    </row>
    <row r="1020" spans="1:16" hidden="1">
      <c r="A1020" s="169" t="s">
        <v>450</v>
      </c>
      <c r="B1020" s="171" t="s">
        <v>467</v>
      </c>
      <c r="C1020" s="171">
        <v>50</v>
      </c>
      <c r="D1020" s="171">
        <v>50</v>
      </c>
      <c r="E1020" s="171">
        <v>9</v>
      </c>
      <c r="F1020" s="171">
        <v>8</v>
      </c>
      <c r="G1020" s="171">
        <v>11</v>
      </c>
      <c r="H1020" s="171">
        <v>11</v>
      </c>
      <c r="I1020" s="171">
        <v>11</v>
      </c>
      <c r="J1020" s="171">
        <v>0</v>
      </c>
      <c r="K1020" s="171">
        <v>50</v>
      </c>
      <c r="L1020" s="171">
        <v>0</v>
      </c>
      <c r="M1020" s="171">
        <v>0</v>
      </c>
      <c r="N1020" s="171">
        <v>48</v>
      </c>
      <c r="O1020" s="171">
        <v>0</v>
      </c>
      <c r="P1020" s="173">
        <v>2</v>
      </c>
    </row>
    <row r="1021" spans="1:16">
      <c r="A1021" s="170" t="s">
        <v>449</v>
      </c>
      <c r="B1021" s="172" t="s">
        <v>467</v>
      </c>
      <c r="C1021" s="172">
        <v>70</v>
      </c>
      <c r="D1021" s="172">
        <v>19</v>
      </c>
      <c r="E1021" s="172">
        <v>2</v>
      </c>
      <c r="F1021" s="172">
        <v>15</v>
      </c>
      <c r="G1021" s="172">
        <v>18</v>
      </c>
      <c r="H1021" s="172">
        <v>22</v>
      </c>
      <c r="I1021" s="172">
        <v>14</v>
      </c>
      <c r="J1021" s="172">
        <v>0</v>
      </c>
      <c r="K1021" s="172">
        <v>71</v>
      </c>
      <c r="L1021" s="172">
        <v>55</v>
      </c>
      <c r="M1021" s="172">
        <v>5</v>
      </c>
      <c r="N1021" s="172">
        <v>2</v>
      </c>
      <c r="O1021" s="172">
        <v>11</v>
      </c>
      <c r="P1021" s="174">
        <v>11</v>
      </c>
    </row>
    <row r="1022" spans="1:16">
      <c r="A1022" s="171" t="s">
        <v>449</v>
      </c>
      <c r="B1022" s="171" t="s">
        <v>467</v>
      </c>
      <c r="C1022" s="171">
        <v>40</v>
      </c>
      <c r="D1022" s="171">
        <v>0</v>
      </c>
      <c r="E1022" s="171">
        <v>0</v>
      </c>
      <c r="F1022" s="171">
        <v>0</v>
      </c>
      <c r="G1022" s="171">
        <v>13</v>
      </c>
      <c r="H1022" s="171">
        <v>10</v>
      </c>
      <c r="I1022" s="171">
        <v>18</v>
      </c>
      <c r="J1022" s="171">
        <v>0</v>
      </c>
      <c r="K1022" s="171">
        <v>41</v>
      </c>
      <c r="L1022" s="171">
        <v>4</v>
      </c>
      <c r="M1022" s="171">
        <v>1</v>
      </c>
      <c r="N1022" s="171">
        <v>5</v>
      </c>
      <c r="O1022" s="171">
        <v>35</v>
      </c>
      <c r="P1022" s="173">
        <v>0</v>
      </c>
    </row>
    <row r="1023" spans="1:16">
      <c r="A1023" s="170" t="s">
        <v>449</v>
      </c>
      <c r="B1023" s="172" t="s">
        <v>467</v>
      </c>
      <c r="C1023" s="172">
        <v>47</v>
      </c>
      <c r="D1023" s="172">
        <v>10</v>
      </c>
      <c r="E1023" s="172">
        <v>5</v>
      </c>
      <c r="F1023" s="172">
        <v>5</v>
      </c>
      <c r="G1023" s="172">
        <v>7</v>
      </c>
      <c r="H1023" s="172">
        <v>19</v>
      </c>
      <c r="I1023" s="172">
        <v>17</v>
      </c>
      <c r="J1023" s="172">
        <v>0</v>
      </c>
      <c r="K1023" s="172">
        <v>53</v>
      </c>
      <c r="L1023" s="172">
        <v>2</v>
      </c>
      <c r="M1023" s="172">
        <v>1</v>
      </c>
      <c r="N1023" s="172">
        <v>26</v>
      </c>
      <c r="O1023" s="172">
        <v>28</v>
      </c>
      <c r="P1023" s="174">
        <v>0</v>
      </c>
    </row>
    <row r="1024" spans="1:16" hidden="1">
      <c r="A1024" s="169" t="s">
        <v>450</v>
      </c>
      <c r="B1024" s="171" t="s">
        <v>467</v>
      </c>
      <c r="C1024" s="171">
        <v>100</v>
      </c>
      <c r="D1024" s="171">
        <v>100</v>
      </c>
      <c r="E1024" s="171">
        <v>16</v>
      </c>
      <c r="F1024" s="171">
        <v>17</v>
      </c>
      <c r="G1024" s="171">
        <v>24</v>
      </c>
      <c r="H1024" s="171">
        <v>21</v>
      </c>
      <c r="I1024" s="171">
        <v>15</v>
      </c>
      <c r="J1024" s="171">
        <v>2</v>
      </c>
      <c r="K1024" s="171">
        <v>95</v>
      </c>
      <c r="L1024" s="171">
        <v>1</v>
      </c>
      <c r="M1024" s="171">
        <v>1</v>
      </c>
      <c r="N1024" s="171">
        <v>92</v>
      </c>
      <c r="O1024" s="171">
        <v>2</v>
      </c>
      <c r="P1024" s="173">
        <v>0</v>
      </c>
    </row>
    <row r="1025" spans="1:16">
      <c r="A1025" s="172" t="s">
        <v>449</v>
      </c>
      <c r="B1025" s="172" t="s">
        <v>467</v>
      </c>
      <c r="C1025" s="172">
        <v>60</v>
      </c>
      <c r="D1025" s="172">
        <v>15</v>
      </c>
      <c r="E1025" s="172">
        <v>1</v>
      </c>
      <c r="F1025" s="172">
        <v>4</v>
      </c>
      <c r="G1025" s="172">
        <v>8</v>
      </c>
      <c r="H1025" s="172">
        <v>6</v>
      </c>
      <c r="I1025" s="172">
        <v>4</v>
      </c>
      <c r="J1025" s="172">
        <v>0</v>
      </c>
      <c r="K1025" s="172">
        <v>23</v>
      </c>
      <c r="L1025" s="172">
        <v>9</v>
      </c>
      <c r="M1025" s="172">
        <v>2</v>
      </c>
      <c r="N1025" s="172">
        <v>1</v>
      </c>
      <c r="O1025" s="172">
        <v>14</v>
      </c>
      <c r="P1025" s="174">
        <v>3</v>
      </c>
    </row>
    <row r="1026" spans="1:16" hidden="1">
      <c r="A1026" s="169" t="s">
        <v>471</v>
      </c>
      <c r="B1026" s="171" t="s">
        <v>467</v>
      </c>
      <c r="C1026" s="171">
        <v>50</v>
      </c>
      <c r="D1026" s="171">
        <v>0</v>
      </c>
      <c r="E1026" s="171">
        <v>0</v>
      </c>
      <c r="F1026" s="171">
        <v>0</v>
      </c>
      <c r="G1026" s="171">
        <v>10</v>
      </c>
      <c r="H1026" s="171">
        <v>16</v>
      </c>
      <c r="I1026" s="171">
        <v>13</v>
      </c>
      <c r="J1026" s="171">
        <v>2</v>
      </c>
      <c r="K1026" s="171">
        <v>41</v>
      </c>
      <c r="L1026" s="171">
        <v>6</v>
      </c>
      <c r="M1026" s="171">
        <v>32</v>
      </c>
      <c r="N1026" s="171">
        <v>26</v>
      </c>
      <c r="O1026" s="171">
        <v>1</v>
      </c>
      <c r="P1026" s="173">
        <v>0</v>
      </c>
    </row>
    <row r="1027" spans="1:16">
      <c r="A1027" s="170" t="s">
        <v>449</v>
      </c>
      <c r="B1027" s="172" t="s">
        <v>467</v>
      </c>
      <c r="C1027" s="172">
        <v>72</v>
      </c>
      <c r="D1027" s="172">
        <v>16</v>
      </c>
      <c r="E1027" s="172">
        <v>1</v>
      </c>
      <c r="F1027" s="172">
        <v>10</v>
      </c>
      <c r="G1027" s="172">
        <v>13</v>
      </c>
      <c r="H1027" s="172">
        <v>20</v>
      </c>
      <c r="I1027" s="172">
        <v>23</v>
      </c>
      <c r="J1027" s="172">
        <v>0</v>
      </c>
      <c r="K1027" s="172">
        <v>67</v>
      </c>
      <c r="L1027" s="172">
        <v>17</v>
      </c>
      <c r="M1027" s="172">
        <v>28</v>
      </c>
      <c r="N1027" s="172">
        <v>33</v>
      </c>
      <c r="O1027" s="172">
        <v>12</v>
      </c>
      <c r="P1027" s="174">
        <v>3</v>
      </c>
    </row>
    <row r="1028" spans="1:16">
      <c r="A1028" s="169" t="s">
        <v>449</v>
      </c>
      <c r="B1028" s="171" t="s">
        <v>467</v>
      </c>
      <c r="C1028" s="171">
        <v>70</v>
      </c>
      <c r="D1028" s="171">
        <v>20</v>
      </c>
      <c r="E1028" s="171">
        <v>4</v>
      </c>
      <c r="F1028" s="171">
        <v>5</v>
      </c>
      <c r="G1028" s="171">
        <v>12</v>
      </c>
      <c r="H1028" s="171">
        <v>10</v>
      </c>
      <c r="I1028" s="171">
        <v>13</v>
      </c>
      <c r="J1028" s="171">
        <v>0</v>
      </c>
      <c r="K1028" s="171">
        <v>44</v>
      </c>
      <c r="L1028" s="171">
        <v>2</v>
      </c>
      <c r="M1028" s="171">
        <v>5</v>
      </c>
      <c r="N1028" s="171">
        <v>43</v>
      </c>
      <c r="O1028" s="171">
        <v>2</v>
      </c>
      <c r="P1028" s="173">
        <v>1</v>
      </c>
    </row>
    <row r="1029" spans="1:16">
      <c r="A1029" s="170" t="s">
        <v>449</v>
      </c>
      <c r="B1029" s="172" t="s">
        <v>467</v>
      </c>
      <c r="C1029" s="172">
        <v>80</v>
      </c>
      <c r="D1029" s="172">
        <v>24</v>
      </c>
      <c r="E1029" s="172">
        <v>3</v>
      </c>
      <c r="F1029" s="172">
        <v>19</v>
      </c>
      <c r="G1029" s="172">
        <v>18</v>
      </c>
      <c r="H1029" s="172">
        <v>25</v>
      </c>
      <c r="I1029" s="172">
        <v>20</v>
      </c>
      <c r="J1029" s="172">
        <v>1</v>
      </c>
      <c r="K1029" s="172">
        <v>86</v>
      </c>
      <c r="L1029" s="172">
        <v>64</v>
      </c>
      <c r="M1029" s="172">
        <v>15</v>
      </c>
      <c r="N1029" s="172">
        <v>14</v>
      </c>
      <c r="O1029" s="172">
        <v>20</v>
      </c>
      <c r="P1029" s="174">
        <v>3</v>
      </c>
    </row>
    <row r="1030" spans="1:16" hidden="1">
      <c r="A1030" s="169" t="s">
        <v>450</v>
      </c>
      <c r="B1030" s="171" t="s">
        <v>467</v>
      </c>
      <c r="C1030" s="171">
        <v>70</v>
      </c>
      <c r="D1030" s="171">
        <v>70</v>
      </c>
      <c r="E1030" s="171">
        <v>10</v>
      </c>
      <c r="F1030" s="171">
        <v>9</v>
      </c>
      <c r="G1030" s="171">
        <v>11</v>
      </c>
      <c r="H1030" s="171">
        <v>4</v>
      </c>
      <c r="I1030" s="171">
        <v>9</v>
      </c>
      <c r="J1030" s="171">
        <v>0</v>
      </c>
      <c r="K1030" s="171">
        <v>43</v>
      </c>
      <c r="L1030" s="171">
        <v>0</v>
      </c>
      <c r="M1030" s="171">
        <v>0</v>
      </c>
      <c r="N1030" s="171">
        <v>43</v>
      </c>
      <c r="O1030" s="171">
        <v>0</v>
      </c>
      <c r="P1030" s="173">
        <v>0</v>
      </c>
    </row>
    <row r="1031" spans="1:16">
      <c r="A1031" s="170" t="s">
        <v>449</v>
      </c>
      <c r="B1031" s="172" t="s">
        <v>467</v>
      </c>
      <c r="C1031" s="172">
        <v>60</v>
      </c>
      <c r="D1031" s="172">
        <v>15</v>
      </c>
      <c r="E1031" s="172">
        <v>3</v>
      </c>
      <c r="F1031" s="172">
        <v>7</v>
      </c>
      <c r="G1031" s="172">
        <v>13</v>
      </c>
      <c r="H1031" s="172">
        <v>11</v>
      </c>
      <c r="I1031" s="172">
        <v>15</v>
      </c>
      <c r="J1031" s="172">
        <v>0</v>
      </c>
      <c r="K1031" s="172">
        <v>49</v>
      </c>
      <c r="L1031" s="172">
        <v>40</v>
      </c>
      <c r="M1031" s="172">
        <v>15</v>
      </c>
      <c r="N1031" s="172">
        <v>4</v>
      </c>
      <c r="O1031" s="172">
        <v>4</v>
      </c>
      <c r="P1031" s="174">
        <v>3</v>
      </c>
    </row>
    <row r="1032" spans="1:16" hidden="1">
      <c r="A1032" s="169" t="s">
        <v>450</v>
      </c>
      <c r="B1032" s="171" t="s">
        <v>467</v>
      </c>
      <c r="C1032" s="171">
        <v>30</v>
      </c>
      <c r="D1032" s="171">
        <v>30</v>
      </c>
      <c r="E1032" s="171">
        <v>7</v>
      </c>
      <c r="F1032" s="171">
        <v>4</v>
      </c>
      <c r="G1032" s="171">
        <v>2</v>
      </c>
      <c r="H1032" s="171">
        <v>3</v>
      </c>
      <c r="I1032" s="171">
        <v>5</v>
      </c>
      <c r="J1032" s="171">
        <v>0</v>
      </c>
      <c r="K1032" s="171">
        <v>21</v>
      </c>
      <c r="L1032" s="171">
        <v>1</v>
      </c>
      <c r="M1032" s="171">
        <v>0</v>
      </c>
      <c r="N1032" s="171">
        <v>0</v>
      </c>
      <c r="O1032" s="171">
        <v>21</v>
      </c>
      <c r="P1032" s="173">
        <v>0</v>
      </c>
    </row>
    <row r="1033" spans="1:16" hidden="1">
      <c r="A1033" s="172" t="s">
        <v>450</v>
      </c>
      <c r="B1033" s="172" t="s">
        <v>467</v>
      </c>
      <c r="C1033" s="172">
        <v>40</v>
      </c>
      <c r="D1033" s="172">
        <v>40</v>
      </c>
      <c r="E1033" s="172">
        <v>2</v>
      </c>
      <c r="F1033" s="172">
        <v>8</v>
      </c>
      <c r="G1033" s="172">
        <v>7</v>
      </c>
      <c r="H1033" s="172">
        <v>0</v>
      </c>
      <c r="I1033" s="172">
        <v>4</v>
      </c>
      <c r="J1033" s="172">
        <v>1</v>
      </c>
      <c r="K1033" s="172">
        <v>22</v>
      </c>
      <c r="L1033" s="172">
        <v>0</v>
      </c>
      <c r="M1033" s="172">
        <v>2</v>
      </c>
      <c r="N1033" s="172">
        <v>22</v>
      </c>
      <c r="O1033" s="172">
        <v>0</v>
      </c>
      <c r="P1033" s="174">
        <v>0</v>
      </c>
    </row>
    <row r="1034" spans="1:16" hidden="1">
      <c r="A1034" s="171" t="s">
        <v>450</v>
      </c>
      <c r="B1034" s="171" t="s">
        <v>467</v>
      </c>
      <c r="C1034" s="171">
        <v>60</v>
      </c>
      <c r="D1034" s="171">
        <v>60</v>
      </c>
      <c r="E1034" s="171">
        <v>4</v>
      </c>
      <c r="F1034" s="171">
        <v>6</v>
      </c>
      <c r="G1034" s="171">
        <v>5</v>
      </c>
      <c r="H1034" s="171">
        <v>7</v>
      </c>
      <c r="I1034" s="171">
        <v>7</v>
      </c>
      <c r="J1034" s="171">
        <v>0</v>
      </c>
      <c r="K1034" s="171">
        <v>29</v>
      </c>
      <c r="L1034" s="171">
        <v>0</v>
      </c>
      <c r="M1034" s="171">
        <v>0</v>
      </c>
      <c r="N1034" s="171">
        <v>27</v>
      </c>
      <c r="O1034" s="171">
        <v>2</v>
      </c>
      <c r="P1034" s="173">
        <v>0</v>
      </c>
    </row>
    <row r="1035" spans="1:16">
      <c r="A1035" s="172" t="s">
        <v>449</v>
      </c>
      <c r="B1035" s="172" t="s">
        <v>467</v>
      </c>
      <c r="C1035" s="172">
        <v>55</v>
      </c>
      <c r="D1035" s="172">
        <v>15</v>
      </c>
      <c r="E1035" s="172">
        <v>2</v>
      </c>
      <c r="F1035" s="172">
        <v>6</v>
      </c>
      <c r="G1035" s="172">
        <v>8</v>
      </c>
      <c r="H1035" s="172">
        <v>15</v>
      </c>
      <c r="I1035" s="172">
        <v>13</v>
      </c>
      <c r="J1035" s="172">
        <v>1</v>
      </c>
      <c r="K1035" s="172">
        <v>45</v>
      </c>
      <c r="L1035" s="172">
        <v>4</v>
      </c>
      <c r="M1035" s="172">
        <v>36</v>
      </c>
      <c r="N1035" s="172">
        <v>12</v>
      </c>
      <c r="O1035" s="172">
        <v>4</v>
      </c>
      <c r="P1035" s="174">
        <v>0</v>
      </c>
    </row>
    <row r="1036" spans="1:16" hidden="1">
      <c r="A1036" s="171" t="s">
        <v>450</v>
      </c>
      <c r="B1036" s="171" t="s">
        <v>467</v>
      </c>
      <c r="C1036" s="171">
        <v>50</v>
      </c>
      <c r="D1036" s="171">
        <v>50</v>
      </c>
      <c r="E1036" s="171">
        <v>4</v>
      </c>
      <c r="F1036" s="171">
        <v>10</v>
      </c>
      <c r="G1036" s="171">
        <v>10</v>
      </c>
      <c r="H1036" s="171">
        <v>9</v>
      </c>
      <c r="I1036" s="171">
        <v>11</v>
      </c>
      <c r="J1036" s="171">
        <v>0</v>
      </c>
      <c r="K1036" s="171">
        <v>44</v>
      </c>
      <c r="L1036" s="171">
        <v>0</v>
      </c>
      <c r="M1036" s="171">
        <v>1</v>
      </c>
      <c r="N1036" s="171">
        <v>44</v>
      </c>
      <c r="O1036" s="171">
        <v>0</v>
      </c>
      <c r="P1036" s="173">
        <v>0</v>
      </c>
    </row>
    <row r="1037" spans="1:16">
      <c r="A1037" s="170" t="s">
        <v>449</v>
      </c>
      <c r="B1037" s="172" t="s">
        <v>467</v>
      </c>
      <c r="C1037" s="172">
        <v>38</v>
      </c>
      <c r="D1037" s="172">
        <v>10</v>
      </c>
      <c r="E1037" s="172">
        <v>2</v>
      </c>
      <c r="F1037" s="172">
        <v>8</v>
      </c>
      <c r="G1037" s="172">
        <v>4</v>
      </c>
      <c r="H1037" s="172">
        <v>7</v>
      </c>
      <c r="I1037" s="172">
        <v>10</v>
      </c>
      <c r="J1037" s="172">
        <v>1</v>
      </c>
      <c r="K1037" s="172">
        <v>32</v>
      </c>
      <c r="L1037" s="172">
        <v>2</v>
      </c>
      <c r="M1037" s="172">
        <v>5</v>
      </c>
      <c r="N1037" s="172">
        <v>10</v>
      </c>
      <c r="O1037" s="172">
        <v>19</v>
      </c>
      <c r="P1037" s="174">
        <v>2</v>
      </c>
    </row>
    <row r="1038" spans="1:16" hidden="1">
      <c r="A1038" s="169" t="s">
        <v>450</v>
      </c>
      <c r="B1038" s="171" t="s">
        <v>467</v>
      </c>
      <c r="C1038" s="171">
        <v>50</v>
      </c>
      <c r="D1038" s="171">
        <v>50</v>
      </c>
      <c r="E1038" s="171">
        <v>8</v>
      </c>
      <c r="F1038" s="171">
        <v>11</v>
      </c>
      <c r="G1038" s="171">
        <v>12</v>
      </c>
      <c r="H1038" s="171">
        <v>12</v>
      </c>
      <c r="I1038" s="171">
        <v>7</v>
      </c>
      <c r="J1038" s="171">
        <v>0</v>
      </c>
      <c r="K1038" s="171">
        <v>50</v>
      </c>
      <c r="L1038" s="171">
        <v>0</v>
      </c>
      <c r="M1038" s="171">
        <v>2</v>
      </c>
      <c r="N1038" s="171">
        <v>50</v>
      </c>
      <c r="O1038" s="171">
        <v>0</v>
      </c>
      <c r="P1038" s="173">
        <v>0</v>
      </c>
    </row>
    <row r="1039" spans="1:16" hidden="1">
      <c r="A1039" s="170" t="s">
        <v>450</v>
      </c>
      <c r="B1039" s="172" t="s">
        <v>467</v>
      </c>
      <c r="C1039" s="172">
        <v>50</v>
      </c>
      <c r="D1039" s="172">
        <v>50</v>
      </c>
      <c r="E1039" s="172">
        <v>4</v>
      </c>
      <c r="F1039" s="172">
        <v>9</v>
      </c>
      <c r="G1039" s="172">
        <v>17</v>
      </c>
      <c r="H1039" s="172">
        <v>11</v>
      </c>
      <c r="I1039" s="172">
        <v>8</v>
      </c>
      <c r="J1039" s="172">
        <v>1</v>
      </c>
      <c r="K1039" s="172">
        <v>50</v>
      </c>
      <c r="L1039" s="172">
        <v>0</v>
      </c>
      <c r="M1039" s="172">
        <v>0</v>
      </c>
      <c r="N1039" s="172">
        <v>50</v>
      </c>
      <c r="O1039" s="172">
        <v>0</v>
      </c>
      <c r="P1039" s="174">
        <v>0</v>
      </c>
    </row>
    <row r="1040" spans="1:16">
      <c r="A1040" s="171" t="s">
        <v>449</v>
      </c>
      <c r="B1040" s="171" t="s">
        <v>467</v>
      </c>
      <c r="C1040" s="171">
        <v>80</v>
      </c>
      <c r="D1040" s="171">
        <v>25</v>
      </c>
      <c r="E1040" s="171">
        <v>7</v>
      </c>
      <c r="F1040" s="171">
        <v>9</v>
      </c>
      <c r="G1040" s="171">
        <v>9</v>
      </c>
      <c r="H1040" s="171">
        <v>17</v>
      </c>
      <c r="I1040" s="171">
        <v>17</v>
      </c>
      <c r="J1040" s="171">
        <v>0</v>
      </c>
      <c r="K1040" s="171">
        <v>59</v>
      </c>
      <c r="L1040" s="171">
        <v>28</v>
      </c>
      <c r="M1040" s="171">
        <v>15</v>
      </c>
      <c r="N1040" s="171">
        <v>19</v>
      </c>
      <c r="O1040" s="171">
        <v>10</v>
      </c>
      <c r="P1040" s="173">
        <v>3</v>
      </c>
    </row>
    <row r="1041" spans="1:16" hidden="1">
      <c r="A1041" s="172" t="s">
        <v>450</v>
      </c>
      <c r="B1041" s="172" t="s">
        <v>467</v>
      </c>
      <c r="C1041" s="172">
        <v>60</v>
      </c>
      <c r="D1041" s="172">
        <v>60</v>
      </c>
      <c r="E1041" s="172">
        <v>8</v>
      </c>
      <c r="F1041" s="172">
        <v>15</v>
      </c>
      <c r="G1041" s="172">
        <v>7</v>
      </c>
      <c r="H1041" s="172">
        <v>12</v>
      </c>
      <c r="I1041" s="172">
        <v>9</v>
      </c>
      <c r="J1041" s="172">
        <v>1</v>
      </c>
      <c r="K1041" s="172">
        <v>52</v>
      </c>
      <c r="L1041" s="172">
        <v>0</v>
      </c>
      <c r="M1041" s="172">
        <v>0</v>
      </c>
      <c r="N1041" s="172">
        <v>52</v>
      </c>
      <c r="O1041" s="172">
        <v>0</v>
      </c>
      <c r="P1041" s="174">
        <v>0</v>
      </c>
    </row>
    <row r="1042" spans="1:16">
      <c r="A1042" s="169" t="s">
        <v>449</v>
      </c>
      <c r="B1042" s="171" t="s">
        <v>467</v>
      </c>
      <c r="C1042" s="171">
        <v>45</v>
      </c>
      <c r="D1042" s="171">
        <v>12</v>
      </c>
      <c r="E1042" s="171">
        <v>3</v>
      </c>
      <c r="F1042" s="171">
        <v>5</v>
      </c>
      <c r="G1042" s="171">
        <v>3</v>
      </c>
      <c r="H1042" s="171">
        <v>7</v>
      </c>
      <c r="I1042" s="171">
        <v>5</v>
      </c>
      <c r="J1042" s="171">
        <v>1</v>
      </c>
      <c r="K1042" s="171">
        <v>24</v>
      </c>
      <c r="L1042" s="171">
        <v>20</v>
      </c>
      <c r="M1042" s="171">
        <v>5</v>
      </c>
      <c r="N1042" s="171">
        <v>1</v>
      </c>
      <c r="O1042" s="171">
        <v>2</v>
      </c>
      <c r="P1042" s="173">
        <v>1</v>
      </c>
    </row>
    <row r="1043" spans="1:16">
      <c r="A1043" s="170" t="s">
        <v>449</v>
      </c>
      <c r="B1043" s="172" t="s">
        <v>467</v>
      </c>
      <c r="C1043" s="172">
        <v>90</v>
      </c>
      <c r="D1043" s="172">
        <v>30</v>
      </c>
      <c r="E1043" s="172">
        <v>12</v>
      </c>
      <c r="F1043" s="172">
        <v>14</v>
      </c>
      <c r="G1043" s="172">
        <v>16</v>
      </c>
      <c r="H1043" s="172">
        <v>21</v>
      </c>
      <c r="I1043" s="172">
        <v>19</v>
      </c>
      <c r="J1043" s="172">
        <v>0</v>
      </c>
      <c r="K1043" s="172">
        <v>82</v>
      </c>
      <c r="L1043" s="172">
        <v>42</v>
      </c>
      <c r="M1043" s="172">
        <v>13</v>
      </c>
      <c r="N1043" s="172">
        <v>17</v>
      </c>
      <c r="O1043" s="172">
        <v>36</v>
      </c>
      <c r="P1043" s="174">
        <v>4</v>
      </c>
    </row>
    <row r="1044" spans="1:16">
      <c r="A1044" s="169" t="s">
        <v>449</v>
      </c>
      <c r="B1044" s="171" t="s">
        <v>467</v>
      </c>
      <c r="C1044" s="171">
        <v>90</v>
      </c>
      <c r="D1044" s="171">
        <v>20</v>
      </c>
      <c r="E1044" s="171">
        <v>2</v>
      </c>
      <c r="F1044" s="171">
        <v>11</v>
      </c>
      <c r="G1044" s="171">
        <v>17</v>
      </c>
      <c r="H1044" s="171">
        <v>13</v>
      </c>
      <c r="I1044" s="171">
        <v>10</v>
      </c>
      <c r="J1044" s="171">
        <v>2</v>
      </c>
      <c r="K1044" s="171">
        <v>55</v>
      </c>
      <c r="L1044" s="171">
        <v>35</v>
      </c>
      <c r="M1044" s="171">
        <v>0</v>
      </c>
      <c r="N1044" s="171">
        <v>1</v>
      </c>
      <c r="O1044" s="171">
        <v>17</v>
      </c>
      <c r="P1044" s="173">
        <v>8</v>
      </c>
    </row>
    <row r="1045" spans="1:16">
      <c r="A1045" s="170" t="s">
        <v>449</v>
      </c>
      <c r="B1045" s="172" t="s">
        <v>467</v>
      </c>
      <c r="C1045" s="172">
        <v>98</v>
      </c>
      <c r="D1045" s="172">
        <v>30</v>
      </c>
      <c r="E1045" s="172">
        <v>5</v>
      </c>
      <c r="F1045" s="172">
        <v>15</v>
      </c>
      <c r="G1045" s="172">
        <v>25</v>
      </c>
      <c r="H1045" s="172">
        <v>16</v>
      </c>
      <c r="I1045" s="172">
        <v>16</v>
      </c>
      <c r="J1045" s="172">
        <v>0</v>
      </c>
      <c r="K1045" s="172">
        <v>77</v>
      </c>
      <c r="L1045" s="172">
        <v>20</v>
      </c>
      <c r="M1045" s="172">
        <v>11</v>
      </c>
      <c r="N1045" s="172">
        <v>10</v>
      </c>
      <c r="O1045" s="172">
        <v>50</v>
      </c>
      <c r="P1045" s="174">
        <v>6</v>
      </c>
    </row>
    <row r="1046" spans="1:16">
      <c r="A1046" s="169" t="s">
        <v>449</v>
      </c>
      <c r="B1046" s="171" t="s">
        <v>467</v>
      </c>
      <c r="C1046" s="171">
        <v>30</v>
      </c>
      <c r="D1046" s="171">
        <v>0</v>
      </c>
      <c r="E1046" s="171">
        <v>0</v>
      </c>
      <c r="F1046" s="171">
        <v>0</v>
      </c>
      <c r="G1046" s="171">
        <v>3</v>
      </c>
      <c r="H1046" s="171">
        <v>19</v>
      </c>
      <c r="I1046" s="171">
        <v>12</v>
      </c>
      <c r="J1046" s="171">
        <v>1</v>
      </c>
      <c r="K1046" s="171">
        <v>35</v>
      </c>
      <c r="L1046" s="171">
        <v>5</v>
      </c>
      <c r="M1046" s="171">
        <v>0</v>
      </c>
      <c r="N1046" s="171">
        <v>1</v>
      </c>
      <c r="O1046" s="171">
        <v>30</v>
      </c>
      <c r="P1046" s="173">
        <v>0</v>
      </c>
    </row>
    <row r="1047" spans="1:16" hidden="1">
      <c r="A1047" s="172" t="s">
        <v>450</v>
      </c>
      <c r="B1047" s="172" t="s">
        <v>467</v>
      </c>
      <c r="C1047" s="172">
        <v>40</v>
      </c>
      <c r="D1047" s="172">
        <v>40</v>
      </c>
      <c r="E1047" s="172">
        <v>3</v>
      </c>
      <c r="F1047" s="172">
        <v>1</v>
      </c>
      <c r="G1047" s="172">
        <v>2</v>
      </c>
      <c r="H1047" s="172">
        <v>4</v>
      </c>
      <c r="I1047" s="172">
        <v>4</v>
      </c>
      <c r="J1047" s="172">
        <v>1</v>
      </c>
      <c r="K1047" s="172">
        <v>15</v>
      </c>
      <c r="L1047" s="172">
        <v>0</v>
      </c>
      <c r="M1047" s="172">
        <v>0</v>
      </c>
      <c r="N1047" s="172">
        <v>13</v>
      </c>
      <c r="O1047" s="172">
        <v>2</v>
      </c>
      <c r="P1047" s="174">
        <v>0</v>
      </c>
    </row>
    <row r="1048" spans="1:16">
      <c r="A1048" s="169" t="s">
        <v>449</v>
      </c>
      <c r="B1048" s="171" t="s">
        <v>467</v>
      </c>
      <c r="C1048" s="171">
        <v>55</v>
      </c>
      <c r="D1048" s="171">
        <v>15</v>
      </c>
      <c r="E1048" s="171">
        <v>1</v>
      </c>
      <c r="F1048" s="171">
        <v>8</v>
      </c>
      <c r="G1048" s="171">
        <v>12</v>
      </c>
      <c r="H1048" s="171">
        <v>14</v>
      </c>
      <c r="I1048" s="171">
        <v>9</v>
      </c>
      <c r="J1048" s="171">
        <v>3</v>
      </c>
      <c r="K1048" s="171">
        <v>47</v>
      </c>
      <c r="L1048" s="171">
        <v>2</v>
      </c>
      <c r="M1048" s="171">
        <v>7</v>
      </c>
      <c r="N1048" s="171">
        <v>19</v>
      </c>
      <c r="O1048" s="171">
        <v>24</v>
      </c>
      <c r="P1048" s="173">
        <v>2</v>
      </c>
    </row>
    <row r="1049" spans="1:16">
      <c r="A1049" s="170" t="s">
        <v>449</v>
      </c>
      <c r="B1049" s="172" t="s">
        <v>467</v>
      </c>
      <c r="C1049" s="172">
        <v>60</v>
      </c>
      <c r="D1049" s="172">
        <v>20</v>
      </c>
      <c r="E1049" s="172">
        <v>2</v>
      </c>
      <c r="F1049" s="172">
        <v>8</v>
      </c>
      <c r="G1049" s="172">
        <v>9</v>
      </c>
      <c r="H1049" s="172">
        <v>13</v>
      </c>
      <c r="I1049" s="172">
        <v>21</v>
      </c>
      <c r="J1049" s="172">
        <v>0</v>
      </c>
      <c r="K1049" s="172">
        <v>53</v>
      </c>
      <c r="L1049" s="172">
        <v>5</v>
      </c>
      <c r="M1049" s="172">
        <v>12</v>
      </c>
      <c r="N1049" s="172">
        <v>39</v>
      </c>
      <c r="O1049" s="172">
        <v>10</v>
      </c>
      <c r="P1049" s="174">
        <v>2</v>
      </c>
    </row>
    <row r="1050" spans="1:16" hidden="1">
      <c r="A1050" s="169" t="s">
        <v>450</v>
      </c>
      <c r="B1050" s="171" t="s">
        <v>467</v>
      </c>
      <c r="C1050" s="171">
        <v>60</v>
      </c>
      <c r="D1050" s="171">
        <v>60</v>
      </c>
      <c r="E1050" s="171">
        <v>2</v>
      </c>
      <c r="F1050" s="171">
        <v>3</v>
      </c>
      <c r="G1050" s="171">
        <v>1</v>
      </c>
      <c r="H1050" s="171">
        <v>6</v>
      </c>
      <c r="I1050" s="171">
        <v>4</v>
      </c>
      <c r="J1050" s="171">
        <v>0</v>
      </c>
      <c r="K1050" s="171">
        <v>16</v>
      </c>
      <c r="L1050" s="171">
        <v>0</v>
      </c>
      <c r="M1050" s="171">
        <v>2</v>
      </c>
      <c r="N1050" s="171">
        <v>15</v>
      </c>
      <c r="O1050" s="171">
        <v>0</v>
      </c>
      <c r="P1050" s="173">
        <v>1</v>
      </c>
    </row>
    <row r="1051" spans="1:16" hidden="1">
      <c r="A1051" s="170" t="s">
        <v>450</v>
      </c>
      <c r="B1051" s="172" t="s">
        <v>467</v>
      </c>
      <c r="C1051" s="172">
        <v>50</v>
      </c>
      <c r="D1051" s="172">
        <v>50</v>
      </c>
      <c r="E1051" s="172">
        <v>5</v>
      </c>
      <c r="F1051" s="172">
        <v>5</v>
      </c>
      <c r="G1051" s="172">
        <v>8</v>
      </c>
      <c r="H1051" s="172">
        <v>4</v>
      </c>
      <c r="I1051" s="172">
        <v>10</v>
      </c>
      <c r="J1051" s="172">
        <v>1</v>
      </c>
      <c r="K1051" s="172">
        <v>33</v>
      </c>
      <c r="L1051" s="172">
        <v>3</v>
      </c>
      <c r="M1051" s="172">
        <v>0</v>
      </c>
      <c r="N1051" s="172">
        <v>29</v>
      </c>
      <c r="O1051" s="172">
        <v>4</v>
      </c>
      <c r="P1051" s="174">
        <v>0</v>
      </c>
    </row>
    <row r="1052" spans="1:16">
      <c r="A1052" s="169" t="s">
        <v>449</v>
      </c>
      <c r="B1052" s="171" t="s">
        <v>467</v>
      </c>
      <c r="C1052" s="171">
        <v>37</v>
      </c>
      <c r="D1052" s="171">
        <v>4</v>
      </c>
      <c r="E1052" s="171">
        <v>0</v>
      </c>
      <c r="F1052" s="171">
        <v>4</v>
      </c>
      <c r="G1052" s="171">
        <v>10</v>
      </c>
      <c r="H1052" s="171">
        <v>10</v>
      </c>
      <c r="I1052" s="171">
        <v>9</v>
      </c>
      <c r="J1052" s="171">
        <v>2</v>
      </c>
      <c r="K1052" s="171">
        <v>35</v>
      </c>
      <c r="L1052" s="171">
        <v>0</v>
      </c>
      <c r="M1052" s="171">
        <v>5</v>
      </c>
      <c r="N1052" s="171">
        <v>24</v>
      </c>
      <c r="O1052" s="171">
        <v>11</v>
      </c>
      <c r="P1052" s="173">
        <v>0</v>
      </c>
    </row>
    <row r="1053" spans="1:16">
      <c r="A1053" s="170" t="s">
        <v>449</v>
      </c>
      <c r="B1053" s="172" t="s">
        <v>467</v>
      </c>
      <c r="C1053" s="172">
        <v>30</v>
      </c>
      <c r="D1053" s="172">
        <v>5</v>
      </c>
      <c r="E1053" s="172">
        <v>0</v>
      </c>
      <c r="F1053" s="172">
        <v>0</v>
      </c>
      <c r="G1053" s="172">
        <v>2</v>
      </c>
      <c r="H1053" s="172">
        <v>10</v>
      </c>
      <c r="I1053" s="172">
        <v>21</v>
      </c>
      <c r="J1053" s="172">
        <v>0</v>
      </c>
      <c r="K1053" s="172">
        <v>33</v>
      </c>
      <c r="L1053" s="172">
        <v>1</v>
      </c>
      <c r="M1053" s="172">
        <v>2</v>
      </c>
      <c r="N1053" s="172">
        <v>33</v>
      </c>
      <c r="O1053" s="172">
        <v>0</v>
      </c>
      <c r="P1053" s="174">
        <v>0</v>
      </c>
    </row>
    <row r="1054" spans="1:16" hidden="1">
      <c r="A1054" s="171" t="s">
        <v>450</v>
      </c>
      <c r="B1054" s="171" t="s">
        <v>467</v>
      </c>
      <c r="C1054" s="171">
        <v>80</v>
      </c>
      <c r="D1054" s="171">
        <v>80</v>
      </c>
      <c r="E1054" s="171">
        <v>7</v>
      </c>
      <c r="F1054" s="171">
        <v>8</v>
      </c>
      <c r="G1054" s="171">
        <v>13</v>
      </c>
      <c r="H1054" s="171">
        <v>7</v>
      </c>
      <c r="I1054" s="171">
        <v>12</v>
      </c>
      <c r="J1054" s="171">
        <v>2</v>
      </c>
      <c r="K1054" s="171">
        <v>49</v>
      </c>
      <c r="L1054" s="171">
        <v>0</v>
      </c>
      <c r="M1054" s="171">
        <v>0</v>
      </c>
      <c r="N1054" s="171">
        <v>0</v>
      </c>
      <c r="O1054" s="171">
        <v>48</v>
      </c>
      <c r="P1054" s="173">
        <v>2</v>
      </c>
    </row>
    <row r="1055" spans="1:16" hidden="1">
      <c r="A1055" s="172" t="s">
        <v>451</v>
      </c>
      <c r="B1055" s="172" t="s">
        <v>467</v>
      </c>
      <c r="C1055" s="172">
        <v>10</v>
      </c>
      <c r="D1055" s="172">
        <v>10</v>
      </c>
      <c r="E1055" s="172"/>
      <c r="F1055" s="172"/>
      <c r="G1055" s="172"/>
      <c r="H1055" s="172"/>
      <c r="I1055" s="172"/>
      <c r="J1055" s="172"/>
      <c r="K1055" s="172"/>
      <c r="L1055" s="172"/>
      <c r="M1055" s="172"/>
      <c r="N1055" s="172"/>
      <c r="O1055" s="172"/>
      <c r="P1055" s="174"/>
    </row>
    <row r="1056" spans="1:16">
      <c r="A1056" s="171" t="s">
        <v>449</v>
      </c>
      <c r="B1056" s="171" t="s">
        <v>467</v>
      </c>
      <c r="C1056" s="171">
        <v>110</v>
      </c>
      <c r="D1056" s="171">
        <v>36</v>
      </c>
      <c r="E1056" s="171">
        <v>7</v>
      </c>
      <c r="F1056" s="171">
        <v>36</v>
      </c>
      <c r="G1056" s="171">
        <v>28</v>
      </c>
      <c r="H1056" s="171">
        <v>23</v>
      </c>
      <c r="I1056" s="171">
        <v>30</v>
      </c>
      <c r="J1056" s="171">
        <v>0</v>
      </c>
      <c r="K1056" s="171">
        <v>124</v>
      </c>
      <c r="L1056" s="171">
        <v>62</v>
      </c>
      <c r="M1056" s="171">
        <v>16</v>
      </c>
      <c r="N1056" s="171">
        <v>16</v>
      </c>
      <c r="O1056" s="171">
        <v>49</v>
      </c>
      <c r="P1056" s="173">
        <v>12</v>
      </c>
    </row>
    <row r="1057" spans="1:16">
      <c r="A1057" s="172" t="s">
        <v>449</v>
      </c>
      <c r="B1057" s="172" t="s">
        <v>467</v>
      </c>
      <c r="C1057" s="172">
        <v>100</v>
      </c>
      <c r="D1057" s="172">
        <v>35</v>
      </c>
      <c r="E1057" s="172">
        <v>4</v>
      </c>
      <c r="F1057" s="172">
        <v>15</v>
      </c>
      <c r="G1057" s="172">
        <v>14</v>
      </c>
      <c r="H1057" s="172">
        <v>14</v>
      </c>
      <c r="I1057" s="172">
        <v>18</v>
      </c>
      <c r="J1057" s="172">
        <v>0</v>
      </c>
      <c r="K1057" s="172">
        <v>65</v>
      </c>
      <c r="L1057" s="172">
        <v>19</v>
      </c>
      <c r="M1057" s="172">
        <v>4</v>
      </c>
      <c r="N1057" s="172">
        <v>1</v>
      </c>
      <c r="O1057" s="172">
        <v>40</v>
      </c>
      <c r="P1057" s="174">
        <v>9</v>
      </c>
    </row>
    <row r="1058" spans="1:16">
      <c r="A1058" s="171" t="s">
        <v>449</v>
      </c>
      <c r="B1058" s="171" t="s">
        <v>467</v>
      </c>
      <c r="C1058" s="171">
        <v>70</v>
      </c>
      <c r="D1058" s="171">
        <v>25</v>
      </c>
      <c r="E1058" s="171">
        <v>2</v>
      </c>
      <c r="F1058" s="171">
        <v>17</v>
      </c>
      <c r="G1058" s="171">
        <v>15</v>
      </c>
      <c r="H1058" s="171">
        <v>20</v>
      </c>
      <c r="I1058" s="171">
        <v>13</v>
      </c>
      <c r="J1058" s="171">
        <v>0</v>
      </c>
      <c r="K1058" s="171">
        <v>67</v>
      </c>
      <c r="L1058" s="171">
        <v>63</v>
      </c>
      <c r="M1058" s="171">
        <v>6</v>
      </c>
      <c r="N1058" s="171">
        <v>2</v>
      </c>
      <c r="O1058" s="171">
        <v>5</v>
      </c>
      <c r="P1058" s="173">
        <v>3</v>
      </c>
    </row>
    <row r="1059" spans="1:16">
      <c r="A1059" s="172" t="s">
        <v>449</v>
      </c>
      <c r="B1059" s="172" t="s">
        <v>467</v>
      </c>
      <c r="C1059" s="172">
        <v>30</v>
      </c>
      <c r="D1059" s="172">
        <v>0</v>
      </c>
      <c r="E1059" s="172">
        <v>0</v>
      </c>
      <c r="F1059" s="172">
        <v>0</v>
      </c>
      <c r="G1059" s="172">
        <v>0</v>
      </c>
      <c r="H1059" s="172">
        <v>7</v>
      </c>
      <c r="I1059" s="172">
        <v>5</v>
      </c>
      <c r="J1059" s="172">
        <v>2</v>
      </c>
      <c r="K1059" s="172">
        <v>14</v>
      </c>
      <c r="L1059" s="172">
        <v>4</v>
      </c>
      <c r="M1059" s="172">
        <v>1</v>
      </c>
      <c r="N1059" s="172">
        <v>1</v>
      </c>
      <c r="O1059" s="172">
        <v>8</v>
      </c>
      <c r="P1059" s="174">
        <v>2</v>
      </c>
    </row>
    <row r="1060" spans="1:16" hidden="1">
      <c r="A1060" s="169" t="s">
        <v>450</v>
      </c>
      <c r="B1060" s="171" t="s">
        <v>467</v>
      </c>
      <c r="C1060" s="171">
        <v>50</v>
      </c>
      <c r="D1060" s="171">
        <v>50</v>
      </c>
      <c r="E1060" s="171">
        <v>4</v>
      </c>
      <c r="F1060" s="171">
        <v>10</v>
      </c>
      <c r="G1060" s="171">
        <v>8</v>
      </c>
      <c r="H1060" s="171">
        <v>9</v>
      </c>
      <c r="I1060" s="171">
        <v>9</v>
      </c>
      <c r="J1060" s="171">
        <v>0</v>
      </c>
      <c r="K1060" s="171">
        <v>40</v>
      </c>
      <c r="L1060" s="171">
        <v>1</v>
      </c>
      <c r="M1060" s="171">
        <v>1</v>
      </c>
      <c r="N1060" s="171">
        <v>33</v>
      </c>
      <c r="O1060" s="171">
        <v>7</v>
      </c>
      <c r="P1060" s="173">
        <v>0</v>
      </c>
    </row>
    <row r="1061" spans="1:16">
      <c r="A1061" s="170" t="s">
        <v>449</v>
      </c>
      <c r="B1061" s="172" t="s">
        <v>467</v>
      </c>
      <c r="C1061" s="172">
        <v>70</v>
      </c>
      <c r="D1061" s="172">
        <v>15</v>
      </c>
      <c r="E1061" s="172">
        <v>0</v>
      </c>
      <c r="F1061" s="172">
        <v>9</v>
      </c>
      <c r="G1061" s="172">
        <v>15</v>
      </c>
      <c r="H1061" s="172">
        <v>18</v>
      </c>
      <c r="I1061" s="172">
        <v>13</v>
      </c>
      <c r="J1061" s="172">
        <v>2</v>
      </c>
      <c r="K1061" s="172">
        <v>57</v>
      </c>
      <c r="L1061" s="172">
        <v>4</v>
      </c>
      <c r="M1061" s="172">
        <v>6</v>
      </c>
      <c r="N1061" s="172">
        <v>49</v>
      </c>
      <c r="O1061" s="172">
        <v>8</v>
      </c>
      <c r="P1061" s="174">
        <v>0</v>
      </c>
    </row>
    <row r="1062" spans="1:16">
      <c r="A1062" s="169" t="s">
        <v>449</v>
      </c>
      <c r="B1062" s="171" t="s">
        <v>467</v>
      </c>
      <c r="C1062" s="171">
        <v>50</v>
      </c>
      <c r="D1062" s="171">
        <v>10</v>
      </c>
      <c r="E1062" s="171">
        <v>3</v>
      </c>
      <c r="F1062" s="171">
        <v>8</v>
      </c>
      <c r="G1062" s="171">
        <v>12</v>
      </c>
      <c r="H1062" s="171">
        <v>17</v>
      </c>
      <c r="I1062" s="171">
        <v>12</v>
      </c>
      <c r="J1062" s="171">
        <v>0</v>
      </c>
      <c r="K1062" s="171">
        <v>52</v>
      </c>
      <c r="L1062" s="171">
        <v>18</v>
      </c>
      <c r="M1062" s="171">
        <v>3</v>
      </c>
      <c r="N1062" s="171">
        <v>3</v>
      </c>
      <c r="O1062" s="171">
        <v>29</v>
      </c>
      <c r="P1062" s="173">
        <v>5</v>
      </c>
    </row>
    <row r="1063" spans="1:16">
      <c r="A1063" s="170" t="s">
        <v>449</v>
      </c>
      <c r="B1063" s="172" t="s">
        <v>467</v>
      </c>
      <c r="C1063" s="172">
        <v>55</v>
      </c>
      <c r="D1063" s="172">
        <v>15</v>
      </c>
      <c r="E1063" s="172">
        <v>0</v>
      </c>
      <c r="F1063" s="172">
        <v>4</v>
      </c>
      <c r="G1063" s="172">
        <v>6</v>
      </c>
      <c r="H1063" s="172">
        <v>9</v>
      </c>
      <c r="I1063" s="172">
        <v>13</v>
      </c>
      <c r="J1063" s="172">
        <v>1</v>
      </c>
      <c r="K1063" s="172">
        <v>33</v>
      </c>
      <c r="L1063" s="172">
        <v>5</v>
      </c>
      <c r="M1063" s="172">
        <v>3</v>
      </c>
      <c r="N1063" s="172">
        <v>16</v>
      </c>
      <c r="O1063" s="172">
        <v>17</v>
      </c>
      <c r="P1063" s="174">
        <v>0</v>
      </c>
    </row>
    <row r="1064" spans="1:16">
      <c r="A1064" s="169" t="s">
        <v>449</v>
      </c>
      <c r="B1064" s="171" t="s">
        <v>467</v>
      </c>
      <c r="C1064" s="171">
        <v>75</v>
      </c>
      <c r="D1064" s="171">
        <v>24</v>
      </c>
      <c r="E1064" s="171">
        <v>4</v>
      </c>
      <c r="F1064" s="171">
        <v>18</v>
      </c>
      <c r="G1064" s="171">
        <v>22</v>
      </c>
      <c r="H1064" s="171">
        <v>20</v>
      </c>
      <c r="I1064" s="171">
        <v>21</v>
      </c>
      <c r="J1064" s="171">
        <v>1</v>
      </c>
      <c r="K1064" s="171">
        <v>86</v>
      </c>
      <c r="L1064" s="171">
        <v>71</v>
      </c>
      <c r="M1064" s="171">
        <v>17</v>
      </c>
      <c r="N1064" s="171">
        <v>16</v>
      </c>
      <c r="O1064" s="171">
        <v>10</v>
      </c>
      <c r="P1064" s="173">
        <v>2</v>
      </c>
    </row>
    <row r="1065" spans="1:16">
      <c r="A1065" s="170" t="s">
        <v>449</v>
      </c>
      <c r="B1065" s="172" t="s">
        <v>467</v>
      </c>
      <c r="C1065" s="172">
        <v>58</v>
      </c>
      <c r="D1065" s="172">
        <v>18</v>
      </c>
      <c r="E1065" s="172">
        <v>5</v>
      </c>
      <c r="F1065" s="172">
        <v>9</v>
      </c>
      <c r="G1065" s="172">
        <v>10</v>
      </c>
      <c r="H1065" s="172">
        <v>10</v>
      </c>
      <c r="I1065" s="172">
        <v>18</v>
      </c>
      <c r="J1065" s="172">
        <v>0</v>
      </c>
      <c r="K1065" s="172">
        <v>52</v>
      </c>
      <c r="L1065" s="172">
        <v>25</v>
      </c>
      <c r="M1065" s="172">
        <v>4</v>
      </c>
      <c r="N1065" s="172">
        <v>1</v>
      </c>
      <c r="O1065" s="172">
        <v>22</v>
      </c>
      <c r="P1065" s="174">
        <v>8</v>
      </c>
    </row>
    <row r="1066" spans="1:16">
      <c r="A1066" s="169" t="s">
        <v>449</v>
      </c>
      <c r="B1066" s="171" t="s">
        <v>467</v>
      </c>
      <c r="C1066" s="171">
        <v>100</v>
      </c>
      <c r="D1066" s="171">
        <v>24</v>
      </c>
      <c r="E1066" s="171">
        <v>4</v>
      </c>
      <c r="F1066" s="171">
        <v>15</v>
      </c>
      <c r="G1066" s="171">
        <v>25</v>
      </c>
      <c r="H1066" s="171">
        <v>31</v>
      </c>
      <c r="I1066" s="171">
        <v>31</v>
      </c>
      <c r="J1066" s="171">
        <v>1</v>
      </c>
      <c r="K1066" s="171">
        <v>107</v>
      </c>
      <c r="L1066" s="171">
        <v>11</v>
      </c>
      <c r="M1066" s="171">
        <v>3</v>
      </c>
      <c r="N1066" s="171">
        <v>10</v>
      </c>
      <c r="O1066" s="171">
        <v>95</v>
      </c>
      <c r="P1066" s="173">
        <v>2</v>
      </c>
    </row>
    <row r="1067" spans="1:16">
      <c r="A1067" s="170" t="s">
        <v>449</v>
      </c>
      <c r="B1067" s="172" t="s">
        <v>467</v>
      </c>
      <c r="C1067" s="172">
        <v>140</v>
      </c>
      <c r="D1067" s="172">
        <v>48</v>
      </c>
      <c r="E1067" s="172">
        <v>8</v>
      </c>
      <c r="F1067" s="172">
        <v>29</v>
      </c>
      <c r="G1067" s="172">
        <v>33</v>
      </c>
      <c r="H1067" s="172">
        <v>34</v>
      </c>
      <c r="I1067" s="172">
        <v>33</v>
      </c>
      <c r="J1067" s="172">
        <v>0</v>
      </c>
      <c r="K1067" s="172">
        <v>137</v>
      </c>
      <c r="L1067" s="172">
        <v>82</v>
      </c>
      <c r="M1067" s="172">
        <v>9</v>
      </c>
      <c r="N1067" s="172">
        <v>6</v>
      </c>
      <c r="O1067" s="172">
        <v>57</v>
      </c>
      <c r="P1067" s="174">
        <v>13</v>
      </c>
    </row>
    <row r="1068" spans="1:16" hidden="1">
      <c r="A1068" s="169" t="s">
        <v>450</v>
      </c>
      <c r="B1068" s="171" t="s">
        <v>467</v>
      </c>
      <c r="C1068" s="171">
        <v>80</v>
      </c>
      <c r="D1068" s="171">
        <v>80</v>
      </c>
      <c r="E1068" s="171">
        <v>12</v>
      </c>
      <c r="F1068" s="171">
        <v>10</v>
      </c>
      <c r="G1068" s="171">
        <v>13</v>
      </c>
      <c r="H1068" s="171">
        <v>9</v>
      </c>
      <c r="I1068" s="171">
        <v>7</v>
      </c>
      <c r="J1068" s="171">
        <v>0</v>
      </c>
      <c r="K1068" s="171">
        <v>51</v>
      </c>
      <c r="L1068" s="171">
        <v>5</v>
      </c>
      <c r="M1068" s="171">
        <v>0</v>
      </c>
      <c r="N1068" s="171">
        <v>0</v>
      </c>
      <c r="O1068" s="171">
        <v>51</v>
      </c>
      <c r="P1068" s="173">
        <v>0</v>
      </c>
    </row>
    <row r="1069" spans="1:16">
      <c r="A1069" s="170" t="s">
        <v>449</v>
      </c>
      <c r="B1069" s="172" t="s">
        <v>467</v>
      </c>
      <c r="C1069" s="172">
        <v>80</v>
      </c>
      <c r="D1069" s="172">
        <v>20</v>
      </c>
      <c r="E1069" s="172">
        <v>0</v>
      </c>
      <c r="F1069" s="172">
        <v>6</v>
      </c>
      <c r="G1069" s="172">
        <v>13</v>
      </c>
      <c r="H1069" s="172">
        <v>15</v>
      </c>
      <c r="I1069" s="172">
        <v>29</v>
      </c>
      <c r="J1069" s="172">
        <v>0</v>
      </c>
      <c r="K1069" s="172">
        <v>63</v>
      </c>
      <c r="L1069" s="172">
        <v>3</v>
      </c>
      <c r="M1069" s="172">
        <v>3</v>
      </c>
      <c r="N1069" s="172">
        <v>0</v>
      </c>
      <c r="O1069" s="172">
        <v>57</v>
      </c>
      <c r="P1069" s="174">
        <v>2</v>
      </c>
    </row>
    <row r="1070" spans="1:16">
      <c r="A1070" s="171" t="s">
        <v>449</v>
      </c>
      <c r="B1070" s="171" t="s">
        <v>467</v>
      </c>
      <c r="C1070" s="171">
        <v>70</v>
      </c>
      <c r="D1070" s="171">
        <v>20</v>
      </c>
      <c r="E1070" s="171">
        <v>2</v>
      </c>
      <c r="F1070" s="171">
        <v>11</v>
      </c>
      <c r="G1070" s="171">
        <v>10</v>
      </c>
      <c r="H1070" s="171">
        <v>9</v>
      </c>
      <c r="I1070" s="171">
        <v>9</v>
      </c>
      <c r="J1070" s="171">
        <v>0</v>
      </c>
      <c r="K1070" s="171">
        <v>41</v>
      </c>
      <c r="L1070" s="171">
        <v>5</v>
      </c>
      <c r="M1070" s="171">
        <v>4</v>
      </c>
      <c r="N1070" s="171">
        <v>20</v>
      </c>
      <c r="O1070" s="171">
        <v>17</v>
      </c>
      <c r="P1070" s="173">
        <v>1</v>
      </c>
    </row>
    <row r="1071" spans="1:16" hidden="1">
      <c r="A1071" s="170" t="s">
        <v>450</v>
      </c>
      <c r="B1071" s="172" t="s">
        <v>467</v>
      </c>
      <c r="C1071" s="172">
        <v>100</v>
      </c>
      <c r="D1071" s="172">
        <v>100</v>
      </c>
      <c r="E1071" s="172">
        <v>20</v>
      </c>
      <c r="F1071" s="172">
        <v>20</v>
      </c>
      <c r="G1071" s="172">
        <v>14</v>
      </c>
      <c r="H1071" s="172">
        <v>14</v>
      </c>
      <c r="I1071" s="172">
        <v>7</v>
      </c>
      <c r="J1071" s="172">
        <v>4</v>
      </c>
      <c r="K1071" s="172">
        <v>79</v>
      </c>
      <c r="L1071" s="172">
        <v>0</v>
      </c>
      <c r="M1071" s="172">
        <v>0</v>
      </c>
      <c r="N1071" s="172">
        <v>77</v>
      </c>
      <c r="O1071" s="172">
        <v>2</v>
      </c>
      <c r="P1071" s="174">
        <v>0</v>
      </c>
    </row>
    <row r="1072" spans="1:16">
      <c r="A1072" s="169" t="s">
        <v>449</v>
      </c>
      <c r="B1072" s="171" t="s">
        <v>467</v>
      </c>
      <c r="C1072" s="171">
        <v>30</v>
      </c>
      <c r="D1072" s="171">
        <v>10</v>
      </c>
      <c r="E1072" s="171">
        <v>0</v>
      </c>
      <c r="F1072" s="171">
        <v>4</v>
      </c>
      <c r="G1072" s="171">
        <v>13</v>
      </c>
      <c r="H1072" s="171">
        <v>10</v>
      </c>
      <c r="I1072" s="171">
        <v>10</v>
      </c>
      <c r="J1072" s="171">
        <v>0</v>
      </c>
      <c r="K1072" s="171">
        <v>37</v>
      </c>
      <c r="L1072" s="171">
        <v>22</v>
      </c>
      <c r="M1072" s="171">
        <v>2</v>
      </c>
      <c r="N1072" s="171">
        <v>1</v>
      </c>
      <c r="O1072" s="171">
        <v>17</v>
      </c>
      <c r="P1072" s="173">
        <v>2</v>
      </c>
    </row>
    <row r="1073" spans="1:16">
      <c r="A1073" s="170" t="s">
        <v>449</v>
      </c>
      <c r="B1073" s="172" t="s">
        <v>467</v>
      </c>
      <c r="C1073" s="172">
        <v>40</v>
      </c>
      <c r="D1073" s="172">
        <v>0</v>
      </c>
      <c r="E1073" s="172">
        <v>0</v>
      </c>
      <c r="F1073" s="172">
        <v>7</v>
      </c>
      <c r="G1073" s="172">
        <v>3</v>
      </c>
      <c r="H1073" s="172">
        <v>7</v>
      </c>
      <c r="I1073" s="172">
        <v>5</v>
      </c>
      <c r="J1073" s="172">
        <v>2</v>
      </c>
      <c r="K1073" s="172">
        <v>24</v>
      </c>
      <c r="L1073" s="172">
        <v>1</v>
      </c>
      <c r="M1073" s="172">
        <v>14</v>
      </c>
      <c r="N1073" s="172">
        <v>21</v>
      </c>
      <c r="O1073" s="172">
        <v>1</v>
      </c>
      <c r="P1073" s="174">
        <v>1</v>
      </c>
    </row>
    <row r="1074" spans="1:16">
      <c r="A1074" s="169" t="s">
        <v>449</v>
      </c>
      <c r="B1074" s="171" t="s">
        <v>467</v>
      </c>
      <c r="C1074" s="171">
        <v>35</v>
      </c>
      <c r="D1074" s="171">
        <v>0</v>
      </c>
      <c r="E1074" s="171">
        <v>0</v>
      </c>
      <c r="F1074" s="171">
        <v>0</v>
      </c>
      <c r="G1074" s="171">
        <v>10</v>
      </c>
      <c r="H1074" s="171">
        <v>14</v>
      </c>
      <c r="I1074" s="171">
        <v>19</v>
      </c>
      <c r="J1074" s="171">
        <v>2</v>
      </c>
      <c r="K1074" s="171">
        <v>45</v>
      </c>
      <c r="L1074" s="171">
        <v>44</v>
      </c>
      <c r="M1074" s="171">
        <v>6</v>
      </c>
      <c r="N1074" s="171">
        <v>1</v>
      </c>
      <c r="O1074" s="171">
        <v>6</v>
      </c>
      <c r="P1074" s="173">
        <v>0</v>
      </c>
    </row>
    <row r="1075" spans="1:16">
      <c r="A1075" s="170" t="s">
        <v>449</v>
      </c>
      <c r="B1075" s="172" t="s">
        <v>467</v>
      </c>
      <c r="C1075" s="172">
        <v>30</v>
      </c>
      <c r="D1075" s="172">
        <v>0</v>
      </c>
      <c r="E1075" s="172">
        <v>0</v>
      </c>
      <c r="F1075" s="172">
        <v>0</v>
      </c>
      <c r="G1075" s="172">
        <v>10</v>
      </c>
      <c r="H1075" s="172">
        <v>10</v>
      </c>
      <c r="I1075" s="172">
        <v>15</v>
      </c>
      <c r="J1075" s="172">
        <v>2</v>
      </c>
      <c r="K1075" s="172">
        <v>37</v>
      </c>
      <c r="L1075" s="172">
        <v>28</v>
      </c>
      <c r="M1075" s="172">
        <v>3</v>
      </c>
      <c r="N1075" s="172">
        <v>2</v>
      </c>
      <c r="O1075" s="172">
        <v>9</v>
      </c>
      <c r="P1075" s="174">
        <v>6</v>
      </c>
    </row>
    <row r="1076" spans="1:16">
      <c r="A1076" s="169" t="s">
        <v>449</v>
      </c>
      <c r="B1076" s="171" t="s">
        <v>467</v>
      </c>
      <c r="C1076" s="171">
        <v>48</v>
      </c>
      <c r="D1076" s="171">
        <v>10</v>
      </c>
      <c r="E1076" s="171">
        <v>0</v>
      </c>
      <c r="F1076" s="171">
        <v>3</v>
      </c>
      <c r="G1076" s="171">
        <v>17</v>
      </c>
      <c r="H1076" s="171">
        <v>21</v>
      </c>
      <c r="I1076" s="171">
        <v>14</v>
      </c>
      <c r="J1076" s="171">
        <v>3</v>
      </c>
      <c r="K1076" s="171">
        <v>58</v>
      </c>
      <c r="L1076" s="171">
        <v>2</v>
      </c>
      <c r="M1076" s="171">
        <v>28</v>
      </c>
      <c r="N1076" s="171">
        <v>29</v>
      </c>
      <c r="O1076" s="171">
        <v>12</v>
      </c>
      <c r="P1076" s="173">
        <v>3</v>
      </c>
    </row>
    <row r="1077" spans="1:16">
      <c r="A1077" s="170" t="s">
        <v>449</v>
      </c>
      <c r="B1077" s="172" t="s">
        <v>467</v>
      </c>
      <c r="C1077" s="172">
        <v>44</v>
      </c>
      <c r="D1077" s="172">
        <v>8</v>
      </c>
      <c r="E1077" s="172">
        <v>1</v>
      </c>
      <c r="F1077" s="172">
        <v>6</v>
      </c>
      <c r="G1077" s="172">
        <v>4</v>
      </c>
      <c r="H1077" s="172">
        <v>9</v>
      </c>
      <c r="I1077" s="172">
        <v>4</v>
      </c>
      <c r="J1077" s="172">
        <v>0</v>
      </c>
      <c r="K1077" s="172">
        <v>24</v>
      </c>
      <c r="L1077" s="172">
        <v>18</v>
      </c>
      <c r="M1077" s="172">
        <v>6</v>
      </c>
      <c r="N1077" s="172">
        <v>3</v>
      </c>
      <c r="O1077" s="172">
        <v>7</v>
      </c>
      <c r="P1077" s="174">
        <v>3</v>
      </c>
    </row>
    <row r="1078" spans="1:16">
      <c r="A1078" s="169" t="s">
        <v>449</v>
      </c>
      <c r="B1078" s="171" t="s">
        <v>467</v>
      </c>
      <c r="C1078" s="171">
        <v>105</v>
      </c>
      <c r="D1078" s="171">
        <v>50</v>
      </c>
      <c r="E1078" s="171">
        <v>5</v>
      </c>
      <c r="F1078" s="171">
        <v>27</v>
      </c>
      <c r="G1078" s="171">
        <v>39</v>
      </c>
      <c r="H1078" s="171">
        <v>28</v>
      </c>
      <c r="I1078" s="171">
        <v>19</v>
      </c>
      <c r="J1078" s="171">
        <v>1</v>
      </c>
      <c r="K1078" s="171">
        <v>119</v>
      </c>
      <c r="L1078" s="171">
        <v>80</v>
      </c>
      <c r="M1078" s="171">
        <v>5</v>
      </c>
      <c r="N1078" s="171">
        <v>4</v>
      </c>
      <c r="O1078" s="171">
        <v>44</v>
      </c>
      <c r="P1078" s="173">
        <v>7</v>
      </c>
    </row>
    <row r="1079" spans="1:16">
      <c r="A1079" s="170" t="s">
        <v>449</v>
      </c>
      <c r="B1079" s="172" t="s">
        <v>467</v>
      </c>
      <c r="C1079" s="172">
        <v>70</v>
      </c>
      <c r="D1079" s="172">
        <v>20</v>
      </c>
      <c r="E1079" s="172">
        <v>3</v>
      </c>
      <c r="F1079" s="172">
        <v>12</v>
      </c>
      <c r="G1079" s="172">
        <v>12</v>
      </c>
      <c r="H1079" s="172">
        <v>23</v>
      </c>
      <c r="I1079" s="172">
        <v>13</v>
      </c>
      <c r="J1079" s="172">
        <v>1</v>
      </c>
      <c r="K1079" s="172">
        <v>64</v>
      </c>
      <c r="L1079" s="172">
        <v>62</v>
      </c>
      <c r="M1079" s="172">
        <v>9</v>
      </c>
      <c r="N1079" s="172">
        <v>1</v>
      </c>
      <c r="O1079" s="172">
        <v>9</v>
      </c>
      <c r="P1079" s="174">
        <v>2</v>
      </c>
    </row>
    <row r="1080" spans="1:16">
      <c r="A1080" s="169" t="s">
        <v>449</v>
      </c>
      <c r="B1080" s="171" t="s">
        <v>467</v>
      </c>
      <c r="C1080" s="171">
        <v>50</v>
      </c>
      <c r="D1080" s="171">
        <v>10</v>
      </c>
      <c r="E1080" s="171">
        <v>0</v>
      </c>
      <c r="F1080" s="171">
        <v>6</v>
      </c>
      <c r="G1080" s="171">
        <v>10</v>
      </c>
      <c r="H1080" s="171">
        <v>15</v>
      </c>
      <c r="I1080" s="171">
        <v>9</v>
      </c>
      <c r="J1080" s="171">
        <v>2</v>
      </c>
      <c r="K1080" s="171">
        <v>42</v>
      </c>
      <c r="L1080" s="171">
        <v>10</v>
      </c>
      <c r="M1080" s="171">
        <v>18</v>
      </c>
      <c r="N1080" s="171">
        <v>21</v>
      </c>
      <c r="O1080" s="171">
        <v>11</v>
      </c>
      <c r="P1080" s="173">
        <v>4</v>
      </c>
    </row>
    <row r="1081" spans="1:16">
      <c r="A1081" s="170" t="s">
        <v>449</v>
      </c>
      <c r="B1081" s="172" t="s">
        <v>467</v>
      </c>
      <c r="C1081" s="172">
        <v>50</v>
      </c>
      <c r="D1081" s="172">
        <v>15</v>
      </c>
      <c r="E1081" s="172">
        <v>5</v>
      </c>
      <c r="F1081" s="172">
        <v>8</v>
      </c>
      <c r="G1081" s="172">
        <v>14</v>
      </c>
      <c r="H1081" s="172">
        <v>10</v>
      </c>
      <c r="I1081" s="172">
        <v>8</v>
      </c>
      <c r="J1081" s="172">
        <v>1</v>
      </c>
      <c r="K1081" s="172">
        <v>46</v>
      </c>
      <c r="L1081" s="172">
        <v>11</v>
      </c>
      <c r="M1081" s="172">
        <v>2</v>
      </c>
      <c r="N1081" s="172">
        <v>11</v>
      </c>
      <c r="O1081" s="172">
        <v>29</v>
      </c>
      <c r="P1081" s="174">
        <v>4</v>
      </c>
    </row>
    <row r="1082" spans="1:16">
      <c r="A1082" s="169" t="s">
        <v>449</v>
      </c>
      <c r="B1082" s="171" t="s">
        <v>467</v>
      </c>
      <c r="C1082" s="171">
        <v>95</v>
      </c>
      <c r="D1082" s="171">
        <v>25</v>
      </c>
      <c r="E1082" s="171">
        <v>0</v>
      </c>
      <c r="F1082" s="171">
        <v>15</v>
      </c>
      <c r="G1082" s="171">
        <v>19</v>
      </c>
      <c r="H1082" s="171">
        <v>24</v>
      </c>
      <c r="I1082" s="171">
        <v>24</v>
      </c>
      <c r="J1082" s="171">
        <v>0</v>
      </c>
      <c r="K1082" s="171">
        <v>82</v>
      </c>
      <c r="L1082" s="171">
        <v>23</v>
      </c>
      <c r="M1082" s="171">
        <v>16</v>
      </c>
      <c r="N1082" s="171">
        <v>33</v>
      </c>
      <c r="O1082" s="171">
        <v>37</v>
      </c>
      <c r="P1082" s="173">
        <v>8</v>
      </c>
    </row>
    <row r="1083" spans="1:16" hidden="1">
      <c r="A1083" s="170" t="s">
        <v>469</v>
      </c>
      <c r="B1083" s="172" t="s">
        <v>467</v>
      </c>
      <c r="C1083" s="172">
        <v>50</v>
      </c>
      <c r="D1083" s="172">
        <v>10</v>
      </c>
      <c r="E1083" s="172">
        <v>1</v>
      </c>
      <c r="F1083" s="172">
        <v>5</v>
      </c>
      <c r="G1083" s="172">
        <v>5</v>
      </c>
      <c r="H1083" s="172">
        <v>9</v>
      </c>
      <c r="I1083" s="172">
        <v>13</v>
      </c>
      <c r="J1083" s="172">
        <v>0</v>
      </c>
      <c r="K1083" s="172">
        <v>33</v>
      </c>
      <c r="L1083" s="172">
        <v>1</v>
      </c>
      <c r="M1083" s="172">
        <v>6</v>
      </c>
      <c r="N1083" s="172">
        <v>32</v>
      </c>
      <c r="O1083" s="172">
        <v>3</v>
      </c>
      <c r="P1083" s="174">
        <v>0</v>
      </c>
    </row>
    <row r="1084" spans="1:16">
      <c r="A1084" s="169" t="s">
        <v>449</v>
      </c>
      <c r="B1084" s="171" t="s">
        <v>467</v>
      </c>
      <c r="C1084" s="171">
        <v>50</v>
      </c>
      <c r="D1084" s="171">
        <v>0</v>
      </c>
      <c r="E1084" s="171">
        <v>0</v>
      </c>
      <c r="F1084" s="171">
        <v>0</v>
      </c>
      <c r="G1084" s="171">
        <v>8</v>
      </c>
      <c r="H1084" s="171">
        <v>22</v>
      </c>
      <c r="I1084" s="171">
        <v>32</v>
      </c>
      <c r="J1084" s="171">
        <v>1</v>
      </c>
      <c r="K1084" s="171">
        <v>63</v>
      </c>
      <c r="L1084" s="171">
        <v>3</v>
      </c>
      <c r="M1084" s="171">
        <v>13</v>
      </c>
      <c r="N1084" s="171">
        <v>33</v>
      </c>
      <c r="O1084" s="171">
        <v>25</v>
      </c>
      <c r="P1084" s="173">
        <v>1</v>
      </c>
    </row>
    <row r="1085" spans="1:16">
      <c r="A1085" s="170" t="s">
        <v>449</v>
      </c>
      <c r="B1085" s="172" t="s">
        <v>467</v>
      </c>
      <c r="C1085" s="172">
        <v>50</v>
      </c>
      <c r="D1085" s="172">
        <v>10</v>
      </c>
      <c r="E1085" s="172">
        <v>0</v>
      </c>
      <c r="F1085" s="172">
        <v>5</v>
      </c>
      <c r="G1085" s="172">
        <v>9</v>
      </c>
      <c r="H1085" s="172">
        <v>18</v>
      </c>
      <c r="I1085" s="172">
        <v>10</v>
      </c>
      <c r="J1085" s="172">
        <v>0</v>
      </c>
      <c r="K1085" s="172">
        <v>42</v>
      </c>
      <c r="L1085" s="172">
        <v>5</v>
      </c>
      <c r="M1085" s="172">
        <v>7</v>
      </c>
      <c r="N1085" s="172">
        <v>41</v>
      </c>
      <c r="O1085" s="172">
        <v>1</v>
      </c>
      <c r="P1085" s="174">
        <v>1</v>
      </c>
    </row>
    <row r="1086" spans="1:16" hidden="1">
      <c r="A1086" s="169" t="s">
        <v>450</v>
      </c>
      <c r="B1086" s="171" t="s">
        <v>467</v>
      </c>
      <c r="C1086" s="171">
        <v>80</v>
      </c>
      <c r="D1086" s="171">
        <v>80</v>
      </c>
      <c r="E1086" s="171">
        <v>4</v>
      </c>
      <c r="F1086" s="171">
        <v>12</v>
      </c>
      <c r="G1086" s="171">
        <v>11</v>
      </c>
      <c r="H1086" s="171">
        <v>13</v>
      </c>
      <c r="I1086" s="171">
        <v>14</v>
      </c>
      <c r="J1086" s="171">
        <v>3</v>
      </c>
      <c r="K1086" s="171">
        <v>57</v>
      </c>
      <c r="L1086" s="171">
        <v>41</v>
      </c>
      <c r="M1086" s="171">
        <v>13</v>
      </c>
      <c r="N1086" s="171">
        <v>3</v>
      </c>
      <c r="O1086" s="171">
        <v>4</v>
      </c>
      <c r="P1086" s="173">
        <v>3</v>
      </c>
    </row>
    <row r="1087" spans="1:16" hidden="1">
      <c r="A1087" s="170" t="s">
        <v>450</v>
      </c>
      <c r="B1087" s="172" t="s">
        <v>467</v>
      </c>
      <c r="C1087" s="172">
        <v>50</v>
      </c>
      <c r="D1087" s="172">
        <v>50</v>
      </c>
      <c r="E1087" s="172">
        <v>8</v>
      </c>
      <c r="F1087" s="172">
        <v>8</v>
      </c>
      <c r="G1087" s="172">
        <v>14</v>
      </c>
      <c r="H1087" s="172">
        <v>8</v>
      </c>
      <c r="I1087" s="172">
        <v>10</v>
      </c>
      <c r="J1087" s="172">
        <v>0</v>
      </c>
      <c r="K1087" s="172">
        <v>48</v>
      </c>
      <c r="L1087" s="172">
        <v>4</v>
      </c>
      <c r="M1087" s="172">
        <v>0</v>
      </c>
      <c r="N1087" s="172">
        <v>1</v>
      </c>
      <c r="O1087" s="172">
        <v>48</v>
      </c>
      <c r="P1087" s="174">
        <v>1</v>
      </c>
    </row>
    <row r="1088" spans="1:16">
      <c r="A1088" s="169" t="s">
        <v>449</v>
      </c>
      <c r="B1088" s="171" t="s">
        <v>467</v>
      </c>
      <c r="C1088" s="171">
        <v>70</v>
      </c>
      <c r="D1088" s="171">
        <v>20</v>
      </c>
      <c r="E1088" s="171">
        <v>3</v>
      </c>
      <c r="F1088" s="171">
        <v>15</v>
      </c>
      <c r="G1088" s="171">
        <v>7</v>
      </c>
      <c r="H1088" s="171">
        <v>15</v>
      </c>
      <c r="I1088" s="171">
        <v>11</v>
      </c>
      <c r="J1088" s="171">
        <v>0</v>
      </c>
      <c r="K1088" s="171">
        <v>51</v>
      </c>
      <c r="L1088" s="171">
        <v>38</v>
      </c>
      <c r="M1088" s="171">
        <v>5</v>
      </c>
      <c r="N1088" s="171">
        <v>1</v>
      </c>
      <c r="O1088" s="171">
        <v>12</v>
      </c>
      <c r="P1088" s="173">
        <v>5</v>
      </c>
    </row>
    <row r="1089" spans="1:16">
      <c r="A1089" s="170" t="s">
        <v>449</v>
      </c>
      <c r="B1089" s="172" t="s">
        <v>467</v>
      </c>
      <c r="C1089" s="172">
        <v>100</v>
      </c>
      <c r="D1089" s="172">
        <v>32</v>
      </c>
      <c r="E1089" s="172">
        <v>5</v>
      </c>
      <c r="F1089" s="172">
        <v>22</v>
      </c>
      <c r="G1089" s="172">
        <v>21</v>
      </c>
      <c r="H1089" s="172">
        <v>15</v>
      </c>
      <c r="I1089" s="172">
        <v>22</v>
      </c>
      <c r="J1089" s="172">
        <v>1</v>
      </c>
      <c r="K1089" s="172">
        <v>86</v>
      </c>
      <c r="L1089" s="172">
        <v>61</v>
      </c>
      <c r="M1089" s="172">
        <v>14</v>
      </c>
      <c r="N1089" s="172">
        <v>9</v>
      </c>
      <c r="O1089" s="172">
        <v>21</v>
      </c>
      <c r="P1089" s="174">
        <v>11</v>
      </c>
    </row>
    <row r="1090" spans="1:16">
      <c r="A1090" s="169" t="s">
        <v>449</v>
      </c>
      <c r="B1090" s="171" t="s">
        <v>467</v>
      </c>
      <c r="C1090" s="171">
        <v>30</v>
      </c>
      <c r="D1090" s="171">
        <v>20</v>
      </c>
      <c r="E1090" s="171">
        <v>0</v>
      </c>
      <c r="F1090" s="171">
        <v>20</v>
      </c>
      <c r="G1090" s="171">
        <v>10</v>
      </c>
      <c r="H1090" s="171">
        <v>0</v>
      </c>
      <c r="I1090" s="171">
        <v>0</v>
      </c>
      <c r="J1090" s="171">
        <v>0</v>
      </c>
      <c r="K1090" s="171">
        <v>30</v>
      </c>
      <c r="L1090" s="171">
        <v>10</v>
      </c>
      <c r="M1090" s="171">
        <v>5</v>
      </c>
      <c r="N1090" s="171">
        <v>4</v>
      </c>
      <c r="O1090" s="171">
        <v>17</v>
      </c>
      <c r="P1090" s="173">
        <v>1</v>
      </c>
    </row>
    <row r="1091" spans="1:16" hidden="1">
      <c r="A1091" s="170" t="s">
        <v>450</v>
      </c>
      <c r="B1091" s="172" t="s">
        <v>467</v>
      </c>
      <c r="C1091" s="172">
        <v>50</v>
      </c>
      <c r="D1091" s="172">
        <v>50</v>
      </c>
      <c r="E1091" s="172">
        <v>7</v>
      </c>
      <c r="F1091" s="172">
        <v>8</v>
      </c>
      <c r="G1091" s="172">
        <v>13</v>
      </c>
      <c r="H1091" s="172">
        <v>13</v>
      </c>
      <c r="I1091" s="172">
        <v>9</v>
      </c>
      <c r="J1091" s="172">
        <v>0</v>
      </c>
      <c r="K1091" s="172">
        <v>50</v>
      </c>
      <c r="L1091" s="172">
        <v>0</v>
      </c>
      <c r="M1091" s="172">
        <v>0</v>
      </c>
      <c r="N1091" s="172">
        <v>50</v>
      </c>
      <c r="O1091" s="172">
        <v>2</v>
      </c>
      <c r="P1091" s="174">
        <v>0</v>
      </c>
    </row>
    <row r="1092" spans="1:16" hidden="1">
      <c r="A1092" s="169" t="s">
        <v>450</v>
      </c>
      <c r="B1092" s="171" t="s">
        <v>467</v>
      </c>
      <c r="C1092" s="171">
        <v>50</v>
      </c>
      <c r="D1092" s="171">
        <v>50</v>
      </c>
      <c r="E1092" s="171">
        <v>12</v>
      </c>
      <c r="F1092" s="171">
        <v>13</v>
      </c>
      <c r="G1092" s="171">
        <v>8</v>
      </c>
      <c r="H1092" s="171">
        <v>10</v>
      </c>
      <c r="I1092" s="171">
        <v>6</v>
      </c>
      <c r="J1092" s="171">
        <v>0</v>
      </c>
      <c r="K1092" s="171">
        <v>49</v>
      </c>
      <c r="L1092" s="171">
        <v>0</v>
      </c>
      <c r="M1092" s="171">
        <v>0</v>
      </c>
      <c r="N1092" s="171">
        <v>49</v>
      </c>
      <c r="O1092" s="171">
        <v>0</v>
      </c>
      <c r="P1092" s="173">
        <v>0</v>
      </c>
    </row>
    <row r="1093" spans="1:16">
      <c r="A1093" s="172" t="s">
        <v>449</v>
      </c>
      <c r="B1093" s="172" t="s">
        <v>467</v>
      </c>
      <c r="C1093" s="172">
        <v>35</v>
      </c>
      <c r="D1093" s="172">
        <v>10</v>
      </c>
      <c r="E1093" s="172">
        <v>2</v>
      </c>
      <c r="F1093" s="172">
        <v>5</v>
      </c>
      <c r="G1093" s="172">
        <v>7</v>
      </c>
      <c r="H1093" s="172">
        <v>11</v>
      </c>
      <c r="I1093" s="172">
        <v>10</v>
      </c>
      <c r="J1093" s="172">
        <v>0</v>
      </c>
      <c r="K1093" s="172">
        <v>35</v>
      </c>
      <c r="L1093" s="172">
        <v>20</v>
      </c>
      <c r="M1093" s="172">
        <v>2</v>
      </c>
      <c r="N1093" s="172">
        <v>0</v>
      </c>
      <c r="O1093" s="172">
        <v>14</v>
      </c>
      <c r="P1093" s="174">
        <v>4</v>
      </c>
    </row>
    <row r="1094" spans="1:16">
      <c r="A1094" s="171" t="s">
        <v>449</v>
      </c>
      <c r="B1094" s="171" t="s">
        <v>467</v>
      </c>
      <c r="C1094" s="171">
        <v>150</v>
      </c>
      <c r="D1094" s="171">
        <v>30</v>
      </c>
      <c r="E1094" s="171">
        <v>4</v>
      </c>
      <c r="F1094" s="171">
        <v>14</v>
      </c>
      <c r="G1094" s="171">
        <v>33</v>
      </c>
      <c r="H1094" s="171">
        <v>38</v>
      </c>
      <c r="I1094" s="171">
        <v>36</v>
      </c>
      <c r="J1094" s="171">
        <v>2</v>
      </c>
      <c r="K1094" s="171">
        <v>127</v>
      </c>
      <c r="L1094" s="171">
        <v>44</v>
      </c>
      <c r="M1094" s="171">
        <v>84</v>
      </c>
      <c r="N1094" s="171">
        <v>29</v>
      </c>
      <c r="O1094" s="171">
        <v>13</v>
      </c>
      <c r="P1094" s="173">
        <v>1</v>
      </c>
    </row>
    <row r="1095" spans="1:16" hidden="1">
      <c r="A1095" s="170" t="s">
        <v>450</v>
      </c>
      <c r="B1095" s="172" t="s">
        <v>467</v>
      </c>
      <c r="C1095" s="172">
        <v>80</v>
      </c>
      <c r="D1095" s="172">
        <v>80</v>
      </c>
      <c r="E1095" s="172">
        <v>3</v>
      </c>
      <c r="F1095" s="172">
        <v>9</v>
      </c>
      <c r="G1095" s="172">
        <v>12</v>
      </c>
      <c r="H1095" s="172">
        <v>11</v>
      </c>
      <c r="I1095" s="172">
        <v>12</v>
      </c>
      <c r="J1095" s="172">
        <v>0</v>
      </c>
      <c r="K1095" s="172">
        <v>47</v>
      </c>
      <c r="L1095" s="172">
        <v>3</v>
      </c>
      <c r="M1095" s="172">
        <v>1</v>
      </c>
      <c r="N1095" s="172">
        <v>0</v>
      </c>
      <c r="O1095" s="172">
        <v>47</v>
      </c>
      <c r="P1095" s="174">
        <v>0</v>
      </c>
    </row>
    <row r="1096" spans="1:16">
      <c r="A1096" s="169" t="s">
        <v>449</v>
      </c>
      <c r="B1096" s="171" t="s">
        <v>467</v>
      </c>
      <c r="C1096" s="171">
        <v>110</v>
      </c>
      <c r="D1096" s="171">
        <v>30</v>
      </c>
      <c r="E1096" s="171">
        <v>4</v>
      </c>
      <c r="F1096" s="171">
        <v>12</v>
      </c>
      <c r="G1096" s="171">
        <v>17</v>
      </c>
      <c r="H1096" s="171">
        <v>23</v>
      </c>
      <c r="I1096" s="171">
        <v>29</v>
      </c>
      <c r="J1096" s="171">
        <v>2</v>
      </c>
      <c r="K1096" s="171">
        <v>87</v>
      </c>
      <c r="L1096" s="171">
        <v>16</v>
      </c>
      <c r="M1096" s="171">
        <v>38</v>
      </c>
      <c r="N1096" s="171">
        <v>40</v>
      </c>
      <c r="O1096" s="171">
        <v>15</v>
      </c>
      <c r="P1096" s="173">
        <v>9</v>
      </c>
    </row>
    <row r="1097" spans="1:16" hidden="1">
      <c r="A1097" s="170" t="s">
        <v>450</v>
      </c>
      <c r="B1097" s="172" t="s">
        <v>467</v>
      </c>
      <c r="C1097" s="172">
        <v>80</v>
      </c>
      <c r="D1097" s="172">
        <v>80</v>
      </c>
      <c r="E1097" s="172">
        <v>7</v>
      </c>
      <c r="F1097" s="172">
        <v>21</v>
      </c>
      <c r="G1097" s="172">
        <v>22</v>
      </c>
      <c r="H1097" s="172">
        <v>14</v>
      </c>
      <c r="I1097" s="172">
        <v>11</v>
      </c>
      <c r="J1097" s="172">
        <v>1</v>
      </c>
      <c r="K1097" s="172">
        <v>76</v>
      </c>
      <c r="L1097" s="172">
        <v>4</v>
      </c>
      <c r="M1097" s="172">
        <v>1</v>
      </c>
      <c r="N1097" s="172">
        <v>0</v>
      </c>
      <c r="O1097" s="172">
        <v>75</v>
      </c>
      <c r="P1097" s="174">
        <v>0</v>
      </c>
    </row>
    <row r="1098" spans="1:16">
      <c r="A1098" s="169" t="s">
        <v>449</v>
      </c>
      <c r="B1098" s="171" t="s">
        <v>467</v>
      </c>
      <c r="C1098" s="171">
        <v>80</v>
      </c>
      <c r="D1098" s="171">
        <v>20</v>
      </c>
      <c r="E1098" s="171">
        <v>1</v>
      </c>
      <c r="F1098" s="171">
        <v>12</v>
      </c>
      <c r="G1098" s="171">
        <v>13</v>
      </c>
      <c r="H1098" s="171">
        <v>21</v>
      </c>
      <c r="I1098" s="171">
        <v>16</v>
      </c>
      <c r="J1098" s="171">
        <v>2</v>
      </c>
      <c r="K1098" s="171">
        <v>65</v>
      </c>
      <c r="L1098" s="171">
        <v>9</v>
      </c>
      <c r="M1098" s="171">
        <v>11</v>
      </c>
      <c r="N1098" s="171">
        <v>41</v>
      </c>
      <c r="O1098" s="171">
        <v>19</v>
      </c>
      <c r="P1098" s="173">
        <v>2</v>
      </c>
    </row>
    <row r="1099" spans="1:16">
      <c r="A1099" s="170" t="s">
        <v>449</v>
      </c>
      <c r="B1099" s="172" t="s">
        <v>467</v>
      </c>
      <c r="C1099" s="172">
        <v>70</v>
      </c>
      <c r="D1099" s="172">
        <v>18</v>
      </c>
      <c r="E1099" s="172">
        <v>0</v>
      </c>
      <c r="F1099" s="172">
        <v>13</v>
      </c>
      <c r="G1099" s="172">
        <v>12</v>
      </c>
      <c r="H1099" s="172">
        <v>16</v>
      </c>
      <c r="I1099" s="172">
        <v>12</v>
      </c>
      <c r="J1099" s="172">
        <v>1</v>
      </c>
      <c r="K1099" s="172">
        <v>54</v>
      </c>
      <c r="L1099" s="172">
        <v>33</v>
      </c>
      <c r="M1099" s="172">
        <v>10</v>
      </c>
      <c r="N1099" s="172">
        <v>15</v>
      </c>
      <c r="O1099" s="172">
        <v>15</v>
      </c>
      <c r="P1099" s="174">
        <v>5</v>
      </c>
    </row>
    <row r="1100" spans="1:16">
      <c r="A1100" s="169" t="s">
        <v>449</v>
      </c>
      <c r="B1100" s="171" t="s">
        <v>467</v>
      </c>
      <c r="C1100" s="171">
        <v>55</v>
      </c>
      <c r="D1100" s="171">
        <v>12</v>
      </c>
      <c r="E1100" s="171">
        <v>4</v>
      </c>
      <c r="F1100" s="171">
        <v>9</v>
      </c>
      <c r="G1100" s="171">
        <v>17</v>
      </c>
      <c r="H1100" s="171">
        <v>14</v>
      </c>
      <c r="I1100" s="171">
        <v>10</v>
      </c>
      <c r="J1100" s="171">
        <v>1</v>
      </c>
      <c r="K1100" s="171">
        <v>55</v>
      </c>
      <c r="L1100" s="171">
        <v>51</v>
      </c>
      <c r="M1100" s="171">
        <v>13</v>
      </c>
      <c r="N1100" s="171">
        <v>3</v>
      </c>
      <c r="O1100" s="171">
        <v>5</v>
      </c>
      <c r="P1100" s="173">
        <v>1</v>
      </c>
    </row>
    <row r="1101" spans="1:16">
      <c r="A1101" s="172" t="s">
        <v>449</v>
      </c>
      <c r="B1101" s="172" t="s">
        <v>467</v>
      </c>
      <c r="C1101" s="172">
        <v>105</v>
      </c>
      <c r="D1101" s="172">
        <v>25</v>
      </c>
      <c r="E1101" s="172">
        <v>1</v>
      </c>
      <c r="F1101" s="172">
        <v>14</v>
      </c>
      <c r="G1101" s="172">
        <v>20</v>
      </c>
      <c r="H1101" s="172">
        <v>33</v>
      </c>
      <c r="I1101" s="172">
        <v>33</v>
      </c>
      <c r="J1101" s="172">
        <v>0</v>
      </c>
      <c r="K1101" s="172">
        <v>101</v>
      </c>
      <c r="L1101" s="172">
        <v>13</v>
      </c>
      <c r="M1101" s="172">
        <v>1</v>
      </c>
      <c r="N1101" s="172">
        <v>8</v>
      </c>
      <c r="O1101" s="172">
        <v>82</v>
      </c>
      <c r="P1101" s="174">
        <v>4</v>
      </c>
    </row>
    <row r="1102" spans="1:16" hidden="1">
      <c r="A1102" s="169" t="s">
        <v>450</v>
      </c>
      <c r="B1102" s="171" t="s">
        <v>467</v>
      </c>
      <c r="C1102" s="171">
        <v>50</v>
      </c>
      <c r="D1102" s="171">
        <v>50</v>
      </c>
      <c r="E1102" s="171">
        <v>5</v>
      </c>
      <c r="F1102" s="171">
        <v>12</v>
      </c>
      <c r="G1102" s="171">
        <v>9</v>
      </c>
      <c r="H1102" s="171">
        <v>10</v>
      </c>
      <c r="I1102" s="171">
        <v>7</v>
      </c>
      <c r="J1102" s="171">
        <v>1</v>
      </c>
      <c r="K1102" s="171">
        <v>44</v>
      </c>
      <c r="L1102" s="171">
        <v>1</v>
      </c>
      <c r="M1102" s="171">
        <v>0</v>
      </c>
      <c r="N1102" s="171">
        <v>0</v>
      </c>
      <c r="O1102" s="171">
        <v>43</v>
      </c>
      <c r="P1102" s="173">
        <v>0</v>
      </c>
    </row>
    <row r="1103" spans="1:16">
      <c r="A1103" s="170" t="s">
        <v>449</v>
      </c>
      <c r="B1103" s="172" t="s">
        <v>467</v>
      </c>
      <c r="C1103" s="172">
        <v>116</v>
      </c>
      <c r="D1103" s="172">
        <v>21</v>
      </c>
      <c r="E1103" s="172">
        <v>3</v>
      </c>
      <c r="F1103" s="172">
        <v>9</v>
      </c>
      <c r="G1103" s="172">
        <v>20</v>
      </c>
      <c r="H1103" s="172">
        <v>28</v>
      </c>
      <c r="I1103" s="172">
        <v>31</v>
      </c>
      <c r="J1103" s="172">
        <v>4</v>
      </c>
      <c r="K1103" s="172">
        <v>95</v>
      </c>
      <c r="L1103" s="172">
        <v>13</v>
      </c>
      <c r="M1103" s="172">
        <v>20</v>
      </c>
      <c r="N1103" s="172">
        <v>67</v>
      </c>
      <c r="O1103" s="172">
        <v>18</v>
      </c>
      <c r="P1103" s="174">
        <v>8</v>
      </c>
    </row>
    <row r="1104" spans="1:16" hidden="1">
      <c r="A1104" s="169" t="s">
        <v>450</v>
      </c>
      <c r="B1104" s="171" t="s">
        <v>467</v>
      </c>
      <c r="C1104" s="171">
        <v>80</v>
      </c>
      <c r="D1104" s="171">
        <v>80</v>
      </c>
      <c r="E1104" s="171">
        <v>6</v>
      </c>
      <c r="F1104" s="171">
        <v>6</v>
      </c>
      <c r="G1104" s="171">
        <v>6</v>
      </c>
      <c r="H1104" s="171">
        <v>4</v>
      </c>
      <c r="I1104" s="171">
        <v>9</v>
      </c>
      <c r="J1104" s="171">
        <v>0</v>
      </c>
      <c r="K1104" s="171">
        <v>31</v>
      </c>
      <c r="L1104" s="171">
        <v>0</v>
      </c>
      <c r="M1104" s="171">
        <v>1</v>
      </c>
      <c r="N1104" s="171">
        <v>31</v>
      </c>
      <c r="O1104" s="171">
        <v>0</v>
      </c>
      <c r="P1104" s="173">
        <v>0</v>
      </c>
    </row>
    <row r="1105" spans="1:16">
      <c r="A1105" s="170" t="s">
        <v>449</v>
      </c>
      <c r="B1105" s="172" t="s">
        <v>467</v>
      </c>
      <c r="C1105" s="172">
        <v>46</v>
      </c>
      <c r="D1105" s="172">
        <v>12</v>
      </c>
      <c r="E1105" s="172">
        <v>1</v>
      </c>
      <c r="F1105" s="172">
        <v>3</v>
      </c>
      <c r="G1105" s="172">
        <v>4</v>
      </c>
      <c r="H1105" s="172">
        <v>5</v>
      </c>
      <c r="I1105" s="172">
        <v>6</v>
      </c>
      <c r="J1105" s="172">
        <v>0</v>
      </c>
      <c r="K1105" s="172">
        <v>19</v>
      </c>
      <c r="L1105" s="172">
        <v>3</v>
      </c>
      <c r="M1105" s="172">
        <v>2</v>
      </c>
      <c r="N1105" s="172">
        <v>10</v>
      </c>
      <c r="O1105" s="172">
        <v>10</v>
      </c>
      <c r="P1105" s="174">
        <v>0</v>
      </c>
    </row>
    <row r="1106" spans="1:16" hidden="1">
      <c r="A1106" s="169" t="s">
        <v>450</v>
      </c>
      <c r="B1106" s="171" t="s">
        <v>467</v>
      </c>
      <c r="C1106" s="171">
        <v>50</v>
      </c>
      <c r="D1106" s="171">
        <v>50</v>
      </c>
      <c r="E1106" s="171">
        <v>0</v>
      </c>
      <c r="F1106" s="171">
        <v>2</v>
      </c>
      <c r="G1106" s="171">
        <v>7</v>
      </c>
      <c r="H1106" s="171">
        <v>12</v>
      </c>
      <c r="I1106" s="171">
        <v>17</v>
      </c>
      <c r="J1106" s="171">
        <v>3</v>
      </c>
      <c r="K1106" s="171">
        <v>41</v>
      </c>
      <c r="L1106" s="171">
        <v>8</v>
      </c>
      <c r="M1106" s="171">
        <v>7</v>
      </c>
      <c r="N1106" s="171">
        <v>13</v>
      </c>
      <c r="O1106" s="171">
        <v>20</v>
      </c>
      <c r="P1106" s="173">
        <v>2</v>
      </c>
    </row>
    <row r="1107" spans="1:16">
      <c r="A1107" s="170" t="s">
        <v>449</v>
      </c>
      <c r="B1107" s="172" t="s">
        <v>467</v>
      </c>
      <c r="C1107" s="172">
        <v>50</v>
      </c>
      <c r="D1107" s="172">
        <v>8</v>
      </c>
      <c r="E1107" s="172">
        <v>3</v>
      </c>
      <c r="F1107" s="172">
        <v>7</v>
      </c>
      <c r="G1107" s="172">
        <v>13</v>
      </c>
      <c r="H1107" s="172">
        <v>13</v>
      </c>
      <c r="I1107" s="172">
        <v>13</v>
      </c>
      <c r="J1107" s="172">
        <v>3</v>
      </c>
      <c r="K1107" s="172">
        <v>52</v>
      </c>
      <c r="L1107" s="172">
        <v>12</v>
      </c>
      <c r="M1107" s="172">
        <v>4</v>
      </c>
      <c r="N1107" s="172">
        <v>13</v>
      </c>
      <c r="O1107" s="172">
        <v>27</v>
      </c>
      <c r="P1107" s="174">
        <v>5</v>
      </c>
    </row>
    <row r="1108" spans="1:16">
      <c r="A1108" s="169" t="s">
        <v>449</v>
      </c>
      <c r="B1108" s="171" t="s">
        <v>467</v>
      </c>
      <c r="C1108" s="171">
        <v>51</v>
      </c>
      <c r="D1108" s="171">
        <v>11</v>
      </c>
      <c r="E1108" s="171">
        <v>4</v>
      </c>
      <c r="F1108" s="171">
        <v>9</v>
      </c>
      <c r="G1108" s="171">
        <v>14</v>
      </c>
      <c r="H1108" s="171">
        <v>15</v>
      </c>
      <c r="I1108" s="171">
        <v>16</v>
      </c>
      <c r="J1108" s="171">
        <v>0</v>
      </c>
      <c r="K1108" s="171">
        <v>58</v>
      </c>
      <c r="L1108" s="171">
        <v>47</v>
      </c>
      <c r="M1108" s="171">
        <v>8</v>
      </c>
      <c r="N1108" s="171">
        <v>1</v>
      </c>
      <c r="O1108" s="171">
        <v>9</v>
      </c>
      <c r="P1108" s="173">
        <v>3</v>
      </c>
    </row>
    <row r="1109" spans="1:16">
      <c r="A1109" s="170" t="s">
        <v>449</v>
      </c>
      <c r="B1109" s="172" t="s">
        <v>467</v>
      </c>
      <c r="C1109" s="172">
        <v>100</v>
      </c>
      <c r="D1109" s="172">
        <v>30</v>
      </c>
      <c r="E1109" s="172">
        <v>5</v>
      </c>
      <c r="F1109" s="172">
        <v>30</v>
      </c>
      <c r="G1109" s="172">
        <v>19</v>
      </c>
      <c r="H1109" s="172">
        <v>12</v>
      </c>
      <c r="I1109" s="172">
        <v>21</v>
      </c>
      <c r="J1109" s="172">
        <v>0</v>
      </c>
      <c r="K1109" s="172">
        <v>87</v>
      </c>
      <c r="L1109" s="172">
        <v>57</v>
      </c>
      <c r="M1109" s="172">
        <v>7</v>
      </c>
      <c r="N1109" s="172">
        <v>9</v>
      </c>
      <c r="O1109" s="172">
        <v>33</v>
      </c>
      <c r="P1109" s="174">
        <v>9</v>
      </c>
    </row>
    <row r="1110" spans="1:16">
      <c r="A1110" s="169" t="s">
        <v>449</v>
      </c>
      <c r="B1110" s="171" t="s">
        <v>467</v>
      </c>
      <c r="C1110" s="171">
        <v>50</v>
      </c>
      <c r="D1110" s="171">
        <v>19</v>
      </c>
      <c r="E1110" s="171">
        <v>3</v>
      </c>
      <c r="F1110" s="171">
        <v>6</v>
      </c>
      <c r="G1110" s="171">
        <v>9</v>
      </c>
      <c r="H1110" s="171">
        <v>10</v>
      </c>
      <c r="I1110" s="171">
        <v>4</v>
      </c>
      <c r="J1110" s="171">
        <v>0</v>
      </c>
      <c r="K1110" s="171">
        <v>32</v>
      </c>
      <c r="L1110" s="171">
        <v>12</v>
      </c>
      <c r="M1110" s="171">
        <v>1</v>
      </c>
      <c r="N1110" s="171">
        <v>3</v>
      </c>
      <c r="O1110" s="171">
        <v>22</v>
      </c>
      <c r="P1110" s="173">
        <v>3</v>
      </c>
    </row>
    <row r="1111" spans="1:16" hidden="1">
      <c r="A1111" s="170" t="s">
        <v>452</v>
      </c>
      <c r="B1111" s="172" t="s">
        <v>467</v>
      </c>
      <c r="C1111" s="172">
        <v>40</v>
      </c>
      <c r="D1111" s="172">
        <v>0</v>
      </c>
      <c r="E1111" s="172">
        <v>0</v>
      </c>
      <c r="F1111" s="172">
        <v>0</v>
      </c>
      <c r="G1111" s="172">
        <v>0</v>
      </c>
      <c r="H1111" s="172">
        <v>18</v>
      </c>
      <c r="I1111" s="172">
        <v>28</v>
      </c>
      <c r="J1111" s="172">
        <v>0</v>
      </c>
      <c r="K1111" s="172">
        <v>46</v>
      </c>
      <c r="L1111" s="172">
        <v>32</v>
      </c>
      <c r="M1111" s="172">
        <v>3</v>
      </c>
      <c r="N1111" s="172">
        <v>2</v>
      </c>
      <c r="O1111" s="172">
        <v>10</v>
      </c>
      <c r="P1111" s="174">
        <v>8</v>
      </c>
    </row>
    <row r="1112" spans="1:16">
      <c r="A1112" s="169" t="s">
        <v>449</v>
      </c>
      <c r="B1112" s="171" t="s">
        <v>467</v>
      </c>
      <c r="C1112" s="171">
        <v>78</v>
      </c>
      <c r="D1112" s="171">
        <v>18</v>
      </c>
      <c r="E1112" s="171">
        <v>4</v>
      </c>
      <c r="F1112" s="171">
        <v>13</v>
      </c>
      <c r="G1112" s="171">
        <v>19</v>
      </c>
      <c r="H1112" s="171">
        <v>27</v>
      </c>
      <c r="I1112" s="171">
        <v>12</v>
      </c>
      <c r="J1112" s="171">
        <v>0</v>
      </c>
      <c r="K1112" s="171">
        <v>75</v>
      </c>
      <c r="L1112" s="171">
        <v>24</v>
      </c>
      <c r="M1112" s="171">
        <v>6</v>
      </c>
      <c r="N1112" s="171">
        <v>7</v>
      </c>
      <c r="O1112" s="171">
        <v>51</v>
      </c>
      <c r="P1112" s="173">
        <v>5</v>
      </c>
    </row>
    <row r="1113" spans="1:16">
      <c r="A1113" s="170" t="s">
        <v>449</v>
      </c>
      <c r="B1113" s="172" t="s">
        <v>467</v>
      </c>
      <c r="C1113" s="172">
        <v>78</v>
      </c>
      <c r="D1113" s="172">
        <v>20</v>
      </c>
      <c r="E1113" s="172">
        <v>0</v>
      </c>
      <c r="F1113" s="172">
        <v>11</v>
      </c>
      <c r="G1113" s="172">
        <v>17</v>
      </c>
      <c r="H1113" s="172">
        <v>15</v>
      </c>
      <c r="I1113" s="172">
        <v>18</v>
      </c>
      <c r="J1113" s="172">
        <v>3</v>
      </c>
      <c r="K1113" s="172">
        <v>64</v>
      </c>
      <c r="L1113" s="172">
        <v>61</v>
      </c>
      <c r="M1113" s="172">
        <v>12</v>
      </c>
      <c r="N1113" s="172">
        <v>2</v>
      </c>
      <c r="O1113" s="172">
        <v>3</v>
      </c>
      <c r="P1113" s="174">
        <v>6</v>
      </c>
    </row>
    <row r="1114" spans="1:16" hidden="1">
      <c r="A1114" s="169" t="s">
        <v>450</v>
      </c>
      <c r="B1114" s="171" t="s">
        <v>467</v>
      </c>
      <c r="C1114" s="171">
        <v>50</v>
      </c>
      <c r="D1114" s="171">
        <v>50</v>
      </c>
      <c r="E1114" s="171">
        <v>2</v>
      </c>
      <c r="F1114" s="171">
        <v>10</v>
      </c>
      <c r="G1114" s="171">
        <v>7</v>
      </c>
      <c r="H1114" s="171">
        <v>11</v>
      </c>
      <c r="I1114" s="171">
        <v>9</v>
      </c>
      <c r="J1114" s="171">
        <v>0</v>
      </c>
      <c r="K1114" s="171">
        <v>39</v>
      </c>
      <c r="L1114" s="171">
        <v>1</v>
      </c>
      <c r="M1114" s="171">
        <v>0</v>
      </c>
      <c r="N1114" s="171">
        <v>0</v>
      </c>
      <c r="O1114" s="171">
        <v>39</v>
      </c>
      <c r="P1114" s="173">
        <v>0</v>
      </c>
    </row>
    <row r="1115" spans="1:16">
      <c r="A1115" s="170" t="s">
        <v>449</v>
      </c>
      <c r="B1115" s="172" t="s">
        <v>467</v>
      </c>
      <c r="C1115" s="172">
        <v>120</v>
      </c>
      <c r="D1115" s="172">
        <v>20</v>
      </c>
      <c r="E1115" s="172">
        <v>0</v>
      </c>
      <c r="F1115" s="172">
        <v>9</v>
      </c>
      <c r="G1115" s="172">
        <v>34</v>
      </c>
      <c r="H1115" s="172">
        <v>38</v>
      </c>
      <c r="I1115" s="172">
        <v>40</v>
      </c>
      <c r="J1115" s="172">
        <v>3</v>
      </c>
      <c r="K1115" s="172">
        <v>124</v>
      </c>
      <c r="L1115" s="172">
        <v>3</v>
      </c>
      <c r="M1115" s="172">
        <v>42</v>
      </c>
      <c r="N1115" s="172">
        <v>92</v>
      </c>
      <c r="O1115" s="172">
        <v>13</v>
      </c>
      <c r="P1115" s="174">
        <v>0</v>
      </c>
    </row>
    <row r="1116" spans="1:16">
      <c r="A1116" s="169" t="s">
        <v>449</v>
      </c>
      <c r="B1116" s="171" t="s">
        <v>467</v>
      </c>
      <c r="C1116" s="171">
        <v>30</v>
      </c>
      <c r="D1116" s="171">
        <v>10</v>
      </c>
      <c r="E1116" s="171">
        <v>2</v>
      </c>
      <c r="F1116" s="171">
        <v>7</v>
      </c>
      <c r="G1116" s="171">
        <v>8</v>
      </c>
      <c r="H1116" s="171">
        <v>8</v>
      </c>
      <c r="I1116" s="171">
        <v>4</v>
      </c>
      <c r="J1116" s="171">
        <v>0</v>
      </c>
      <c r="K1116" s="171">
        <v>29</v>
      </c>
      <c r="L1116" s="171">
        <v>21</v>
      </c>
      <c r="M1116" s="171">
        <v>2</v>
      </c>
      <c r="N1116" s="171">
        <v>1</v>
      </c>
      <c r="O1116" s="171">
        <v>11</v>
      </c>
      <c r="P1116" s="173">
        <v>3</v>
      </c>
    </row>
    <row r="1117" spans="1:16">
      <c r="A1117" s="170" t="s">
        <v>449</v>
      </c>
      <c r="B1117" s="172" t="s">
        <v>467</v>
      </c>
      <c r="C1117" s="172">
        <v>125</v>
      </c>
      <c r="D1117" s="172">
        <v>40</v>
      </c>
      <c r="E1117" s="172">
        <v>9</v>
      </c>
      <c r="F1117" s="172">
        <v>23</v>
      </c>
      <c r="G1117" s="172">
        <v>26</v>
      </c>
      <c r="H1117" s="172">
        <v>33</v>
      </c>
      <c r="I1117" s="172">
        <v>19</v>
      </c>
      <c r="J1117" s="172">
        <v>0</v>
      </c>
      <c r="K1117" s="172">
        <v>110</v>
      </c>
      <c r="L1117" s="172">
        <v>84</v>
      </c>
      <c r="M1117" s="172">
        <v>16</v>
      </c>
      <c r="N1117" s="172">
        <v>15</v>
      </c>
      <c r="O1117" s="172">
        <v>24</v>
      </c>
      <c r="P1117" s="174">
        <v>6</v>
      </c>
    </row>
    <row r="1118" spans="1:16">
      <c r="A1118" s="169" t="s">
        <v>449</v>
      </c>
      <c r="B1118" s="171" t="s">
        <v>467</v>
      </c>
      <c r="C1118" s="171">
        <v>98</v>
      </c>
      <c r="D1118" s="171">
        <v>18</v>
      </c>
      <c r="E1118" s="171">
        <v>6</v>
      </c>
      <c r="F1118" s="171">
        <v>16</v>
      </c>
      <c r="G1118" s="171">
        <v>23</v>
      </c>
      <c r="H1118" s="171">
        <v>24</v>
      </c>
      <c r="I1118" s="171">
        <v>30</v>
      </c>
      <c r="J1118" s="171">
        <v>0</v>
      </c>
      <c r="K1118" s="171">
        <v>99</v>
      </c>
      <c r="L1118" s="171">
        <v>94</v>
      </c>
      <c r="M1118" s="171">
        <v>12</v>
      </c>
      <c r="N1118" s="171">
        <v>1</v>
      </c>
      <c r="O1118" s="171">
        <v>7</v>
      </c>
      <c r="P1118" s="173">
        <v>1</v>
      </c>
    </row>
    <row r="1119" spans="1:16">
      <c r="A1119" s="170" t="s">
        <v>449</v>
      </c>
      <c r="B1119" s="172" t="s">
        <v>467</v>
      </c>
      <c r="C1119" s="172">
        <v>125</v>
      </c>
      <c r="D1119" s="172">
        <v>25</v>
      </c>
      <c r="E1119" s="172">
        <v>3</v>
      </c>
      <c r="F1119" s="172">
        <v>12</v>
      </c>
      <c r="G1119" s="172">
        <v>18</v>
      </c>
      <c r="H1119" s="172">
        <v>22</v>
      </c>
      <c r="I1119" s="172">
        <v>23</v>
      </c>
      <c r="J1119" s="172">
        <v>2</v>
      </c>
      <c r="K1119" s="172">
        <v>80</v>
      </c>
      <c r="L1119" s="172">
        <v>47</v>
      </c>
      <c r="M1119" s="172">
        <v>8</v>
      </c>
      <c r="N1119" s="172">
        <v>2</v>
      </c>
      <c r="O1119" s="172">
        <v>36</v>
      </c>
      <c r="P1119" s="174">
        <v>2</v>
      </c>
    </row>
    <row r="1120" spans="1:16" hidden="1">
      <c r="A1120" s="169" t="s">
        <v>450</v>
      </c>
      <c r="B1120" s="171" t="s">
        <v>467</v>
      </c>
      <c r="C1120" s="171">
        <v>50</v>
      </c>
      <c r="D1120" s="171">
        <v>50</v>
      </c>
      <c r="E1120" s="171">
        <v>9</v>
      </c>
      <c r="F1120" s="171">
        <v>13</v>
      </c>
      <c r="G1120" s="171">
        <v>15</v>
      </c>
      <c r="H1120" s="171">
        <v>18</v>
      </c>
      <c r="I1120" s="171">
        <v>10</v>
      </c>
      <c r="J1120" s="171">
        <v>6</v>
      </c>
      <c r="K1120" s="171">
        <v>71</v>
      </c>
      <c r="L1120" s="171">
        <v>0</v>
      </c>
      <c r="M1120" s="171">
        <v>0</v>
      </c>
      <c r="N1120" s="171">
        <v>39</v>
      </c>
      <c r="O1120" s="171">
        <v>32</v>
      </c>
      <c r="P1120" s="173">
        <v>1</v>
      </c>
    </row>
    <row r="1121" spans="1:16">
      <c r="A1121" s="170" t="s">
        <v>449</v>
      </c>
      <c r="B1121" s="172" t="s">
        <v>467</v>
      </c>
      <c r="C1121" s="172">
        <v>60</v>
      </c>
      <c r="D1121" s="172">
        <v>15</v>
      </c>
      <c r="E1121" s="172">
        <v>4</v>
      </c>
      <c r="F1121" s="172">
        <v>12</v>
      </c>
      <c r="G1121" s="172">
        <v>9</v>
      </c>
      <c r="H1121" s="172">
        <v>13</v>
      </c>
      <c r="I1121" s="172">
        <v>13</v>
      </c>
      <c r="J1121" s="172">
        <v>0</v>
      </c>
      <c r="K1121" s="172">
        <v>51</v>
      </c>
      <c r="L1121" s="172">
        <v>11</v>
      </c>
      <c r="M1121" s="172">
        <v>5</v>
      </c>
      <c r="N1121" s="172">
        <v>11</v>
      </c>
      <c r="O1121" s="172">
        <v>33</v>
      </c>
      <c r="P1121" s="174">
        <v>3</v>
      </c>
    </row>
    <row r="1122" spans="1:16">
      <c r="A1122" s="169" t="s">
        <v>449</v>
      </c>
      <c r="B1122" s="171" t="s">
        <v>467</v>
      </c>
      <c r="C1122" s="171">
        <v>53</v>
      </c>
      <c r="D1122" s="171">
        <v>14</v>
      </c>
      <c r="E1122" s="171">
        <v>0</v>
      </c>
      <c r="F1122" s="171">
        <v>10</v>
      </c>
      <c r="G1122" s="171">
        <v>15</v>
      </c>
      <c r="H1122" s="171">
        <v>22</v>
      </c>
      <c r="I1122" s="171">
        <v>12</v>
      </c>
      <c r="J1122" s="171">
        <v>1</v>
      </c>
      <c r="K1122" s="171">
        <v>60</v>
      </c>
      <c r="L1122" s="171">
        <v>8</v>
      </c>
      <c r="M1122" s="171">
        <v>0</v>
      </c>
      <c r="N1122" s="171">
        <v>5</v>
      </c>
      <c r="O1122" s="171">
        <v>39</v>
      </c>
      <c r="P1122" s="173">
        <v>13</v>
      </c>
    </row>
    <row r="1123" spans="1:16">
      <c r="A1123" s="170" t="s">
        <v>449</v>
      </c>
      <c r="B1123" s="172" t="s">
        <v>467</v>
      </c>
      <c r="C1123" s="172">
        <v>36</v>
      </c>
      <c r="D1123" s="172">
        <v>0</v>
      </c>
      <c r="E1123" s="172">
        <v>0</v>
      </c>
      <c r="F1123" s="172">
        <v>0</v>
      </c>
      <c r="G1123" s="172">
        <v>4</v>
      </c>
      <c r="H1123" s="172">
        <v>11</v>
      </c>
      <c r="I1123" s="172">
        <v>16</v>
      </c>
      <c r="J1123" s="172">
        <v>0</v>
      </c>
      <c r="K1123" s="172">
        <v>31</v>
      </c>
      <c r="L1123" s="172">
        <v>4</v>
      </c>
      <c r="M1123" s="172">
        <v>2</v>
      </c>
      <c r="N1123" s="172">
        <v>3</v>
      </c>
      <c r="O1123" s="172">
        <v>23</v>
      </c>
      <c r="P1123" s="174">
        <v>1</v>
      </c>
    </row>
    <row r="1124" spans="1:16">
      <c r="A1124" s="169" t="s">
        <v>449</v>
      </c>
      <c r="B1124" s="171" t="s">
        <v>467</v>
      </c>
      <c r="C1124" s="171">
        <v>68</v>
      </c>
      <c r="D1124" s="171">
        <v>20</v>
      </c>
      <c r="E1124" s="171">
        <v>2</v>
      </c>
      <c r="F1124" s="171">
        <v>12</v>
      </c>
      <c r="G1124" s="171">
        <v>13</v>
      </c>
      <c r="H1124" s="171">
        <v>17</v>
      </c>
      <c r="I1124" s="171">
        <v>18</v>
      </c>
      <c r="J1124" s="171">
        <v>2</v>
      </c>
      <c r="K1124" s="171">
        <v>64</v>
      </c>
      <c r="L1124" s="171">
        <v>55</v>
      </c>
      <c r="M1124" s="171">
        <v>2</v>
      </c>
      <c r="N1124" s="171">
        <v>3</v>
      </c>
      <c r="O1124" s="171">
        <v>15</v>
      </c>
      <c r="P1124" s="173">
        <v>0</v>
      </c>
    </row>
    <row r="1125" spans="1:16" hidden="1">
      <c r="A1125" s="170" t="s">
        <v>469</v>
      </c>
      <c r="B1125" s="172" t="s">
        <v>467</v>
      </c>
      <c r="C1125" s="172">
        <v>50</v>
      </c>
      <c r="D1125" s="172">
        <v>15</v>
      </c>
      <c r="E1125" s="172">
        <v>1</v>
      </c>
      <c r="F1125" s="172">
        <v>11</v>
      </c>
      <c r="G1125" s="172">
        <v>7</v>
      </c>
      <c r="H1125" s="172">
        <v>12</v>
      </c>
      <c r="I1125" s="172">
        <v>6</v>
      </c>
      <c r="J1125" s="172">
        <v>1</v>
      </c>
      <c r="K1125" s="172">
        <v>38</v>
      </c>
      <c r="L1125" s="172">
        <v>2</v>
      </c>
      <c r="M1125" s="172">
        <v>1</v>
      </c>
      <c r="N1125" s="172">
        <v>37</v>
      </c>
      <c r="O1125" s="172">
        <v>2</v>
      </c>
      <c r="P1125" s="174">
        <v>0</v>
      </c>
    </row>
    <row r="1126" spans="1:16">
      <c r="A1126" s="171" t="s">
        <v>449</v>
      </c>
      <c r="B1126" s="171" t="s">
        <v>467</v>
      </c>
      <c r="C1126" s="171">
        <v>125</v>
      </c>
      <c r="D1126" s="171">
        <v>40</v>
      </c>
      <c r="E1126" s="171">
        <v>6</v>
      </c>
      <c r="F1126" s="171">
        <v>19</v>
      </c>
      <c r="G1126" s="171">
        <v>34</v>
      </c>
      <c r="H1126" s="171">
        <v>24</v>
      </c>
      <c r="I1126" s="171">
        <v>31</v>
      </c>
      <c r="J1126" s="171">
        <v>0</v>
      </c>
      <c r="K1126" s="171">
        <v>114</v>
      </c>
      <c r="L1126" s="171">
        <v>75</v>
      </c>
      <c r="M1126" s="171">
        <v>8</v>
      </c>
      <c r="N1126" s="171">
        <v>2</v>
      </c>
      <c r="O1126" s="171">
        <v>39</v>
      </c>
      <c r="P1126" s="173">
        <v>4</v>
      </c>
    </row>
    <row r="1127" spans="1:16">
      <c r="A1127" s="170" t="s">
        <v>449</v>
      </c>
      <c r="B1127" s="172" t="s">
        <v>467</v>
      </c>
      <c r="C1127" s="172">
        <v>53</v>
      </c>
      <c r="D1127" s="172">
        <v>12</v>
      </c>
      <c r="E1127" s="172">
        <v>2</v>
      </c>
      <c r="F1127" s="172">
        <v>13</v>
      </c>
      <c r="G1127" s="172">
        <v>20</v>
      </c>
      <c r="H1127" s="172">
        <v>14</v>
      </c>
      <c r="I1127" s="172">
        <v>11</v>
      </c>
      <c r="J1127" s="172">
        <v>0</v>
      </c>
      <c r="K1127" s="172">
        <v>60</v>
      </c>
      <c r="L1127" s="172">
        <v>45</v>
      </c>
      <c r="M1127" s="172">
        <v>12</v>
      </c>
      <c r="N1127" s="172">
        <v>1</v>
      </c>
      <c r="O1127" s="172">
        <v>15</v>
      </c>
      <c r="P1127" s="174">
        <v>3</v>
      </c>
    </row>
    <row r="1128" spans="1:16" hidden="1">
      <c r="A1128" s="169" t="s">
        <v>450</v>
      </c>
      <c r="B1128" s="171" t="s">
        <v>467</v>
      </c>
      <c r="C1128" s="171">
        <v>50</v>
      </c>
      <c r="D1128" s="171">
        <v>50</v>
      </c>
      <c r="E1128" s="171">
        <v>10</v>
      </c>
      <c r="F1128" s="171">
        <v>13</v>
      </c>
      <c r="G1128" s="171">
        <v>11</v>
      </c>
      <c r="H1128" s="171">
        <v>5</v>
      </c>
      <c r="I1128" s="171">
        <v>10</v>
      </c>
      <c r="J1128" s="171">
        <v>1</v>
      </c>
      <c r="K1128" s="171">
        <v>50</v>
      </c>
      <c r="L1128" s="171">
        <v>0</v>
      </c>
      <c r="M1128" s="171">
        <v>0</v>
      </c>
      <c r="N1128" s="171">
        <v>10</v>
      </c>
      <c r="O1128" s="171">
        <v>40</v>
      </c>
      <c r="P1128" s="173">
        <v>0</v>
      </c>
    </row>
    <row r="1129" spans="1:16">
      <c r="A1129" s="170" t="s">
        <v>449</v>
      </c>
      <c r="B1129" s="172" t="s">
        <v>467</v>
      </c>
      <c r="C1129" s="172">
        <v>120</v>
      </c>
      <c r="D1129" s="172">
        <v>39</v>
      </c>
      <c r="E1129" s="172">
        <v>5</v>
      </c>
      <c r="F1129" s="172">
        <v>27</v>
      </c>
      <c r="G1129" s="172">
        <v>30</v>
      </c>
      <c r="H1129" s="172">
        <v>27</v>
      </c>
      <c r="I1129" s="172">
        <v>23</v>
      </c>
      <c r="J1129" s="172">
        <v>0</v>
      </c>
      <c r="K1129" s="172">
        <v>112</v>
      </c>
      <c r="L1129" s="172">
        <v>48</v>
      </c>
      <c r="M1129" s="172">
        <v>8</v>
      </c>
      <c r="N1129" s="172">
        <v>11</v>
      </c>
      <c r="O1129" s="172">
        <v>56</v>
      </c>
      <c r="P1129" s="174">
        <v>14</v>
      </c>
    </row>
    <row r="1130" spans="1:16">
      <c r="A1130" s="169" t="s">
        <v>449</v>
      </c>
      <c r="B1130" s="171" t="s">
        <v>467</v>
      </c>
      <c r="C1130" s="171">
        <v>85</v>
      </c>
      <c r="D1130" s="171">
        <v>20</v>
      </c>
      <c r="E1130" s="171">
        <v>4</v>
      </c>
      <c r="F1130" s="171">
        <v>10</v>
      </c>
      <c r="G1130" s="171">
        <v>22</v>
      </c>
      <c r="H1130" s="171">
        <v>24</v>
      </c>
      <c r="I1130" s="171">
        <v>25</v>
      </c>
      <c r="J1130" s="171">
        <v>4</v>
      </c>
      <c r="K1130" s="171">
        <v>89</v>
      </c>
      <c r="L1130" s="171">
        <v>19</v>
      </c>
      <c r="M1130" s="171">
        <v>19</v>
      </c>
      <c r="N1130" s="171">
        <v>18</v>
      </c>
      <c r="O1130" s="171">
        <v>50</v>
      </c>
      <c r="P1130" s="173">
        <v>8</v>
      </c>
    </row>
    <row r="1131" spans="1:16">
      <c r="A1131" s="172" t="s">
        <v>449</v>
      </c>
      <c r="B1131" s="172" t="s">
        <v>467</v>
      </c>
      <c r="C1131" s="172">
        <v>70</v>
      </c>
      <c r="D1131" s="172">
        <v>10</v>
      </c>
      <c r="E1131" s="172">
        <v>0</v>
      </c>
      <c r="F1131" s="172">
        <v>9</v>
      </c>
      <c r="G1131" s="172">
        <v>13</v>
      </c>
      <c r="H1131" s="172">
        <v>28</v>
      </c>
      <c r="I1131" s="172">
        <v>16</v>
      </c>
      <c r="J1131" s="172">
        <v>1</v>
      </c>
      <c r="K1131" s="172">
        <v>67</v>
      </c>
      <c r="L1131" s="172">
        <v>5</v>
      </c>
      <c r="M1131" s="172">
        <v>9</v>
      </c>
      <c r="N1131" s="172">
        <v>10</v>
      </c>
      <c r="O1131" s="172">
        <v>52</v>
      </c>
      <c r="P1131" s="174">
        <v>0</v>
      </c>
    </row>
    <row r="1132" spans="1:16">
      <c r="A1132" s="171" t="s">
        <v>449</v>
      </c>
      <c r="B1132" s="171" t="s">
        <v>467</v>
      </c>
      <c r="C1132" s="171">
        <v>90</v>
      </c>
      <c r="D1132" s="171">
        <v>30</v>
      </c>
      <c r="E1132" s="171">
        <v>6</v>
      </c>
      <c r="F1132" s="171">
        <v>23</v>
      </c>
      <c r="G1132" s="171">
        <v>27</v>
      </c>
      <c r="H1132" s="171">
        <v>24</v>
      </c>
      <c r="I1132" s="171">
        <v>19</v>
      </c>
      <c r="J1132" s="171">
        <v>0</v>
      </c>
      <c r="K1132" s="171">
        <v>99</v>
      </c>
      <c r="L1132" s="171">
        <v>46</v>
      </c>
      <c r="M1132" s="171">
        <v>6</v>
      </c>
      <c r="N1132" s="171">
        <v>4</v>
      </c>
      <c r="O1132" s="171">
        <v>49</v>
      </c>
      <c r="P1132" s="173">
        <v>13</v>
      </c>
    </row>
    <row r="1133" spans="1:16">
      <c r="A1133" s="172" t="s">
        <v>449</v>
      </c>
      <c r="B1133" s="172" t="s">
        <v>467</v>
      </c>
      <c r="C1133" s="172">
        <v>73</v>
      </c>
      <c r="D1133" s="172">
        <v>22</v>
      </c>
      <c r="E1133" s="172">
        <v>3</v>
      </c>
      <c r="F1133" s="172">
        <v>13</v>
      </c>
      <c r="G1133" s="172">
        <v>23</v>
      </c>
      <c r="H1133" s="172">
        <v>18</v>
      </c>
      <c r="I1133" s="172">
        <v>26</v>
      </c>
      <c r="J1133" s="172">
        <v>2</v>
      </c>
      <c r="K1133" s="172">
        <v>85</v>
      </c>
      <c r="L1133" s="172">
        <v>17</v>
      </c>
      <c r="M1133" s="172">
        <v>5</v>
      </c>
      <c r="N1133" s="172">
        <v>18</v>
      </c>
      <c r="O1133" s="172">
        <v>69</v>
      </c>
      <c r="P1133" s="174">
        <v>2</v>
      </c>
    </row>
    <row r="1134" spans="1:16" hidden="1">
      <c r="A1134" s="171" t="s">
        <v>450</v>
      </c>
      <c r="B1134" s="171" t="s">
        <v>467</v>
      </c>
      <c r="C1134" s="171">
        <v>80</v>
      </c>
      <c r="D1134" s="171">
        <v>80</v>
      </c>
      <c r="E1134" s="171">
        <v>10</v>
      </c>
      <c r="F1134" s="171">
        <v>14</v>
      </c>
      <c r="G1134" s="171">
        <v>19</v>
      </c>
      <c r="H1134" s="171">
        <v>18</v>
      </c>
      <c r="I1134" s="171">
        <v>5</v>
      </c>
      <c r="J1134" s="171">
        <v>5</v>
      </c>
      <c r="K1134" s="171">
        <v>71</v>
      </c>
      <c r="L1134" s="171">
        <v>0</v>
      </c>
      <c r="M1134" s="171">
        <v>0</v>
      </c>
      <c r="N1134" s="171">
        <v>71</v>
      </c>
      <c r="O1134" s="171">
        <v>1</v>
      </c>
      <c r="P1134" s="173">
        <v>0</v>
      </c>
    </row>
    <row r="1135" spans="1:16">
      <c r="A1135" s="172" t="s">
        <v>449</v>
      </c>
      <c r="B1135" s="172" t="s">
        <v>467</v>
      </c>
      <c r="C1135" s="172">
        <v>64</v>
      </c>
      <c r="D1135" s="172">
        <v>12</v>
      </c>
      <c r="E1135" s="172">
        <v>1</v>
      </c>
      <c r="F1135" s="172">
        <v>3</v>
      </c>
      <c r="G1135" s="172">
        <v>10</v>
      </c>
      <c r="H1135" s="172">
        <v>12</v>
      </c>
      <c r="I1135" s="172">
        <v>18</v>
      </c>
      <c r="J1135" s="172">
        <v>1</v>
      </c>
      <c r="K1135" s="172">
        <v>45</v>
      </c>
      <c r="L1135" s="172">
        <v>6</v>
      </c>
      <c r="M1135" s="172">
        <v>0</v>
      </c>
      <c r="N1135" s="172">
        <v>0</v>
      </c>
      <c r="O1135" s="172">
        <v>37</v>
      </c>
      <c r="P1135" s="174">
        <v>5</v>
      </c>
    </row>
    <row r="1136" spans="1:16">
      <c r="A1136" s="171" t="s">
        <v>449</v>
      </c>
      <c r="B1136" s="171" t="s">
        <v>467</v>
      </c>
      <c r="C1136" s="171">
        <v>85</v>
      </c>
      <c r="D1136" s="171">
        <v>20</v>
      </c>
      <c r="E1136" s="171">
        <v>4</v>
      </c>
      <c r="F1136" s="171">
        <v>14</v>
      </c>
      <c r="G1136" s="171">
        <v>18</v>
      </c>
      <c r="H1136" s="171">
        <v>19</v>
      </c>
      <c r="I1136" s="171">
        <v>37</v>
      </c>
      <c r="J1136" s="171">
        <v>2</v>
      </c>
      <c r="K1136" s="171">
        <v>94</v>
      </c>
      <c r="L1136" s="171">
        <v>30</v>
      </c>
      <c r="M1136" s="171">
        <v>17</v>
      </c>
      <c r="N1136" s="171">
        <v>13</v>
      </c>
      <c r="O1136" s="171">
        <v>55</v>
      </c>
      <c r="P1136" s="173">
        <v>5</v>
      </c>
    </row>
    <row r="1137" spans="1:16">
      <c r="A1137" s="172" t="s">
        <v>449</v>
      </c>
      <c r="B1137" s="172" t="s">
        <v>467</v>
      </c>
      <c r="C1137" s="172">
        <v>75</v>
      </c>
      <c r="D1137" s="172">
        <v>25</v>
      </c>
      <c r="E1137" s="172">
        <v>3</v>
      </c>
      <c r="F1137" s="172">
        <v>13</v>
      </c>
      <c r="G1137" s="172">
        <v>27</v>
      </c>
      <c r="H1137" s="172">
        <v>34</v>
      </c>
      <c r="I1137" s="172">
        <v>1</v>
      </c>
      <c r="J1137" s="172">
        <v>0</v>
      </c>
      <c r="K1137" s="172">
        <v>78</v>
      </c>
      <c r="L1137" s="172">
        <v>46</v>
      </c>
      <c r="M1137" s="172">
        <v>2</v>
      </c>
      <c r="N1137" s="172">
        <v>2</v>
      </c>
      <c r="O1137" s="172">
        <v>38</v>
      </c>
      <c r="P1137" s="174">
        <v>5</v>
      </c>
    </row>
    <row r="1138" spans="1:16" hidden="1">
      <c r="A1138" s="171" t="s">
        <v>450</v>
      </c>
      <c r="B1138" s="171" t="s">
        <v>467</v>
      </c>
      <c r="C1138" s="171">
        <v>40</v>
      </c>
      <c r="D1138" s="171">
        <v>40</v>
      </c>
      <c r="E1138" s="171">
        <v>4</v>
      </c>
      <c r="F1138" s="171">
        <v>3</v>
      </c>
      <c r="G1138" s="171">
        <v>8</v>
      </c>
      <c r="H1138" s="171">
        <v>5</v>
      </c>
      <c r="I1138" s="171">
        <v>6</v>
      </c>
      <c r="J1138" s="171">
        <v>2</v>
      </c>
      <c r="K1138" s="171">
        <v>28</v>
      </c>
      <c r="L1138" s="171">
        <v>0</v>
      </c>
      <c r="M1138" s="171">
        <v>1</v>
      </c>
      <c r="N1138" s="171">
        <v>27</v>
      </c>
      <c r="O1138" s="171">
        <v>1</v>
      </c>
      <c r="P1138" s="173">
        <v>0</v>
      </c>
    </row>
    <row r="1139" spans="1:16">
      <c r="A1139" s="170" t="s">
        <v>449</v>
      </c>
      <c r="B1139" s="172" t="s">
        <v>467</v>
      </c>
      <c r="C1139" s="172">
        <v>51</v>
      </c>
      <c r="D1139" s="172">
        <v>15</v>
      </c>
      <c r="E1139" s="172">
        <v>3</v>
      </c>
      <c r="F1139" s="172">
        <v>3</v>
      </c>
      <c r="G1139" s="172">
        <v>8</v>
      </c>
      <c r="H1139" s="172">
        <v>8</v>
      </c>
      <c r="I1139" s="172">
        <v>12</v>
      </c>
      <c r="J1139" s="172">
        <v>1</v>
      </c>
      <c r="K1139" s="172">
        <v>35</v>
      </c>
      <c r="L1139" s="172">
        <v>2</v>
      </c>
      <c r="M1139" s="172">
        <v>3</v>
      </c>
      <c r="N1139" s="172">
        <v>5</v>
      </c>
      <c r="O1139" s="172">
        <v>29</v>
      </c>
      <c r="P1139" s="174">
        <v>0</v>
      </c>
    </row>
    <row r="1140" spans="1:16">
      <c r="A1140" s="169" t="s">
        <v>449</v>
      </c>
      <c r="B1140" s="171" t="s">
        <v>467</v>
      </c>
      <c r="C1140" s="171">
        <v>150</v>
      </c>
      <c r="D1140" s="171">
        <v>30</v>
      </c>
      <c r="E1140" s="171">
        <v>4</v>
      </c>
      <c r="F1140" s="171">
        <v>18</v>
      </c>
      <c r="G1140" s="171">
        <v>33</v>
      </c>
      <c r="H1140" s="171">
        <v>40</v>
      </c>
      <c r="I1140" s="171">
        <v>42</v>
      </c>
      <c r="J1140" s="171">
        <v>2</v>
      </c>
      <c r="K1140" s="171">
        <v>139</v>
      </c>
      <c r="L1140" s="171">
        <v>22</v>
      </c>
      <c r="M1140" s="171">
        <v>17</v>
      </c>
      <c r="N1140" s="171">
        <v>57</v>
      </c>
      <c r="O1140" s="171">
        <v>66</v>
      </c>
      <c r="P1140" s="173">
        <v>13</v>
      </c>
    </row>
    <row r="1141" spans="1:16">
      <c r="A1141" s="172" t="s">
        <v>449</v>
      </c>
      <c r="B1141" s="172" t="s">
        <v>467</v>
      </c>
      <c r="C1141" s="172">
        <v>45</v>
      </c>
      <c r="D1141" s="172">
        <v>10</v>
      </c>
      <c r="E1141" s="172">
        <v>0</v>
      </c>
      <c r="F1141" s="172">
        <v>7</v>
      </c>
      <c r="G1141" s="172">
        <v>8</v>
      </c>
      <c r="H1141" s="172">
        <v>12</v>
      </c>
      <c r="I1141" s="172">
        <v>13</v>
      </c>
      <c r="J1141" s="172">
        <v>1</v>
      </c>
      <c r="K1141" s="172">
        <v>41</v>
      </c>
      <c r="L1141" s="172">
        <v>3</v>
      </c>
      <c r="M1141" s="172">
        <v>10</v>
      </c>
      <c r="N1141" s="172">
        <v>33</v>
      </c>
      <c r="O1141" s="172">
        <v>2</v>
      </c>
      <c r="P1141" s="174">
        <v>1</v>
      </c>
    </row>
    <row r="1142" spans="1:16">
      <c r="A1142" s="169" t="s">
        <v>449</v>
      </c>
      <c r="B1142" s="171" t="s">
        <v>467</v>
      </c>
      <c r="C1142" s="171">
        <v>40</v>
      </c>
      <c r="D1142" s="171">
        <v>10</v>
      </c>
      <c r="E1142" s="171">
        <v>0</v>
      </c>
      <c r="F1142" s="171">
        <v>1</v>
      </c>
      <c r="G1142" s="171">
        <v>1</v>
      </c>
      <c r="H1142" s="171">
        <v>5</v>
      </c>
      <c r="I1142" s="171">
        <v>4</v>
      </c>
      <c r="J1142" s="171">
        <v>1</v>
      </c>
      <c r="K1142" s="171">
        <v>12</v>
      </c>
      <c r="L1142" s="171">
        <v>8</v>
      </c>
      <c r="M1142" s="171">
        <v>2</v>
      </c>
      <c r="N1142" s="171">
        <v>1</v>
      </c>
      <c r="O1142" s="171">
        <v>3</v>
      </c>
      <c r="P1142" s="173">
        <v>0</v>
      </c>
    </row>
    <row r="1143" spans="1:16">
      <c r="A1143" s="170" t="s">
        <v>449</v>
      </c>
      <c r="B1143" s="172" t="s">
        <v>467</v>
      </c>
      <c r="C1143" s="172">
        <v>130</v>
      </c>
      <c r="D1143" s="172">
        <v>38</v>
      </c>
      <c r="E1143" s="172">
        <v>6</v>
      </c>
      <c r="F1143" s="172">
        <v>23</v>
      </c>
      <c r="G1143" s="172">
        <v>28</v>
      </c>
      <c r="H1143" s="172">
        <v>26</v>
      </c>
      <c r="I1143" s="172">
        <v>25</v>
      </c>
      <c r="J1143" s="172">
        <v>5</v>
      </c>
      <c r="K1143" s="172">
        <v>113</v>
      </c>
      <c r="L1143" s="172">
        <v>35</v>
      </c>
      <c r="M1143" s="172">
        <v>26</v>
      </c>
      <c r="N1143" s="172">
        <v>71</v>
      </c>
      <c r="O1143" s="172">
        <v>35</v>
      </c>
      <c r="P1143" s="174">
        <v>13</v>
      </c>
    </row>
    <row r="1144" spans="1:16" hidden="1">
      <c r="A1144" s="169" t="s">
        <v>450</v>
      </c>
      <c r="B1144" s="171" t="s">
        <v>467</v>
      </c>
      <c r="C1144" s="171">
        <v>80</v>
      </c>
      <c r="D1144" s="171">
        <v>80</v>
      </c>
      <c r="E1144" s="171">
        <v>2</v>
      </c>
      <c r="F1144" s="171">
        <v>2</v>
      </c>
      <c r="G1144" s="171">
        <v>3</v>
      </c>
      <c r="H1144" s="171">
        <v>7</v>
      </c>
      <c r="I1144" s="171">
        <v>4</v>
      </c>
      <c r="J1144" s="171">
        <v>1</v>
      </c>
      <c r="K1144" s="171">
        <v>19</v>
      </c>
      <c r="L1144" s="171">
        <v>1</v>
      </c>
      <c r="M1144" s="171">
        <v>0</v>
      </c>
      <c r="N1144" s="171">
        <v>0</v>
      </c>
      <c r="O1144" s="171">
        <v>19</v>
      </c>
      <c r="P1144" s="173">
        <v>0</v>
      </c>
    </row>
    <row r="1145" spans="1:16">
      <c r="A1145" s="170" t="s">
        <v>449</v>
      </c>
      <c r="B1145" s="172" t="s">
        <v>467</v>
      </c>
      <c r="C1145" s="172">
        <v>70</v>
      </c>
      <c r="D1145" s="172">
        <v>20</v>
      </c>
      <c r="E1145" s="172">
        <v>3</v>
      </c>
      <c r="F1145" s="172">
        <v>11</v>
      </c>
      <c r="G1145" s="172">
        <v>16</v>
      </c>
      <c r="H1145" s="172">
        <v>18</v>
      </c>
      <c r="I1145" s="172">
        <v>21</v>
      </c>
      <c r="J1145" s="172">
        <v>1</v>
      </c>
      <c r="K1145" s="172">
        <v>70</v>
      </c>
      <c r="L1145" s="172">
        <v>12</v>
      </c>
      <c r="M1145" s="172">
        <v>2</v>
      </c>
      <c r="N1145" s="172">
        <v>0</v>
      </c>
      <c r="O1145" s="172">
        <v>58</v>
      </c>
      <c r="P1145" s="174">
        <v>3</v>
      </c>
    </row>
    <row r="1146" spans="1:16">
      <c r="A1146" s="169" t="s">
        <v>449</v>
      </c>
      <c r="B1146" s="171" t="s">
        <v>467</v>
      </c>
      <c r="C1146" s="171">
        <v>80</v>
      </c>
      <c r="D1146" s="171">
        <v>20</v>
      </c>
      <c r="E1146" s="171">
        <v>3</v>
      </c>
      <c r="F1146" s="171">
        <v>15</v>
      </c>
      <c r="G1146" s="171">
        <v>15</v>
      </c>
      <c r="H1146" s="171">
        <v>20</v>
      </c>
      <c r="I1146" s="171">
        <v>24</v>
      </c>
      <c r="J1146" s="171">
        <v>0</v>
      </c>
      <c r="K1146" s="171">
        <v>77</v>
      </c>
      <c r="L1146" s="171">
        <v>53</v>
      </c>
      <c r="M1146" s="171">
        <v>12</v>
      </c>
      <c r="N1146" s="171">
        <v>6</v>
      </c>
      <c r="O1146" s="171">
        <v>20</v>
      </c>
      <c r="P1146" s="173">
        <v>12</v>
      </c>
    </row>
    <row r="1147" spans="1:16">
      <c r="A1147" s="170" t="s">
        <v>449</v>
      </c>
      <c r="B1147" s="172" t="s">
        <v>467</v>
      </c>
      <c r="C1147" s="172">
        <v>30</v>
      </c>
      <c r="D1147" s="172">
        <v>0</v>
      </c>
      <c r="E1147" s="172">
        <v>0</v>
      </c>
      <c r="F1147" s="172">
        <v>0</v>
      </c>
      <c r="G1147" s="172">
        <v>18</v>
      </c>
      <c r="H1147" s="172">
        <v>12</v>
      </c>
      <c r="I1147" s="172">
        <v>0</v>
      </c>
      <c r="J1147" s="172">
        <v>0</v>
      </c>
      <c r="K1147" s="172">
        <v>30</v>
      </c>
      <c r="L1147" s="172">
        <v>18</v>
      </c>
      <c r="M1147" s="172">
        <v>3</v>
      </c>
      <c r="N1147" s="172">
        <v>1</v>
      </c>
      <c r="O1147" s="172">
        <v>2</v>
      </c>
      <c r="P1147" s="174">
        <v>12</v>
      </c>
    </row>
    <row r="1148" spans="1:16">
      <c r="A1148" s="169" t="s">
        <v>449</v>
      </c>
      <c r="B1148" s="171" t="s">
        <v>467</v>
      </c>
      <c r="C1148" s="171">
        <v>25</v>
      </c>
      <c r="D1148" s="171">
        <v>10</v>
      </c>
      <c r="E1148" s="171">
        <v>1</v>
      </c>
      <c r="F1148" s="171">
        <v>1</v>
      </c>
      <c r="G1148" s="171">
        <v>5</v>
      </c>
      <c r="H1148" s="171">
        <v>8</v>
      </c>
      <c r="I1148" s="171">
        <v>5</v>
      </c>
      <c r="J1148" s="171">
        <v>0</v>
      </c>
      <c r="K1148" s="171">
        <v>20</v>
      </c>
      <c r="L1148" s="171">
        <v>5</v>
      </c>
      <c r="M1148" s="171">
        <v>2</v>
      </c>
      <c r="N1148" s="171">
        <v>4</v>
      </c>
      <c r="O1148" s="171">
        <v>16</v>
      </c>
      <c r="P1148" s="173">
        <v>0</v>
      </c>
    </row>
    <row r="1149" spans="1:16" hidden="1">
      <c r="A1149" s="170" t="s">
        <v>450</v>
      </c>
      <c r="B1149" s="172" t="s">
        <v>467</v>
      </c>
      <c r="C1149" s="172">
        <v>50</v>
      </c>
      <c r="D1149" s="172">
        <v>50</v>
      </c>
      <c r="E1149" s="172">
        <v>6</v>
      </c>
      <c r="F1149" s="172">
        <v>2</v>
      </c>
      <c r="G1149" s="172">
        <v>7</v>
      </c>
      <c r="H1149" s="172">
        <v>3</v>
      </c>
      <c r="I1149" s="172">
        <v>5</v>
      </c>
      <c r="J1149" s="172">
        <v>2</v>
      </c>
      <c r="K1149" s="172">
        <v>25</v>
      </c>
      <c r="L1149" s="172">
        <v>0</v>
      </c>
      <c r="M1149" s="172">
        <v>0</v>
      </c>
      <c r="N1149" s="172">
        <v>24</v>
      </c>
      <c r="O1149" s="172">
        <v>1</v>
      </c>
      <c r="P1149" s="174">
        <v>0</v>
      </c>
    </row>
    <row r="1150" spans="1:16">
      <c r="A1150" s="169" t="s">
        <v>449</v>
      </c>
      <c r="B1150" s="171" t="s">
        <v>467</v>
      </c>
      <c r="C1150" s="171">
        <v>70</v>
      </c>
      <c r="D1150" s="171">
        <v>20</v>
      </c>
      <c r="E1150" s="171">
        <v>4</v>
      </c>
      <c r="F1150" s="171">
        <v>7</v>
      </c>
      <c r="G1150" s="171">
        <v>14</v>
      </c>
      <c r="H1150" s="171">
        <v>24</v>
      </c>
      <c r="I1150" s="171">
        <v>19</v>
      </c>
      <c r="J1150" s="171">
        <v>2</v>
      </c>
      <c r="K1150" s="171">
        <v>70</v>
      </c>
      <c r="L1150" s="171">
        <v>1</v>
      </c>
      <c r="M1150" s="171">
        <v>0</v>
      </c>
      <c r="N1150" s="171">
        <v>8</v>
      </c>
      <c r="O1150" s="171">
        <v>61</v>
      </c>
      <c r="P1150" s="173">
        <v>1</v>
      </c>
    </row>
    <row r="1151" spans="1:16">
      <c r="A1151" s="172" t="s">
        <v>449</v>
      </c>
      <c r="B1151" s="172" t="s">
        <v>467</v>
      </c>
      <c r="C1151" s="172">
        <v>90</v>
      </c>
      <c r="D1151" s="172">
        <v>33</v>
      </c>
      <c r="E1151" s="172">
        <v>6</v>
      </c>
      <c r="F1151" s="172">
        <v>25</v>
      </c>
      <c r="G1151" s="172">
        <v>21</v>
      </c>
      <c r="H1151" s="172">
        <v>29</v>
      </c>
      <c r="I1151" s="172">
        <v>20</v>
      </c>
      <c r="J1151" s="172">
        <v>0</v>
      </c>
      <c r="K1151" s="172">
        <v>101</v>
      </c>
      <c r="L1151" s="172">
        <v>76</v>
      </c>
      <c r="M1151" s="172">
        <v>11</v>
      </c>
      <c r="N1151" s="172">
        <v>6</v>
      </c>
      <c r="O1151" s="172">
        <v>29</v>
      </c>
      <c r="P1151" s="174">
        <v>5</v>
      </c>
    </row>
    <row r="1152" spans="1:16">
      <c r="A1152" s="169" t="s">
        <v>449</v>
      </c>
      <c r="B1152" s="171" t="s">
        <v>467</v>
      </c>
      <c r="C1152" s="171">
        <v>79</v>
      </c>
      <c r="D1152" s="171">
        <v>21</v>
      </c>
      <c r="E1152" s="171">
        <v>4</v>
      </c>
      <c r="F1152" s="171">
        <v>20</v>
      </c>
      <c r="G1152" s="171">
        <v>21</v>
      </c>
      <c r="H1152" s="171">
        <v>25</v>
      </c>
      <c r="I1152" s="171">
        <v>15</v>
      </c>
      <c r="J1152" s="171">
        <v>1</v>
      </c>
      <c r="K1152" s="171">
        <v>86</v>
      </c>
      <c r="L1152" s="171">
        <v>76</v>
      </c>
      <c r="M1152" s="171">
        <v>12</v>
      </c>
      <c r="N1152" s="171">
        <v>4</v>
      </c>
      <c r="O1152" s="171">
        <v>14</v>
      </c>
      <c r="P1152" s="173">
        <v>8</v>
      </c>
    </row>
    <row r="1153" spans="1:16">
      <c r="A1153" s="170" t="s">
        <v>449</v>
      </c>
      <c r="B1153" s="172" t="s">
        <v>467</v>
      </c>
      <c r="C1153" s="172">
        <v>92</v>
      </c>
      <c r="D1153" s="172">
        <v>60</v>
      </c>
      <c r="E1153" s="172">
        <v>8</v>
      </c>
      <c r="F1153" s="172">
        <v>23</v>
      </c>
      <c r="G1153" s="172">
        <v>26</v>
      </c>
      <c r="H1153" s="172">
        <v>0</v>
      </c>
      <c r="I1153" s="172">
        <v>0</v>
      </c>
      <c r="J1153" s="172">
        <v>0</v>
      </c>
      <c r="K1153" s="172">
        <v>57</v>
      </c>
      <c r="L1153" s="172">
        <v>31</v>
      </c>
      <c r="M1153" s="172">
        <v>6</v>
      </c>
      <c r="N1153" s="172">
        <v>3</v>
      </c>
      <c r="O1153" s="172">
        <v>24</v>
      </c>
      <c r="P1153" s="174">
        <v>7</v>
      </c>
    </row>
    <row r="1154" spans="1:16" hidden="1">
      <c r="A1154" s="169" t="s">
        <v>450</v>
      </c>
      <c r="B1154" s="171" t="s">
        <v>467</v>
      </c>
      <c r="C1154" s="171">
        <v>80</v>
      </c>
      <c r="D1154" s="171">
        <v>80</v>
      </c>
      <c r="E1154" s="171">
        <v>5</v>
      </c>
      <c r="F1154" s="171">
        <v>21</v>
      </c>
      <c r="G1154" s="171">
        <v>21</v>
      </c>
      <c r="H1154" s="171">
        <v>15</v>
      </c>
      <c r="I1154" s="171">
        <v>9</v>
      </c>
      <c r="J1154" s="171">
        <v>4</v>
      </c>
      <c r="K1154" s="171">
        <v>75</v>
      </c>
      <c r="L1154" s="171">
        <v>1</v>
      </c>
      <c r="M1154" s="171">
        <v>4</v>
      </c>
      <c r="N1154" s="171">
        <v>68</v>
      </c>
      <c r="O1154" s="171">
        <v>8</v>
      </c>
      <c r="P1154" s="173">
        <v>0</v>
      </c>
    </row>
    <row r="1155" spans="1:16">
      <c r="A1155" s="170" t="s">
        <v>449</v>
      </c>
      <c r="B1155" s="172" t="s">
        <v>467</v>
      </c>
      <c r="C1155" s="172">
        <v>48</v>
      </c>
      <c r="D1155" s="172">
        <v>10</v>
      </c>
      <c r="E1155" s="172">
        <v>1</v>
      </c>
      <c r="F1155" s="172">
        <v>3</v>
      </c>
      <c r="G1155" s="172">
        <v>12</v>
      </c>
      <c r="H1155" s="172">
        <v>7</v>
      </c>
      <c r="I1155" s="172">
        <v>10</v>
      </c>
      <c r="J1155" s="172">
        <v>3</v>
      </c>
      <c r="K1155" s="172">
        <v>36</v>
      </c>
      <c r="L1155" s="172">
        <v>27</v>
      </c>
      <c r="M1155" s="172">
        <v>3</v>
      </c>
      <c r="N1155" s="172">
        <v>3</v>
      </c>
      <c r="O1155" s="172">
        <v>6</v>
      </c>
      <c r="P1155" s="174">
        <v>0</v>
      </c>
    </row>
    <row r="1156" spans="1:16" hidden="1">
      <c r="A1156" s="171" t="s">
        <v>450</v>
      </c>
      <c r="B1156" s="171" t="s">
        <v>467</v>
      </c>
      <c r="C1156" s="171">
        <v>60</v>
      </c>
      <c r="D1156" s="171">
        <v>60</v>
      </c>
      <c r="E1156" s="171">
        <v>2</v>
      </c>
      <c r="F1156" s="171">
        <v>5</v>
      </c>
      <c r="G1156" s="171">
        <v>6</v>
      </c>
      <c r="H1156" s="171">
        <v>10</v>
      </c>
      <c r="I1156" s="171">
        <v>9</v>
      </c>
      <c r="J1156" s="171">
        <v>0</v>
      </c>
      <c r="K1156" s="171">
        <v>32</v>
      </c>
      <c r="L1156" s="171">
        <v>27</v>
      </c>
      <c r="M1156" s="171">
        <v>2</v>
      </c>
      <c r="N1156" s="171">
        <v>6</v>
      </c>
      <c r="O1156" s="171">
        <v>2</v>
      </c>
      <c r="P1156" s="173">
        <v>0</v>
      </c>
    </row>
    <row r="1157" spans="1:16">
      <c r="A1157" s="170" t="s">
        <v>449</v>
      </c>
      <c r="B1157" s="172" t="s">
        <v>467</v>
      </c>
      <c r="C1157" s="172">
        <v>100</v>
      </c>
      <c r="D1157" s="172">
        <v>25</v>
      </c>
      <c r="E1157" s="172">
        <v>6</v>
      </c>
      <c r="F1157" s="172">
        <v>10</v>
      </c>
      <c r="G1157" s="172">
        <v>18</v>
      </c>
      <c r="H1157" s="172">
        <v>30</v>
      </c>
      <c r="I1157" s="172">
        <v>30</v>
      </c>
      <c r="J1157" s="172">
        <v>2</v>
      </c>
      <c r="K1157" s="172">
        <v>96</v>
      </c>
      <c r="L1157" s="172">
        <v>32</v>
      </c>
      <c r="M1157" s="172">
        <v>4</v>
      </c>
      <c r="N1157" s="172">
        <v>14</v>
      </c>
      <c r="O1157" s="172">
        <v>49</v>
      </c>
      <c r="P1157" s="174">
        <v>13</v>
      </c>
    </row>
    <row r="1158" spans="1:16" hidden="1">
      <c r="A1158" s="169" t="s">
        <v>450</v>
      </c>
      <c r="B1158" s="171" t="s">
        <v>467</v>
      </c>
      <c r="C1158" s="171">
        <v>50</v>
      </c>
      <c r="D1158" s="171">
        <v>50</v>
      </c>
      <c r="E1158" s="171">
        <v>1</v>
      </c>
      <c r="F1158" s="171">
        <v>3</v>
      </c>
      <c r="G1158" s="171">
        <v>2</v>
      </c>
      <c r="H1158" s="171">
        <v>5</v>
      </c>
      <c r="I1158" s="171">
        <v>3</v>
      </c>
      <c r="J1158" s="171">
        <v>0</v>
      </c>
      <c r="K1158" s="171">
        <v>14</v>
      </c>
      <c r="L1158" s="171">
        <v>3</v>
      </c>
      <c r="M1158" s="171">
        <v>3</v>
      </c>
      <c r="N1158" s="171">
        <v>0</v>
      </c>
      <c r="O1158" s="171">
        <v>14</v>
      </c>
      <c r="P1158" s="173">
        <v>0</v>
      </c>
    </row>
    <row r="1159" spans="1:16">
      <c r="A1159" s="172" t="s">
        <v>449</v>
      </c>
      <c r="B1159" s="172" t="s">
        <v>467</v>
      </c>
      <c r="C1159" s="172">
        <v>110</v>
      </c>
      <c r="D1159" s="172">
        <v>60</v>
      </c>
      <c r="E1159" s="172">
        <v>4</v>
      </c>
      <c r="F1159" s="172">
        <v>9</v>
      </c>
      <c r="G1159" s="172">
        <v>19</v>
      </c>
      <c r="H1159" s="172">
        <v>18</v>
      </c>
      <c r="I1159" s="172">
        <v>1</v>
      </c>
      <c r="J1159" s="172">
        <v>0</v>
      </c>
      <c r="K1159" s="172">
        <v>51</v>
      </c>
      <c r="L1159" s="172">
        <v>2</v>
      </c>
      <c r="M1159" s="172">
        <v>4</v>
      </c>
      <c r="N1159" s="172">
        <v>26</v>
      </c>
      <c r="O1159" s="172">
        <v>26</v>
      </c>
      <c r="P1159" s="174">
        <v>0</v>
      </c>
    </row>
    <row r="1160" spans="1:16">
      <c r="A1160" s="171" t="s">
        <v>449</v>
      </c>
      <c r="B1160" s="171" t="s">
        <v>467</v>
      </c>
      <c r="C1160" s="171">
        <v>69</v>
      </c>
      <c r="D1160" s="171">
        <v>12</v>
      </c>
      <c r="E1160" s="171">
        <v>5</v>
      </c>
      <c r="F1160" s="171">
        <v>5</v>
      </c>
      <c r="G1160" s="171">
        <v>9</v>
      </c>
      <c r="H1160" s="171">
        <v>15</v>
      </c>
      <c r="I1160" s="171">
        <v>8</v>
      </c>
      <c r="J1160" s="171">
        <v>0</v>
      </c>
      <c r="K1160" s="171">
        <v>42</v>
      </c>
      <c r="L1160" s="171">
        <v>20</v>
      </c>
      <c r="M1160" s="171">
        <v>5</v>
      </c>
      <c r="N1160" s="171">
        <v>1</v>
      </c>
      <c r="O1160" s="171">
        <v>9</v>
      </c>
      <c r="P1160" s="173">
        <v>9</v>
      </c>
    </row>
    <row r="1161" spans="1:16">
      <c r="A1161" s="170" t="s">
        <v>449</v>
      </c>
      <c r="B1161" s="172" t="s">
        <v>467</v>
      </c>
      <c r="C1161" s="172">
        <v>50</v>
      </c>
      <c r="D1161" s="172">
        <v>10</v>
      </c>
      <c r="E1161" s="172">
        <v>1</v>
      </c>
      <c r="F1161" s="172">
        <v>4</v>
      </c>
      <c r="G1161" s="172">
        <v>18</v>
      </c>
      <c r="H1161" s="172">
        <v>9</v>
      </c>
      <c r="I1161" s="172">
        <v>9</v>
      </c>
      <c r="J1161" s="172">
        <v>0</v>
      </c>
      <c r="K1161" s="172">
        <v>41</v>
      </c>
      <c r="L1161" s="172">
        <v>1</v>
      </c>
      <c r="M1161" s="172">
        <v>1</v>
      </c>
      <c r="N1161" s="172">
        <v>8</v>
      </c>
      <c r="O1161" s="172">
        <v>13</v>
      </c>
      <c r="P1161" s="174">
        <v>19</v>
      </c>
    </row>
    <row r="1162" spans="1:16">
      <c r="A1162" s="169" t="s">
        <v>449</v>
      </c>
      <c r="B1162" s="171" t="s">
        <v>467</v>
      </c>
      <c r="C1162" s="171">
        <v>50</v>
      </c>
      <c r="D1162" s="171">
        <v>10</v>
      </c>
      <c r="E1162" s="171">
        <v>2</v>
      </c>
      <c r="F1162" s="171">
        <v>10</v>
      </c>
      <c r="G1162" s="171">
        <v>8</v>
      </c>
      <c r="H1162" s="171">
        <v>5</v>
      </c>
      <c r="I1162" s="171">
        <v>9</v>
      </c>
      <c r="J1162" s="171">
        <v>0</v>
      </c>
      <c r="K1162" s="171">
        <v>34</v>
      </c>
      <c r="L1162" s="171">
        <v>11</v>
      </c>
      <c r="M1162" s="171">
        <v>2</v>
      </c>
      <c r="N1162" s="171">
        <v>2</v>
      </c>
      <c r="O1162" s="171">
        <v>20</v>
      </c>
      <c r="P1162" s="173">
        <v>4</v>
      </c>
    </row>
    <row r="1163" spans="1:16" hidden="1">
      <c r="A1163" s="170" t="s">
        <v>450</v>
      </c>
      <c r="B1163" s="172" t="s">
        <v>467</v>
      </c>
      <c r="C1163" s="172">
        <v>80</v>
      </c>
      <c r="D1163" s="172">
        <v>80</v>
      </c>
      <c r="E1163" s="172">
        <v>12</v>
      </c>
      <c r="F1163" s="172">
        <v>20</v>
      </c>
      <c r="G1163" s="172">
        <v>15</v>
      </c>
      <c r="H1163" s="172">
        <v>15</v>
      </c>
      <c r="I1163" s="172">
        <v>16</v>
      </c>
      <c r="J1163" s="172">
        <v>0</v>
      </c>
      <c r="K1163" s="172">
        <v>78</v>
      </c>
      <c r="L1163" s="172">
        <v>2</v>
      </c>
      <c r="M1163" s="172">
        <v>0</v>
      </c>
      <c r="N1163" s="172">
        <v>0</v>
      </c>
      <c r="O1163" s="172">
        <v>78</v>
      </c>
      <c r="P1163" s="174">
        <v>1</v>
      </c>
    </row>
    <row r="1164" spans="1:16">
      <c r="A1164" s="171" t="s">
        <v>449</v>
      </c>
      <c r="B1164" s="171" t="s">
        <v>467</v>
      </c>
      <c r="C1164" s="171">
        <v>54</v>
      </c>
      <c r="D1164" s="171">
        <v>15</v>
      </c>
      <c r="E1164" s="171">
        <v>1</v>
      </c>
      <c r="F1164" s="171">
        <v>18</v>
      </c>
      <c r="G1164" s="171">
        <v>15</v>
      </c>
      <c r="H1164" s="171">
        <v>13</v>
      </c>
      <c r="I1164" s="171">
        <v>16</v>
      </c>
      <c r="J1164" s="171">
        <v>1</v>
      </c>
      <c r="K1164" s="171">
        <v>64</v>
      </c>
      <c r="L1164" s="171">
        <v>50</v>
      </c>
      <c r="M1164" s="171">
        <v>11</v>
      </c>
      <c r="N1164" s="171">
        <v>9</v>
      </c>
      <c r="O1164" s="171">
        <v>15</v>
      </c>
      <c r="P1164" s="173">
        <v>5</v>
      </c>
    </row>
    <row r="1165" spans="1:16">
      <c r="A1165" s="170" t="s">
        <v>449</v>
      </c>
      <c r="B1165" s="172" t="s">
        <v>467</v>
      </c>
      <c r="C1165" s="172">
        <v>80</v>
      </c>
      <c r="D1165" s="172">
        <v>15</v>
      </c>
      <c r="E1165" s="172">
        <v>2</v>
      </c>
      <c r="F1165" s="172">
        <v>6</v>
      </c>
      <c r="G1165" s="172">
        <v>10</v>
      </c>
      <c r="H1165" s="172">
        <v>26</v>
      </c>
      <c r="I1165" s="172">
        <v>13</v>
      </c>
      <c r="J1165" s="172">
        <v>1</v>
      </c>
      <c r="K1165" s="172">
        <v>58</v>
      </c>
      <c r="L1165" s="172">
        <v>6</v>
      </c>
      <c r="M1165" s="172">
        <v>35</v>
      </c>
      <c r="N1165" s="172">
        <v>34</v>
      </c>
      <c r="O1165" s="172">
        <v>3</v>
      </c>
      <c r="P1165" s="174">
        <v>3</v>
      </c>
    </row>
    <row r="1166" spans="1:16">
      <c r="A1166" s="169" t="s">
        <v>449</v>
      </c>
      <c r="B1166" s="171" t="s">
        <v>467</v>
      </c>
      <c r="C1166" s="171">
        <v>150</v>
      </c>
      <c r="D1166" s="171">
        <v>48</v>
      </c>
      <c r="E1166" s="171">
        <v>7</v>
      </c>
      <c r="F1166" s="171">
        <v>12</v>
      </c>
      <c r="G1166" s="171">
        <v>30</v>
      </c>
      <c r="H1166" s="171">
        <v>28</v>
      </c>
      <c r="I1166" s="171">
        <v>21</v>
      </c>
      <c r="J1166" s="171">
        <v>2</v>
      </c>
      <c r="K1166" s="171">
        <v>100</v>
      </c>
      <c r="L1166" s="171">
        <v>67</v>
      </c>
      <c r="M1166" s="171">
        <v>12</v>
      </c>
      <c r="N1166" s="171">
        <v>4</v>
      </c>
      <c r="O1166" s="171">
        <v>23</v>
      </c>
      <c r="P1166" s="173">
        <v>12</v>
      </c>
    </row>
    <row r="1167" spans="1:16">
      <c r="A1167" s="170" t="s">
        <v>449</v>
      </c>
      <c r="B1167" s="172" t="s">
        <v>467</v>
      </c>
      <c r="C1167" s="172">
        <v>60</v>
      </c>
      <c r="D1167" s="172">
        <v>12</v>
      </c>
      <c r="E1167" s="172">
        <v>4</v>
      </c>
      <c r="F1167" s="172">
        <v>8</v>
      </c>
      <c r="G1167" s="172">
        <v>14</v>
      </c>
      <c r="H1167" s="172">
        <v>21</v>
      </c>
      <c r="I1167" s="172">
        <v>14</v>
      </c>
      <c r="J1167" s="172">
        <v>1</v>
      </c>
      <c r="K1167" s="172">
        <v>62</v>
      </c>
      <c r="L1167" s="172">
        <v>14</v>
      </c>
      <c r="M1167" s="172">
        <v>9</v>
      </c>
      <c r="N1167" s="172">
        <v>13</v>
      </c>
      <c r="O1167" s="172">
        <v>38</v>
      </c>
      <c r="P1167" s="174">
        <v>3</v>
      </c>
    </row>
    <row r="1168" spans="1:16">
      <c r="A1168" s="169" t="s">
        <v>449</v>
      </c>
      <c r="B1168" s="171" t="s">
        <v>467</v>
      </c>
      <c r="C1168" s="171">
        <v>63</v>
      </c>
      <c r="D1168" s="171">
        <v>18</v>
      </c>
      <c r="E1168" s="171">
        <v>4</v>
      </c>
      <c r="F1168" s="171">
        <v>14</v>
      </c>
      <c r="G1168" s="171">
        <v>18</v>
      </c>
      <c r="H1168" s="171">
        <v>17</v>
      </c>
      <c r="I1168" s="171">
        <v>12</v>
      </c>
      <c r="J1168" s="171">
        <v>1</v>
      </c>
      <c r="K1168" s="171">
        <v>66</v>
      </c>
      <c r="L1168" s="171">
        <v>21</v>
      </c>
      <c r="M1168" s="171">
        <v>18</v>
      </c>
      <c r="N1168" s="171">
        <v>19</v>
      </c>
      <c r="O1168" s="171">
        <v>23</v>
      </c>
      <c r="P1168" s="173">
        <v>5</v>
      </c>
    </row>
    <row r="1169" spans="1:16">
      <c r="A1169" s="170" t="s">
        <v>449</v>
      </c>
      <c r="B1169" s="172" t="s">
        <v>467</v>
      </c>
      <c r="C1169" s="172">
        <v>80</v>
      </c>
      <c r="D1169" s="172">
        <v>30</v>
      </c>
      <c r="E1169" s="172">
        <v>3</v>
      </c>
      <c r="F1169" s="172">
        <v>16</v>
      </c>
      <c r="G1169" s="172">
        <v>29</v>
      </c>
      <c r="H1169" s="172">
        <v>12</v>
      </c>
      <c r="I1169" s="172">
        <v>21</v>
      </c>
      <c r="J1169" s="172">
        <v>3</v>
      </c>
      <c r="K1169" s="172">
        <v>84</v>
      </c>
      <c r="L1169" s="172">
        <v>73</v>
      </c>
      <c r="M1169" s="172">
        <v>6</v>
      </c>
      <c r="N1169" s="172">
        <v>2</v>
      </c>
      <c r="O1169" s="172">
        <v>12</v>
      </c>
      <c r="P1169" s="174">
        <v>3</v>
      </c>
    </row>
    <row r="1170" spans="1:16">
      <c r="A1170" s="171" t="s">
        <v>449</v>
      </c>
      <c r="B1170" s="171" t="s">
        <v>467</v>
      </c>
      <c r="C1170" s="171">
        <v>73</v>
      </c>
      <c r="D1170" s="171">
        <v>20</v>
      </c>
      <c r="E1170" s="171">
        <v>2</v>
      </c>
      <c r="F1170" s="171">
        <v>12</v>
      </c>
      <c r="G1170" s="171">
        <v>12</v>
      </c>
      <c r="H1170" s="171">
        <v>20</v>
      </c>
      <c r="I1170" s="171">
        <v>13</v>
      </c>
      <c r="J1170" s="171">
        <v>0</v>
      </c>
      <c r="K1170" s="171">
        <v>59</v>
      </c>
      <c r="L1170" s="171">
        <v>49</v>
      </c>
      <c r="M1170" s="171">
        <v>2</v>
      </c>
      <c r="N1170" s="171">
        <v>1</v>
      </c>
      <c r="O1170" s="171">
        <v>13</v>
      </c>
      <c r="P1170" s="173">
        <v>4</v>
      </c>
    </row>
    <row r="1171" spans="1:16">
      <c r="A1171" s="170" t="s">
        <v>449</v>
      </c>
      <c r="B1171" s="172" t="s">
        <v>467</v>
      </c>
      <c r="C1171" s="172">
        <v>39</v>
      </c>
      <c r="D1171" s="172">
        <v>12</v>
      </c>
      <c r="E1171" s="172"/>
      <c r="F1171" s="172"/>
      <c r="G1171" s="172"/>
      <c r="H1171" s="172"/>
      <c r="I1171" s="172"/>
      <c r="J1171" s="172"/>
      <c r="K1171" s="172"/>
      <c r="L1171" s="172"/>
      <c r="M1171" s="172"/>
      <c r="N1171" s="172"/>
      <c r="O1171" s="172"/>
      <c r="P1171" s="174"/>
    </row>
    <row r="1172" spans="1:16">
      <c r="A1172" s="169" t="s">
        <v>449</v>
      </c>
      <c r="B1172" s="171" t="s">
        <v>467</v>
      </c>
      <c r="C1172" s="171">
        <v>100</v>
      </c>
      <c r="D1172" s="171">
        <v>25</v>
      </c>
      <c r="E1172" s="171">
        <v>2</v>
      </c>
      <c r="F1172" s="171">
        <v>16</v>
      </c>
      <c r="G1172" s="171">
        <v>13</v>
      </c>
      <c r="H1172" s="171">
        <v>16</v>
      </c>
      <c r="I1172" s="171">
        <v>17</v>
      </c>
      <c r="J1172" s="171">
        <v>2</v>
      </c>
      <c r="K1172" s="171">
        <v>66</v>
      </c>
      <c r="L1172" s="171">
        <v>47</v>
      </c>
      <c r="M1172" s="171">
        <v>7</v>
      </c>
      <c r="N1172" s="171">
        <v>1</v>
      </c>
      <c r="O1172" s="171">
        <v>23</v>
      </c>
      <c r="P1172" s="173">
        <v>6</v>
      </c>
    </row>
    <row r="1173" spans="1:16">
      <c r="A1173" s="170" t="s">
        <v>449</v>
      </c>
      <c r="B1173" s="172" t="s">
        <v>467</v>
      </c>
      <c r="C1173" s="172">
        <v>50</v>
      </c>
      <c r="D1173" s="172">
        <v>10</v>
      </c>
      <c r="E1173" s="172">
        <v>0</v>
      </c>
      <c r="F1173" s="172">
        <v>9</v>
      </c>
      <c r="G1173" s="172">
        <v>16</v>
      </c>
      <c r="H1173" s="172">
        <v>16</v>
      </c>
      <c r="I1173" s="172">
        <v>13</v>
      </c>
      <c r="J1173" s="172">
        <v>0</v>
      </c>
      <c r="K1173" s="172">
        <v>54</v>
      </c>
      <c r="L1173" s="172">
        <v>47</v>
      </c>
      <c r="M1173" s="172">
        <v>8</v>
      </c>
      <c r="N1173" s="172">
        <v>5</v>
      </c>
      <c r="O1173" s="172">
        <v>0</v>
      </c>
      <c r="P1173" s="174">
        <v>6</v>
      </c>
    </row>
    <row r="1174" spans="1:16">
      <c r="A1174" s="169" t="s">
        <v>449</v>
      </c>
      <c r="B1174" s="171" t="s">
        <v>467</v>
      </c>
      <c r="C1174" s="171">
        <v>76</v>
      </c>
      <c r="D1174" s="171">
        <v>19</v>
      </c>
      <c r="E1174" s="171">
        <v>2</v>
      </c>
      <c r="F1174" s="171">
        <v>10</v>
      </c>
      <c r="G1174" s="171">
        <v>11</v>
      </c>
      <c r="H1174" s="171">
        <v>14</v>
      </c>
      <c r="I1174" s="171">
        <v>15</v>
      </c>
      <c r="J1174" s="171">
        <v>2</v>
      </c>
      <c r="K1174" s="171">
        <v>54</v>
      </c>
      <c r="L1174" s="171">
        <v>9</v>
      </c>
      <c r="M1174" s="171">
        <v>20</v>
      </c>
      <c r="N1174" s="171">
        <v>29</v>
      </c>
      <c r="O1174" s="171">
        <v>14</v>
      </c>
      <c r="P1174" s="173">
        <v>2</v>
      </c>
    </row>
    <row r="1175" spans="1:16">
      <c r="A1175" s="170" t="s">
        <v>449</v>
      </c>
      <c r="B1175" s="172" t="s">
        <v>467</v>
      </c>
      <c r="C1175" s="172">
        <v>50</v>
      </c>
      <c r="D1175" s="172">
        <v>0</v>
      </c>
      <c r="E1175" s="172">
        <v>0</v>
      </c>
      <c r="F1175" s="172">
        <v>0</v>
      </c>
      <c r="G1175" s="172">
        <v>4</v>
      </c>
      <c r="H1175" s="172">
        <v>14</v>
      </c>
      <c r="I1175" s="172">
        <v>14</v>
      </c>
      <c r="J1175" s="172">
        <v>0</v>
      </c>
      <c r="K1175" s="172">
        <v>32</v>
      </c>
      <c r="L1175" s="172">
        <v>0</v>
      </c>
      <c r="M1175" s="172">
        <v>2</v>
      </c>
      <c r="N1175" s="172">
        <v>8</v>
      </c>
      <c r="O1175" s="172">
        <v>21</v>
      </c>
      <c r="P1175" s="174">
        <v>4</v>
      </c>
    </row>
    <row r="1176" spans="1:16">
      <c r="A1176" s="169" t="s">
        <v>449</v>
      </c>
      <c r="B1176" s="171" t="s">
        <v>467</v>
      </c>
      <c r="C1176" s="171">
        <v>98</v>
      </c>
      <c r="D1176" s="171">
        <v>24</v>
      </c>
      <c r="E1176" s="171">
        <v>3</v>
      </c>
      <c r="F1176" s="171">
        <v>15</v>
      </c>
      <c r="G1176" s="171">
        <v>24</v>
      </c>
      <c r="H1176" s="171">
        <v>27</v>
      </c>
      <c r="I1176" s="171">
        <v>17</v>
      </c>
      <c r="J1176" s="171">
        <v>4</v>
      </c>
      <c r="K1176" s="171">
        <v>90</v>
      </c>
      <c r="L1176" s="171">
        <v>20</v>
      </c>
      <c r="M1176" s="171">
        <v>2</v>
      </c>
      <c r="N1176" s="171">
        <v>0</v>
      </c>
      <c r="O1176" s="171">
        <v>74</v>
      </c>
      <c r="P1176" s="173">
        <v>4</v>
      </c>
    </row>
    <row r="1177" spans="1:16">
      <c r="A1177" s="170" t="s">
        <v>449</v>
      </c>
      <c r="B1177" s="172" t="s">
        <v>467</v>
      </c>
      <c r="C1177" s="172">
        <v>44</v>
      </c>
      <c r="D1177" s="172">
        <v>0</v>
      </c>
      <c r="E1177" s="172">
        <v>0</v>
      </c>
      <c r="F1177" s="172">
        <v>0</v>
      </c>
      <c r="G1177" s="172">
        <v>11</v>
      </c>
      <c r="H1177" s="172">
        <v>26</v>
      </c>
      <c r="I1177" s="172">
        <v>18</v>
      </c>
      <c r="J1177" s="172">
        <v>1</v>
      </c>
      <c r="K1177" s="172">
        <v>56</v>
      </c>
      <c r="L1177" s="172">
        <v>38</v>
      </c>
      <c r="M1177" s="172">
        <v>9</v>
      </c>
      <c r="N1177" s="172">
        <v>6</v>
      </c>
      <c r="O1177" s="172">
        <v>20</v>
      </c>
      <c r="P1177" s="174">
        <v>3</v>
      </c>
    </row>
    <row r="1178" spans="1:16">
      <c r="A1178" s="169" t="s">
        <v>449</v>
      </c>
      <c r="B1178" s="171" t="s">
        <v>467</v>
      </c>
      <c r="C1178" s="171">
        <v>105</v>
      </c>
      <c r="D1178" s="171">
        <v>25</v>
      </c>
      <c r="E1178" s="171">
        <v>2</v>
      </c>
      <c r="F1178" s="171">
        <v>6</v>
      </c>
      <c r="G1178" s="171">
        <v>9</v>
      </c>
      <c r="H1178" s="171">
        <v>10</v>
      </c>
      <c r="I1178" s="171">
        <v>9</v>
      </c>
      <c r="J1178" s="171">
        <v>0</v>
      </c>
      <c r="K1178" s="171">
        <v>36</v>
      </c>
      <c r="L1178" s="171">
        <v>21</v>
      </c>
      <c r="M1178" s="171">
        <v>9</v>
      </c>
      <c r="N1178" s="171">
        <v>1</v>
      </c>
      <c r="O1178" s="171">
        <v>10</v>
      </c>
      <c r="P1178" s="173">
        <v>2</v>
      </c>
    </row>
    <row r="1179" spans="1:16">
      <c r="A1179" s="170" t="s">
        <v>449</v>
      </c>
      <c r="B1179" s="172" t="s">
        <v>467</v>
      </c>
      <c r="C1179" s="172">
        <v>47</v>
      </c>
      <c r="D1179" s="172">
        <v>10</v>
      </c>
      <c r="E1179" s="172">
        <v>0</v>
      </c>
      <c r="F1179" s="172">
        <v>5</v>
      </c>
      <c r="G1179" s="172">
        <v>7</v>
      </c>
      <c r="H1179" s="172">
        <v>6</v>
      </c>
      <c r="I1179" s="172">
        <v>11</v>
      </c>
      <c r="J1179" s="172">
        <v>0</v>
      </c>
      <c r="K1179" s="172">
        <v>29</v>
      </c>
      <c r="L1179" s="172">
        <v>2</v>
      </c>
      <c r="M1179" s="172">
        <v>5</v>
      </c>
      <c r="N1179" s="172">
        <v>6</v>
      </c>
      <c r="O1179" s="172">
        <v>13</v>
      </c>
      <c r="P1179" s="174">
        <v>5</v>
      </c>
    </row>
    <row r="1180" spans="1:16">
      <c r="A1180" s="169" t="s">
        <v>449</v>
      </c>
      <c r="B1180" s="171" t="s">
        <v>467</v>
      </c>
      <c r="C1180" s="171">
        <v>60</v>
      </c>
      <c r="D1180" s="171">
        <v>20</v>
      </c>
      <c r="E1180" s="171">
        <v>1</v>
      </c>
      <c r="F1180" s="171">
        <v>5</v>
      </c>
      <c r="G1180" s="171">
        <v>11</v>
      </c>
      <c r="H1180" s="171">
        <v>4</v>
      </c>
      <c r="I1180" s="171">
        <v>10</v>
      </c>
      <c r="J1180" s="171">
        <v>0</v>
      </c>
      <c r="K1180" s="171">
        <v>31</v>
      </c>
      <c r="L1180" s="171">
        <v>21</v>
      </c>
      <c r="M1180" s="171">
        <v>8</v>
      </c>
      <c r="N1180" s="171">
        <v>3</v>
      </c>
      <c r="O1180" s="171">
        <v>7</v>
      </c>
      <c r="P1180" s="173">
        <v>0</v>
      </c>
    </row>
    <row r="1181" spans="1:16" hidden="1">
      <c r="A1181" s="172" t="s">
        <v>450</v>
      </c>
      <c r="B1181" s="172" t="s">
        <v>467</v>
      </c>
      <c r="C1181" s="172">
        <v>80</v>
      </c>
      <c r="D1181" s="172">
        <v>80</v>
      </c>
      <c r="E1181" s="172">
        <v>11</v>
      </c>
      <c r="F1181" s="172">
        <v>19</v>
      </c>
      <c r="G1181" s="172">
        <v>10</v>
      </c>
      <c r="H1181" s="172">
        <v>7</v>
      </c>
      <c r="I1181" s="172">
        <v>5</v>
      </c>
      <c r="J1181" s="172">
        <v>0</v>
      </c>
      <c r="K1181" s="172">
        <v>52</v>
      </c>
      <c r="L1181" s="172">
        <v>2</v>
      </c>
      <c r="M1181" s="172">
        <v>0</v>
      </c>
      <c r="N1181" s="172">
        <v>0</v>
      </c>
      <c r="O1181" s="172">
        <v>52</v>
      </c>
      <c r="P1181" s="174">
        <v>0</v>
      </c>
    </row>
    <row r="1182" spans="1:16">
      <c r="A1182" s="169" t="s">
        <v>449</v>
      </c>
      <c r="B1182" s="171" t="s">
        <v>467</v>
      </c>
      <c r="C1182" s="171">
        <v>150</v>
      </c>
      <c r="D1182" s="171">
        <v>40</v>
      </c>
      <c r="E1182" s="171">
        <v>4</v>
      </c>
      <c r="F1182" s="171">
        <v>26</v>
      </c>
      <c r="G1182" s="171">
        <v>45</v>
      </c>
      <c r="H1182" s="171">
        <v>38</v>
      </c>
      <c r="I1182" s="171">
        <v>39</v>
      </c>
      <c r="J1182" s="171">
        <v>1</v>
      </c>
      <c r="K1182" s="171">
        <v>153</v>
      </c>
      <c r="L1182" s="171">
        <v>95</v>
      </c>
      <c r="M1182" s="171">
        <v>6</v>
      </c>
      <c r="N1182" s="171">
        <v>1</v>
      </c>
      <c r="O1182" s="171">
        <v>57</v>
      </c>
      <c r="P1182" s="173">
        <v>14</v>
      </c>
    </row>
    <row r="1183" spans="1:16">
      <c r="A1183" s="170" t="s">
        <v>449</v>
      </c>
      <c r="B1183" s="172" t="s">
        <v>467</v>
      </c>
      <c r="C1183" s="172">
        <v>50</v>
      </c>
      <c r="D1183" s="172">
        <v>12</v>
      </c>
      <c r="E1183" s="172">
        <v>4</v>
      </c>
      <c r="F1183" s="172">
        <v>4</v>
      </c>
      <c r="G1183" s="172">
        <v>9</v>
      </c>
      <c r="H1183" s="172">
        <v>11</v>
      </c>
      <c r="I1183" s="172">
        <v>4</v>
      </c>
      <c r="J1183" s="172">
        <v>0</v>
      </c>
      <c r="K1183" s="172">
        <v>32</v>
      </c>
      <c r="L1183" s="172">
        <v>17</v>
      </c>
      <c r="M1183" s="172">
        <v>7</v>
      </c>
      <c r="N1183" s="172">
        <v>4</v>
      </c>
      <c r="O1183" s="172">
        <v>10</v>
      </c>
      <c r="P1183" s="174">
        <v>5</v>
      </c>
    </row>
    <row r="1184" spans="1:16">
      <c r="A1184" s="169" t="s">
        <v>449</v>
      </c>
      <c r="B1184" s="171" t="s">
        <v>467</v>
      </c>
      <c r="C1184" s="171">
        <v>110</v>
      </c>
      <c r="D1184" s="171">
        <v>0</v>
      </c>
      <c r="E1184" s="171">
        <v>0</v>
      </c>
      <c r="F1184" s="171">
        <v>0</v>
      </c>
      <c r="G1184" s="171">
        <v>0</v>
      </c>
      <c r="H1184" s="171">
        <v>12</v>
      </c>
      <c r="I1184" s="171">
        <v>19</v>
      </c>
      <c r="J1184" s="171">
        <v>1</v>
      </c>
      <c r="K1184" s="171">
        <v>32</v>
      </c>
      <c r="L1184" s="171">
        <v>1</v>
      </c>
      <c r="M1184" s="171">
        <v>3</v>
      </c>
      <c r="N1184" s="171">
        <v>17</v>
      </c>
      <c r="O1184" s="171">
        <v>13</v>
      </c>
      <c r="P1184" s="173">
        <v>1</v>
      </c>
    </row>
    <row r="1185" spans="1:16">
      <c r="A1185" s="170" t="s">
        <v>449</v>
      </c>
      <c r="B1185" s="172" t="s">
        <v>467</v>
      </c>
      <c r="C1185" s="172">
        <v>52</v>
      </c>
      <c r="D1185" s="172">
        <v>0</v>
      </c>
      <c r="E1185" s="172">
        <v>0</v>
      </c>
      <c r="F1185" s="172">
        <v>0</v>
      </c>
      <c r="G1185" s="172">
        <v>10</v>
      </c>
      <c r="H1185" s="172">
        <v>20</v>
      </c>
      <c r="I1185" s="172">
        <v>21</v>
      </c>
      <c r="J1185" s="172">
        <v>3</v>
      </c>
      <c r="K1185" s="172">
        <v>54</v>
      </c>
      <c r="L1185" s="172">
        <v>2</v>
      </c>
      <c r="M1185" s="172">
        <v>3</v>
      </c>
      <c r="N1185" s="172">
        <v>8</v>
      </c>
      <c r="O1185" s="172">
        <v>42</v>
      </c>
      <c r="P1185" s="174">
        <v>1</v>
      </c>
    </row>
    <row r="1186" spans="1:16" hidden="1">
      <c r="A1186" s="169" t="s">
        <v>450</v>
      </c>
      <c r="B1186" s="171" t="s">
        <v>467</v>
      </c>
      <c r="C1186" s="171">
        <v>50</v>
      </c>
      <c r="D1186" s="171">
        <v>50</v>
      </c>
      <c r="E1186" s="171">
        <v>1</v>
      </c>
      <c r="F1186" s="171">
        <v>2</v>
      </c>
      <c r="G1186" s="171">
        <v>8</v>
      </c>
      <c r="H1186" s="171">
        <v>9</v>
      </c>
      <c r="I1186" s="171">
        <v>1</v>
      </c>
      <c r="J1186" s="171">
        <v>1</v>
      </c>
      <c r="K1186" s="171">
        <v>22</v>
      </c>
      <c r="L1186" s="171">
        <v>0</v>
      </c>
      <c r="M1186" s="171">
        <v>0</v>
      </c>
      <c r="N1186" s="171">
        <v>15</v>
      </c>
      <c r="O1186" s="171">
        <v>0</v>
      </c>
      <c r="P1186" s="173">
        <v>7</v>
      </c>
    </row>
    <row r="1187" spans="1:16">
      <c r="A1187" s="170" t="s">
        <v>449</v>
      </c>
      <c r="B1187" s="172" t="s">
        <v>467</v>
      </c>
      <c r="C1187" s="172">
        <v>40</v>
      </c>
      <c r="D1187" s="172">
        <v>5</v>
      </c>
      <c r="E1187" s="172">
        <v>0</v>
      </c>
      <c r="F1187" s="172">
        <v>3</v>
      </c>
      <c r="G1187" s="172">
        <v>6</v>
      </c>
      <c r="H1187" s="172">
        <v>10</v>
      </c>
      <c r="I1187" s="172">
        <v>14</v>
      </c>
      <c r="J1187" s="172">
        <v>0</v>
      </c>
      <c r="K1187" s="172">
        <v>33</v>
      </c>
      <c r="L1187" s="172">
        <v>3</v>
      </c>
      <c r="M1187" s="172">
        <v>7</v>
      </c>
      <c r="N1187" s="172">
        <v>27</v>
      </c>
      <c r="O1187" s="172">
        <v>3</v>
      </c>
      <c r="P1187" s="174">
        <v>3</v>
      </c>
    </row>
    <row r="1188" spans="1:16">
      <c r="A1188" s="169" t="s">
        <v>449</v>
      </c>
      <c r="B1188" s="171" t="s">
        <v>467</v>
      </c>
      <c r="C1188" s="171">
        <v>64</v>
      </c>
      <c r="D1188" s="171">
        <v>15</v>
      </c>
      <c r="E1188" s="171">
        <v>2</v>
      </c>
      <c r="F1188" s="171">
        <v>8</v>
      </c>
      <c r="G1188" s="171">
        <v>14</v>
      </c>
      <c r="H1188" s="171">
        <v>15</v>
      </c>
      <c r="I1188" s="171">
        <v>21</v>
      </c>
      <c r="J1188" s="171">
        <v>3</v>
      </c>
      <c r="K1188" s="171">
        <v>63</v>
      </c>
      <c r="L1188" s="171">
        <v>13</v>
      </c>
      <c r="M1188" s="171">
        <v>8</v>
      </c>
      <c r="N1188" s="171">
        <v>2</v>
      </c>
      <c r="O1188" s="171">
        <v>47</v>
      </c>
      <c r="P1188" s="173">
        <v>1</v>
      </c>
    </row>
    <row r="1189" spans="1:16">
      <c r="A1189" s="170" t="s">
        <v>449</v>
      </c>
      <c r="B1189" s="172" t="s">
        <v>467</v>
      </c>
      <c r="C1189" s="172">
        <v>125</v>
      </c>
      <c r="D1189" s="172">
        <v>40</v>
      </c>
      <c r="E1189" s="172">
        <v>9</v>
      </c>
      <c r="F1189" s="172">
        <v>25</v>
      </c>
      <c r="G1189" s="172">
        <v>26</v>
      </c>
      <c r="H1189" s="172">
        <v>31</v>
      </c>
      <c r="I1189" s="172">
        <v>29</v>
      </c>
      <c r="J1189" s="172">
        <v>1</v>
      </c>
      <c r="K1189" s="172">
        <v>121</v>
      </c>
      <c r="L1189" s="172">
        <v>89</v>
      </c>
      <c r="M1189" s="172">
        <v>27</v>
      </c>
      <c r="N1189" s="172">
        <v>20</v>
      </c>
      <c r="O1189" s="172">
        <v>40</v>
      </c>
      <c r="P1189" s="174">
        <v>8</v>
      </c>
    </row>
    <row r="1190" spans="1:16">
      <c r="A1190" s="169" t="s">
        <v>449</v>
      </c>
      <c r="B1190" s="171" t="s">
        <v>467</v>
      </c>
      <c r="C1190" s="171">
        <v>60</v>
      </c>
      <c r="D1190" s="171">
        <v>12</v>
      </c>
      <c r="E1190" s="171">
        <v>1</v>
      </c>
      <c r="F1190" s="171">
        <v>8</v>
      </c>
      <c r="G1190" s="171">
        <v>12</v>
      </c>
      <c r="H1190" s="171">
        <v>14</v>
      </c>
      <c r="I1190" s="171">
        <v>22</v>
      </c>
      <c r="J1190" s="171">
        <v>2</v>
      </c>
      <c r="K1190" s="171">
        <v>59</v>
      </c>
      <c r="L1190" s="171">
        <v>23</v>
      </c>
      <c r="M1190" s="171">
        <v>16</v>
      </c>
      <c r="N1190" s="171">
        <v>22</v>
      </c>
      <c r="O1190" s="171">
        <v>15</v>
      </c>
      <c r="P1190" s="173">
        <v>5</v>
      </c>
    </row>
    <row r="1191" spans="1:16">
      <c r="A1191" s="170" t="s">
        <v>449</v>
      </c>
      <c r="B1191" s="172" t="s">
        <v>467</v>
      </c>
      <c r="C1191" s="172">
        <v>120</v>
      </c>
      <c r="D1191" s="172">
        <v>20</v>
      </c>
      <c r="E1191" s="172">
        <v>1</v>
      </c>
      <c r="F1191" s="172">
        <v>12</v>
      </c>
      <c r="G1191" s="172">
        <v>18</v>
      </c>
      <c r="H1191" s="172">
        <v>28</v>
      </c>
      <c r="I1191" s="172">
        <v>38</v>
      </c>
      <c r="J1191" s="172">
        <v>1</v>
      </c>
      <c r="K1191" s="172">
        <v>98</v>
      </c>
      <c r="L1191" s="172">
        <v>37</v>
      </c>
      <c r="M1191" s="172">
        <v>13</v>
      </c>
      <c r="N1191" s="172">
        <v>7</v>
      </c>
      <c r="O1191" s="172">
        <v>59</v>
      </c>
      <c r="P1191" s="174">
        <v>8</v>
      </c>
    </row>
    <row r="1192" spans="1:16" hidden="1">
      <c r="A1192" s="169" t="s">
        <v>347</v>
      </c>
      <c r="B1192" s="171" t="s">
        <v>467</v>
      </c>
      <c r="C1192" s="171">
        <v>42</v>
      </c>
      <c r="D1192" s="171">
        <v>18</v>
      </c>
      <c r="E1192" s="171">
        <v>3</v>
      </c>
      <c r="F1192" s="171">
        <v>10</v>
      </c>
      <c r="G1192" s="171">
        <v>9</v>
      </c>
      <c r="H1192" s="171">
        <v>10</v>
      </c>
      <c r="I1192" s="171">
        <v>7</v>
      </c>
      <c r="J1192" s="171">
        <v>0</v>
      </c>
      <c r="K1192" s="171">
        <v>39</v>
      </c>
      <c r="L1192" s="171">
        <v>0</v>
      </c>
      <c r="M1192" s="171">
        <v>37</v>
      </c>
      <c r="N1192" s="171">
        <v>2</v>
      </c>
      <c r="O1192" s="171">
        <v>0</v>
      </c>
      <c r="P1192" s="173">
        <v>0</v>
      </c>
    </row>
    <row r="1193" spans="1:16">
      <c r="A1193" s="170" t="s">
        <v>449</v>
      </c>
      <c r="B1193" s="172" t="s">
        <v>467</v>
      </c>
      <c r="C1193" s="172">
        <v>43</v>
      </c>
      <c r="D1193" s="172">
        <v>12</v>
      </c>
      <c r="E1193" s="172">
        <v>2</v>
      </c>
      <c r="F1193" s="172">
        <v>7</v>
      </c>
      <c r="G1193" s="172">
        <v>15</v>
      </c>
      <c r="H1193" s="172">
        <v>5</v>
      </c>
      <c r="I1193" s="172">
        <v>6</v>
      </c>
      <c r="J1193" s="172">
        <v>1</v>
      </c>
      <c r="K1193" s="172">
        <v>36</v>
      </c>
      <c r="L1193" s="172">
        <v>21</v>
      </c>
      <c r="M1193" s="172">
        <v>10</v>
      </c>
      <c r="N1193" s="172">
        <v>7</v>
      </c>
      <c r="O1193" s="172">
        <v>9</v>
      </c>
      <c r="P1193" s="174">
        <v>2</v>
      </c>
    </row>
    <row r="1194" spans="1:16">
      <c r="A1194" s="169" t="s">
        <v>449</v>
      </c>
      <c r="B1194" s="171" t="s">
        <v>467</v>
      </c>
      <c r="C1194" s="171">
        <v>60</v>
      </c>
      <c r="D1194" s="171">
        <v>12</v>
      </c>
      <c r="E1194" s="171">
        <v>3</v>
      </c>
      <c r="F1194" s="171">
        <v>12</v>
      </c>
      <c r="G1194" s="171">
        <v>14</v>
      </c>
      <c r="H1194" s="171">
        <v>16</v>
      </c>
      <c r="I1194" s="171">
        <v>13</v>
      </c>
      <c r="J1194" s="171">
        <v>0</v>
      </c>
      <c r="K1194" s="171">
        <v>58</v>
      </c>
      <c r="L1194" s="171">
        <v>1</v>
      </c>
      <c r="M1194" s="171">
        <v>7</v>
      </c>
      <c r="N1194" s="171">
        <v>17</v>
      </c>
      <c r="O1194" s="171">
        <v>47</v>
      </c>
      <c r="P1194" s="173">
        <v>0</v>
      </c>
    </row>
    <row r="1195" spans="1:16">
      <c r="A1195" s="170" t="s">
        <v>449</v>
      </c>
      <c r="B1195" s="172" t="s">
        <v>467</v>
      </c>
      <c r="C1195" s="172">
        <v>80</v>
      </c>
      <c r="D1195" s="172">
        <v>20</v>
      </c>
      <c r="E1195" s="172">
        <v>5</v>
      </c>
      <c r="F1195" s="172">
        <v>12</v>
      </c>
      <c r="G1195" s="172">
        <v>14</v>
      </c>
      <c r="H1195" s="172">
        <v>24</v>
      </c>
      <c r="I1195" s="172">
        <v>25</v>
      </c>
      <c r="J1195" s="172">
        <v>1</v>
      </c>
      <c r="K1195" s="172">
        <v>81</v>
      </c>
      <c r="L1195" s="172">
        <v>25</v>
      </c>
      <c r="M1195" s="172">
        <v>24</v>
      </c>
      <c r="N1195" s="172">
        <v>25</v>
      </c>
      <c r="O1195" s="172">
        <v>33</v>
      </c>
      <c r="P1195" s="174">
        <v>4</v>
      </c>
    </row>
    <row r="1196" spans="1:16">
      <c r="A1196" s="169" t="s">
        <v>449</v>
      </c>
      <c r="B1196" s="171" t="s">
        <v>467</v>
      </c>
      <c r="C1196" s="171">
        <v>54</v>
      </c>
      <c r="D1196" s="171">
        <v>10</v>
      </c>
      <c r="E1196" s="171">
        <v>0</v>
      </c>
      <c r="F1196" s="171">
        <v>10</v>
      </c>
      <c r="G1196" s="171">
        <v>14</v>
      </c>
      <c r="H1196" s="171">
        <v>12</v>
      </c>
      <c r="I1196" s="171">
        <v>12</v>
      </c>
      <c r="J1196" s="171">
        <v>0</v>
      </c>
      <c r="K1196" s="171">
        <v>48</v>
      </c>
      <c r="L1196" s="171">
        <v>27</v>
      </c>
      <c r="M1196" s="171">
        <v>5</v>
      </c>
      <c r="N1196" s="171">
        <v>5</v>
      </c>
      <c r="O1196" s="171">
        <v>24</v>
      </c>
      <c r="P1196" s="173">
        <v>1</v>
      </c>
    </row>
    <row r="1197" spans="1:16">
      <c r="A1197" s="170" t="s">
        <v>449</v>
      </c>
      <c r="B1197" s="172" t="s">
        <v>467</v>
      </c>
      <c r="C1197" s="172">
        <v>50</v>
      </c>
      <c r="D1197" s="172">
        <v>0</v>
      </c>
      <c r="E1197" s="172">
        <v>0</v>
      </c>
      <c r="F1197" s="172">
        <v>0</v>
      </c>
      <c r="G1197" s="172">
        <v>16</v>
      </c>
      <c r="H1197" s="172">
        <v>26</v>
      </c>
      <c r="I1197" s="172">
        <v>25</v>
      </c>
      <c r="J1197" s="172">
        <v>1</v>
      </c>
      <c r="K1197" s="172">
        <v>68</v>
      </c>
      <c r="L1197" s="172">
        <v>1</v>
      </c>
      <c r="M1197" s="172">
        <v>11</v>
      </c>
      <c r="N1197" s="172">
        <v>21</v>
      </c>
      <c r="O1197" s="172">
        <v>43</v>
      </c>
      <c r="P1197" s="174">
        <v>1</v>
      </c>
    </row>
    <row r="1198" spans="1:16">
      <c r="A1198" s="171" t="s">
        <v>449</v>
      </c>
      <c r="B1198" s="171" t="s">
        <v>467</v>
      </c>
      <c r="C1198" s="171">
        <v>35</v>
      </c>
      <c r="D1198" s="171">
        <v>0</v>
      </c>
      <c r="E1198" s="171">
        <v>0</v>
      </c>
      <c r="F1198" s="171">
        <v>0</v>
      </c>
      <c r="G1198" s="171">
        <v>6</v>
      </c>
      <c r="H1198" s="171">
        <v>17</v>
      </c>
      <c r="I1198" s="171">
        <v>10</v>
      </c>
      <c r="J1198" s="171">
        <v>0</v>
      </c>
      <c r="K1198" s="171">
        <v>33</v>
      </c>
      <c r="L1198" s="171">
        <v>0</v>
      </c>
      <c r="M1198" s="171">
        <v>0</v>
      </c>
      <c r="N1198" s="171">
        <v>1</v>
      </c>
      <c r="O1198" s="171">
        <v>33</v>
      </c>
      <c r="P1198" s="173">
        <v>0</v>
      </c>
    </row>
    <row r="1199" spans="1:16">
      <c r="A1199" s="170" t="s">
        <v>449</v>
      </c>
      <c r="B1199" s="172" t="s">
        <v>467</v>
      </c>
      <c r="C1199" s="172">
        <v>20</v>
      </c>
      <c r="D1199" s="172">
        <v>0</v>
      </c>
      <c r="E1199" s="172">
        <v>0</v>
      </c>
      <c r="F1199" s="172">
        <v>0</v>
      </c>
      <c r="G1199" s="172">
        <v>4</v>
      </c>
      <c r="H1199" s="172">
        <v>3</v>
      </c>
      <c r="I1199" s="172">
        <v>3</v>
      </c>
      <c r="J1199" s="172">
        <v>0</v>
      </c>
      <c r="K1199" s="172">
        <v>10</v>
      </c>
      <c r="L1199" s="172">
        <v>5</v>
      </c>
      <c r="M1199" s="172">
        <v>0</v>
      </c>
      <c r="N1199" s="172">
        <v>0</v>
      </c>
      <c r="O1199" s="172">
        <v>8</v>
      </c>
      <c r="P1199" s="174">
        <v>0</v>
      </c>
    </row>
    <row r="1200" spans="1:16">
      <c r="A1200" s="169" t="s">
        <v>449</v>
      </c>
      <c r="B1200" s="171" t="s">
        <v>467</v>
      </c>
      <c r="C1200" s="171">
        <v>80</v>
      </c>
      <c r="D1200" s="171">
        <v>0</v>
      </c>
      <c r="E1200" s="171">
        <v>0</v>
      </c>
      <c r="F1200" s="171">
        <v>0</v>
      </c>
      <c r="G1200" s="171">
        <v>1</v>
      </c>
      <c r="H1200" s="171">
        <v>32</v>
      </c>
      <c r="I1200" s="171">
        <v>23</v>
      </c>
      <c r="J1200" s="171">
        <v>0</v>
      </c>
      <c r="K1200" s="171">
        <v>56</v>
      </c>
      <c r="L1200" s="171">
        <v>27</v>
      </c>
      <c r="M1200" s="171">
        <v>4</v>
      </c>
      <c r="N1200" s="171">
        <v>3</v>
      </c>
      <c r="O1200" s="171">
        <v>33</v>
      </c>
      <c r="P1200" s="173">
        <v>3</v>
      </c>
    </row>
    <row r="1201" spans="1:16">
      <c r="A1201" s="170" t="s">
        <v>449</v>
      </c>
      <c r="B1201" s="172" t="s">
        <v>467</v>
      </c>
      <c r="C1201" s="172">
        <v>55</v>
      </c>
      <c r="D1201" s="172">
        <v>15</v>
      </c>
      <c r="E1201" s="172">
        <v>5</v>
      </c>
      <c r="F1201" s="172">
        <v>10</v>
      </c>
      <c r="G1201" s="172">
        <v>16</v>
      </c>
      <c r="H1201" s="172">
        <v>21</v>
      </c>
      <c r="I1201" s="172">
        <v>16</v>
      </c>
      <c r="J1201" s="172">
        <v>1</v>
      </c>
      <c r="K1201" s="172">
        <v>69</v>
      </c>
      <c r="L1201" s="172">
        <v>5</v>
      </c>
      <c r="M1201" s="172">
        <v>5</v>
      </c>
      <c r="N1201" s="172">
        <v>17</v>
      </c>
      <c r="O1201" s="172">
        <v>52</v>
      </c>
      <c r="P1201" s="174">
        <v>2</v>
      </c>
    </row>
    <row r="1202" spans="1:16">
      <c r="A1202" s="169" t="s">
        <v>449</v>
      </c>
      <c r="B1202" s="171" t="s">
        <v>467</v>
      </c>
      <c r="C1202" s="171">
        <v>99</v>
      </c>
      <c r="D1202" s="171">
        <v>20</v>
      </c>
      <c r="E1202" s="171">
        <v>5</v>
      </c>
      <c r="F1202" s="171">
        <v>14</v>
      </c>
      <c r="G1202" s="171">
        <v>26</v>
      </c>
      <c r="H1202" s="171">
        <v>45</v>
      </c>
      <c r="I1202" s="171">
        <v>32</v>
      </c>
      <c r="J1202" s="171">
        <v>0</v>
      </c>
      <c r="K1202" s="171">
        <v>122</v>
      </c>
      <c r="L1202" s="171">
        <v>6</v>
      </c>
      <c r="M1202" s="171">
        <v>3</v>
      </c>
      <c r="N1202" s="171">
        <v>5</v>
      </c>
      <c r="O1202" s="171">
        <v>110</v>
      </c>
      <c r="P1202" s="173">
        <v>3</v>
      </c>
    </row>
    <row r="1203" spans="1:16" hidden="1">
      <c r="A1203" s="170" t="s">
        <v>450</v>
      </c>
      <c r="B1203" s="172" t="s">
        <v>467</v>
      </c>
      <c r="C1203" s="172">
        <v>50</v>
      </c>
      <c r="D1203" s="172">
        <v>50</v>
      </c>
      <c r="E1203" s="172">
        <v>4</v>
      </c>
      <c r="F1203" s="172">
        <v>11</v>
      </c>
      <c r="G1203" s="172">
        <v>9</v>
      </c>
      <c r="H1203" s="172">
        <v>8</v>
      </c>
      <c r="I1203" s="172">
        <v>6</v>
      </c>
      <c r="J1203" s="172">
        <v>1</v>
      </c>
      <c r="K1203" s="172">
        <v>39</v>
      </c>
      <c r="L1203" s="172">
        <v>2</v>
      </c>
      <c r="M1203" s="172">
        <v>0</v>
      </c>
      <c r="N1203" s="172">
        <v>0</v>
      </c>
      <c r="O1203" s="172">
        <v>37</v>
      </c>
      <c r="P1203" s="174">
        <v>0</v>
      </c>
    </row>
    <row r="1204" spans="1:16">
      <c r="A1204" s="169" t="s">
        <v>449</v>
      </c>
      <c r="B1204" s="171" t="s">
        <v>467</v>
      </c>
      <c r="C1204" s="171">
        <v>56</v>
      </c>
      <c r="D1204" s="171">
        <v>15</v>
      </c>
      <c r="E1204" s="171">
        <v>2</v>
      </c>
      <c r="F1204" s="171">
        <v>13</v>
      </c>
      <c r="G1204" s="171">
        <v>10</v>
      </c>
      <c r="H1204" s="171">
        <v>20</v>
      </c>
      <c r="I1204" s="171">
        <v>12</v>
      </c>
      <c r="J1204" s="171">
        <v>0</v>
      </c>
      <c r="K1204" s="171">
        <v>57</v>
      </c>
      <c r="L1204" s="171">
        <v>10</v>
      </c>
      <c r="M1204" s="171">
        <v>7</v>
      </c>
      <c r="N1204" s="171">
        <v>10</v>
      </c>
      <c r="O1204" s="171">
        <v>40</v>
      </c>
      <c r="P1204" s="173">
        <v>6</v>
      </c>
    </row>
    <row r="1205" spans="1:16">
      <c r="A1205" s="172" t="s">
        <v>449</v>
      </c>
      <c r="B1205" s="172" t="s">
        <v>467</v>
      </c>
      <c r="C1205" s="172">
        <v>85</v>
      </c>
      <c r="D1205" s="172">
        <v>25</v>
      </c>
      <c r="E1205" s="172">
        <v>3</v>
      </c>
      <c r="F1205" s="172">
        <v>5</v>
      </c>
      <c r="G1205" s="172">
        <v>8</v>
      </c>
      <c r="H1205" s="172">
        <v>13</v>
      </c>
      <c r="I1205" s="172">
        <v>10</v>
      </c>
      <c r="J1205" s="172">
        <v>1</v>
      </c>
      <c r="K1205" s="172">
        <v>40</v>
      </c>
      <c r="L1205" s="172">
        <v>8</v>
      </c>
      <c r="M1205" s="172">
        <v>1</v>
      </c>
      <c r="N1205" s="172">
        <v>4</v>
      </c>
      <c r="O1205" s="172">
        <v>28</v>
      </c>
      <c r="P1205" s="174">
        <v>1</v>
      </c>
    </row>
    <row r="1206" spans="1:16" hidden="1">
      <c r="A1206" s="169" t="s">
        <v>450</v>
      </c>
      <c r="B1206" s="171" t="s">
        <v>467</v>
      </c>
      <c r="C1206" s="171">
        <v>80</v>
      </c>
      <c r="D1206" s="171">
        <v>80</v>
      </c>
      <c r="E1206" s="171">
        <v>9</v>
      </c>
      <c r="F1206" s="171">
        <v>16</v>
      </c>
      <c r="G1206" s="171">
        <v>14</v>
      </c>
      <c r="H1206" s="171">
        <v>7</v>
      </c>
      <c r="I1206" s="171">
        <v>2</v>
      </c>
      <c r="J1206" s="171">
        <v>0</v>
      </c>
      <c r="K1206" s="171">
        <v>48</v>
      </c>
      <c r="L1206" s="171">
        <v>47</v>
      </c>
      <c r="M1206" s="171">
        <v>2</v>
      </c>
      <c r="N1206" s="171">
        <v>1</v>
      </c>
      <c r="O1206" s="171">
        <v>5</v>
      </c>
      <c r="P1206" s="173">
        <v>0</v>
      </c>
    </row>
    <row r="1207" spans="1:16">
      <c r="A1207" s="170" t="s">
        <v>449</v>
      </c>
      <c r="B1207" s="172" t="s">
        <v>467</v>
      </c>
      <c r="C1207" s="172">
        <v>50</v>
      </c>
      <c r="D1207" s="172">
        <v>0</v>
      </c>
      <c r="E1207" s="172">
        <v>0</v>
      </c>
      <c r="F1207" s="172">
        <v>0</v>
      </c>
      <c r="G1207" s="172">
        <v>0</v>
      </c>
      <c r="H1207" s="172">
        <v>6</v>
      </c>
      <c r="I1207" s="172">
        <v>32</v>
      </c>
      <c r="J1207" s="172">
        <v>0</v>
      </c>
      <c r="K1207" s="172">
        <v>38</v>
      </c>
      <c r="L1207" s="172">
        <v>4</v>
      </c>
      <c r="M1207" s="172">
        <v>1</v>
      </c>
      <c r="N1207" s="172">
        <v>0</v>
      </c>
      <c r="O1207" s="172">
        <v>33</v>
      </c>
      <c r="P1207" s="174">
        <v>2</v>
      </c>
    </row>
    <row r="1208" spans="1:16">
      <c r="A1208" s="169" t="s">
        <v>449</v>
      </c>
      <c r="B1208" s="171" t="s">
        <v>467</v>
      </c>
      <c r="C1208" s="171">
        <v>75</v>
      </c>
      <c r="D1208" s="171">
        <v>25</v>
      </c>
      <c r="E1208" s="171">
        <v>5</v>
      </c>
      <c r="F1208" s="171">
        <v>23</v>
      </c>
      <c r="G1208" s="171">
        <v>25</v>
      </c>
      <c r="H1208" s="171">
        <v>23</v>
      </c>
      <c r="I1208" s="171">
        <v>11</v>
      </c>
      <c r="J1208" s="171">
        <v>0</v>
      </c>
      <c r="K1208" s="171">
        <v>87</v>
      </c>
      <c r="L1208" s="171">
        <v>65</v>
      </c>
      <c r="M1208" s="171">
        <v>6</v>
      </c>
      <c r="N1208" s="171">
        <v>1</v>
      </c>
      <c r="O1208" s="171">
        <v>16</v>
      </c>
      <c r="P1208" s="173">
        <v>12</v>
      </c>
    </row>
    <row r="1209" spans="1:16">
      <c r="A1209" s="170" t="s">
        <v>449</v>
      </c>
      <c r="B1209" s="172" t="s">
        <v>467</v>
      </c>
      <c r="C1209" s="172">
        <v>43</v>
      </c>
      <c r="D1209" s="172">
        <v>20</v>
      </c>
      <c r="E1209" s="172">
        <v>3</v>
      </c>
      <c r="F1209" s="172">
        <v>8</v>
      </c>
      <c r="G1209" s="172">
        <v>8</v>
      </c>
      <c r="H1209" s="172">
        <v>9</v>
      </c>
      <c r="I1209" s="172">
        <v>7</v>
      </c>
      <c r="J1209" s="172">
        <v>0</v>
      </c>
      <c r="K1209" s="172">
        <v>35</v>
      </c>
      <c r="L1209" s="172">
        <v>21</v>
      </c>
      <c r="M1209" s="172">
        <v>2</v>
      </c>
      <c r="N1209" s="172">
        <v>4</v>
      </c>
      <c r="O1209" s="172">
        <v>14</v>
      </c>
      <c r="P1209" s="174">
        <v>2</v>
      </c>
    </row>
    <row r="1210" spans="1:16">
      <c r="A1210" s="169" t="s">
        <v>449</v>
      </c>
      <c r="B1210" s="171" t="s">
        <v>467</v>
      </c>
      <c r="C1210" s="171">
        <v>60</v>
      </c>
      <c r="D1210" s="171">
        <v>18</v>
      </c>
      <c r="E1210" s="171">
        <v>1</v>
      </c>
      <c r="F1210" s="171">
        <v>16</v>
      </c>
      <c r="G1210" s="171">
        <v>13</v>
      </c>
      <c r="H1210" s="171">
        <v>16</v>
      </c>
      <c r="I1210" s="171">
        <v>17</v>
      </c>
      <c r="J1210" s="171">
        <v>1</v>
      </c>
      <c r="K1210" s="171">
        <v>64</v>
      </c>
      <c r="L1210" s="171">
        <v>51</v>
      </c>
      <c r="M1210" s="171">
        <v>8</v>
      </c>
      <c r="N1210" s="171">
        <v>7</v>
      </c>
      <c r="O1210" s="171">
        <v>14</v>
      </c>
      <c r="P1210" s="173">
        <v>2</v>
      </c>
    </row>
    <row r="1211" spans="1:16">
      <c r="A1211" s="170" t="s">
        <v>449</v>
      </c>
      <c r="B1211" s="172" t="s">
        <v>467</v>
      </c>
      <c r="C1211" s="172">
        <v>42</v>
      </c>
      <c r="D1211" s="172">
        <v>8</v>
      </c>
      <c r="E1211" s="172">
        <v>2</v>
      </c>
      <c r="F1211" s="172">
        <v>5</v>
      </c>
      <c r="G1211" s="172">
        <v>8</v>
      </c>
      <c r="H1211" s="172">
        <v>11</v>
      </c>
      <c r="I1211" s="172">
        <v>11</v>
      </c>
      <c r="J1211" s="172">
        <v>0</v>
      </c>
      <c r="K1211" s="172">
        <v>37</v>
      </c>
      <c r="L1211" s="172">
        <v>6</v>
      </c>
      <c r="M1211" s="172">
        <v>11</v>
      </c>
      <c r="N1211" s="172">
        <v>15</v>
      </c>
      <c r="O1211" s="172">
        <v>18</v>
      </c>
      <c r="P1211" s="174">
        <v>0</v>
      </c>
    </row>
    <row r="1212" spans="1:16" hidden="1">
      <c r="A1212" s="169" t="s">
        <v>468</v>
      </c>
      <c r="B1212" s="171" t="s">
        <v>467</v>
      </c>
      <c r="C1212" s="171">
        <v>40</v>
      </c>
      <c r="D1212" s="171">
        <v>10</v>
      </c>
      <c r="E1212" s="171">
        <v>1</v>
      </c>
      <c r="F1212" s="171">
        <v>8</v>
      </c>
      <c r="G1212" s="171">
        <v>12</v>
      </c>
      <c r="H1212" s="171">
        <v>6</v>
      </c>
      <c r="I1212" s="171">
        <v>10</v>
      </c>
      <c r="J1212" s="171">
        <v>1</v>
      </c>
      <c r="K1212" s="171">
        <v>38</v>
      </c>
      <c r="L1212" s="171">
        <v>0</v>
      </c>
      <c r="M1212" s="171">
        <v>3</v>
      </c>
      <c r="N1212" s="171">
        <v>36</v>
      </c>
      <c r="O1212" s="171">
        <v>2</v>
      </c>
      <c r="P1212" s="173">
        <v>0</v>
      </c>
    </row>
    <row r="1213" spans="1:16" hidden="1">
      <c r="A1213" s="170" t="s">
        <v>450</v>
      </c>
      <c r="B1213" s="172" t="s">
        <v>467</v>
      </c>
      <c r="C1213" s="172">
        <v>100</v>
      </c>
      <c r="D1213" s="172">
        <v>100</v>
      </c>
      <c r="E1213" s="172">
        <v>11</v>
      </c>
      <c r="F1213" s="172">
        <v>15</v>
      </c>
      <c r="G1213" s="172">
        <v>11</v>
      </c>
      <c r="H1213" s="172">
        <v>15</v>
      </c>
      <c r="I1213" s="172">
        <v>11</v>
      </c>
      <c r="J1213" s="172">
        <v>0</v>
      </c>
      <c r="K1213" s="172">
        <v>63</v>
      </c>
      <c r="L1213" s="172">
        <v>4</v>
      </c>
      <c r="M1213" s="172">
        <v>1</v>
      </c>
      <c r="N1213" s="172">
        <v>0</v>
      </c>
      <c r="O1213" s="172">
        <v>62</v>
      </c>
      <c r="P1213" s="174">
        <v>4</v>
      </c>
    </row>
    <row r="1214" spans="1:16">
      <c r="A1214" s="169" t="s">
        <v>449</v>
      </c>
      <c r="B1214" s="171" t="s">
        <v>467</v>
      </c>
      <c r="C1214" s="171">
        <v>40</v>
      </c>
      <c r="D1214" s="171">
        <v>10</v>
      </c>
      <c r="E1214" s="171">
        <v>1</v>
      </c>
      <c r="F1214" s="171">
        <v>9</v>
      </c>
      <c r="G1214" s="171">
        <v>13</v>
      </c>
      <c r="H1214" s="171">
        <v>14</v>
      </c>
      <c r="I1214" s="171">
        <v>12</v>
      </c>
      <c r="J1214" s="171">
        <v>0</v>
      </c>
      <c r="K1214" s="171">
        <v>49</v>
      </c>
      <c r="L1214" s="171">
        <v>6</v>
      </c>
      <c r="M1214" s="171">
        <v>1</v>
      </c>
      <c r="N1214" s="171">
        <v>1</v>
      </c>
      <c r="O1214" s="171">
        <v>42</v>
      </c>
      <c r="P1214" s="173">
        <v>6</v>
      </c>
    </row>
    <row r="1215" spans="1:16">
      <c r="A1215" s="170" t="s">
        <v>449</v>
      </c>
      <c r="B1215" s="172" t="s">
        <v>467</v>
      </c>
      <c r="C1215" s="172">
        <v>110</v>
      </c>
      <c r="D1215" s="172">
        <v>30</v>
      </c>
      <c r="E1215" s="172">
        <v>3</v>
      </c>
      <c r="F1215" s="172">
        <v>17</v>
      </c>
      <c r="G1215" s="172">
        <v>22</v>
      </c>
      <c r="H1215" s="172">
        <v>24</v>
      </c>
      <c r="I1215" s="172">
        <v>26</v>
      </c>
      <c r="J1215" s="172">
        <v>1</v>
      </c>
      <c r="K1215" s="172">
        <v>93</v>
      </c>
      <c r="L1215" s="172">
        <v>59</v>
      </c>
      <c r="M1215" s="172">
        <v>13</v>
      </c>
      <c r="N1215" s="172">
        <v>10</v>
      </c>
      <c r="O1215" s="172">
        <v>31</v>
      </c>
      <c r="P1215" s="174">
        <v>4</v>
      </c>
    </row>
    <row r="1216" spans="1:16">
      <c r="A1216" s="169" t="s">
        <v>449</v>
      </c>
      <c r="B1216" s="171" t="s">
        <v>467</v>
      </c>
      <c r="C1216" s="171">
        <v>70</v>
      </c>
      <c r="D1216" s="171">
        <v>20</v>
      </c>
      <c r="E1216" s="171">
        <v>2</v>
      </c>
      <c r="F1216" s="171">
        <v>14</v>
      </c>
      <c r="G1216" s="171">
        <v>19</v>
      </c>
      <c r="H1216" s="171">
        <v>21</v>
      </c>
      <c r="I1216" s="171">
        <v>17</v>
      </c>
      <c r="J1216" s="171">
        <v>0</v>
      </c>
      <c r="K1216" s="171">
        <v>73</v>
      </c>
      <c r="L1216" s="171">
        <v>69</v>
      </c>
      <c r="M1216" s="171">
        <v>3</v>
      </c>
      <c r="N1216" s="171">
        <v>7</v>
      </c>
      <c r="O1216" s="171">
        <v>9</v>
      </c>
      <c r="P1216" s="173">
        <v>0</v>
      </c>
    </row>
    <row r="1217" spans="1:16">
      <c r="A1217" s="170" t="s">
        <v>449</v>
      </c>
      <c r="B1217" s="172" t="s">
        <v>467</v>
      </c>
      <c r="C1217" s="172">
        <v>120</v>
      </c>
      <c r="D1217" s="172">
        <v>25</v>
      </c>
      <c r="E1217" s="172">
        <v>3</v>
      </c>
      <c r="F1217" s="172">
        <v>24</v>
      </c>
      <c r="G1217" s="172">
        <v>25</v>
      </c>
      <c r="H1217" s="172">
        <v>24</v>
      </c>
      <c r="I1217" s="172">
        <v>29</v>
      </c>
      <c r="J1217" s="172">
        <v>1</v>
      </c>
      <c r="K1217" s="172">
        <v>106</v>
      </c>
      <c r="L1217" s="172">
        <v>29</v>
      </c>
      <c r="M1217" s="172">
        <v>10</v>
      </c>
      <c r="N1217" s="172">
        <v>13</v>
      </c>
      <c r="O1217" s="172">
        <v>72</v>
      </c>
      <c r="P1217" s="174">
        <v>5</v>
      </c>
    </row>
    <row r="1218" spans="1:16">
      <c r="A1218" s="169" t="s">
        <v>449</v>
      </c>
      <c r="B1218" s="171" t="s">
        <v>467</v>
      </c>
      <c r="C1218" s="171">
        <v>65</v>
      </c>
      <c r="D1218" s="171">
        <v>10</v>
      </c>
      <c r="E1218" s="171">
        <v>3</v>
      </c>
      <c r="F1218" s="171">
        <v>9</v>
      </c>
      <c r="G1218" s="171">
        <v>16</v>
      </c>
      <c r="H1218" s="171">
        <v>12</v>
      </c>
      <c r="I1218" s="171">
        <v>24</v>
      </c>
      <c r="J1218" s="171">
        <v>2</v>
      </c>
      <c r="K1218" s="171">
        <v>66</v>
      </c>
      <c r="L1218" s="171">
        <v>35</v>
      </c>
      <c r="M1218" s="171">
        <v>15</v>
      </c>
      <c r="N1218" s="171">
        <v>8</v>
      </c>
      <c r="O1218" s="171">
        <v>25</v>
      </c>
      <c r="P1218" s="173">
        <v>2</v>
      </c>
    </row>
    <row r="1219" spans="1:16">
      <c r="A1219" s="170" t="s">
        <v>449</v>
      </c>
      <c r="B1219" s="172" t="s">
        <v>467</v>
      </c>
      <c r="C1219" s="172">
        <v>145</v>
      </c>
      <c r="D1219" s="172">
        <v>40</v>
      </c>
      <c r="E1219" s="172">
        <v>5</v>
      </c>
      <c r="F1219" s="172">
        <v>26</v>
      </c>
      <c r="G1219" s="172">
        <v>39</v>
      </c>
      <c r="H1219" s="172">
        <v>26</v>
      </c>
      <c r="I1219" s="172">
        <v>35</v>
      </c>
      <c r="J1219" s="172">
        <v>3</v>
      </c>
      <c r="K1219" s="172">
        <v>134</v>
      </c>
      <c r="L1219" s="172">
        <v>94</v>
      </c>
      <c r="M1219" s="172">
        <v>20</v>
      </c>
      <c r="N1219" s="172">
        <v>6</v>
      </c>
      <c r="O1219" s="172">
        <v>25</v>
      </c>
      <c r="P1219" s="174">
        <v>24</v>
      </c>
    </row>
    <row r="1220" spans="1:16">
      <c r="A1220" s="169" t="s">
        <v>449</v>
      </c>
      <c r="B1220" s="171" t="s">
        <v>467</v>
      </c>
      <c r="C1220" s="171">
        <v>84</v>
      </c>
      <c r="D1220" s="171">
        <v>20</v>
      </c>
      <c r="E1220" s="171">
        <v>2</v>
      </c>
      <c r="F1220" s="171">
        <v>15</v>
      </c>
      <c r="G1220" s="171">
        <v>23</v>
      </c>
      <c r="H1220" s="171">
        <v>21</v>
      </c>
      <c r="I1220" s="171">
        <v>22</v>
      </c>
      <c r="J1220" s="171">
        <v>0</v>
      </c>
      <c r="K1220" s="171">
        <v>83</v>
      </c>
      <c r="L1220" s="171">
        <v>71</v>
      </c>
      <c r="M1220" s="171">
        <v>8</v>
      </c>
      <c r="N1220" s="171">
        <v>3</v>
      </c>
      <c r="O1220" s="171">
        <v>6</v>
      </c>
      <c r="P1220" s="173">
        <v>14</v>
      </c>
    </row>
    <row r="1221" spans="1:16">
      <c r="A1221" s="170" t="s">
        <v>449</v>
      </c>
      <c r="B1221" s="172" t="s">
        <v>467</v>
      </c>
      <c r="C1221" s="172">
        <v>100</v>
      </c>
      <c r="D1221" s="172">
        <v>22</v>
      </c>
      <c r="E1221" s="172">
        <v>2</v>
      </c>
      <c r="F1221" s="172">
        <v>12</v>
      </c>
      <c r="G1221" s="172">
        <v>8</v>
      </c>
      <c r="H1221" s="172">
        <v>15</v>
      </c>
      <c r="I1221" s="172">
        <v>23</v>
      </c>
      <c r="J1221" s="172">
        <v>0</v>
      </c>
      <c r="K1221" s="172">
        <v>60</v>
      </c>
      <c r="L1221" s="172">
        <v>42</v>
      </c>
      <c r="M1221" s="172">
        <v>15</v>
      </c>
      <c r="N1221" s="172">
        <v>3</v>
      </c>
      <c r="O1221" s="172">
        <v>16</v>
      </c>
      <c r="P1221" s="174">
        <v>2</v>
      </c>
    </row>
    <row r="1222" spans="1:16">
      <c r="A1222" s="171" t="s">
        <v>449</v>
      </c>
      <c r="B1222" s="171" t="s">
        <v>467</v>
      </c>
      <c r="C1222" s="171">
        <v>54</v>
      </c>
      <c r="D1222" s="171">
        <v>10</v>
      </c>
      <c r="E1222" s="171">
        <v>0</v>
      </c>
      <c r="F1222" s="171">
        <v>8</v>
      </c>
      <c r="G1222" s="171">
        <v>8</v>
      </c>
      <c r="H1222" s="171">
        <v>15</v>
      </c>
      <c r="I1222" s="171">
        <v>10</v>
      </c>
      <c r="J1222" s="171">
        <v>0</v>
      </c>
      <c r="K1222" s="171">
        <v>41</v>
      </c>
      <c r="L1222" s="171">
        <v>36</v>
      </c>
      <c r="M1222" s="171">
        <v>17</v>
      </c>
      <c r="N1222" s="171">
        <v>6</v>
      </c>
      <c r="O1222" s="171">
        <v>3</v>
      </c>
      <c r="P1222" s="173">
        <v>1</v>
      </c>
    </row>
    <row r="1223" spans="1:16">
      <c r="A1223" s="172" t="s">
        <v>449</v>
      </c>
      <c r="B1223" s="172" t="s">
        <v>467</v>
      </c>
      <c r="C1223" s="172">
        <v>43</v>
      </c>
      <c r="D1223" s="172">
        <v>8</v>
      </c>
      <c r="E1223" s="172">
        <v>1</v>
      </c>
      <c r="F1223" s="172">
        <v>5</v>
      </c>
      <c r="G1223" s="172">
        <v>11</v>
      </c>
      <c r="H1223" s="172">
        <v>14</v>
      </c>
      <c r="I1223" s="172">
        <v>11</v>
      </c>
      <c r="J1223" s="172">
        <v>0</v>
      </c>
      <c r="K1223" s="172">
        <v>42</v>
      </c>
      <c r="L1223" s="172">
        <v>21</v>
      </c>
      <c r="M1223" s="172">
        <v>6</v>
      </c>
      <c r="N1223" s="172">
        <v>2</v>
      </c>
      <c r="O1223" s="172">
        <v>17</v>
      </c>
      <c r="P1223" s="174">
        <v>9</v>
      </c>
    </row>
    <row r="1224" spans="1:16" hidden="1">
      <c r="A1224" s="169" t="s">
        <v>450</v>
      </c>
      <c r="B1224" s="171" t="s">
        <v>467</v>
      </c>
      <c r="C1224" s="171">
        <v>50</v>
      </c>
      <c r="D1224" s="171">
        <v>50</v>
      </c>
      <c r="E1224" s="171">
        <v>8</v>
      </c>
      <c r="F1224" s="171">
        <v>13</v>
      </c>
      <c r="G1224" s="171">
        <v>11</v>
      </c>
      <c r="H1224" s="171">
        <v>11</v>
      </c>
      <c r="I1224" s="171">
        <v>7</v>
      </c>
      <c r="J1224" s="171">
        <v>0</v>
      </c>
      <c r="K1224" s="171">
        <v>50</v>
      </c>
      <c r="L1224" s="171">
        <v>0</v>
      </c>
      <c r="M1224" s="171">
        <v>0</v>
      </c>
      <c r="N1224" s="171">
        <v>0</v>
      </c>
      <c r="O1224" s="171">
        <v>50</v>
      </c>
      <c r="P1224" s="173">
        <v>0</v>
      </c>
    </row>
    <row r="1225" spans="1:16">
      <c r="A1225" s="170" t="s">
        <v>449</v>
      </c>
      <c r="B1225" s="172" t="s">
        <v>467</v>
      </c>
      <c r="C1225" s="172">
        <v>150</v>
      </c>
      <c r="D1225" s="172">
        <v>50</v>
      </c>
      <c r="E1225" s="172">
        <v>2</v>
      </c>
      <c r="F1225" s="172">
        <v>29</v>
      </c>
      <c r="G1225" s="172">
        <v>37</v>
      </c>
      <c r="H1225" s="172">
        <v>41</v>
      </c>
      <c r="I1225" s="172">
        <v>36</v>
      </c>
      <c r="J1225" s="172">
        <v>1</v>
      </c>
      <c r="K1225" s="172">
        <v>146</v>
      </c>
      <c r="L1225" s="172">
        <v>99</v>
      </c>
      <c r="M1225" s="172">
        <v>15</v>
      </c>
      <c r="N1225" s="172">
        <v>3</v>
      </c>
      <c r="O1225" s="172">
        <v>48</v>
      </c>
      <c r="P1225" s="174">
        <v>9</v>
      </c>
    </row>
    <row r="1226" spans="1:16">
      <c r="A1226" s="169" t="s">
        <v>449</v>
      </c>
      <c r="B1226" s="171" t="s">
        <v>467</v>
      </c>
      <c r="C1226" s="171">
        <v>55</v>
      </c>
      <c r="D1226" s="171">
        <v>10</v>
      </c>
      <c r="E1226" s="171">
        <v>2</v>
      </c>
      <c r="F1226" s="171">
        <v>12</v>
      </c>
      <c r="G1226" s="171">
        <v>10</v>
      </c>
      <c r="H1226" s="171">
        <v>19</v>
      </c>
      <c r="I1226" s="171">
        <v>11</v>
      </c>
      <c r="J1226" s="171">
        <v>0</v>
      </c>
      <c r="K1226" s="171">
        <v>54</v>
      </c>
      <c r="L1226" s="171">
        <v>14</v>
      </c>
      <c r="M1226" s="171">
        <v>7</v>
      </c>
      <c r="N1226" s="171">
        <v>15</v>
      </c>
      <c r="O1226" s="171">
        <v>27</v>
      </c>
      <c r="P1226" s="173">
        <v>2</v>
      </c>
    </row>
    <row r="1227" spans="1:16">
      <c r="A1227" s="170" t="s">
        <v>449</v>
      </c>
      <c r="B1227" s="172" t="s">
        <v>467</v>
      </c>
      <c r="C1227" s="172">
        <v>34</v>
      </c>
      <c r="D1227" s="172">
        <v>10</v>
      </c>
      <c r="E1227" s="172">
        <v>0</v>
      </c>
      <c r="F1227" s="172">
        <v>9</v>
      </c>
      <c r="G1227" s="172">
        <v>6</v>
      </c>
      <c r="H1227" s="172">
        <v>12</v>
      </c>
      <c r="I1227" s="172">
        <v>9</v>
      </c>
      <c r="J1227" s="172">
        <v>0</v>
      </c>
      <c r="K1227" s="172">
        <v>36</v>
      </c>
      <c r="L1227" s="172">
        <v>30</v>
      </c>
      <c r="M1227" s="172">
        <v>5</v>
      </c>
      <c r="N1227" s="172">
        <v>0</v>
      </c>
      <c r="O1227" s="172">
        <v>5</v>
      </c>
      <c r="P1227" s="174">
        <v>4</v>
      </c>
    </row>
    <row r="1228" spans="1:16">
      <c r="A1228" s="169" t="s">
        <v>449</v>
      </c>
      <c r="B1228" s="171" t="s">
        <v>467</v>
      </c>
      <c r="C1228" s="171">
        <v>90</v>
      </c>
      <c r="D1228" s="171">
        <v>22</v>
      </c>
      <c r="E1228" s="171">
        <v>1</v>
      </c>
      <c r="F1228" s="171">
        <v>18</v>
      </c>
      <c r="G1228" s="171">
        <v>16</v>
      </c>
      <c r="H1228" s="171">
        <v>25</v>
      </c>
      <c r="I1228" s="171">
        <v>22</v>
      </c>
      <c r="J1228" s="171">
        <v>1</v>
      </c>
      <c r="K1228" s="171">
        <v>83</v>
      </c>
      <c r="L1228" s="171">
        <v>12</v>
      </c>
      <c r="M1228" s="171">
        <v>10</v>
      </c>
      <c r="N1228" s="171">
        <v>21</v>
      </c>
      <c r="O1228" s="171">
        <v>56</v>
      </c>
      <c r="P1228" s="173">
        <v>5</v>
      </c>
    </row>
    <row r="1229" spans="1:16">
      <c r="A1229" s="170" t="s">
        <v>449</v>
      </c>
      <c r="B1229" s="172" t="s">
        <v>467</v>
      </c>
      <c r="C1229" s="172">
        <v>45</v>
      </c>
      <c r="D1229" s="172">
        <v>5</v>
      </c>
      <c r="E1229" s="172">
        <v>0</v>
      </c>
      <c r="F1229" s="172">
        <v>5</v>
      </c>
      <c r="G1229" s="172">
        <v>10</v>
      </c>
      <c r="H1229" s="172">
        <v>10</v>
      </c>
      <c r="I1229" s="172">
        <v>13</v>
      </c>
      <c r="J1229" s="172">
        <v>2</v>
      </c>
      <c r="K1229" s="172">
        <v>40</v>
      </c>
      <c r="L1229" s="172">
        <v>0</v>
      </c>
      <c r="M1229" s="172">
        <v>8</v>
      </c>
      <c r="N1229" s="172">
        <v>25</v>
      </c>
      <c r="O1229" s="172">
        <v>9</v>
      </c>
      <c r="P1229" s="174">
        <v>3</v>
      </c>
    </row>
    <row r="1230" spans="1:16">
      <c r="A1230" s="169" t="s">
        <v>449</v>
      </c>
      <c r="B1230" s="171" t="s">
        <v>467</v>
      </c>
      <c r="C1230" s="171">
        <v>120</v>
      </c>
      <c r="D1230" s="171">
        <v>45</v>
      </c>
      <c r="E1230" s="171">
        <v>3</v>
      </c>
      <c r="F1230" s="171">
        <v>23</v>
      </c>
      <c r="G1230" s="171">
        <v>24</v>
      </c>
      <c r="H1230" s="171">
        <v>26</v>
      </c>
      <c r="I1230" s="171">
        <v>24</v>
      </c>
      <c r="J1230" s="171">
        <v>0</v>
      </c>
      <c r="K1230" s="171">
        <v>100</v>
      </c>
      <c r="L1230" s="171">
        <v>67</v>
      </c>
      <c r="M1230" s="171">
        <v>8</v>
      </c>
      <c r="N1230" s="171">
        <v>2</v>
      </c>
      <c r="O1230" s="171">
        <v>24</v>
      </c>
      <c r="P1230" s="173">
        <v>7</v>
      </c>
    </row>
    <row r="1231" spans="1:16" hidden="1">
      <c r="A1231" s="170" t="s">
        <v>450</v>
      </c>
      <c r="B1231" s="172" t="s">
        <v>467</v>
      </c>
      <c r="C1231" s="172">
        <v>80</v>
      </c>
      <c r="D1231" s="172">
        <v>80</v>
      </c>
      <c r="E1231" s="172">
        <v>10</v>
      </c>
      <c r="F1231" s="172">
        <v>20</v>
      </c>
      <c r="G1231" s="172">
        <v>19</v>
      </c>
      <c r="H1231" s="172">
        <v>13</v>
      </c>
      <c r="I1231" s="172">
        <v>13</v>
      </c>
      <c r="J1231" s="172">
        <v>0</v>
      </c>
      <c r="K1231" s="172">
        <v>75</v>
      </c>
      <c r="L1231" s="172">
        <v>0</v>
      </c>
      <c r="M1231" s="172">
        <v>0</v>
      </c>
      <c r="N1231" s="172">
        <v>0</v>
      </c>
      <c r="O1231" s="172">
        <v>75</v>
      </c>
      <c r="P1231" s="174">
        <v>2</v>
      </c>
    </row>
    <row r="1232" spans="1:16">
      <c r="A1232" s="169" t="s">
        <v>449</v>
      </c>
      <c r="B1232" s="171" t="s">
        <v>467</v>
      </c>
      <c r="C1232" s="171">
        <v>118</v>
      </c>
      <c r="D1232" s="171">
        <v>20</v>
      </c>
      <c r="E1232" s="171">
        <v>3</v>
      </c>
      <c r="F1232" s="171">
        <v>11</v>
      </c>
      <c r="G1232" s="171">
        <v>19</v>
      </c>
      <c r="H1232" s="171">
        <v>21</v>
      </c>
      <c r="I1232" s="171">
        <v>23</v>
      </c>
      <c r="J1232" s="171">
        <v>1</v>
      </c>
      <c r="K1232" s="171">
        <v>78</v>
      </c>
      <c r="L1232" s="171">
        <v>19</v>
      </c>
      <c r="M1232" s="171">
        <v>3</v>
      </c>
      <c r="N1232" s="171">
        <v>0</v>
      </c>
      <c r="O1232" s="171">
        <v>66</v>
      </c>
      <c r="P1232" s="173">
        <v>1</v>
      </c>
    </row>
    <row r="1233" spans="1:16">
      <c r="A1233" s="172" t="s">
        <v>449</v>
      </c>
      <c r="B1233" s="172" t="s">
        <v>467</v>
      </c>
      <c r="C1233" s="172">
        <v>64</v>
      </c>
      <c r="D1233" s="172">
        <v>16</v>
      </c>
      <c r="E1233" s="172">
        <v>3</v>
      </c>
      <c r="F1233" s="172">
        <v>10</v>
      </c>
      <c r="G1233" s="172">
        <v>16</v>
      </c>
      <c r="H1233" s="172">
        <v>21</v>
      </c>
      <c r="I1233" s="172">
        <v>13</v>
      </c>
      <c r="J1233" s="172">
        <v>0</v>
      </c>
      <c r="K1233" s="172">
        <v>63</v>
      </c>
      <c r="L1233" s="172">
        <v>5</v>
      </c>
      <c r="M1233" s="172">
        <v>4</v>
      </c>
      <c r="N1233" s="172">
        <v>5</v>
      </c>
      <c r="O1233" s="172">
        <v>55</v>
      </c>
      <c r="P1233" s="174">
        <v>0</v>
      </c>
    </row>
    <row r="1234" spans="1:16">
      <c r="A1234" s="169" t="s">
        <v>449</v>
      </c>
      <c r="B1234" s="171" t="s">
        <v>467</v>
      </c>
      <c r="C1234" s="171">
        <v>100</v>
      </c>
      <c r="D1234" s="171">
        <v>25</v>
      </c>
      <c r="E1234" s="171">
        <v>2</v>
      </c>
      <c r="F1234" s="171">
        <v>15</v>
      </c>
      <c r="G1234" s="171">
        <v>20</v>
      </c>
      <c r="H1234" s="171">
        <v>16</v>
      </c>
      <c r="I1234" s="171">
        <v>11</v>
      </c>
      <c r="J1234" s="171">
        <v>2</v>
      </c>
      <c r="K1234" s="171">
        <v>66</v>
      </c>
      <c r="L1234" s="171">
        <v>13</v>
      </c>
      <c r="M1234" s="171">
        <v>1</v>
      </c>
      <c r="N1234" s="171">
        <v>6</v>
      </c>
      <c r="O1234" s="171">
        <v>51</v>
      </c>
      <c r="P1234" s="173">
        <v>4</v>
      </c>
    </row>
    <row r="1235" spans="1:16">
      <c r="A1235" s="170" t="s">
        <v>449</v>
      </c>
      <c r="B1235" s="172" t="s">
        <v>467</v>
      </c>
      <c r="C1235" s="172">
        <v>150</v>
      </c>
      <c r="D1235" s="172">
        <v>30</v>
      </c>
      <c r="E1235" s="172">
        <v>6</v>
      </c>
      <c r="F1235" s="172">
        <v>16</v>
      </c>
      <c r="G1235" s="172">
        <v>32</v>
      </c>
      <c r="H1235" s="172">
        <v>33</v>
      </c>
      <c r="I1235" s="172">
        <v>44</v>
      </c>
      <c r="J1235" s="172">
        <v>6</v>
      </c>
      <c r="K1235" s="172">
        <v>137</v>
      </c>
      <c r="L1235" s="172">
        <v>43</v>
      </c>
      <c r="M1235" s="172">
        <v>3</v>
      </c>
      <c r="N1235" s="172">
        <v>1</v>
      </c>
      <c r="O1235" s="172">
        <v>90</v>
      </c>
      <c r="P1235" s="174">
        <v>7</v>
      </c>
    </row>
    <row r="1236" spans="1:16" hidden="1">
      <c r="A1236" s="171" t="s">
        <v>450</v>
      </c>
      <c r="B1236" s="171" t="s">
        <v>467</v>
      </c>
      <c r="C1236" s="171">
        <v>50</v>
      </c>
      <c r="D1236" s="171">
        <v>50</v>
      </c>
      <c r="E1236" s="171">
        <v>1</v>
      </c>
      <c r="F1236" s="171">
        <v>5</v>
      </c>
      <c r="G1236" s="171">
        <v>2</v>
      </c>
      <c r="H1236" s="171">
        <v>2</v>
      </c>
      <c r="I1236" s="171">
        <v>3</v>
      </c>
      <c r="J1236" s="171">
        <v>0</v>
      </c>
      <c r="K1236" s="171">
        <v>13</v>
      </c>
      <c r="L1236" s="171">
        <v>3</v>
      </c>
      <c r="M1236" s="171">
        <v>0</v>
      </c>
      <c r="N1236" s="171">
        <v>0</v>
      </c>
      <c r="O1236" s="171">
        <v>13</v>
      </c>
      <c r="P1236" s="173">
        <v>0</v>
      </c>
    </row>
    <row r="1237" spans="1:16" hidden="1">
      <c r="A1237" s="172" t="s">
        <v>450</v>
      </c>
      <c r="B1237" s="172" t="s">
        <v>467</v>
      </c>
      <c r="C1237" s="172">
        <v>80</v>
      </c>
      <c r="D1237" s="172">
        <v>80</v>
      </c>
      <c r="E1237" s="172">
        <v>5</v>
      </c>
      <c r="F1237" s="172">
        <v>10</v>
      </c>
      <c r="G1237" s="172">
        <v>13</v>
      </c>
      <c r="H1237" s="172">
        <v>14</v>
      </c>
      <c r="I1237" s="172">
        <v>10</v>
      </c>
      <c r="J1237" s="172">
        <v>0</v>
      </c>
      <c r="K1237" s="172">
        <v>52</v>
      </c>
      <c r="L1237" s="172">
        <v>3</v>
      </c>
      <c r="M1237" s="172">
        <v>0</v>
      </c>
      <c r="N1237" s="172">
        <v>0</v>
      </c>
      <c r="O1237" s="172">
        <v>51</v>
      </c>
      <c r="P1237" s="174">
        <v>0</v>
      </c>
    </row>
    <row r="1238" spans="1:16">
      <c r="A1238" s="169" t="s">
        <v>449</v>
      </c>
      <c r="B1238" s="171" t="s">
        <v>467</v>
      </c>
      <c r="C1238" s="171">
        <v>100</v>
      </c>
      <c r="D1238" s="171">
        <v>25</v>
      </c>
      <c r="E1238" s="171">
        <v>1</v>
      </c>
      <c r="F1238" s="171">
        <v>14</v>
      </c>
      <c r="G1238" s="171">
        <v>14</v>
      </c>
      <c r="H1238" s="171">
        <v>15</v>
      </c>
      <c r="I1238" s="171">
        <v>15</v>
      </c>
      <c r="J1238" s="171">
        <v>2</v>
      </c>
      <c r="K1238" s="171">
        <v>61</v>
      </c>
      <c r="L1238" s="171">
        <v>48</v>
      </c>
      <c r="M1238" s="171">
        <v>10</v>
      </c>
      <c r="N1238" s="171">
        <v>1</v>
      </c>
      <c r="O1238" s="171">
        <v>14</v>
      </c>
      <c r="P1238" s="173">
        <v>3</v>
      </c>
    </row>
    <row r="1239" spans="1:16">
      <c r="A1239" s="170" t="s">
        <v>449</v>
      </c>
      <c r="B1239" s="172" t="s">
        <v>467</v>
      </c>
      <c r="C1239" s="172">
        <v>66</v>
      </c>
      <c r="D1239" s="172">
        <v>15</v>
      </c>
      <c r="E1239" s="172">
        <v>2</v>
      </c>
      <c r="F1239" s="172">
        <v>13</v>
      </c>
      <c r="G1239" s="172">
        <v>15</v>
      </c>
      <c r="H1239" s="172">
        <v>9</v>
      </c>
      <c r="I1239" s="172">
        <v>7</v>
      </c>
      <c r="J1239" s="172">
        <v>0</v>
      </c>
      <c r="K1239" s="172">
        <v>46</v>
      </c>
      <c r="L1239" s="172">
        <v>11</v>
      </c>
      <c r="M1239" s="172">
        <v>5</v>
      </c>
      <c r="N1239" s="172">
        <v>6</v>
      </c>
      <c r="O1239" s="172">
        <v>31</v>
      </c>
      <c r="P1239" s="174">
        <v>4</v>
      </c>
    </row>
    <row r="1240" spans="1:16">
      <c r="A1240" s="171" t="s">
        <v>449</v>
      </c>
      <c r="B1240" s="171" t="s">
        <v>467</v>
      </c>
      <c r="C1240" s="171">
        <v>112</v>
      </c>
      <c r="D1240" s="171">
        <v>35</v>
      </c>
      <c r="E1240" s="171">
        <v>5</v>
      </c>
      <c r="F1240" s="171">
        <v>27</v>
      </c>
      <c r="G1240" s="171">
        <v>32</v>
      </c>
      <c r="H1240" s="171">
        <v>38</v>
      </c>
      <c r="I1240" s="171">
        <v>22</v>
      </c>
      <c r="J1240" s="171">
        <v>2</v>
      </c>
      <c r="K1240" s="171">
        <v>126</v>
      </c>
      <c r="L1240" s="171">
        <v>93</v>
      </c>
      <c r="M1240" s="171">
        <v>10</v>
      </c>
      <c r="N1240" s="171">
        <v>1</v>
      </c>
      <c r="O1240" s="171">
        <v>22</v>
      </c>
      <c r="P1240" s="173">
        <v>16</v>
      </c>
    </row>
    <row r="1241" spans="1:16" hidden="1">
      <c r="A1241" s="170" t="s">
        <v>450</v>
      </c>
      <c r="B1241" s="172" t="s">
        <v>467</v>
      </c>
      <c r="C1241" s="172">
        <v>50</v>
      </c>
      <c r="D1241" s="172">
        <v>50</v>
      </c>
      <c r="E1241" s="172">
        <v>2</v>
      </c>
      <c r="F1241" s="172">
        <v>1</v>
      </c>
      <c r="G1241" s="172">
        <v>2</v>
      </c>
      <c r="H1241" s="172">
        <v>7</v>
      </c>
      <c r="I1241" s="172">
        <v>7</v>
      </c>
      <c r="J1241" s="172">
        <v>0</v>
      </c>
      <c r="K1241" s="172">
        <v>19</v>
      </c>
      <c r="L1241" s="172">
        <v>0</v>
      </c>
      <c r="M1241" s="172">
        <v>0</v>
      </c>
      <c r="N1241" s="172">
        <v>0</v>
      </c>
      <c r="O1241" s="172">
        <v>19</v>
      </c>
      <c r="P1241" s="174">
        <v>0</v>
      </c>
    </row>
    <row r="1242" spans="1:16">
      <c r="A1242" s="169" t="s">
        <v>449</v>
      </c>
      <c r="B1242" s="171" t="s">
        <v>467</v>
      </c>
      <c r="C1242" s="171">
        <v>65</v>
      </c>
      <c r="D1242" s="171">
        <v>20</v>
      </c>
      <c r="E1242" s="171">
        <v>2</v>
      </c>
      <c r="F1242" s="171">
        <v>10</v>
      </c>
      <c r="G1242" s="171">
        <v>22</v>
      </c>
      <c r="H1242" s="171">
        <v>11</v>
      </c>
      <c r="I1242" s="171">
        <v>24</v>
      </c>
      <c r="J1242" s="171">
        <v>0</v>
      </c>
      <c r="K1242" s="171">
        <v>69</v>
      </c>
      <c r="L1242" s="171">
        <v>28</v>
      </c>
      <c r="M1242" s="171">
        <v>4</v>
      </c>
      <c r="N1242" s="171">
        <v>3</v>
      </c>
      <c r="O1242" s="171">
        <v>47</v>
      </c>
      <c r="P1242" s="173">
        <v>6</v>
      </c>
    </row>
    <row r="1243" spans="1:16" hidden="1">
      <c r="A1243" s="172" t="s">
        <v>452</v>
      </c>
      <c r="B1243" s="172" t="s">
        <v>467</v>
      </c>
      <c r="C1243" s="172">
        <v>30</v>
      </c>
      <c r="D1243" s="172">
        <v>0</v>
      </c>
      <c r="E1243" s="172">
        <v>0</v>
      </c>
      <c r="F1243" s="172">
        <v>0</v>
      </c>
      <c r="G1243" s="172">
        <v>5</v>
      </c>
      <c r="H1243" s="172">
        <v>9</v>
      </c>
      <c r="I1243" s="172">
        <v>14</v>
      </c>
      <c r="J1243" s="172">
        <v>1</v>
      </c>
      <c r="K1243" s="172">
        <v>29</v>
      </c>
      <c r="L1243" s="172">
        <v>8</v>
      </c>
      <c r="M1243" s="172">
        <v>17</v>
      </c>
      <c r="N1243" s="172">
        <v>17</v>
      </c>
      <c r="O1243" s="172">
        <v>6</v>
      </c>
      <c r="P1243" s="174">
        <v>0</v>
      </c>
    </row>
    <row r="1244" spans="1:16">
      <c r="A1244" s="169" t="s">
        <v>449</v>
      </c>
      <c r="B1244" s="171" t="s">
        <v>467</v>
      </c>
      <c r="C1244" s="171">
        <v>120</v>
      </c>
      <c r="D1244" s="171">
        <v>32</v>
      </c>
      <c r="E1244" s="171">
        <v>6</v>
      </c>
      <c r="F1244" s="171">
        <v>25</v>
      </c>
      <c r="G1244" s="171">
        <v>21</v>
      </c>
      <c r="H1244" s="171">
        <v>39</v>
      </c>
      <c r="I1244" s="171">
        <v>30</v>
      </c>
      <c r="J1244" s="171">
        <v>1</v>
      </c>
      <c r="K1244" s="171">
        <v>122</v>
      </c>
      <c r="L1244" s="171">
        <v>107</v>
      </c>
      <c r="M1244" s="171">
        <v>22</v>
      </c>
      <c r="N1244" s="171">
        <v>12</v>
      </c>
      <c r="O1244" s="171">
        <v>13</v>
      </c>
      <c r="P1244" s="173">
        <v>10</v>
      </c>
    </row>
    <row r="1245" spans="1:16">
      <c r="A1245" s="170" t="s">
        <v>449</v>
      </c>
      <c r="B1245" s="172" t="s">
        <v>467</v>
      </c>
      <c r="C1245" s="172">
        <v>150</v>
      </c>
      <c r="D1245" s="172">
        <v>35</v>
      </c>
      <c r="E1245" s="172">
        <v>10</v>
      </c>
      <c r="F1245" s="172">
        <v>26</v>
      </c>
      <c r="G1245" s="172">
        <v>37</v>
      </c>
      <c r="H1245" s="172">
        <v>33</v>
      </c>
      <c r="I1245" s="172">
        <v>36</v>
      </c>
      <c r="J1245" s="172">
        <v>0</v>
      </c>
      <c r="K1245" s="172">
        <v>142</v>
      </c>
      <c r="L1245" s="172">
        <v>75</v>
      </c>
      <c r="M1245" s="172">
        <v>8</v>
      </c>
      <c r="N1245" s="172">
        <v>7</v>
      </c>
      <c r="O1245" s="172">
        <v>64</v>
      </c>
      <c r="P1245" s="174">
        <v>11</v>
      </c>
    </row>
    <row r="1246" spans="1:16">
      <c r="A1246" s="171" t="s">
        <v>449</v>
      </c>
      <c r="B1246" s="171" t="s">
        <v>467</v>
      </c>
      <c r="C1246" s="171">
        <v>60</v>
      </c>
      <c r="D1246" s="171">
        <v>10</v>
      </c>
      <c r="E1246" s="171">
        <v>2</v>
      </c>
      <c r="F1246" s="171">
        <v>8</v>
      </c>
      <c r="G1246" s="171">
        <v>6</v>
      </c>
      <c r="H1246" s="171">
        <v>10</v>
      </c>
      <c r="I1246" s="171">
        <v>22</v>
      </c>
      <c r="J1246" s="171">
        <v>0</v>
      </c>
      <c r="K1246" s="171">
        <v>48</v>
      </c>
      <c r="L1246" s="171">
        <v>6</v>
      </c>
      <c r="M1246" s="171">
        <v>10</v>
      </c>
      <c r="N1246" s="171">
        <v>28</v>
      </c>
      <c r="O1246" s="171">
        <v>14</v>
      </c>
      <c r="P1246" s="173">
        <v>2</v>
      </c>
    </row>
    <row r="1247" spans="1:16">
      <c r="A1247" s="170" t="s">
        <v>449</v>
      </c>
      <c r="B1247" s="172" t="s">
        <v>467</v>
      </c>
      <c r="C1247" s="172">
        <v>56</v>
      </c>
      <c r="D1247" s="172">
        <v>9</v>
      </c>
      <c r="E1247" s="172">
        <v>0</v>
      </c>
      <c r="F1247" s="172">
        <v>2</v>
      </c>
      <c r="G1247" s="172">
        <v>9</v>
      </c>
      <c r="H1247" s="172">
        <v>13</v>
      </c>
      <c r="I1247" s="172">
        <v>7</v>
      </c>
      <c r="J1247" s="172">
        <v>1</v>
      </c>
      <c r="K1247" s="172">
        <v>32</v>
      </c>
      <c r="L1247" s="172">
        <v>8</v>
      </c>
      <c r="M1247" s="172">
        <v>5</v>
      </c>
      <c r="N1247" s="172">
        <v>5</v>
      </c>
      <c r="O1247" s="172">
        <v>19</v>
      </c>
      <c r="P1247" s="174">
        <v>2</v>
      </c>
    </row>
    <row r="1248" spans="1:16">
      <c r="A1248" s="169" t="s">
        <v>449</v>
      </c>
      <c r="B1248" s="171" t="s">
        <v>467</v>
      </c>
      <c r="C1248" s="171">
        <v>150</v>
      </c>
      <c r="D1248" s="171">
        <v>32</v>
      </c>
      <c r="E1248" s="171">
        <v>5</v>
      </c>
      <c r="F1248" s="171">
        <v>35</v>
      </c>
      <c r="G1248" s="171">
        <v>28</v>
      </c>
      <c r="H1248" s="171">
        <v>28</v>
      </c>
      <c r="I1248" s="171">
        <v>24</v>
      </c>
      <c r="J1248" s="171">
        <v>1</v>
      </c>
      <c r="K1248" s="171">
        <v>121</v>
      </c>
      <c r="L1248" s="171">
        <v>105</v>
      </c>
      <c r="M1248" s="171">
        <v>13</v>
      </c>
      <c r="N1248" s="171">
        <v>8</v>
      </c>
      <c r="O1248" s="171">
        <v>15</v>
      </c>
      <c r="P1248" s="173">
        <v>5</v>
      </c>
    </row>
    <row r="1249" spans="1:16" hidden="1">
      <c r="A1249" s="170" t="s">
        <v>347</v>
      </c>
      <c r="B1249" s="172" t="s">
        <v>467</v>
      </c>
      <c r="C1249" s="172">
        <v>45</v>
      </c>
      <c r="D1249" s="172">
        <v>12</v>
      </c>
      <c r="E1249" s="172">
        <v>1</v>
      </c>
      <c r="F1249" s="172">
        <v>6</v>
      </c>
      <c r="G1249" s="172">
        <v>14</v>
      </c>
      <c r="H1249" s="172">
        <v>10</v>
      </c>
      <c r="I1249" s="172">
        <v>8</v>
      </c>
      <c r="J1249" s="172">
        <v>0</v>
      </c>
      <c r="K1249" s="172">
        <v>39</v>
      </c>
      <c r="L1249" s="172">
        <v>0</v>
      </c>
      <c r="M1249" s="172">
        <v>38</v>
      </c>
      <c r="N1249" s="172">
        <v>0</v>
      </c>
      <c r="O1249" s="172">
        <v>0</v>
      </c>
      <c r="P1249" s="174">
        <v>1</v>
      </c>
    </row>
    <row r="1250" spans="1:16" hidden="1">
      <c r="A1250" s="169" t="s">
        <v>450</v>
      </c>
      <c r="B1250" s="171" t="s">
        <v>467</v>
      </c>
      <c r="C1250" s="171">
        <v>80</v>
      </c>
      <c r="D1250" s="171">
        <v>80</v>
      </c>
      <c r="E1250" s="171">
        <v>15</v>
      </c>
      <c r="F1250" s="171">
        <v>17</v>
      </c>
      <c r="G1250" s="171">
        <v>13</v>
      </c>
      <c r="H1250" s="171">
        <v>9</v>
      </c>
      <c r="I1250" s="171">
        <v>8</v>
      </c>
      <c r="J1250" s="171">
        <v>0</v>
      </c>
      <c r="K1250" s="171">
        <v>62</v>
      </c>
      <c r="L1250" s="171">
        <v>4</v>
      </c>
      <c r="M1250" s="171">
        <v>0</v>
      </c>
      <c r="N1250" s="171">
        <v>0</v>
      </c>
      <c r="O1250" s="171">
        <v>61</v>
      </c>
      <c r="P1250" s="173">
        <v>0</v>
      </c>
    </row>
    <row r="1251" spans="1:16">
      <c r="A1251" s="170" t="s">
        <v>449</v>
      </c>
      <c r="B1251" s="172" t="s">
        <v>467</v>
      </c>
      <c r="C1251" s="172">
        <v>100</v>
      </c>
      <c r="D1251" s="172">
        <v>24</v>
      </c>
      <c r="E1251" s="172">
        <v>0</v>
      </c>
      <c r="F1251" s="172">
        <v>18</v>
      </c>
      <c r="G1251" s="172">
        <v>22</v>
      </c>
      <c r="H1251" s="172">
        <v>15</v>
      </c>
      <c r="I1251" s="172">
        <v>23</v>
      </c>
      <c r="J1251" s="172">
        <v>2</v>
      </c>
      <c r="K1251" s="172">
        <v>80</v>
      </c>
      <c r="L1251" s="172">
        <v>25</v>
      </c>
      <c r="M1251" s="172">
        <v>3</v>
      </c>
      <c r="N1251" s="172">
        <v>1</v>
      </c>
      <c r="O1251" s="172">
        <v>65</v>
      </c>
      <c r="P1251" s="174">
        <v>4</v>
      </c>
    </row>
    <row r="1252" spans="1:16" hidden="1">
      <c r="A1252" s="169" t="s">
        <v>347</v>
      </c>
      <c r="B1252" s="171" t="s">
        <v>467</v>
      </c>
      <c r="C1252" s="171">
        <v>25</v>
      </c>
      <c r="D1252" s="171">
        <v>8</v>
      </c>
      <c r="E1252" s="171">
        <v>2</v>
      </c>
      <c r="F1252" s="171">
        <v>2</v>
      </c>
      <c r="G1252" s="171">
        <v>5</v>
      </c>
      <c r="H1252" s="171">
        <v>4</v>
      </c>
      <c r="I1252" s="171">
        <v>6</v>
      </c>
      <c r="J1252" s="171">
        <v>0</v>
      </c>
      <c r="K1252" s="171">
        <v>19</v>
      </c>
      <c r="L1252" s="171">
        <v>0</v>
      </c>
      <c r="M1252" s="171">
        <v>19</v>
      </c>
      <c r="N1252" s="171">
        <v>0</v>
      </c>
      <c r="O1252" s="171">
        <v>0</v>
      </c>
      <c r="P1252" s="173">
        <v>0</v>
      </c>
    </row>
    <row r="1253" spans="1:16">
      <c r="A1253" s="170" t="s">
        <v>449</v>
      </c>
      <c r="B1253" s="172" t="s">
        <v>467</v>
      </c>
      <c r="C1253" s="172">
        <v>80</v>
      </c>
      <c r="D1253" s="172">
        <v>20</v>
      </c>
      <c r="E1253" s="172">
        <v>1</v>
      </c>
      <c r="F1253" s="172">
        <v>6</v>
      </c>
      <c r="G1253" s="172">
        <v>8</v>
      </c>
      <c r="H1253" s="172">
        <v>13</v>
      </c>
      <c r="I1253" s="172">
        <v>13</v>
      </c>
      <c r="J1253" s="172">
        <v>0</v>
      </c>
      <c r="K1253" s="172">
        <v>41</v>
      </c>
      <c r="L1253" s="172">
        <v>2</v>
      </c>
      <c r="M1253" s="172">
        <v>3</v>
      </c>
      <c r="N1253" s="172">
        <v>10</v>
      </c>
      <c r="O1253" s="172">
        <v>31</v>
      </c>
      <c r="P1253" s="174">
        <v>2</v>
      </c>
    </row>
    <row r="1254" spans="1:16">
      <c r="A1254" s="171" t="s">
        <v>449</v>
      </c>
      <c r="B1254" s="171" t="s">
        <v>467</v>
      </c>
      <c r="C1254" s="171">
        <v>44</v>
      </c>
      <c r="D1254" s="171">
        <v>12</v>
      </c>
      <c r="E1254" s="171">
        <v>1</v>
      </c>
      <c r="F1254" s="171">
        <v>5</v>
      </c>
      <c r="G1254" s="171">
        <v>8</v>
      </c>
      <c r="H1254" s="171">
        <v>9</v>
      </c>
      <c r="I1254" s="171">
        <v>7</v>
      </c>
      <c r="J1254" s="171">
        <v>0</v>
      </c>
      <c r="K1254" s="171">
        <v>30</v>
      </c>
      <c r="L1254" s="171">
        <v>2</v>
      </c>
      <c r="M1254" s="171">
        <v>0</v>
      </c>
      <c r="N1254" s="171">
        <v>9</v>
      </c>
      <c r="O1254" s="171">
        <v>21</v>
      </c>
      <c r="P1254" s="173">
        <v>1</v>
      </c>
    </row>
    <row r="1255" spans="1:16">
      <c r="A1255" s="172" t="s">
        <v>449</v>
      </c>
      <c r="B1255" s="172" t="s">
        <v>467</v>
      </c>
      <c r="C1255" s="172">
        <v>100</v>
      </c>
      <c r="D1255" s="172">
        <v>25</v>
      </c>
      <c r="E1255" s="172">
        <v>2</v>
      </c>
      <c r="F1255" s="172">
        <v>8</v>
      </c>
      <c r="G1255" s="172">
        <v>24</v>
      </c>
      <c r="H1255" s="172">
        <v>26</v>
      </c>
      <c r="I1255" s="172">
        <v>19</v>
      </c>
      <c r="J1255" s="172">
        <v>2</v>
      </c>
      <c r="K1255" s="172">
        <v>81</v>
      </c>
      <c r="L1255" s="172">
        <v>6</v>
      </c>
      <c r="M1255" s="172">
        <v>4</v>
      </c>
      <c r="N1255" s="172">
        <v>7</v>
      </c>
      <c r="O1255" s="172">
        <v>66</v>
      </c>
      <c r="P1255" s="174">
        <v>8</v>
      </c>
    </row>
    <row r="1256" spans="1:16">
      <c r="A1256" s="171" t="s">
        <v>449</v>
      </c>
      <c r="B1256" s="171" t="s">
        <v>467</v>
      </c>
      <c r="C1256" s="171">
        <v>100</v>
      </c>
      <c r="D1256" s="171">
        <v>25</v>
      </c>
      <c r="E1256" s="171">
        <v>2</v>
      </c>
      <c r="F1256" s="171">
        <v>10</v>
      </c>
      <c r="G1256" s="171">
        <v>9</v>
      </c>
      <c r="H1256" s="171">
        <v>30</v>
      </c>
      <c r="I1256" s="171">
        <v>25</v>
      </c>
      <c r="J1256" s="171">
        <v>2</v>
      </c>
      <c r="K1256" s="171">
        <v>78</v>
      </c>
      <c r="L1256" s="171">
        <v>3</v>
      </c>
      <c r="M1256" s="171">
        <v>4</v>
      </c>
      <c r="N1256" s="171">
        <v>8</v>
      </c>
      <c r="O1256" s="171">
        <v>61</v>
      </c>
      <c r="P1256" s="173">
        <v>8</v>
      </c>
    </row>
    <row r="1257" spans="1:16">
      <c r="A1257" s="172" t="s">
        <v>449</v>
      </c>
      <c r="B1257" s="172" t="s">
        <v>467</v>
      </c>
      <c r="C1257" s="172">
        <v>80</v>
      </c>
      <c r="D1257" s="172">
        <v>20</v>
      </c>
      <c r="E1257" s="172">
        <v>0</v>
      </c>
      <c r="F1257" s="172">
        <v>9</v>
      </c>
      <c r="G1257" s="172">
        <v>5</v>
      </c>
      <c r="H1257" s="172">
        <v>11</v>
      </c>
      <c r="I1257" s="172">
        <v>10</v>
      </c>
      <c r="J1257" s="172">
        <v>0</v>
      </c>
      <c r="K1257" s="172">
        <v>35</v>
      </c>
      <c r="L1257" s="172">
        <v>6</v>
      </c>
      <c r="M1257" s="172">
        <v>8</v>
      </c>
      <c r="N1257" s="172">
        <v>9</v>
      </c>
      <c r="O1257" s="172">
        <v>19</v>
      </c>
      <c r="P1257" s="174">
        <v>3</v>
      </c>
    </row>
    <row r="1258" spans="1:16">
      <c r="A1258" s="171" t="s">
        <v>449</v>
      </c>
      <c r="B1258" s="171" t="s">
        <v>467</v>
      </c>
      <c r="C1258" s="171">
        <v>60</v>
      </c>
      <c r="D1258" s="171">
        <v>20</v>
      </c>
      <c r="E1258" s="171">
        <v>0</v>
      </c>
      <c r="F1258" s="171">
        <v>4</v>
      </c>
      <c r="G1258" s="171">
        <v>8</v>
      </c>
      <c r="H1258" s="171">
        <v>13</v>
      </c>
      <c r="I1258" s="171">
        <v>13</v>
      </c>
      <c r="J1258" s="171">
        <v>0</v>
      </c>
      <c r="K1258" s="171">
        <v>38</v>
      </c>
      <c r="L1258" s="171">
        <v>2</v>
      </c>
      <c r="M1258" s="171">
        <v>4</v>
      </c>
      <c r="N1258" s="171">
        <v>2</v>
      </c>
      <c r="O1258" s="171">
        <v>32</v>
      </c>
      <c r="P1258" s="173">
        <v>1</v>
      </c>
    </row>
    <row r="1259" spans="1:16">
      <c r="A1259" s="172" t="s">
        <v>449</v>
      </c>
      <c r="B1259" s="172" t="s">
        <v>467</v>
      </c>
      <c r="C1259" s="172">
        <v>58</v>
      </c>
      <c r="D1259" s="172">
        <v>20</v>
      </c>
      <c r="E1259" s="172">
        <v>2</v>
      </c>
      <c r="F1259" s="172">
        <v>9</v>
      </c>
      <c r="G1259" s="172">
        <v>5</v>
      </c>
      <c r="H1259" s="172">
        <v>15</v>
      </c>
      <c r="I1259" s="172">
        <v>22</v>
      </c>
      <c r="J1259" s="172">
        <v>1</v>
      </c>
      <c r="K1259" s="172">
        <v>54</v>
      </c>
      <c r="L1259" s="172">
        <v>0</v>
      </c>
      <c r="M1259" s="172">
        <v>0</v>
      </c>
      <c r="N1259" s="172">
        <v>7</v>
      </c>
      <c r="O1259" s="172">
        <v>50</v>
      </c>
      <c r="P1259" s="174">
        <v>0</v>
      </c>
    </row>
    <row r="1260" spans="1:16">
      <c r="A1260" s="171" t="s">
        <v>449</v>
      </c>
      <c r="B1260" s="171" t="s">
        <v>467</v>
      </c>
      <c r="C1260" s="171">
        <v>40</v>
      </c>
      <c r="D1260" s="171">
        <v>8</v>
      </c>
      <c r="E1260" s="171">
        <v>0</v>
      </c>
      <c r="F1260" s="171">
        <v>9</v>
      </c>
      <c r="G1260" s="171">
        <v>6</v>
      </c>
      <c r="H1260" s="171">
        <v>9</v>
      </c>
      <c r="I1260" s="171">
        <v>12</v>
      </c>
      <c r="J1260" s="171">
        <v>1</v>
      </c>
      <c r="K1260" s="171">
        <v>37</v>
      </c>
      <c r="L1260" s="171">
        <v>0</v>
      </c>
      <c r="M1260" s="171">
        <v>0</v>
      </c>
      <c r="N1260" s="171">
        <v>1</v>
      </c>
      <c r="O1260" s="171">
        <v>35</v>
      </c>
      <c r="P1260" s="173">
        <v>4</v>
      </c>
    </row>
    <row r="1261" spans="1:16">
      <c r="A1261" s="172" t="s">
        <v>449</v>
      </c>
      <c r="B1261" s="172" t="s">
        <v>467</v>
      </c>
      <c r="C1261" s="172">
        <v>150</v>
      </c>
      <c r="D1261" s="172">
        <v>30</v>
      </c>
      <c r="E1261" s="172">
        <v>7</v>
      </c>
      <c r="F1261" s="172">
        <v>15</v>
      </c>
      <c r="G1261" s="172">
        <v>23</v>
      </c>
      <c r="H1261" s="172">
        <v>24</v>
      </c>
      <c r="I1261" s="172">
        <v>21</v>
      </c>
      <c r="J1261" s="172">
        <v>3</v>
      </c>
      <c r="K1261" s="172">
        <v>93</v>
      </c>
      <c r="L1261" s="172">
        <v>7</v>
      </c>
      <c r="M1261" s="172">
        <v>24</v>
      </c>
      <c r="N1261" s="172">
        <v>65</v>
      </c>
      <c r="O1261" s="172">
        <v>18</v>
      </c>
      <c r="P1261" s="174">
        <v>7</v>
      </c>
    </row>
    <row r="1262" spans="1:16">
      <c r="A1262" s="171" t="s">
        <v>449</v>
      </c>
      <c r="B1262" s="171" t="s">
        <v>467</v>
      </c>
      <c r="C1262" s="171">
        <v>52</v>
      </c>
      <c r="D1262" s="171">
        <v>0</v>
      </c>
      <c r="E1262" s="171">
        <v>0</v>
      </c>
      <c r="F1262" s="171">
        <v>0</v>
      </c>
      <c r="G1262" s="171">
        <v>9</v>
      </c>
      <c r="H1262" s="171">
        <v>16</v>
      </c>
      <c r="I1262" s="171">
        <v>14</v>
      </c>
      <c r="J1262" s="171">
        <v>8</v>
      </c>
      <c r="K1262" s="171">
        <v>47</v>
      </c>
      <c r="L1262" s="171">
        <v>7</v>
      </c>
      <c r="M1262" s="171">
        <v>21</v>
      </c>
      <c r="N1262" s="171">
        <v>30</v>
      </c>
      <c r="O1262" s="171">
        <v>8</v>
      </c>
      <c r="P1262" s="173">
        <v>3</v>
      </c>
    </row>
    <row r="1263" spans="1:16">
      <c r="A1263" s="172" t="s">
        <v>449</v>
      </c>
      <c r="B1263" s="172" t="s">
        <v>467</v>
      </c>
      <c r="C1263" s="172">
        <v>110</v>
      </c>
      <c r="D1263" s="172">
        <v>23</v>
      </c>
      <c r="E1263" s="172">
        <v>2</v>
      </c>
      <c r="F1263" s="172">
        <v>10</v>
      </c>
      <c r="G1263" s="172">
        <v>23</v>
      </c>
      <c r="H1263" s="172">
        <v>26</v>
      </c>
      <c r="I1263" s="172">
        <v>33</v>
      </c>
      <c r="J1263" s="172">
        <v>0</v>
      </c>
      <c r="K1263" s="172">
        <v>94</v>
      </c>
      <c r="L1263" s="172">
        <v>50</v>
      </c>
      <c r="M1263" s="172">
        <v>6</v>
      </c>
      <c r="N1263" s="172">
        <v>3</v>
      </c>
      <c r="O1263" s="172">
        <v>50</v>
      </c>
      <c r="P1263" s="174">
        <v>2</v>
      </c>
    </row>
    <row r="1264" spans="1:16">
      <c r="A1264" s="169" t="s">
        <v>449</v>
      </c>
      <c r="B1264" s="171" t="s">
        <v>467</v>
      </c>
      <c r="C1264" s="171">
        <v>63</v>
      </c>
      <c r="D1264" s="171">
        <v>12</v>
      </c>
      <c r="E1264" s="171">
        <v>4</v>
      </c>
      <c r="F1264" s="171">
        <v>9</v>
      </c>
      <c r="G1264" s="171">
        <v>17</v>
      </c>
      <c r="H1264" s="171">
        <v>18</v>
      </c>
      <c r="I1264" s="171">
        <v>24</v>
      </c>
      <c r="J1264" s="171">
        <v>0</v>
      </c>
      <c r="K1264" s="171">
        <v>72</v>
      </c>
      <c r="L1264" s="171">
        <v>31</v>
      </c>
      <c r="M1264" s="171">
        <v>13</v>
      </c>
      <c r="N1264" s="171">
        <v>11</v>
      </c>
      <c r="O1264" s="171">
        <v>42</v>
      </c>
      <c r="P1264" s="173">
        <v>1</v>
      </c>
    </row>
    <row r="1265" spans="1:16">
      <c r="A1265" s="170" t="s">
        <v>449</v>
      </c>
      <c r="B1265" s="172" t="s">
        <v>467</v>
      </c>
      <c r="C1265" s="172">
        <v>54</v>
      </c>
      <c r="D1265" s="172">
        <v>14</v>
      </c>
      <c r="E1265" s="172">
        <v>0</v>
      </c>
      <c r="F1265" s="172">
        <v>17</v>
      </c>
      <c r="G1265" s="172">
        <v>17</v>
      </c>
      <c r="H1265" s="172">
        <v>11</v>
      </c>
      <c r="I1265" s="172">
        <v>10</v>
      </c>
      <c r="J1265" s="172">
        <v>1</v>
      </c>
      <c r="K1265" s="172">
        <v>56</v>
      </c>
      <c r="L1265" s="172">
        <v>53</v>
      </c>
      <c r="M1265" s="172">
        <v>4</v>
      </c>
      <c r="N1265" s="172">
        <v>4</v>
      </c>
      <c r="O1265" s="172">
        <v>4</v>
      </c>
      <c r="P1265" s="174">
        <v>2</v>
      </c>
    </row>
    <row r="1266" spans="1:16">
      <c r="A1266" s="169" t="s">
        <v>449</v>
      </c>
      <c r="B1266" s="171" t="s">
        <v>467</v>
      </c>
      <c r="C1266" s="171">
        <v>62</v>
      </c>
      <c r="D1266" s="171">
        <v>13</v>
      </c>
      <c r="E1266" s="171">
        <v>2</v>
      </c>
      <c r="F1266" s="171">
        <v>10</v>
      </c>
      <c r="G1266" s="171">
        <v>3</v>
      </c>
      <c r="H1266" s="171">
        <v>17</v>
      </c>
      <c r="I1266" s="171">
        <v>26</v>
      </c>
      <c r="J1266" s="171">
        <v>0</v>
      </c>
      <c r="K1266" s="171">
        <v>58</v>
      </c>
      <c r="L1266" s="171">
        <v>1</v>
      </c>
      <c r="M1266" s="171">
        <v>7</v>
      </c>
      <c r="N1266" s="171">
        <v>51</v>
      </c>
      <c r="O1266" s="171">
        <v>6</v>
      </c>
      <c r="P1266" s="173">
        <v>1</v>
      </c>
    </row>
    <row r="1267" spans="1:16" hidden="1">
      <c r="A1267" s="170" t="s">
        <v>450</v>
      </c>
      <c r="B1267" s="172" t="s">
        <v>467</v>
      </c>
      <c r="C1267" s="172">
        <v>50</v>
      </c>
      <c r="D1267" s="172">
        <v>50</v>
      </c>
      <c r="E1267" s="172">
        <v>3</v>
      </c>
      <c r="F1267" s="172">
        <v>2</v>
      </c>
      <c r="G1267" s="172">
        <v>2</v>
      </c>
      <c r="H1267" s="172">
        <v>1</v>
      </c>
      <c r="I1267" s="172">
        <v>1</v>
      </c>
      <c r="J1267" s="172">
        <v>0</v>
      </c>
      <c r="K1267" s="172">
        <v>9</v>
      </c>
      <c r="L1267" s="172">
        <v>0</v>
      </c>
      <c r="M1267" s="172">
        <v>0</v>
      </c>
      <c r="N1267" s="172">
        <v>9</v>
      </c>
      <c r="O1267" s="172">
        <v>0</v>
      </c>
      <c r="P1267" s="174">
        <v>0</v>
      </c>
    </row>
    <row r="1268" spans="1:16">
      <c r="A1268" s="169" t="s">
        <v>449</v>
      </c>
      <c r="B1268" s="171" t="s">
        <v>467</v>
      </c>
      <c r="C1268" s="171">
        <v>125</v>
      </c>
      <c r="D1268" s="171">
        <v>25</v>
      </c>
      <c r="E1268" s="171">
        <v>3</v>
      </c>
      <c r="F1268" s="171">
        <v>25</v>
      </c>
      <c r="G1268" s="171">
        <v>35</v>
      </c>
      <c r="H1268" s="171">
        <v>29</v>
      </c>
      <c r="I1268" s="171">
        <v>32</v>
      </c>
      <c r="J1268" s="171">
        <v>1</v>
      </c>
      <c r="K1268" s="171">
        <v>125</v>
      </c>
      <c r="L1268" s="171">
        <v>93</v>
      </c>
      <c r="M1268" s="171">
        <v>24</v>
      </c>
      <c r="N1268" s="171">
        <v>6</v>
      </c>
      <c r="O1268" s="171">
        <v>24</v>
      </c>
      <c r="P1268" s="173">
        <v>16</v>
      </c>
    </row>
    <row r="1269" spans="1:16">
      <c r="A1269" s="170" t="s">
        <v>449</v>
      </c>
      <c r="B1269" s="172" t="s">
        <v>467</v>
      </c>
      <c r="C1269" s="172">
        <v>74</v>
      </c>
      <c r="D1269" s="172">
        <v>14</v>
      </c>
      <c r="E1269" s="172">
        <v>3</v>
      </c>
      <c r="F1269" s="172">
        <v>12</v>
      </c>
      <c r="G1269" s="172">
        <v>16</v>
      </c>
      <c r="H1269" s="172">
        <v>22</v>
      </c>
      <c r="I1269" s="172">
        <v>18</v>
      </c>
      <c r="J1269" s="172">
        <v>3</v>
      </c>
      <c r="K1269" s="172">
        <v>74</v>
      </c>
      <c r="L1269" s="172">
        <v>51</v>
      </c>
      <c r="M1269" s="172">
        <v>3</v>
      </c>
      <c r="N1269" s="172">
        <v>0</v>
      </c>
      <c r="O1269" s="172">
        <v>26</v>
      </c>
      <c r="P1269" s="174">
        <v>5</v>
      </c>
    </row>
    <row r="1270" spans="1:16">
      <c r="A1270" s="169" t="s">
        <v>449</v>
      </c>
      <c r="B1270" s="171" t="s">
        <v>467</v>
      </c>
      <c r="C1270" s="171">
        <v>108</v>
      </c>
      <c r="D1270" s="171">
        <v>20</v>
      </c>
      <c r="E1270" s="171">
        <v>2</v>
      </c>
      <c r="F1270" s="171">
        <v>16</v>
      </c>
      <c r="G1270" s="171">
        <v>24</v>
      </c>
      <c r="H1270" s="171">
        <v>24</v>
      </c>
      <c r="I1270" s="171">
        <v>27</v>
      </c>
      <c r="J1270" s="171">
        <v>2</v>
      </c>
      <c r="K1270" s="171">
        <v>95</v>
      </c>
      <c r="L1270" s="171">
        <v>62</v>
      </c>
      <c r="M1270" s="171">
        <v>6</v>
      </c>
      <c r="N1270" s="171">
        <v>0</v>
      </c>
      <c r="O1270" s="171">
        <v>37</v>
      </c>
      <c r="P1270" s="173">
        <v>3</v>
      </c>
    </row>
    <row r="1271" spans="1:16">
      <c r="A1271" s="170" t="s">
        <v>449</v>
      </c>
      <c r="B1271" s="172" t="s">
        <v>467</v>
      </c>
      <c r="C1271" s="172">
        <v>40</v>
      </c>
      <c r="D1271" s="172">
        <v>10</v>
      </c>
      <c r="E1271" s="172">
        <v>1</v>
      </c>
      <c r="F1271" s="172">
        <v>8</v>
      </c>
      <c r="G1271" s="172">
        <v>10</v>
      </c>
      <c r="H1271" s="172">
        <v>10</v>
      </c>
      <c r="I1271" s="172">
        <v>19</v>
      </c>
      <c r="J1271" s="172">
        <v>0</v>
      </c>
      <c r="K1271" s="172">
        <v>48</v>
      </c>
      <c r="L1271" s="172">
        <v>8</v>
      </c>
      <c r="M1271" s="172">
        <v>4</v>
      </c>
      <c r="N1271" s="172">
        <v>15</v>
      </c>
      <c r="O1271" s="172">
        <v>30</v>
      </c>
      <c r="P1271" s="174">
        <v>0</v>
      </c>
    </row>
    <row r="1272" spans="1:16">
      <c r="A1272" s="169" t="s">
        <v>449</v>
      </c>
      <c r="B1272" s="171" t="s">
        <v>467</v>
      </c>
      <c r="C1272" s="171">
        <v>58</v>
      </c>
      <c r="D1272" s="171">
        <v>10</v>
      </c>
      <c r="E1272" s="171">
        <v>2</v>
      </c>
      <c r="F1272" s="171">
        <v>10</v>
      </c>
      <c r="G1272" s="171">
        <v>10</v>
      </c>
      <c r="H1272" s="171">
        <v>26</v>
      </c>
      <c r="I1272" s="171">
        <v>18</v>
      </c>
      <c r="J1272" s="171">
        <v>0</v>
      </c>
      <c r="K1272" s="171">
        <v>66</v>
      </c>
      <c r="L1272" s="171">
        <v>1</v>
      </c>
      <c r="M1272" s="171">
        <v>1</v>
      </c>
      <c r="N1272" s="171">
        <v>9</v>
      </c>
      <c r="O1272" s="171">
        <v>50</v>
      </c>
      <c r="P1272" s="173">
        <v>7</v>
      </c>
    </row>
    <row r="1273" spans="1:16">
      <c r="A1273" s="172" t="s">
        <v>449</v>
      </c>
      <c r="B1273" s="172" t="s">
        <v>467</v>
      </c>
      <c r="C1273" s="172">
        <v>40</v>
      </c>
      <c r="D1273" s="172">
        <v>12</v>
      </c>
      <c r="E1273" s="172">
        <v>0</v>
      </c>
      <c r="F1273" s="172">
        <v>7</v>
      </c>
      <c r="G1273" s="172">
        <v>7</v>
      </c>
      <c r="H1273" s="172">
        <v>8</v>
      </c>
      <c r="I1273" s="172">
        <v>10</v>
      </c>
      <c r="J1273" s="172">
        <v>0</v>
      </c>
      <c r="K1273" s="172">
        <v>32</v>
      </c>
      <c r="L1273" s="172">
        <v>30</v>
      </c>
      <c r="M1273" s="172">
        <v>6</v>
      </c>
      <c r="N1273" s="172">
        <v>3</v>
      </c>
      <c r="O1273" s="172">
        <v>1</v>
      </c>
      <c r="P1273" s="174">
        <v>4</v>
      </c>
    </row>
    <row r="1274" spans="1:16" hidden="1">
      <c r="A1274" s="171" t="s">
        <v>469</v>
      </c>
      <c r="B1274" s="171" t="s">
        <v>467</v>
      </c>
      <c r="C1274" s="171">
        <v>40</v>
      </c>
      <c r="D1274" s="171">
        <v>10</v>
      </c>
      <c r="E1274" s="171">
        <v>1</v>
      </c>
      <c r="F1274" s="171">
        <v>6</v>
      </c>
      <c r="G1274" s="171">
        <v>6</v>
      </c>
      <c r="H1274" s="171">
        <v>5</v>
      </c>
      <c r="I1274" s="171">
        <v>10</v>
      </c>
      <c r="J1274" s="171">
        <v>0</v>
      </c>
      <c r="K1274" s="171">
        <v>28</v>
      </c>
      <c r="L1274" s="171">
        <v>2</v>
      </c>
      <c r="M1274" s="171">
        <v>1</v>
      </c>
      <c r="N1274" s="171">
        <v>26</v>
      </c>
      <c r="O1274" s="171">
        <v>2</v>
      </c>
      <c r="P1274" s="173">
        <v>1</v>
      </c>
    </row>
    <row r="1275" spans="1:16">
      <c r="A1275" s="172" t="s">
        <v>449</v>
      </c>
      <c r="B1275" s="172" t="s">
        <v>467</v>
      </c>
      <c r="C1275" s="172">
        <v>99</v>
      </c>
      <c r="D1275" s="172">
        <v>35</v>
      </c>
      <c r="E1275" s="172">
        <v>5</v>
      </c>
      <c r="F1275" s="172">
        <v>17</v>
      </c>
      <c r="G1275" s="172">
        <v>26</v>
      </c>
      <c r="H1275" s="172">
        <v>20</v>
      </c>
      <c r="I1275" s="172">
        <v>25</v>
      </c>
      <c r="J1275" s="172">
        <v>1</v>
      </c>
      <c r="K1275" s="172">
        <v>94</v>
      </c>
      <c r="L1275" s="172">
        <v>46</v>
      </c>
      <c r="M1275" s="172">
        <v>12</v>
      </c>
      <c r="N1275" s="172">
        <v>1</v>
      </c>
      <c r="O1275" s="172">
        <v>51</v>
      </c>
      <c r="P1275" s="174">
        <v>4</v>
      </c>
    </row>
    <row r="1276" spans="1:16">
      <c r="A1276" s="169" t="s">
        <v>449</v>
      </c>
      <c r="B1276" s="171" t="s">
        <v>467</v>
      </c>
      <c r="C1276" s="171">
        <v>60</v>
      </c>
      <c r="D1276" s="171">
        <v>10</v>
      </c>
      <c r="E1276" s="171">
        <v>1</v>
      </c>
      <c r="F1276" s="171">
        <v>7</v>
      </c>
      <c r="G1276" s="171">
        <v>18</v>
      </c>
      <c r="H1276" s="171">
        <v>17</v>
      </c>
      <c r="I1276" s="171">
        <v>16</v>
      </c>
      <c r="J1276" s="171">
        <v>2</v>
      </c>
      <c r="K1276" s="171">
        <v>61</v>
      </c>
      <c r="L1276" s="171">
        <v>11</v>
      </c>
      <c r="M1276" s="171">
        <v>7</v>
      </c>
      <c r="N1276" s="171">
        <v>24</v>
      </c>
      <c r="O1276" s="171">
        <v>30</v>
      </c>
      <c r="P1276" s="173">
        <v>1</v>
      </c>
    </row>
    <row r="1277" spans="1:16">
      <c r="A1277" s="170" t="s">
        <v>449</v>
      </c>
      <c r="B1277" s="172" t="s">
        <v>467</v>
      </c>
      <c r="C1277" s="172">
        <v>60</v>
      </c>
      <c r="D1277" s="172">
        <v>16</v>
      </c>
      <c r="E1277" s="172">
        <v>0</v>
      </c>
      <c r="F1277" s="172">
        <v>6</v>
      </c>
      <c r="G1277" s="172">
        <v>12</v>
      </c>
      <c r="H1277" s="172">
        <v>6</v>
      </c>
      <c r="I1277" s="172">
        <v>9</v>
      </c>
      <c r="J1277" s="172">
        <v>1</v>
      </c>
      <c r="K1277" s="172">
        <v>34</v>
      </c>
      <c r="L1277" s="172">
        <v>15</v>
      </c>
      <c r="M1277" s="172">
        <v>2</v>
      </c>
      <c r="N1277" s="172">
        <v>1</v>
      </c>
      <c r="O1277" s="172">
        <v>20</v>
      </c>
      <c r="P1277" s="174">
        <v>6</v>
      </c>
    </row>
    <row r="1278" spans="1:16">
      <c r="A1278" s="169" t="s">
        <v>449</v>
      </c>
      <c r="B1278" s="171" t="s">
        <v>467</v>
      </c>
      <c r="C1278" s="171">
        <v>50</v>
      </c>
      <c r="D1278" s="171">
        <v>10</v>
      </c>
      <c r="E1278" s="171">
        <v>3</v>
      </c>
      <c r="F1278" s="171">
        <v>9</v>
      </c>
      <c r="G1278" s="171">
        <v>6</v>
      </c>
      <c r="H1278" s="171">
        <v>17</v>
      </c>
      <c r="I1278" s="171">
        <v>11</v>
      </c>
      <c r="J1278" s="171">
        <v>1</v>
      </c>
      <c r="K1278" s="171">
        <v>47</v>
      </c>
      <c r="L1278" s="171">
        <v>16</v>
      </c>
      <c r="M1278" s="171">
        <v>6</v>
      </c>
      <c r="N1278" s="171">
        <v>14</v>
      </c>
      <c r="O1278" s="171">
        <v>19</v>
      </c>
      <c r="P1278" s="173">
        <v>4</v>
      </c>
    </row>
    <row r="1279" spans="1:16">
      <c r="A1279" s="170" t="s">
        <v>449</v>
      </c>
      <c r="B1279" s="172" t="s">
        <v>467</v>
      </c>
      <c r="C1279" s="172">
        <v>100</v>
      </c>
      <c r="D1279" s="172">
        <v>25</v>
      </c>
      <c r="E1279" s="172">
        <v>0</v>
      </c>
      <c r="F1279" s="172">
        <v>18</v>
      </c>
      <c r="G1279" s="172">
        <v>23</v>
      </c>
      <c r="H1279" s="172">
        <v>21</v>
      </c>
      <c r="I1279" s="172">
        <v>29</v>
      </c>
      <c r="J1279" s="172">
        <v>0</v>
      </c>
      <c r="K1279" s="172">
        <v>91</v>
      </c>
      <c r="L1279" s="172">
        <v>25</v>
      </c>
      <c r="M1279" s="172">
        <v>4</v>
      </c>
      <c r="N1279" s="172">
        <v>6</v>
      </c>
      <c r="O1279" s="172">
        <v>66</v>
      </c>
      <c r="P1279" s="174">
        <v>1</v>
      </c>
    </row>
    <row r="1280" spans="1:16">
      <c r="A1280" s="169" t="s">
        <v>449</v>
      </c>
      <c r="B1280" s="171" t="s">
        <v>467</v>
      </c>
      <c r="C1280" s="171">
        <v>125</v>
      </c>
      <c r="D1280" s="171">
        <v>40</v>
      </c>
      <c r="E1280" s="171">
        <v>2</v>
      </c>
      <c r="F1280" s="171">
        <v>32</v>
      </c>
      <c r="G1280" s="171">
        <v>34</v>
      </c>
      <c r="H1280" s="171">
        <v>35</v>
      </c>
      <c r="I1280" s="171">
        <v>34</v>
      </c>
      <c r="J1280" s="171">
        <v>0</v>
      </c>
      <c r="K1280" s="171">
        <v>137</v>
      </c>
      <c r="L1280" s="171">
        <v>83</v>
      </c>
      <c r="M1280" s="171">
        <v>3</v>
      </c>
      <c r="N1280" s="171">
        <v>8</v>
      </c>
      <c r="O1280" s="171">
        <v>44</v>
      </c>
      <c r="P1280" s="173">
        <v>17</v>
      </c>
    </row>
    <row r="1281" spans="1:16">
      <c r="A1281" s="172" t="s">
        <v>449</v>
      </c>
      <c r="B1281" s="172" t="s">
        <v>467</v>
      </c>
      <c r="C1281" s="172">
        <v>110</v>
      </c>
      <c r="D1281" s="172">
        <v>40</v>
      </c>
      <c r="E1281" s="172">
        <v>2</v>
      </c>
      <c r="F1281" s="172">
        <v>26</v>
      </c>
      <c r="G1281" s="172">
        <v>29</v>
      </c>
      <c r="H1281" s="172">
        <v>30</v>
      </c>
      <c r="I1281" s="172">
        <v>33</v>
      </c>
      <c r="J1281" s="172">
        <v>0</v>
      </c>
      <c r="K1281" s="172">
        <v>120</v>
      </c>
      <c r="L1281" s="172">
        <v>46</v>
      </c>
      <c r="M1281" s="172">
        <v>14</v>
      </c>
      <c r="N1281" s="172">
        <v>15</v>
      </c>
      <c r="O1281" s="172">
        <v>76</v>
      </c>
      <c r="P1281" s="174">
        <v>6</v>
      </c>
    </row>
    <row r="1282" spans="1:16" hidden="1">
      <c r="A1282" s="171" t="s">
        <v>450</v>
      </c>
      <c r="B1282" s="171" t="s">
        <v>467</v>
      </c>
      <c r="C1282" s="171">
        <v>80</v>
      </c>
      <c r="D1282" s="171">
        <v>80</v>
      </c>
      <c r="E1282" s="171">
        <v>10</v>
      </c>
      <c r="F1282" s="171">
        <v>14</v>
      </c>
      <c r="G1282" s="171">
        <v>10</v>
      </c>
      <c r="H1282" s="171">
        <v>4</v>
      </c>
      <c r="I1282" s="171">
        <v>5</v>
      </c>
      <c r="J1282" s="171">
        <v>0</v>
      </c>
      <c r="K1282" s="171">
        <v>43</v>
      </c>
      <c r="L1282" s="171">
        <v>1</v>
      </c>
      <c r="M1282" s="171">
        <v>0</v>
      </c>
      <c r="N1282" s="171">
        <v>0</v>
      </c>
      <c r="O1282" s="171">
        <v>42</v>
      </c>
      <c r="P1282" s="173">
        <v>0</v>
      </c>
    </row>
    <row r="1283" spans="1:16">
      <c r="A1283" s="170" t="s">
        <v>449</v>
      </c>
      <c r="B1283" s="172" t="s">
        <v>467</v>
      </c>
      <c r="C1283" s="172">
        <v>70</v>
      </c>
      <c r="D1283" s="172">
        <v>20</v>
      </c>
      <c r="E1283" s="172">
        <v>2</v>
      </c>
      <c r="F1283" s="172">
        <v>16</v>
      </c>
      <c r="G1283" s="172">
        <v>19</v>
      </c>
      <c r="H1283" s="172">
        <v>19</v>
      </c>
      <c r="I1283" s="172">
        <v>15</v>
      </c>
      <c r="J1283" s="172">
        <v>0</v>
      </c>
      <c r="K1283" s="172">
        <v>71</v>
      </c>
      <c r="L1283" s="172">
        <v>50</v>
      </c>
      <c r="M1283" s="172">
        <v>2</v>
      </c>
      <c r="N1283" s="172">
        <v>4</v>
      </c>
      <c r="O1283" s="172">
        <v>21</v>
      </c>
      <c r="P1283" s="174">
        <v>3</v>
      </c>
    </row>
    <row r="1284" spans="1:16" hidden="1">
      <c r="A1284" s="169" t="s">
        <v>452</v>
      </c>
      <c r="B1284" s="171" t="s">
        <v>467</v>
      </c>
      <c r="C1284" s="171">
        <v>50</v>
      </c>
      <c r="D1284" s="171">
        <v>8</v>
      </c>
      <c r="E1284" s="171">
        <v>1</v>
      </c>
      <c r="F1284" s="171">
        <v>7</v>
      </c>
      <c r="G1284" s="171">
        <v>11</v>
      </c>
      <c r="H1284" s="171">
        <v>18</v>
      </c>
      <c r="I1284" s="171">
        <v>10</v>
      </c>
      <c r="J1284" s="171">
        <v>1</v>
      </c>
      <c r="K1284" s="171">
        <v>48</v>
      </c>
      <c r="L1284" s="171">
        <v>24</v>
      </c>
      <c r="M1284" s="171">
        <v>12</v>
      </c>
      <c r="N1284" s="171">
        <v>6</v>
      </c>
      <c r="O1284" s="171">
        <v>17</v>
      </c>
      <c r="P1284" s="173">
        <v>0</v>
      </c>
    </row>
    <row r="1285" spans="1:16">
      <c r="A1285" s="172" t="s">
        <v>449</v>
      </c>
      <c r="B1285" s="172" t="s">
        <v>467</v>
      </c>
      <c r="C1285" s="172">
        <v>50</v>
      </c>
      <c r="D1285" s="172">
        <v>0</v>
      </c>
      <c r="E1285" s="172">
        <v>0</v>
      </c>
      <c r="F1285" s="172">
        <v>0</v>
      </c>
      <c r="G1285" s="172">
        <v>9</v>
      </c>
      <c r="H1285" s="172">
        <v>15</v>
      </c>
      <c r="I1285" s="172">
        <v>16</v>
      </c>
      <c r="J1285" s="172">
        <v>1</v>
      </c>
      <c r="K1285" s="172">
        <v>41</v>
      </c>
      <c r="L1285" s="172">
        <v>13</v>
      </c>
      <c r="M1285" s="172">
        <v>12</v>
      </c>
      <c r="N1285" s="172">
        <v>15</v>
      </c>
      <c r="O1285" s="172">
        <v>13</v>
      </c>
      <c r="P1285" s="174">
        <v>3</v>
      </c>
    </row>
    <row r="1286" spans="1:16">
      <c r="A1286" s="169" t="s">
        <v>449</v>
      </c>
      <c r="B1286" s="171" t="s">
        <v>467</v>
      </c>
      <c r="C1286" s="171">
        <v>64</v>
      </c>
      <c r="D1286" s="171">
        <v>15</v>
      </c>
      <c r="E1286" s="171">
        <v>0</v>
      </c>
      <c r="F1286" s="171">
        <v>6</v>
      </c>
      <c r="G1286" s="171">
        <v>8</v>
      </c>
      <c r="H1286" s="171">
        <v>12</v>
      </c>
      <c r="I1286" s="171">
        <v>14</v>
      </c>
      <c r="J1286" s="171">
        <v>1</v>
      </c>
      <c r="K1286" s="171">
        <v>41</v>
      </c>
      <c r="L1286" s="171">
        <v>3</v>
      </c>
      <c r="M1286" s="171">
        <v>2</v>
      </c>
      <c r="N1286" s="171">
        <v>26</v>
      </c>
      <c r="O1286" s="171">
        <v>13</v>
      </c>
      <c r="P1286" s="173">
        <v>0</v>
      </c>
    </row>
    <row r="1287" spans="1:16">
      <c r="A1287" s="170" t="s">
        <v>449</v>
      </c>
      <c r="B1287" s="172" t="s">
        <v>467</v>
      </c>
      <c r="C1287" s="172">
        <v>30</v>
      </c>
      <c r="D1287" s="172">
        <v>0</v>
      </c>
      <c r="E1287" s="172">
        <v>0</v>
      </c>
      <c r="F1287" s="172">
        <v>0</v>
      </c>
      <c r="G1287" s="172">
        <v>3</v>
      </c>
      <c r="H1287" s="172">
        <v>9</v>
      </c>
      <c r="I1287" s="172">
        <v>5</v>
      </c>
      <c r="J1287" s="172">
        <v>1</v>
      </c>
      <c r="K1287" s="172">
        <v>18</v>
      </c>
      <c r="L1287" s="172">
        <v>4</v>
      </c>
      <c r="M1287" s="172">
        <v>1</v>
      </c>
      <c r="N1287" s="172">
        <v>2</v>
      </c>
      <c r="O1287" s="172">
        <v>14</v>
      </c>
      <c r="P1287" s="174">
        <v>0</v>
      </c>
    </row>
    <row r="1288" spans="1:16">
      <c r="A1288" s="169" t="s">
        <v>449</v>
      </c>
      <c r="B1288" s="171" t="s">
        <v>467</v>
      </c>
      <c r="C1288" s="171">
        <v>100</v>
      </c>
      <c r="D1288" s="171">
        <v>30</v>
      </c>
      <c r="E1288" s="171">
        <v>4</v>
      </c>
      <c r="F1288" s="171">
        <v>13</v>
      </c>
      <c r="G1288" s="171">
        <v>16</v>
      </c>
      <c r="H1288" s="171">
        <v>29</v>
      </c>
      <c r="I1288" s="171">
        <v>22</v>
      </c>
      <c r="J1288" s="171">
        <v>4</v>
      </c>
      <c r="K1288" s="171">
        <v>88</v>
      </c>
      <c r="L1288" s="171">
        <v>0</v>
      </c>
      <c r="M1288" s="171">
        <v>1</v>
      </c>
      <c r="N1288" s="171">
        <v>4</v>
      </c>
      <c r="O1288" s="171">
        <v>83</v>
      </c>
      <c r="P1288" s="173">
        <v>0</v>
      </c>
    </row>
    <row r="1289" spans="1:16" hidden="1">
      <c r="A1289" s="170" t="s">
        <v>450</v>
      </c>
      <c r="B1289" s="172" t="s">
        <v>467</v>
      </c>
      <c r="C1289" s="172">
        <v>80</v>
      </c>
      <c r="D1289" s="172">
        <v>80</v>
      </c>
      <c r="E1289" s="172">
        <v>24</v>
      </c>
      <c r="F1289" s="172">
        <v>28</v>
      </c>
      <c r="G1289" s="172">
        <v>29</v>
      </c>
      <c r="H1289" s="172">
        <v>17</v>
      </c>
      <c r="I1289" s="172">
        <v>22</v>
      </c>
      <c r="J1289" s="172">
        <v>0</v>
      </c>
      <c r="K1289" s="172">
        <v>120</v>
      </c>
      <c r="L1289" s="172">
        <v>0</v>
      </c>
      <c r="M1289" s="172">
        <v>0</v>
      </c>
      <c r="N1289" s="172">
        <v>0</v>
      </c>
      <c r="O1289" s="172">
        <v>109</v>
      </c>
      <c r="P1289" s="174">
        <v>11</v>
      </c>
    </row>
    <row r="1290" spans="1:16">
      <c r="A1290" s="169" t="s">
        <v>449</v>
      </c>
      <c r="B1290" s="171" t="s">
        <v>467</v>
      </c>
      <c r="C1290" s="171">
        <v>10</v>
      </c>
      <c r="D1290" s="171">
        <v>5</v>
      </c>
      <c r="E1290" s="171">
        <v>0</v>
      </c>
      <c r="F1290" s="171">
        <v>2</v>
      </c>
      <c r="G1290" s="171">
        <v>6</v>
      </c>
      <c r="H1290" s="171">
        <v>3</v>
      </c>
      <c r="I1290" s="171">
        <v>5</v>
      </c>
      <c r="J1290" s="171">
        <v>0</v>
      </c>
      <c r="K1290" s="171">
        <v>16</v>
      </c>
      <c r="L1290" s="171">
        <v>1</v>
      </c>
      <c r="M1290" s="171">
        <v>0</v>
      </c>
      <c r="N1290" s="171">
        <v>0</v>
      </c>
      <c r="O1290" s="171">
        <v>5</v>
      </c>
      <c r="P1290" s="173">
        <v>12</v>
      </c>
    </row>
    <row r="1291" spans="1:16" hidden="1">
      <c r="A1291" s="170" t="s">
        <v>450</v>
      </c>
      <c r="B1291" s="172" t="s">
        <v>467</v>
      </c>
      <c r="C1291" s="172">
        <v>80</v>
      </c>
      <c r="D1291" s="172">
        <v>80</v>
      </c>
      <c r="E1291" s="172">
        <v>7</v>
      </c>
      <c r="F1291" s="172">
        <v>5</v>
      </c>
      <c r="G1291" s="172">
        <v>12</v>
      </c>
      <c r="H1291" s="172">
        <v>21</v>
      </c>
      <c r="I1291" s="172">
        <v>15</v>
      </c>
      <c r="J1291" s="172">
        <v>0</v>
      </c>
      <c r="K1291" s="172">
        <v>60</v>
      </c>
      <c r="L1291" s="172">
        <v>24</v>
      </c>
      <c r="M1291" s="172">
        <v>7</v>
      </c>
      <c r="N1291" s="172">
        <v>2</v>
      </c>
      <c r="O1291" s="172">
        <v>42</v>
      </c>
      <c r="P1291" s="174">
        <v>3</v>
      </c>
    </row>
    <row r="1292" spans="1:16">
      <c r="A1292" s="169" t="s">
        <v>449</v>
      </c>
      <c r="B1292" s="171" t="s">
        <v>467</v>
      </c>
      <c r="C1292" s="171">
        <v>35</v>
      </c>
      <c r="D1292" s="171">
        <v>15</v>
      </c>
      <c r="E1292" s="171">
        <v>2</v>
      </c>
      <c r="F1292" s="171">
        <v>8</v>
      </c>
      <c r="G1292" s="171">
        <v>13</v>
      </c>
      <c r="H1292" s="171">
        <v>3</v>
      </c>
      <c r="I1292" s="171">
        <v>7</v>
      </c>
      <c r="J1292" s="171">
        <v>1</v>
      </c>
      <c r="K1292" s="171">
        <v>34</v>
      </c>
      <c r="L1292" s="171">
        <v>31</v>
      </c>
      <c r="M1292" s="171">
        <v>5</v>
      </c>
      <c r="N1292" s="171">
        <v>0</v>
      </c>
      <c r="O1292" s="171">
        <v>2</v>
      </c>
      <c r="P1292" s="173">
        <v>0</v>
      </c>
    </row>
    <row r="1293" spans="1:16">
      <c r="A1293" s="170" t="s">
        <v>449</v>
      </c>
      <c r="B1293" s="172" t="s">
        <v>467</v>
      </c>
      <c r="C1293" s="172">
        <v>50</v>
      </c>
      <c r="D1293" s="172">
        <v>15</v>
      </c>
      <c r="E1293" s="172">
        <v>1</v>
      </c>
      <c r="F1293" s="172">
        <v>12</v>
      </c>
      <c r="G1293" s="172">
        <v>10</v>
      </c>
      <c r="H1293" s="172">
        <v>6</v>
      </c>
      <c r="I1293" s="172">
        <v>5</v>
      </c>
      <c r="J1293" s="172">
        <v>0</v>
      </c>
      <c r="K1293" s="172">
        <v>34</v>
      </c>
      <c r="L1293" s="172">
        <v>16</v>
      </c>
      <c r="M1293" s="172">
        <v>4</v>
      </c>
      <c r="N1293" s="172">
        <v>2</v>
      </c>
      <c r="O1293" s="172">
        <v>15</v>
      </c>
      <c r="P1293" s="174">
        <v>6</v>
      </c>
    </row>
    <row r="1294" spans="1:16">
      <c r="A1294" s="171" t="s">
        <v>449</v>
      </c>
      <c r="B1294" s="171" t="s">
        <v>467</v>
      </c>
      <c r="C1294" s="171">
        <v>80</v>
      </c>
      <c r="D1294" s="171">
        <v>25</v>
      </c>
      <c r="E1294" s="171">
        <v>4</v>
      </c>
      <c r="F1294" s="171">
        <v>14</v>
      </c>
      <c r="G1294" s="171">
        <v>19</v>
      </c>
      <c r="H1294" s="171">
        <v>13</v>
      </c>
      <c r="I1294" s="171">
        <v>10</v>
      </c>
      <c r="J1294" s="171">
        <v>0</v>
      </c>
      <c r="K1294" s="171">
        <v>60</v>
      </c>
      <c r="L1294" s="171">
        <v>45</v>
      </c>
      <c r="M1294" s="171">
        <v>14</v>
      </c>
      <c r="N1294" s="171">
        <v>7</v>
      </c>
      <c r="O1294" s="171">
        <v>8</v>
      </c>
      <c r="P1294" s="173">
        <v>6</v>
      </c>
    </row>
    <row r="1295" spans="1:16">
      <c r="A1295" s="172" t="s">
        <v>449</v>
      </c>
      <c r="B1295" s="172" t="s">
        <v>467</v>
      </c>
      <c r="C1295" s="172">
        <v>125</v>
      </c>
      <c r="D1295" s="172">
        <v>25</v>
      </c>
      <c r="E1295" s="172">
        <v>3</v>
      </c>
      <c r="F1295" s="172">
        <v>7</v>
      </c>
      <c r="G1295" s="172">
        <v>26</v>
      </c>
      <c r="H1295" s="172">
        <v>31</v>
      </c>
      <c r="I1295" s="172">
        <v>28</v>
      </c>
      <c r="J1295" s="172">
        <v>2</v>
      </c>
      <c r="K1295" s="172">
        <v>97</v>
      </c>
      <c r="L1295" s="172">
        <v>61</v>
      </c>
      <c r="M1295" s="172">
        <v>7</v>
      </c>
      <c r="N1295" s="172">
        <v>2</v>
      </c>
      <c r="O1295" s="172">
        <v>28</v>
      </c>
      <c r="P1295" s="174">
        <v>16</v>
      </c>
    </row>
    <row r="1296" spans="1:16">
      <c r="A1296" s="171" t="s">
        <v>449</v>
      </c>
      <c r="B1296" s="171" t="s">
        <v>467</v>
      </c>
      <c r="C1296" s="171">
        <v>120</v>
      </c>
      <c r="D1296" s="171">
        <v>20</v>
      </c>
      <c r="E1296" s="171">
        <v>7</v>
      </c>
      <c r="F1296" s="171">
        <v>15</v>
      </c>
      <c r="G1296" s="171">
        <v>31</v>
      </c>
      <c r="H1296" s="171">
        <v>28</v>
      </c>
      <c r="I1296" s="171">
        <v>32</v>
      </c>
      <c r="J1296" s="171">
        <v>3</v>
      </c>
      <c r="K1296" s="171">
        <v>116</v>
      </c>
      <c r="L1296" s="171">
        <v>32</v>
      </c>
      <c r="M1296" s="171">
        <v>22</v>
      </c>
      <c r="N1296" s="171">
        <v>33</v>
      </c>
      <c r="O1296" s="171">
        <v>54</v>
      </c>
      <c r="P1296" s="173">
        <v>11</v>
      </c>
    </row>
    <row r="1297" spans="1:16">
      <c r="A1297" s="172" t="s">
        <v>449</v>
      </c>
      <c r="B1297" s="172" t="s">
        <v>467</v>
      </c>
      <c r="C1297" s="172">
        <v>100</v>
      </c>
      <c r="D1297" s="172">
        <v>24</v>
      </c>
      <c r="E1297" s="172">
        <v>2</v>
      </c>
      <c r="F1297" s="172">
        <v>19</v>
      </c>
      <c r="G1297" s="172">
        <v>19</v>
      </c>
      <c r="H1297" s="172">
        <v>25</v>
      </c>
      <c r="I1297" s="172">
        <v>21</v>
      </c>
      <c r="J1297" s="172">
        <v>0</v>
      </c>
      <c r="K1297" s="172">
        <v>86</v>
      </c>
      <c r="L1297" s="172">
        <v>46</v>
      </c>
      <c r="M1297" s="172">
        <v>7</v>
      </c>
      <c r="N1297" s="172">
        <v>3</v>
      </c>
      <c r="O1297" s="172">
        <v>33</v>
      </c>
      <c r="P1297" s="174">
        <v>15</v>
      </c>
    </row>
    <row r="1298" spans="1:16">
      <c r="A1298" s="171" t="s">
        <v>449</v>
      </c>
      <c r="B1298" s="171" t="s">
        <v>467</v>
      </c>
      <c r="C1298" s="171">
        <v>80</v>
      </c>
      <c r="D1298" s="171">
        <v>20</v>
      </c>
      <c r="E1298" s="171">
        <v>0</v>
      </c>
      <c r="F1298" s="171">
        <v>3</v>
      </c>
      <c r="G1298" s="171">
        <v>12</v>
      </c>
      <c r="H1298" s="171">
        <v>15</v>
      </c>
      <c r="I1298" s="171">
        <v>10</v>
      </c>
      <c r="J1298" s="171">
        <v>3</v>
      </c>
      <c r="K1298" s="171">
        <v>43</v>
      </c>
      <c r="L1298" s="171">
        <v>1</v>
      </c>
      <c r="M1298" s="171">
        <v>10</v>
      </c>
      <c r="N1298" s="171">
        <v>36</v>
      </c>
      <c r="O1298" s="171">
        <v>3</v>
      </c>
      <c r="P1298" s="173">
        <v>1</v>
      </c>
    </row>
    <row r="1299" spans="1:16">
      <c r="A1299" s="170" t="s">
        <v>449</v>
      </c>
      <c r="B1299" s="172" t="s">
        <v>467</v>
      </c>
      <c r="C1299" s="172">
        <v>50</v>
      </c>
      <c r="D1299" s="172">
        <v>0</v>
      </c>
      <c r="E1299" s="172">
        <v>0</v>
      </c>
      <c r="F1299" s="172">
        <v>0</v>
      </c>
      <c r="G1299" s="172">
        <v>3</v>
      </c>
      <c r="H1299" s="172">
        <v>16</v>
      </c>
      <c r="I1299" s="172">
        <v>19</v>
      </c>
      <c r="J1299" s="172">
        <v>0</v>
      </c>
      <c r="K1299" s="172">
        <v>38</v>
      </c>
      <c r="L1299" s="172">
        <v>37</v>
      </c>
      <c r="M1299" s="172">
        <v>4</v>
      </c>
      <c r="N1299" s="172">
        <v>4</v>
      </c>
      <c r="O1299" s="172">
        <v>5</v>
      </c>
      <c r="P1299" s="174">
        <v>1</v>
      </c>
    </row>
    <row r="1300" spans="1:16">
      <c r="A1300" s="169" t="s">
        <v>449</v>
      </c>
      <c r="B1300" s="171" t="s">
        <v>467</v>
      </c>
      <c r="C1300" s="171">
        <v>100</v>
      </c>
      <c r="D1300" s="171">
        <v>40</v>
      </c>
      <c r="E1300" s="171">
        <v>4</v>
      </c>
      <c r="F1300" s="171">
        <v>12</v>
      </c>
      <c r="G1300" s="171">
        <v>20</v>
      </c>
      <c r="H1300" s="171">
        <v>16</v>
      </c>
      <c r="I1300" s="171">
        <v>20</v>
      </c>
      <c r="J1300" s="171">
        <v>0</v>
      </c>
      <c r="K1300" s="171">
        <v>72</v>
      </c>
      <c r="L1300" s="171">
        <v>61</v>
      </c>
      <c r="M1300" s="171">
        <v>13</v>
      </c>
      <c r="N1300" s="171">
        <v>2</v>
      </c>
      <c r="O1300" s="171">
        <v>7</v>
      </c>
      <c r="P1300" s="173">
        <v>0</v>
      </c>
    </row>
    <row r="1301" spans="1:16">
      <c r="A1301" s="170" t="s">
        <v>449</v>
      </c>
      <c r="B1301" s="172" t="s">
        <v>467</v>
      </c>
      <c r="C1301" s="172">
        <v>80</v>
      </c>
      <c r="D1301" s="172">
        <v>18</v>
      </c>
      <c r="E1301" s="172">
        <v>1</v>
      </c>
      <c r="F1301" s="172">
        <v>13</v>
      </c>
      <c r="G1301" s="172">
        <v>29</v>
      </c>
      <c r="H1301" s="172">
        <v>25</v>
      </c>
      <c r="I1301" s="172">
        <v>30</v>
      </c>
      <c r="J1301" s="172">
        <v>1</v>
      </c>
      <c r="K1301" s="172">
        <v>99</v>
      </c>
      <c r="L1301" s="172">
        <v>4</v>
      </c>
      <c r="M1301" s="172">
        <v>2</v>
      </c>
      <c r="N1301" s="172">
        <v>8</v>
      </c>
      <c r="O1301" s="172">
        <v>86</v>
      </c>
      <c r="P1301" s="174">
        <v>8</v>
      </c>
    </row>
    <row r="1302" spans="1:16">
      <c r="A1302" s="171" t="s">
        <v>449</v>
      </c>
      <c r="B1302" s="171" t="s">
        <v>467</v>
      </c>
      <c r="C1302" s="171">
        <v>98</v>
      </c>
      <c r="D1302" s="171">
        <v>21</v>
      </c>
      <c r="E1302" s="171">
        <v>5</v>
      </c>
      <c r="F1302" s="171">
        <v>22</v>
      </c>
      <c r="G1302" s="171">
        <v>26</v>
      </c>
      <c r="H1302" s="171">
        <v>30</v>
      </c>
      <c r="I1302" s="171">
        <v>24</v>
      </c>
      <c r="J1302" s="171">
        <v>2</v>
      </c>
      <c r="K1302" s="171">
        <v>109</v>
      </c>
      <c r="L1302" s="171">
        <v>101</v>
      </c>
      <c r="M1302" s="171">
        <v>18</v>
      </c>
      <c r="N1302" s="171">
        <v>8</v>
      </c>
      <c r="O1302" s="171">
        <v>9</v>
      </c>
      <c r="P1302" s="173">
        <v>4</v>
      </c>
    </row>
    <row r="1303" spans="1:16">
      <c r="A1303" s="172" t="s">
        <v>449</v>
      </c>
      <c r="B1303" s="172" t="s">
        <v>467</v>
      </c>
      <c r="C1303" s="172">
        <v>65</v>
      </c>
      <c r="D1303" s="172">
        <v>15</v>
      </c>
      <c r="E1303" s="172">
        <v>3</v>
      </c>
      <c r="F1303" s="172">
        <v>7</v>
      </c>
      <c r="G1303" s="172">
        <v>17</v>
      </c>
      <c r="H1303" s="172">
        <v>8</v>
      </c>
      <c r="I1303" s="172">
        <v>11</v>
      </c>
      <c r="J1303" s="172">
        <v>0</v>
      </c>
      <c r="K1303" s="172">
        <v>46</v>
      </c>
      <c r="L1303" s="172">
        <v>24</v>
      </c>
      <c r="M1303" s="172">
        <v>5</v>
      </c>
      <c r="N1303" s="172">
        <v>9</v>
      </c>
      <c r="O1303" s="172">
        <v>14</v>
      </c>
      <c r="P1303" s="174">
        <v>6</v>
      </c>
    </row>
    <row r="1304" spans="1:16">
      <c r="A1304" s="169" t="s">
        <v>449</v>
      </c>
      <c r="B1304" s="171" t="s">
        <v>467</v>
      </c>
      <c r="C1304" s="171">
        <v>60</v>
      </c>
      <c r="D1304" s="171">
        <v>10</v>
      </c>
      <c r="E1304" s="171">
        <v>2</v>
      </c>
      <c r="F1304" s="171">
        <v>7</v>
      </c>
      <c r="G1304" s="171">
        <v>6</v>
      </c>
      <c r="H1304" s="171">
        <v>17</v>
      </c>
      <c r="I1304" s="171">
        <v>14</v>
      </c>
      <c r="J1304" s="171">
        <v>1</v>
      </c>
      <c r="K1304" s="171">
        <v>47</v>
      </c>
      <c r="L1304" s="171">
        <v>18</v>
      </c>
      <c r="M1304" s="171">
        <v>3</v>
      </c>
      <c r="N1304" s="171">
        <v>3</v>
      </c>
      <c r="O1304" s="171">
        <v>27</v>
      </c>
      <c r="P1304" s="173">
        <v>7</v>
      </c>
    </row>
    <row r="1305" spans="1:16" hidden="1">
      <c r="A1305" s="170" t="s">
        <v>450</v>
      </c>
      <c r="B1305" s="172" t="s">
        <v>467</v>
      </c>
      <c r="C1305" s="172">
        <v>35</v>
      </c>
      <c r="D1305" s="172">
        <v>35</v>
      </c>
      <c r="E1305" s="172">
        <v>2</v>
      </c>
      <c r="F1305" s="172">
        <v>5</v>
      </c>
      <c r="G1305" s="172">
        <v>2</v>
      </c>
      <c r="H1305" s="172">
        <v>4</v>
      </c>
      <c r="I1305" s="172">
        <v>2</v>
      </c>
      <c r="J1305" s="172">
        <v>0</v>
      </c>
      <c r="K1305" s="172">
        <v>15</v>
      </c>
      <c r="L1305" s="172">
        <v>3</v>
      </c>
      <c r="M1305" s="172">
        <v>0</v>
      </c>
      <c r="N1305" s="172">
        <v>0</v>
      </c>
      <c r="O1305" s="172">
        <v>15</v>
      </c>
      <c r="P1305" s="174">
        <v>0</v>
      </c>
    </row>
    <row r="1306" spans="1:16">
      <c r="A1306" s="171" t="s">
        <v>449</v>
      </c>
      <c r="B1306" s="171" t="s">
        <v>467</v>
      </c>
      <c r="C1306" s="171">
        <v>110</v>
      </c>
      <c r="D1306" s="171">
        <v>20</v>
      </c>
      <c r="E1306" s="171">
        <v>6</v>
      </c>
      <c r="F1306" s="171">
        <v>14</v>
      </c>
      <c r="G1306" s="171">
        <v>23</v>
      </c>
      <c r="H1306" s="171">
        <v>21</v>
      </c>
      <c r="I1306" s="171">
        <v>20</v>
      </c>
      <c r="J1306" s="171">
        <v>1</v>
      </c>
      <c r="K1306" s="171">
        <v>85</v>
      </c>
      <c r="L1306" s="171">
        <v>49</v>
      </c>
      <c r="M1306" s="171">
        <v>14</v>
      </c>
      <c r="N1306" s="171">
        <v>4</v>
      </c>
      <c r="O1306" s="171">
        <v>37</v>
      </c>
      <c r="P1306" s="173">
        <v>3</v>
      </c>
    </row>
    <row r="1307" spans="1:16">
      <c r="A1307" s="172" t="s">
        <v>449</v>
      </c>
      <c r="B1307" s="172" t="s">
        <v>467</v>
      </c>
      <c r="C1307" s="172">
        <v>55</v>
      </c>
      <c r="D1307" s="172">
        <v>15</v>
      </c>
      <c r="E1307" s="172">
        <v>0</v>
      </c>
      <c r="F1307" s="172">
        <v>2</v>
      </c>
      <c r="G1307" s="172">
        <v>8</v>
      </c>
      <c r="H1307" s="172">
        <v>11</v>
      </c>
      <c r="I1307" s="172">
        <v>5</v>
      </c>
      <c r="J1307" s="172">
        <v>0</v>
      </c>
      <c r="K1307" s="172">
        <v>26</v>
      </c>
      <c r="L1307" s="172">
        <v>13</v>
      </c>
      <c r="M1307" s="172">
        <v>2</v>
      </c>
      <c r="N1307" s="172">
        <v>4</v>
      </c>
      <c r="O1307" s="172">
        <v>12</v>
      </c>
      <c r="P1307" s="174">
        <v>1</v>
      </c>
    </row>
    <row r="1308" spans="1:16">
      <c r="A1308" s="169" t="s">
        <v>449</v>
      </c>
      <c r="B1308" s="171" t="s">
        <v>467</v>
      </c>
      <c r="C1308" s="171">
        <v>20</v>
      </c>
      <c r="D1308" s="171">
        <v>10</v>
      </c>
      <c r="E1308" s="171">
        <v>2</v>
      </c>
      <c r="F1308" s="171">
        <v>9</v>
      </c>
      <c r="G1308" s="171">
        <v>7</v>
      </c>
      <c r="H1308" s="171">
        <v>5</v>
      </c>
      <c r="I1308" s="171">
        <v>4</v>
      </c>
      <c r="J1308" s="171">
        <v>0</v>
      </c>
      <c r="K1308" s="171">
        <v>27</v>
      </c>
      <c r="L1308" s="171">
        <v>14</v>
      </c>
      <c r="M1308" s="171">
        <v>3</v>
      </c>
      <c r="N1308" s="171">
        <v>5</v>
      </c>
      <c r="O1308" s="171">
        <v>14</v>
      </c>
      <c r="P1308" s="173">
        <v>0</v>
      </c>
    </row>
    <row r="1309" spans="1:16">
      <c r="A1309" s="170" t="s">
        <v>449</v>
      </c>
      <c r="B1309" s="172" t="s">
        <v>467</v>
      </c>
      <c r="C1309" s="172">
        <v>50</v>
      </c>
      <c r="D1309" s="172">
        <v>0</v>
      </c>
      <c r="E1309" s="172">
        <v>0</v>
      </c>
      <c r="F1309" s="172">
        <v>0</v>
      </c>
      <c r="G1309" s="172">
        <v>5</v>
      </c>
      <c r="H1309" s="172">
        <v>13</v>
      </c>
      <c r="I1309" s="172">
        <v>18</v>
      </c>
      <c r="J1309" s="172">
        <v>3</v>
      </c>
      <c r="K1309" s="172">
        <v>39</v>
      </c>
      <c r="L1309" s="172">
        <v>4</v>
      </c>
      <c r="M1309" s="172">
        <v>3</v>
      </c>
      <c r="N1309" s="172">
        <v>18</v>
      </c>
      <c r="O1309" s="172">
        <v>16</v>
      </c>
      <c r="P1309" s="174">
        <v>1</v>
      </c>
    </row>
    <row r="1310" spans="1:16">
      <c r="A1310" s="169" t="s">
        <v>449</v>
      </c>
      <c r="B1310" s="171" t="s">
        <v>467</v>
      </c>
      <c r="C1310" s="171">
        <v>90</v>
      </c>
      <c r="D1310" s="171">
        <v>25</v>
      </c>
      <c r="E1310" s="171">
        <v>3</v>
      </c>
      <c r="F1310" s="171">
        <v>18</v>
      </c>
      <c r="G1310" s="171">
        <v>14</v>
      </c>
      <c r="H1310" s="171">
        <v>21</v>
      </c>
      <c r="I1310" s="171">
        <v>18</v>
      </c>
      <c r="J1310" s="171">
        <v>1</v>
      </c>
      <c r="K1310" s="171">
        <v>75</v>
      </c>
      <c r="L1310" s="171">
        <v>9</v>
      </c>
      <c r="M1310" s="171">
        <v>3</v>
      </c>
      <c r="N1310" s="171">
        <v>2</v>
      </c>
      <c r="O1310" s="171">
        <v>65</v>
      </c>
      <c r="P1310" s="173">
        <v>1</v>
      </c>
    </row>
    <row r="1311" spans="1:16" hidden="1">
      <c r="A1311" s="170" t="s">
        <v>450</v>
      </c>
      <c r="B1311" s="172" t="s">
        <v>467</v>
      </c>
      <c r="C1311" s="172">
        <v>80</v>
      </c>
      <c r="D1311" s="172">
        <v>80</v>
      </c>
      <c r="E1311" s="172">
        <v>10</v>
      </c>
      <c r="F1311" s="172">
        <v>25</v>
      </c>
      <c r="G1311" s="172">
        <v>21</v>
      </c>
      <c r="H1311" s="172">
        <v>13</v>
      </c>
      <c r="I1311" s="172">
        <v>18</v>
      </c>
      <c r="J1311" s="172">
        <v>1</v>
      </c>
      <c r="K1311" s="172">
        <v>88</v>
      </c>
      <c r="L1311" s="172">
        <v>3</v>
      </c>
      <c r="M1311" s="172">
        <v>0</v>
      </c>
      <c r="N1311" s="172">
        <v>0</v>
      </c>
      <c r="O1311" s="172">
        <v>87</v>
      </c>
      <c r="P1311" s="174">
        <v>0</v>
      </c>
    </row>
    <row r="1312" spans="1:16">
      <c r="A1312" s="169" t="s">
        <v>449</v>
      </c>
      <c r="B1312" s="171" t="s">
        <v>467</v>
      </c>
      <c r="C1312" s="171">
        <v>100</v>
      </c>
      <c r="D1312" s="171">
        <v>24</v>
      </c>
      <c r="E1312" s="171">
        <v>2</v>
      </c>
      <c r="F1312" s="171">
        <v>16</v>
      </c>
      <c r="G1312" s="171">
        <v>20</v>
      </c>
      <c r="H1312" s="171">
        <v>39</v>
      </c>
      <c r="I1312" s="171">
        <v>30</v>
      </c>
      <c r="J1312" s="171">
        <v>2</v>
      </c>
      <c r="K1312" s="171">
        <v>109</v>
      </c>
      <c r="L1312" s="171">
        <v>7</v>
      </c>
      <c r="M1312" s="171">
        <v>6</v>
      </c>
      <c r="N1312" s="171">
        <v>5</v>
      </c>
      <c r="O1312" s="171">
        <v>95</v>
      </c>
      <c r="P1312" s="173">
        <v>7</v>
      </c>
    </row>
    <row r="1313" spans="1:16">
      <c r="A1313" s="170" t="s">
        <v>449</v>
      </c>
      <c r="B1313" s="172" t="s">
        <v>467</v>
      </c>
      <c r="C1313" s="172">
        <v>35</v>
      </c>
      <c r="D1313" s="172">
        <v>7</v>
      </c>
      <c r="E1313" s="172">
        <v>0</v>
      </c>
      <c r="F1313" s="172">
        <v>4</v>
      </c>
      <c r="G1313" s="172">
        <v>5</v>
      </c>
      <c r="H1313" s="172">
        <v>4</v>
      </c>
      <c r="I1313" s="172">
        <v>9</v>
      </c>
      <c r="J1313" s="172">
        <v>0</v>
      </c>
      <c r="K1313" s="172">
        <v>22</v>
      </c>
      <c r="L1313" s="172">
        <v>6</v>
      </c>
      <c r="M1313" s="172">
        <v>5</v>
      </c>
      <c r="N1313" s="172">
        <v>2</v>
      </c>
      <c r="O1313" s="172">
        <v>15</v>
      </c>
      <c r="P1313" s="174">
        <v>1</v>
      </c>
    </row>
    <row r="1314" spans="1:16">
      <c r="A1314" s="169" t="s">
        <v>449</v>
      </c>
      <c r="B1314" s="171" t="s">
        <v>467</v>
      </c>
      <c r="C1314" s="171">
        <v>70</v>
      </c>
      <c r="D1314" s="171">
        <v>14</v>
      </c>
      <c r="E1314" s="171">
        <v>1</v>
      </c>
      <c r="F1314" s="171">
        <v>8</v>
      </c>
      <c r="G1314" s="171">
        <v>10</v>
      </c>
      <c r="H1314" s="171">
        <v>21</v>
      </c>
      <c r="I1314" s="171">
        <v>21</v>
      </c>
      <c r="J1314" s="171">
        <v>0</v>
      </c>
      <c r="K1314" s="171">
        <v>61</v>
      </c>
      <c r="L1314" s="171">
        <v>5</v>
      </c>
      <c r="M1314" s="171">
        <v>11</v>
      </c>
      <c r="N1314" s="171">
        <v>39</v>
      </c>
      <c r="O1314" s="171">
        <v>23</v>
      </c>
      <c r="P1314" s="173">
        <v>0</v>
      </c>
    </row>
    <row r="1315" spans="1:16">
      <c r="A1315" s="170" t="s">
        <v>449</v>
      </c>
      <c r="B1315" s="172" t="s">
        <v>467</v>
      </c>
      <c r="C1315" s="172">
        <v>60</v>
      </c>
      <c r="D1315" s="172">
        <v>18</v>
      </c>
      <c r="E1315" s="172">
        <v>1</v>
      </c>
      <c r="F1315" s="172">
        <v>10</v>
      </c>
      <c r="G1315" s="172">
        <v>14</v>
      </c>
      <c r="H1315" s="172">
        <v>23</v>
      </c>
      <c r="I1315" s="172">
        <v>16</v>
      </c>
      <c r="J1315" s="172">
        <v>1</v>
      </c>
      <c r="K1315" s="172">
        <v>65</v>
      </c>
      <c r="L1315" s="172">
        <v>45</v>
      </c>
      <c r="M1315" s="172">
        <v>2</v>
      </c>
      <c r="N1315" s="172">
        <v>0</v>
      </c>
      <c r="O1315" s="172">
        <v>23</v>
      </c>
      <c r="P1315" s="174">
        <v>2</v>
      </c>
    </row>
    <row r="1316" spans="1:16">
      <c r="A1316" s="169" t="s">
        <v>449</v>
      </c>
      <c r="B1316" s="171" t="s">
        <v>467</v>
      </c>
      <c r="C1316" s="171">
        <v>63</v>
      </c>
      <c r="D1316" s="171">
        <v>16</v>
      </c>
      <c r="E1316" s="171">
        <v>2</v>
      </c>
      <c r="F1316" s="171">
        <v>10</v>
      </c>
      <c r="G1316" s="171">
        <v>13</v>
      </c>
      <c r="H1316" s="171">
        <v>18</v>
      </c>
      <c r="I1316" s="171">
        <v>29</v>
      </c>
      <c r="J1316" s="171">
        <v>2</v>
      </c>
      <c r="K1316" s="171">
        <v>74</v>
      </c>
      <c r="L1316" s="171">
        <v>6</v>
      </c>
      <c r="M1316" s="171">
        <v>5</v>
      </c>
      <c r="N1316" s="171">
        <v>9</v>
      </c>
      <c r="O1316" s="171">
        <v>63</v>
      </c>
      <c r="P1316" s="173">
        <v>7</v>
      </c>
    </row>
    <row r="1317" spans="1:16">
      <c r="A1317" s="170" t="s">
        <v>449</v>
      </c>
      <c r="B1317" s="172" t="s">
        <v>467</v>
      </c>
      <c r="C1317" s="172">
        <v>50</v>
      </c>
      <c r="D1317" s="172">
        <v>15</v>
      </c>
      <c r="E1317" s="172">
        <v>1</v>
      </c>
      <c r="F1317" s="172">
        <v>5</v>
      </c>
      <c r="G1317" s="172">
        <v>7</v>
      </c>
      <c r="H1317" s="172">
        <v>13</v>
      </c>
      <c r="I1317" s="172">
        <v>10</v>
      </c>
      <c r="J1317" s="172">
        <v>0</v>
      </c>
      <c r="K1317" s="172">
        <v>36</v>
      </c>
      <c r="L1317" s="172">
        <v>6</v>
      </c>
      <c r="M1317" s="172">
        <v>0</v>
      </c>
      <c r="N1317" s="172">
        <v>0</v>
      </c>
      <c r="O1317" s="172">
        <v>33</v>
      </c>
      <c r="P1317" s="174">
        <v>0</v>
      </c>
    </row>
    <row r="1318" spans="1:16">
      <c r="A1318" s="169" t="s">
        <v>449</v>
      </c>
      <c r="B1318" s="171" t="s">
        <v>467</v>
      </c>
      <c r="C1318" s="171">
        <v>100</v>
      </c>
      <c r="D1318" s="171">
        <v>22</v>
      </c>
      <c r="E1318" s="171">
        <v>2</v>
      </c>
      <c r="F1318" s="171">
        <v>17</v>
      </c>
      <c r="G1318" s="171">
        <v>31</v>
      </c>
      <c r="H1318" s="171">
        <v>17</v>
      </c>
      <c r="I1318" s="171">
        <v>24</v>
      </c>
      <c r="J1318" s="171">
        <v>2</v>
      </c>
      <c r="K1318" s="171">
        <v>93</v>
      </c>
      <c r="L1318" s="171">
        <v>52</v>
      </c>
      <c r="M1318" s="171">
        <v>4</v>
      </c>
      <c r="N1318" s="171">
        <v>1</v>
      </c>
      <c r="O1318" s="171">
        <v>33</v>
      </c>
      <c r="P1318" s="173">
        <v>11</v>
      </c>
    </row>
    <row r="1319" spans="1:16">
      <c r="A1319" s="170" t="s">
        <v>449</v>
      </c>
      <c r="B1319" s="172" t="s">
        <v>467</v>
      </c>
      <c r="C1319" s="172">
        <v>40</v>
      </c>
      <c r="D1319" s="172">
        <v>10</v>
      </c>
      <c r="E1319" s="172">
        <v>1</v>
      </c>
      <c r="F1319" s="172">
        <v>2</v>
      </c>
      <c r="G1319" s="172">
        <v>12</v>
      </c>
      <c r="H1319" s="172">
        <v>4</v>
      </c>
      <c r="I1319" s="172">
        <v>3</v>
      </c>
      <c r="J1319" s="172">
        <v>0</v>
      </c>
      <c r="K1319" s="172">
        <v>22</v>
      </c>
      <c r="L1319" s="172">
        <v>17</v>
      </c>
      <c r="M1319" s="172">
        <v>5</v>
      </c>
      <c r="N1319" s="172">
        <v>4</v>
      </c>
      <c r="O1319" s="172">
        <v>7</v>
      </c>
      <c r="P1319" s="174">
        <v>0</v>
      </c>
    </row>
    <row r="1320" spans="1:16">
      <c r="A1320" s="169" t="s">
        <v>449</v>
      </c>
      <c r="B1320" s="171" t="s">
        <v>467</v>
      </c>
      <c r="C1320" s="171">
        <v>30</v>
      </c>
      <c r="D1320" s="171">
        <v>10</v>
      </c>
      <c r="E1320" s="171">
        <v>0</v>
      </c>
      <c r="F1320" s="171">
        <v>0</v>
      </c>
      <c r="G1320" s="171">
        <v>0</v>
      </c>
      <c r="H1320" s="171">
        <v>7</v>
      </c>
      <c r="I1320" s="171">
        <v>5</v>
      </c>
      <c r="J1320" s="171">
        <v>0</v>
      </c>
      <c r="K1320" s="171">
        <v>12</v>
      </c>
      <c r="L1320" s="171">
        <v>3</v>
      </c>
      <c r="M1320" s="171">
        <v>2</v>
      </c>
      <c r="N1320" s="171">
        <v>3</v>
      </c>
      <c r="O1320" s="171">
        <v>6</v>
      </c>
      <c r="P1320" s="173">
        <v>2</v>
      </c>
    </row>
    <row r="1321" spans="1:16">
      <c r="A1321" s="170" t="s">
        <v>449</v>
      </c>
      <c r="B1321" s="172" t="s">
        <v>467</v>
      </c>
      <c r="C1321" s="172">
        <v>90</v>
      </c>
      <c r="D1321" s="172">
        <v>20</v>
      </c>
      <c r="E1321" s="172">
        <v>5</v>
      </c>
      <c r="F1321" s="172">
        <v>17</v>
      </c>
      <c r="G1321" s="172">
        <v>16</v>
      </c>
      <c r="H1321" s="172">
        <v>9</v>
      </c>
      <c r="I1321" s="172">
        <v>8</v>
      </c>
      <c r="J1321" s="172">
        <v>0</v>
      </c>
      <c r="K1321" s="172">
        <v>55</v>
      </c>
      <c r="L1321" s="172">
        <v>34</v>
      </c>
      <c r="M1321" s="172">
        <v>4</v>
      </c>
      <c r="N1321" s="172">
        <v>6</v>
      </c>
      <c r="O1321" s="172">
        <v>24</v>
      </c>
      <c r="P1321" s="174">
        <v>1</v>
      </c>
    </row>
    <row r="1322" spans="1:16" hidden="1">
      <c r="A1322" s="169" t="s">
        <v>452</v>
      </c>
      <c r="B1322" s="171" t="s">
        <v>467</v>
      </c>
      <c r="C1322" s="171">
        <v>45</v>
      </c>
      <c r="D1322" s="171">
        <v>5</v>
      </c>
      <c r="E1322" s="171">
        <v>0</v>
      </c>
      <c r="F1322" s="171">
        <v>4</v>
      </c>
      <c r="G1322" s="171">
        <v>6</v>
      </c>
      <c r="H1322" s="171">
        <v>14</v>
      </c>
      <c r="I1322" s="171">
        <v>22</v>
      </c>
      <c r="J1322" s="171">
        <v>7</v>
      </c>
      <c r="K1322" s="171">
        <v>53</v>
      </c>
      <c r="L1322" s="171">
        <v>13</v>
      </c>
      <c r="M1322" s="171">
        <v>27</v>
      </c>
      <c r="N1322" s="171">
        <v>22</v>
      </c>
      <c r="O1322" s="171">
        <v>19</v>
      </c>
      <c r="P1322" s="173">
        <v>2</v>
      </c>
    </row>
    <row r="1323" spans="1:16">
      <c r="A1323" s="170" t="s">
        <v>449</v>
      </c>
      <c r="B1323" s="172" t="s">
        <v>467</v>
      </c>
      <c r="C1323" s="172">
        <v>35</v>
      </c>
      <c r="D1323" s="172">
        <v>5</v>
      </c>
      <c r="E1323" s="172">
        <v>0</v>
      </c>
      <c r="F1323" s="172">
        <v>2</v>
      </c>
      <c r="G1323" s="172">
        <v>3</v>
      </c>
      <c r="H1323" s="172">
        <v>2</v>
      </c>
      <c r="I1323" s="172">
        <v>7</v>
      </c>
      <c r="J1323" s="172">
        <v>0</v>
      </c>
      <c r="K1323" s="172">
        <v>14</v>
      </c>
      <c r="L1323" s="172">
        <v>2</v>
      </c>
      <c r="M1323" s="172">
        <v>0</v>
      </c>
      <c r="N1323" s="172">
        <v>11</v>
      </c>
      <c r="O1323" s="172">
        <v>3</v>
      </c>
      <c r="P1323" s="174">
        <v>0</v>
      </c>
    </row>
    <row r="1324" spans="1:16">
      <c r="A1324" s="169" t="s">
        <v>449</v>
      </c>
      <c r="B1324" s="171" t="s">
        <v>467</v>
      </c>
      <c r="C1324" s="171">
        <v>64</v>
      </c>
      <c r="D1324" s="171">
        <v>14</v>
      </c>
      <c r="E1324" s="171">
        <v>1</v>
      </c>
      <c r="F1324" s="171">
        <v>10</v>
      </c>
      <c r="G1324" s="171">
        <v>16</v>
      </c>
      <c r="H1324" s="171">
        <v>19</v>
      </c>
      <c r="I1324" s="171">
        <v>16</v>
      </c>
      <c r="J1324" s="171">
        <v>0</v>
      </c>
      <c r="K1324" s="171">
        <v>62</v>
      </c>
      <c r="L1324" s="171">
        <v>10</v>
      </c>
      <c r="M1324" s="171">
        <v>9</v>
      </c>
      <c r="N1324" s="171">
        <v>16</v>
      </c>
      <c r="O1324" s="171">
        <v>39</v>
      </c>
      <c r="P1324" s="173">
        <v>2</v>
      </c>
    </row>
    <row r="1325" spans="1:16">
      <c r="A1325" s="172" t="s">
        <v>449</v>
      </c>
      <c r="B1325" s="172" t="s">
        <v>467</v>
      </c>
      <c r="C1325" s="172">
        <v>87</v>
      </c>
      <c r="D1325" s="172">
        <v>27</v>
      </c>
      <c r="E1325" s="172">
        <v>7</v>
      </c>
      <c r="F1325" s="172">
        <v>23</v>
      </c>
      <c r="G1325" s="172">
        <v>11</v>
      </c>
      <c r="H1325" s="172">
        <v>12</v>
      </c>
      <c r="I1325" s="172">
        <v>12</v>
      </c>
      <c r="J1325" s="172">
        <v>1</v>
      </c>
      <c r="K1325" s="172">
        <v>66</v>
      </c>
      <c r="L1325" s="172">
        <v>52</v>
      </c>
      <c r="M1325" s="172">
        <v>4</v>
      </c>
      <c r="N1325" s="172">
        <v>1</v>
      </c>
      <c r="O1325" s="172">
        <v>11</v>
      </c>
      <c r="P1325" s="174">
        <v>4</v>
      </c>
    </row>
    <row r="1326" spans="1:16">
      <c r="A1326" s="169" t="s">
        <v>449</v>
      </c>
      <c r="B1326" s="171" t="s">
        <v>467</v>
      </c>
      <c r="C1326" s="171">
        <v>96</v>
      </c>
      <c r="D1326" s="171">
        <v>24</v>
      </c>
      <c r="E1326" s="171">
        <v>2</v>
      </c>
      <c r="F1326" s="171">
        <v>10</v>
      </c>
      <c r="G1326" s="171">
        <v>28</v>
      </c>
      <c r="H1326" s="171">
        <v>23</v>
      </c>
      <c r="I1326" s="171">
        <v>14</v>
      </c>
      <c r="J1326" s="171">
        <v>0</v>
      </c>
      <c r="K1326" s="171">
        <v>77</v>
      </c>
      <c r="L1326" s="171">
        <v>21</v>
      </c>
      <c r="M1326" s="171">
        <v>4</v>
      </c>
      <c r="N1326" s="171">
        <v>13</v>
      </c>
      <c r="O1326" s="171">
        <v>45</v>
      </c>
      <c r="P1326" s="173">
        <v>11</v>
      </c>
    </row>
    <row r="1327" spans="1:16">
      <c r="A1327" s="170" t="s">
        <v>449</v>
      </c>
      <c r="B1327" s="172" t="s">
        <v>467</v>
      </c>
      <c r="C1327" s="172">
        <v>41</v>
      </c>
      <c r="D1327" s="172">
        <v>15</v>
      </c>
      <c r="E1327" s="172">
        <v>0</v>
      </c>
      <c r="F1327" s="172">
        <v>6</v>
      </c>
      <c r="G1327" s="172">
        <v>8</v>
      </c>
      <c r="H1327" s="172">
        <v>6</v>
      </c>
      <c r="I1327" s="172">
        <v>6</v>
      </c>
      <c r="J1327" s="172">
        <v>0</v>
      </c>
      <c r="K1327" s="172">
        <v>26</v>
      </c>
      <c r="L1327" s="172">
        <v>10</v>
      </c>
      <c r="M1327" s="172">
        <v>3</v>
      </c>
      <c r="N1327" s="172">
        <v>8</v>
      </c>
      <c r="O1327" s="172">
        <v>10</v>
      </c>
      <c r="P1327" s="174">
        <v>4</v>
      </c>
    </row>
    <row r="1328" spans="1:16">
      <c r="A1328" s="169" t="s">
        <v>449</v>
      </c>
      <c r="B1328" s="171" t="s">
        <v>467</v>
      </c>
      <c r="C1328" s="171">
        <v>60</v>
      </c>
      <c r="D1328" s="171">
        <v>15</v>
      </c>
      <c r="E1328" s="171">
        <v>2</v>
      </c>
      <c r="F1328" s="171">
        <v>5</v>
      </c>
      <c r="G1328" s="171">
        <v>17</v>
      </c>
      <c r="H1328" s="171">
        <v>10</v>
      </c>
      <c r="I1328" s="171">
        <v>8</v>
      </c>
      <c r="J1328" s="171">
        <v>0</v>
      </c>
      <c r="K1328" s="171">
        <v>42</v>
      </c>
      <c r="L1328" s="171">
        <v>1</v>
      </c>
      <c r="M1328" s="171">
        <v>8</v>
      </c>
      <c r="N1328" s="171">
        <v>7</v>
      </c>
      <c r="O1328" s="171">
        <v>29</v>
      </c>
      <c r="P1328" s="173">
        <v>0</v>
      </c>
    </row>
    <row r="1329" spans="1:16">
      <c r="A1329" s="170" t="s">
        <v>449</v>
      </c>
      <c r="B1329" s="172" t="s">
        <v>467</v>
      </c>
      <c r="C1329" s="172">
        <v>120</v>
      </c>
      <c r="D1329" s="172">
        <v>25</v>
      </c>
      <c r="E1329" s="172">
        <v>2</v>
      </c>
      <c r="F1329" s="172">
        <v>20</v>
      </c>
      <c r="G1329" s="172">
        <v>19</v>
      </c>
      <c r="H1329" s="172">
        <v>27</v>
      </c>
      <c r="I1329" s="172">
        <v>20</v>
      </c>
      <c r="J1329" s="172">
        <v>0</v>
      </c>
      <c r="K1329" s="172">
        <v>88</v>
      </c>
      <c r="L1329" s="172">
        <v>42</v>
      </c>
      <c r="M1329" s="172">
        <v>21</v>
      </c>
      <c r="N1329" s="172">
        <v>13</v>
      </c>
      <c r="O1329" s="172">
        <v>35</v>
      </c>
      <c r="P1329" s="174">
        <v>9</v>
      </c>
    </row>
    <row r="1330" spans="1:16">
      <c r="A1330" s="171" t="s">
        <v>449</v>
      </c>
      <c r="B1330" s="171" t="s">
        <v>467</v>
      </c>
      <c r="C1330" s="171">
        <v>35</v>
      </c>
      <c r="D1330" s="171">
        <v>10</v>
      </c>
      <c r="E1330" s="171">
        <v>0</v>
      </c>
      <c r="F1330" s="171">
        <v>9</v>
      </c>
      <c r="G1330" s="171">
        <v>14</v>
      </c>
      <c r="H1330" s="171">
        <v>11</v>
      </c>
      <c r="I1330" s="171">
        <v>9</v>
      </c>
      <c r="J1330" s="171">
        <v>0</v>
      </c>
      <c r="K1330" s="171">
        <v>43</v>
      </c>
      <c r="L1330" s="171">
        <v>38</v>
      </c>
      <c r="M1330" s="171">
        <v>3</v>
      </c>
      <c r="N1330" s="171">
        <v>0</v>
      </c>
      <c r="O1330" s="171">
        <v>5</v>
      </c>
      <c r="P1330" s="173">
        <v>2</v>
      </c>
    </row>
    <row r="1331" spans="1:16" hidden="1">
      <c r="A1331" s="170" t="s">
        <v>450</v>
      </c>
      <c r="B1331" s="172" t="s">
        <v>467</v>
      </c>
      <c r="C1331" s="172">
        <v>80</v>
      </c>
      <c r="D1331" s="172">
        <v>80</v>
      </c>
      <c r="E1331" s="172">
        <v>10</v>
      </c>
      <c r="F1331" s="172">
        <v>10</v>
      </c>
      <c r="G1331" s="172">
        <v>13</v>
      </c>
      <c r="H1331" s="172">
        <v>7</v>
      </c>
      <c r="I1331" s="172">
        <v>9</v>
      </c>
      <c r="J1331" s="172">
        <v>0</v>
      </c>
      <c r="K1331" s="172">
        <v>49</v>
      </c>
      <c r="L1331" s="172">
        <v>0</v>
      </c>
      <c r="M1331" s="172">
        <v>3</v>
      </c>
      <c r="N1331" s="172">
        <v>4</v>
      </c>
      <c r="O1331" s="172">
        <v>42</v>
      </c>
      <c r="P1331" s="174">
        <v>0</v>
      </c>
    </row>
    <row r="1332" spans="1:16" hidden="1">
      <c r="A1332" s="169" t="s">
        <v>469</v>
      </c>
      <c r="B1332" s="171" t="s">
        <v>467</v>
      </c>
      <c r="C1332" s="171">
        <v>30</v>
      </c>
      <c r="D1332" s="171">
        <v>10</v>
      </c>
      <c r="E1332" s="171">
        <v>1</v>
      </c>
      <c r="F1332" s="171">
        <v>2</v>
      </c>
      <c r="G1332" s="171">
        <v>2</v>
      </c>
      <c r="H1332" s="171">
        <v>4</v>
      </c>
      <c r="I1332" s="171">
        <v>6</v>
      </c>
      <c r="J1332" s="171">
        <v>0</v>
      </c>
      <c r="K1332" s="171">
        <v>15</v>
      </c>
      <c r="L1332" s="171">
        <v>0</v>
      </c>
      <c r="M1332" s="171">
        <v>5</v>
      </c>
      <c r="N1332" s="171">
        <v>15</v>
      </c>
      <c r="O1332" s="171">
        <v>1</v>
      </c>
      <c r="P1332" s="173">
        <v>0</v>
      </c>
    </row>
    <row r="1333" spans="1:16" hidden="1">
      <c r="A1333" s="172" t="s">
        <v>450</v>
      </c>
      <c r="B1333" s="172" t="s">
        <v>467</v>
      </c>
      <c r="C1333" s="172">
        <v>50</v>
      </c>
      <c r="D1333" s="172">
        <v>50</v>
      </c>
      <c r="E1333" s="172">
        <v>5</v>
      </c>
      <c r="F1333" s="172">
        <v>6</v>
      </c>
      <c r="G1333" s="172">
        <v>5</v>
      </c>
      <c r="H1333" s="172">
        <v>3</v>
      </c>
      <c r="I1333" s="172">
        <v>4</v>
      </c>
      <c r="J1333" s="172">
        <v>1</v>
      </c>
      <c r="K1333" s="172">
        <v>24</v>
      </c>
      <c r="L1333" s="172">
        <v>0</v>
      </c>
      <c r="M1333" s="172">
        <v>3</v>
      </c>
      <c r="N1333" s="172">
        <v>18</v>
      </c>
      <c r="O1333" s="172">
        <v>6</v>
      </c>
      <c r="P1333" s="174">
        <v>0</v>
      </c>
    </row>
    <row r="1334" spans="1:16">
      <c r="A1334" s="169" t="s">
        <v>449</v>
      </c>
      <c r="B1334" s="171" t="s">
        <v>467</v>
      </c>
      <c r="C1334" s="171">
        <v>35</v>
      </c>
      <c r="D1334" s="171">
        <v>10</v>
      </c>
      <c r="E1334" s="171">
        <v>1</v>
      </c>
      <c r="F1334" s="171">
        <v>8</v>
      </c>
      <c r="G1334" s="171">
        <v>9</v>
      </c>
      <c r="H1334" s="171">
        <v>6</v>
      </c>
      <c r="I1334" s="171">
        <v>5</v>
      </c>
      <c r="J1334" s="171">
        <v>2</v>
      </c>
      <c r="K1334" s="171">
        <v>31</v>
      </c>
      <c r="L1334" s="171">
        <v>5</v>
      </c>
      <c r="M1334" s="171">
        <v>7</v>
      </c>
      <c r="N1334" s="171">
        <v>27</v>
      </c>
      <c r="O1334" s="171">
        <v>0</v>
      </c>
      <c r="P1334" s="173">
        <v>1</v>
      </c>
    </row>
    <row r="1335" spans="1:16">
      <c r="A1335" s="170" t="s">
        <v>449</v>
      </c>
      <c r="B1335" s="172" t="s">
        <v>467</v>
      </c>
      <c r="C1335" s="172">
        <v>112</v>
      </c>
      <c r="D1335" s="172">
        <v>32</v>
      </c>
      <c r="E1335" s="172">
        <v>9</v>
      </c>
      <c r="F1335" s="172">
        <v>22</v>
      </c>
      <c r="G1335" s="172">
        <v>30</v>
      </c>
      <c r="H1335" s="172">
        <v>21</v>
      </c>
      <c r="I1335" s="172">
        <v>18</v>
      </c>
      <c r="J1335" s="172">
        <v>2</v>
      </c>
      <c r="K1335" s="172">
        <v>102</v>
      </c>
      <c r="L1335" s="172">
        <v>86</v>
      </c>
      <c r="M1335" s="172">
        <v>6</v>
      </c>
      <c r="N1335" s="172">
        <v>4</v>
      </c>
      <c r="O1335" s="172">
        <v>16</v>
      </c>
      <c r="P1335" s="174">
        <v>3</v>
      </c>
    </row>
    <row r="1336" spans="1:16">
      <c r="A1336" s="171" t="s">
        <v>449</v>
      </c>
      <c r="B1336" s="171" t="s">
        <v>467</v>
      </c>
      <c r="C1336" s="171">
        <v>65</v>
      </c>
      <c r="D1336" s="171">
        <v>12</v>
      </c>
      <c r="E1336" s="171">
        <v>3</v>
      </c>
      <c r="F1336" s="171">
        <v>8</v>
      </c>
      <c r="G1336" s="171">
        <v>8</v>
      </c>
      <c r="H1336" s="171">
        <v>22</v>
      </c>
      <c r="I1336" s="171">
        <v>17</v>
      </c>
      <c r="J1336" s="171">
        <v>0</v>
      </c>
      <c r="K1336" s="171">
        <v>58</v>
      </c>
      <c r="L1336" s="171">
        <v>50</v>
      </c>
      <c r="M1336" s="171">
        <v>5</v>
      </c>
      <c r="N1336" s="171">
        <v>4</v>
      </c>
      <c r="O1336" s="171">
        <v>8</v>
      </c>
      <c r="P1336" s="173">
        <v>1</v>
      </c>
    </row>
    <row r="1337" spans="1:16">
      <c r="A1337" s="170" t="s">
        <v>449</v>
      </c>
      <c r="B1337" s="172" t="s">
        <v>467</v>
      </c>
      <c r="C1337" s="172">
        <v>125</v>
      </c>
      <c r="D1337" s="172">
        <v>35</v>
      </c>
      <c r="E1337" s="172">
        <v>6</v>
      </c>
      <c r="F1337" s="172">
        <v>25</v>
      </c>
      <c r="G1337" s="172">
        <v>35</v>
      </c>
      <c r="H1337" s="172">
        <v>23</v>
      </c>
      <c r="I1337" s="172">
        <v>20</v>
      </c>
      <c r="J1337" s="172">
        <v>1</v>
      </c>
      <c r="K1337" s="172">
        <v>110</v>
      </c>
      <c r="L1337" s="172">
        <v>71</v>
      </c>
      <c r="M1337" s="172">
        <v>26</v>
      </c>
      <c r="N1337" s="172">
        <v>17</v>
      </c>
      <c r="O1337" s="172">
        <v>35</v>
      </c>
      <c r="P1337" s="174">
        <v>7</v>
      </c>
    </row>
    <row r="1338" spans="1:16">
      <c r="A1338" s="169" t="s">
        <v>449</v>
      </c>
      <c r="B1338" s="171" t="s">
        <v>467</v>
      </c>
      <c r="C1338" s="171">
        <v>100</v>
      </c>
      <c r="D1338" s="171">
        <v>16</v>
      </c>
      <c r="E1338" s="171">
        <v>3</v>
      </c>
      <c r="F1338" s="171">
        <v>13</v>
      </c>
      <c r="G1338" s="171">
        <v>18</v>
      </c>
      <c r="H1338" s="171">
        <v>14</v>
      </c>
      <c r="I1338" s="171">
        <v>12</v>
      </c>
      <c r="J1338" s="171">
        <v>0</v>
      </c>
      <c r="K1338" s="171">
        <v>60</v>
      </c>
      <c r="L1338" s="171">
        <v>30</v>
      </c>
      <c r="M1338" s="171">
        <v>13</v>
      </c>
      <c r="N1338" s="171">
        <v>10</v>
      </c>
      <c r="O1338" s="171">
        <v>22</v>
      </c>
      <c r="P1338" s="173">
        <v>8</v>
      </c>
    </row>
    <row r="1339" spans="1:16">
      <c r="A1339" s="172" t="s">
        <v>449</v>
      </c>
      <c r="B1339" s="172" t="s">
        <v>467</v>
      </c>
      <c r="C1339" s="172">
        <v>45</v>
      </c>
      <c r="D1339" s="172">
        <v>15</v>
      </c>
      <c r="E1339" s="172">
        <v>1</v>
      </c>
      <c r="F1339" s="172">
        <v>7</v>
      </c>
      <c r="G1339" s="172">
        <v>12</v>
      </c>
      <c r="H1339" s="172">
        <v>13</v>
      </c>
      <c r="I1339" s="172">
        <v>11</v>
      </c>
      <c r="J1339" s="172">
        <v>1</v>
      </c>
      <c r="K1339" s="172">
        <v>45</v>
      </c>
      <c r="L1339" s="172">
        <v>40</v>
      </c>
      <c r="M1339" s="172">
        <v>13</v>
      </c>
      <c r="N1339" s="172">
        <v>3</v>
      </c>
      <c r="O1339" s="172">
        <v>0</v>
      </c>
      <c r="P1339" s="174">
        <v>1</v>
      </c>
    </row>
    <row r="1340" spans="1:16">
      <c r="A1340" s="169" t="s">
        <v>449</v>
      </c>
      <c r="B1340" s="171" t="s">
        <v>467</v>
      </c>
      <c r="C1340" s="171">
        <v>64</v>
      </c>
      <c r="D1340" s="171">
        <v>16</v>
      </c>
      <c r="E1340" s="171">
        <v>1</v>
      </c>
      <c r="F1340" s="171">
        <v>8</v>
      </c>
      <c r="G1340" s="171">
        <v>19</v>
      </c>
      <c r="H1340" s="171">
        <v>14</v>
      </c>
      <c r="I1340" s="171">
        <v>18</v>
      </c>
      <c r="J1340" s="171">
        <v>2</v>
      </c>
      <c r="K1340" s="171">
        <v>62</v>
      </c>
      <c r="L1340" s="171">
        <v>6</v>
      </c>
      <c r="M1340" s="171">
        <v>5</v>
      </c>
      <c r="N1340" s="171">
        <v>14</v>
      </c>
      <c r="O1340" s="171">
        <v>44</v>
      </c>
      <c r="P1340" s="173">
        <v>0</v>
      </c>
    </row>
    <row r="1341" spans="1:16">
      <c r="A1341" s="170" t="s">
        <v>449</v>
      </c>
      <c r="B1341" s="172" t="s">
        <v>467</v>
      </c>
      <c r="C1341" s="172">
        <v>60</v>
      </c>
      <c r="D1341" s="172">
        <v>20</v>
      </c>
      <c r="E1341" s="172">
        <v>0</v>
      </c>
      <c r="F1341" s="172">
        <v>7</v>
      </c>
      <c r="G1341" s="172">
        <v>16</v>
      </c>
      <c r="H1341" s="172">
        <v>19</v>
      </c>
      <c r="I1341" s="172">
        <v>11</v>
      </c>
      <c r="J1341" s="172">
        <v>2</v>
      </c>
      <c r="K1341" s="172">
        <v>55</v>
      </c>
      <c r="L1341" s="172">
        <v>9</v>
      </c>
      <c r="M1341" s="172">
        <v>1</v>
      </c>
      <c r="N1341" s="172">
        <v>32</v>
      </c>
      <c r="O1341" s="172">
        <v>17</v>
      </c>
      <c r="P1341" s="174">
        <v>4</v>
      </c>
    </row>
    <row r="1342" spans="1:16">
      <c r="A1342" s="169" t="s">
        <v>449</v>
      </c>
      <c r="B1342" s="171" t="s">
        <v>467</v>
      </c>
      <c r="C1342" s="171">
        <v>100</v>
      </c>
      <c r="D1342" s="171">
        <v>35</v>
      </c>
      <c r="E1342" s="171">
        <v>4</v>
      </c>
      <c r="F1342" s="171">
        <v>26</v>
      </c>
      <c r="G1342" s="171">
        <v>30</v>
      </c>
      <c r="H1342" s="171">
        <v>26</v>
      </c>
      <c r="I1342" s="171">
        <v>9</v>
      </c>
      <c r="J1342" s="171">
        <v>1</v>
      </c>
      <c r="K1342" s="171">
        <v>96</v>
      </c>
      <c r="L1342" s="171">
        <v>78</v>
      </c>
      <c r="M1342" s="171">
        <v>20</v>
      </c>
      <c r="N1342" s="171">
        <v>8</v>
      </c>
      <c r="O1342" s="171">
        <v>17</v>
      </c>
      <c r="P1342" s="173">
        <v>4</v>
      </c>
    </row>
    <row r="1343" spans="1:16" hidden="1">
      <c r="A1343" s="170" t="s">
        <v>450</v>
      </c>
      <c r="B1343" s="172" t="s">
        <v>467</v>
      </c>
      <c r="C1343" s="172">
        <v>20</v>
      </c>
      <c r="D1343" s="172">
        <v>20</v>
      </c>
      <c r="E1343" s="172">
        <v>0</v>
      </c>
      <c r="F1343" s="172">
        <v>2</v>
      </c>
      <c r="G1343" s="172">
        <v>2</v>
      </c>
      <c r="H1343" s="172">
        <v>2</v>
      </c>
      <c r="I1343" s="172">
        <v>2</v>
      </c>
      <c r="J1343" s="172">
        <v>0</v>
      </c>
      <c r="K1343" s="172">
        <v>8</v>
      </c>
      <c r="L1343" s="172">
        <v>7</v>
      </c>
      <c r="M1343" s="172">
        <v>2</v>
      </c>
      <c r="N1343" s="172">
        <v>2</v>
      </c>
      <c r="O1343" s="172">
        <v>1</v>
      </c>
      <c r="P1343" s="174">
        <v>0</v>
      </c>
    </row>
    <row r="1344" spans="1:16" hidden="1">
      <c r="A1344" s="169" t="s">
        <v>450</v>
      </c>
      <c r="B1344" s="171" t="s">
        <v>467</v>
      </c>
      <c r="C1344" s="171">
        <v>50</v>
      </c>
      <c r="D1344" s="171">
        <v>50</v>
      </c>
      <c r="E1344" s="171">
        <v>15</v>
      </c>
      <c r="F1344" s="171">
        <v>36</v>
      </c>
      <c r="G1344" s="171">
        <v>15</v>
      </c>
      <c r="H1344" s="171">
        <v>12</v>
      </c>
      <c r="I1344" s="171">
        <v>11</v>
      </c>
      <c r="J1344" s="171">
        <v>0</v>
      </c>
      <c r="K1344" s="171">
        <v>89</v>
      </c>
      <c r="L1344" s="171">
        <v>2</v>
      </c>
      <c r="M1344" s="171">
        <v>0</v>
      </c>
      <c r="N1344" s="171">
        <v>0</v>
      </c>
      <c r="O1344" s="171">
        <v>89</v>
      </c>
      <c r="P1344" s="173">
        <v>0</v>
      </c>
    </row>
    <row r="1345" spans="1:16">
      <c r="A1345" s="172" t="s">
        <v>449</v>
      </c>
      <c r="B1345" s="172" t="s">
        <v>467</v>
      </c>
      <c r="C1345" s="172">
        <v>25</v>
      </c>
      <c r="D1345" s="172">
        <v>5</v>
      </c>
      <c r="E1345" s="172">
        <v>2</v>
      </c>
      <c r="F1345" s="172">
        <v>3</v>
      </c>
      <c r="G1345" s="172">
        <v>5</v>
      </c>
      <c r="H1345" s="172">
        <v>15</v>
      </c>
      <c r="I1345" s="172">
        <v>3</v>
      </c>
      <c r="J1345" s="172">
        <v>0</v>
      </c>
      <c r="K1345" s="172">
        <v>28</v>
      </c>
      <c r="L1345" s="172">
        <v>0</v>
      </c>
      <c r="M1345" s="172">
        <v>3</v>
      </c>
      <c r="N1345" s="172">
        <v>9</v>
      </c>
      <c r="O1345" s="172">
        <v>19</v>
      </c>
      <c r="P1345" s="174">
        <v>0</v>
      </c>
    </row>
    <row r="1346" spans="1:16">
      <c r="A1346" s="169" t="s">
        <v>449</v>
      </c>
      <c r="B1346" s="171" t="s">
        <v>467</v>
      </c>
      <c r="C1346" s="171">
        <v>50</v>
      </c>
      <c r="D1346" s="171">
        <v>10</v>
      </c>
      <c r="E1346" s="171">
        <v>2</v>
      </c>
      <c r="F1346" s="171">
        <v>6</v>
      </c>
      <c r="G1346" s="171">
        <v>3</v>
      </c>
      <c r="H1346" s="171">
        <v>2</v>
      </c>
      <c r="I1346" s="171">
        <v>2</v>
      </c>
      <c r="J1346" s="171">
        <v>1</v>
      </c>
      <c r="K1346" s="171">
        <v>16</v>
      </c>
      <c r="L1346" s="171">
        <v>12</v>
      </c>
      <c r="M1346" s="171">
        <v>4</v>
      </c>
      <c r="N1346" s="171">
        <v>2</v>
      </c>
      <c r="O1346" s="171">
        <v>4</v>
      </c>
      <c r="P1346" s="173">
        <v>9</v>
      </c>
    </row>
    <row r="1347" spans="1:16">
      <c r="A1347" s="170" t="s">
        <v>449</v>
      </c>
      <c r="B1347" s="172" t="s">
        <v>467</v>
      </c>
      <c r="C1347" s="172">
        <v>30</v>
      </c>
      <c r="D1347" s="172">
        <v>0</v>
      </c>
      <c r="E1347" s="172">
        <v>0</v>
      </c>
      <c r="F1347" s="172">
        <v>0</v>
      </c>
      <c r="G1347" s="172">
        <v>5</v>
      </c>
      <c r="H1347" s="172">
        <v>10</v>
      </c>
      <c r="I1347" s="172">
        <v>3</v>
      </c>
      <c r="J1347" s="172">
        <v>0</v>
      </c>
      <c r="K1347" s="172">
        <v>18</v>
      </c>
      <c r="L1347" s="172">
        <v>15</v>
      </c>
      <c r="M1347" s="172">
        <v>9</v>
      </c>
      <c r="N1347" s="172">
        <v>1</v>
      </c>
      <c r="O1347" s="172">
        <v>2</v>
      </c>
      <c r="P1347" s="174">
        <v>0</v>
      </c>
    </row>
    <row r="1348" spans="1:16">
      <c r="A1348" s="169" t="s">
        <v>449</v>
      </c>
      <c r="B1348" s="171" t="s">
        <v>467</v>
      </c>
      <c r="C1348" s="171">
        <v>46</v>
      </c>
      <c r="D1348" s="171">
        <v>0</v>
      </c>
      <c r="E1348" s="171">
        <v>0</v>
      </c>
      <c r="F1348" s="171">
        <v>0</v>
      </c>
      <c r="G1348" s="171">
        <v>3</v>
      </c>
      <c r="H1348" s="171">
        <v>9</v>
      </c>
      <c r="I1348" s="171">
        <v>9</v>
      </c>
      <c r="J1348" s="171">
        <v>0</v>
      </c>
      <c r="K1348" s="171">
        <v>21</v>
      </c>
      <c r="L1348" s="171">
        <v>1</v>
      </c>
      <c r="M1348" s="171">
        <v>7</v>
      </c>
      <c r="N1348" s="171">
        <v>8</v>
      </c>
      <c r="O1348" s="171">
        <v>9</v>
      </c>
      <c r="P1348" s="173">
        <v>0</v>
      </c>
    </row>
    <row r="1349" spans="1:16">
      <c r="A1349" s="170" t="s">
        <v>449</v>
      </c>
      <c r="B1349" s="172" t="s">
        <v>467</v>
      </c>
      <c r="C1349" s="172">
        <v>93</v>
      </c>
      <c r="D1349" s="172">
        <v>25</v>
      </c>
      <c r="E1349" s="172">
        <v>3</v>
      </c>
      <c r="F1349" s="172">
        <v>15</v>
      </c>
      <c r="G1349" s="172">
        <v>15</v>
      </c>
      <c r="H1349" s="172">
        <v>13</v>
      </c>
      <c r="I1349" s="172">
        <v>15</v>
      </c>
      <c r="J1349" s="172">
        <v>1</v>
      </c>
      <c r="K1349" s="172">
        <v>62</v>
      </c>
      <c r="L1349" s="172">
        <v>55</v>
      </c>
      <c r="M1349" s="172">
        <v>7</v>
      </c>
      <c r="N1349" s="172">
        <v>2</v>
      </c>
      <c r="O1349" s="172">
        <v>9</v>
      </c>
      <c r="P1349" s="174">
        <v>0</v>
      </c>
    </row>
    <row r="1350" spans="1:16" hidden="1">
      <c r="A1350" s="169" t="s">
        <v>452</v>
      </c>
      <c r="B1350" s="171" t="s">
        <v>467</v>
      </c>
      <c r="C1350" s="171">
        <v>30</v>
      </c>
      <c r="D1350" s="171">
        <v>0</v>
      </c>
      <c r="E1350" s="171">
        <v>0</v>
      </c>
      <c r="F1350" s="171">
        <v>0</v>
      </c>
      <c r="G1350" s="171">
        <v>5</v>
      </c>
      <c r="H1350" s="171">
        <v>3</v>
      </c>
      <c r="I1350" s="171">
        <v>7</v>
      </c>
      <c r="J1350" s="171">
        <v>0</v>
      </c>
      <c r="K1350" s="171">
        <v>15</v>
      </c>
      <c r="L1350" s="171">
        <v>0</v>
      </c>
      <c r="M1350" s="171">
        <v>3</v>
      </c>
      <c r="N1350" s="171">
        <v>15</v>
      </c>
      <c r="O1350" s="171">
        <v>0</v>
      </c>
      <c r="P1350" s="173">
        <v>0</v>
      </c>
    </row>
    <row r="1351" spans="1:16">
      <c r="A1351" s="172" t="s">
        <v>449</v>
      </c>
      <c r="B1351" s="172" t="s">
        <v>467</v>
      </c>
      <c r="C1351" s="172">
        <v>104</v>
      </c>
      <c r="D1351" s="172">
        <v>30</v>
      </c>
      <c r="E1351" s="172">
        <v>3</v>
      </c>
      <c r="F1351" s="172">
        <v>18</v>
      </c>
      <c r="G1351" s="172">
        <v>34</v>
      </c>
      <c r="H1351" s="172">
        <v>27</v>
      </c>
      <c r="I1351" s="172">
        <v>22</v>
      </c>
      <c r="J1351" s="172">
        <v>0</v>
      </c>
      <c r="K1351" s="172">
        <v>104</v>
      </c>
      <c r="L1351" s="172">
        <v>95</v>
      </c>
      <c r="M1351" s="172">
        <v>23</v>
      </c>
      <c r="N1351" s="172">
        <v>6</v>
      </c>
      <c r="O1351" s="172">
        <v>19</v>
      </c>
      <c r="P1351" s="174">
        <v>1</v>
      </c>
    </row>
    <row r="1352" spans="1:16">
      <c r="A1352" s="171" t="s">
        <v>449</v>
      </c>
      <c r="B1352" s="171" t="s">
        <v>467</v>
      </c>
      <c r="C1352" s="171">
        <v>40</v>
      </c>
      <c r="D1352" s="171">
        <v>0</v>
      </c>
      <c r="E1352" s="171">
        <v>0</v>
      </c>
      <c r="F1352" s="171">
        <v>0</v>
      </c>
      <c r="G1352" s="171">
        <v>12</v>
      </c>
      <c r="H1352" s="171">
        <v>19</v>
      </c>
      <c r="I1352" s="171">
        <v>11</v>
      </c>
      <c r="J1352" s="171">
        <v>0</v>
      </c>
      <c r="K1352" s="171">
        <v>42</v>
      </c>
      <c r="L1352" s="171">
        <v>36</v>
      </c>
      <c r="M1352" s="171">
        <v>2</v>
      </c>
      <c r="N1352" s="171">
        <v>1</v>
      </c>
      <c r="O1352" s="171">
        <v>10</v>
      </c>
      <c r="P1352" s="173">
        <v>1</v>
      </c>
    </row>
    <row r="1353" spans="1:16">
      <c r="A1353" s="170" t="s">
        <v>449</v>
      </c>
      <c r="B1353" s="172" t="s">
        <v>467</v>
      </c>
      <c r="C1353" s="172">
        <v>124</v>
      </c>
      <c r="D1353" s="172">
        <v>24</v>
      </c>
      <c r="E1353" s="172">
        <v>4</v>
      </c>
      <c r="F1353" s="172">
        <v>12</v>
      </c>
      <c r="G1353" s="172">
        <v>21</v>
      </c>
      <c r="H1353" s="172">
        <v>25</v>
      </c>
      <c r="I1353" s="172">
        <v>21</v>
      </c>
      <c r="J1353" s="172">
        <v>0</v>
      </c>
      <c r="K1353" s="172">
        <v>83</v>
      </c>
      <c r="L1353" s="172">
        <v>20</v>
      </c>
      <c r="M1353" s="172">
        <v>10</v>
      </c>
      <c r="N1353" s="172">
        <v>13</v>
      </c>
      <c r="O1353" s="172">
        <v>52</v>
      </c>
      <c r="P1353" s="174">
        <v>7</v>
      </c>
    </row>
    <row r="1354" spans="1:16">
      <c r="A1354" s="169" t="s">
        <v>449</v>
      </c>
      <c r="B1354" s="171" t="s">
        <v>467</v>
      </c>
      <c r="C1354" s="171">
        <v>75</v>
      </c>
      <c r="D1354" s="171">
        <v>0</v>
      </c>
      <c r="E1354" s="171">
        <v>0</v>
      </c>
      <c r="F1354" s="171">
        <v>0</v>
      </c>
      <c r="G1354" s="171">
        <v>2</v>
      </c>
      <c r="H1354" s="171">
        <v>29</v>
      </c>
      <c r="I1354" s="171">
        <v>40</v>
      </c>
      <c r="J1354" s="171">
        <v>4</v>
      </c>
      <c r="K1354" s="171">
        <v>75</v>
      </c>
      <c r="L1354" s="171">
        <v>42</v>
      </c>
      <c r="M1354" s="171">
        <v>0</v>
      </c>
      <c r="N1354" s="171">
        <v>1</v>
      </c>
      <c r="O1354" s="171">
        <v>36</v>
      </c>
      <c r="P1354" s="173">
        <v>3</v>
      </c>
    </row>
    <row r="1355" spans="1:16">
      <c r="A1355" s="170" t="s">
        <v>449</v>
      </c>
      <c r="B1355" s="172" t="s">
        <v>467</v>
      </c>
      <c r="C1355" s="172">
        <v>72</v>
      </c>
      <c r="D1355" s="172">
        <v>15</v>
      </c>
      <c r="E1355" s="172">
        <v>1</v>
      </c>
      <c r="F1355" s="172">
        <v>5</v>
      </c>
      <c r="G1355" s="172">
        <v>16</v>
      </c>
      <c r="H1355" s="172">
        <v>11</v>
      </c>
      <c r="I1355" s="172">
        <v>20</v>
      </c>
      <c r="J1355" s="172">
        <v>4</v>
      </c>
      <c r="K1355" s="172">
        <v>57</v>
      </c>
      <c r="L1355" s="172">
        <v>0</v>
      </c>
      <c r="M1355" s="172">
        <v>1</v>
      </c>
      <c r="N1355" s="172">
        <v>2</v>
      </c>
      <c r="O1355" s="172">
        <v>55</v>
      </c>
      <c r="P1355" s="174">
        <v>0</v>
      </c>
    </row>
    <row r="1356" spans="1:16">
      <c r="A1356" s="169" t="s">
        <v>449</v>
      </c>
      <c r="B1356" s="171" t="s">
        <v>467</v>
      </c>
      <c r="C1356" s="171">
        <v>30</v>
      </c>
      <c r="D1356" s="171">
        <v>0</v>
      </c>
      <c r="E1356" s="171">
        <v>0</v>
      </c>
      <c r="F1356" s="171">
        <v>0</v>
      </c>
      <c r="G1356" s="171">
        <v>2</v>
      </c>
      <c r="H1356" s="171">
        <v>5</v>
      </c>
      <c r="I1356" s="171">
        <v>6</v>
      </c>
      <c r="J1356" s="171">
        <v>1</v>
      </c>
      <c r="K1356" s="171">
        <v>14</v>
      </c>
      <c r="L1356" s="171">
        <v>3</v>
      </c>
      <c r="M1356" s="171">
        <v>0</v>
      </c>
      <c r="N1356" s="171">
        <v>0</v>
      </c>
      <c r="O1356" s="171">
        <v>4</v>
      </c>
      <c r="P1356" s="173">
        <v>9</v>
      </c>
    </row>
    <row r="1357" spans="1:16">
      <c r="A1357" s="170" t="s">
        <v>449</v>
      </c>
      <c r="B1357" s="172" t="s">
        <v>467</v>
      </c>
      <c r="C1357" s="172">
        <v>60</v>
      </c>
      <c r="D1357" s="172">
        <v>20</v>
      </c>
      <c r="E1357" s="172">
        <v>3</v>
      </c>
      <c r="F1357" s="172">
        <v>10</v>
      </c>
      <c r="G1357" s="172">
        <v>19</v>
      </c>
      <c r="H1357" s="172">
        <v>11</v>
      </c>
      <c r="I1357" s="172">
        <v>6</v>
      </c>
      <c r="J1357" s="172">
        <v>1</v>
      </c>
      <c r="K1357" s="172">
        <v>50</v>
      </c>
      <c r="L1357" s="172">
        <v>16</v>
      </c>
      <c r="M1357" s="172">
        <v>16</v>
      </c>
      <c r="N1357" s="172">
        <v>9</v>
      </c>
      <c r="O1357" s="172">
        <v>19</v>
      </c>
      <c r="P1357" s="174">
        <v>4</v>
      </c>
    </row>
    <row r="1358" spans="1:16">
      <c r="A1358" s="169" t="s">
        <v>449</v>
      </c>
      <c r="B1358" s="171" t="s">
        <v>467</v>
      </c>
      <c r="C1358" s="171">
        <v>40</v>
      </c>
      <c r="D1358" s="171">
        <v>15</v>
      </c>
      <c r="E1358" s="171">
        <v>4</v>
      </c>
      <c r="F1358" s="171">
        <v>7</v>
      </c>
      <c r="G1358" s="171">
        <v>10</v>
      </c>
      <c r="H1358" s="171">
        <v>4</v>
      </c>
      <c r="I1358" s="171">
        <v>7</v>
      </c>
      <c r="J1358" s="171">
        <v>0</v>
      </c>
      <c r="K1358" s="171">
        <v>32</v>
      </c>
      <c r="L1358" s="171">
        <v>29</v>
      </c>
      <c r="M1358" s="171">
        <v>7</v>
      </c>
      <c r="N1358" s="171">
        <v>4</v>
      </c>
      <c r="O1358" s="171">
        <v>3</v>
      </c>
      <c r="P1358" s="173">
        <v>3</v>
      </c>
    </row>
    <row r="1359" spans="1:16">
      <c r="A1359" s="170" t="s">
        <v>449</v>
      </c>
      <c r="B1359" s="172" t="s">
        <v>467</v>
      </c>
      <c r="C1359" s="172">
        <v>40</v>
      </c>
      <c r="D1359" s="172">
        <v>15</v>
      </c>
      <c r="E1359" s="172">
        <v>3</v>
      </c>
      <c r="F1359" s="172">
        <v>1</v>
      </c>
      <c r="G1359" s="172">
        <v>4</v>
      </c>
      <c r="H1359" s="172">
        <v>4</v>
      </c>
      <c r="I1359" s="172">
        <v>1</v>
      </c>
      <c r="J1359" s="172">
        <v>1</v>
      </c>
      <c r="K1359" s="172">
        <v>14</v>
      </c>
      <c r="L1359" s="172">
        <v>9</v>
      </c>
      <c r="M1359" s="172">
        <v>7</v>
      </c>
      <c r="N1359" s="172">
        <v>1</v>
      </c>
      <c r="O1359" s="172">
        <v>4</v>
      </c>
      <c r="P1359" s="174">
        <v>1</v>
      </c>
    </row>
    <row r="1360" spans="1:16" hidden="1">
      <c r="A1360" s="169" t="s">
        <v>450</v>
      </c>
      <c r="B1360" s="171" t="s">
        <v>467</v>
      </c>
      <c r="C1360" s="171">
        <v>80</v>
      </c>
      <c r="D1360" s="171">
        <v>60</v>
      </c>
      <c r="E1360" s="171">
        <v>9</v>
      </c>
      <c r="F1360" s="171">
        <v>18</v>
      </c>
      <c r="G1360" s="171">
        <v>7</v>
      </c>
      <c r="H1360" s="171">
        <v>8</v>
      </c>
      <c r="I1360" s="171">
        <v>6</v>
      </c>
      <c r="J1360" s="171">
        <v>0</v>
      </c>
      <c r="K1360" s="171">
        <v>48</v>
      </c>
      <c r="L1360" s="171">
        <v>3</v>
      </c>
      <c r="M1360" s="171">
        <v>0</v>
      </c>
      <c r="N1360" s="171">
        <v>0</v>
      </c>
      <c r="O1360" s="171">
        <v>46</v>
      </c>
      <c r="P1360" s="173">
        <v>0</v>
      </c>
    </row>
    <row r="1361" spans="1:16">
      <c r="A1361" s="170" t="s">
        <v>449</v>
      </c>
      <c r="B1361" s="172" t="s">
        <v>467</v>
      </c>
      <c r="C1361" s="172">
        <v>80</v>
      </c>
      <c r="D1361" s="172">
        <v>16</v>
      </c>
      <c r="E1361" s="172">
        <v>3</v>
      </c>
      <c r="F1361" s="172">
        <v>6</v>
      </c>
      <c r="G1361" s="172">
        <v>7</v>
      </c>
      <c r="H1361" s="172">
        <v>3</v>
      </c>
      <c r="I1361" s="172">
        <v>4</v>
      </c>
      <c r="J1361" s="172">
        <v>2</v>
      </c>
      <c r="K1361" s="172">
        <v>25</v>
      </c>
      <c r="L1361" s="172">
        <v>4</v>
      </c>
      <c r="M1361" s="172">
        <v>1</v>
      </c>
      <c r="N1361" s="172">
        <v>1</v>
      </c>
      <c r="O1361" s="172">
        <v>23</v>
      </c>
      <c r="P1361" s="174">
        <v>0</v>
      </c>
    </row>
    <row r="1362" spans="1:16">
      <c r="A1362" s="169" t="s">
        <v>449</v>
      </c>
      <c r="B1362" s="171" t="s">
        <v>467</v>
      </c>
      <c r="C1362" s="171">
        <v>90</v>
      </c>
      <c r="D1362" s="171">
        <v>20</v>
      </c>
      <c r="E1362" s="171">
        <v>3</v>
      </c>
      <c r="F1362" s="171">
        <v>5</v>
      </c>
      <c r="G1362" s="171">
        <v>10</v>
      </c>
      <c r="H1362" s="171">
        <v>8</v>
      </c>
      <c r="I1362" s="171">
        <v>8</v>
      </c>
      <c r="J1362" s="171">
        <v>0</v>
      </c>
      <c r="K1362" s="171">
        <v>34</v>
      </c>
      <c r="L1362" s="171">
        <v>21</v>
      </c>
      <c r="M1362" s="171">
        <v>3</v>
      </c>
      <c r="N1362" s="171">
        <v>1</v>
      </c>
      <c r="O1362" s="171">
        <v>10</v>
      </c>
      <c r="P1362" s="173">
        <v>7</v>
      </c>
    </row>
    <row r="1363" spans="1:16">
      <c r="A1363" s="172" t="s">
        <v>449</v>
      </c>
      <c r="B1363" s="172" t="s">
        <v>467</v>
      </c>
      <c r="C1363" s="172">
        <v>50</v>
      </c>
      <c r="D1363" s="172">
        <v>10</v>
      </c>
      <c r="E1363" s="172">
        <v>2</v>
      </c>
      <c r="F1363" s="172">
        <v>4</v>
      </c>
      <c r="G1363" s="172">
        <v>6</v>
      </c>
      <c r="H1363" s="172">
        <v>8</v>
      </c>
      <c r="I1363" s="172">
        <v>6</v>
      </c>
      <c r="J1363" s="172">
        <v>1</v>
      </c>
      <c r="K1363" s="172">
        <v>27</v>
      </c>
      <c r="L1363" s="172">
        <v>8</v>
      </c>
      <c r="M1363" s="172">
        <v>5</v>
      </c>
      <c r="N1363" s="172">
        <v>2</v>
      </c>
      <c r="O1363" s="172">
        <v>15</v>
      </c>
      <c r="P1363" s="174">
        <v>3</v>
      </c>
    </row>
    <row r="1364" spans="1:16">
      <c r="A1364" s="169" t="s">
        <v>449</v>
      </c>
      <c r="B1364" s="171" t="s">
        <v>467</v>
      </c>
      <c r="C1364" s="171">
        <v>30</v>
      </c>
      <c r="D1364" s="171">
        <v>0</v>
      </c>
      <c r="E1364" s="171">
        <v>0</v>
      </c>
      <c r="F1364" s="171">
        <v>0</v>
      </c>
      <c r="G1364" s="171">
        <v>7</v>
      </c>
      <c r="H1364" s="171">
        <v>3</v>
      </c>
      <c r="I1364" s="171">
        <v>0</v>
      </c>
      <c r="J1364" s="171">
        <v>1</v>
      </c>
      <c r="K1364" s="171">
        <v>11</v>
      </c>
      <c r="L1364" s="171">
        <v>9</v>
      </c>
      <c r="M1364" s="171">
        <v>2</v>
      </c>
      <c r="N1364" s="171">
        <v>3</v>
      </c>
      <c r="O1364" s="171">
        <v>2</v>
      </c>
      <c r="P1364" s="173">
        <v>0</v>
      </c>
    </row>
    <row r="1365" spans="1:16">
      <c r="A1365" s="170" t="s">
        <v>449</v>
      </c>
      <c r="B1365" s="172" t="s">
        <v>467</v>
      </c>
      <c r="C1365" s="172">
        <v>50</v>
      </c>
      <c r="D1365" s="172">
        <v>10</v>
      </c>
      <c r="E1365" s="172">
        <v>1</v>
      </c>
      <c r="F1365" s="172">
        <v>7</v>
      </c>
      <c r="G1365" s="172">
        <v>13</v>
      </c>
      <c r="H1365" s="172">
        <v>16</v>
      </c>
      <c r="I1365" s="172">
        <v>9</v>
      </c>
      <c r="J1365" s="172">
        <v>0</v>
      </c>
      <c r="K1365" s="172">
        <v>46</v>
      </c>
      <c r="L1365" s="172">
        <v>2</v>
      </c>
      <c r="M1365" s="172">
        <v>5</v>
      </c>
      <c r="N1365" s="172">
        <v>5</v>
      </c>
      <c r="O1365" s="172">
        <v>38</v>
      </c>
      <c r="P1365" s="174">
        <v>0</v>
      </c>
    </row>
    <row r="1366" spans="1:16">
      <c r="A1366" s="169" t="s">
        <v>449</v>
      </c>
      <c r="B1366" s="171" t="s">
        <v>467</v>
      </c>
      <c r="C1366" s="171">
        <v>57</v>
      </c>
      <c r="D1366" s="171">
        <v>0</v>
      </c>
      <c r="E1366" s="171">
        <v>0</v>
      </c>
      <c r="F1366" s="171">
        <v>0</v>
      </c>
      <c r="G1366" s="171">
        <v>6</v>
      </c>
      <c r="H1366" s="171">
        <v>3</v>
      </c>
      <c r="I1366" s="171">
        <v>2</v>
      </c>
      <c r="J1366" s="171">
        <v>0</v>
      </c>
      <c r="K1366" s="171">
        <v>11</v>
      </c>
      <c r="L1366" s="171">
        <v>10</v>
      </c>
      <c r="M1366" s="171">
        <v>1</v>
      </c>
      <c r="N1366" s="171">
        <v>0</v>
      </c>
      <c r="O1366" s="171">
        <v>1</v>
      </c>
      <c r="P1366" s="173">
        <v>0</v>
      </c>
    </row>
    <row r="1367" spans="1:16">
      <c r="A1367" s="170" t="s">
        <v>449</v>
      </c>
      <c r="B1367" s="172" t="s">
        <v>467</v>
      </c>
      <c r="C1367" s="172">
        <v>80</v>
      </c>
      <c r="D1367" s="172">
        <v>20</v>
      </c>
      <c r="E1367" s="172">
        <v>3</v>
      </c>
      <c r="F1367" s="172">
        <v>11</v>
      </c>
      <c r="G1367" s="172">
        <v>6</v>
      </c>
      <c r="H1367" s="172">
        <v>12</v>
      </c>
      <c r="I1367" s="172">
        <v>7</v>
      </c>
      <c r="J1367" s="172">
        <v>0</v>
      </c>
      <c r="K1367" s="172">
        <v>39</v>
      </c>
      <c r="L1367" s="172">
        <v>25</v>
      </c>
      <c r="M1367" s="172">
        <v>3</v>
      </c>
      <c r="N1367" s="172">
        <v>1</v>
      </c>
      <c r="O1367" s="172">
        <v>14</v>
      </c>
      <c r="P1367" s="174">
        <v>7</v>
      </c>
    </row>
    <row r="1368" spans="1:16">
      <c r="A1368" s="169" t="s">
        <v>449</v>
      </c>
      <c r="B1368" s="171" t="s">
        <v>467</v>
      </c>
      <c r="C1368" s="171">
        <v>90</v>
      </c>
      <c r="D1368" s="171">
        <v>22</v>
      </c>
      <c r="E1368" s="171">
        <v>1</v>
      </c>
      <c r="F1368" s="171">
        <v>4</v>
      </c>
      <c r="G1368" s="171">
        <v>7</v>
      </c>
      <c r="H1368" s="171">
        <v>9</v>
      </c>
      <c r="I1368" s="171">
        <v>10</v>
      </c>
      <c r="J1368" s="171">
        <v>2</v>
      </c>
      <c r="K1368" s="171">
        <v>33</v>
      </c>
      <c r="L1368" s="171">
        <v>2</v>
      </c>
      <c r="M1368" s="171">
        <v>7</v>
      </c>
      <c r="N1368" s="171">
        <v>7</v>
      </c>
      <c r="O1368" s="171">
        <v>18</v>
      </c>
      <c r="P1368" s="173">
        <v>2</v>
      </c>
    </row>
    <row r="1369" spans="1:16">
      <c r="A1369" s="172" t="s">
        <v>449</v>
      </c>
      <c r="B1369" s="172" t="s">
        <v>467</v>
      </c>
      <c r="C1369" s="172">
        <v>38</v>
      </c>
      <c r="D1369" s="172">
        <v>6</v>
      </c>
      <c r="E1369" s="172">
        <v>0</v>
      </c>
      <c r="F1369" s="172">
        <v>5</v>
      </c>
      <c r="G1369" s="172">
        <v>10</v>
      </c>
      <c r="H1369" s="172">
        <v>1</v>
      </c>
      <c r="I1369" s="172">
        <v>2</v>
      </c>
      <c r="J1369" s="172">
        <v>0</v>
      </c>
      <c r="K1369" s="172">
        <v>18</v>
      </c>
      <c r="L1369" s="172">
        <v>0</v>
      </c>
      <c r="M1369" s="172">
        <v>0</v>
      </c>
      <c r="N1369" s="172">
        <v>0</v>
      </c>
      <c r="O1369" s="172">
        <v>16</v>
      </c>
      <c r="P1369" s="174">
        <v>2</v>
      </c>
    </row>
    <row r="1370" spans="1:16">
      <c r="A1370" s="169" t="s">
        <v>449</v>
      </c>
      <c r="B1370" s="171" t="s">
        <v>467</v>
      </c>
      <c r="C1370" s="171">
        <v>40</v>
      </c>
      <c r="D1370" s="171">
        <v>10</v>
      </c>
      <c r="E1370" s="171">
        <v>0</v>
      </c>
      <c r="F1370" s="171">
        <v>6</v>
      </c>
      <c r="G1370" s="171">
        <v>3</v>
      </c>
      <c r="H1370" s="171">
        <v>5</v>
      </c>
      <c r="I1370" s="171">
        <v>2</v>
      </c>
      <c r="J1370" s="171">
        <v>0</v>
      </c>
      <c r="K1370" s="171">
        <v>16</v>
      </c>
      <c r="L1370" s="171">
        <v>4</v>
      </c>
      <c r="M1370" s="171">
        <v>7</v>
      </c>
      <c r="N1370" s="171">
        <v>2</v>
      </c>
      <c r="O1370" s="171">
        <v>7</v>
      </c>
      <c r="P1370" s="173">
        <v>0</v>
      </c>
    </row>
    <row r="1371" spans="1:16">
      <c r="A1371" s="170" t="s">
        <v>449</v>
      </c>
      <c r="B1371" s="172" t="s">
        <v>467</v>
      </c>
      <c r="C1371" s="172">
        <v>30</v>
      </c>
      <c r="D1371" s="172">
        <v>10</v>
      </c>
      <c r="E1371" s="172"/>
      <c r="F1371" s="172"/>
      <c r="G1371" s="172"/>
      <c r="H1371" s="172"/>
      <c r="I1371" s="172"/>
      <c r="J1371" s="172"/>
      <c r="K1371" s="172"/>
      <c r="L1371" s="172"/>
      <c r="M1371" s="172"/>
      <c r="N1371" s="172"/>
      <c r="O1371" s="172"/>
      <c r="P1371" s="174"/>
    </row>
    <row r="1372" spans="1:16" hidden="1">
      <c r="A1372" s="169" t="s">
        <v>450</v>
      </c>
      <c r="B1372" s="171" t="s">
        <v>467</v>
      </c>
      <c r="C1372" s="171">
        <v>25</v>
      </c>
      <c r="D1372" s="171">
        <v>25</v>
      </c>
      <c r="E1372" s="171">
        <v>4</v>
      </c>
      <c r="F1372" s="171">
        <v>7</v>
      </c>
      <c r="G1372" s="171">
        <v>5</v>
      </c>
      <c r="H1372" s="171">
        <v>4</v>
      </c>
      <c r="I1372" s="171">
        <v>3</v>
      </c>
      <c r="J1372" s="171">
        <v>0</v>
      </c>
      <c r="K1372" s="171">
        <v>23</v>
      </c>
      <c r="L1372" s="171">
        <v>0</v>
      </c>
      <c r="M1372" s="171">
        <v>0</v>
      </c>
      <c r="N1372" s="171">
        <v>0</v>
      </c>
      <c r="O1372" s="171">
        <v>23</v>
      </c>
      <c r="P1372" s="173">
        <v>0</v>
      </c>
    </row>
    <row r="1373" spans="1:16" hidden="1">
      <c r="A1373" s="170" t="s">
        <v>450</v>
      </c>
      <c r="B1373" s="172" t="s">
        <v>467</v>
      </c>
      <c r="C1373" s="172">
        <v>20</v>
      </c>
      <c r="D1373" s="172">
        <v>20</v>
      </c>
      <c r="E1373" s="172">
        <v>0</v>
      </c>
      <c r="F1373" s="172">
        <v>2</v>
      </c>
      <c r="G1373" s="172">
        <v>0</v>
      </c>
      <c r="H1373" s="172">
        <v>0</v>
      </c>
      <c r="I1373" s="172">
        <v>0</v>
      </c>
      <c r="J1373" s="172">
        <v>0</v>
      </c>
      <c r="K1373" s="172">
        <v>2</v>
      </c>
      <c r="L1373" s="172">
        <v>1</v>
      </c>
      <c r="M1373" s="172">
        <v>0</v>
      </c>
      <c r="N1373" s="172">
        <v>0</v>
      </c>
      <c r="O1373" s="172">
        <v>2</v>
      </c>
      <c r="P1373" s="174">
        <v>0</v>
      </c>
    </row>
    <row r="1374" spans="1:16">
      <c r="A1374" s="171" t="s">
        <v>449</v>
      </c>
      <c r="B1374" s="171" t="s">
        <v>467</v>
      </c>
      <c r="C1374" s="171">
        <v>77</v>
      </c>
      <c r="D1374" s="171">
        <v>12</v>
      </c>
      <c r="E1374" s="171">
        <v>1</v>
      </c>
      <c r="F1374" s="171">
        <v>4</v>
      </c>
      <c r="G1374" s="171">
        <v>5</v>
      </c>
      <c r="H1374" s="171">
        <v>4</v>
      </c>
      <c r="I1374" s="171">
        <v>1</v>
      </c>
      <c r="J1374" s="171">
        <v>1</v>
      </c>
      <c r="K1374" s="171">
        <v>16</v>
      </c>
      <c r="L1374" s="171">
        <v>2</v>
      </c>
      <c r="M1374" s="171">
        <v>8</v>
      </c>
      <c r="N1374" s="171">
        <v>7</v>
      </c>
      <c r="O1374" s="171">
        <v>2</v>
      </c>
      <c r="P1374" s="173">
        <v>1</v>
      </c>
    </row>
    <row r="1375" spans="1:16">
      <c r="A1375" s="170" t="s">
        <v>449</v>
      </c>
      <c r="B1375" s="172" t="s">
        <v>467</v>
      </c>
      <c r="C1375" s="172">
        <v>109</v>
      </c>
      <c r="D1375" s="172">
        <v>25</v>
      </c>
      <c r="E1375" s="172">
        <v>8</v>
      </c>
      <c r="F1375" s="172">
        <v>14</v>
      </c>
      <c r="G1375" s="172">
        <v>24</v>
      </c>
      <c r="H1375" s="172">
        <v>19</v>
      </c>
      <c r="I1375" s="172">
        <v>12</v>
      </c>
      <c r="J1375" s="172">
        <v>0</v>
      </c>
      <c r="K1375" s="172">
        <v>77</v>
      </c>
      <c r="L1375" s="172">
        <v>23</v>
      </c>
      <c r="M1375" s="172">
        <v>2</v>
      </c>
      <c r="N1375" s="172">
        <v>4</v>
      </c>
      <c r="O1375" s="172">
        <v>47</v>
      </c>
      <c r="P1375" s="174">
        <v>10</v>
      </c>
    </row>
    <row r="1376" spans="1:16">
      <c r="A1376" s="169" t="s">
        <v>449</v>
      </c>
      <c r="B1376" s="171" t="s">
        <v>467</v>
      </c>
      <c r="C1376" s="171">
        <v>110</v>
      </c>
      <c r="D1376" s="171">
        <v>25</v>
      </c>
      <c r="E1376" s="171">
        <v>4</v>
      </c>
      <c r="F1376" s="171">
        <v>9</v>
      </c>
      <c r="G1376" s="171">
        <v>12</v>
      </c>
      <c r="H1376" s="171">
        <v>12</v>
      </c>
      <c r="I1376" s="171">
        <v>3</v>
      </c>
      <c r="J1376" s="171">
        <v>0</v>
      </c>
      <c r="K1376" s="171">
        <v>40</v>
      </c>
      <c r="L1376" s="171">
        <v>20</v>
      </c>
      <c r="M1376" s="171">
        <v>2</v>
      </c>
      <c r="N1376" s="171">
        <v>1</v>
      </c>
      <c r="O1376" s="171">
        <v>17</v>
      </c>
      <c r="P1376" s="173">
        <v>3</v>
      </c>
    </row>
    <row r="1377" spans="1:16">
      <c r="A1377" s="170" t="s">
        <v>449</v>
      </c>
      <c r="B1377" s="172" t="s">
        <v>467</v>
      </c>
      <c r="C1377" s="172">
        <v>68</v>
      </c>
      <c r="D1377" s="172">
        <v>18</v>
      </c>
      <c r="E1377" s="172"/>
      <c r="F1377" s="172"/>
      <c r="G1377" s="172"/>
      <c r="H1377" s="172"/>
      <c r="I1377" s="172"/>
      <c r="J1377" s="172"/>
      <c r="K1377" s="172"/>
      <c r="L1377" s="172"/>
      <c r="M1377" s="172"/>
      <c r="N1377" s="172"/>
      <c r="O1377" s="172"/>
      <c r="P1377" s="174"/>
    </row>
    <row r="1378" spans="1:16" hidden="1">
      <c r="A1378" s="171" t="s">
        <v>471</v>
      </c>
      <c r="B1378" s="171" t="s">
        <v>467</v>
      </c>
      <c r="C1378" s="171">
        <v>40</v>
      </c>
      <c r="D1378" s="171">
        <v>10</v>
      </c>
      <c r="E1378" s="171">
        <v>2</v>
      </c>
      <c r="F1378" s="171">
        <v>5</v>
      </c>
      <c r="G1378" s="171">
        <v>6</v>
      </c>
      <c r="H1378" s="171">
        <v>9</v>
      </c>
      <c r="I1378" s="171">
        <v>11</v>
      </c>
      <c r="J1378" s="171">
        <v>0</v>
      </c>
      <c r="K1378" s="171">
        <v>33</v>
      </c>
      <c r="L1378" s="171">
        <v>20</v>
      </c>
      <c r="M1378" s="171">
        <v>29</v>
      </c>
      <c r="N1378" s="171">
        <v>6</v>
      </c>
      <c r="O1378" s="171">
        <v>5</v>
      </c>
      <c r="P1378" s="173">
        <v>3</v>
      </c>
    </row>
    <row r="1379" spans="1:16">
      <c r="A1379" s="170" t="s">
        <v>449</v>
      </c>
      <c r="B1379" s="172" t="s">
        <v>467</v>
      </c>
      <c r="C1379" s="172">
        <v>50</v>
      </c>
      <c r="D1379" s="172">
        <v>15</v>
      </c>
      <c r="E1379" s="172"/>
      <c r="F1379" s="172"/>
      <c r="G1379" s="172"/>
      <c r="H1379" s="172"/>
      <c r="I1379" s="172"/>
      <c r="J1379" s="172"/>
      <c r="K1379" s="172"/>
      <c r="L1379" s="172"/>
      <c r="M1379" s="172"/>
      <c r="N1379" s="172"/>
      <c r="O1379" s="172"/>
      <c r="P1379" s="174"/>
    </row>
    <row r="1380" spans="1:16">
      <c r="A1380" s="169" t="s">
        <v>449</v>
      </c>
      <c r="B1380" s="171" t="s">
        <v>467</v>
      </c>
      <c r="C1380" s="171">
        <v>40</v>
      </c>
      <c r="D1380" s="171">
        <v>10</v>
      </c>
      <c r="E1380" s="171"/>
      <c r="F1380" s="171"/>
      <c r="G1380" s="171"/>
      <c r="H1380" s="171"/>
      <c r="I1380" s="171"/>
      <c r="J1380" s="171"/>
      <c r="K1380" s="171"/>
      <c r="L1380" s="171"/>
      <c r="M1380" s="171"/>
      <c r="N1380" s="171"/>
      <c r="O1380" s="171"/>
      <c r="P1380" s="173"/>
    </row>
    <row r="1381" spans="1:16">
      <c r="A1381" s="170" t="s">
        <v>449</v>
      </c>
      <c r="B1381" s="172" t="s">
        <v>467</v>
      </c>
      <c r="C1381" s="172">
        <v>30</v>
      </c>
      <c r="D1381" s="172">
        <v>0</v>
      </c>
      <c r="E1381" s="172"/>
      <c r="F1381" s="172"/>
      <c r="G1381" s="172"/>
      <c r="H1381" s="172"/>
      <c r="I1381" s="172"/>
      <c r="J1381" s="172"/>
      <c r="K1381" s="172"/>
      <c r="L1381" s="172"/>
      <c r="M1381" s="172"/>
      <c r="N1381" s="172"/>
      <c r="O1381" s="172"/>
      <c r="P1381" s="174"/>
    </row>
    <row r="1382" spans="1:16">
      <c r="A1382" s="169" t="s">
        <v>449</v>
      </c>
      <c r="B1382" s="171" t="s">
        <v>467</v>
      </c>
      <c r="C1382" s="171">
        <v>100</v>
      </c>
      <c r="D1382" s="171">
        <v>20</v>
      </c>
      <c r="E1382" s="171"/>
      <c r="F1382" s="171"/>
      <c r="G1382" s="171"/>
      <c r="H1382" s="171"/>
      <c r="I1382" s="171"/>
      <c r="J1382" s="171"/>
      <c r="K1382" s="171"/>
      <c r="L1382" s="171"/>
      <c r="M1382" s="171"/>
      <c r="N1382" s="171"/>
      <c r="O1382" s="171"/>
      <c r="P1382" s="173"/>
    </row>
    <row r="1383" spans="1:16">
      <c r="A1383" s="170" t="s">
        <v>449</v>
      </c>
      <c r="B1383" s="172" t="s">
        <v>467</v>
      </c>
      <c r="C1383" s="172">
        <v>25</v>
      </c>
      <c r="D1383" s="172">
        <v>5</v>
      </c>
      <c r="E1383" s="172"/>
      <c r="F1383" s="172"/>
      <c r="G1383" s="172"/>
      <c r="H1383" s="172"/>
      <c r="I1383" s="172"/>
      <c r="J1383" s="172"/>
      <c r="K1383" s="172"/>
      <c r="L1383" s="172"/>
      <c r="M1383" s="172"/>
      <c r="N1383" s="172"/>
      <c r="O1383" s="172"/>
      <c r="P1383" s="174"/>
    </row>
    <row r="1384" spans="1:16">
      <c r="A1384" s="169" t="s">
        <v>449</v>
      </c>
      <c r="B1384" s="171" t="s">
        <v>467</v>
      </c>
      <c r="C1384" s="171">
        <v>60</v>
      </c>
      <c r="D1384" s="171">
        <v>20</v>
      </c>
      <c r="E1384" s="171"/>
      <c r="F1384" s="171"/>
      <c r="G1384" s="171"/>
      <c r="H1384" s="171"/>
      <c r="I1384" s="171"/>
      <c r="J1384" s="171"/>
      <c r="K1384" s="171"/>
      <c r="L1384" s="171"/>
      <c r="M1384" s="171"/>
      <c r="N1384" s="171"/>
      <c r="O1384" s="171"/>
      <c r="P1384" s="173"/>
    </row>
    <row r="1385" spans="1:16" hidden="1">
      <c r="A1385" s="170" t="s">
        <v>452</v>
      </c>
      <c r="B1385" s="172" t="s">
        <v>467</v>
      </c>
      <c r="C1385" s="172">
        <v>40</v>
      </c>
      <c r="D1385" s="172">
        <v>0</v>
      </c>
      <c r="E1385" s="172"/>
      <c r="F1385" s="172"/>
      <c r="G1385" s="172"/>
      <c r="H1385" s="172"/>
      <c r="I1385" s="172"/>
      <c r="J1385" s="172"/>
      <c r="K1385" s="172"/>
      <c r="L1385" s="172"/>
      <c r="M1385" s="172"/>
      <c r="N1385" s="172"/>
      <c r="O1385" s="172"/>
      <c r="P1385" s="174"/>
    </row>
    <row r="1386" spans="1:16" hidden="1">
      <c r="A1386" s="169" t="s">
        <v>450</v>
      </c>
      <c r="B1386" s="171" t="s">
        <v>467</v>
      </c>
      <c r="C1386" s="171">
        <v>60</v>
      </c>
      <c r="D1386" s="171">
        <v>60</v>
      </c>
      <c r="E1386" s="171"/>
      <c r="F1386" s="171"/>
      <c r="G1386" s="171"/>
      <c r="H1386" s="171"/>
      <c r="I1386" s="171"/>
      <c r="J1386" s="171"/>
      <c r="K1386" s="171"/>
      <c r="L1386" s="171"/>
      <c r="M1386" s="171"/>
      <c r="N1386" s="171"/>
      <c r="O1386" s="171"/>
      <c r="P1386" s="173"/>
    </row>
    <row r="1387" spans="1:16" hidden="1">
      <c r="A1387" s="170" t="s">
        <v>450</v>
      </c>
      <c r="B1387" s="172" t="s">
        <v>467</v>
      </c>
      <c r="C1387" s="172">
        <v>100</v>
      </c>
      <c r="D1387" s="172">
        <v>100</v>
      </c>
      <c r="E1387" s="172"/>
      <c r="F1387" s="172"/>
      <c r="G1387" s="172"/>
      <c r="H1387" s="172"/>
      <c r="I1387" s="172"/>
      <c r="J1387" s="172"/>
      <c r="K1387" s="172"/>
      <c r="L1387" s="172"/>
      <c r="M1387" s="172"/>
      <c r="N1387" s="172"/>
      <c r="O1387" s="172"/>
      <c r="P1387" s="174"/>
    </row>
    <row r="1388" spans="1:16" hidden="1">
      <c r="A1388" s="169" t="s">
        <v>452</v>
      </c>
      <c r="B1388" s="171" t="s">
        <v>467</v>
      </c>
      <c r="C1388" s="171">
        <v>40</v>
      </c>
      <c r="D1388" s="171">
        <v>0</v>
      </c>
      <c r="E1388" s="171"/>
      <c r="F1388" s="171"/>
      <c r="G1388" s="171"/>
      <c r="H1388" s="171"/>
      <c r="I1388" s="171"/>
      <c r="J1388" s="171"/>
      <c r="K1388" s="171"/>
      <c r="L1388" s="171"/>
      <c r="M1388" s="171"/>
      <c r="N1388" s="171"/>
      <c r="O1388" s="171"/>
      <c r="P1388" s="173"/>
    </row>
    <row r="1389" spans="1:16" hidden="1">
      <c r="A1389" s="172" t="s">
        <v>468</v>
      </c>
      <c r="B1389" s="172" t="s">
        <v>467</v>
      </c>
      <c r="C1389" s="172">
        <v>48</v>
      </c>
      <c r="D1389" s="172">
        <v>16</v>
      </c>
      <c r="E1389" s="172"/>
      <c r="F1389" s="172"/>
      <c r="G1389" s="172"/>
      <c r="H1389" s="172"/>
      <c r="I1389" s="172"/>
      <c r="J1389" s="172"/>
      <c r="K1389" s="172"/>
      <c r="L1389" s="172"/>
      <c r="M1389" s="172"/>
      <c r="N1389" s="172"/>
      <c r="O1389" s="172"/>
      <c r="P1389" s="174"/>
    </row>
    <row r="1390" spans="1:16" hidden="1">
      <c r="A1390" s="169" t="s">
        <v>347</v>
      </c>
      <c r="B1390" s="171" t="s">
        <v>467</v>
      </c>
      <c r="C1390" s="171">
        <v>15</v>
      </c>
      <c r="D1390" s="171">
        <v>5</v>
      </c>
      <c r="E1390" s="171"/>
      <c r="F1390" s="171"/>
      <c r="G1390" s="171"/>
      <c r="H1390" s="171"/>
      <c r="I1390" s="171"/>
      <c r="J1390" s="171"/>
      <c r="K1390" s="171"/>
      <c r="L1390" s="171"/>
      <c r="M1390" s="171"/>
      <c r="N1390" s="171"/>
      <c r="O1390" s="171"/>
      <c r="P1390" s="173"/>
    </row>
    <row r="1391" spans="1:16" hidden="1">
      <c r="A1391" s="170" t="s">
        <v>450</v>
      </c>
      <c r="B1391" s="172" t="s">
        <v>467</v>
      </c>
      <c r="C1391" s="172">
        <v>50</v>
      </c>
      <c r="D1391" s="172">
        <v>50</v>
      </c>
      <c r="E1391" s="172"/>
      <c r="F1391" s="172"/>
      <c r="G1391" s="172"/>
      <c r="H1391" s="172"/>
      <c r="I1391" s="172"/>
      <c r="J1391" s="172"/>
      <c r="K1391" s="172"/>
      <c r="L1391" s="172"/>
      <c r="M1391" s="172"/>
      <c r="N1391" s="172"/>
      <c r="O1391" s="172"/>
      <c r="P1391" s="174"/>
    </row>
    <row r="1392" spans="1:16">
      <c r="A1392" s="169" t="s">
        <v>449</v>
      </c>
      <c r="B1392" s="171" t="s">
        <v>467</v>
      </c>
      <c r="C1392" s="171">
        <v>100</v>
      </c>
      <c r="D1392" s="171">
        <v>20</v>
      </c>
      <c r="E1392" s="171"/>
      <c r="F1392" s="171"/>
      <c r="G1392" s="171"/>
      <c r="H1392" s="171"/>
      <c r="I1392" s="171"/>
      <c r="J1392" s="171"/>
      <c r="K1392" s="171"/>
      <c r="L1392" s="171"/>
      <c r="M1392" s="171"/>
      <c r="N1392" s="171"/>
      <c r="O1392" s="171"/>
      <c r="P1392" s="173"/>
    </row>
    <row r="1393" spans="1:16">
      <c r="A1393" s="170" t="s">
        <v>449</v>
      </c>
      <c r="B1393" s="172" t="s">
        <v>467</v>
      </c>
      <c r="C1393" s="172">
        <v>150</v>
      </c>
      <c r="D1393" s="172">
        <v>45</v>
      </c>
      <c r="E1393" s="172"/>
      <c r="F1393" s="172"/>
      <c r="G1393" s="172"/>
      <c r="H1393" s="172"/>
      <c r="I1393" s="172"/>
      <c r="J1393" s="172"/>
      <c r="K1393" s="172"/>
      <c r="L1393" s="172"/>
      <c r="M1393" s="172"/>
      <c r="N1393" s="172"/>
      <c r="O1393" s="172"/>
      <c r="P1393" s="174"/>
    </row>
    <row r="1394" spans="1:16">
      <c r="A1394" s="171" t="s">
        <v>449</v>
      </c>
      <c r="B1394" s="171" t="s">
        <v>467</v>
      </c>
      <c r="C1394" s="171">
        <v>100</v>
      </c>
      <c r="D1394" s="171">
        <v>20</v>
      </c>
      <c r="E1394" s="171"/>
      <c r="F1394" s="171"/>
      <c r="G1394" s="171"/>
      <c r="H1394" s="171"/>
      <c r="I1394" s="171"/>
      <c r="J1394" s="171"/>
      <c r="K1394" s="171"/>
      <c r="L1394" s="171"/>
      <c r="M1394" s="171"/>
      <c r="N1394" s="171"/>
      <c r="O1394" s="171"/>
      <c r="P1394" s="173"/>
    </row>
    <row r="1395" spans="1:16">
      <c r="A1395" s="172" t="s">
        <v>449</v>
      </c>
      <c r="B1395" s="172" t="s">
        <v>467</v>
      </c>
      <c r="C1395" s="172">
        <v>30</v>
      </c>
      <c r="D1395" s="172">
        <v>0</v>
      </c>
      <c r="E1395" s="172"/>
      <c r="F1395" s="172"/>
      <c r="G1395" s="172"/>
      <c r="H1395" s="172"/>
      <c r="I1395" s="172"/>
      <c r="J1395" s="172"/>
      <c r="K1395" s="172"/>
      <c r="L1395" s="172"/>
      <c r="M1395" s="172"/>
      <c r="N1395" s="172"/>
      <c r="O1395" s="172"/>
      <c r="P1395" s="174"/>
    </row>
    <row r="1396" spans="1:16">
      <c r="A1396" s="171" t="s">
        <v>449</v>
      </c>
      <c r="B1396" s="171" t="s">
        <v>467</v>
      </c>
      <c r="C1396" s="171">
        <v>55</v>
      </c>
      <c r="D1396" s="171">
        <v>23</v>
      </c>
      <c r="E1396" s="171"/>
      <c r="F1396" s="171"/>
      <c r="G1396" s="171"/>
      <c r="H1396" s="171"/>
      <c r="I1396" s="171"/>
      <c r="J1396" s="171"/>
      <c r="K1396" s="171"/>
      <c r="L1396" s="171"/>
      <c r="M1396" s="171"/>
      <c r="N1396" s="171"/>
      <c r="O1396" s="171"/>
      <c r="P1396" s="173"/>
    </row>
    <row r="1397" spans="1:16">
      <c r="A1397" s="170" t="s">
        <v>449</v>
      </c>
      <c r="B1397" s="172" t="s">
        <v>467</v>
      </c>
      <c r="C1397" s="172">
        <v>80</v>
      </c>
      <c r="D1397" s="172">
        <v>25</v>
      </c>
      <c r="E1397" s="172"/>
      <c r="F1397" s="172"/>
      <c r="G1397" s="172"/>
      <c r="H1397" s="172"/>
      <c r="I1397" s="172"/>
      <c r="J1397" s="172"/>
      <c r="K1397" s="172"/>
      <c r="L1397" s="172"/>
      <c r="M1397" s="172"/>
      <c r="N1397" s="172"/>
      <c r="O1397" s="172"/>
      <c r="P1397" s="174"/>
    </row>
    <row r="1398" spans="1:16" hidden="1">
      <c r="A1398" s="169" t="s">
        <v>450</v>
      </c>
      <c r="B1398" s="171" t="s">
        <v>467</v>
      </c>
      <c r="C1398" s="171">
        <v>20</v>
      </c>
      <c r="D1398" s="171">
        <v>20</v>
      </c>
      <c r="E1398" s="171"/>
      <c r="F1398" s="171"/>
      <c r="G1398" s="171"/>
      <c r="H1398" s="171"/>
      <c r="I1398" s="171"/>
      <c r="J1398" s="171"/>
      <c r="K1398" s="171"/>
      <c r="L1398" s="171"/>
      <c r="M1398" s="171"/>
      <c r="N1398" s="171"/>
      <c r="O1398" s="171"/>
      <c r="P1398" s="173"/>
    </row>
    <row r="1399" spans="1:16">
      <c r="A1399" s="172" t="s">
        <v>449</v>
      </c>
      <c r="B1399" s="172" t="s">
        <v>467</v>
      </c>
      <c r="C1399" s="172">
        <v>50</v>
      </c>
      <c r="D1399" s="172">
        <v>0</v>
      </c>
      <c r="E1399" s="172"/>
      <c r="F1399" s="172"/>
      <c r="G1399" s="172"/>
      <c r="H1399" s="172"/>
      <c r="I1399" s="172"/>
      <c r="J1399" s="172"/>
      <c r="K1399" s="172"/>
      <c r="L1399" s="172"/>
      <c r="M1399" s="172"/>
      <c r="N1399" s="172"/>
      <c r="O1399" s="172"/>
      <c r="P1399" s="174"/>
    </row>
    <row r="1400" spans="1:16" hidden="1">
      <c r="A1400" s="169" t="s">
        <v>450</v>
      </c>
      <c r="B1400" s="171" t="s">
        <v>467</v>
      </c>
      <c r="C1400" s="171">
        <v>20</v>
      </c>
      <c r="D1400" s="171">
        <v>20</v>
      </c>
      <c r="E1400" s="171"/>
      <c r="F1400" s="171"/>
      <c r="G1400" s="171"/>
      <c r="H1400" s="171"/>
      <c r="I1400" s="171"/>
      <c r="J1400" s="171"/>
      <c r="K1400" s="171"/>
      <c r="L1400" s="171"/>
      <c r="M1400" s="171"/>
      <c r="N1400" s="171"/>
      <c r="O1400" s="171"/>
      <c r="P1400" s="173"/>
    </row>
    <row r="1401" spans="1:16" hidden="1">
      <c r="A1401" s="170" t="s">
        <v>468</v>
      </c>
      <c r="B1401" s="172" t="s">
        <v>467</v>
      </c>
      <c r="C1401" s="172">
        <v>36</v>
      </c>
      <c r="D1401" s="172">
        <v>4</v>
      </c>
      <c r="E1401" s="172"/>
      <c r="F1401" s="172"/>
      <c r="G1401" s="172"/>
      <c r="H1401" s="172"/>
      <c r="I1401" s="172"/>
      <c r="J1401" s="172"/>
      <c r="K1401" s="172"/>
      <c r="L1401" s="172"/>
      <c r="M1401" s="172"/>
      <c r="N1401" s="172"/>
      <c r="O1401" s="172"/>
      <c r="P1401" s="174"/>
    </row>
    <row r="1402" spans="1:16" hidden="1">
      <c r="A1402" s="171" t="s">
        <v>469</v>
      </c>
      <c r="B1402" s="171" t="s">
        <v>467</v>
      </c>
      <c r="C1402" s="171">
        <v>40</v>
      </c>
      <c r="D1402" s="171">
        <v>10</v>
      </c>
      <c r="E1402" s="171"/>
      <c r="F1402" s="171"/>
      <c r="G1402" s="171"/>
      <c r="H1402" s="171"/>
      <c r="I1402" s="171"/>
      <c r="J1402" s="171"/>
      <c r="K1402" s="171"/>
      <c r="L1402" s="171"/>
      <c r="M1402" s="171"/>
      <c r="N1402" s="171"/>
      <c r="O1402" s="171"/>
      <c r="P1402" s="173"/>
    </row>
    <row r="1403" spans="1:16" hidden="1">
      <c r="A1403" s="172" t="s">
        <v>450</v>
      </c>
      <c r="B1403" s="172" t="s">
        <v>467</v>
      </c>
      <c r="C1403" s="172">
        <v>30</v>
      </c>
      <c r="D1403" s="172">
        <v>30</v>
      </c>
      <c r="E1403" s="172"/>
      <c r="F1403" s="172"/>
      <c r="G1403" s="172"/>
      <c r="H1403" s="172"/>
      <c r="I1403" s="172"/>
      <c r="J1403" s="172"/>
      <c r="K1403" s="172"/>
      <c r="L1403" s="172"/>
      <c r="M1403" s="172"/>
      <c r="N1403" s="172"/>
      <c r="O1403" s="172"/>
      <c r="P1403" s="174"/>
    </row>
    <row r="1404" spans="1:16">
      <c r="A1404" s="171" t="s">
        <v>449</v>
      </c>
      <c r="B1404" s="171" t="s">
        <v>467</v>
      </c>
      <c r="C1404" s="171">
        <v>50</v>
      </c>
      <c r="D1404" s="171">
        <v>15</v>
      </c>
      <c r="E1404" s="171"/>
      <c r="F1404" s="171"/>
      <c r="G1404" s="171"/>
      <c r="H1404" s="171"/>
      <c r="I1404" s="171"/>
      <c r="J1404" s="171"/>
      <c r="K1404" s="171"/>
      <c r="L1404" s="171"/>
      <c r="M1404" s="171"/>
      <c r="N1404" s="171"/>
      <c r="O1404" s="171"/>
      <c r="P1404" s="173"/>
    </row>
    <row r="1405" spans="1:16">
      <c r="A1405" s="172" t="s">
        <v>449</v>
      </c>
      <c r="B1405" s="172" t="s">
        <v>467</v>
      </c>
      <c r="C1405" s="172">
        <v>60</v>
      </c>
      <c r="D1405" s="172">
        <v>20</v>
      </c>
      <c r="E1405" s="172"/>
      <c r="F1405" s="172"/>
      <c r="G1405" s="172"/>
      <c r="H1405" s="172"/>
      <c r="I1405" s="172"/>
      <c r="J1405" s="172"/>
      <c r="K1405" s="172"/>
      <c r="L1405" s="172"/>
      <c r="M1405" s="172"/>
      <c r="N1405" s="172"/>
      <c r="O1405" s="172"/>
      <c r="P1405" s="174"/>
    </row>
    <row r="1406" spans="1:16">
      <c r="A1406" s="171" t="s">
        <v>449</v>
      </c>
      <c r="B1406" s="171" t="s">
        <v>467</v>
      </c>
      <c r="C1406" s="171">
        <v>40</v>
      </c>
      <c r="D1406" s="171">
        <v>0</v>
      </c>
      <c r="E1406" s="171"/>
      <c r="F1406" s="171"/>
      <c r="G1406" s="171"/>
      <c r="H1406" s="171"/>
      <c r="I1406" s="171"/>
      <c r="J1406" s="171"/>
      <c r="K1406" s="171"/>
      <c r="L1406" s="171"/>
      <c r="M1406" s="171"/>
      <c r="N1406" s="171"/>
      <c r="O1406" s="171"/>
      <c r="P1406" s="173"/>
    </row>
    <row r="1407" spans="1:16">
      <c r="A1407" s="172" t="s">
        <v>449</v>
      </c>
      <c r="B1407" s="172" t="s">
        <v>467</v>
      </c>
      <c r="C1407" s="172">
        <v>50</v>
      </c>
      <c r="D1407" s="172">
        <v>10</v>
      </c>
      <c r="E1407" s="172"/>
      <c r="F1407" s="172"/>
      <c r="G1407" s="172"/>
      <c r="H1407" s="172"/>
      <c r="I1407" s="172"/>
      <c r="J1407" s="172"/>
      <c r="K1407" s="172"/>
      <c r="L1407" s="172"/>
      <c r="M1407" s="172"/>
      <c r="N1407" s="172"/>
      <c r="O1407" s="172"/>
      <c r="P1407" s="174"/>
    </row>
    <row r="1408" spans="1:16" hidden="1">
      <c r="A1408" s="171" t="s">
        <v>450</v>
      </c>
      <c r="B1408" s="171" t="s">
        <v>467</v>
      </c>
      <c r="C1408" s="171">
        <v>50</v>
      </c>
      <c r="D1408" s="171">
        <v>50</v>
      </c>
      <c r="E1408" s="171"/>
      <c r="F1408" s="171"/>
      <c r="G1408" s="171"/>
      <c r="H1408" s="171"/>
      <c r="I1408" s="171"/>
      <c r="J1408" s="171"/>
      <c r="K1408" s="171"/>
      <c r="L1408" s="171"/>
      <c r="M1408" s="171"/>
      <c r="N1408" s="171"/>
      <c r="O1408" s="171"/>
      <c r="P1408" s="173"/>
    </row>
    <row r="1409" spans="1:16">
      <c r="A1409" s="170" t="s">
        <v>449</v>
      </c>
      <c r="B1409" s="172" t="s">
        <v>467</v>
      </c>
      <c r="C1409" s="172">
        <v>25</v>
      </c>
      <c r="D1409" s="172">
        <v>5</v>
      </c>
      <c r="E1409" s="172"/>
      <c r="F1409" s="172"/>
      <c r="G1409" s="172"/>
      <c r="H1409" s="172"/>
      <c r="I1409" s="172"/>
      <c r="J1409" s="172"/>
      <c r="K1409" s="172"/>
      <c r="L1409" s="172"/>
      <c r="M1409" s="172"/>
      <c r="N1409" s="172"/>
      <c r="O1409" s="172"/>
      <c r="P1409" s="174"/>
    </row>
    <row r="1410" spans="1:16" hidden="1">
      <c r="A1410" s="169" t="s">
        <v>450</v>
      </c>
      <c r="B1410" s="171" t="s">
        <v>467</v>
      </c>
      <c r="C1410" s="171">
        <v>25</v>
      </c>
      <c r="D1410" s="171">
        <v>25</v>
      </c>
      <c r="E1410" s="171"/>
      <c r="F1410" s="171"/>
      <c r="G1410" s="171"/>
      <c r="H1410" s="171"/>
      <c r="I1410" s="171"/>
      <c r="J1410" s="171"/>
      <c r="K1410" s="171"/>
      <c r="L1410" s="171"/>
      <c r="M1410" s="171"/>
      <c r="N1410" s="171"/>
      <c r="O1410" s="171"/>
      <c r="P1410" s="173"/>
    </row>
    <row r="1411" spans="1:16" hidden="1">
      <c r="A1411" s="170" t="s">
        <v>468</v>
      </c>
      <c r="B1411" s="172" t="s">
        <v>467</v>
      </c>
      <c r="C1411" s="172">
        <v>40</v>
      </c>
      <c r="D1411" s="172">
        <v>10</v>
      </c>
      <c r="E1411" s="172"/>
      <c r="F1411" s="172"/>
      <c r="G1411" s="172"/>
      <c r="H1411" s="172"/>
      <c r="I1411" s="172"/>
      <c r="J1411" s="172"/>
      <c r="K1411" s="172"/>
      <c r="L1411" s="172"/>
      <c r="M1411" s="172"/>
      <c r="N1411" s="172"/>
      <c r="O1411" s="172"/>
      <c r="P1411" s="174"/>
    </row>
    <row r="1412" spans="1:16" hidden="1">
      <c r="A1412" s="169" t="s">
        <v>450</v>
      </c>
      <c r="B1412" s="171" t="s">
        <v>467</v>
      </c>
      <c r="C1412" s="171">
        <v>50</v>
      </c>
      <c r="D1412" s="171">
        <v>50</v>
      </c>
      <c r="E1412" s="171"/>
      <c r="F1412" s="171"/>
      <c r="G1412" s="171"/>
      <c r="H1412" s="171"/>
      <c r="I1412" s="171"/>
      <c r="J1412" s="171"/>
      <c r="K1412" s="171"/>
      <c r="L1412" s="171"/>
      <c r="M1412" s="171"/>
      <c r="N1412" s="171"/>
      <c r="O1412" s="171"/>
      <c r="P1412" s="173"/>
    </row>
    <row r="1413" spans="1:16" hidden="1">
      <c r="A1413" s="170" t="s">
        <v>301</v>
      </c>
      <c r="B1413" s="172" t="s">
        <v>467</v>
      </c>
      <c r="C1413" s="172">
        <v>30</v>
      </c>
      <c r="D1413" s="172">
        <v>20</v>
      </c>
      <c r="E1413" s="172"/>
      <c r="F1413" s="172"/>
      <c r="G1413" s="172"/>
      <c r="H1413" s="172"/>
      <c r="I1413" s="172"/>
      <c r="J1413" s="172"/>
      <c r="K1413" s="172"/>
      <c r="L1413" s="172"/>
      <c r="M1413" s="172"/>
      <c r="N1413" s="172"/>
      <c r="O1413" s="172"/>
      <c r="P1413" s="174"/>
    </row>
    <row r="1414" spans="1:16">
      <c r="A1414" s="169" t="s">
        <v>449</v>
      </c>
      <c r="B1414" s="171" t="s">
        <v>467</v>
      </c>
      <c r="C1414" s="171">
        <v>0</v>
      </c>
      <c r="D1414" s="171">
        <v>0</v>
      </c>
      <c r="E1414" s="171"/>
      <c r="F1414" s="171"/>
      <c r="G1414" s="171"/>
      <c r="H1414" s="171"/>
      <c r="I1414" s="171"/>
      <c r="J1414" s="171"/>
      <c r="K1414" s="171"/>
      <c r="L1414" s="171"/>
      <c r="M1414" s="171"/>
      <c r="N1414" s="171"/>
      <c r="O1414" s="171"/>
      <c r="P1414" s="173"/>
    </row>
    <row r="1415" spans="1:16">
      <c r="A1415" s="170" t="s">
        <v>449</v>
      </c>
      <c r="B1415" s="172" t="s">
        <v>467</v>
      </c>
      <c r="C1415" s="172">
        <v>40</v>
      </c>
      <c r="D1415" s="172">
        <v>12</v>
      </c>
      <c r="E1415" s="172"/>
      <c r="F1415" s="172"/>
      <c r="G1415" s="172"/>
      <c r="H1415" s="172"/>
      <c r="I1415" s="172"/>
      <c r="J1415" s="172"/>
      <c r="K1415" s="172"/>
      <c r="L1415" s="172"/>
      <c r="M1415" s="172"/>
      <c r="N1415" s="172"/>
      <c r="O1415" s="172"/>
      <c r="P1415" s="174"/>
    </row>
    <row r="1417" spans="1:16">
      <c r="A1417" s="5" t="s">
        <v>472</v>
      </c>
    </row>
    <row r="1418" spans="1:16">
      <c r="A1418" s="5" t="s">
        <v>473</v>
      </c>
    </row>
  </sheetData>
  <autoFilter ref="A3:P1415" xr:uid="{79453717-EF54-41A2-BEC2-7B110CCB5510}">
    <filterColumn colId="0">
      <filters>
        <filter val="Education &amp; Care Service"/>
      </filters>
    </filterColumn>
  </autoFilter>
  <pageMargins left="0.7" right="0.7" top="0.75" bottom="0.75" header="0.3" footer="0.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B5E40-ACC9-4819-85C2-3CD26E6C299D}">
  <dimension ref="A1:L36"/>
  <sheetViews>
    <sheetView workbookViewId="0">
      <pane ySplit="1" topLeftCell="A4" activePane="bottomLeft" state="frozen"/>
      <selection pane="bottomLeft" activeCell="F19" sqref="F19"/>
    </sheetView>
  </sheetViews>
  <sheetFormatPr defaultColWidth="8.85546875" defaultRowHeight="14.65" outlineLevelRow="1"/>
  <cols>
    <col min="2" max="18" width="15.42578125" customWidth="1"/>
  </cols>
  <sheetData>
    <row r="1" spans="1:11">
      <c r="A1" s="1" t="s">
        <v>474</v>
      </c>
    </row>
    <row r="3" spans="1:11">
      <c r="A3" s="6" t="s">
        <v>475</v>
      </c>
      <c r="C3" s="85" t="s">
        <v>476</v>
      </c>
      <c r="D3" s="86" t="s">
        <v>477</v>
      </c>
    </row>
    <row r="4" spans="1:11" ht="29.1" outlineLevel="1">
      <c r="A4" s="1" t="s">
        <v>229</v>
      </c>
      <c r="B4" s="15" t="s">
        <v>364</v>
      </c>
      <c r="C4" s="15" t="s">
        <v>365</v>
      </c>
      <c r="D4" s="15" t="s">
        <v>366</v>
      </c>
      <c r="E4" s="15" t="s">
        <v>382</v>
      </c>
      <c r="F4" s="15" t="s">
        <v>478</v>
      </c>
      <c r="G4" s="15" t="s">
        <v>368</v>
      </c>
      <c r="H4" s="15" t="s">
        <v>369</v>
      </c>
      <c r="I4" s="15" t="s">
        <v>301</v>
      </c>
      <c r="J4" s="15" t="s">
        <v>479</v>
      </c>
      <c r="K4" s="15" t="s">
        <v>480</v>
      </c>
    </row>
    <row r="5" spans="1:11" outlineLevel="1">
      <c r="A5" s="70" t="s">
        <v>326</v>
      </c>
      <c r="B5" s="87">
        <f>MROUND('Source-participation_x_type'!$B14*B$18,5)</f>
        <v>8840</v>
      </c>
      <c r="C5" s="87">
        <f>MROUND('Source-participation_x_type'!$B14*C$18,5)</f>
        <v>11300</v>
      </c>
      <c r="D5" s="87">
        <f>MROUND('Source-participation_x_type'!$B14*D$18,5)</f>
        <v>27015</v>
      </c>
      <c r="E5" s="88">
        <f>MROUND('Source-participation_x_type'!C14,5)</f>
        <v>7395</v>
      </c>
      <c r="F5" s="87">
        <f>MROUND('Source-participation_x_type'!D14*F$18,5)</f>
        <v>0</v>
      </c>
      <c r="G5" s="87">
        <f>MROUND('Source-participation_x_type'!D14*G$18,5)</f>
        <v>525</v>
      </c>
      <c r="H5" s="87">
        <f>MROUND('Source-participation_x_type'!D14*H$18,5)</f>
        <v>6720</v>
      </c>
      <c r="I5" s="88">
        <f>MROUND('Source-participation_x_type'!F14,5)</f>
        <v>2805</v>
      </c>
      <c r="J5" s="87">
        <f>MROUND('Source-participation_x_type'!E14*J$18,5)</f>
        <v>300</v>
      </c>
      <c r="K5" s="87">
        <f>MROUND('Source-participation_x_type'!E14*K$18,5)</f>
        <v>885</v>
      </c>
    </row>
    <row r="6" spans="1:11" outlineLevel="1">
      <c r="A6" s="70" t="s">
        <v>327</v>
      </c>
      <c r="B6" s="87">
        <f>MROUND('Source-participation_x_type'!$B15*B$18,5)</f>
        <v>8985</v>
      </c>
      <c r="C6" s="87">
        <f>MROUND('Source-participation_x_type'!$B15*C$18,5)</f>
        <v>11485</v>
      </c>
      <c r="D6" s="87">
        <f>MROUND('Source-participation_x_type'!$B15*D$18,5)</f>
        <v>27460</v>
      </c>
      <c r="E6" s="88">
        <f>MROUND('Source-participation_x_type'!C15,5)</f>
        <v>7830</v>
      </c>
      <c r="F6" s="87">
        <f>MROUND('Source-participation_x_type'!D15*F$18,5)</f>
        <v>0</v>
      </c>
      <c r="G6" s="87">
        <f>MROUND('Source-participation_x_type'!D15*G$18,5)</f>
        <v>495</v>
      </c>
      <c r="H6" s="87">
        <f>MROUND('Source-participation_x_type'!D15*H$18,5)</f>
        <v>6390</v>
      </c>
      <c r="I6" s="88">
        <f>MROUND('Source-participation_x_type'!F15,5)</f>
        <v>2715</v>
      </c>
      <c r="J6" s="87">
        <f>MROUND('Source-participation_x_type'!E15*J$18,5)</f>
        <v>305</v>
      </c>
      <c r="K6" s="87">
        <f>MROUND('Source-participation_x_type'!E15*K$18,5)</f>
        <v>905</v>
      </c>
    </row>
    <row r="7" spans="1:11" outlineLevel="1">
      <c r="A7" s="70" t="s">
        <v>328</v>
      </c>
      <c r="B7" s="87">
        <f>MROUND('Source-participation_x_type'!$B16*B$18,5)</f>
        <v>9120</v>
      </c>
      <c r="C7" s="87">
        <f>MROUND('Source-participation_x_type'!$B16*C$18,5)</f>
        <v>11655</v>
      </c>
      <c r="D7" s="87">
        <f>MROUND('Source-participation_x_type'!$B16*D$18,5)</f>
        <v>27870</v>
      </c>
      <c r="E7" s="88">
        <f>MROUND('Source-participation_x_type'!C16,5)</f>
        <v>7965</v>
      </c>
      <c r="F7" s="87">
        <f>MROUND('Source-participation_x_type'!D16*F$18,5)</f>
        <v>0</v>
      </c>
      <c r="G7" s="87">
        <f>MROUND('Source-participation_x_type'!D16*G$18,5)</f>
        <v>490</v>
      </c>
      <c r="H7" s="87">
        <f>MROUND('Source-participation_x_type'!D16*H$18,5)</f>
        <v>6270</v>
      </c>
      <c r="I7" s="88">
        <f>MROUND('Source-participation_x_type'!F16,5)</f>
        <v>2100</v>
      </c>
      <c r="J7" s="87">
        <f>MROUND('Source-participation_x_type'!E16*J$18,5)</f>
        <v>285</v>
      </c>
      <c r="K7" s="87">
        <f>MROUND('Source-participation_x_type'!E16*K$18,5)</f>
        <v>835</v>
      </c>
    </row>
    <row r="8" spans="1:11" outlineLevel="1">
      <c r="A8" s="70" t="s">
        <v>329</v>
      </c>
      <c r="B8" s="87">
        <f>MROUND('Source-participation_x_type'!$B17*B$18,5)</f>
        <v>9200</v>
      </c>
      <c r="C8" s="87">
        <f>MROUND('Source-participation_x_type'!$B17*C$18,5)</f>
        <v>11760</v>
      </c>
      <c r="D8" s="87">
        <f>MROUND('Source-participation_x_type'!$B17*D$18,5)</f>
        <v>28115</v>
      </c>
      <c r="E8" s="88">
        <f>MROUND('Source-participation_x_type'!C17,5)</f>
        <v>7710</v>
      </c>
      <c r="F8" s="87">
        <f>MROUND('Source-participation_x_type'!D17*F$18,5)</f>
        <v>0</v>
      </c>
      <c r="G8" s="87">
        <f>MROUND('Source-participation_x_type'!D17*G$18,5)</f>
        <v>470</v>
      </c>
      <c r="H8" s="87">
        <f>MROUND('Source-participation_x_type'!D17*H$18,5)</f>
        <v>6015</v>
      </c>
      <c r="I8" s="88">
        <f>MROUND('Source-participation_x_type'!F17,5)</f>
        <v>2130</v>
      </c>
      <c r="J8" s="87">
        <f>MROUND('Source-participation_x_type'!E17*J$18,5)</f>
        <v>285</v>
      </c>
      <c r="K8" s="87">
        <f>MROUND('Source-participation_x_type'!E17*K$18,5)</f>
        <v>835</v>
      </c>
    </row>
    <row r="9" spans="1:11" outlineLevel="1">
      <c r="A9" s="70" t="s">
        <v>330</v>
      </c>
      <c r="B9" s="87">
        <f>MROUND('Source-participation_x_type'!$B18*B$18,5)</f>
        <v>8690</v>
      </c>
      <c r="C9" s="87">
        <f>MROUND('Source-participation_x_type'!$B18*C$18,5)</f>
        <v>11105</v>
      </c>
      <c r="D9" s="87">
        <f>MROUND('Source-participation_x_type'!$B18*D$18,5)</f>
        <v>26555</v>
      </c>
      <c r="E9" s="88">
        <f>MROUND('Source-participation_x_type'!C18,5)</f>
        <v>6855</v>
      </c>
      <c r="F9" s="87">
        <f>MROUND('Source-participation_x_type'!D18*F$18,5)</f>
        <v>0</v>
      </c>
      <c r="G9" s="87">
        <f>MROUND('Source-participation_x_type'!D18*G$18,5)</f>
        <v>445</v>
      </c>
      <c r="H9" s="87">
        <f>MROUND('Source-participation_x_type'!D18*H$18,5)</f>
        <v>5725</v>
      </c>
      <c r="I9" s="88">
        <f>MROUND('Source-participation_x_type'!F18,5)</f>
        <v>1815</v>
      </c>
      <c r="J9" s="87">
        <f>MROUND('Source-participation_x_type'!E18*J$18,5)</f>
        <v>280</v>
      </c>
      <c r="K9" s="87">
        <f>MROUND('Source-participation_x_type'!E18*K$18,5)</f>
        <v>815</v>
      </c>
    </row>
    <row r="10" spans="1:11" outlineLevel="1">
      <c r="A10" s="70" t="s">
        <v>331</v>
      </c>
      <c r="B10" s="87">
        <f>MROUND('Source-participation_x_type'!$B19*B$18,5)</f>
        <v>8940</v>
      </c>
      <c r="C10" s="87">
        <f>MROUND('Source-participation_x_type'!$B19*C$18,5)</f>
        <v>11425</v>
      </c>
      <c r="D10" s="87">
        <f>MROUND('Source-participation_x_type'!$B19*D$18,5)</f>
        <v>27315</v>
      </c>
      <c r="E10" s="88">
        <f>MROUND('Source-participation_x_type'!C19,5)</f>
        <v>6330</v>
      </c>
      <c r="F10" s="87">
        <f>MROUND('Source-participation_x_type'!D19*F$18,5)</f>
        <v>0</v>
      </c>
      <c r="G10" s="87">
        <f>MROUND('Source-participation_x_type'!D19*G$18,5)</f>
        <v>425</v>
      </c>
      <c r="H10" s="87">
        <f>MROUND('Source-participation_x_type'!D19*H$18,5)</f>
        <v>5450</v>
      </c>
      <c r="I10" s="88">
        <f>MROUND('Source-participation_x_type'!F19,5)</f>
        <v>2110</v>
      </c>
      <c r="J10" s="87">
        <f>MROUND('Source-participation_x_type'!E19*J$18,5)</f>
        <v>270</v>
      </c>
      <c r="K10" s="87">
        <f>MROUND('Source-participation_x_type'!E19*K$18,5)</f>
        <v>800</v>
      </c>
    </row>
    <row r="11" spans="1:11" outlineLevel="1">
      <c r="A11" s="70" t="s">
        <v>332</v>
      </c>
      <c r="B11" s="87">
        <f>MROUND('Source-participation_x_type'!$B20*B$18,5)</f>
        <v>8355</v>
      </c>
      <c r="C11" s="87">
        <f>MROUND('Source-participation_x_type'!$B20*C$18,5)</f>
        <v>10675</v>
      </c>
      <c r="D11" s="87">
        <f>MROUND('Source-participation_x_type'!$B20*D$18,5)</f>
        <v>25525</v>
      </c>
      <c r="E11" s="88">
        <f>MROUND('Source-participation_x_type'!C20,5)</f>
        <v>5355</v>
      </c>
      <c r="F11" s="87">
        <f>MROUND('Source-participation_x_type'!D20*F$18,5)</f>
        <v>0</v>
      </c>
      <c r="G11" s="87">
        <f>MROUND('Source-participation_x_type'!D20*G$18,5)</f>
        <v>380</v>
      </c>
      <c r="H11" s="87">
        <f>MROUND('Source-participation_x_type'!D20*H$18,5)</f>
        <v>4890</v>
      </c>
      <c r="I11" s="88">
        <f>MROUND('Source-participation_x_type'!F20,5)</f>
        <v>1770</v>
      </c>
      <c r="J11" s="87">
        <f>MROUND('Source-participation_x_type'!E20*J$18,5)</f>
        <v>255</v>
      </c>
      <c r="K11" s="87">
        <f>MROUND('Source-participation_x_type'!E20*K$18,5)</f>
        <v>755</v>
      </c>
    </row>
    <row r="12" spans="1:11" outlineLevel="1">
      <c r="A12" s="70" t="s">
        <v>333</v>
      </c>
      <c r="B12" s="87">
        <f>MROUND('Source-participation_x_type'!$B21*B$18,5)</f>
        <v>9265</v>
      </c>
      <c r="C12" s="87">
        <f>MROUND('Source-participation_x_type'!$B21*C$18,5)</f>
        <v>11840</v>
      </c>
      <c r="D12" s="87">
        <f>MROUND('Source-participation_x_type'!$B21*D$18,5)</f>
        <v>28315</v>
      </c>
      <c r="E12" s="88">
        <f>MROUND('Source-participation_x_type'!C21,5)</f>
        <v>5050</v>
      </c>
      <c r="F12" s="87">
        <f>MROUND('Source-participation_x_type'!D21*F$18,5)</f>
        <v>0</v>
      </c>
      <c r="G12" s="87">
        <f>MROUND('Source-participation_x_type'!D21*G$18,5)</f>
        <v>400</v>
      </c>
      <c r="H12" s="87">
        <f>MROUND('Source-participation_x_type'!D21*H$18,5)</f>
        <v>5160</v>
      </c>
      <c r="I12" s="88">
        <f>MROUND('Source-participation_x_type'!F21,5)</f>
        <v>1920</v>
      </c>
      <c r="J12" s="87">
        <f>MROUND('Source-participation_x_type'!E21*J$18,5)</f>
        <v>270</v>
      </c>
      <c r="K12" s="87">
        <f>MROUND('Source-participation_x_type'!E21*K$18,5)</f>
        <v>795</v>
      </c>
    </row>
    <row r="13" spans="1:11" outlineLevel="1">
      <c r="A13" s="70" t="s">
        <v>334</v>
      </c>
      <c r="B13" s="87">
        <f>MROUND('Source-participation_x_type'!$B22*B$18,5)</f>
        <v>9515</v>
      </c>
      <c r="C13" s="87">
        <f>MROUND('Source-participation_x_type'!$B22*C$18,5)</f>
        <v>12160</v>
      </c>
      <c r="D13" s="87">
        <f>MROUND('Source-participation_x_type'!$B22*D$18,5)</f>
        <v>29080</v>
      </c>
      <c r="E13" s="88">
        <f>MROUND('Source-participation_x_type'!C22,5)</f>
        <v>4840</v>
      </c>
      <c r="F13" s="87">
        <f>MROUND('Source-participation_x_type'!D22*F$18,5)</f>
        <v>0</v>
      </c>
      <c r="G13" s="87">
        <f>MROUND('Source-participation_x_type'!D22*G$18,5)</f>
        <v>445</v>
      </c>
      <c r="H13" s="87">
        <f>MROUND('Source-participation_x_type'!D22*H$18,5)</f>
        <v>5740</v>
      </c>
      <c r="I13" s="88">
        <f>MROUND('Source-participation_x_type'!F22,5)</f>
        <v>2175</v>
      </c>
      <c r="J13" s="87">
        <f>MROUND('Source-participation_x_type'!E22*J$18,5)</f>
        <v>285</v>
      </c>
      <c r="K13" s="87">
        <f>MROUND('Source-participation_x_type'!E22*K$18,5)</f>
        <v>835</v>
      </c>
    </row>
    <row r="14" spans="1:11" outlineLevel="1">
      <c r="A14" s="70">
        <v>2025</v>
      </c>
      <c r="B14" s="87">
        <v>9205</v>
      </c>
      <c r="C14" s="87">
        <v>12000</v>
      </c>
      <c r="D14" s="87">
        <v>29220</v>
      </c>
      <c r="E14" s="88">
        <f>MROUND(1641+1045+1834,5)</f>
        <v>4520</v>
      </c>
      <c r="F14" s="87">
        <v>55</v>
      </c>
      <c r="G14" s="87">
        <v>750</v>
      </c>
      <c r="H14" s="87">
        <v>5575</v>
      </c>
      <c r="I14" s="88">
        <f>MROUND(1176+417+582,5)</f>
        <v>2175</v>
      </c>
      <c r="J14" s="87">
        <v>260</v>
      </c>
      <c r="K14" s="87">
        <f>MROUND(306+515,5)</f>
        <v>820</v>
      </c>
    </row>
    <row r="15" spans="1:11">
      <c r="A15" s="70"/>
      <c r="B15" s="66"/>
      <c r="C15" s="66"/>
      <c r="D15" s="66"/>
      <c r="E15" s="66"/>
      <c r="F15" s="66"/>
      <c r="G15" s="66"/>
      <c r="H15" s="66"/>
      <c r="I15" s="66"/>
      <c r="J15" s="66"/>
      <c r="K15" s="66"/>
    </row>
    <row r="16" spans="1:11">
      <c r="A16" s="16" t="s">
        <v>481</v>
      </c>
      <c r="B16" s="66"/>
      <c r="C16" s="89" t="s">
        <v>482</v>
      </c>
      <c r="D16" s="66"/>
      <c r="E16" s="66"/>
      <c r="F16" s="66"/>
      <c r="G16" s="66"/>
      <c r="H16" s="66"/>
      <c r="I16" s="66"/>
      <c r="J16" s="66"/>
      <c r="K16" s="66"/>
    </row>
    <row r="17" spans="1:12" ht="29.1" outlineLevel="1">
      <c r="A17" s="70" t="s">
        <v>341</v>
      </c>
      <c r="B17" s="15" t="s">
        <v>364</v>
      </c>
      <c r="C17" s="15" t="s">
        <v>365</v>
      </c>
      <c r="D17" s="15" t="s">
        <v>366</v>
      </c>
      <c r="E17" s="15" t="s">
        <v>382</v>
      </c>
      <c r="F17" s="15" t="s">
        <v>478</v>
      </c>
      <c r="G17" s="15" t="s">
        <v>368</v>
      </c>
      <c r="H17" s="15" t="s">
        <v>369</v>
      </c>
      <c r="I17" s="15" t="s">
        <v>301</v>
      </c>
      <c r="J17" s="15" t="s">
        <v>479</v>
      </c>
      <c r="K17" s="15" t="s">
        <v>480</v>
      </c>
    </row>
    <row r="18" spans="1:12" outlineLevel="1">
      <c r="A18" s="70" t="s">
        <v>241</v>
      </c>
      <c r="B18" s="90">
        <v>0.18</v>
      </c>
      <c r="C18" s="91">
        <v>0.23</v>
      </c>
      <c r="D18" s="91">
        <v>0.55000000000000004</v>
      </c>
      <c r="E18" s="91"/>
      <c r="F18" s="90">
        <v>0</v>
      </c>
      <c r="G18" s="91">
        <v>7.0000000000000007E-2</v>
      </c>
      <c r="H18" s="91">
        <v>0.9</v>
      </c>
      <c r="I18" s="91"/>
      <c r="J18" s="91">
        <v>0.2536810848868889</v>
      </c>
      <c r="K18" s="91">
        <v>0.7463189151131111</v>
      </c>
    </row>
    <row r="20" spans="1:12">
      <c r="A20" s="6" t="s">
        <v>483</v>
      </c>
    </row>
    <row r="21" spans="1:12" ht="29.1" outlineLevel="1">
      <c r="A21" s="70" t="s">
        <v>484</v>
      </c>
      <c r="B21" s="15" t="s">
        <v>364</v>
      </c>
      <c r="C21" s="15" t="s">
        <v>365</v>
      </c>
      <c r="D21" s="15" t="s">
        <v>366</v>
      </c>
      <c r="E21" s="15" t="s">
        <v>382</v>
      </c>
      <c r="F21" s="15" t="s">
        <v>478</v>
      </c>
      <c r="G21" s="15" t="s">
        <v>368</v>
      </c>
      <c r="H21" s="15" t="s">
        <v>369</v>
      </c>
      <c r="I21" s="15" t="s">
        <v>301</v>
      </c>
      <c r="J21" s="15" t="s">
        <v>479</v>
      </c>
      <c r="K21" s="15" t="s">
        <v>480</v>
      </c>
    </row>
    <row r="22" spans="1:12" outlineLevel="1">
      <c r="A22" s="70" t="s">
        <v>485</v>
      </c>
      <c r="B22">
        <f>1/5</f>
        <v>0.2</v>
      </c>
      <c r="C22">
        <f>1/10</f>
        <v>0.1</v>
      </c>
      <c r="D22">
        <f>1/10</f>
        <v>0.1</v>
      </c>
      <c r="E22">
        <f>1/4</f>
        <v>0.25</v>
      </c>
      <c r="F22">
        <f>1/5</f>
        <v>0.2</v>
      </c>
      <c r="G22">
        <f>1/10</f>
        <v>0.1</v>
      </c>
      <c r="H22">
        <f>1/10</f>
        <v>0.1</v>
      </c>
      <c r="I22">
        <f>1/5</f>
        <v>0.2</v>
      </c>
      <c r="J22">
        <f>1/4</f>
        <v>0.25</v>
      </c>
      <c r="K22" s="67">
        <f>1/6</f>
        <v>0.16666666666666666</v>
      </c>
    </row>
    <row r="23" spans="1:12" outlineLevel="1">
      <c r="A23" s="1" t="s">
        <v>486</v>
      </c>
      <c r="B23" s="78">
        <f>1/4.02</f>
        <v>0.24875621890547267</v>
      </c>
      <c r="C23" s="78">
        <f>1/5.17</f>
        <v>0.19342359767891684</v>
      </c>
      <c r="D23" s="78">
        <f>1/6.08</f>
        <v>0.16447368421052633</v>
      </c>
      <c r="F23" s="78">
        <f>1/4.49</f>
        <v>0.22271714922048996</v>
      </c>
      <c r="G23" s="78">
        <f>1/5.73</f>
        <v>0.17452006980802792</v>
      </c>
      <c r="H23" s="78">
        <f>1/6.87</f>
        <v>0.14556040756914118</v>
      </c>
    </row>
    <row r="25" spans="1:12">
      <c r="A25" s="6" t="s">
        <v>487</v>
      </c>
    </row>
    <row r="26" spans="1:12" ht="29.1">
      <c r="A26" s="1" t="s">
        <v>229</v>
      </c>
      <c r="B26" s="15" t="s">
        <v>364</v>
      </c>
      <c r="C26" s="15" t="s">
        <v>365</v>
      </c>
      <c r="D26" s="15" t="s">
        <v>366</v>
      </c>
      <c r="E26" s="15" t="s">
        <v>382</v>
      </c>
      <c r="F26" s="15" t="s">
        <v>478</v>
      </c>
      <c r="G26" s="15" t="s">
        <v>368</v>
      </c>
      <c r="H26" s="15" t="s">
        <v>369</v>
      </c>
      <c r="I26" s="15" t="s">
        <v>301</v>
      </c>
      <c r="J26" s="15" t="s">
        <v>479</v>
      </c>
      <c r="K26" s="15" t="s">
        <v>480</v>
      </c>
      <c r="L26" s="15" t="s">
        <v>236</v>
      </c>
    </row>
    <row r="27" spans="1:12">
      <c r="A27" s="70" t="s">
        <v>326</v>
      </c>
      <c r="B27" s="87">
        <f>MROUND(B5*B$22,5)</f>
        <v>1770</v>
      </c>
      <c r="C27" s="87">
        <f t="shared" ref="C27:K27" si="0">MROUND(C5*C$22,5)</f>
        <v>1130</v>
      </c>
      <c r="D27" s="87">
        <f t="shared" si="0"/>
        <v>2700</v>
      </c>
      <c r="E27" s="87">
        <f t="shared" si="0"/>
        <v>1850</v>
      </c>
      <c r="F27" s="87">
        <f t="shared" si="0"/>
        <v>0</v>
      </c>
      <c r="G27" s="87">
        <f t="shared" si="0"/>
        <v>55</v>
      </c>
      <c r="H27" s="87">
        <f t="shared" si="0"/>
        <v>670</v>
      </c>
      <c r="I27" s="87">
        <f t="shared" si="0"/>
        <v>560</v>
      </c>
      <c r="J27" s="87">
        <f t="shared" si="0"/>
        <v>75</v>
      </c>
      <c r="K27" s="87">
        <f t="shared" si="0"/>
        <v>150</v>
      </c>
      <c r="L27" s="84">
        <f>MROUND(SUM(B27:K27)*0.844,5)</f>
        <v>7560</v>
      </c>
    </row>
    <row r="28" spans="1:12">
      <c r="A28" s="70" t="s">
        <v>327</v>
      </c>
      <c r="B28" s="87">
        <f t="shared" ref="B28:K36" si="1">MROUND(B6*B$22,5)</f>
        <v>1795</v>
      </c>
      <c r="C28" s="87">
        <f t="shared" si="1"/>
        <v>1150</v>
      </c>
      <c r="D28" s="87">
        <f t="shared" si="1"/>
        <v>2745</v>
      </c>
      <c r="E28" s="87">
        <f t="shared" si="1"/>
        <v>1960</v>
      </c>
      <c r="F28" s="87">
        <f t="shared" si="1"/>
        <v>0</v>
      </c>
      <c r="G28" s="87">
        <f t="shared" si="1"/>
        <v>50</v>
      </c>
      <c r="H28" s="87">
        <f t="shared" si="1"/>
        <v>640</v>
      </c>
      <c r="I28" s="87">
        <f t="shared" si="1"/>
        <v>545</v>
      </c>
      <c r="J28" s="87">
        <f t="shared" si="1"/>
        <v>75</v>
      </c>
      <c r="K28" s="87">
        <f t="shared" si="1"/>
        <v>150</v>
      </c>
      <c r="L28" s="84">
        <f t="shared" ref="L28:L36" si="2">MROUND(SUM(B28:K28)*0.844,5)</f>
        <v>7690</v>
      </c>
    </row>
    <row r="29" spans="1:12">
      <c r="A29" s="70" t="s">
        <v>328</v>
      </c>
      <c r="B29" s="87">
        <f t="shared" si="1"/>
        <v>1825</v>
      </c>
      <c r="C29" s="87">
        <f t="shared" si="1"/>
        <v>1165</v>
      </c>
      <c r="D29" s="87">
        <f t="shared" si="1"/>
        <v>2785</v>
      </c>
      <c r="E29" s="87">
        <f t="shared" si="1"/>
        <v>1990</v>
      </c>
      <c r="F29" s="87">
        <f t="shared" si="1"/>
        <v>0</v>
      </c>
      <c r="G29" s="87">
        <f t="shared" si="1"/>
        <v>50</v>
      </c>
      <c r="H29" s="87">
        <f t="shared" si="1"/>
        <v>625</v>
      </c>
      <c r="I29" s="87">
        <f t="shared" si="1"/>
        <v>420</v>
      </c>
      <c r="J29" s="87">
        <f t="shared" si="1"/>
        <v>70</v>
      </c>
      <c r="K29" s="87">
        <f t="shared" si="1"/>
        <v>140</v>
      </c>
      <c r="L29" s="84">
        <f t="shared" si="2"/>
        <v>7655</v>
      </c>
    </row>
    <row r="30" spans="1:12">
      <c r="A30" s="70" t="s">
        <v>329</v>
      </c>
      <c r="B30" s="87">
        <f t="shared" si="1"/>
        <v>1840</v>
      </c>
      <c r="C30" s="87">
        <f t="shared" si="1"/>
        <v>1175</v>
      </c>
      <c r="D30" s="87">
        <f t="shared" si="1"/>
        <v>2810</v>
      </c>
      <c r="E30" s="87">
        <f t="shared" si="1"/>
        <v>1930</v>
      </c>
      <c r="F30" s="87">
        <f t="shared" si="1"/>
        <v>0</v>
      </c>
      <c r="G30" s="87">
        <f t="shared" si="1"/>
        <v>45</v>
      </c>
      <c r="H30" s="87">
        <f t="shared" si="1"/>
        <v>600</v>
      </c>
      <c r="I30" s="87">
        <f t="shared" si="1"/>
        <v>425</v>
      </c>
      <c r="J30" s="87">
        <f t="shared" si="1"/>
        <v>70</v>
      </c>
      <c r="K30" s="87">
        <f t="shared" si="1"/>
        <v>140</v>
      </c>
      <c r="L30" s="84">
        <f t="shared" si="2"/>
        <v>7625</v>
      </c>
    </row>
    <row r="31" spans="1:12">
      <c r="A31" s="70" t="s">
        <v>330</v>
      </c>
      <c r="B31" s="87">
        <f t="shared" si="1"/>
        <v>1740</v>
      </c>
      <c r="C31" s="87">
        <f t="shared" si="1"/>
        <v>1110</v>
      </c>
      <c r="D31" s="87">
        <f t="shared" si="1"/>
        <v>2655</v>
      </c>
      <c r="E31" s="87">
        <f t="shared" si="1"/>
        <v>1715</v>
      </c>
      <c r="F31" s="87">
        <f t="shared" si="1"/>
        <v>0</v>
      </c>
      <c r="G31" s="87">
        <f t="shared" si="1"/>
        <v>45</v>
      </c>
      <c r="H31" s="87">
        <f t="shared" si="1"/>
        <v>575</v>
      </c>
      <c r="I31" s="87">
        <f t="shared" si="1"/>
        <v>365</v>
      </c>
      <c r="J31" s="87">
        <f t="shared" si="1"/>
        <v>70</v>
      </c>
      <c r="K31" s="87">
        <f t="shared" si="1"/>
        <v>135</v>
      </c>
      <c r="L31" s="84">
        <f t="shared" si="2"/>
        <v>7100</v>
      </c>
    </row>
    <row r="32" spans="1:12">
      <c r="A32" s="70" t="s">
        <v>331</v>
      </c>
      <c r="B32" s="87">
        <f t="shared" si="1"/>
        <v>1790</v>
      </c>
      <c r="C32" s="87">
        <f t="shared" si="1"/>
        <v>1145</v>
      </c>
      <c r="D32" s="87">
        <f t="shared" si="1"/>
        <v>2730</v>
      </c>
      <c r="E32" s="87">
        <f t="shared" si="1"/>
        <v>1585</v>
      </c>
      <c r="F32" s="87">
        <f t="shared" si="1"/>
        <v>0</v>
      </c>
      <c r="G32" s="87">
        <f t="shared" si="1"/>
        <v>45</v>
      </c>
      <c r="H32" s="87">
        <f t="shared" si="1"/>
        <v>545</v>
      </c>
      <c r="I32" s="87">
        <f t="shared" si="1"/>
        <v>420</v>
      </c>
      <c r="J32" s="87">
        <f t="shared" si="1"/>
        <v>70</v>
      </c>
      <c r="K32" s="87">
        <f t="shared" si="1"/>
        <v>135</v>
      </c>
      <c r="L32" s="84">
        <f t="shared" si="2"/>
        <v>7145</v>
      </c>
    </row>
    <row r="33" spans="1:12">
      <c r="A33" s="70" t="s">
        <v>332</v>
      </c>
      <c r="B33" s="87">
        <f t="shared" si="1"/>
        <v>1670</v>
      </c>
      <c r="C33" s="87">
        <f t="shared" si="1"/>
        <v>1070</v>
      </c>
      <c r="D33" s="87">
        <f t="shared" si="1"/>
        <v>2555</v>
      </c>
      <c r="E33" s="87">
        <f t="shared" si="1"/>
        <v>1340</v>
      </c>
      <c r="F33" s="87">
        <f t="shared" si="1"/>
        <v>0</v>
      </c>
      <c r="G33" s="87">
        <f t="shared" si="1"/>
        <v>40</v>
      </c>
      <c r="H33" s="87">
        <f t="shared" si="1"/>
        <v>490</v>
      </c>
      <c r="I33" s="87">
        <f t="shared" si="1"/>
        <v>355</v>
      </c>
      <c r="J33" s="87">
        <f t="shared" si="1"/>
        <v>65</v>
      </c>
      <c r="K33" s="87">
        <f t="shared" si="1"/>
        <v>125</v>
      </c>
      <c r="L33" s="84">
        <f t="shared" si="2"/>
        <v>6505</v>
      </c>
    </row>
    <row r="34" spans="1:12">
      <c r="A34" s="70" t="s">
        <v>333</v>
      </c>
      <c r="B34" s="87">
        <f t="shared" si="1"/>
        <v>1855</v>
      </c>
      <c r="C34" s="87">
        <f t="shared" si="1"/>
        <v>1185</v>
      </c>
      <c r="D34" s="87">
        <f t="shared" si="1"/>
        <v>2830</v>
      </c>
      <c r="E34" s="87">
        <f t="shared" si="1"/>
        <v>1265</v>
      </c>
      <c r="F34" s="87">
        <f t="shared" si="1"/>
        <v>0</v>
      </c>
      <c r="G34" s="87">
        <f t="shared" si="1"/>
        <v>40</v>
      </c>
      <c r="H34" s="87">
        <f t="shared" si="1"/>
        <v>515</v>
      </c>
      <c r="I34" s="87">
        <f t="shared" si="1"/>
        <v>385</v>
      </c>
      <c r="J34" s="87">
        <f t="shared" si="1"/>
        <v>70</v>
      </c>
      <c r="K34" s="87">
        <f t="shared" si="1"/>
        <v>135</v>
      </c>
      <c r="L34" s="84">
        <f t="shared" si="2"/>
        <v>6990</v>
      </c>
    </row>
    <row r="35" spans="1:12">
      <c r="A35" s="70" t="s">
        <v>334</v>
      </c>
      <c r="B35" s="87">
        <f t="shared" si="1"/>
        <v>1905</v>
      </c>
      <c r="C35" s="87">
        <f t="shared" si="1"/>
        <v>1215</v>
      </c>
      <c r="D35" s="87">
        <f t="shared" si="1"/>
        <v>2910</v>
      </c>
      <c r="E35" s="87">
        <f t="shared" si="1"/>
        <v>1210</v>
      </c>
      <c r="F35" s="87">
        <f t="shared" si="1"/>
        <v>0</v>
      </c>
      <c r="G35" s="87">
        <f t="shared" si="1"/>
        <v>45</v>
      </c>
      <c r="H35" s="87">
        <f t="shared" si="1"/>
        <v>575</v>
      </c>
      <c r="I35" s="87">
        <f t="shared" si="1"/>
        <v>435</v>
      </c>
      <c r="J35" s="87">
        <f t="shared" si="1"/>
        <v>70</v>
      </c>
      <c r="K35" s="87">
        <f t="shared" si="1"/>
        <v>140</v>
      </c>
      <c r="L35" s="84">
        <f t="shared" si="2"/>
        <v>7180</v>
      </c>
    </row>
    <row r="36" spans="1:12">
      <c r="A36" s="70">
        <v>2025</v>
      </c>
      <c r="B36" s="87">
        <f t="shared" si="1"/>
        <v>1840</v>
      </c>
      <c r="C36" s="87">
        <f t="shared" si="1"/>
        <v>1200</v>
      </c>
      <c r="D36" s="87">
        <f t="shared" si="1"/>
        <v>2920</v>
      </c>
      <c r="E36" s="87">
        <f t="shared" si="1"/>
        <v>1130</v>
      </c>
      <c r="F36" s="87">
        <f t="shared" si="1"/>
        <v>10</v>
      </c>
      <c r="G36" s="87">
        <f t="shared" si="1"/>
        <v>75</v>
      </c>
      <c r="H36" s="87">
        <f t="shared" si="1"/>
        <v>560</v>
      </c>
      <c r="I36" s="87">
        <f t="shared" si="1"/>
        <v>435</v>
      </c>
      <c r="J36" s="87">
        <f t="shared" si="1"/>
        <v>65</v>
      </c>
      <c r="K36" s="87">
        <f t="shared" si="1"/>
        <v>135</v>
      </c>
      <c r="L36" s="84">
        <f t="shared" si="2"/>
        <v>7065</v>
      </c>
    </row>
  </sheetData>
  <pageMargins left="0.7" right="0.7" top="0.75" bottom="0.75" header="0.3" footer="0.3"/>
  <legacy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C35B4-6B4A-44E3-9A45-046F0C8B2530}">
  <sheetPr>
    <tabColor theme="9" tint="0.79998168889431442"/>
  </sheetPr>
  <dimension ref="A1:L25"/>
  <sheetViews>
    <sheetView workbookViewId="0">
      <selection activeCell="F14" sqref="F14"/>
    </sheetView>
  </sheetViews>
  <sheetFormatPr defaultColWidth="8.85546875" defaultRowHeight="14.65"/>
  <cols>
    <col min="2" max="12" width="15.42578125" customWidth="1"/>
  </cols>
  <sheetData>
    <row r="1" spans="1:12">
      <c r="A1" s="1" t="s">
        <v>488</v>
      </c>
    </row>
    <row r="2" spans="1:12">
      <c r="A2" t="s">
        <v>393</v>
      </c>
    </row>
    <row r="3" spans="1:12">
      <c r="A3" t="s">
        <v>489</v>
      </c>
    </row>
    <row r="4" spans="1:12">
      <c r="B4" s="177" t="s">
        <v>394</v>
      </c>
      <c r="C4" s="177"/>
      <c r="D4" s="177"/>
      <c r="E4" s="177"/>
      <c r="F4" s="177"/>
      <c r="G4" s="23"/>
      <c r="H4" s="177" t="s">
        <v>395</v>
      </c>
      <c r="I4" s="177"/>
      <c r="J4" s="177"/>
      <c r="K4" s="177"/>
    </row>
    <row r="5" spans="1:12" ht="43.7">
      <c r="A5" s="72" t="s">
        <v>229</v>
      </c>
      <c r="B5" s="15" t="s">
        <v>407</v>
      </c>
      <c r="C5" s="15" t="s">
        <v>408</v>
      </c>
      <c r="D5" s="15" t="s">
        <v>490</v>
      </c>
      <c r="E5" s="15" t="s">
        <v>409</v>
      </c>
      <c r="F5" s="15" t="s">
        <v>410</v>
      </c>
      <c r="G5" s="15" t="s">
        <v>412</v>
      </c>
      <c r="H5" s="15" t="s">
        <v>413</v>
      </c>
      <c r="I5" s="15" t="s">
        <v>490</v>
      </c>
      <c r="J5" s="15" t="s">
        <v>414</v>
      </c>
      <c r="K5" s="15" t="s">
        <v>415</v>
      </c>
      <c r="L5" s="15" t="s">
        <v>416</v>
      </c>
    </row>
    <row r="6" spans="1:12">
      <c r="A6" s="23">
        <v>2016</v>
      </c>
      <c r="B6" s="66"/>
      <c r="C6" s="65">
        <f>'T22'!L27</f>
        <v>7560</v>
      </c>
      <c r="D6" s="66">
        <f>(SUM('Source-fte_qualstus_x_servtype'!J7:K8,'Source-fte_qualstus_x_servtype'!J10:K10)+SUM('T22'!J27:K27)+'T22'!I27)*'Source-fte_qualstus_x_servtype'!J24</f>
        <v>9013.125</v>
      </c>
      <c r="E6" s="66"/>
      <c r="F6" s="66"/>
      <c r="G6" s="65">
        <f>'T20'!X130</f>
        <v>10315</v>
      </c>
      <c r="H6" s="66"/>
      <c r="I6" s="66">
        <f>(SUM('Source-fte_qualstus_x_servtype'!K7:K8,'Source-fte_qualstus_x_servtype'!K10)+(SUM('T22'!J27:K27)*0.7)+('T22'!I27*0.7))*'Source-fte_qualstus_x_servtype'!J24</f>
        <v>6198.6374999999998</v>
      </c>
      <c r="J6" s="66"/>
      <c r="K6" s="66"/>
      <c r="L6" s="65">
        <f>'T20'!X130</f>
        <v>10315</v>
      </c>
    </row>
    <row r="7" spans="1:12">
      <c r="A7" s="23">
        <v>2017</v>
      </c>
      <c r="B7" s="66"/>
      <c r="C7" s="65">
        <f>'T22'!L28</f>
        <v>7690</v>
      </c>
      <c r="D7" s="66">
        <f>(SUM('Source-fte_qualstus_x_servtype'!L7:M8,'Source-fte_qualstus_x_servtype'!L10:M10)+SUM('T22'!J28:K28)+'T22'!I28)*'Source-fte_qualstus_x_servtype'!J24</f>
        <v>9374.4750000000004</v>
      </c>
      <c r="E7" s="66"/>
      <c r="F7" s="66"/>
      <c r="G7" s="65">
        <f>'T20'!X131</f>
        <v>11255</v>
      </c>
      <c r="H7" s="66"/>
      <c r="I7" s="66">
        <f>(SUM('Source-fte_qualstus_x_servtype'!M7:M8,'Source-fte_qualstus_x_servtype'!M10)+(SUM('T22'!J28:K28)*0.7)+('T22'!I28*0.7))*'Source-fte_qualstus_x_servtype'!J24</f>
        <v>6260.0999999999995</v>
      </c>
      <c r="J7" s="66"/>
      <c r="K7" s="66"/>
      <c r="L7" s="65">
        <f>'T20'!X131</f>
        <v>11255</v>
      </c>
    </row>
    <row r="8" spans="1:12">
      <c r="A8" s="23">
        <v>2018</v>
      </c>
      <c r="B8" s="66"/>
      <c r="C8" s="65">
        <f>'T22'!L29</f>
        <v>7655</v>
      </c>
      <c r="D8" s="66">
        <f>(SUM('Source-fte_qualstus_x_servtype'!N7:O8,'Source-fte_qualstus_x_servtype'!N10:O10)+SUM('T22'!J29:K29)+'T22'!I29)*'Source-fte_qualstus_x_servtype'!J24</f>
        <v>9522.9750000000004</v>
      </c>
      <c r="E8" s="66"/>
      <c r="F8" s="66"/>
      <c r="G8" s="65">
        <f>'T20'!X132</f>
        <v>11470</v>
      </c>
      <c r="H8" s="66"/>
      <c r="I8" s="66">
        <f>(SUM('Source-fte_qualstus_x_servtype'!O7:O8,'Source-fte_qualstus_x_servtype'!O10:O10)+(SUM('T22'!J29:K29)*0.7)+('T22'!I29*0.7))*'Source-fte_qualstus_x_servtype'!J24</f>
        <v>6245.25</v>
      </c>
      <c r="J8" s="66"/>
      <c r="K8" s="66"/>
      <c r="L8" s="65">
        <f>'T20'!X132</f>
        <v>11470</v>
      </c>
    </row>
    <row r="9" spans="1:12">
      <c r="A9" s="23">
        <v>2019</v>
      </c>
      <c r="B9" s="66"/>
      <c r="C9" s="65">
        <f>'T22'!L30</f>
        <v>7625</v>
      </c>
      <c r="D9" s="66">
        <f>(SUM('Source-fte_qualstus_x_servtype'!P7:Q8,'Source-fte_qualstus_x_servtype'!P10:Q10)+SUM('T22'!J30:K30)+'T22'!I30)*'Source-fte_qualstus_x_servtype'!L24</f>
        <v>9704.4192000000003</v>
      </c>
      <c r="E9" s="66"/>
      <c r="F9" s="66"/>
      <c r="G9" s="65">
        <f>'T20'!X133</f>
        <v>12015</v>
      </c>
      <c r="H9" s="66"/>
      <c r="I9" s="66">
        <f>(SUM('Source-fte_qualstus_x_servtype'!Q7:Q8,'Source-fte_qualstus_x_servtype'!Q10)+(SUM('T22'!J30:K30)*0.7)+('T22'!I30*0.7))*'Source-fte_qualstus_x_servtype'!L24</f>
        <v>6372.2287999999999</v>
      </c>
      <c r="J9" s="66"/>
      <c r="K9" s="66"/>
      <c r="L9" s="65">
        <f>'T20'!X133</f>
        <v>12015</v>
      </c>
    </row>
    <row r="10" spans="1:12">
      <c r="A10" s="23">
        <v>2020</v>
      </c>
      <c r="B10" s="66"/>
      <c r="C10" s="65">
        <f>'T22'!L31</f>
        <v>7100</v>
      </c>
      <c r="D10" s="66">
        <f>(SUM('Source-fte_qualstus_x_servtype'!R7:S8,'Source-fte_qualstus_x_servtype'!R10:S10)+SUM('T22'!J31:K31)+'T22'!I31)*'Source-fte_qualstus_x_servtype'!L25</f>
        <v>9310.9657999999999</v>
      </c>
      <c r="E10" s="66"/>
      <c r="F10" s="66"/>
      <c r="G10" s="65">
        <f>'T20'!X134</f>
        <v>12625</v>
      </c>
      <c r="H10" s="66"/>
      <c r="I10" s="66">
        <f>(SUM('Source-fte_qualstus_x_servtype'!S7:S8,'Source-fte_qualstus_x_servtype'!S10)+(SUM('T22'!J31:K31)*0.7)+('T22'!I31*0.7))*'Source-fte_qualstus_x_servtype'!L25</f>
        <v>6307.7776000000003</v>
      </c>
      <c r="J10" s="66"/>
      <c r="K10" s="66"/>
      <c r="L10" s="65">
        <f>'T20'!X134</f>
        <v>12625</v>
      </c>
    </row>
    <row r="11" spans="1:12">
      <c r="A11" s="23">
        <v>2021</v>
      </c>
      <c r="B11" s="66"/>
      <c r="C11" s="65">
        <f>'T22'!L32</f>
        <v>7145</v>
      </c>
      <c r="D11" s="66">
        <f>(SUM('Source-fte_qualstus_x_servtype'!T7:U8,'Source-fte_qualstus_x_servtype'!T10:U10)+SUM('T22'!J32:K32)+'T22'!I32)*'Source-fte_qualstus_x_servtype'!L26</f>
        <v>10301.1024</v>
      </c>
      <c r="E11" s="66"/>
      <c r="F11" s="66"/>
      <c r="G11" s="65">
        <f>'T20'!X135</f>
        <v>12795</v>
      </c>
      <c r="H11" s="66"/>
      <c r="I11" s="66">
        <f>(SUM('Source-fte_qualstus_x_servtype'!U7:U8,'Source-fte_qualstus_x_servtype'!U10)+(SUM('T22'!J32:K32)*0.7)+('T22'!I32*0.7))*'Source-fte_qualstus_x_servtype'!L26</f>
        <v>6771.0762000000004</v>
      </c>
      <c r="J11" s="66"/>
      <c r="K11" s="66"/>
      <c r="L11" s="65">
        <f>'T20'!X135</f>
        <v>12795</v>
      </c>
    </row>
    <row r="12" spans="1:12">
      <c r="A12" s="23">
        <v>2022</v>
      </c>
      <c r="B12" s="66"/>
      <c r="C12" s="65">
        <f>'T22'!L33</f>
        <v>6505</v>
      </c>
      <c r="D12" s="66">
        <f>(SUM('Source-fte_qualstus_x_servtype'!V7:W8,'Source-fte_qualstus_x_servtype'!V10:W10)+SUM('T22'!J33:K33)+'T22'!I33)*'Source-fte_qualstus_x_servtype'!L27</f>
        <v>9787.4898000000012</v>
      </c>
      <c r="E12" s="66"/>
      <c r="F12" s="66"/>
      <c r="G12" s="65">
        <f>'T20'!X136</f>
        <v>12915</v>
      </c>
      <c r="H12" s="66"/>
      <c r="I12" s="66">
        <f>(SUM('Source-fte_qualstus_x_servtype'!W7:W8,'Source-fte_qualstus_x_servtype'!W10)+(SUM('T22'!J33:K33)*0.7)+('T22'!I33*0.7))*'Source-fte_qualstus_x_servtype'!L27</f>
        <v>6614.4745000000003</v>
      </c>
      <c r="J12" s="66"/>
      <c r="K12" s="66"/>
      <c r="L12" s="65">
        <f>'T20'!X136</f>
        <v>12915</v>
      </c>
    </row>
    <row r="13" spans="1:12">
      <c r="A13" s="23">
        <v>2023</v>
      </c>
      <c r="B13" s="66"/>
      <c r="C13" s="65">
        <f>'T22'!L34</f>
        <v>6990</v>
      </c>
      <c r="D13" s="66">
        <f>(SUM('Source-fte_qualstus_x_servtype'!X7:Y8,'Source-fte_qualstus_x_servtype'!X10:Y10)+SUM('T22'!J34:K34)+'T22'!I34)*'Source-fte_qualstus_x_servtype'!J25</f>
        <v>10544.092000000001</v>
      </c>
      <c r="E13" s="66"/>
      <c r="F13" s="66"/>
      <c r="G13" s="65">
        <f>'T20'!X137</f>
        <v>12910</v>
      </c>
      <c r="H13" s="66"/>
      <c r="I13" s="66">
        <f>(SUM('Source-fte_qualstus_x_servtype'!Y7:Y8,'Source-fte_qualstus_x_servtype'!Y10)+(SUM('T22'!J34:K34)*0.7)+('T22'!I34*0.7))*'Source-fte_qualstus_x_servtype'!J25</f>
        <v>7033.8959999999997</v>
      </c>
      <c r="J13" s="66"/>
      <c r="K13" s="66"/>
      <c r="L13" s="65">
        <f>'T20'!X137</f>
        <v>12910</v>
      </c>
    </row>
    <row r="14" spans="1:12">
      <c r="A14" s="23">
        <v>2024</v>
      </c>
      <c r="B14" s="66">
        <v>10459.691999999999</v>
      </c>
      <c r="C14" s="65">
        <f>'T22'!L35</f>
        <v>7180</v>
      </c>
      <c r="D14" s="66">
        <f>(SUM('Source-fte_qualstus_x_servtype'!Z7:AA8,'Source-fte_qualstus_x_servtype'!Z10:AA10)+SUM('T22'!J35:K35)+'T22'!I35)*'Source-fte_qualstus_x_servtype'!J25</f>
        <v>10459.691999999999</v>
      </c>
      <c r="E14" s="66">
        <v>10459.691999999999</v>
      </c>
      <c r="F14" s="66">
        <v>10459.691999999999</v>
      </c>
      <c r="G14" s="65">
        <f>'T20'!X138</f>
        <v>12535</v>
      </c>
      <c r="H14" s="66">
        <v>7223.3739999999998</v>
      </c>
      <c r="I14" s="66">
        <f>(SUM('Source-fte_qualstus_x_servtype'!AA7:AA8,'Source-fte_qualstus_x_servtype'!AA10)+(SUM('T22'!J35:K35)*0.7)+('T22'!I35*0.7))*'Source-fte_qualstus_x_servtype'!J25</f>
        <v>7223.3739999999998</v>
      </c>
      <c r="J14" s="66">
        <v>7223.3739999999998</v>
      </c>
      <c r="K14" s="66">
        <v>7223.3739999999998</v>
      </c>
      <c r="L14" s="65">
        <f>'T20'!X138</f>
        <v>12535</v>
      </c>
    </row>
    <row r="15" spans="1:12">
      <c r="A15" s="23">
        <v>2025</v>
      </c>
      <c r="B15" s="66">
        <f>'T18'!V84</f>
        <v>8515</v>
      </c>
      <c r="C15" s="66"/>
      <c r="D15" s="66"/>
      <c r="E15" s="66">
        <f>'T18'!V98</f>
        <v>9580</v>
      </c>
      <c r="F15" s="66">
        <f>'T18'!V112</f>
        <v>10330</v>
      </c>
      <c r="G15" s="65">
        <f>'T20'!X139</f>
        <v>12350</v>
      </c>
      <c r="H15" s="66">
        <f>'T18'!AE84</f>
        <v>5995</v>
      </c>
      <c r="I15" s="66"/>
      <c r="J15" s="66">
        <f>'T18'!AE98</f>
        <v>6740</v>
      </c>
      <c r="K15" s="66">
        <f>'T18'!AE112</f>
        <v>7275</v>
      </c>
      <c r="L15" s="65">
        <f>'T20'!X139</f>
        <v>12350</v>
      </c>
    </row>
    <row r="16" spans="1:12">
      <c r="A16" s="23">
        <v>2026</v>
      </c>
      <c r="B16" s="66">
        <f>'T18'!V85</f>
        <v>8330</v>
      </c>
      <c r="C16" s="66"/>
      <c r="D16" s="66"/>
      <c r="E16" s="66">
        <f>'T18'!V99</f>
        <v>9435</v>
      </c>
      <c r="F16" s="66">
        <f>'T18'!V113</f>
        <v>10165</v>
      </c>
      <c r="G16" s="65">
        <f>'T20'!X104</f>
        <v>12195</v>
      </c>
      <c r="H16" s="66">
        <f>'T18'!AE85</f>
        <v>5865</v>
      </c>
      <c r="I16" s="66"/>
      <c r="J16" s="66">
        <f>'T18'!AE99</f>
        <v>6645</v>
      </c>
      <c r="K16" s="66">
        <f>'T18'!AE113</f>
        <v>7155</v>
      </c>
      <c r="L16" s="65">
        <f>'T20'!X104</f>
        <v>12195</v>
      </c>
    </row>
    <row r="17" spans="1:12">
      <c r="A17" s="23">
        <v>2027</v>
      </c>
      <c r="B17" s="66">
        <f>'T18'!V86</f>
        <v>8155</v>
      </c>
      <c r="C17" s="66"/>
      <c r="D17" s="66"/>
      <c r="E17" s="66">
        <f>'T18'!V100</f>
        <v>9300</v>
      </c>
      <c r="F17" s="66">
        <f>'T18'!V114</f>
        <v>10040</v>
      </c>
      <c r="G17" s="65">
        <f>'T20'!X105</f>
        <v>12255</v>
      </c>
      <c r="H17" s="66">
        <f>'T18'!AE86</f>
        <v>5740</v>
      </c>
      <c r="I17" s="66"/>
      <c r="J17" s="66">
        <f>'T18'!AE100</f>
        <v>6550</v>
      </c>
      <c r="K17" s="66">
        <f>'T18'!AE114</f>
        <v>7065</v>
      </c>
      <c r="L17" s="65">
        <f>'T20'!X105</f>
        <v>12255</v>
      </c>
    </row>
    <row r="18" spans="1:12">
      <c r="A18" s="23">
        <v>2028</v>
      </c>
      <c r="B18" s="66">
        <f>'T18'!V87</f>
        <v>8160</v>
      </c>
      <c r="C18" s="66"/>
      <c r="D18" s="66"/>
      <c r="E18" s="66">
        <f>'T18'!V101</f>
        <v>9400</v>
      </c>
      <c r="F18" s="66">
        <f>'T18'!V115</f>
        <v>10140</v>
      </c>
      <c r="G18" s="65">
        <f>'T20'!X106</f>
        <v>12335</v>
      </c>
      <c r="H18" s="66">
        <f>'T18'!AE87</f>
        <v>5745</v>
      </c>
      <c r="I18" s="66"/>
      <c r="J18" s="66">
        <f>'T18'!AE101</f>
        <v>6615</v>
      </c>
      <c r="K18" s="66">
        <f>'T18'!AE115</f>
        <v>7135</v>
      </c>
      <c r="L18" s="65">
        <f>'T20'!X106</f>
        <v>12335</v>
      </c>
    </row>
    <row r="19" spans="1:12">
      <c r="A19" s="23">
        <v>2029</v>
      </c>
      <c r="B19" s="66">
        <f>'T18'!V88</f>
        <v>8160</v>
      </c>
      <c r="C19" s="66"/>
      <c r="D19" s="66"/>
      <c r="E19" s="66">
        <f>'T18'!V102</f>
        <v>9495</v>
      </c>
      <c r="F19" s="66">
        <f>'T18'!V116</f>
        <v>10250</v>
      </c>
      <c r="G19" s="65">
        <f>'T20'!X107</f>
        <v>12435</v>
      </c>
      <c r="H19" s="66">
        <f>'T18'!AE88</f>
        <v>5745</v>
      </c>
      <c r="I19" s="66"/>
      <c r="J19" s="66">
        <f>'T18'!AE102</f>
        <v>6685</v>
      </c>
      <c r="K19" s="66">
        <f>'T18'!AE116</f>
        <v>7220</v>
      </c>
      <c r="L19" s="65">
        <f>'T20'!X107</f>
        <v>12435</v>
      </c>
    </row>
    <row r="20" spans="1:12">
      <c r="A20" s="23">
        <v>2030</v>
      </c>
      <c r="B20" s="66">
        <f>'T18'!V89</f>
        <v>8125</v>
      </c>
      <c r="C20" s="66"/>
      <c r="D20" s="66"/>
      <c r="E20" s="66">
        <f>'T18'!V103</f>
        <v>9550</v>
      </c>
      <c r="F20" s="66">
        <f>'T18'!V117</f>
        <v>10295</v>
      </c>
      <c r="G20" s="65">
        <f>'T20'!X108</f>
        <v>12560</v>
      </c>
      <c r="H20" s="66">
        <f>'T18'!AE89</f>
        <v>5720</v>
      </c>
      <c r="I20" s="66"/>
      <c r="J20" s="66">
        <f>'T18'!AE103</f>
        <v>6725</v>
      </c>
      <c r="K20" s="66">
        <f>'T18'!AE117</f>
        <v>7245</v>
      </c>
      <c r="L20" s="65">
        <f>'T20'!X108</f>
        <v>12560</v>
      </c>
    </row>
    <row r="21" spans="1:12">
      <c r="A21" s="23">
        <v>2031</v>
      </c>
      <c r="B21" s="66">
        <f>'T18'!V90</f>
        <v>8105</v>
      </c>
      <c r="C21" s="66"/>
      <c r="D21" s="66"/>
      <c r="E21" s="66">
        <f>'T18'!V104</f>
        <v>9590</v>
      </c>
      <c r="F21" s="66">
        <f>'T18'!V118</f>
        <v>10345</v>
      </c>
      <c r="G21" s="65">
        <f>'T20'!X109</f>
        <v>12695</v>
      </c>
      <c r="H21" s="66">
        <f>'T18'!AE90</f>
        <v>5710</v>
      </c>
      <c r="I21" s="66"/>
      <c r="J21" s="66">
        <f>'T18'!AE104</f>
        <v>6755</v>
      </c>
      <c r="K21" s="66">
        <f>'T18'!AE118</f>
        <v>7285</v>
      </c>
      <c r="L21" s="65">
        <f>'T20'!X109</f>
        <v>12695</v>
      </c>
    </row>
    <row r="22" spans="1:12">
      <c r="A22" s="23">
        <v>2032</v>
      </c>
      <c r="B22" s="66">
        <f>'T18'!V91</f>
        <v>8080</v>
      </c>
      <c r="C22" s="66"/>
      <c r="D22" s="66"/>
      <c r="E22" s="66">
        <f>'T18'!V105</f>
        <v>9630</v>
      </c>
      <c r="F22" s="66">
        <f>'T18'!V119</f>
        <v>10390</v>
      </c>
      <c r="G22" s="65">
        <f>'T20'!X110</f>
        <v>12855</v>
      </c>
      <c r="H22" s="66">
        <f>'T18'!AE91</f>
        <v>5685</v>
      </c>
      <c r="I22" s="66"/>
      <c r="J22" s="66">
        <f>'T18'!AE105</f>
        <v>6785</v>
      </c>
      <c r="K22" s="66">
        <f>'T18'!AE119</f>
        <v>7315</v>
      </c>
      <c r="L22" s="65">
        <f>'T20'!X110</f>
        <v>12855</v>
      </c>
    </row>
    <row r="23" spans="1:12">
      <c r="A23" s="23">
        <v>2033</v>
      </c>
      <c r="B23" s="66">
        <f>'T18'!V92</f>
        <v>8060</v>
      </c>
      <c r="C23" s="66"/>
      <c r="D23" s="66"/>
      <c r="E23" s="66">
        <f>'T18'!V106</f>
        <v>9675</v>
      </c>
      <c r="F23" s="66">
        <f>'T18'!V120</f>
        <v>10435</v>
      </c>
      <c r="G23" s="65">
        <f>'T20'!X111</f>
        <v>13010</v>
      </c>
      <c r="H23" s="66">
        <f>'T18'!AE92</f>
        <v>5670</v>
      </c>
      <c r="I23" s="66"/>
      <c r="J23" s="66">
        <f>'T18'!AE106</f>
        <v>6815</v>
      </c>
      <c r="K23" s="66">
        <f>'T18'!AE120</f>
        <v>7345</v>
      </c>
      <c r="L23" s="65">
        <f>'T20'!X111</f>
        <v>13010</v>
      </c>
    </row>
    <row r="24" spans="1:12">
      <c r="A24" s="23">
        <v>2034</v>
      </c>
      <c r="B24" s="66">
        <f>'T18'!V93</f>
        <v>8060</v>
      </c>
      <c r="C24" s="66"/>
      <c r="D24" s="66"/>
      <c r="E24" s="66">
        <f>'T18'!V107</f>
        <v>9715</v>
      </c>
      <c r="F24" s="66">
        <f>'T18'!V121</f>
        <v>10480</v>
      </c>
      <c r="G24" s="65">
        <f>'T20'!X112</f>
        <v>13190</v>
      </c>
      <c r="H24" s="66">
        <f>'T18'!AE93</f>
        <v>5670</v>
      </c>
      <c r="I24" s="66"/>
      <c r="J24" s="66">
        <f>'T18'!AE107</f>
        <v>6840</v>
      </c>
      <c r="K24" s="66">
        <f>'T18'!AE121</f>
        <v>7375</v>
      </c>
      <c r="L24" s="65">
        <f>'T20'!X112</f>
        <v>13190</v>
      </c>
    </row>
    <row r="25" spans="1:12">
      <c r="A25" s="23">
        <v>2035</v>
      </c>
      <c r="B25" s="66">
        <f>'T18'!V94</f>
        <v>8060</v>
      </c>
      <c r="C25" s="66"/>
      <c r="D25" s="66"/>
      <c r="E25" s="66">
        <f>'T18'!V108</f>
        <v>9765</v>
      </c>
      <c r="F25" s="66">
        <f>'T18'!V122</f>
        <v>10550</v>
      </c>
      <c r="G25" s="65">
        <f>'T20'!X113</f>
        <v>13385</v>
      </c>
      <c r="H25" s="66">
        <f>'T18'!AE94</f>
        <v>5670</v>
      </c>
      <c r="I25" s="66"/>
      <c r="J25" s="66">
        <f>'T18'!AE108</f>
        <v>6875</v>
      </c>
      <c r="K25" s="66">
        <f>'T18'!AE122</f>
        <v>7430</v>
      </c>
      <c r="L25" s="65">
        <f>'T20'!X113</f>
        <v>13385</v>
      </c>
    </row>
  </sheetData>
  <mergeCells count="2">
    <mergeCell ref="B4:F4"/>
    <mergeCell ref="H4:K4"/>
  </mergeCells>
  <pageMargins left="0.7" right="0.7" top="0.75" bottom="0.75" header="0.3" footer="0.3"/>
  <legacy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F5A2C-A730-4A32-B233-718D077ABF5B}">
  <dimension ref="A1:B10"/>
  <sheetViews>
    <sheetView workbookViewId="0">
      <selection activeCell="B11" sqref="B11"/>
    </sheetView>
  </sheetViews>
  <sheetFormatPr defaultColWidth="8.85546875" defaultRowHeight="14.65"/>
  <cols>
    <col min="1" max="1" width="2.28515625" customWidth="1"/>
    <col min="2" max="2" width="161.140625" customWidth="1"/>
  </cols>
  <sheetData>
    <row r="1" spans="1:2">
      <c r="A1" s="1" t="s">
        <v>491</v>
      </c>
    </row>
    <row r="2" spans="1:2" ht="6" customHeight="1"/>
    <row r="3" spans="1:2">
      <c r="B3" t="s">
        <v>492</v>
      </c>
    </row>
    <row r="4" spans="1:2">
      <c r="B4" t="s">
        <v>493</v>
      </c>
    </row>
    <row r="5" spans="1:2">
      <c r="B5" t="s">
        <v>494</v>
      </c>
    </row>
    <row r="6" spans="1:2">
      <c r="B6" t="s">
        <v>495</v>
      </c>
    </row>
    <row r="7" spans="1:2">
      <c r="B7" t="s">
        <v>496</v>
      </c>
    </row>
    <row r="8" spans="1:2">
      <c r="B8" t="s">
        <v>497</v>
      </c>
    </row>
    <row r="9" spans="1:2">
      <c r="B9" t="s">
        <v>498</v>
      </c>
    </row>
    <row r="10" spans="1:2">
      <c r="B10" t="s">
        <v>499</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82901-627A-4127-9888-9C92F77B5ADB}">
  <dimension ref="A1:O181"/>
  <sheetViews>
    <sheetView workbookViewId="0">
      <selection activeCell="E2" sqref="E2"/>
    </sheetView>
  </sheetViews>
  <sheetFormatPr defaultColWidth="8.85546875" defaultRowHeight="14.65"/>
  <cols>
    <col min="1" max="1" width="6.85546875" bestFit="1" customWidth="1"/>
    <col min="2" max="2" width="24.140625" bestFit="1" customWidth="1"/>
    <col min="3" max="3" width="21.28515625" customWidth="1"/>
    <col min="4" max="4" width="32.7109375" customWidth="1"/>
    <col min="5" max="5" width="23.28515625" customWidth="1"/>
    <col min="6" max="6" width="22.140625" bestFit="1" customWidth="1"/>
    <col min="7" max="7" width="19.42578125" bestFit="1" customWidth="1"/>
    <col min="8" max="9" width="23.28515625" style="2" customWidth="1"/>
    <col min="11" max="11" width="24.140625" bestFit="1" customWidth="1"/>
    <col min="14" max="14" width="9" customWidth="1"/>
  </cols>
  <sheetData>
    <row r="1" spans="1:15">
      <c r="A1" t="s">
        <v>229</v>
      </c>
      <c r="B1" t="s">
        <v>500</v>
      </c>
      <c r="C1" t="s">
        <v>501</v>
      </c>
      <c r="D1" t="s">
        <v>502</v>
      </c>
      <c r="E1" t="s">
        <v>503</v>
      </c>
      <c r="F1" t="s">
        <v>504</v>
      </c>
      <c r="G1" t="s">
        <v>505</v>
      </c>
      <c r="H1" s="2" t="s">
        <v>506</v>
      </c>
      <c r="I1" s="2" t="s">
        <v>507</v>
      </c>
      <c r="K1" t="s">
        <v>508</v>
      </c>
    </row>
    <row r="2" spans="1:15">
      <c r="A2">
        <v>2016</v>
      </c>
      <c r="B2" t="s">
        <v>467</v>
      </c>
      <c r="C2">
        <v>1589800</v>
      </c>
      <c r="D2">
        <v>4714100</v>
      </c>
      <c r="E2">
        <v>0.33724358838378499</v>
      </c>
      <c r="F2" t="str">
        <f>IF(Table6_1[[#This Row],[% of national population]]&gt;E1,"Up","Down")</f>
        <v>Down</v>
      </c>
      <c r="H2" s="2" t="str">
        <f>IF(Table6_1[[#This Row],[Region]]=B1,Table6_1[[#This Row],[% of national population]]-E1,"")</f>
        <v/>
      </c>
      <c r="K2" t="s">
        <v>500</v>
      </c>
      <c r="L2" t="s">
        <v>240</v>
      </c>
      <c r="M2" t="s">
        <v>241</v>
      </c>
      <c r="N2" t="s">
        <v>242</v>
      </c>
      <c r="O2" t="s">
        <v>243</v>
      </c>
    </row>
    <row r="3" spans="1:15">
      <c r="A3">
        <v>2017</v>
      </c>
      <c r="B3" t="s">
        <v>467</v>
      </c>
      <c r="C3">
        <v>1625100</v>
      </c>
      <c r="D3">
        <v>4813600</v>
      </c>
      <c r="E3">
        <v>0.33760594980887498</v>
      </c>
      <c r="F3" t="str">
        <f>IF(Table6_1[[#This Row],[% of national population]]&gt;E2,"Up","Down")</f>
        <v>Up</v>
      </c>
      <c r="H3" s="2">
        <f>IF(Table6_1[[#This Row],[Region]]=B2,Table6_1[[#This Row],[% of national population]]-E2,"")</f>
        <v>3.6236142508999647E-4</v>
      </c>
      <c r="K3" s="152" t="s">
        <v>509</v>
      </c>
      <c r="L3" s="3">
        <f>_xlfn.MINIFS(Table6_1[% of national population],Table6_1[Region],Table9[[#This Row],[Region]])</f>
        <v>3.7419655925839498E-2</v>
      </c>
      <c r="M3" s="3">
        <f>AVERAGEIF(Table6_1[Region],Table9[[#This Row],[Region]],Table6_1[% of national population])</f>
        <v>3.7985022727566084E-2</v>
      </c>
      <c r="N3" s="3" cm="1">
        <f t="array" ref="N3">MEDIAN(IF(Table6_1[Region]=Table9[[#This Row],[Region]],Table6_1[% of national population]))</f>
        <v>3.7898261290793697E-2</v>
      </c>
      <c r="O3" s="3">
        <f>_xlfn.MAXIFS(Table6_1[% of national population],Table6_1[Region],Table9[[#This Row],[Region]])</f>
        <v>3.8766554499478502E-2</v>
      </c>
    </row>
    <row r="4" spans="1:15">
      <c r="A4">
        <v>2018</v>
      </c>
      <c r="B4" t="s">
        <v>467</v>
      </c>
      <c r="C4">
        <v>1654800</v>
      </c>
      <c r="D4">
        <v>4900600</v>
      </c>
      <c r="E4">
        <v>0.33767293800759102</v>
      </c>
      <c r="F4" t="str">
        <f>IF(Table6_1[[#This Row],[% of national population]]&gt;E3,"Up","Down")</f>
        <v>Up</v>
      </c>
      <c r="H4" s="2">
        <f>IF(Table6_1[[#This Row],[Region]]=B3,Table6_1[[#This Row],[% of national population]]-E3,"")</f>
        <v>6.6988198716033676E-5</v>
      </c>
      <c r="K4" s="152" t="s">
        <v>467</v>
      </c>
      <c r="L4" s="3">
        <f>_xlfn.MINIFS(Table6_1[% of national population],Table6_1[Region],Table9[[#This Row],[Region]])</f>
        <v>0.33343172560363699</v>
      </c>
      <c r="M4" s="3">
        <f>AVERAGEIF(Table6_1[Region],Table9[[#This Row],[Region]],Table6_1[% of national population])</f>
        <v>0.33752388157944557</v>
      </c>
      <c r="N4" s="3" cm="1">
        <f t="array" ref="N4">MEDIAN(IF(Table6_1[Region]=Table9[[#This Row],[Region]],Table6_1[% of national population]))</f>
        <v>0.33757220567366852</v>
      </c>
      <c r="O4" s="3">
        <f>_xlfn.MAXIFS(Table6_1[% of national population],Table6_1[Region],Table9[[#This Row],[Region]])</f>
        <v>0.34105207805134602</v>
      </c>
    </row>
    <row r="5" spans="1:15">
      <c r="A5">
        <v>2019</v>
      </c>
      <c r="B5" t="s">
        <v>467</v>
      </c>
      <c r="C5">
        <v>1680500</v>
      </c>
      <c r="D5">
        <v>4970300</v>
      </c>
      <c r="E5">
        <v>0.33810836368026098</v>
      </c>
      <c r="F5" t="str">
        <f>IF(Table6_1[[#This Row],[% of national population]]&gt;E4,"Up","Down")</f>
        <v>Up</v>
      </c>
      <c r="H5" s="2">
        <f>IF(Table6_1[[#This Row],[Region]]=B4,Table6_1[[#This Row],[% of national population]]-E4,"")</f>
        <v>4.3542567266996457E-4</v>
      </c>
      <c r="K5" s="152" t="s">
        <v>510</v>
      </c>
      <c r="L5" s="3">
        <f>_xlfn.MINIFS(Table6_1[% of national population],Table6_1[Region],Table9[[#This Row],[Region]])</f>
        <v>9.6052268725737702E-2</v>
      </c>
      <c r="M5" s="3">
        <f>AVERAGEIF(Table6_1[Region],Table9[[#This Row],[Region]],Table6_1[% of national population])</f>
        <v>9.8173086682317653E-2</v>
      </c>
      <c r="N5" s="3" cm="1">
        <f t="array" ref="N5">MEDIAN(IF(Table6_1[Region]=Table9[[#This Row],[Region]],Table6_1[% of national population]))</f>
        <v>9.82470763128835E-2</v>
      </c>
      <c r="O5" s="3">
        <f>_xlfn.MAXIFS(Table6_1[% of national population],Table6_1[Region],Table9[[#This Row],[Region]])</f>
        <v>9.9930512517137096E-2</v>
      </c>
    </row>
    <row r="6" spans="1:15">
      <c r="A6">
        <v>2020</v>
      </c>
      <c r="B6" t="s">
        <v>467</v>
      </c>
      <c r="C6">
        <v>1712000</v>
      </c>
      <c r="D6">
        <v>5072400</v>
      </c>
      <c r="E6">
        <v>0.33751281444681003</v>
      </c>
      <c r="F6" t="str">
        <f>IF(Table6_1[[#This Row],[% of national population]]&gt;E5,"Up","Down")</f>
        <v>Down</v>
      </c>
      <c r="H6" s="2">
        <f>IF(Table6_1[[#This Row],[Region]]=B5,Table6_1[[#This Row],[% of national population]]-E5,"")</f>
        <v>-5.9554923345095379E-4</v>
      </c>
      <c r="K6" s="152" t="s">
        <v>511</v>
      </c>
      <c r="L6" s="3">
        <f>_xlfn.MINIFS(Table6_1[% of national population],Table6_1[Region],Table9[[#This Row],[Region]])</f>
        <v>6.3957064975286901E-2</v>
      </c>
      <c r="M6" s="3">
        <f>AVERAGEIF(Table6_1[Region],Table9[[#This Row],[Region]],Table6_1[% of national population])</f>
        <v>6.5921730907565784E-2</v>
      </c>
      <c r="N6" s="3" cm="1">
        <f t="array" ref="N6">MEDIAN(IF(Table6_1[Region]=Table9[[#This Row],[Region]],Table6_1[% of national population]))</f>
        <v>6.6135098783310503E-2</v>
      </c>
      <c r="O6" s="3">
        <f>_xlfn.MAXIFS(Table6_1[% of national population],Table6_1[Region],Table9[[#This Row],[Region]])</f>
        <v>6.7103528346813102E-2</v>
      </c>
    </row>
    <row r="7" spans="1:15">
      <c r="A7">
        <v>2021</v>
      </c>
      <c r="B7" t="s">
        <v>467</v>
      </c>
      <c r="C7">
        <v>1704000</v>
      </c>
      <c r="D7">
        <v>5084600</v>
      </c>
      <c r="E7">
        <v>0.33512960704873501</v>
      </c>
      <c r="F7" t="str">
        <f>IF(Table6_1[[#This Row],[% of national population]]&gt;E6,"Up","Down")</f>
        <v>Down</v>
      </c>
      <c r="H7" s="2">
        <f>IF(Table6_1[[#This Row],[Region]]=B6,Table6_1[[#This Row],[% of national population]]-E6,"")</f>
        <v>-2.3832073980750157E-3</v>
      </c>
      <c r="K7" s="152" t="s">
        <v>512</v>
      </c>
      <c r="L7" s="3">
        <f>_xlfn.MINIFS(Table6_1[% of national population],Table6_1[Region],Table9[[#This Row],[Region]])</f>
        <v>9.8972712077675697E-3</v>
      </c>
      <c r="M7" s="3">
        <f>AVERAGEIF(Table6_1[Region],Table9[[#This Row],[Region]],Table6_1[% of national population])</f>
        <v>1.0122460831948956E-2</v>
      </c>
      <c r="N7" s="3" cm="1">
        <f t="array" ref="N7">MEDIAN(IF(Table6_1[Region]=Table9[[#This Row],[Region]],Table6_1[% of national population]))</f>
        <v>1.01266918604309E-2</v>
      </c>
      <c r="O7" s="3">
        <f>_xlfn.MAXIFS(Table6_1[% of national population],Table6_1[Region],Table9[[#This Row],[Region]])</f>
        <v>1.0351922954540601E-2</v>
      </c>
    </row>
    <row r="8" spans="1:15">
      <c r="A8">
        <v>2022</v>
      </c>
      <c r="B8" t="s">
        <v>467</v>
      </c>
      <c r="C8">
        <v>1694400</v>
      </c>
      <c r="D8">
        <v>5081700</v>
      </c>
      <c r="E8">
        <v>0.33343172560363699</v>
      </c>
      <c r="F8" t="str">
        <f>IF(Table6_1[[#This Row],[% of national population]]&gt;E7,"Up","Down")</f>
        <v>Down</v>
      </c>
      <c r="H8" s="2">
        <f>IF(Table6_1[[#This Row],[Region]]=B7,Table6_1[[#This Row],[% of national population]]-E7,"")</f>
        <v>-1.6978814450980262E-3</v>
      </c>
      <c r="K8" s="152" t="s">
        <v>513</v>
      </c>
      <c r="L8" s="3">
        <f>_xlfn.MINIFS(Table6_1[% of national population],Table6_1[Region],Table9[[#This Row],[Region]])</f>
        <v>3.3748380190433303E-2</v>
      </c>
      <c r="M8" s="3">
        <f>AVERAGEIF(Table6_1[Region],Table9[[#This Row],[Region]],Table6_1[% of national population])</f>
        <v>3.4807323886483263E-2</v>
      </c>
      <c r="N8" s="3" cm="1">
        <f t="array" ref="N8">MEDIAN(IF(Table6_1[Region]=Table9[[#This Row],[Region]],Table6_1[% of national population]))</f>
        <v>3.5000669495736603E-2</v>
      </c>
      <c r="O8" s="3">
        <f>_xlfn.MAXIFS(Table6_1[% of national population],Table6_1[Region],Table9[[#This Row],[Region]])</f>
        <v>3.5404425022803901E-2</v>
      </c>
    </row>
    <row r="9" spans="1:15">
      <c r="A9">
        <v>2023</v>
      </c>
      <c r="B9" t="s">
        <v>467</v>
      </c>
      <c r="C9">
        <v>1755200</v>
      </c>
      <c r="D9">
        <v>5200000</v>
      </c>
      <c r="E9">
        <v>0.33753846153846201</v>
      </c>
      <c r="F9" t="str">
        <f>IF(Table6_1[[#This Row],[% of national population]]&gt;E8,"Up","Down")</f>
        <v>Up</v>
      </c>
      <c r="H9" s="2">
        <f>IF(Table6_1[[#This Row],[Region]]=B8,Table6_1[[#This Row],[% of national population]]-E8,"")</f>
        <v>4.1067359348250232E-3</v>
      </c>
      <c r="K9" s="152" t="s">
        <v>514</v>
      </c>
      <c r="L9" s="3">
        <f>_xlfn.MINIFS(Table6_1[% of national population],Table6_1[Region],Table9[[#This Row],[Region]])</f>
        <v>2.4470862208199499E-2</v>
      </c>
      <c r="M9" s="3">
        <f>AVERAGEIF(Table6_1[Region],Table9[[#This Row],[Region]],Table6_1[% of national population])</f>
        <v>2.4820398459491379E-2</v>
      </c>
      <c r="N9" s="3" cm="1">
        <f t="array" ref="N9">MEDIAN(IF(Table6_1[Region]=Table9[[#This Row],[Region]],Table6_1[% of national population]))</f>
        <v>2.4825866028826603E-2</v>
      </c>
      <c r="O9" s="3">
        <f>_xlfn.MAXIFS(Table6_1[% of national population],Table6_1[Region],Table9[[#This Row],[Region]])</f>
        <v>2.5137353895759499E-2</v>
      </c>
    </row>
    <row r="10" spans="1:15">
      <c r="A10">
        <v>2024</v>
      </c>
      <c r="B10" t="s">
        <v>467</v>
      </c>
      <c r="C10">
        <v>1798300</v>
      </c>
      <c r="D10">
        <v>5290000</v>
      </c>
      <c r="E10">
        <v>0.33994328922495298</v>
      </c>
      <c r="F10" t="str">
        <f>IF(Table6_1[[#This Row],[% of national population]]&gt;E9,"Up","Down")</f>
        <v>Up</v>
      </c>
      <c r="H10" s="2">
        <f>IF(Table6_1[[#This Row],[Region]]=B9,Table6_1[[#This Row],[% of national population]]-E9,"")</f>
        <v>2.4048276864909734E-3</v>
      </c>
      <c r="K10" s="152" t="s">
        <v>515</v>
      </c>
      <c r="L10" s="3">
        <f>_xlfn.MINIFS(Table6_1[% of national population],Table6_1[Region],Table9[[#This Row],[Region]])</f>
        <v>4.8960504817172797E-2</v>
      </c>
      <c r="M10" s="3">
        <f>AVERAGEIF(Table6_1[Region],Table9[[#This Row],[Region]],Table6_1[% of national population])</f>
        <v>5.0093061338236454E-2</v>
      </c>
      <c r="N10" s="3" cm="1">
        <f t="array" ref="N10">MEDIAN(IF(Table6_1[Region]=Table9[[#This Row],[Region]],Table6_1[% of national population]))</f>
        <v>5.0224771903182697E-2</v>
      </c>
      <c r="O10" s="3">
        <f>_xlfn.MAXIFS(Table6_1[% of national population],Table6_1[Region],Table9[[#This Row],[Region]])</f>
        <v>5.1144439023355498E-2</v>
      </c>
    </row>
    <row r="11" spans="1:15">
      <c r="A11">
        <v>2025</v>
      </c>
      <c r="B11" t="s">
        <v>467</v>
      </c>
      <c r="C11">
        <v>1816000</v>
      </c>
      <c r="D11">
        <v>5324700</v>
      </c>
      <c r="E11">
        <v>0.34105207805134602</v>
      </c>
      <c r="F11" t="str">
        <f>IF(Table6_1[[#This Row],[% of national population]]&gt;E10,"Up","Down")</f>
        <v>Up</v>
      </c>
      <c r="G11" t="str">
        <f>IF(Table6_1[[#This Row],[% of national population]]&gt;E2,"Up","Down")</f>
        <v>Up</v>
      </c>
      <c r="H11" s="2">
        <f>IF(Table6_1[[#This Row],[Region]]=B10,Table6_1[[#This Row],[% of national population]]-E10,"")</f>
        <v>1.1087888263930368E-3</v>
      </c>
      <c r="I11" s="2">
        <f>IF(Table6_1[[#This Row],[Region]]=B2,Table6_1[[#This Row],[% of national population]]-E2,"")</f>
        <v>3.8084896675610325E-3</v>
      </c>
      <c r="K11" s="152" t="s">
        <v>516</v>
      </c>
      <c r="L11" s="3">
        <f>_xlfn.MINIFS(Table6_1[% of national population],Table6_1[Region],Table9[[#This Row],[Region]])</f>
        <v>0.102052697804571</v>
      </c>
      <c r="M11" s="3">
        <f>AVERAGEIF(Table6_1[Region],Table9[[#This Row],[Region]],Table6_1[% of national population])</f>
        <v>0.10549369658487948</v>
      </c>
      <c r="N11" s="3" cm="1">
        <f t="array" ref="N11">MEDIAN(IF(Table6_1[Region]=Table9[[#This Row],[Region]],Table6_1[% of national population]))</f>
        <v>0.1058582526262685</v>
      </c>
      <c r="O11" s="3">
        <f>_xlfn.MAXIFS(Table6_1[% of national population],Table6_1[Region],Table9[[#This Row],[Region]])</f>
        <v>0.108334570755818</v>
      </c>
    </row>
    <row r="12" spans="1:15">
      <c r="A12">
        <v>2016</v>
      </c>
      <c r="B12" t="s">
        <v>511</v>
      </c>
      <c r="C12">
        <v>301500</v>
      </c>
      <c r="D12">
        <v>4714100</v>
      </c>
      <c r="E12">
        <v>6.3957064975286901E-2</v>
      </c>
      <c r="F12" t="str">
        <f>IF(Table6_1[[#This Row],[% of national population]]&gt;E11,"Up","Down")</f>
        <v>Down</v>
      </c>
      <c r="H12" s="2" t="str">
        <f>IF(Table6_1[[#This Row],[Region]]=B11,Table6_1[[#This Row],[% of national population]]-E11,"")</f>
        <v/>
      </c>
      <c r="I12" s="2" t="str">
        <f>IF(Table6_1[[#This Row],[Region]]=B3,Table6_1[[#This Row],[% of national population]]-E3,"")</f>
        <v/>
      </c>
      <c r="K12" s="152" t="s">
        <v>517</v>
      </c>
      <c r="L12" s="3">
        <f>_xlfn.MINIFS(Table6_1[% of national population],Table6_1[Region],Table9[[#This Row],[Region]])</f>
        <v>1.1009524617636501E-2</v>
      </c>
      <c r="M12" s="3">
        <f>AVERAGEIF(Table6_1[Region],Table9[[#This Row],[Region]],Table6_1[% of national population])</f>
        <v>1.1214121048569888E-2</v>
      </c>
      <c r="N12" s="3" cm="1">
        <f t="array" ref="N12">MEDIAN(IF(Table6_1[Region]=Table9[[#This Row],[Region]],Table6_1[% of national population]))</f>
        <v>1.126308662822185E-2</v>
      </c>
      <c r="O12" s="3">
        <f>_xlfn.MAXIFS(Table6_1[% of national population],Table6_1[Region],Table9[[#This Row],[Region]])</f>
        <v>1.1492217171419E-2</v>
      </c>
    </row>
    <row r="13" spans="1:15">
      <c r="A13">
        <v>2017</v>
      </c>
      <c r="B13" t="s">
        <v>511</v>
      </c>
      <c r="C13">
        <v>311500</v>
      </c>
      <c r="D13">
        <v>4813600</v>
      </c>
      <c r="E13">
        <v>6.4712481302974897E-2</v>
      </c>
      <c r="F13" t="str">
        <f>IF(Table6_1[[#This Row],[% of national population]]&gt;E12,"Up","Down")</f>
        <v>Up</v>
      </c>
      <c r="H13" s="2">
        <f>IF(Table6_1[[#This Row],[Region]]=B12,Table6_1[[#This Row],[% of national population]]-E12,"")</f>
        <v>7.554163276879966E-4</v>
      </c>
      <c r="I13" s="2" t="str">
        <f>IF(Table6_1[[#This Row],[Region]]=B4,Table6_1[[#This Row],[% of national population]]-E4,"")</f>
        <v/>
      </c>
      <c r="K13" s="152" t="s">
        <v>518</v>
      </c>
      <c r="L13" s="3">
        <f>_xlfn.MINIFS(Table6_1[% of national population],Table6_1[Region],Table9[[#This Row],[Region]])</f>
        <v>1.01977576201476E-2</v>
      </c>
      <c r="M13" s="3">
        <f>AVERAGEIF(Table6_1[Region],Table9[[#This Row],[Region]],Table6_1[% of national population])</f>
        <v>1.0609715193988659E-2</v>
      </c>
      <c r="N13" s="3" cm="1">
        <f t="array" ref="N13">MEDIAN(IF(Table6_1[Region]=Table9[[#This Row],[Region]],Table6_1[% of national population]))</f>
        <v>1.0671775469998649E-2</v>
      </c>
      <c r="O13" s="3">
        <f>_xlfn.MAXIFS(Table6_1[% of national population],Table6_1[Region],Table9[[#This Row],[Region]])</f>
        <v>1.09034598332662E-2</v>
      </c>
    </row>
    <row r="14" spans="1:15">
      <c r="A14">
        <v>2018</v>
      </c>
      <c r="B14" t="s">
        <v>511</v>
      </c>
      <c r="C14">
        <v>320800</v>
      </c>
      <c r="D14">
        <v>4900600</v>
      </c>
      <c r="E14">
        <v>6.5461372076888499E-2</v>
      </c>
      <c r="F14" t="str">
        <f>IF(Table6_1[[#This Row],[% of national population]]&gt;E13,"Up","Down")</f>
        <v>Up</v>
      </c>
      <c r="H14" s="2">
        <f>IF(Table6_1[[#This Row],[Region]]=B13,Table6_1[[#This Row],[% of national population]]-E13,"")</f>
        <v>7.4889077391360193E-4</v>
      </c>
      <c r="I14" s="2" t="str">
        <f>IF(Table6_1[[#This Row],[Region]]=B5,Table6_1[[#This Row],[% of national population]]-E5,"")</f>
        <v/>
      </c>
      <c r="K14" s="152" t="s">
        <v>519</v>
      </c>
      <c r="L14" s="3">
        <f>_xlfn.MINIFS(Table6_1[% of national population],Table6_1[Region],Table9[[#This Row],[Region]])</f>
        <v>9.5404435930662793E-3</v>
      </c>
      <c r="M14" s="3">
        <f>AVERAGEIF(Table6_1[Region],Table9[[#This Row],[Region]],Table6_1[% of national population])</f>
        <v>9.8652574495091301E-3</v>
      </c>
      <c r="N14" s="3" cm="1">
        <f t="array" ref="N14">MEDIAN(IF(Table6_1[Region]=Table9[[#This Row],[Region]],Table6_1[% of national population]))</f>
        <v>9.9375889834567507E-3</v>
      </c>
      <c r="O14" s="3">
        <f>_xlfn.MAXIFS(Table6_1[% of national population],Table6_1[Region],Table9[[#This Row],[Region]])</f>
        <v>1.0014983045501099E-2</v>
      </c>
    </row>
    <row r="15" spans="1:15">
      <c r="A15">
        <v>2019</v>
      </c>
      <c r="B15" t="s">
        <v>511</v>
      </c>
      <c r="C15">
        <v>327100</v>
      </c>
      <c r="D15">
        <v>4970300</v>
      </c>
      <c r="E15">
        <v>6.5810916846065604E-2</v>
      </c>
      <c r="F15" t="str">
        <f>IF(Table6_1[[#This Row],[% of national population]]&gt;E14,"Up","Down")</f>
        <v>Up</v>
      </c>
      <c r="H15" s="2">
        <f>IF(Table6_1[[#This Row],[Region]]=B14,Table6_1[[#This Row],[% of national population]]-E14,"")</f>
        <v>3.495447691771042E-4</v>
      </c>
      <c r="I15" s="2" t="str">
        <f>IF(Table6_1[[#This Row],[Region]]=B6,Table6_1[[#This Row],[% of national population]]-E6,"")</f>
        <v/>
      </c>
      <c r="K15" s="152" t="s">
        <v>520</v>
      </c>
      <c r="L15" s="3">
        <f>_xlfn.MINIFS(Table6_1[% of national population],Table6_1[Region],Table9[[#This Row],[Region]])</f>
        <v>6.5167990684921202E-3</v>
      </c>
      <c r="M15" s="3">
        <f>AVERAGEIF(Table6_1[Region],Table9[[#This Row],[Region]],Table6_1[% of national population])</f>
        <v>6.6286021741385811E-3</v>
      </c>
      <c r="N15" s="3" cm="1">
        <f t="array" ref="N15">MEDIAN(IF(Table6_1[Region]=Table9[[#This Row],[Region]],Table6_1[% of national population]))</f>
        <v>6.5838009689604404E-3</v>
      </c>
      <c r="O15" s="3">
        <f>_xlfn.MAXIFS(Table6_1[% of national population],Table6_1[Region],Table9[[#This Row],[Region]])</f>
        <v>6.9790628115652996E-3</v>
      </c>
    </row>
    <row r="16" spans="1:15">
      <c r="A16">
        <v>2020</v>
      </c>
      <c r="B16" t="s">
        <v>511</v>
      </c>
      <c r="C16">
        <v>336800</v>
      </c>
      <c r="D16">
        <v>5072400</v>
      </c>
      <c r="E16">
        <v>6.6398549010330404E-2</v>
      </c>
      <c r="F16" t="str">
        <f>IF(Table6_1[[#This Row],[% of national population]]&gt;E15,"Up","Down")</f>
        <v>Up</v>
      </c>
      <c r="H16" s="2">
        <f>IF(Table6_1[[#This Row],[Region]]=B15,Table6_1[[#This Row],[% of national population]]-E15,"")</f>
        <v>5.876321642648008E-4</v>
      </c>
      <c r="I16" s="2" t="str">
        <f>IF(Table6_1[[#This Row],[Region]]=B7,Table6_1[[#This Row],[% of national population]]-E7,"")</f>
        <v/>
      </c>
      <c r="K16" s="152" t="s">
        <v>521</v>
      </c>
      <c r="L16" s="3">
        <f>_xlfn.MINIFS(Table6_1[% of national population],Table6_1[Region],Table9[[#This Row],[Region]])</f>
        <v>0.12708647920662799</v>
      </c>
      <c r="M16" s="3">
        <f>AVERAGEIF(Table6_1[Region],Table9[[#This Row],[Region]],Table6_1[% of national population])</f>
        <v>0.12865562809116471</v>
      </c>
      <c r="N16" s="3" cm="1">
        <f t="array" ref="N16">MEDIAN(IF(Table6_1[Region]=Table9[[#This Row],[Region]],Table6_1[% of national population]))</f>
        <v>0.12801456670543848</v>
      </c>
      <c r="O16" s="3">
        <f>_xlfn.MAXIFS(Table6_1[% of national population],Table6_1[Region],Table9[[#This Row],[Region]])</f>
        <v>0.13112475820234001</v>
      </c>
    </row>
    <row r="17" spans="1:15">
      <c r="A17">
        <v>2021</v>
      </c>
      <c r="B17" t="s">
        <v>511</v>
      </c>
      <c r="C17">
        <v>340000</v>
      </c>
      <c r="D17">
        <v>5084600</v>
      </c>
      <c r="E17">
        <v>6.6868583566062206E-2</v>
      </c>
      <c r="F17" t="str">
        <f>IF(Table6_1[[#This Row],[% of national population]]&gt;E16,"Up","Down")</f>
        <v>Up</v>
      </c>
      <c r="H17" s="2">
        <f>IF(Table6_1[[#This Row],[Region]]=B16,Table6_1[[#This Row],[% of national population]]-E16,"")</f>
        <v>4.7003455573180197E-4</v>
      </c>
      <c r="I17" s="2" t="str">
        <f>IF(Table6_1[[#This Row],[Region]]=B8,Table6_1[[#This Row],[% of national population]]-E8,"")</f>
        <v/>
      </c>
      <c r="K17" s="152" t="s">
        <v>522</v>
      </c>
      <c r="L17" s="3">
        <f>_xlfn.MINIFS(Table6_1[% of national population],Table6_1[Region],Table9[[#This Row],[Region]])</f>
        <v>4.7326106786024898E-2</v>
      </c>
      <c r="M17" s="3">
        <f>AVERAGEIF(Table6_1[Region],Table9[[#This Row],[Region]],Table6_1[% of national population])</f>
        <v>4.7783174539380566E-2</v>
      </c>
      <c r="N17" s="3" cm="1">
        <f t="array" ref="N17">MEDIAN(IF(Table6_1[Region]=Table9[[#This Row],[Region]],Table6_1[% of national population]))</f>
        <v>4.7829250239788901E-2</v>
      </c>
      <c r="O17" s="3">
        <f>_xlfn.MAXIFS(Table6_1[% of national population],Table6_1[Region],Table9[[#This Row],[Region]])</f>
        <v>4.81034618720921E-2</v>
      </c>
    </row>
    <row r="18" spans="1:15">
      <c r="A18">
        <v>2022</v>
      </c>
      <c r="B18" t="s">
        <v>511</v>
      </c>
      <c r="C18">
        <v>341000</v>
      </c>
      <c r="D18">
        <v>5081700</v>
      </c>
      <c r="E18">
        <v>6.7103528346813102E-2</v>
      </c>
      <c r="F18" t="str">
        <f>IF(Table6_1[[#This Row],[% of national population]]&gt;E17,"Up","Down")</f>
        <v>Up</v>
      </c>
      <c r="H18" s="2">
        <f>IF(Table6_1[[#This Row],[Region]]=B17,Table6_1[[#This Row],[% of national population]]-E17,"")</f>
        <v>2.3494478075089531E-4</v>
      </c>
      <c r="I18" s="2" t="str">
        <f>IF(Table6_1[[#This Row],[Region]]=B9,Table6_1[[#This Row],[% of national population]]-E9,"")</f>
        <v/>
      </c>
      <c r="K18" s="152" t="s">
        <v>523</v>
      </c>
      <c r="L18" s="3">
        <f>_xlfn.MINIFS(Table6_1[% of national population],Table6_1[Region],Table9[[#This Row],[Region]])</f>
        <v>1.9681860010892602E-2</v>
      </c>
      <c r="M18" s="3">
        <f>AVERAGEIF(Table6_1[Region],Table9[[#This Row],[Region]],Table6_1[% of national population])</f>
        <v>2.0175886724874449E-2</v>
      </c>
      <c r="N18" s="3" cm="1">
        <f t="array" ref="N18">MEDIAN(IF(Table6_1[Region]=Table9[[#This Row],[Region]],Table6_1[% of national population]))</f>
        <v>2.004541248969105E-2</v>
      </c>
      <c r="O18" s="3">
        <f>_xlfn.MAXIFS(Table6_1[% of national population],Table6_1[Region],Table9[[#This Row],[Region]])</f>
        <v>2.10008273053181E-2</v>
      </c>
    </row>
    <row r="19" spans="1:15">
      <c r="A19">
        <v>2023</v>
      </c>
      <c r="B19" t="s">
        <v>511</v>
      </c>
      <c r="C19">
        <v>346500</v>
      </c>
      <c r="D19">
        <v>5200000</v>
      </c>
      <c r="E19">
        <v>6.6634615384615403E-2</v>
      </c>
      <c r="F19" t="str">
        <f>IF(Table6_1[[#This Row],[% of national population]]&gt;E18,"Up","Down")</f>
        <v>Down</v>
      </c>
      <c r="H19" s="2">
        <f>IF(Table6_1[[#This Row],[Region]]=B18,Table6_1[[#This Row],[% of national population]]-E18,"")</f>
        <v>-4.689129621976984E-4</v>
      </c>
      <c r="I19" s="2" t="str">
        <f>IF(Table6_1[[#This Row],[Region]]=B10,Table6_1[[#This Row],[% of national population]]-E10,"")</f>
        <v/>
      </c>
      <c r="K19" s="152" t="s">
        <v>524</v>
      </c>
      <c r="L19" s="3">
        <f>_xlfn.MINIFS(Table6_1[% of national population],Table6_1[Region],Table9[[#This Row],[Region]])</f>
        <v>0.76387402107160995</v>
      </c>
      <c r="M19" s="3">
        <f>AVERAGEIF(Table6_1[Region],Table9[[#This Row],[Region]],Table6_1[% of national population])</f>
        <v>0.76493496489308288</v>
      </c>
      <c r="N19" s="3" cm="1">
        <f t="array" ref="N19">MEDIAN(IF(Table6_1[Region]=Table9[[#This Row],[Region]],Table6_1[% of national population]))</f>
        <v>0.76504873156384701</v>
      </c>
      <c r="O19" s="3">
        <f>_xlfn.MAXIFS(Table6_1[% of national population],Table6_1[Region],Table9[[#This Row],[Region]])</f>
        <v>0.766150936563185</v>
      </c>
    </row>
    <row r="20" spans="1:15">
      <c r="A20">
        <v>2024</v>
      </c>
      <c r="B20" t="s">
        <v>511</v>
      </c>
      <c r="C20">
        <v>350500</v>
      </c>
      <c r="D20">
        <v>5290000</v>
      </c>
      <c r="E20">
        <v>6.6257088846880904E-2</v>
      </c>
      <c r="F20" t="str">
        <f>IF(Table6_1[[#This Row],[% of national population]]&gt;E19,"Up","Down")</f>
        <v>Down</v>
      </c>
      <c r="H20" s="2">
        <f>IF(Table6_1[[#This Row],[Region]]=B19,Table6_1[[#This Row],[% of national population]]-E19,"")</f>
        <v>-3.7752653773449885E-4</v>
      </c>
      <c r="I20" s="2" t="str">
        <f>IF(Table6_1[[#This Row],[Region]]=B11,Table6_1[[#This Row],[% of national population]]-E11,"")</f>
        <v/>
      </c>
      <c r="K20" s="152" t="s">
        <v>525</v>
      </c>
      <c r="L20" s="3">
        <f>_xlfn.MINIFS(Table6_1[% of national population],Table6_1[Region],Table9[[#This Row],[Region]])</f>
        <v>0.23372834637748199</v>
      </c>
      <c r="M20" s="3">
        <f>AVERAGEIF(Table6_1[Region],Table9[[#This Row],[Region]],Table6_1[% of national population])</f>
        <v>0.23493784159825876</v>
      </c>
      <c r="N20" s="3" cm="1">
        <f t="array" ref="N20">MEDIAN(IF(Table6_1[Region]=Table9[[#This Row],[Region]],Table6_1[% of national population]))</f>
        <v>0.23481879425891899</v>
      </c>
      <c r="O20" s="3">
        <f>_xlfn.MAXIFS(Table6_1[% of national population],Table6_1[Region],Table9[[#This Row],[Region]])</f>
        <v>0.236013296523748</v>
      </c>
    </row>
    <row r="21" spans="1:15">
      <c r="A21">
        <v>2025</v>
      </c>
      <c r="B21" t="s">
        <v>511</v>
      </c>
      <c r="C21">
        <v>351500</v>
      </c>
      <c r="D21">
        <v>5324700</v>
      </c>
      <c r="E21">
        <v>6.6013108719740102E-2</v>
      </c>
      <c r="F21" t="str">
        <f>IF(Table6_1[[#This Row],[% of national population]]&gt;E20,"Up","Down")</f>
        <v>Down</v>
      </c>
      <c r="G21" t="str">
        <f>IF(Table6_1[[#This Row],[% of national population]]&gt;E12,"Up","Down")</f>
        <v>Up</v>
      </c>
      <c r="H21" s="2">
        <f>IF(Table6_1[[#This Row],[Region]]=B20,Table6_1[[#This Row],[% of national population]]-E20,"")</f>
        <v>-2.4398012714080264E-4</v>
      </c>
      <c r="I21" s="2">
        <f>IF(Table6_1[[#This Row],[Region]]=B12,Table6_1[[#This Row],[% of national population]]-E12,"")</f>
        <v>2.0560437444532009E-3</v>
      </c>
    </row>
    <row r="22" spans="1:15">
      <c r="A22">
        <v>2016</v>
      </c>
      <c r="B22" t="s">
        <v>521</v>
      </c>
      <c r="C22">
        <v>601900</v>
      </c>
      <c r="D22">
        <v>4714100</v>
      </c>
      <c r="E22">
        <v>0.127680787424959</v>
      </c>
      <c r="F22" t="str">
        <f>IF(Table6_1[[#This Row],[% of national population]]&gt;E21,"Up","Down")</f>
        <v>Up</v>
      </c>
      <c r="H22" s="2" t="str">
        <f>IF(Table6_1[[#This Row],[Region]]=B21,Table6_1[[#This Row],[% of national population]]-E21,"")</f>
        <v/>
      </c>
      <c r="I22" s="2" t="str">
        <f>IF(Table6_1[[#This Row],[Region]]=B13,Table6_1[[#This Row],[% of national population]]-E13,"")</f>
        <v/>
      </c>
    </row>
    <row r="23" spans="1:15">
      <c r="A23">
        <v>2017</v>
      </c>
      <c r="B23" t="s">
        <v>521</v>
      </c>
      <c r="C23">
        <v>614300</v>
      </c>
      <c r="D23">
        <v>4813600</v>
      </c>
      <c r="E23">
        <v>0.12761758351337901</v>
      </c>
      <c r="F23" t="str">
        <f>IF(Table6_1[[#This Row],[% of national population]]&gt;E22,"Up","Down")</f>
        <v>Down</v>
      </c>
      <c r="H23" s="2">
        <f>IF(Table6_1[[#This Row],[Region]]=B22,Table6_1[[#This Row],[% of national population]]-E22,"")</f>
        <v>-6.3203911579989835E-5</v>
      </c>
      <c r="I23" s="2" t="str">
        <f>IF(Table6_1[[#This Row],[Region]]=B14,Table6_1[[#This Row],[% of national population]]-E14,"")</f>
        <v/>
      </c>
    </row>
    <row r="24" spans="1:15">
      <c r="A24">
        <v>2018</v>
      </c>
      <c r="B24" t="s">
        <v>521</v>
      </c>
      <c r="C24">
        <v>622800</v>
      </c>
      <c r="D24">
        <v>4900600</v>
      </c>
      <c r="E24">
        <v>0.12708647920662799</v>
      </c>
      <c r="F24" t="str">
        <f>IF(Table6_1[[#This Row],[% of national population]]&gt;E23,"Up","Down")</f>
        <v>Down</v>
      </c>
      <c r="H24" s="2">
        <f>IF(Table6_1[[#This Row],[Region]]=B23,Table6_1[[#This Row],[% of national population]]-E23,"")</f>
        <v>-5.3110430675101794E-4</v>
      </c>
      <c r="I24" s="2" t="str">
        <f>IF(Table6_1[[#This Row],[Region]]=B15,Table6_1[[#This Row],[% of national population]]-E15,"")</f>
        <v/>
      </c>
    </row>
    <row r="25" spans="1:15">
      <c r="A25">
        <v>2019</v>
      </c>
      <c r="B25" t="s">
        <v>521</v>
      </c>
      <c r="C25">
        <v>632000</v>
      </c>
      <c r="D25">
        <v>4970300</v>
      </c>
      <c r="E25">
        <v>0.12715530249683099</v>
      </c>
      <c r="F25" t="str">
        <f>IF(Table6_1[[#This Row],[% of national population]]&gt;E24,"Up","Down")</f>
        <v>Up</v>
      </c>
      <c r="H25" s="2">
        <f>IF(Table6_1[[#This Row],[Region]]=B24,Table6_1[[#This Row],[% of national population]]-E24,"")</f>
        <v>6.8823290202996157E-5</v>
      </c>
      <c r="I25" s="2" t="str">
        <f>IF(Table6_1[[#This Row],[Region]]=B16,Table6_1[[#This Row],[% of national population]]-E16,"")</f>
        <v/>
      </c>
    </row>
    <row r="26" spans="1:15">
      <c r="A26">
        <v>2020</v>
      </c>
      <c r="B26" t="s">
        <v>521</v>
      </c>
      <c r="C26">
        <v>645900</v>
      </c>
      <c r="D26">
        <v>5072400</v>
      </c>
      <c r="E26">
        <v>0.127336172226165</v>
      </c>
      <c r="F26" t="str">
        <f>IF(Table6_1[[#This Row],[% of national population]]&gt;E25,"Up","Down")</f>
        <v>Up</v>
      </c>
      <c r="H26" s="2">
        <f>IF(Table6_1[[#This Row],[Region]]=B25,Table6_1[[#This Row],[% of national population]]-E25,"")</f>
        <v>1.8086972933401002E-4</v>
      </c>
      <c r="I26" s="2" t="str">
        <f>IF(Table6_1[[#This Row],[Region]]=B17,Table6_1[[#This Row],[% of national population]]-E17,"")</f>
        <v/>
      </c>
    </row>
    <row r="27" spans="1:15">
      <c r="A27">
        <v>2021</v>
      </c>
      <c r="B27" t="s">
        <v>521</v>
      </c>
      <c r="C27">
        <v>652600</v>
      </c>
      <c r="D27">
        <v>5084600</v>
      </c>
      <c r="E27">
        <v>0.12834834598591799</v>
      </c>
      <c r="F27" t="str">
        <f>IF(Table6_1[[#This Row],[% of national population]]&gt;E26,"Up","Down")</f>
        <v>Up</v>
      </c>
      <c r="H27" s="2">
        <f>IF(Table6_1[[#This Row],[Region]]=B26,Table6_1[[#This Row],[% of national population]]-E26,"")</f>
        <v>1.0121737597529878E-3</v>
      </c>
      <c r="I27" s="2" t="str">
        <f>IF(Table6_1[[#This Row],[Region]]=B18,Table6_1[[#This Row],[% of national population]]-E18,"")</f>
        <v/>
      </c>
    </row>
    <row r="28" spans="1:15">
      <c r="A28">
        <v>2022</v>
      </c>
      <c r="B28" t="s">
        <v>521</v>
      </c>
      <c r="C28">
        <v>658300</v>
      </c>
      <c r="D28">
        <v>5081700</v>
      </c>
      <c r="E28">
        <v>0.129543263081252</v>
      </c>
      <c r="F28" t="str">
        <f>IF(Table6_1[[#This Row],[% of national population]]&gt;E27,"Up","Down")</f>
        <v>Up</v>
      </c>
      <c r="H28" s="2">
        <f>IF(Table6_1[[#This Row],[Region]]=B27,Table6_1[[#This Row],[% of national population]]-E27,"")</f>
        <v>1.1949170953340083E-3</v>
      </c>
      <c r="I28" s="2" t="str">
        <f>IF(Table6_1[[#This Row],[Region]]=B19,Table6_1[[#This Row],[% of national population]]-E19,"")</f>
        <v/>
      </c>
    </row>
    <row r="29" spans="1:15">
      <c r="A29">
        <v>2023</v>
      </c>
      <c r="B29" t="s">
        <v>521</v>
      </c>
      <c r="C29">
        <v>676600</v>
      </c>
      <c r="D29">
        <v>5200000</v>
      </c>
      <c r="E29">
        <v>0.13011538461538499</v>
      </c>
      <c r="F29" t="str">
        <f>IF(Table6_1[[#This Row],[% of national population]]&gt;E28,"Up","Down")</f>
        <v>Up</v>
      </c>
      <c r="H29" s="2">
        <f>IF(Table6_1[[#This Row],[Region]]=B28,Table6_1[[#This Row],[% of national population]]-E28,"")</f>
        <v>5.721215341329966E-4</v>
      </c>
      <c r="I29" s="2" t="str">
        <f>IF(Table6_1[[#This Row],[Region]]=B20,Table6_1[[#This Row],[% of national population]]-E20,"")</f>
        <v/>
      </c>
    </row>
    <row r="30" spans="1:15">
      <c r="A30">
        <v>2024</v>
      </c>
      <c r="B30" t="s">
        <v>521</v>
      </c>
      <c r="C30">
        <v>690600</v>
      </c>
      <c r="D30">
        <v>5290000</v>
      </c>
      <c r="E30">
        <v>0.13054820415879001</v>
      </c>
      <c r="F30" t="str">
        <f>IF(Table6_1[[#This Row],[% of national population]]&gt;E29,"Up","Down")</f>
        <v>Up</v>
      </c>
      <c r="H30" s="2">
        <f>IF(Table6_1[[#This Row],[Region]]=B29,Table6_1[[#This Row],[% of national population]]-E29,"")</f>
        <v>4.3281954340501638E-4</v>
      </c>
      <c r="I30" s="2" t="str">
        <f>IF(Table6_1[[#This Row],[Region]]=B21,Table6_1[[#This Row],[% of national population]]-E21,"")</f>
        <v/>
      </c>
    </row>
    <row r="31" spans="1:15">
      <c r="A31">
        <v>2025</v>
      </c>
      <c r="B31" t="s">
        <v>521</v>
      </c>
      <c r="C31">
        <v>698200</v>
      </c>
      <c r="D31">
        <v>5324700</v>
      </c>
      <c r="E31">
        <v>0.13112475820234001</v>
      </c>
      <c r="F31" t="str">
        <f>IF(Table6_1[[#This Row],[% of national population]]&gt;E30,"Up","Down")</f>
        <v>Up</v>
      </c>
      <c r="G31" t="str">
        <f>IF(Table6_1[[#This Row],[% of national population]]&gt;E22,"Up","Down")</f>
        <v>Up</v>
      </c>
      <c r="H31" s="2">
        <f>IF(Table6_1[[#This Row],[Region]]=B30,Table6_1[[#This Row],[% of national population]]-E30,"")</f>
        <v>5.7655404355000384E-4</v>
      </c>
      <c r="I31" s="2">
        <f>IF(Table6_1[[#This Row],[Region]]=B22,Table6_1[[#This Row],[% of national population]]-E22,"")</f>
        <v>3.4439707773810113E-3</v>
      </c>
    </row>
    <row r="32" spans="1:15">
      <c r="A32">
        <v>2016</v>
      </c>
      <c r="B32" t="s">
        <v>512</v>
      </c>
      <c r="C32">
        <v>48800</v>
      </c>
      <c r="D32">
        <v>4714100</v>
      </c>
      <c r="E32">
        <v>1.0351922954540601E-2</v>
      </c>
      <c r="F32" t="str">
        <f>IF(Table6_1[[#This Row],[% of national population]]&gt;E31,"Up","Down")</f>
        <v>Down</v>
      </c>
      <c r="H32" s="2" t="str">
        <f>IF(Table6_1[[#This Row],[Region]]=B31,Table6_1[[#This Row],[% of national population]]-E31,"")</f>
        <v/>
      </c>
      <c r="I32" s="2" t="str">
        <f>IF(Table6_1[[#This Row],[Region]]=B23,Table6_1[[#This Row],[% of national population]]-E23,"")</f>
        <v/>
      </c>
    </row>
    <row r="33" spans="1:9">
      <c r="A33">
        <v>2017</v>
      </c>
      <c r="B33" t="s">
        <v>512</v>
      </c>
      <c r="C33">
        <v>49200</v>
      </c>
      <c r="D33">
        <v>4813600</v>
      </c>
      <c r="E33">
        <v>1.02210403855742E-2</v>
      </c>
      <c r="F33" t="str">
        <f>IF(Table6_1[[#This Row],[% of national population]]&gt;E32,"Up","Down")</f>
        <v>Down</v>
      </c>
      <c r="H33" s="2">
        <f>IF(Table6_1[[#This Row],[Region]]=B32,Table6_1[[#This Row],[% of national population]]-E32,"")</f>
        <v>-1.308825689664006E-4</v>
      </c>
      <c r="I33" s="2" t="str">
        <f>IF(Table6_1[[#This Row],[Region]]=B24,Table6_1[[#This Row],[% of national population]]-E24,"")</f>
        <v/>
      </c>
    </row>
    <row r="34" spans="1:9">
      <c r="A34">
        <v>2018</v>
      </c>
      <c r="B34" t="s">
        <v>512</v>
      </c>
      <c r="C34">
        <v>49500</v>
      </c>
      <c r="D34">
        <v>4900600</v>
      </c>
      <c r="E34">
        <v>1.01008039831857E-2</v>
      </c>
      <c r="F34" t="str">
        <f>IF(Table6_1[[#This Row],[% of national population]]&gt;E33,"Up","Down")</f>
        <v>Down</v>
      </c>
      <c r="H34" s="2">
        <f>IF(Table6_1[[#This Row],[Region]]=B33,Table6_1[[#This Row],[% of national population]]-E33,"")</f>
        <v>-1.2023640238850025E-4</v>
      </c>
      <c r="I34" s="2" t="str">
        <f>IF(Table6_1[[#This Row],[Region]]=B25,Table6_1[[#This Row],[% of national population]]-E25,"")</f>
        <v/>
      </c>
    </row>
    <row r="35" spans="1:9">
      <c r="A35">
        <v>2019</v>
      </c>
      <c r="B35" t="s">
        <v>512</v>
      </c>
      <c r="C35">
        <v>50300</v>
      </c>
      <c r="D35">
        <v>4970300</v>
      </c>
      <c r="E35">
        <v>1.01201134740358E-2</v>
      </c>
      <c r="F35" t="str">
        <f>IF(Table6_1[[#This Row],[% of national population]]&gt;E34,"Up","Down")</f>
        <v>Up</v>
      </c>
      <c r="H35" s="2">
        <f>IF(Table6_1[[#This Row],[Region]]=B34,Table6_1[[#This Row],[% of national population]]-E34,"")</f>
        <v>1.9309490850100489E-5</v>
      </c>
      <c r="I35" s="2" t="str">
        <f>IF(Table6_1[[#This Row],[Region]]=B26,Table6_1[[#This Row],[% of national population]]-E26,"")</f>
        <v/>
      </c>
    </row>
    <row r="36" spans="1:9">
      <c r="A36">
        <v>2020</v>
      </c>
      <c r="B36" t="s">
        <v>512</v>
      </c>
      <c r="C36">
        <v>51400</v>
      </c>
      <c r="D36">
        <v>5072400</v>
      </c>
      <c r="E36">
        <v>1.0133270246826E-2</v>
      </c>
      <c r="F36" t="str">
        <f>IF(Table6_1[[#This Row],[% of national population]]&gt;E35,"Up","Down")</f>
        <v>Up</v>
      </c>
      <c r="H36" s="2">
        <f>IF(Table6_1[[#This Row],[Region]]=B35,Table6_1[[#This Row],[% of national population]]-E35,"")</f>
        <v>1.3156772790200166E-5</v>
      </c>
      <c r="I36" s="2" t="str">
        <f>IF(Table6_1[[#This Row],[Region]]=B27,Table6_1[[#This Row],[% of national population]]-E27,"")</f>
        <v/>
      </c>
    </row>
    <row r="37" spans="1:9">
      <c r="A37">
        <v>2021</v>
      </c>
      <c r="B37" t="s">
        <v>512</v>
      </c>
      <c r="C37">
        <v>51700</v>
      </c>
      <c r="D37">
        <v>5084600</v>
      </c>
      <c r="E37">
        <v>1.01679581481336E-2</v>
      </c>
      <c r="F37" t="str">
        <f>IF(Table6_1[[#This Row],[% of national population]]&gt;E36,"Up","Down")</f>
        <v>Up</v>
      </c>
      <c r="H37" s="2">
        <f>IF(Table6_1[[#This Row],[Region]]=B36,Table6_1[[#This Row],[% of national population]]-E36,"")</f>
        <v>3.4687901307599994E-5</v>
      </c>
      <c r="I37" s="2" t="str">
        <f>IF(Table6_1[[#This Row],[Region]]=B28,Table6_1[[#This Row],[% of national population]]-E28,"")</f>
        <v/>
      </c>
    </row>
    <row r="38" spans="1:9">
      <c r="A38">
        <v>2022</v>
      </c>
      <c r="B38" t="s">
        <v>512</v>
      </c>
      <c r="C38">
        <v>51800</v>
      </c>
      <c r="D38">
        <v>5081700</v>
      </c>
      <c r="E38">
        <v>1.0193439203416199E-2</v>
      </c>
      <c r="F38" t="str">
        <f>IF(Table6_1[[#This Row],[% of national population]]&gt;E37,"Up","Down")</f>
        <v>Up</v>
      </c>
      <c r="H38" s="2">
        <f>IF(Table6_1[[#This Row],[Region]]=B37,Table6_1[[#This Row],[% of national population]]-E37,"")</f>
        <v>2.5481055282598752E-5</v>
      </c>
      <c r="I38" s="2" t="str">
        <f>IF(Table6_1[[#This Row],[Region]]=B29,Table6_1[[#This Row],[% of national population]]-E29,"")</f>
        <v/>
      </c>
    </row>
    <row r="39" spans="1:9">
      <c r="A39">
        <v>2023</v>
      </c>
      <c r="B39" t="s">
        <v>512</v>
      </c>
      <c r="C39">
        <v>52300</v>
      </c>
      <c r="D39">
        <v>5200000</v>
      </c>
      <c r="E39">
        <v>1.00576923076923E-2</v>
      </c>
      <c r="F39" t="str">
        <f>IF(Table6_1[[#This Row],[% of national population]]&gt;E38,"Up","Down")</f>
        <v>Down</v>
      </c>
      <c r="H39" s="2">
        <f>IF(Table6_1[[#This Row],[Region]]=B38,Table6_1[[#This Row],[% of national population]]-E38,"")</f>
        <v>-1.3574689572389866E-4</v>
      </c>
      <c r="I39" s="2" t="str">
        <f>IF(Table6_1[[#This Row],[Region]]=B30,Table6_1[[#This Row],[% of national population]]-E30,"")</f>
        <v/>
      </c>
    </row>
    <row r="40" spans="1:9">
      <c r="A40">
        <v>2024</v>
      </c>
      <c r="B40" t="s">
        <v>512</v>
      </c>
      <c r="C40">
        <v>52800</v>
      </c>
      <c r="D40">
        <v>5290000</v>
      </c>
      <c r="E40">
        <v>9.9810964083175795E-3</v>
      </c>
      <c r="F40" t="str">
        <f>IF(Table6_1[[#This Row],[% of national population]]&gt;E39,"Up","Down")</f>
        <v>Down</v>
      </c>
      <c r="H40" s="2">
        <f>IF(Table6_1[[#This Row],[Region]]=B39,Table6_1[[#This Row],[% of national population]]-E39,"")</f>
        <v>-7.6595899374721013E-5</v>
      </c>
      <c r="I40" s="2" t="str">
        <f>IF(Table6_1[[#This Row],[Region]]=B31,Table6_1[[#This Row],[% of national population]]-E31,"")</f>
        <v/>
      </c>
    </row>
    <row r="41" spans="1:9">
      <c r="A41">
        <v>2025</v>
      </c>
      <c r="B41" t="s">
        <v>512</v>
      </c>
      <c r="C41">
        <v>52700</v>
      </c>
      <c r="D41">
        <v>5324700</v>
      </c>
      <c r="E41">
        <v>9.8972712077675697E-3</v>
      </c>
      <c r="F41" t="str">
        <f>IF(Table6_1[[#This Row],[% of national population]]&gt;E40,"Up","Down")</f>
        <v>Down</v>
      </c>
      <c r="G41" t="str">
        <f>IF(Table6_1[[#This Row],[% of national population]]&gt;E32,"Up","Down")</f>
        <v>Down</v>
      </c>
      <c r="H41" s="2">
        <f>IF(Table6_1[[#This Row],[Region]]=B40,Table6_1[[#This Row],[% of national population]]-E40,"")</f>
        <v>-8.3825200550009804E-5</v>
      </c>
      <c r="I41" s="2">
        <f>IF(Table6_1[[#This Row],[Region]]=B32,Table6_1[[#This Row],[% of national population]]-E32,"")</f>
        <v>-4.5465174677303093E-4</v>
      </c>
    </row>
    <row r="42" spans="1:9">
      <c r="A42">
        <v>2016</v>
      </c>
      <c r="B42" t="s">
        <v>513</v>
      </c>
      <c r="C42">
        <v>166900</v>
      </c>
      <c r="D42">
        <v>4714100</v>
      </c>
      <c r="E42">
        <v>3.5404425022803901E-2</v>
      </c>
      <c r="F42" t="str">
        <f>IF(Table6_1[[#This Row],[% of national population]]&gt;E41,"Up","Down")</f>
        <v>Up</v>
      </c>
      <c r="H42" s="2" t="str">
        <f>IF(Table6_1[[#This Row],[Region]]=B41,Table6_1[[#This Row],[% of national population]]-E41,"")</f>
        <v/>
      </c>
      <c r="I42" s="2" t="str">
        <f>IF(Table6_1[[#This Row],[Region]]=B33,Table6_1[[#This Row],[% of national population]]-E33,"")</f>
        <v/>
      </c>
    </row>
    <row r="43" spans="1:9">
      <c r="A43">
        <v>2017</v>
      </c>
      <c r="B43" t="s">
        <v>513</v>
      </c>
      <c r="C43">
        <v>169700</v>
      </c>
      <c r="D43">
        <v>4813600</v>
      </c>
      <c r="E43">
        <v>3.5254279541299602E-2</v>
      </c>
      <c r="F43" t="str">
        <f>IF(Table6_1[[#This Row],[% of national population]]&gt;E42,"Up","Down")</f>
        <v>Down</v>
      </c>
      <c r="H43" s="2">
        <f>IF(Table6_1[[#This Row],[Region]]=B42,Table6_1[[#This Row],[% of national population]]-E42,"")</f>
        <v>-1.5014548150429907E-4</v>
      </c>
      <c r="I43" s="2" t="str">
        <f>IF(Table6_1[[#This Row],[Region]]=B34,Table6_1[[#This Row],[% of national population]]-E34,"")</f>
        <v/>
      </c>
    </row>
    <row r="44" spans="1:9">
      <c r="A44">
        <v>2018</v>
      </c>
      <c r="B44" t="s">
        <v>513</v>
      </c>
      <c r="C44">
        <v>172400</v>
      </c>
      <c r="D44">
        <v>4900600</v>
      </c>
      <c r="E44">
        <v>3.5179365791943799E-2</v>
      </c>
      <c r="F44" t="str">
        <f>IF(Table6_1[[#This Row],[% of national population]]&gt;E43,"Up","Down")</f>
        <v>Down</v>
      </c>
      <c r="H44" s="2">
        <f>IF(Table6_1[[#This Row],[Region]]=B43,Table6_1[[#This Row],[% of national population]]-E43,"")</f>
        <v>-7.4913749355802473E-5</v>
      </c>
      <c r="I44" s="2" t="str">
        <f>IF(Table6_1[[#This Row],[Region]]=B35,Table6_1[[#This Row],[% of national population]]-E35,"")</f>
        <v/>
      </c>
    </row>
    <row r="45" spans="1:9">
      <c r="A45">
        <v>2019</v>
      </c>
      <c r="B45" t="s">
        <v>513</v>
      </c>
      <c r="C45">
        <v>173800</v>
      </c>
      <c r="D45">
        <v>4970300</v>
      </c>
      <c r="E45">
        <v>3.4967708186628602E-2</v>
      </c>
      <c r="F45" t="str">
        <f>IF(Table6_1[[#This Row],[% of national population]]&gt;E44,"Up","Down")</f>
        <v>Down</v>
      </c>
      <c r="H45" s="2">
        <f>IF(Table6_1[[#This Row],[Region]]=B44,Table6_1[[#This Row],[% of national population]]-E44,"")</f>
        <v>-2.1165760531519778E-4</v>
      </c>
      <c r="I45" s="2" t="str">
        <f>IF(Table6_1[[#This Row],[Region]]=B36,Table6_1[[#This Row],[% of national population]]-E36,"")</f>
        <v/>
      </c>
    </row>
    <row r="46" spans="1:9">
      <c r="A46">
        <v>2020</v>
      </c>
      <c r="B46" t="s">
        <v>513</v>
      </c>
      <c r="C46">
        <v>177700</v>
      </c>
      <c r="D46">
        <v>5072400</v>
      </c>
      <c r="E46">
        <v>3.5032726125699902E-2</v>
      </c>
      <c r="F46" t="str">
        <f>IF(Table6_1[[#This Row],[% of national population]]&gt;E45,"Up","Down")</f>
        <v>Up</v>
      </c>
      <c r="H46" s="2">
        <f>IF(Table6_1[[#This Row],[Region]]=B45,Table6_1[[#This Row],[% of national population]]-E45,"")</f>
        <v>6.5017939071300435E-5</v>
      </c>
      <c r="I46" s="2" t="str">
        <f>IF(Table6_1[[#This Row],[Region]]=B37,Table6_1[[#This Row],[% of national population]]-E37,"")</f>
        <v/>
      </c>
    </row>
    <row r="47" spans="1:9">
      <c r="A47">
        <v>2021</v>
      </c>
      <c r="B47" t="s">
        <v>513</v>
      </c>
      <c r="C47">
        <v>178500</v>
      </c>
      <c r="D47">
        <v>5084600</v>
      </c>
      <c r="E47">
        <v>3.5106006372182703E-2</v>
      </c>
      <c r="F47" t="str">
        <f>IF(Table6_1[[#This Row],[% of national population]]&gt;E46,"Up","Down")</f>
        <v>Up</v>
      </c>
      <c r="H47" s="2">
        <f>IF(Table6_1[[#This Row],[Region]]=B46,Table6_1[[#This Row],[% of national population]]-E46,"")</f>
        <v>7.3280246482801403E-5</v>
      </c>
      <c r="I47" s="2" t="str">
        <f>IF(Table6_1[[#This Row],[Region]]=B38,Table6_1[[#This Row],[% of national population]]-E38,"")</f>
        <v/>
      </c>
    </row>
    <row r="48" spans="1:9">
      <c r="A48">
        <v>2022</v>
      </c>
      <c r="B48" t="s">
        <v>513</v>
      </c>
      <c r="C48">
        <v>177700</v>
      </c>
      <c r="D48">
        <v>5081700</v>
      </c>
      <c r="E48">
        <v>3.4968612865773303E-2</v>
      </c>
      <c r="F48" t="str">
        <f>IF(Table6_1[[#This Row],[% of national population]]&gt;E47,"Up","Down")</f>
        <v>Down</v>
      </c>
      <c r="H48" s="2">
        <f>IF(Table6_1[[#This Row],[Region]]=B47,Table6_1[[#This Row],[% of national population]]-E47,"")</f>
        <v>-1.3739350640940007E-4</v>
      </c>
      <c r="I48" s="2" t="str">
        <f>IF(Table6_1[[#This Row],[Region]]=B39,Table6_1[[#This Row],[% of national population]]-E39,"")</f>
        <v/>
      </c>
    </row>
    <row r="49" spans="1:9">
      <c r="A49">
        <v>2023</v>
      </c>
      <c r="B49" t="s">
        <v>513</v>
      </c>
      <c r="C49">
        <v>179000</v>
      </c>
      <c r="D49">
        <v>5200000</v>
      </c>
      <c r="E49">
        <v>3.4423076923076897E-2</v>
      </c>
      <c r="F49" t="str">
        <f>IF(Table6_1[[#This Row],[% of national population]]&gt;E48,"Up","Down")</f>
        <v>Down</v>
      </c>
      <c r="H49" s="2">
        <f>IF(Table6_1[[#This Row],[Region]]=B48,Table6_1[[#This Row],[% of national population]]-E48,"")</f>
        <v>-5.4553594269640682E-4</v>
      </c>
      <c r="I49" s="2" t="str">
        <f>IF(Table6_1[[#This Row],[Region]]=B40,Table6_1[[#This Row],[% of national population]]-E40,"")</f>
        <v/>
      </c>
    </row>
    <row r="50" spans="1:9">
      <c r="A50">
        <v>2024</v>
      </c>
      <c r="B50" t="s">
        <v>513</v>
      </c>
      <c r="C50">
        <v>179800</v>
      </c>
      <c r="D50">
        <v>5290000</v>
      </c>
      <c r="E50">
        <v>3.3988657844990597E-2</v>
      </c>
      <c r="F50" t="str">
        <f>IF(Table6_1[[#This Row],[% of national population]]&gt;E49,"Up","Down")</f>
        <v>Down</v>
      </c>
      <c r="H50" s="2">
        <f>IF(Table6_1[[#This Row],[Region]]=B49,Table6_1[[#This Row],[% of national population]]-E49,"")</f>
        <v>-4.344190780862997E-4</v>
      </c>
      <c r="I50" s="2" t="str">
        <f>IF(Table6_1[[#This Row],[Region]]=B41,Table6_1[[#This Row],[% of national population]]-E41,"")</f>
        <v/>
      </c>
    </row>
    <row r="51" spans="1:9">
      <c r="A51">
        <v>2025</v>
      </c>
      <c r="B51" t="s">
        <v>513</v>
      </c>
      <c r="C51">
        <v>179700</v>
      </c>
      <c r="D51">
        <v>5324700</v>
      </c>
      <c r="E51">
        <v>3.3748380190433303E-2</v>
      </c>
      <c r="F51" t="str">
        <f>IF(Table6_1[[#This Row],[% of national population]]&gt;E50,"Up","Down")</f>
        <v>Down</v>
      </c>
      <c r="G51" t="str">
        <f>IF(Table6_1[[#This Row],[% of national population]]&gt;E42,"Up","Down")</f>
        <v>Down</v>
      </c>
      <c r="H51" s="2">
        <f>IF(Table6_1[[#This Row],[Region]]=B50,Table6_1[[#This Row],[% of national population]]-E50,"")</f>
        <v>-2.4027765455729433E-4</v>
      </c>
      <c r="I51" s="2">
        <f>IF(Table6_1[[#This Row],[Region]]=B42,Table6_1[[#This Row],[% of national population]]-E42,"")</f>
        <v>-1.6560448323705984E-3</v>
      </c>
    </row>
    <row r="52" spans="1:9">
      <c r="A52">
        <v>2016</v>
      </c>
      <c r="B52" t="s">
        <v>515</v>
      </c>
      <c r="C52">
        <v>241100</v>
      </c>
      <c r="D52">
        <v>4714100</v>
      </c>
      <c r="E52">
        <v>5.1144439023355498E-2</v>
      </c>
      <c r="F52" t="str">
        <f>IF(Table6_1[[#This Row],[% of national population]]&gt;E51,"Up","Down")</f>
        <v>Up</v>
      </c>
      <c r="H52" s="2" t="str">
        <f>IF(Table6_1[[#This Row],[Region]]=B51,Table6_1[[#This Row],[% of national population]]-E51,"")</f>
        <v/>
      </c>
      <c r="I52" s="2" t="str">
        <f>IF(Table6_1[[#This Row],[Region]]=B43,Table6_1[[#This Row],[% of national population]]-E43,"")</f>
        <v/>
      </c>
    </row>
    <row r="53" spans="1:9">
      <c r="A53">
        <v>2017</v>
      </c>
      <c r="B53" t="s">
        <v>515</v>
      </c>
      <c r="C53">
        <v>244300</v>
      </c>
      <c r="D53">
        <v>4813600</v>
      </c>
      <c r="E53">
        <v>5.0752035898288202E-2</v>
      </c>
      <c r="F53" t="str">
        <f>IF(Table6_1[[#This Row],[% of national population]]&gt;E52,"Up","Down")</f>
        <v>Down</v>
      </c>
      <c r="H53" s="2">
        <f>IF(Table6_1[[#This Row],[Region]]=B52,Table6_1[[#This Row],[% of national population]]-E52,"")</f>
        <v>-3.924031250672963E-4</v>
      </c>
      <c r="I53" s="2" t="str">
        <f>IF(Table6_1[[#This Row],[Region]]=B44,Table6_1[[#This Row],[% of national population]]-E44,"")</f>
        <v/>
      </c>
    </row>
    <row r="54" spans="1:9">
      <c r="A54">
        <v>2018</v>
      </c>
      <c r="B54" t="s">
        <v>515</v>
      </c>
      <c r="C54">
        <v>247500</v>
      </c>
      <c r="D54">
        <v>4900600</v>
      </c>
      <c r="E54">
        <v>5.0504019915928698E-2</v>
      </c>
      <c r="F54" t="str">
        <f>IF(Table6_1[[#This Row],[% of national population]]&gt;E53,"Up","Down")</f>
        <v>Down</v>
      </c>
      <c r="H54" s="2">
        <f>IF(Table6_1[[#This Row],[Region]]=B53,Table6_1[[#This Row],[% of national population]]-E53,"")</f>
        <v>-2.4801598235950351E-4</v>
      </c>
      <c r="I54" s="2" t="str">
        <f>IF(Table6_1[[#This Row],[Region]]=B45,Table6_1[[#This Row],[% of national population]]-E45,"")</f>
        <v/>
      </c>
    </row>
    <row r="55" spans="1:9">
      <c r="A55">
        <v>2019</v>
      </c>
      <c r="B55" t="s">
        <v>515</v>
      </c>
      <c r="C55">
        <v>250300</v>
      </c>
      <c r="D55">
        <v>4970300</v>
      </c>
      <c r="E55">
        <v>5.0359133251513997E-2</v>
      </c>
      <c r="F55" t="str">
        <f>IF(Table6_1[[#This Row],[% of national population]]&gt;E54,"Up","Down")</f>
        <v>Down</v>
      </c>
      <c r="H55" s="2">
        <f>IF(Table6_1[[#This Row],[Region]]=B54,Table6_1[[#This Row],[% of national population]]-E54,"")</f>
        <v>-1.4488666441470066E-4</v>
      </c>
      <c r="I55" s="2" t="str">
        <f>IF(Table6_1[[#This Row],[Region]]=B46,Table6_1[[#This Row],[% of national population]]-E46,"")</f>
        <v/>
      </c>
    </row>
    <row r="56" spans="1:9">
      <c r="A56">
        <v>2020</v>
      </c>
      <c r="B56" t="s">
        <v>515</v>
      </c>
      <c r="C56">
        <v>253700</v>
      </c>
      <c r="D56">
        <v>5072400</v>
      </c>
      <c r="E56">
        <v>5.00157716268433E-2</v>
      </c>
      <c r="F56" t="str">
        <f>IF(Table6_1[[#This Row],[% of national population]]&gt;E55,"Up","Down")</f>
        <v>Down</v>
      </c>
      <c r="H56" s="2">
        <f>IF(Table6_1[[#This Row],[Region]]=B55,Table6_1[[#This Row],[% of national population]]-E55,"")</f>
        <v>-3.4336162467069747E-4</v>
      </c>
      <c r="I56" s="2" t="str">
        <f>IF(Table6_1[[#This Row],[Region]]=B47,Table6_1[[#This Row],[% of national population]]-E47,"")</f>
        <v/>
      </c>
    </row>
    <row r="57" spans="1:9">
      <c r="A57">
        <v>2021</v>
      </c>
      <c r="B57" t="s">
        <v>515</v>
      </c>
      <c r="C57">
        <v>255200</v>
      </c>
      <c r="D57">
        <v>5084600</v>
      </c>
      <c r="E57">
        <v>5.0190772135467902E-2</v>
      </c>
      <c r="F57" t="str">
        <f>IF(Table6_1[[#This Row],[% of national population]]&gt;E56,"Up","Down")</f>
        <v>Up</v>
      </c>
      <c r="H57" s="2">
        <f>IF(Table6_1[[#This Row],[Region]]=B56,Table6_1[[#This Row],[% of national population]]-E56,"")</f>
        <v>1.7500050862460231E-4</v>
      </c>
      <c r="I57" s="2" t="str">
        <f>IF(Table6_1[[#This Row],[Region]]=B48,Table6_1[[#This Row],[% of national population]]-E48,"")</f>
        <v/>
      </c>
    </row>
    <row r="58" spans="1:9">
      <c r="A58">
        <v>2022</v>
      </c>
      <c r="B58" t="s">
        <v>515</v>
      </c>
      <c r="C58">
        <v>255400</v>
      </c>
      <c r="D58">
        <v>5081700</v>
      </c>
      <c r="E58">
        <v>5.0258771670897498E-2</v>
      </c>
      <c r="F58" t="str">
        <f>IF(Table6_1[[#This Row],[% of national population]]&gt;E57,"Up","Down")</f>
        <v>Up</v>
      </c>
      <c r="H58" s="2">
        <f>IF(Table6_1[[#This Row],[Region]]=B57,Table6_1[[#This Row],[% of national population]]-E57,"")</f>
        <v>6.7999535429595637E-5</v>
      </c>
      <c r="I58" s="2" t="str">
        <f>IF(Table6_1[[#This Row],[Region]]=B49,Table6_1[[#This Row],[% of national population]]-E49,"")</f>
        <v/>
      </c>
    </row>
    <row r="59" spans="1:9">
      <c r="A59">
        <v>2023</v>
      </c>
      <c r="B59" t="s">
        <v>515</v>
      </c>
      <c r="C59">
        <v>257800</v>
      </c>
      <c r="D59">
        <v>5200000</v>
      </c>
      <c r="E59">
        <v>4.9576923076923102E-2</v>
      </c>
      <c r="F59" t="str">
        <f>IF(Table6_1[[#This Row],[% of national population]]&gt;E58,"Up","Down")</f>
        <v>Down</v>
      </c>
      <c r="H59" s="2">
        <f>IF(Table6_1[[#This Row],[Region]]=B58,Table6_1[[#This Row],[% of national population]]-E58,"")</f>
        <v>-6.8184859397439623E-4</v>
      </c>
      <c r="I59" s="2" t="str">
        <f>IF(Table6_1[[#This Row],[Region]]=B50,Table6_1[[#This Row],[% of national population]]-E50,"")</f>
        <v/>
      </c>
    </row>
    <row r="60" spans="1:9">
      <c r="A60">
        <v>2024</v>
      </c>
      <c r="B60" t="s">
        <v>515</v>
      </c>
      <c r="C60">
        <v>260100</v>
      </c>
      <c r="D60">
        <v>5290000</v>
      </c>
      <c r="E60">
        <v>4.9168241965973497E-2</v>
      </c>
      <c r="F60" t="str">
        <f>IF(Table6_1[[#This Row],[% of national population]]&gt;E59,"Up","Down")</f>
        <v>Down</v>
      </c>
      <c r="H60" s="2">
        <f>IF(Table6_1[[#This Row],[Region]]=B59,Table6_1[[#This Row],[% of national population]]-E59,"")</f>
        <v>-4.0868111094960469E-4</v>
      </c>
      <c r="I60" s="2" t="str">
        <f>IF(Table6_1[[#This Row],[Region]]=B51,Table6_1[[#This Row],[% of national population]]-E51,"")</f>
        <v/>
      </c>
    </row>
    <row r="61" spans="1:9">
      <c r="A61">
        <v>2025</v>
      </c>
      <c r="B61" t="s">
        <v>515</v>
      </c>
      <c r="C61">
        <v>260700</v>
      </c>
      <c r="D61">
        <v>5324700</v>
      </c>
      <c r="E61">
        <v>4.8960504817172797E-2</v>
      </c>
      <c r="F61" t="str">
        <f>IF(Table6_1[[#This Row],[% of national population]]&gt;E60,"Up","Down")</f>
        <v>Down</v>
      </c>
      <c r="G61" t="str">
        <f>IF(Table6_1[[#This Row],[% of national population]]&gt;E52,"Up","Down")</f>
        <v>Down</v>
      </c>
      <c r="H61" s="2">
        <f>IF(Table6_1[[#This Row],[Region]]=B60,Table6_1[[#This Row],[% of national population]]-E60,"")</f>
        <v>-2.0773714880070043E-4</v>
      </c>
      <c r="I61" s="2">
        <f>IF(Table6_1[[#This Row],[Region]]=B52,Table6_1[[#This Row],[% of national population]]-E52,"")</f>
        <v>-2.1839342061827013E-3</v>
      </c>
    </row>
    <row r="62" spans="1:9">
      <c r="A62">
        <v>2016</v>
      </c>
      <c r="B62" t="s">
        <v>519</v>
      </c>
      <c r="C62">
        <v>47100</v>
      </c>
      <c r="D62">
        <v>4714100</v>
      </c>
      <c r="E62">
        <v>9.9913026876816396E-3</v>
      </c>
      <c r="F62" t="str">
        <f>IF(Table6_1[[#This Row],[% of national population]]&gt;E61,"Up","Down")</f>
        <v>Down</v>
      </c>
      <c r="H62" s="2" t="str">
        <f>IF(Table6_1[[#This Row],[Region]]=B61,Table6_1[[#This Row],[% of national population]]-E61,"")</f>
        <v/>
      </c>
      <c r="I62" s="2" t="str">
        <f>IF(Table6_1[[#This Row],[Region]]=B53,Table6_1[[#This Row],[% of national population]]-E53,"")</f>
        <v/>
      </c>
    </row>
    <row r="63" spans="1:9">
      <c r="A63">
        <v>2017</v>
      </c>
      <c r="B63" t="s">
        <v>519</v>
      </c>
      <c r="C63">
        <v>47900</v>
      </c>
      <c r="D63">
        <v>4813600</v>
      </c>
      <c r="E63">
        <v>9.9509722453049697E-3</v>
      </c>
      <c r="F63" t="str">
        <f>IF(Table6_1[[#This Row],[% of national population]]&gt;E62,"Up","Down")</f>
        <v>Down</v>
      </c>
      <c r="H63" s="2">
        <f>IF(Table6_1[[#This Row],[Region]]=B62,Table6_1[[#This Row],[% of national population]]-E62,"")</f>
        <v>-4.0330442376669898E-5</v>
      </c>
      <c r="I63" s="2" t="str">
        <f>IF(Table6_1[[#This Row],[Region]]=B54,Table6_1[[#This Row],[% of national population]]-E54,"")</f>
        <v/>
      </c>
    </row>
    <row r="64" spans="1:9">
      <c r="A64">
        <v>2018</v>
      </c>
      <c r="B64" t="s">
        <v>519</v>
      </c>
      <c r="C64">
        <v>48700</v>
      </c>
      <c r="D64">
        <v>4900600</v>
      </c>
      <c r="E64">
        <v>9.9375586662857601E-3</v>
      </c>
      <c r="F64" t="str">
        <f>IF(Table6_1[[#This Row],[% of national population]]&gt;E63,"Up","Down")</f>
        <v>Down</v>
      </c>
      <c r="H64" s="2">
        <f>IF(Table6_1[[#This Row],[Region]]=B63,Table6_1[[#This Row],[% of national population]]-E63,"")</f>
        <v>-1.3413579019209629E-5</v>
      </c>
      <c r="I64" s="2" t="str">
        <f>IF(Table6_1[[#This Row],[Region]]=B55,Table6_1[[#This Row],[% of national population]]-E55,"")</f>
        <v/>
      </c>
    </row>
    <row r="65" spans="1:9">
      <c r="A65">
        <v>2019</v>
      </c>
      <c r="B65" t="s">
        <v>519</v>
      </c>
      <c r="C65">
        <v>49100</v>
      </c>
      <c r="D65">
        <v>4970300</v>
      </c>
      <c r="E65">
        <v>9.8786793553709007E-3</v>
      </c>
      <c r="F65" t="str">
        <f>IF(Table6_1[[#This Row],[% of national population]]&gt;E64,"Up","Down")</f>
        <v>Down</v>
      </c>
      <c r="H65" s="2">
        <f>IF(Table6_1[[#This Row],[Region]]=B64,Table6_1[[#This Row],[% of national population]]-E64,"")</f>
        <v>-5.8879310914859359E-5</v>
      </c>
      <c r="I65" s="2" t="str">
        <f>IF(Table6_1[[#This Row],[Region]]=B56,Table6_1[[#This Row],[% of national population]]-E56,"")</f>
        <v/>
      </c>
    </row>
    <row r="66" spans="1:9">
      <c r="A66">
        <v>2020</v>
      </c>
      <c r="B66" t="s">
        <v>519</v>
      </c>
      <c r="C66">
        <v>50800</v>
      </c>
      <c r="D66">
        <v>5072400</v>
      </c>
      <c r="E66">
        <v>1.0014983045501099E-2</v>
      </c>
      <c r="F66" t="str">
        <f>IF(Table6_1[[#This Row],[% of national population]]&gt;E65,"Up","Down")</f>
        <v>Up</v>
      </c>
      <c r="H66" s="2">
        <f>IF(Table6_1[[#This Row],[Region]]=B65,Table6_1[[#This Row],[% of national population]]-E65,"")</f>
        <v>1.3630369013019859E-4</v>
      </c>
      <c r="I66" s="2" t="str">
        <f>IF(Table6_1[[#This Row],[Region]]=B57,Table6_1[[#This Row],[% of national population]]-E57,"")</f>
        <v/>
      </c>
    </row>
    <row r="67" spans="1:9">
      <c r="A67">
        <v>2021</v>
      </c>
      <c r="B67" t="s">
        <v>519</v>
      </c>
      <c r="C67">
        <v>50800</v>
      </c>
      <c r="D67">
        <v>5084600</v>
      </c>
      <c r="E67">
        <v>9.9909530739881198E-3</v>
      </c>
      <c r="F67" t="str">
        <f>IF(Table6_1[[#This Row],[% of national population]]&gt;E66,"Up","Down")</f>
        <v>Down</v>
      </c>
      <c r="H67" s="2">
        <f>IF(Table6_1[[#This Row],[Region]]=B66,Table6_1[[#This Row],[% of national population]]-E66,"")</f>
        <v>-2.4029971512979503E-5</v>
      </c>
      <c r="I67" s="2" t="str">
        <f>IF(Table6_1[[#This Row],[Region]]=B58,Table6_1[[#This Row],[% of national population]]-E58,"")</f>
        <v/>
      </c>
    </row>
    <row r="68" spans="1:9">
      <c r="A68">
        <v>2022</v>
      </c>
      <c r="B68" t="s">
        <v>519</v>
      </c>
      <c r="C68">
        <v>50500</v>
      </c>
      <c r="D68">
        <v>5081700</v>
      </c>
      <c r="E68">
        <v>9.9376193006277397E-3</v>
      </c>
      <c r="F68" t="str">
        <f>IF(Table6_1[[#This Row],[% of national population]]&gt;E67,"Up","Down")</f>
        <v>Down</v>
      </c>
      <c r="H68" s="2">
        <f>IF(Table6_1[[#This Row],[Region]]=B67,Table6_1[[#This Row],[% of national population]]-E67,"")</f>
        <v>-5.3333773360380102E-5</v>
      </c>
      <c r="I68" s="2" t="str">
        <f>IF(Table6_1[[#This Row],[Region]]=B59,Table6_1[[#This Row],[% of national population]]-E59,"")</f>
        <v/>
      </c>
    </row>
    <row r="69" spans="1:9">
      <c r="A69">
        <v>2023</v>
      </c>
      <c r="B69" t="s">
        <v>519</v>
      </c>
      <c r="C69">
        <v>50800</v>
      </c>
      <c r="D69">
        <v>5200000</v>
      </c>
      <c r="E69">
        <v>9.7692307692307696E-3</v>
      </c>
      <c r="F69" t="str">
        <f>IF(Table6_1[[#This Row],[% of national population]]&gt;E68,"Up","Down")</f>
        <v>Down</v>
      </c>
      <c r="H69" s="2">
        <f>IF(Table6_1[[#This Row],[Region]]=B68,Table6_1[[#This Row],[% of national population]]-E68,"")</f>
        <v>-1.6838853139697005E-4</v>
      </c>
      <c r="I69" s="2" t="str">
        <f>IF(Table6_1[[#This Row],[Region]]=B60,Table6_1[[#This Row],[% of national population]]-E60,"")</f>
        <v/>
      </c>
    </row>
    <row r="70" spans="1:9">
      <c r="A70">
        <v>2024</v>
      </c>
      <c r="B70" t="s">
        <v>519</v>
      </c>
      <c r="C70">
        <v>51000</v>
      </c>
      <c r="D70">
        <v>5290000</v>
      </c>
      <c r="E70">
        <v>9.6408317580340304E-3</v>
      </c>
      <c r="F70" t="str">
        <f>IF(Table6_1[[#This Row],[% of national population]]&gt;E69,"Up","Down")</f>
        <v>Down</v>
      </c>
      <c r="H70" s="2">
        <f>IF(Table6_1[[#This Row],[Region]]=B69,Table6_1[[#This Row],[% of national population]]-E69,"")</f>
        <v>-1.2839901119673924E-4</v>
      </c>
      <c r="I70" s="2" t="str">
        <f>IF(Table6_1[[#This Row],[Region]]=B61,Table6_1[[#This Row],[% of national population]]-E61,"")</f>
        <v/>
      </c>
    </row>
    <row r="71" spans="1:9">
      <c r="A71">
        <v>2025</v>
      </c>
      <c r="B71" t="s">
        <v>519</v>
      </c>
      <c r="C71">
        <v>50800</v>
      </c>
      <c r="D71">
        <v>5324700</v>
      </c>
      <c r="E71">
        <v>9.5404435930662793E-3</v>
      </c>
      <c r="F71" t="str">
        <f>IF(Table6_1[[#This Row],[% of national population]]&gt;E70,"Up","Down")</f>
        <v>Down</v>
      </c>
      <c r="G71" t="str">
        <f>IF(Table6_1[[#This Row],[% of national population]]&gt;E62,"Up","Down")</f>
        <v>Down</v>
      </c>
      <c r="H71" s="2">
        <f>IF(Table6_1[[#This Row],[Region]]=B70,Table6_1[[#This Row],[% of national population]]-E70,"")</f>
        <v>-1.0038816496775113E-4</v>
      </c>
      <c r="I71" s="2">
        <f>IF(Table6_1[[#This Row],[Region]]=B62,Table6_1[[#This Row],[% of national population]]-E62,"")</f>
        <v>-4.5085909461536032E-4</v>
      </c>
    </row>
    <row r="72" spans="1:9">
      <c r="A72">
        <v>2016</v>
      </c>
      <c r="B72" t="s">
        <v>518</v>
      </c>
      <c r="C72">
        <v>51400</v>
      </c>
      <c r="D72">
        <v>4714100</v>
      </c>
      <c r="E72">
        <v>1.09034598332662E-2</v>
      </c>
      <c r="F72" t="str">
        <f>IF(Table6_1[[#This Row],[% of national population]]&gt;E71,"Up","Down")</f>
        <v>Up</v>
      </c>
      <c r="H72" s="2" t="str">
        <f>IF(Table6_1[[#This Row],[Region]]=B71,Table6_1[[#This Row],[% of national population]]-E71,"")</f>
        <v/>
      </c>
      <c r="I72" s="2" t="str">
        <f>IF(Table6_1[[#This Row],[Region]]=B63,Table6_1[[#This Row],[% of national population]]-E63,"")</f>
        <v/>
      </c>
    </row>
    <row r="73" spans="1:9">
      <c r="A73">
        <v>2017</v>
      </c>
      <c r="B73" t="s">
        <v>518</v>
      </c>
      <c r="C73">
        <v>52000</v>
      </c>
      <c r="D73">
        <v>4813600</v>
      </c>
      <c r="E73">
        <v>1.08027256107695E-2</v>
      </c>
      <c r="F73" t="str">
        <f>IF(Table6_1[[#This Row],[% of national population]]&gt;E72,"Up","Down")</f>
        <v>Down</v>
      </c>
      <c r="H73" s="2">
        <f>IF(Table6_1[[#This Row],[Region]]=B72,Table6_1[[#This Row],[% of national population]]-E72,"")</f>
        <v>-1.0073422249669978E-4</v>
      </c>
      <c r="I73" s="2" t="str">
        <f>IF(Table6_1[[#This Row],[Region]]=B64,Table6_1[[#This Row],[% of national population]]-E64,"")</f>
        <v/>
      </c>
    </row>
    <row r="74" spans="1:9">
      <c r="A74">
        <v>2018</v>
      </c>
      <c r="B74" t="s">
        <v>518</v>
      </c>
      <c r="C74">
        <v>52700</v>
      </c>
      <c r="D74">
        <v>4900600</v>
      </c>
      <c r="E74">
        <v>1.0753785250785601E-2</v>
      </c>
      <c r="F74" t="str">
        <f>IF(Table6_1[[#This Row],[% of national population]]&gt;E73,"Up","Down")</f>
        <v>Down</v>
      </c>
      <c r="H74" s="2">
        <f>IF(Table6_1[[#This Row],[Region]]=B73,Table6_1[[#This Row],[% of national population]]-E73,"")</f>
        <v>-4.8940359983899381E-5</v>
      </c>
      <c r="I74" s="2" t="str">
        <f>IF(Table6_1[[#This Row],[Region]]=B65,Table6_1[[#This Row],[% of national population]]-E65,"")</f>
        <v/>
      </c>
    </row>
    <row r="75" spans="1:9">
      <c r="A75">
        <v>2019</v>
      </c>
      <c r="B75" t="s">
        <v>518</v>
      </c>
      <c r="C75">
        <v>53200</v>
      </c>
      <c r="D75">
        <v>4970300</v>
      </c>
      <c r="E75">
        <v>1.07035792608092E-2</v>
      </c>
      <c r="F75" t="str">
        <f>IF(Table6_1[[#This Row],[% of national population]]&gt;E74,"Up","Down")</f>
        <v>Down</v>
      </c>
      <c r="H75" s="2">
        <f>IF(Table6_1[[#This Row],[Region]]=B74,Table6_1[[#This Row],[% of national population]]-E74,"")</f>
        <v>-5.020598997640055E-5</v>
      </c>
      <c r="I75" s="2" t="str">
        <f>IF(Table6_1[[#This Row],[Region]]=B66,Table6_1[[#This Row],[% of national population]]-E66,"")</f>
        <v/>
      </c>
    </row>
    <row r="76" spans="1:9">
      <c r="A76">
        <v>2020</v>
      </c>
      <c r="B76" t="s">
        <v>518</v>
      </c>
      <c r="C76">
        <v>54500</v>
      </c>
      <c r="D76">
        <v>5072400</v>
      </c>
      <c r="E76">
        <v>1.0744420787004201E-2</v>
      </c>
      <c r="F76" t="str">
        <f>IF(Table6_1[[#This Row],[% of national population]]&gt;E75,"Up","Down")</f>
        <v>Up</v>
      </c>
      <c r="H76" s="2">
        <f>IF(Table6_1[[#This Row],[Region]]=B75,Table6_1[[#This Row],[% of national population]]-E75,"")</f>
        <v>4.084152619500056E-5</v>
      </c>
      <c r="I76" s="2" t="str">
        <f>IF(Table6_1[[#This Row],[Region]]=B67,Table6_1[[#This Row],[% of national population]]-E67,"")</f>
        <v/>
      </c>
    </row>
    <row r="77" spans="1:9">
      <c r="A77">
        <v>2021</v>
      </c>
      <c r="B77" t="s">
        <v>518</v>
      </c>
      <c r="C77">
        <v>54100</v>
      </c>
      <c r="D77">
        <v>5084600</v>
      </c>
      <c r="E77">
        <v>1.06399716791881E-2</v>
      </c>
      <c r="F77" t="str">
        <f>IF(Table6_1[[#This Row],[% of national population]]&gt;E76,"Up","Down")</f>
        <v>Down</v>
      </c>
      <c r="H77" s="2">
        <f>IF(Table6_1[[#This Row],[Region]]=B76,Table6_1[[#This Row],[% of national population]]-E76,"")</f>
        <v>-1.0444910781610105E-4</v>
      </c>
      <c r="I77" s="2" t="str">
        <f>IF(Table6_1[[#This Row],[Region]]=B68,Table6_1[[#This Row],[% of national population]]-E68,"")</f>
        <v/>
      </c>
    </row>
    <row r="78" spans="1:9">
      <c r="A78">
        <v>2022</v>
      </c>
      <c r="B78" t="s">
        <v>518</v>
      </c>
      <c r="C78">
        <v>53900</v>
      </c>
      <c r="D78">
        <v>5081700</v>
      </c>
      <c r="E78">
        <v>1.0606686738689799E-2</v>
      </c>
      <c r="F78" t="str">
        <f>IF(Table6_1[[#This Row],[% of national population]]&gt;E77,"Up","Down")</f>
        <v>Down</v>
      </c>
      <c r="H78" s="2">
        <f>IF(Table6_1[[#This Row],[Region]]=B77,Table6_1[[#This Row],[% of national population]]-E77,"")</f>
        <v>-3.3284940498300511E-5</v>
      </c>
      <c r="I78" s="2" t="str">
        <f>IF(Table6_1[[#This Row],[Region]]=B69,Table6_1[[#This Row],[% of national population]]-E69,"")</f>
        <v/>
      </c>
    </row>
    <row r="79" spans="1:9">
      <c r="A79">
        <v>2023</v>
      </c>
      <c r="B79" t="s">
        <v>518</v>
      </c>
      <c r="C79">
        <v>54300</v>
      </c>
      <c r="D79">
        <v>5200000</v>
      </c>
      <c r="E79">
        <v>1.04423076923077E-2</v>
      </c>
      <c r="F79" t="str">
        <f>IF(Table6_1[[#This Row],[% of national population]]&gt;E78,"Up","Down")</f>
        <v>Down</v>
      </c>
      <c r="H79" s="2">
        <f>IF(Table6_1[[#This Row],[Region]]=B78,Table6_1[[#This Row],[% of national population]]-E78,"")</f>
        <v>-1.6437904638209877E-4</v>
      </c>
      <c r="I79" s="2" t="str">
        <f>IF(Table6_1[[#This Row],[Region]]=B70,Table6_1[[#This Row],[% of national population]]-E70,"")</f>
        <v/>
      </c>
    </row>
    <row r="80" spans="1:9">
      <c r="A80">
        <v>2024</v>
      </c>
      <c r="B80" t="s">
        <v>518</v>
      </c>
      <c r="C80">
        <v>54500</v>
      </c>
      <c r="D80">
        <v>5290000</v>
      </c>
      <c r="E80">
        <v>1.0302457466918701E-2</v>
      </c>
      <c r="F80" t="str">
        <f>IF(Table6_1[[#This Row],[% of national population]]&gt;E79,"Up","Down")</f>
        <v>Down</v>
      </c>
      <c r="H80" s="2">
        <f>IF(Table6_1[[#This Row],[Region]]=B79,Table6_1[[#This Row],[% of national population]]-E79,"")</f>
        <v>-1.3985022538899952E-4</v>
      </c>
      <c r="I80" s="2" t="str">
        <f>IF(Table6_1[[#This Row],[Region]]=B71,Table6_1[[#This Row],[% of national population]]-E71,"")</f>
        <v/>
      </c>
    </row>
    <row r="81" spans="1:9">
      <c r="A81">
        <v>2025</v>
      </c>
      <c r="B81" t="s">
        <v>518</v>
      </c>
      <c r="C81">
        <v>54300</v>
      </c>
      <c r="D81">
        <v>5324700</v>
      </c>
      <c r="E81">
        <v>1.01977576201476E-2</v>
      </c>
      <c r="F81" t="str">
        <f>IF(Table6_1[[#This Row],[% of national population]]&gt;E80,"Up","Down")</f>
        <v>Down</v>
      </c>
      <c r="G81" t="str">
        <f>IF(Table6_1[[#This Row],[% of national population]]&gt;E72,"Up","Down")</f>
        <v>Down</v>
      </c>
      <c r="H81" s="2">
        <f>IF(Table6_1[[#This Row],[Region]]=B80,Table6_1[[#This Row],[% of national population]]-E80,"")</f>
        <v>-1.0469984677110092E-4</v>
      </c>
      <c r="I81" s="2">
        <f>IF(Table6_1[[#This Row],[Region]]=B72,Table6_1[[#This Row],[% of national population]]-E72,"")</f>
        <v>-7.0570221311859992E-4</v>
      </c>
    </row>
    <row r="82" spans="1:9">
      <c r="A82">
        <v>2016</v>
      </c>
      <c r="B82" t="s">
        <v>524</v>
      </c>
      <c r="C82">
        <v>3606300</v>
      </c>
      <c r="D82">
        <v>4714100</v>
      </c>
      <c r="E82">
        <v>0.76500286374917803</v>
      </c>
      <c r="F82" t="str">
        <f>IF(Table6_1[[#This Row],[% of national population]]&gt;E81,"Up","Down")</f>
        <v>Up</v>
      </c>
      <c r="H82" s="2" t="str">
        <f>IF(Table6_1[[#This Row],[Region]]=B81,Table6_1[[#This Row],[% of national population]]-E81,"")</f>
        <v/>
      </c>
      <c r="I82" s="2" t="str">
        <f>IF(Table6_1[[#This Row],[Region]]=B73,Table6_1[[#This Row],[% of national population]]-E73,"")</f>
        <v/>
      </c>
    </row>
    <row r="83" spans="1:9">
      <c r="A83">
        <v>2017</v>
      </c>
      <c r="B83" t="s">
        <v>524</v>
      </c>
      <c r="C83">
        <v>3684400</v>
      </c>
      <c r="D83">
        <v>4813600</v>
      </c>
      <c r="E83">
        <v>0.76541465846767498</v>
      </c>
      <c r="F83" t="str">
        <f>IF(Table6_1[[#This Row],[% of national population]]&gt;E82,"Up","Down")</f>
        <v>Up</v>
      </c>
      <c r="H83" s="2">
        <f>IF(Table6_1[[#This Row],[Region]]=B82,Table6_1[[#This Row],[% of national population]]-E82,"")</f>
        <v>4.1179471849694949E-4</v>
      </c>
      <c r="I83" s="2" t="str">
        <f>IF(Table6_1[[#This Row],[Region]]=B74,Table6_1[[#This Row],[% of national population]]-E74,"")</f>
        <v/>
      </c>
    </row>
    <row r="84" spans="1:9">
      <c r="A84">
        <v>2018</v>
      </c>
      <c r="B84" t="s">
        <v>524</v>
      </c>
      <c r="C84">
        <v>3753700</v>
      </c>
      <c r="D84">
        <v>4900600</v>
      </c>
      <c r="E84">
        <v>0.76596743255927802</v>
      </c>
      <c r="F84" t="str">
        <f>IF(Table6_1[[#This Row],[% of national population]]&gt;E83,"Up","Down")</f>
        <v>Up</v>
      </c>
      <c r="H84" s="2">
        <f>IF(Table6_1[[#This Row],[Region]]=B83,Table6_1[[#This Row],[% of national population]]-E83,"")</f>
        <v>5.5277409160303659E-4</v>
      </c>
      <c r="I84" s="2" t="str">
        <f>IF(Table6_1[[#This Row],[Region]]=B75,Table6_1[[#This Row],[% of national population]]-E75,"")</f>
        <v/>
      </c>
    </row>
    <row r="85" spans="1:9">
      <c r="A85">
        <v>2019</v>
      </c>
      <c r="B85" t="s">
        <v>524</v>
      </c>
      <c r="C85">
        <v>3808000</v>
      </c>
      <c r="D85">
        <v>4970300</v>
      </c>
      <c r="E85">
        <v>0.766150936563185</v>
      </c>
      <c r="F85" t="str">
        <f>IF(Table6_1[[#This Row],[% of national population]]&gt;E84,"Up","Down")</f>
        <v>Up</v>
      </c>
      <c r="H85" s="2">
        <f>IF(Table6_1[[#This Row],[Region]]=B84,Table6_1[[#This Row],[% of national population]]-E84,"")</f>
        <v>1.8350400390698685E-4</v>
      </c>
      <c r="I85" s="2" t="str">
        <f>IF(Table6_1[[#This Row],[Region]]=B76,Table6_1[[#This Row],[% of national population]]-E76,"")</f>
        <v/>
      </c>
    </row>
    <row r="86" spans="1:9">
      <c r="A86">
        <v>2020</v>
      </c>
      <c r="B86" t="s">
        <v>524</v>
      </c>
      <c r="C86">
        <v>3883800</v>
      </c>
      <c r="D86">
        <v>5072400</v>
      </c>
      <c r="E86">
        <v>0.76567305417553799</v>
      </c>
      <c r="F86" t="str">
        <f>IF(Table6_1[[#This Row],[% of national population]]&gt;E85,"Up","Down")</f>
        <v>Down</v>
      </c>
      <c r="H86" s="2">
        <f>IF(Table6_1[[#This Row],[Region]]=B85,Table6_1[[#This Row],[% of national population]]-E85,"")</f>
        <v>-4.7788238764701063E-4</v>
      </c>
      <c r="I86" s="2" t="str">
        <f>IF(Table6_1[[#This Row],[Region]]=B77,Table6_1[[#This Row],[% of national population]]-E77,"")</f>
        <v/>
      </c>
    </row>
    <row r="87" spans="1:9">
      <c r="A87">
        <v>2021</v>
      </c>
      <c r="B87" t="s">
        <v>524</v>
      </c>
      <c r="C87">
        <v>3890200</v>
      </c>
      <c r="D87">
        <v>5084600</v>
      </c>
      <c r="E87">
        <v>0.76509459937851598</v>
      </c>
      <c r="F87" t="str">
        <f>IF(Table6_1[[#This Row],[% of national population]]&gt;E86,"Up","Down")</f>
        <v>Down</v>
      </c>
      <c r="H87" s="2">
        <f>IF(Table6_1[[#This Row],[Region]]=B86,Table6_1[[#This Row],[% of national population]]-E86,"")</f>
        <v>-5.7845479702200997E-4</v>
      </c>
      <c r="I87" s="2" t="str">
        <f>IF(Table6_1[[#This Row],[Region]]=B78,Table6_1[[#This Row],[% of national population]]-E78,"")</f>
        <v/>
      </c>
    </row>
    <row r="88" spans="1:9">
      <c r="A88">
        <v>2022</v>
      </c>
      <c r="B88" t="s">
        <v>524</v>
      </c>
      <c r="C88">
        <v>3881900</v>
      </c>
      <c r="D88">
        <v>5081700</v>
      </c>
      <c r="E88">
        <v>0.76389790818033299</v>
      </c>
      <c r="F88" t="str">
        <f>IF(Table6_1[[#This Row],[% of national population]]&gt;E87,"Up","Down")</f>
        <v>Down</v>
      </c>
      <c r="H88" s="2">
        <f>IF(Table6_1[[#This Row],[Region]]=B87,Table6_1[[#This Row],[% of national population]]-E87,"")</f>
        <v>-1.1966911981829975E-3</v>
      </c>
      <c r="I88" s="2" t="str">
        <f>IF(Table6_1[[#This Row],[Region]]=B79,Table6_1[[#This Row],[% of national population]]-E79,"")</f>
        <v/>
      </c>
    </row>
    <row r="89" spans="1:9">
      <c r="A89">
        <v>2023</v>
      </c>
      <c r="B89" t="s">
        <v>524</v>
      </c>
      <c r="C89">
        <v>3973400</v>
      </c>
      <c r="D89">
        <v>5200000</v>
      </c>
      <c r="E89">
        <v>0.76411538461538497</v>
      </c>
      <c r="F89" t="str">
        <f>IF(Table6_1[[#This Row],[% of national population]]&gt;E88,"Up","Down")</f>
        <v>Up</v>
      </c>
      <c r="H89" s="2">
        <f>IF(Table6_1[[#This Row],[Region]]=B88,Table6_1[[#This Row],[% of national population]]-E88,"")</f>
        <v>2.1747643505198866E-4</v>
      </c>
      <c r="I89" s="2" t="str">
        <f>IF(Table6_1[[#This Row],[Region]]=B80,Table6_1[[#This Row],[% of national population]]-E80,"")</f>
        <v/>
      </c>
    </row>
    <row r="90" spans="1:9">
      <c r="A90">
        <v>2024</v>
      </c>
      <c r="B90" t="s">
        <v>524</v>
      </c>
      <c r="C90">
        <v>4042400</v>
      </c>
      <c r="D90">
        <v>5290000</v>
      </c>
      <c r="E90">
        <v>0.764158790170132</v>
      </c>
      <c r="F90" t="str">
        <f>IF(Table6_1[[#This Row],[% of national population]]&gt;E89,"Up","Down")</f>
        <v>Up</v>
      </c>
      <c r="H90" s="2">
        <f>IF(Table6_1[[#This Row],[Region]]=B89,Table6_1[[#This Row],[% of national population]]-E89,"")</f>
        <v>4.3405554747022457E-5</v>
      </c>
      <c r="I90" s="2" t="str">
        <f>IF(Table6_1[[#This Row],[Region]]=B81,Table6_1[[#This Row],[% of national population]]-E81,"")</f>
        <v/>
      </c>
    </row>
    <row r="91" spans="1:9">
      <c r="A91">
        <v>2025</v>
      </c>
      <c r="B91" t="s">
        <v>524</v>
      </c>
      <c r="C91">
        <v>4067400</v>
      </c>
      <c r="D91">
        <v>5324700</v>
      </c>
      <c r="E91">
        <v>0.76387402107160995</v>
      </c>
      <c r="F91" t="str">
        <f>IF(Table6_1[[#This Row],[% of national population]]&gt;E90,"Up","Down")</f>
        <v>Down</v>
      </c>
      <c r="G91" t="str">
        <f>IF(Table6_1[[#This Row],[% of national population]]&gt;E82,"Up","Down")</f>
        <v>Down</v>
      </c>
      <c r="H91" s="2">
        <f>IF(Table6_1[[#This Row],[Region]]=B90,Table6_1[[#This Row],[% of national population]]-E90,"")</f>
        <v>-2.8476909852204191E-4</v>
      </c>
      <c r="I91" s="2">
        <f>IF(Table6_1[[#This Row],[Region]]=B82,Table6_1[[#This Row],[% of national population]]-E82,"")</f>
        <v>-1.128842677568076E-3</v>
      </c>
    </row>
    <row r="92" spans="1:9">
      <c r="A92">
        <v>2016</v>
      </c>
      <c r="B92" t="s">
        <v>509</v>
      </c>
      <c r="C92">
        <v>176400</v>
      </c>
      <c r="D92">
        <v>4714100</v>
      </c>
      <c r="E92">
        <v>3.7419655925839498E-2</v>
      </c>
      <c r="F92" t="str">
        <f>IF(Table6_1[[#This Row],[% of national population]]&gt;E91,"Up","Down")</f>
        <v>Down</v>
      </c>
      <c r="H92" s="2" t="str">
        <f>IF(Table6_1[[#This Row],[Region]]=B91,Table6_1[[#This Row],[% of national population]]-E91,"")</f>
        <v/>
      </c>
      <c r="I92" s="2" t="str">
        <f>IF(Table6_1[[#This Row],[Region]]=B83,Table6_1[[#This Row],[% of national population]]-E83,"")</f>
        <v/>
      </c>
    </row>
    <row r="93" spans="1:9">
      <c r="A93">
        <v>2017</v>
      </c>
      <c r="B93" t="s">
        <v>509</v>
      </c>
      <c r="C93">
        <v>181200</v>
      </c>
      <c r="D93">
        <v>4813600</v>
      </c>
      <c r="E93">
        <v>3.7643343859066002E-2</v>
      </c>
      <c r="F93" t="str">
        <f>IF(Table6_1[[#This Row],[% of national population]]&gt;E92,"Up","Down")</f>
        <v>Up</v>
      </c>
      <c r="H93" s="2">
        <f>IF(Table6_1[[#This Row],[Region]]=B92,Table6_1[[#This Row],[% of national population]]-E92,"")</f>
        <v>2.2368793322650321E-4</v>
      </c>
      <c r="I93" s="2" t="str">
        <f>IF(Table6_1[[#This Row],[Region]]=B84,Table6_1[[#This Row],[% of national population]]-E84,"")</f>
        <v/>
      </c>
    </row>
    <row r="94" spans="1:9">
      <c r="A94">
        <v>2018</v>
      </c>
      <c r="B94" t="s">
        <v>509</v>
      </c>
      <c r="C94">
        <v>185800</v>
      </c>
      <c r="D94">
        <v>4900600</v>
      </c>
      <c r="E94">
        <v>3.7913724850018399E-2</v>
      </c>
      <c r="F94" t="str">
        <f>IF(Table6_1[[#This Row],[% of national population]]&gt;E93,"Up","Down")</f>
        <v>Up</v>
      </c>
      <c r="H94" s="2">
        <f>IF(Table6_1[[#This Row],[Region]]=B93,Table6_1[[#This Row],[% of national population]]-E93,"")</f>
        <v>2.7038099095239715E-4</v>
      </c>
      <c r="I94" s="2" t="str">
        <f>IF(Table6_1[[#This Row],[Region]]=B85,Table6_1[[#This Row],[% of national population]]-E85,"")</f>
        <v/>
      </c>
    </row>
    <row r="95" spans="1:9">
      <c r="A95">
        <v>2019</v>
      </c>
      <c r="B95" t="s">
        <v>509</v>
      </c>
      <c r="C95">
        <v>188000</v>
      </c>
      <c r="D95">
        <v>4970300</v>
      </c>
      <c r="E95">
        <v>3.7824678590829497E-2</v>
      </c>
      <c r="F95" t="str">
        <f>IF(Table6_1[[#This Row],[% of national population]]&gt;E94,"Up","Down")</f>
        <v>Down</v>
      </c>
      <c r="H95" s="2">
        <f>IF(Table6_1[[#This Row],[Region]]=B94,Table6_1[[#This Row],[% of national population]]-E94,"")</f>
        <v>-8.9046259188901855E-5</v>
      </c>
      <c r="I95" s="2" t="str">
        <f>IF(Table6_1[[#This Row],[Region]]=B86,Table6_1[[#This Row],[% of national population]]-E86,"")</f>
        <v/>
      </c>
    </row>
    <row r="96" spans="1:9">
      <c r="A96">
        <v>2020</v>
      </c>
      <c r="B96" t="s">
        <v>509</v>
      </c>
      <c r="C96">
        <v>192700</v>
      </c>
      <c r="D96">
        <v>5072400</v>
      </c>
      <c r="E96">
        <v>3.7989906158820301E-2</v>
      </c>
      <c r="F96" t="str">
        <f>IF(Table6_1[[#This Row],[% of national population]]&gt;E95,"Up","Down")</f>
        <v>Up</v>
      </c>
      <c r="H96" s="2">
        <f>IF(Table6_1[[#This Row],[Region]]=B95,Table6_1[[#This Row],[% of national population]]-E95,"")</f>
        <v>1.6522756799080413E-4</v>
      </c>
      <c r="I96" s="2" t="str">
        <f>IF(Table6_1[[#This Row],[Region]]=B87,Table6_1[[#This Row],[% of national population]]-E87,"")</f>
        <v/>
      </c>
    </row>
    <row r="97" spans="1:9">
      <c r="A97">
        <v>2021</v>
      </c>
      <c r="B97" t="s">
        <v>509</v>
      </c>
      <c r="C97">
        <v>195600</v>
      </c>
      <c r="D97">
        <v>5084600</v>
      </c>
      <c r="E97">
        <v>3.8469102780946403E-2</v>
      </c>
      <c r="F97" t="str">
        <f>IF(Table6_1[[#This Row],[% of national population]]&gt;E96,"Up","Down")</f>
        <v>Up</v>
      </c>
      <c r="H97" s="2">
        <f>IF(Table6_1[[#This Row],[Region]]=B96,Table6_1[[#This Row],[% of national population]]-E96,"")</f>
        <v>4.7919662212610181E-4</v>
      </c>
      <c r="I97" s="2" t="str">
        <f>IF(Table6_1[[#This Row],[Region]]=B88,Table6_1[[#This Row],[% of national population]]-E88,"")</f>
        <v/>
      </c>
    </row>
    <row r="98" spans="1:9">
      <c r="A98">
        <v>2022</v>
      </c>
      <c r="B98" t="s">
        <v>509</v>
      </c>
      <c r="C98">
        <v>197000</v>
      </c>
      <c r="D98">
        <v>5081700</v>
      </c>
      <c r="E98">
        <v>3.8766554499478502E-2</v>
      </c>
      <c r="F98" t="str">
        <f>IF(Table6_1[[#This Row],[% of national population]]&gt;E97,"Up","Down")</f>
        <v>Up</v>
      </c>
      <c r="H98" s="2">
        <f>IF(Table6_1[[#This Row],[Region]]=B97,Table6_1[[#This Row],[% of national population]]-E97,"")</f>
        <v>2.9745171853209906E-4</v>
      </c>
      <c r="I98" s="2" t="str">
        <f>IF(Table6_1[[#This Row],[Region]]=B89,Table6_1[[#This Row],[% of national population]]-E89,"")</f>
        <v/>
      </c>
    </row>
    <row r="99" spans="1:9">
      <c r="A99">
        <v>2023</v>
      </c>
      <c r="B99" t="s">
        <v>509</v>
      </c>
      <c r="C99">
        <v>198500</v>
      </c>
      <c r="D99">
        <v>5200000</v>
      </c>
      <c r="E99">
        <v>3.81730769230769E-2</v>
      </c>
      <c r="F99" t="str">
        <f>IF(Table6_1[[#This Row],[% of national population]]&gt;E98,"Up","Down")</f>
        <v>Down</v>
      </c>
      <c r="H99" s="2">
        <f>IF(Table6_1[[#This Row],[Region]]=B98,Table6_1[[#This Row],[% of national population]]-E98,"")</f>
        <v>-5.9347757640160204E-4</v>
      </c>
      <c r="I99" s="2" t="str">
        <f>IF(Table6_1[[#This Row],[Region]]=B90,Table6_1[[#This Row],[% of national population]]-E90,"")</f>
        <v/>
      </c>
    </row>
    <row r="100" spans="1:9">
      <c r="A100">
        <v>2024</v>
      </c>
      <c r="B100" t="s">
        <v>509</v>
      </c>
      <c r="C100">
        <v>200400</v>
      </c>
      <c r="D100">
        <v>5290000</v>
      </c>
      <c r="E100">
        <v>3.7882797731569003E-2</v>
      </c>
      <c r="F100" t="str">
        <f>IF(Table6_1[[#This Row],[% of national population]]&gt;E99,"Up","Down")</f>
        <v>Down</v>
      </c>
      <c r="H100" s="2">
        <f>IF(Table6_1[[#This Row],[Region]]=B99,Table6_1[[#This Row],[% of national population]]-E99,"")</f>
        <v>-2.9027919150789727E-4</v>
      </c>
      <c r="I100" s="2" t="str">
        <f>IF(Table6_1[[#This Row],[Region]]=B91,Table6_1[[#This Row],[% of national population]]-E91,"")</f>
        <v/>
      </c>
    </row>
    <row r="101" spans="1:9">
      <c r="A101">
        <v>2025</v>
      </c>
      <c r="B101" t="s">
        <v>509</v>
      </c>
      <c r="C101">
        <v>201100</v>
      </c>
      <c r="D101">
        <v>5324700</v>
      </c>
      <c r="E101">
        <v>3.7767385956016301E-2</v>
      </c>
      <c r="F101" t="str">
        <f>IF(Table6_1[[#This Row],[% of national population]]&gt;E100,"Up","Down")</f>
        <v>Down</v>
      </c>
      <c r="G101" t="str">
        <f>IF(Table6_1[[#This Row],[% of national population]]&gt;E92,"Up","Down")</f>
        <v>Up</v>
      </c>
      <c r="H101" s="2">
        <f>IF(Table6_1[[#This Row],[Region]]=B100,Table6_1[[#This Row],[% of national population]]-E100,"")</f>
        <v>-1.1541177555270121E-4</v>
      </c>
      <c r="I101" s="2">
        <f>IF(Table6_1[[#This Row],[Region]]=B92,Table6_1[[#This Row],[% of national population]]-E92,"")</f>
        <v>3.4773003017680298E-4</v>
      </c>
    </row>
    <row r="102" spans="1:9">
      <c r="A102">
        <v>2016</v>
      </c>
      <c r="B102" t="s">
        <v>522</v>
      </c>
      <c r="C102">
        <v>223100</v>
      </c>
      <c r="D102">
        <v>4714100</v>
      </c>
      <c r="E102">
        <v>4.7326106786024898E-2</v>
      </c>
      <c r="F102" t="str">
        <f>IF(Table6_1[[#This Row],[% of national population]]&gt;E101,"Up","Down")</f>
        <v>Up</v>
      </c>
      <c r="H102" s="2" t="str">
        <f>IF(Table6_1[[#This Row],[Region]]=B101,Table6_1[[#This Row],[% of national population]]-E101,"")</f>
        <v/>
      </c>
      <c r="I102" s="2" t="str">
        <f>IF(Table6_1[[#This Row],[Region]]=B93,Table6_1[[#This Row],[% of national population]]-E93,"")</f>
        <v/>
      </c>
    </row>
    <row r="103" spans="1:9">
      <c r="A103">
        <v>2017</v>
      </c>
      <c r="B103" t="s">
        <v>522</v>
      </c>
      <c r="C103">
        <v>228800</v>
      </c>
      <c r="D103">
        <v>4813600</v>
      </c>
      <c r="E103">
        <v>4.7531992687385699E-2</v>
      </c>
      <c r="F103" t="str">
        <f>IF(Table6_1[[#This Row],[% of national population]]&gt;E102,"Up","Down")</f>
        <v>Up</v>
      </c>
      <c r="H103" s="2">
        <f>IF(Table6_1[[#This Row],[Region]]=B102,Table6_1[[#This Row],[% of national population]]-E102,"")</f>
        <v>2.0588590136080137E-4</v>
      </c>
      <c r="I103" s="2" t="str">
        <f>IF(Table6_1[[#This Row],[Region]]=B94,Table6_1[[#This Row],[% of national population]]-E94,"")</f>
        <v/>
      </c>
    </row>
    <row r="104" spans="1:9">
      <c r="A104">
        <v>2018</v>
      </c>
      <c r="B104" t="s">
        <v>522</v>
      </c>
      <c r="C104">
        <v>235000</v>
      </c>
      <c r="D104">
        <v>4900600</v>
      </c>
      <c r="E104">
        <v>4.7953311839366602E-2</v>
      </c>
      <c r="F104" t="str">
        <f>IF(Table6_1[[#This Row],[% of national population]]&gt;E103,"Up","Down")</f>
        <v>Up</v>
      </c>
      <c r="H104" s="2">
        <f>IF(Table6_1[[#This Row],[Region]]=B103,Table6_1[[#This Row],[% of national population]]-E103,"")</f>
        <v>4.2131915198090342E-4</v>
      </c>
      <c r="I104" s="2" t="str">
        <f>IF(Table6_1[[#This Row],[Region]]=B95,Table6_1[[#This Row],[% of national population]]-E95,"")</f>
        <v/>
      </c>
    </row>
    <row r="105" spans="1:9">
      <c r="A105">
        <v>2019</v>
      </c>
      <c r="B105" t="s">
        <v>522</v>
      </c>
      <c r="C105">
        <v>238400</v>
      </c>
      <c r="D105">
        <v>4970300</v>
      </c>
      <c r="E105">
        <v>4.7964911574754E-2</v>
      </c>
      <c r="F105" t="str">
        <f>IF(Table6_1[[#This Row],[% of national population]]&gt;E104,"Up","Down")</f>
        <v>Up</v>
      </c>
      <c r="H105" s="2">
        <f>IF(Table6_1[[#This Row],[Region]]=B104,Table6_1[[#This Row],[% of national population]]-E104,"")</f>
        <v>1.1599735387397836E-5</v>
      </c>
      <c r="I105" s="2" t="str">
        <f>IF(Table6_1[[#This Row],[Region]]=B96,Table6_1[[#This Row],[% of national population]]-E96,"")</f>
        <v/>
      </c>
    </row>
    <row r="106" spans="1:9">
      <c r="A106">
        <v>2020</v>
      </c>
      <c r="B106" t="s">
        <v>522</v>
      </c>
      <c r="C106">
        <v>244000</v>
      </c>
      <c r="D106">
        <v>5072400</v>
      </c>
      <c r="E106">
        <v>4.81034618720921E-2</v>
      </c>
      <c r="F106" t="str">
        <f>IF(Table6_1[[#This Row],[% of national population]]&gt;E105,"Up","Down")</f>
        <v>Up</v>
      </c>
      <c r="H106" s="2">
        <f>IF(Table6_1[[#This Row],[Region]]=B105,Table6_1[[#This Row],[% of national population]]-E105,"")</f>
        <v>1.3855029733809976E-4</v>
      </c>
      <c r="I106" s="2" t="str">
        <f>IF(Table6_1[[#This Row],[Region]]=B97,Table6_1[[#This Row],[% of national population]]-E97,"")</f>
        <v/>
      </c>
    </row>
    <row r="107" spans="1:9">
      <c r="A107">
        <v>2021</v>
      </c>
      <c r="B107" t="s">
        <v>522</v>
      </c>
      <c r="C107">
        <v>243400</v>
      </c>
      <c r="D107">
        <v>5084600</v>
      </c>
      <c r="E107">
        <v>4.78700389411163E-2</v>
      </c>
      <c r="F107" t="str">
        <f>IF(Table6_1[[#This Row],[% of national population]]&gt;E106,"Up","Down")</f>
        <v>Down</v>
      </c>
      <c r="H107" s="2">
        <f>IF(Table6_1[[#This Row],[Region]]=B106,Table6_1[[#This Row],[% of national population]]-E106,"")</f>
        <v>-2.3342293097580041E-4</v>
      </c>
      <c r="I107" s="2" t="str">
        <f>IF(Table6_1[[#This Row],[Region]]=B98,Table6_1[[#This Row],[% of national population]]-E98,"")</f>
        <v/>
      </c>
    </row>
    <row r="108" spans="1:9">
      <c r="A108">
        <v>2022</v>
      </c>
      <c r="B108" t="s">
        <v>522</v>
      </c>
      <c r="C108">
        <v>243400</v>
      </c>
      <c r="D108">
        <v>5081700</v>
      </c>
      <c r="E108">
        <v>4.7897357183619697E-2</v>
      </c>
      <c r="F108" t="str">
        <f>IF(Table6_1[[#This Row],[% of national population]]&gt;E107,"Up","Down")</f>
        <v>Up</v>
      </c>
      <c r="H108" s="2">
        <f>IF(Table6_1[[#This Row],[Region]]=B107,Table6_1[[#This Row],[% of national population]]-E107,"")</f>
        <v>2.7318242503397705E-5</v>
      </c>
      <c r="I108" s="2" t="str">
        <f>IF(Table6_1[[#This Row],[Region]]=B99,Table6_1[[#This Row],[% of national population]]-E99,"")</f>
        <v/>
      </c>
    </row>
    <row r="109" spans="1:9">
      <c r="A109">
        <v>2023</v>
      </c>
      <c r="B109" t="s">
        <v>522</v>
      </c>
      <c r="C109">
        <v>248500</v>
      </c>
      <c r="D109">
        <v>5200000</v>
      </c>
      <c r="E109">
        <v>4.7788461538461502E-2</v>
      </c>
      <c r="F109" t="str">
        <f>IF(Table6_1[[#This Row],[% of national population]]&gt;E108,"Up","Down")</f>
        <v>Down</v>
      </c>
      <c r="H109" s="2">
        <f>IF(Table6_1[[#This Row],[Region]]=B108,Table6_1[[#This Row],[% of national population]]-E108,"")</f>
        <v>-1.0889564515819544E-4</v>
      </c>
      <c r="I109" s="2" t="str">
        <f>IF(Table6_1[[#This Row],[Region]]=B100,Table6_1[[#This Row],[% of national population]]-E100,"")</f>
        <v/>
      </c>
    </row>
    <row r="110" spans="1:9">
      <c r="A110">
        <v>2024</v>
      </c>
      <c r="B110" t="s">
        <v>522</v>
      </c>
      <c r="C110">
        <v>252400</v>
      </c>
      <c r="D110">
        <v>5290000</v>
      </c>
      <c r="E110">
        <v>4.7712665406427199E-2</v>
      </c>
      <c r="F110" t="str">
        <f>IF(Table6_1[[#This Row],[% of national population]]&gt;E109,"Up","Down")</f>
        <v>Down</v>
      </c>
      <c r="H110" s="2">
        <f>IF(Table6_1[[#This Row],[Region]]=B109,Table6_1[[#This Row],[% of national population]]-E109,"")</f>
        <v>-7.5796132034303132E-5</v>
      </c>
      <c r="I110" s="2" t="str">
        <f>IF(Table6_1[[#This Row],[Region]]=B101,Table6_1[[#This Row],[% of national population]]-E101,"")</f>
        <v/>
      </c>
    </row>
    <row r="111" spans="1:9">
      <c r="A111">
        <v>2025</v>
      </c>
      <c r="B111" t="s">
        <v>522</v>
      </c>
      <c r="C111">
        <v>253900</v>
      </c>
      <c r="D111">
        <v>5324700</v>
      </c>
      <c r="E111">
        <v>4.7683437564557597E-2</v>
      </c>
      <c r="F111" t="str">
        <f>IF(Table6_1[[#This Row],[% of national population]]&gt;E110,"Up","Down")</f>
        <v>Down</v>
      </c>
      <c r="G111" t="str">
        <f>IF(Table6_1[[#This Row],[% of national population]]&gt;E102,"Up","Down")</f>
        <v>Up</v>
      </c>
      <c r="H111" s="2">
        <f>IF(Table6_1[[#This Row],[Region]]=B110,Table6_1[[#This Row],[% of national population]]-E110,"")</f>
        <v>-2.9227841869601534E-5</v>
      </c>
      <c r="I111" s="2">
        <f>IF(Table6_1[[#This Row],[Region]]=B102,Table6_1[[#This Row],[% of national population]]-E102,"")</f>
        <v>3.5733077853269957E-4</v>
      </c>
    </row>
    <row r="112" spans="1:9">
      <c r="A112">
        <v>2016</v>
      </c>
      <c r="B112" t="s">
        <v>525</v>
      </c>
      <c r="C112">
        <v>1107200</v>
      </c>
      <c r="D112">
        <v>4714100</v>
      </c>
      <c r="E112">
        <v>0.23486985850957801</v>
      </c>
      <c r="F112" t="str">
        <f>IF(Table6_1[[#This Row],[% of national population]]&gt;E111,"Up","Down")</f>
        <v>Up</v>
      </c>
      <c r="H112" s="2" t="str">
        <f>IF(Table6_1[[#This Row],[Region]]=B111,Table6_1[[#This Row],[% of national population]]-E111,"")</f>
        <v/>
      </c>
      <c r="I112" s="2" t="str">
        <f>IF(Table6_1[[#This Row],[Region]]=B103,Table6_1[[#This Row],[% of national population]]-E103,"")</f>
        <v/>
      </c>
    </row>
    <row r="113" spans="1:9">
      <c r="A113">
        <v>2017</v>
      </c>
      <c r="B113" t="s">
        <v>525</v>
      </c>
      <c r="C113">
        <v>1128500</v>
      </c>
      <c r="D113">
        <v>4813600</v>
      </c>
      <c r="E113">
        <v>0.234439920226026</v>
      </c>
      <c r="F113" t="str">
        <f>IF(Table6_1[[#This Row],[% of national population]]&gt;E112,"Up","Down")</f>
        <v>Down</v>
      </c>
      <c r="H113" s="2">
        <f>IF(Table6_1[[#This Row],[Region]]=B112,Table6_1[[#This Row],[% of national population]]-E112,"")</f>
        <v>-4.2993828355200603E-4</v>
      </c>
      <c r="I113" s="2" t="str">
        <f>IF(Table6_1[[#This Row],[Region]]=B104,Table6_1[[#This Row],[% of national population]]-E104,"")</f>
        <v/>
      </c>
    </row>
    <row r="114" spans="1:9">
      <c r="A114">
        <v>2018</v>
      </c>
      <c r="B114" t="s">
        <v>525</v>
      </c>
      <c r="C114">
        <v>1146200</v>
      </c>
      <c r="D114">
        <v>4900600</v>
      </c>
      <c r="E114">
        <v>0.233889727788434</v>
      </c>
      <c r="F114" t="str">
        <f>IF(Table6_1[[#This Row],[% of national population]]&gt;E113,"Up","Down")</f>
        <v>Down</v>
      </c>
      <c r="H114" s="2">
        <f>IF(Table6_1[[#This Row],[Region]]=B113,Table6_1[[#This Row],[% of national population]]-E113,"")</f>
        <v>-5.5019243759199532E-4</v>
      </c>
      <c r="I114" s="2" t="str">
        <f>IF(Table6_1[[#This Row],[Region]]=B105,Table6_1[[#This Row],[% of national population]]-E105,"")</f>
        <v/>
      </c>
    </row>
    <row r="115" spans="1:9">
      <c r="A115">
        <v>2019</v>
      </c>
      <c r="B115" t="s">
        <v>525</v>
      </c>
      <c r="C115">
        <v>1161700</v>
      </c>
      <c r="D115">
        <v>4970300</v>
      </c>
      <c r="E115">
        <v>0.23372834637748199</v>
      </c>
      <c r="F115" t="str">
        <f>IF(Table6_1[[#This Row],[% of national population]]&gt;E114,"Up","Down")</f>
        <v>Down</v>
      </c>
      <c r="H115" s="2">
        <f>IF(Table6_1[[#This Row],[Region]]=B114,Table6_1[[#This Row],[% of national population]]-E114,"")</f>
        <v>-1.6138141095201064E-4</v>
      </c>
      <c r="I115" s="2" t="str">
        <f>IF(Table6_1[[#This Row],[Region]]=B106,Table6_1[[#This Row],[% of national population]]-E106,"")</f>
        <v/>
      </c>
    </row>
    <row r="116" spans="1:9">
      <c r="A116">
        <v>2020</v>
      </c>
      <c r="B116" t="s">
        <v>525</v>
      </c>
      <c r="C116">
        <v>1187900</v>
      </c>
      <c r="D116">
        <v>5072400</v>
      </c>
      <c r="E116">
        <v>0.23418894408958299</v>
      </c>
      <c r="F116" t="str">
        <f>IF(Table6_1[[#This Row],[% of national population]]&gt;E115,"Up","Down")</f>
        <v>Up</v>
      </c>
      <c r="H116" s="2">
        <f>IF(Table6_1[[#This Row],[Region]]=B115,Table6_1[[#This Row],[% of national population]]-E115,"")</f>
        <v>4.6059771210099631E-4</v>
      </c>
      <c r="I116" s="2" t="str">
        <f>IF(Table6_1[[#This Row],[Region]]=B107,Table6_1[[#This Row],[% of national population]]-E107,"")</f>
        <v/>
      </c>
    </row>
    <row r="117" spans="1:9">
      <c r="A117">
        <v>2021</v>
      </c>
      <c r="B117" t="s">
        <v>525</v>
      </c>
      <c r="C117">
        <v>1193700</v>
      </c>
      <c r="D117">
        <v>5084600</v>
      </c>
      <c r="E117">
        <v>0.23476773000826001</v>
      </c>
      <c r="F117" t="str">
        <f>IF(Table6_1[[#This Row],[% of national population]]&gt;E116,"Up","Down")</f>
        <v>Up</v>
      </c>
      <c r="H117" s="2">
        <f>IF(Table6_1[[#This Row],[Region]]=B116,Table6_1[[#This Row],[% of national population]]-E116,"")</f>
        <v>5.7878591867702167E-4</v>
      </c>
      <c r="I117" s="2" t="str">
        <f>IF(Table6_1[[#This Row],[Region]]=B108,Table6_1[[#This Row],[% of national population]]-E108,"")</f>
        <v/>
      </c>
    </row>
    <row r="118" spans="1:9">
      <c r="A118">
        <v>2022</v>
      </c>
      <c r="B118" t="s">
        <v>525</v>
      </c>
      <c r="C118">
        <v>1199100</v>
      </c>
      <c r="D118">
        <v>5081700</v>
      </c>
      <c r="E118">
        <v>0.235964342641242</v>
      </c>
      <c r="F118" t="str">
        <f>IF(Table6_1[[#This Row],[% of national population]]&gt;E117,"Up","Down")</f>
        <v>Up</v>
      </c>
      <c r="H118" s="2">
        <f>IF(Table6_1[[#This Row],[Region]]=B117,Table6_1[[#This Row],[% of national population]]-E117,"")</f>
        <v>1.1966126329819859E-3</v>
      </c>
      <c r="I118" s="2" t="str">
        <f>IF(Table6_1[[#This Row],[Region]]=B109,Table6_1[[#This Row],[% of national population]]-E109,"")</f>
        <v/>
      </c>
    </row>
    <row r="119" spans="1:9">
      <c r="A119">
        <v>2023</v>
      </c>
      <c r="B119" t="s">
        <v>525</v>
      </c>
      <c r="C119">
        <v>1226100</v>
      </c>
      <c r="D119">
        <v>5200000</v>
      </c>
      <c r="E119">
        <v>0.235788461538462</v>
      </c>
      <c r="F119" t="str">
        <f>IF(Table6_1[[#This Row],[% of national population]]&gt;E118,"Up","Down")</f>
        <v>Down</v>
      </c>
      <c r="H119" s="2">
        <f>IF(Table6_1[[#This Row],[Region]]=B118,Table6_1[[#This Row],[% of national population]]-E118,"")</f>
        <v>-1.7588110277999558E-4</v>
      </c>
      <c r="I119" s="2" t="str">
        <f>IF(Table6_1[[#This Row],[Region]]=B110,Table6_1[[#This Row],[% of national population]]-E110,"")</f>
        <v/>
      </c>
    </row>
    <row r="120" spans="1:9">
      <c r="A120">
        <v>2024</v>
      </c>
      <c r="B120" t="s">
        <v>525</v>
      </c>
      <c r="C120">
        <v>1247000</v>
      </c>
      <c r="D120">
        <v>5290000</v>
      </c>
      <c r="E120">
        <v>0.235727788279773</v>
      </c>
      <c r="F120" t="str">
        <f>IF(Table6_1[[#This Row],[% of national population]]&gt;E119,"Up","Down")</f>
        <v>Down</v>
      </c>
      <c r="H120" s="2">
        <f>IF(Table6_1[[#This Row],[Region]]=B119,Table6_1[[#This Row],[% of national population]]-E119,"")</f>
        <v>-6.0673258688997977E-5</v>
      </c>
      <c r="I120" s="2" t="str">
        <f>IF(Table6_1[[#This Row],[Region]]=B111,Table6_1[[#This Row],[% of national population]]-E111,"")</f>
        <v/>
      </c>
    </row>
    <row r="121" spans="1:9">
      <c r="A121">
        <v>2025</v>
      </c>
      <c r="B121" t="s">
        <v>525</v>
      </c>
      <c r="C121">
        <v>1256700</v>
      </c>
      <c r="D121">
        <v>5324700</v>
      </c>
      <c r="E121">
        <v>0.236013296523748</v>
      </c>
      <c r="F121" t="str">
        <f>IF(Table6_1[[#This Row],[% of national population]]&gt;E120,"Up","Down")</f>
        <v>Up</v>
      </c>
      <c r="G121" t="str">
        <f>IF(Table6_1[[#This Row],[% of national population]]&gt;E112,"Up","Down")</f>
        <v>Up</v>
      </c>
      <c r="H121" s="2">
        <f>IF(Table6_1[[#This Row],[Region]]=B120,Table6_1[[#This Row],[% of national population]]-E120,"")</f>
        <v>2.8550824397499674E-4</v>
      </c>
      <c r="I121" s="2">
        <f>IF(Table6_1[[#This Row],[Region]]=B112,Table6_1[[#This Row],[% of national population]]-E112,"")</f>
        <v>1.1434380141699951E-3</v>
      </c>
    </row>
    <row r="122" spans="1:9">
      <c r="A122">
        <v>2016</v>
      </c>
      <c r="B122" t="s">
        <v>523</v>
      </c>
      <c r="C122">
        <v>99000</v>
      </c>
      <c r="D122">
        <v>4714100</v>
      </c>
      <c r="E122">
        <v>2.10008273053181E-2</v>
      </c>
      <c r="F122" t="str">
        <f>IF(Table6_1[[#This Row],[% of national population]]&gt;E121,"Up","Down")</f>
        <v>Down</v>
      </c>
      <c r="H122" s="2" t="str">
        <f>IF(Table6_1[[#This Row],[Region]]=B121,Table6_1[[#This Row],[% of national population]]-E121,"")</f>
        <v/>
      </c>
      <c r="I122" s="2" t="str">
        <f>IF(Table6_1[[#This Row],[Region]]=B113,Table6_1[[#This Row],[% of national population]]-E113,"")</f>
        <v/>
      </c>
    </row>
    <row r="123" spans="1:9">
      <c r="A123">
        <v>2017</v>
      </c>
      <c r="B123" t="s">
        <v>523</v>
      </c>
      <c r="C123">
        <v>99900</v>
      </c>
      <c r="D123">
        <v>4813600</v>
      </c>
      <c r="E123">
        <v>2.0753697856074501E-2</v>
      </c>
      <c r="F123" t="str">
        <f>IF(Table6_1[[#This Row],[% of national population]]&gt;E122,"Up","Down")</f>
        <v>Down</v>
      </c>
      <c r="H123" s="2">
        <f>IF(Table6_1[[#This Row],[Region]]=B122,Table6_1[[#This Row],[% of national population]]-E122,"")</f>
        <v>-2.4712944924359936E-4</v>
      </c>
      <c r="I123" s="2" t="str">
        <f>IF(Table6_1[[#This Row],[Region]]=B114,Table6_1[[#This Row],[% of national population]]-E114,"")</f>
        <v/>
      </c>
    </row>
    <row r="124" spans="1:9">
      <c r="A124">
        <v>2018</v>
      </c>
      <c r="B124" t="s">
        <v>523</v>
      </c>
      <c r="C124">
        <v>100500</v>
      </c>
      <c r="D124">
        <v>4900600</v>
      </c>
      <c r="E124">
        <v>2.0507692935558899E-2</v>
      </c>
      <c r="F124" t="str">
        <f>IF(Table6_1[[#This Row],[% of national population]]&gt;E123,"Up","Down")</f>
        <v>Down</v>
      </c>
      <c r="H124" s="2">
        <f>IF(Table6_1[[#This Row],[Region]]=B123,Table6_1[[#This Row],[% of national population]]-E123,"")</f>
        <v>-2.460049205156023E-4</v>
      </c>
      <c r="I124" s="2" t="str">
        <f>IF(Table6_1[[#This Row],[Region]]=B115,Table6_1[[#This Row],[% of national population]]-E115,"")</f>
        <v/>
      </c>
    </row>
    <row r="125" spans="1:9">
      <c r="A125">
        <v>2019</v>
      </c>
      <c r="B125" t="s">
        <v>523</v>
      </c>
      <c r="C125">
        <v>101400</v>
      </c>
      <c r="D125">
        <v>4970300</v>
      </c>
      <c r="E125">
        <v>2.04011830271815E-2</v>
      </c>
      <c r="F125" t="str">
        <f>IF(Table6_1[[#This Row],[% of national population]]&gt;E124,"Up","Down")</f>
        <v>Down</v>
      </c>
      <c r="H125" s="2">
        <f>IF(Table6_1[[#This Row],[Region]]=B124,Table6_1[[#This Row],[% of national population]]-E124,"")</f>
        <v>-1.0650990837739877E-4</v>
      </c>
      <c r="I125" s="2" t="str">
        <f>IF(Table6_1[[#This Row],[Region]]=B116,Table6_1[[#This Row],[% of national population]]-E116,"")</f>
        <v/>
      </c>
    </row>
    <row r="126" spans="1:9">
      <c r="A126">
        <v>2020</v>
      </c>
      <c r="B126" t="s">
        <v>523</v>
      </c>
      <c r="C126">
        <v>102200</v>
      </c>
      <c r="D126">
        <v>5072400</v>
      </c>
      <c r="E126">
        <v>2.0148253292327101E-2</v>
      </c>
      <c r="F126" t="str">
        <f>IF(Table6_1[[#This Row],[% of national population]]&gt;E125,"Up","Down")</f>
        <v>Down</v>
      </c>
      <c r="H126" s="2">
        <f>IF(Table6_1[[#This Row],[Region]]=B125,Table6_1[[#This Row],[% of national population]]-E125,"")</f>
        <v>-2.5292973485439851E-4</v>
      </c>
      <c r="I126" s="2" t="str">
        <f>IF(Table6_1[[#This Row],[Region]]=B117,Table6_1[[#This Row],[% of national population]]-E117,"")</f>
        <v/>
      </c>
    </row>
    <row r="127" spans="1:9">
      <c r="A127">
        <v>2021</v>
      </c>
      <c r="B127" t="s">
        <v>523</v>
      </c>
      <c r="C127">
        <v>101400</v>
      </c>
      <c r="D127">
        <v>5084600</v>
      </c>
      <c r="E127">
        <v>1.9942571687054999E-2</v>
      </c>
      <c r="F127" t="str">
        <f>IF(Table6_1[[#This Row],[% of national population]]&gt;E126,"Up","Down")</f>
        <v>Down</v>
      </c>
      <c r="H127" s="2">
        <f>IF(Table6_1[[#This Row],[Region]]=B126,Table6_1[[#This Row],[% of national population]]-E126,"")</f>
        <v>-2.056816052721025E-4</v>
      </c>
      <c r="I127" s="2" t="str">
        <f>IF(Table6_1[[#This Row],[Region]]=B118,Table6_1[[#This Row],[% of national population]]-E118,"")</f>
        <v/>
      </c>
    </row>
    <row r="128" spans="1:9">
      <c r="A128">
        <v>2022</v>
      </c>
      <c r="B128" t="s">
        <v>523</v>
      </c>
      <c r="C128">
        <v>101000</v>
      </c>
      <c r="D128">
        <v>5081700</v>
      </c>
      <c r="E128">
        <v>1.98752386012555E-2</v>
      </c>
      <c r="F128" t="str">
        <f>IF(Table6_1[[#This Row],[% of national population]]&gt;E127,"Up","Down")</f>
        <v>Down</v>
      </c>
      <c r="H128" s="2">
        <f>IF(Table6_1[[#This Row],[Region]]=B127,Table6_1[[#This Row],[% of national population]]-E127,"")</f>
        <v>-6.7333085799498732E-5</v>
      </c>
      <c r="I128" s="2" t="str">
        <f>IF(Table6_1[[#This Row],[Region]]=B119,Table6_1[[#This Row],[% of national population]]-E119,"")</f>
        <v/>
      </c>
    </row>
    <row r="129" spans="1:9">
      <c r="A129">
        <v>2023</v>
      </c>
      <c r="B129" t="s">
        <v>523</v>
      </c>
      <c r="C129">
        <v>102700</v>
      </c>
      <c r="D129">
        <v>5200000</v>
      </c>
      <c r="E129">
        <v>1.975E-2</v>
      </c>
      <c r="F129" t="str">
        <f>IF(Table6_1[[#This Row],[% of national population]]&gt;E128,"Up","Down")</f>
        <v>Down</v>
      </c>
      <c r="H129" s="2">
        <f>IF(Table6_1[[#This Row],[Region]]=B128,Table6_1[[#This Row],[% of national population]]-E128,"")</f>
        <v>-1.2523860125549999E-4</v>
      </c>
      <c r="I129" s="2" t="str">
        <f>IF(Table6_1[[#This Row],[Region]]=B120,Table6_1[[#This Row],[% of national population]]-E120,"")</f>
        <v/>
      </c>
    </row>
    <row r="130" spans="1:9">
      <c r="A130">
        <v>2024</v>
      </c>
      <c r="B130" t="s">
        <v>523</v>
      </c>
      <c r="C130">
        <v>104200</v>
      </c>
      <c r="D130">
        <v>5290000</v>
      </c>
      <c r="E130">
        <v>1.96975425330813E-2</v>
      </c>
      <c r="F130" t="str">
        <f>IF(Table6_1[[#This Row],[% of national population]]&gt;E129,"Up","Down")</f>
        <v>Down</v>
      </c>
      <c r="H130" s="2">
        <f>IF(Table6_1[[#This Row],[Region]]=B129,Table6_1[[#This Row],[% of national population]]-E129,"")</f>
        <v>-5.2457466918700429E-5</v>
      </c>
      <c r="I130" s="2" t="str">
        <f>IF(Table6_1[[#This Row],[Region]]=B121,Table6_1[[#This Row],[% of national population]]-E121,"")</f>
        <v/>
      </c>
    </row>
    <row r="131" spans="1:9">
      <c r="A131">
        <v>2025</v>
      </c>
      <c r="B131" t="s">
        <v>523</v>
      </c>
      <c r="C131">
        <v>104800</v>
      </c>
      <c r="D131">
        <v>5324700</v>
      </c>
      <c r="E131">
        <v>1.9681860010892602E-2</v>
      </c>
      <c r="F131" t="str">
        <f>IF(Table6_1[[#This Row],[% of national population]]&gt;E130,"Up","Down")</f>
        <v>Down</v>
      </c>
      <c r="G131" t="str">
        <f>IF(Table6_1[[#This Row],[% of national population]]&gt;E122,"Up","Down")</f>
        <v>Down</v>
      </c>
      <c r="H131" s="2">
        <f>IF(Table6_1[[#This Row],[Region]]=B130,Table6_1[[#This Row],[% of national population]]-E130,"")</f>
        <v>-1.5682522188698034E-5</v>
      </c>
      <c r="I131" s="2">
        <f>IF(Table6_1[[#This Row],[Region]]=B122,Table6_1[[#This Row],[% of national population]]-E122,"")</f>
        <v>-1.3189672944254986E-3</v>
      </c>
    </row>
    <row r="132" spans="1:9">
      <c r="A132">
        <v>2016</v>
      </c>
      <c r="B132" t="s">
        <v>514</v>
      </c>
      <c r="C132">
        <v>118500</v>
      </c>
      <c r="D132">
        <v>4714100</v>
      </c>
      <c r="E132">
        <v>2.5137353895759499E-2</v>
      </c>
      <c r="F132" t="str">
        <f>IF(Table6_1[[#This Row],[% of national population]]&gt;E131,"Up","Down")</f>
        <v>Up</v>
      </c>
      <c r="H132" s="2" t="str">
        <f>IF(Table6_1[[#This Row],[Region]]=B131,Table6_1[[#This Row],[% of national population]]-E131,"")</f>
        <v/>
      </c>
      <c r="I132" s="2" t="str">
        <f>IF(Table6_1[[#This Row],[Region]]=B123,Table6_1[[#This Row],[% of national population]]-E123,"")</f>
        <v/>
      </c>
    </row>
    <row r="133" spans="1:9">
      <c r="A133">
        <v>2017</v>
      </c>
      <c r="B133" t="s">
        <v>514</v>
      </c>
      <c r="C133">
        <v>120000</v>
      </c>
      <c r="D133">
        <v>4813600</v>
      </c>
      <c r="E133">
        <v>2.4929366794083401E-2</v>
      </c>
      <c r="F133" t="str">
        <f>IF(Table6_1[[#This Row],[% of national population]]&gt;E132,"Up","Down")</f>
        <v>Down</v>
      </c>
      <c r="H133" s="2">
        <f>IF(Table6_1[[#This Row],[Region]]=B132,Table6_1[[#This Row],[% of national population]]-E132,"")</f>
        <v>-2.0798710167609785E-4</v>
      </c>
      <c r="I133" s="2" t="str">
        <f>IF(Table6_1[[#This Row],[Region]]=B124,Table6_1[[#This Row],[% of national population]]-E124,"")</f>
        <v/>
      </c>
    </row>
    <row r="134" spans="1:9">
      <c r="A134">
        <v>2018</v>
      </c>
      <c r="B134" t="s">
        <v>514</v>
      </c>
      <c r="C134">
        <v>121200</v>
      </c>
      <c r="D134">
        <v>4900600</v>
      </c>
      <c r="E134">
        <v>2.47316655103457E-2</v>
      </c>
      <c r="F134" t="str">
        <f>IF(Table6_1[[#This Row],[% of national population]]&gt;E133,"Up","Down")</f>
        <v>Down</v>
      </c>
      <c r="H134" s="2">
        <f>IF(Table6_1[[#This Row],[Region]]=B133,Table6_1[[#This Row],[% of national population]]-E133,"")</f>
        <v>-1.9770128373770152E-4</v>
      </c>
      <c r="I134" s="2" t="str">
        <f>IF(Table6_1[[#This Row],[Region]]=B125,Table6_1[[#This Row],[% of national population]]-E125,"")</f>
        <v/>
      </c>
    </row>
    <row r="135" spans="1:9">
      <c r="A135">
        <v>2019</v>
      </c>
      <c r="B135" t="s">
        <v>514</v>
      </c>
      <c r="C135">
        <v>123100</v>
      </c>
      <c r="D135">
        <v>4970300</v>
      </c>
      <c r="E135">
        <v>2.4767116673037801E-2</v>
      </c>
      <c r="F135" t="str">
        <f>IF(Table6_1[[#This Row],[% of national population]]&gt;E134,"Up","Down")</f>
        <v>Up</v>
      </c>
      <c r="H135" s="2">
        <f>IF(Table6_1[[#This Row],[Region]]=B134,Table6_1[[#This Row],[% of national population]]-E134,"")</f>
        <v>3.545116269210169E-5</v>
      </c>
      <c r="I135" s="2" t="str">
        <f>IF(Table6_1[[#This Row],[Region]]=B126,Table6_1[[#This Row],[% of national population]]-E126,"")</f>
        <v/>
      </c>
    </row>
    <row r="136" spans="1:9">
      <c r="A136">
        <v>2020</v>
      </c>
      <c r="B136" t="s">
        <v>514</v>
      </c>
      <c r="C136">
        <v>125100</v>
      </c>
      <c r="D136">
        <v>5072400</v>
      </c>
      <c r="E136">
        <v>2.4662881476224301E-2</v>
      </c>
      <c r="F136" t="str">
        <f>IF(Table6_1[[#This Row],[% of national population]]&gt;E135,"Up","Down")</f>
        <v>Down</v>
      </c>
      <c r="H136" s="2">
        <f>IF(Table6_1[[#This Row],[Region]]=B135,Table6_1[[#This Row],[% of national population]]-E135,"")</f>
        <v>-1.0423519681350066E-4</v>
      </c>
      <c r="I136" s="2" t="str">
        <f>IF(Table6_1[[#This Row],[Region]]=B127,Table6_1[[#This Row],[% of national population]]-E127,"")</f>
        <v/>
      </c>
    </row>
    <row r="137" spans="1:9">
      <c r="A137">
        <v>2021</v>
      </c>
      <c r="B137" t="s">
        <v>514</v>
      </c>
      <c r="C137">
        <v>126600</v>
      </c>
      <c r="D137">
        <v>5084600</v>
      </c>
      <c r="E137">
        <v>2.4898713763127901E-2</v>
      </c>
      <c r="F137" t="str">
        <f>IF(Table6_1[[#This Row],[% of national population]]&gt;E136,"Up","Down")</f>
        <v>Up</v>
      </c>
      <c r="H137" s="2">
        <f>IF(Table6_1[[#This Row],[Region]]=B136,Table6_1[[#This Row],[% of national population]]-E136,"")</f>
        <v>2.3583228690359989E-4</v>
      </c>
      <c r="I137" s="2" t="str">
        <f>IF(Table6_1[[#This Row],[Region]]=B128,Table6_1[[#This Row],[% of national population]]-E128,"")</f>
        <v/>
      </c>
    </row>
    <row r="138" spans="1:9">
      <c r="A138">
        <v>2022</v>
      </c>
      <c r="B138" t="s">
        <v>514</v>
      </c>
      <c r="C138">
        <v>127500</v>
      </c>
      <c r="D138">
        <v>5081700</v>
      </c>
      <c r="E138">
        <v>2.50900289273275E-2</v>
      </c>
      <c r="F138" t="str">
        <f>IF(Table6_1[[#This Row],[% of national population]]&gt;E137,"Up","Down")</f>
        <v>Up</v>
      </c>
      <c r="H138" s="2">
        <f>IF(Table6_1[[#This Row],[Region]]=B137,Table6_1[[#This Row],[% of national population]]-E137,"")</f>
        <v>1.9131516419959929E-4</v>
      </c>
      <c r="I138" s="2" t="str">
        <f>IF(Table6_1[[#This Row],[Region]]=B129,Table6_1[[#This Row],[% of national population]]-E129,"")</f>
        <v/>
      </c>
    </row>
    <row r="139" spans="1:9">
      <c r="A139">
        <v>2023</v>
      </c>
      <c r="B139" t="s">
        <v>514</v>
      </c>
      <c r="C139">
        <v>129400</v>
      </c>
      <c r="D139">
        <v>5200000</v>
      </c>
      <c r="E139">
        <v>2.4884615384615401E-2</v>
      </c>
      <c r="F139" t="str">
        <f>IF(Table6_1[[#This Row],[% of national population]]&gt;E138,"Up","Down")</f>
        <v>Down</v>
      </c>
      <c r="H139" s="2">
        <f>IF(Table6_1[[#This Row],[Region]]=B138,Table6_1[[#This Row],[% of national population]]-E138,"")</f>
        <v>-2.05413542712099E-4</v>
      </c>
      <c r="I139" s="2" t="str">
        <f>IF(Table6_1[[#This Row],[Region]]=B130,Table6_1[[#This Row],[% of national population]]-E130,"")</f>
        <v/>
      </c>
    </row>
    <row r="140" spans="1:9">
      <c r="A140">
        <v>2024</v>
      </c>
      <c r="B140" t="s">
        <v>514</v>
      </c>
      <c r="C140">
        <v>130300</v>
      </c>
      <c r="D140">
        <v>5290000</v>
      </c>
      <c r="E140">
        <v>2.46313799621928E-2</v>
      </c>
      <c r="F140" t="str">
        <f>IF(Table6_1[[#This Row],[% of national population]]&gt;E139,"Up","Down")</f>
        <v>Down</v>
      </c>
      <c r="H140" s="2">
        <f>IF(Table6_1[[#This Row],[Region]]=B139,Table6_1[[#This Row],[% of national population]]-E139,"")</f>
        <v>-2.5323542242260133E-4</v>
      </c>
      <c r="I140" s="2" t="str">
        <f>IF(Table6_1[[#This Row],[Region]]=B131,Table6_1[[#This Row],[% of national population]]-E131,"")</f>
        <v/>
      </c>
    </row>
    <row r="141" spans="1:9">
      <c r="A141">
        <v>2025</v>
      </c>
      <c r="B141" t="s">
        <v>514</v>
      </c>
      <c r="C141">
        <v>130300</v>
      </c>
      <c r="D141">
        <v>5324700</v>
      </c>
      <c r="E141">
        <v>2.4470862208199499E-2</v>
      </c>
      <c r="F141" t="str">
        <f>IF(Table6_1[[#This Row],[% of national population]]&gt;E140,"Up","Down")</f>
        <v>Down</v>
      </c>
      <c r="G141" t="str">
        <f>IF(Table6_1[[#This Row],[% of national population]]&gt;E132,"Up","Down")</f>
        <v>Down</v>
      </c>
      <c r="H141" s="2">
        <f>IF(Table6_1[[#This Row],[Region]]=B140,Table6_1[[#This Row],[% of national population]]-E140,"")</f>
        <v>-1.6051775399330073E-4</v>
      </c>
      <c r="I141" s="2">
        <f>IF(Table6_1[[#This Row],[Region]]=B132,Table6_1[[#This Row],[% of national population]]-E132,"")</f>
        <v>-6.6649168756000021E-4</v>
      </c>
    </row>
    <row r="142" spans="1:9">
      <c r="A142">
        <v>2016</v>
      </c>
      <c r="B142" t="s">
        <v>517</v>
      </c>
      <c r="C142">
        <v>51900</v>
      </c>
      <c r="D142">
        <v>4714100</v>
      </c>
      <c r="E142">
        <v>1.1009524617636501E-2</v>
      </c>
      <c r="F142" t="str">
        <f>IF(Table6_1[[#This Row],[% of national population]]&gt;E141,"Up","Down")</f>
        <v>Down</v>
      </c>
      <c r="H142" s="2" t="str">
        <f>IF(Table6_1[[#This Row],[Region]]=B141,Table6_1[[#This Row],[% of national population]]-E141,"")</f>
        <v/>
      </c>
      <c r="I142" s="2" t="str">
        <f>IF(Table6_1[[#This Row],[Region]]=B133,Table6_1[[#This Row],[% of national population]]-E133,"")</f>
        <v/>
      </c>
    </row>
    <row r="143" spans="1:9">
      <c r="A143">
        <v>2017</v>
      </c>
      <c r="B143" t="s">
        <v>517</v>
      </c>
      <c r="C143">
        <v>53000</v>
      </c>
      <c r="D143">
        <v>4813600</v>
      </c>
      <c r="E143">
        <v>1.10104703340535E-2</v>
      </c>
      <c r="F143" t="str">
        <f>IF(Table6_1[[#This Row],[% of national population]]&gt;E142,"Up","Down")</f>
        <v>Up</v>
      </c>
      <c r="H143" s="2">
        <f>IF(Table6_1[[#This Row],[Region]]=B142,Table6_1[[#This Row],[% of national population]]-E142,"")</f>
        <v>9.4571641699910114E-7</v>
      </c>
      <c r="I143" s="2" t="str">
        <f>IF(Table6_1[[#This Row],[Region]]=B134,Table6_1[[#This Row],[% of national population]]-E134,"")</f>
        <v/>
      </c>
    </row>
    <row r="144" spans="1:9">
      <c r="A144">
        <v>2018</v>
      </c>
      <c r="B144" t="s">
        <v>517</v>
      </c>
      <c r="C144">
        <v>54000</v>
      </c>
      <c r="D144">
        <v>4900600</v>
      </c>
      <c r="E144">
        <v>1.10190588907481E-2</v>
      </c>
      <c r="F144" t="str">
        <f>IF(Table6_1[[#This Row],[% of national population]]&gt;E143,"Up","Down")</f>
        <v>Up</v>
      </c>
      <c r="H144" s="2">
        <f>IF(Table6_1[[#This Row],[Region]]=B143,Table6_1[[#This Row],[% of national population]]-E143,"")</f>
        <v>8.5885566946004854E-6</v>
      </c>
      <c r="I144" s="2" t="str">
        <f>IF(Table6_1[[#This Row],[Region]]=B135,Table6_1[[#This Row],[% of national population]]-E135,"")</f>
        <v/>
      </c>
    </row>
    <row r="145" spans="1:9">
      <c r="A145">
        <v>2019</v>
      </c>
      <c r="B145" t="s">
        <v>517</v>
      </c>
      <c r="C145">
        <v>54900</v>
      </c>
      <c r="D145">
        <v>4970300</v>
      </c>
      <c r="E145">
        <v>1.1045610928917799E-2</v>
      </c>
      <c r="F145" t="str">
        <f>IF(Table6_1[[#This Row],[% of national population]]&gt;E144,"Up","Down")</f>
        <v>Up</v>
      </c>
      <c r="H145" s="2">
        <f>IF(Table6_1[[#This Row],[Region]]=B144,Table6_1[[#This Row],[% of national population]]-E144,"")</f>
        <v>2.6552038169699171E-5</v>
      </c>
      <c r="I145" s="2" t="str">
        <f>IF(Table6_1[[#This Row],[Region]]=B136,Table6_1[[#This Row],[% of national population]]-E136,"")</f>
        <v/>
      </c>
    </row>
    <row r="146" spans="1:9">
      <c r="A146">
        <v>2020</v>
      </c>
      <c r="B146" t="s">
        <v>517</v>
      </c>
      <c r="C146">
        <v>57200</v>
      </c>
      <c r="D146">
        <v>5072400</v>
      </c>
      <c r="E146">
        <v>1.1276713192965899E-2</v>
      </c>
      <c r="F146" t="str">
        <f>IF(Table6_1[[#This Row],[% of national population]]&gt;E145,"Up","Down")</f>
        <v>Up</v>
      </c>
      <c r="H146" s="2">
        <f>IF(Table6_1[[#This Row],[Region]]=B145,Table6_1[[#This Row],[% of national population]]-E145,"")</f>
        <v>2.3110226404809975E-4</v>
      </c>
      <c r="I146" s="2" t="str">
        <f>IF(Table6_1[[#This Row],[Region]]=B137,Table6_1[[#This Row],[% of national population]]-E137,"")</f>
        <v/>
      </c>
    </row>
    <row r="147" spans="1:9">
      <c r="A147">
        <v>2021</v>
      </c>
      <c r="B147" t="s">
        <v>517</v>
      </c>
      <c r="C147">
        <v>57900</v>
      </c>
      <c r="D147">
        <v>5084600</v>
      </c>
      <c r="E147">
        <v>1.13873264366912E-2</v>
      </c>
      <c r="F147" t="str">
        <f>IF(Table6_1[[#This Row],[% of national population]]&gt;E146,"Up","Down")</f>
        <v>Up</v>
      </c>
      <c r="H147" s="2">
        <f>IF(Table6_1[[#This Row],[Region]]=B146,Table6_1[[#This Row],[% of national population]]-E146,"")</f>
        <v>1.1061324372530108E-4</v>
      </c>
      <c r="I147" s="2" t="str">
        <f>IF(Table6_1[[#This Row],[Region]]=B138,Table6_1[[#This Row],[% of national population]]-E138,"")</f>
        <v/>
      </c>
    </row>
    <row r="148" spans="1:9">
      <c r="A148">
        <v>2022</v>
      </c>
      <c r="B148" t="s">
        <v>517</v>
      </c>
      <c r="C148">
        <v>58400</v>
      </c>
      <c r="D148">
        <v>5081700</v>
      </c>
      <c r="E148">
        <v>1.1492217171419E-2</v>
      </c>
      <c r="F148" t="str">
        <f>IF(Table6_1[[#This Row],[% of national population]]&gt;E147,"Up","Down")</f>
        <v>Up</v>
      </c>
      <c r="H148" s="2">
        <f>IF(Table6_1[[#This Row],[Region]]=B147,Table6_1[[#This Row],[% of national population]]-E147,"")</f>
        <v>1.0489073472779928E-4</v>
      </c>
      <c r="I148" s="2" t="str">
        <f>IF(Table6_1[[#This Row],[Region]]=B139,Table6_1[[#This Row],[% of national population]]-E139,"")</f>
        <v/>
      </c>
    </row>
    <row r="149" spans="1:9">
      <c r="A149">
        <v>2023</v>
      </c>
      <c r="B149" t="s">
        <v>517</v>
      </c>
      <c r="C149">
        <v>59100</v>
      </c>
      <c r="D149">
        <v>5200000</v>
      </c>
      <c r="E149">
        <v>1.13653846153846E-2</v>
      </c>
      <c r="F149" t="str">
        <f>IF(Table6_1[[#This Row],[% of national population]]&gt;E148,"Up","Down")</f>
        <v>Down</v>
      </c>
      <c r="H149" s="2">
        <f>IF(Table6_1[[#This Row],[Region]]=B148,Table6_1[[#This Row],[% of national population]]-E148,"")</f>
        <v>-1.2683255603439941E-4</v>
      </c>
      <c r="I149" s="2" t="str">
        <f>IF(Table6_1[[#This Row],[Region]]=B140,Table6_1[[#This Row],[% of national population]]-E140,"")</f>
        <v/>
      </c>
    </row>
    <row r="150" spans="1:9">
      <c r="A150">
        <v>2024</v>
      </c>
      <c r="B150" t="s">
        <v>517</v>
      </c>
      <c r="C150">
        <v>59700</v>
      </c>
      <c r="D150">
        <v>5290000</v>
      </c>
      <c r="E150">
        <v>1.12854442344045E-2</v>
      </c>
      <c r="F150" t="str">
        <f>IF(Table6_1[[#This Row],[% of national population]]&gt;E149,"Up","Down")</f>
        <v>Down</v>
      </c>
      <c r="H150" s="2">
        <f>IF(Table6_1[[#This Row],[Region]]=B149,Table6_1[[#This Row],[% of national population]]-E149,"")</f>
        <v>-7.9940380980100464E-5</v>
      </c>
      <c r="I150" s="2" t="str">
        <f>IF(Table6_1[[#This Row],[Region]]=B141,Table6_1[[#This Row],[% of national population]]-E141,"")</f>
        <v/>
      </c>
    </row>
    <row r="151" spans="1:9">
      <c r="A151">
        <v>2025</v>
      </c>
      <c r="B151" t="s">
        <v>517</v>
      </c>
      <c r="C151">
        <v>59900</v>
      </c>
      <c r="D151">
        <v>5324700</v>
      </c>
      <c r="E151">
        <v>1.12494600634778E-2</v>
      </c>
      <c r="F151" t="str">
        <f>IF(Table6_1[[#This Row],[% of national population]]&gt;E150,"Up","Down")</f>
        <v>Down</v>
      </c>
      <c r="G151" t="str">
        <f>IF(Table6_1[[#This Row],[% of national population]]&gt;E142,"Up","Down")</f>
        <v>Up</v>
      </c>
      <c r="H151" s="2">
        <f>IF(Table6_1[[#This Row],[Region]]=B150,Table6_1[[#This Row],[% of national population]]-E150,"")</f>
        <v>-3.5984170926699199E-5</v>
      </c>
      <c r="I151" s="2">
        <f>IF(Table6_1[[#This Row],[Region]]=B142,Table6_1[[#This Row],[% of national population]]-E142,"")</f>
        <v>2.3993544584129979E-4</v>
      </c>
    </row>
    <row r="152" spans="1:9">
      <c r="A152">
        <v>2016</v>
      </c>
      <c r="B152" t="s">
        <v>510</v>
      </c>
      <c r="C152">
        <v>452800</v>
      </c>
      <c r="D152">
        <v>4714100</v>
      </c>
      <c r="E152">
        <v>9.6052268725737702E-2</v>
      </c>
      <c r="F152" t="str">
        <f>IF(Table6_1[[#This Row],[% of national population]]&gt;E151,"Up","Down")</f>
        <v>Up</v>
      </c>
      <c r="H152" s="2" t="str">
        <f>IF(Table6_1[[#This Row],[Region]]=B151,Table6_1[[#This Row],[% of national population]]-E151,"")</f>
        <v/>
      </c>
      <c r="I152" s="2" t="str">
        <f>IF(Table6_1[[#This Row],[Region]]=B143,Table6_1[[#This Row],[% of national population]]-E143,"")</f>
        <v/>
      </c>
    </row>
    <row r="153" spans="1:9">
      <c r="A153">
        <v>2017</v>
      </c>
      <c r="B153" t="s">
        <v>510</v>
      </c>
      <c r="C153">
        <v>465000</v>
      </c>
      <c r="D153">
        <v>4813600</v>
      </c>
      <c r="E153">
        <v>9.6601296327073302E-2</v>
      </c>
      <c r="F153" t="str">
        <f>IF(Table6_1[[#This Row],[% of national population]]&gt;E152,"Up","Down")</f>
        <v>Up</v>
      </c>
      <c r="H153" s="2">
        <f>IF(Table6_1[[#This Row],[Region]]=B152,Table6_1[[#This Row],[% of national population]]-E152,"")</f>
        <v>5.4902760133559991E-4</v>
      </c>
      <c r="I153" s="2" t="str">
        <f>IF(Table6_1[[#This Row],[Region]]=B144,Table6_1[[#This Row],[% of national population]]-E144,"")</f>
        <v/>
      </c>
    </row>
    <row r="154" spans="1:9">
      <c r="A154">
        <v>2018</v>
      </c>
      <c r="B154" t="s">
        <v>510</v>
      </c>
      <c r="C154">
        <v>475600</v>
      </c>
      <c r="D154">
        <v>4900600</v>
      </c>
      <c r="E154">
        <v>9.7049340897033001E-2</v>
      </c>
      <c r="F154" t="str">
        <f>IF(Table6_1[[#This Row],[% of national population]]&gt;E153,"Up","Down")</f>
        <v>Up</v>
      </c>
      <c r="H154" s="2">
        <f>IF(Table6_1[[#This Row],[Region]]=B153,Table6_1[[#This Row],[% of national population]]-E153,"")</f>
        <v>4.480445699596991E-4</v>
      </c>
      <c r="I154" s="2" t="str">
        <f>IF(Table6_1[[#This Row],[Region]]=B145,Table6_1[[#This Row],[% of national population]]-E145,"")</f>
        <v/>
      </c>
    </row>
    <row r="155" spans="1:9">
      <c r="A155">
        <v>2019</v>
      </c>
      <c r="B155" t="s">
        <v>510</v>
      </c>
      <c r="C155">
        <v>483900</v>
      </c>
      <c r="D155">
        <v>4970300</v>
      </c>
      <c r="E155">
        <v>9.7358308351608594E-2</v>
      </c>
      <c r="F155" t="str">
        <f>IF(Table6_1[[#This Row],[% of national population]]&gt;E154,"Up","Down")</f>
        <v>Up</v>
      </c>
      <c r="H155" s="2">
        <f>IF(Table6_1[[#This Row],[Region]]=B154,Table6_1[[#This Row],[% of national population]]-E154,"")</f>
        <v>3.0896745457559271E-4</v>
      </c>
      <c r="I155" s="2" t="str">
        <f>IF(Table6_1[[#This Row],[Region]]=B146,Table6_1[[#This Row],[% of national population]]-E146,"")</f>
        <v/>
      </c>
    </row>
    <row r="156" spans="1:9">
      <c r="A156">
        <v>2020</v>
      </c>
      <c r="B156" t="s">
        <v>510</v>
      </c>
      <c r="C156">
        <v>496500</v>
      </c>
      <c r="D156">
        <v>5072400</v>
      </c>
      <c r="E156">
        <v>9.7882659096285796E-2</v>
      </c>
      <c r="F156" t="str">
        <f>IF(Table6_1[[#This Row],[% of national population]]&gt;E155,"Up","Down")</f>
        <v>Up</v>
      </c>
      <c r="H156" s="2">
        <f>IF(Table6_1[[#This Row],[Region]]=B155,Table6_1[[#This Row],[% of national population]]-E155,"")</f>
        <v>5.2435074467720166E-4</v>
      </c>
      <c r="I156" s="2" t="str">
        <f>IF(Table6_1[[#This Row],[Region]]=B147,Table6_1[[#This Row],[% of national population]]-E147,"")</f>
        <v/>
      </c>
    </row>
    <row r="157" spans="1:9">
      <c r="A157">
        <v>2021</v>
      </c>
      <c r="B157" t="s">
        <v>510</v>
      </c>
      <c r="C157">
        <v>501400</v>
      </c>
      <c r="D157">
        <v>5084600</v>
      </c>
      <c r="E157">
        <v>9.8611493529481203E-2</v>
      </c>
      <c r="F157" t="str">
        <f>IF(Table6_1[[#This Row],[% of national population]]&gt;E156,"Up","Down")</f>
        <v>Up</v>
      </c>
      <c r="H157" s="2">
        <f>IF(Table6_1[[#This Row],[Region]]=B156,Table6_1[[#This Row],[% of national population]]-E156,"")</f>
        <v>7.2883443319540775E-4</v>
      </c>
      <c r="I157" s="2" t="str">
        <f>IF(Table6_1[[#This Row],[Region]]=B148,Table6_1[[#This Row],[% of national population]]-E148,"")</f>
        <v/>
      </c>
    </row>
    <row r="158" spans="1:9">
      <c r="A158">
        <v>2022</v>
      </c>
      <c r="B158" t="s">
        <v>510</v>
      </c>
      <c r="C158">
        <v>504300</v>
      </c>
      <c r="D158">
        <v>5081700</v>
      </c>
      <c r="E158">
        <v>9.9238443827852907E-2</v>
      </c>
      <c r="F158" t="str">
        <f>IF(Table6_1[[#This Row],[% of national population]]&gt;E157,"Up","Down")</f>
        <v>Up</v>
      </c>
      <c r="H158" s="2">
        <f>IF(Table6_1[[#This Row],[Region]]=B157,Table6_1[[#This Row],[% of national population]]-E157,"")</f>
        <v>6.2695029837170346E-4</v>
      </c>
      <c r="I158" s="2" t="str">
        <f>IF(Table6_1[[#This Row],[Region]]=B149,Table6_1[[#This Row],[% of national population]]-E149,"")</f>
        <v/>
      </c>
    </row>
    <row r="159" spans="1:9">
      <c r="A159">
        <v>2023</v>
      </c>
      <c r="B159" t="s">
        <v>510</v>
      </c>
      <c r="C159">
        <v>516800</v>
      </c>
      <c r="D159">
        <v>5200000</v>
      </c>
      <c r="E159">
        <v>9.9384615384615405E-2</v>
      </c>
      <c r="F159" t="str">
        <f>IF(Table6_1[[#This Row],[% of national population]]&gt;E158,"Up","Down")</f>
        <v>Up</v>
      </c>
      <c r="H159" s="2">
        <f>IF(Table6_1[[#This Row],[Region]]=B158,Table6_1[[#This Row],[% of national population]]-E158,"")</f>
        <v>1.4617155676249771E-4</v>
      </c>
      <c r="I159" s="2" t="str">
        <f>IF(Table6_1[[#This Row],[Region]]=B150,Table6_1[[#This Row],[% of national population]]-E150,"")</f>
        <v/>
      </c>
    </row>
    <row r="160" spans="1:9">
      <c r="A160">
        <v>2024</v>
      </c>
      <c r="B160" t="s">
        <v>510</v>
      </c>
      <c r="C160">
        <v>527000</v>
      </c>
      <c r="D160">
        <v>5290000</v>
      </c>
      <c r="E160">
        <v>9.9621928166351598E-2</v>
      </c>
      <c r="F160" t="str">
        <f>IF(Table6_1[[#This Row],[% of national population]]&gt;E159,"Up","Down")</f>
        <v>Up</v>
      </c>
      <c r="H160" s="2">
        <f>IF(Table6_1[[#This Row],[Region]]=B159,Table6_1[[#This Row],[% of national population]]-E159,"")</f>
        <v>2.3731278173619308E-4</v>
      </c>
      <c r="I160" s="2" t="str">
        <f>IF(Table6_1[[#This Row],[Region]]=B151,Table6_1[[#This Row],[% of national population]]-E151,"")</f>
        <v/>
      </c>
    </row>
    <row r="161" spans="1:9">
      <c r="A161">
        <v>2025</v>
      </c>
      <c r="B161" t="s">
        <v>510</v>
      </c>
      <c r="C161">
        <v>532100</v>
      </c>
      <c r="D161">
        <v>5324700</v>
      </c>
      <c r="E161">
        <v>9.9930512517137096E-2</v>
      </c>
      <c r="F161" t="str">
        <f>IF(Table6_1[[#This Row],[% of national population]]&gt;E160,"Up","Down")</f>
        <v>Up</v>
      </c>
      <c r="G161" t="str">
        <f>IF(Table6_1[[#This Row],[% of national population]]&gt;E152,"Up","Down")</f>
        <v>Up</v>
      </c>
      <c r="H161" s="2">
        <f>IF(Table6_1[[#This Row],[Region]]=B160,Table6_1[[#This Row],[% of national population]]-E160,"")</f>
        <v>3.0858435078549851E-4</v>
      </c>
      <c r="I161" s="2">
        <f>IF(Table6_1[[#This Row],[Region]]=B152,Table6_1[[#This Row],[% of national population]]-E152,"")</f>
        <v>3.8782437913993939E-3</v>
      </c>
    </row>
    <row r="162" spans="1:9">
      <c r="A162">
        <v>2016</v>
      </c>
      <c r="B162" t="s">
        <v>516</v>
      </c>
      <c r="C162">
        <v>510700</v>
      </c>
      <c r="D162">
        <v>4714100</v>
      </c>
      <c r="E162">
        <v>0.108334570755818</v>
      </c>
      <c r="F162" t="str">
        <f>IF(Table6_1[[#This Row],[% of national population]]&gt;E161,"Up","Down")</f>
        <v>Up</v>
      </c>
      <c r="H162" s="2" t="str">
        <f>IF(Table6_1[[#This Row],[Region]]=B161,Table6_1[[#This Row],[% of national population]]-E161,"")</f>
        <v/>
      </c>
      <c r="I162" s="2" t="str">
        <f>IF(Table6_1[[#This Row],[Region]]=B153,Table6_1[[#This Row],[% of national population]]-E153,"")</f>
        <v/>
      </c>
    </row>
    <row r="163" spans="1:9">
      <c r="A163">
        <v>2017</v>
      </c>
      <c r="B163" t="s">
        <v>516</v>
      </c>
      <c r="C163">
        <v>518300</v>
      </c>
      <c r="D163">
        <v>4813600</v>
      </c>
      <c r="E163">
        <v>0.107674090078112</v>
      </c>
      <c r="F163" t="str">
        <f>IF(Table6_1[[#This Row],[% of national population]]&gt;E162,"Up","Down")</f>
        <v>Down</v>
      </c>
      <c r="H163" s="2">
        <f>IF(Table6_1[[#This Row],[Region]]=B162,Table6_1[[#This Row],[% of national population]]-E162,"")</f>
        <v>-6.604806777059935E-4</v>
      </c>
      <c r="I163" s="2" t="str">
        <f>IF(Table6_1[[#This Row],[Region]]=B154,Table6_1[[#This Row],[% of national population]]-E154,"")</f>
        <v/>
      </c>
    </row>
    <row r="164" spans="1:9">
      <c r="A164">
        <v>2018</v>
      </c>
      <c r="B164" t="s">
        <v>516</v>
      </c>
      <c r="C164">
        <v>525900</v>
      </c>
      <c r="D164">
        <v>4900600</v>
      </c>
      <c r="E164">
        <v>0.107313390197119</v>
      </c>
      <c r="F164" t="str">
        <f>IF(Table6_1[[#This Row],[% of national population]]&gt;E163,"Up","Down")</f>
        <v>Down</v>
      </c>
      <c r="H164" s="2">
        <f>IF(Table6_1[[#This Row],[Region]]=B163,Table6_1[[#This Row],[% of national population]]-E163,"")</f>
        <v>-3.6069988099300676E-4</v>
      </c>
      <c r="I164" s="2" t="str">
        <f>IF(Table6_1[[#This Row],[Region]]=B155,Table6_1[[#This Row],[% of national population]]-E155,"")</f>
        <v/>
      </c>
    </row>
    <row r="165" spans="1:9">
      <c r="A165">
        <v>2019</v>
      </c>
      <c r="B165" t="s">
        <v>516</v>
      </c>
      <c r="C165">
        <v>530900</v>
      </c>
      <c r="D165">
        <v>4970300</v>
      </c>
      <c r="E165">
        <v>0.106814477999316</v>
      </c>
      <c r="F165" t="str">
        <f>IF(Table6_1[[#This Row],[% of national population]]&gt;E164,"Up","Down")</f>
        <v>Down</v>
      </c>
      <c r="H165" s="2">
        <f>IF(Table6_1[[#This Row],[Region]]=B164,Table6_1[[#This Row],[% of national population]]-E164,"")</f>
        <v>-4.9891219780300033E-4</v>
      </c>
      <c r="I165" s="2" t="str">
        <f>IF(Table6_1[[#This Row],[Region]]=B156,Table6_1[[#This Row],[% of national population]]-E156,"")</f>
        <v/>
      </c>
    </row>
    <row r="166" spans="1:9">
      <c r="A166">
        <v>2020</v>
      </c>
      <c r="B166" t="s">
        <v>516</v>
      </c>
      <c r="C166">
        <v>537900</v>
      </c>
      <c r="D166">
        <v>5072400</v>
      </c>
      <c r="E166">
        <v>0.10604447598769801</v>
      </c>
      <c r="F166" t="str">
        <f>IF(Table6_1[[#This Row],[% of national population]]&gt;E165,"Up","Down")</f>
        <v>Down</v>
      </c>
      <c r="H166" s="2">
        <f>IF(Table6_1[[#This Row],[Region]]=B165,Table6_1[[#This Row],[% of national population]]-E165,"")</f>
        <v>-7.7000201161799009E-4</v>
      </c>
      <c r="I166" s="2" t="str">
        <f>IF(Table6_1[[#This Row],[Region]]=B157,Table6_1[[#This Row],[% of national population]]-E157,"")</f>
        <v/>
      </c>
    </row>
    <row r="167" spans="1:9">
      <c r="A167">
        <v>2021</v>
      </c>
      <c r="B167" t="s">
        <v>516</v>
      </c>
      <c r="C167">
        <v>537300</v>
      </c>
      <c r="D167">
        <v>5084600</v>
      </c>
      <c r="E167">
        <v>0.105672029264839</v>
      </c>
      <c r="F167" t="str">
        <f>IF(Table6_1[[#This Row],[% of national population]]&gt;E166,"Up","Down")</f>
        <v>Down</v>
      </c>
      <c r="H167" s="2">
        <f>IF(Table6_1[[#This Row],[Region]]=B166,Table6_1[[#This Row],[% of national population]]-E166,"")</f>
        <v>-3.7244672285900726E-4</v>
      </c>
      <c r="I167" s="2" t="str">
        <f>IF(Table6_1[[#This Row],[Region]]=B158,Table6_1[[#This Row],[% of national population]]-E158,"")</f>
        <v/>
      </c>
    </row>
    <row r="168" spans="1:9">
      <c r="A168">
        <v>2022</v>
      </c>
      <c r="B168" t="s">
        <v>516</v>
      </c>
      <c r="C168">
        <v>532900</v>
      </c>
      <c r="D168">
        <v>5081700</v>
      </c>
      <c r="E168">
        <v>0.104866481689198</v>
      </c>
      <c r="F168" t="str">
        <f>IF(Table6_1[[#This Row],[% of national population]]&gt;E167,"Up","Down")</f>
        <v>Down</v>
      </c>
      <c r="H168" s="2">
        <f>IF(Table6_1[[#This Row],[Region]]=B167,Table6_1[[#This Row],[% of national population]]-E167,"")</f>
        <v>-8.0554757564099688E-4</v>
      </c>
      <c r="I168" s="2" t="str">
        <f>IF(Table6_1[[#This Row],[Region]]=B159,Table6_1[[#This Row],[% of national population]]-E159,"")</f>
        <v/>
      </c>
    </row>
    <row r="169" spans="1:9">
      <c r="A169">
        <v>2023</v>
      </c>
      <c r="B169" t="s">
        <v>516</v>
      </c>
      <c r="C169">
        <v>538000</v>
      </c>
      <c r="D169">
        <v>5200000</v>
      </c>
      <c r="E169">
        <v>0.10346153846153799</v>
      </c>
      <c r="F169" t="str">
        <f>IF(Table6_1[[#This Row],[% of national population]]&gt;E168,"Up","Down")</f>
        <v>Down</v>
      </c>
      <c r="H169" s="2">
        <f>IF(Table6_1[[#This Row],[Region]]=B168,Table6_1[[#This Row],[% of national population]]-E168,"")</f>
        <v>-1.4049432276600077E-3</v>
      </c>
      <c r="I169" s="2" t="str">
        <f>IF(Table6_1[[#This Row],[Region]]=B160,Table6_1[[#This Row],[% of national population]]-E160,"")</f>
        <v/>
      </c>
    </row>
    <row r="170" spans="1:9">
      <c r="A170">
        <v>2024</v>
      </c>
      <c r="B170" t="s">
        <v>516</v>
      </c>
      <c r="C170">
        <v>543300</v>
      </c>
      <c r="D170">
        <v>5290000</v>
      </c>
      <c r="E170">
        <v>0.102703213610586</v>
      </c>
      <c r="F170" t="str">
        <f>IF(Table6_1[[#This Row],[% of national population]]&gt;E169,"Up","Down")</f>
        <v>Down</v>
      </c>
      <c r="H170" s="2">
        <f>IF(Table6_1[[#This Row],[Region]]=B169,Table6_1[[#This Row],[% of national population]]-E169,"")</f>
        <v>-7.5832485095199409E-4</v>
      </c>
      <c r="I170" s="2" t="str">
        <f>IF(Table6_1[[#This Row],[Region]]=B161,Table6_1[[#This Row],[% of national population]]-E161,"")</f>
        <v/>
      </c>
    </row>
    <row r="171" spans="1:9">
      <c r="A171">
        <v>2025</v>
      </c>
      <c r="B171" t="s">
        <v>516</v>
      </c>
      <c r="C171">
        <v>543400</v>
      </c>
      <c r="D171">
        <v>5324700</v>
      </c>
      <c r="E171">
        <v>0.102052697804571</v>
      </c>
      <c r="F171" t="str">
        <f>IF(Table6_1[[#This Row],[% of national population]]&gt;E170,"Up","Down")</f>
        <v>Down</v>
      </c>
      <c r="G171" t="str">
        <f>IF(Table6_1[[#This Row],[% of national population]]&gt;E162,"Up","Down")</f>
        <v>Down</v>
      </c>
      <c r="H171" s="2">
        <f>IF(Table6_1[[#This Row],[Region]]=B170,Table6_1[[#This Row],[% of national population]]-E170,"")</f>
        <v>-6.5051580601499515E-4</v>
      </c>
      <c r="I171" s="2">
        <f>IF(Table6_1[[#This Row],[Region]]=B162,Table6_1[[#This Row],[% of national population]]-E162,"")</f>
        <v>-6.2818729512469917E-3</v>
      </c>
    </row>
    <row r="172" spans="1:9">
      <c r="A172">
        <v>2016</v>
      </c>
      <c r="B172" t="s">
        <v>520</v>
      </c>
      <c r="C172">
        <v>32900</v>
      </c>
      <c r="D172">
        <v>4714100</v>
      </c>
      <c r="E172">
        <v>6.9790628115652996E-3</v>
      </c>
      <c r="F172" t="str">
        <f>IF(Table6_1[[#This Row],[% of national population]]&gt;E171,"Up","Down")</f>
        <v>Down</v>
      </c>
      <c r="H172" s="2" t="str">
        <f>IF(Table6_1[[#This Row],[Region]]=B171,Table6_1[[#This Row],[% of national population]]-E171,"")</f>
        <v/>
      </c>
      <c r="I172" s="2" t="str">
        <f>IF(Table6_1[[#This Row],[Region]]=B163,Table6_1[[#This Row],[% of national population]]-E163,"")</f>
        <v/>
      </c>
    </row>
    <row r="173" spans="1:9">
      <c r="A173">
        <v>2017</v>
      </c>
      <c r="B173" t="s">
        <v>520</v>
      </c>
      <c r="C173">
        <v>32700</v>
      </c>
      <c r="D173">
        <v>4813600</v>
      </c>
      <c r="E173">
        <v>6.7932524513877402E-3</v>
      </c>
      <c r="F173" t="str">
        <f>IF(Table6_1[[#This Row],[% of national population]]&gt;E172,"Up","Down")</f>
        <v>Down</v>
      </c>
      <c r="H173" s="2">
        <f>IF(Table6_1[[#This Row],[Region]]=B172,Table6_1[[#This Row],[% of national population]]-E172,"")</f>
        <v>-1.8581036017755945E-4</v>
      </c>
      <c r="I173" s="2" t="str">
        <f>IF(Table6_1[[#This Row],[Region]]=B164,Table6_1[[#This Row],[% of national population]]-E164,"")</f>
        <v/>
      </c>
    </row>
    <row r="174" spans="1:9">
      <c r="A174">
        <v>2018</v>
      </c>
      <c r="B174" t="s">
        <v>520</v>
      </c>
      <c r="C174">
        <v>32400</v>
      </c>
      <c r="D174">
        <v>4900600</v>
      </c>
      <c r="E174">
        <v>6.6114353344488399E-3</v>
      </c>
      <c r="F174" t="str">
        <f>IF(Table6_1[[#This Row],[% of national population]]&gt;E173,"Up","Down")</f>
        <v>Down</v>
      </c>
      <c r="H174" s="2">
        <f>IF(Table6_1[[#This Row],[Region]]=B173,Table6_1[[#This Row],[% of national population]]-E173,"")</f>
        <v>-1.8181711693890032E-4</v>
      </c>
      <c r="I174" s="2" t="str">
        <f>IF(Table6_1[[#This Row],[Region]]=B165,Table6_1[[#This Row],[% of national population]]-E165,"")</f>
        <v/>
      </c>
    </row>
    <row r="175" spans="1:9">
      <c r="A175">
        <v>2019</v>
      </c>
      <c r="B175" t="s">
        <v>520</v>
      </c>
      <c r="C175">
        <v>32700</v>
      </c>
      <c r="D175">
        <v>4970300</v>
      </c>
      <c r="E175">
        <v>6.5790797336176899E-3</v>
      </c>
      <c r="F175" t="str">
        <f>IF(Table6_1[[#This Row],[% of national population]]&gt;E174,"Up","Down")</f>
        <v>Down</v>
      </c>
      <c r="H175" s="2">
        <f>IF(Table6_1[[#This Row],[Region]]=B174,Table6_1[[#This Row],[% of national population]]-E174,"")</f>
        <v>-3.2355600831149994E-5</v>
      </c>
      <c r="I175" s="2" t="str">
        <f>IF(Table6_1[[#This Row],[Region]]=B166,Table6_1[[#This Row],[% of national population]]-E166,"")</f>
        <v/>
      </c>
    </row>
    <row r="176" spans="1:9">
      <c r="A176">
        <v>2020</v>
      </c>
      <c r="B176" t="s">
        <v>520</v>
      </c>
      <c r="C176">
        <v>33300</v>
      </c>
      <c r="D176">
        <v>5072400</v>
      </c>
      <c r="E176">
        <v>6.5649396735273204E-3</v>
      </c>
      <c r="F176" t="str">
        <f>IF(Table6_1[[#This Row],[% of national population]]&gt;E175,"Up","Down")</f>
        <v>Down</v>
      </c>
      <c r="H176" s="2">
        <f>IF(Table6_1[[#This Row],[Region]]=B175,Table6_1[[#This Row],[% of national population]]-E175,"")</f>
        <v>-1.4140060090369472E-5</v>
      </c>
      <c r="I176" s="2" t="str">
        <f>IF(Table6_1[[#This Row],[Region]]=B167,Table6_1[[#This Row],[% of national population]]-E167,"")</f>
        <v/>
      </c>
    </row>
    <row r="177" spans="1:9">
      <c r="A177">
        <v>2021</v>
      </c>
      <c r="B177" t="s">
        <v>520</v>
      </c>
      <c r="C177">
        <v>33500</v>
      </c>
      <c r="D177">
        <v>5084600</v>
      </c>
      <c r="E177">
        <v>6.5885222043031901E-3</v>
      </c>
      <c r="F177" t="str">
        <f>IF(Table6_1[[#This Row],[% of national population]]&gt;E176,"Up","Down")</f>
        <v>Up</v>
      </c>
      <c r="H177" s="2">
        <f>IF(Table6_1[[#This Row],[Region]]=B176,Table6_1[[#This Row],[% of national population]]-E176,"")</f>
        <v>2.3582530775869727E-5</v>
      </c>
      <c r="I177" s="2" t="str">
        <f>IF(Table6_1[[#This Row],[Region]]=B168,Table6_1[[#This Row],[% of national population]]-E168,"")</f>
        <v/>
      </c>
    </row>
    <row r="178" spans="1:9">
      <c r="A178">
        <v>2022</v>
      </c>
      <c r="B178" t="s">
        <v>520</v>
      </c>
      <c r="C178">
        <v>33600</v>
      </c>
      <c r="D178">
        <v>5081700</v>
      </c>
      <c r="E178">
        <v>6.61196056437806E-3</v>
      </c>
      <c r="F178" t="str">
        <f>IF(Table6_1[[#This Row],[% of national population]]&gt;E177,"Up","Down")</f>
        <v>Up</v>
      </c>
      <c r="H178" s="2">
        <f>IF(Table6_1[[#This Row],[Region]]=B177,Table6_1[[#This Row],[% of national population]]-E177,"")</f>
        <v>2.3438360074869852E-5</v>
      </c>
      <c r="I178" s="2" t="str">
        <f>IF(Table6_1[[#This Row],[Region]]=B169,Table6_1[[#This Row],[% of national population]]-E169,"")</f>
        <v/>
      </c>
    </row>
    <row r="179" spans="1:9">
      <c r="A179">
        <v>2023</v>
      </c>
      <c r="B179" t="s">
        <v>520</v>
      </c>
      <c r="C179">
        <v>33900</v>
      </c>
      <c r="D179">
        <v>5200000</v>
      </c>
      <c r="E179">
        <v>6.5192307692307702E-3</v>
      </c>
      <c r="F179" t="str">
        <f>IF(Table6_1[[#This Row],[% of national population]]&gt;E178,"Up","Down")</f>
        <v>Down</v>
      </c>
      <c r="H179" s="2">
        <f>IF(Table6_1[[#This Row],[Region]]=B178,Table6_1[[#This Row],[% of national population]]-E178,"")</f>
        <v>-9.2729795147289754E-5</v>
      </c>
      <c r="I179" s="2" t="str">
        <f>IF(Table6_1[[#This Row],[Region]]=B170,Table6_1[[#This Row],[% of national population]]-E170,"")</f>
        <v/>
      </c>
    </row>
    <row r="180" spans="1:9">
      <c r="A180">
        <v>2024</v>
      </c>
      <c r="B180" t="s">
        <v>520</v>
      </c>
      <c r="C180">
        <v>34500</v>
      </c>
      <c r="D180">
        <v>5290000</v>
      </c>
      <c r="E180">
        <v>6.5217391304347797E-3</v>
      </c>
      <c r="F180" t="str">
        <f>IF(Table6_1[[#This Row],[% of national population]]&gt;E179,"Up","Down")</f>
        <v>Up</v>
      </c>
      <c r="H180" s="2">
        <f>IF(Table6_1[[#This Row],[Region]]=B179,Table6_1[[#This Row],[% of national population]]-E179,"")</f>
        <v>2.508361204009435E-6</v>
      </c>
      <c r="I180" s="2" t="str">
        <f>IF(Table6_1[[#This Row],[Region]]=B171,Table6_1[[#This Row],[% of national population]]-E171,"")</f>
        <v/>
      </c>
    </row>
    <row r="181" spans="1:9">
      <c r="A181">
        <v>2025</v>
      </c>
      <c r="B181" t="s">
        <v>520</v>
      </c>
      <c r="C181">
        <v>34700</v>
      </c>
      <c r="D181">
        <v>5324700</v>
      </c>
      <c r="E181">
        <v>6.5167990684921202E-3</v>
      </c>
      <c r="F181" t="str">
        <f>IF(Table6_1[[#This Row],[% of national population]]&gt;E180,"Up","Down")</f>
        <v>Down</v>
      </c>
      <c r="G181" t="str">
        <f>IF(Table6_1[[#This Row],[% of national population]]&gt;E172,"Up","Down")</f>
        <v>Down</v>
      </c>
      <c r="H181" s="2">
        <f>IF(Table6_1[[#This Row],[Region]]=B180,Table6_1[[#This Row],[% of national population]]-E180,"")</f>
        <v>-4.9400619426594877E-6</v>
      </c>
      <c r="I181" s="2">
        <f>IF(Table6_1[[#This Row],[Region]]=B172,Table6_1[[#This Row],[% of national population]]-E172,"")</f>
        <v>-4.6226374307317946E-4</v>
      </c>
    </row>
  </sheetData>
  <phoneticPr fontId="6" type="noConversion"/>
  <pageMargins left="0.7" right="0.7" top="0.75" bottom="0.75" header="0.3" footer="0.3"/>
  <tableParts count="2">
    <tablePart r:id="rId1"/>
    <tablePart r:id="rId2"/>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B64CD-A066-44E3-AED6-584EFB654C42}">
  <dimension ref="A1:T43"/>
  <sheetViews>
    <sheetView workbookViewId="0">
      <selection activeCell="T3" sqref="T3:T12"/>
    </sheetView>
  </sheetViews>
  <sheetFormatPr defaultColWidth="8.85546875" defaultRowHeight="14.65"/>
  <cols>
    <col min="1" max="1" width="10.28515625" customWidth="1"/>
    <col min="2" max="2" width="17.140625" customWidth="1"/>
    <col min="3" max="3" width="16.42578125" customWidth="1"/>
    <col min="4" max="4" width="15.7109375" customWidth="1"/>
    <col min="5" max="5" width="19.140625" customWidth="1"/>
    <col min="6" max="6" width="16.28515625" customWidth="1"/>
    <col min="7" max="7" width="19.140625" customWidth="1"/>
    <col min="8" max="8" width="15.85546875" customWidth="1"/>
    <col min="9" max="9" width="26" customWidth="1"/>
    <col min="10" max="10" width="17.7109375" customWidth="1"/>
    <col min="11" max="11" width="15.140625" customWidth="1"/>
    <col min="12" max="12" width="14.42578125" customWidth="1"/>
    <col min="13" max="13" width="19.140625" customWidth="1"/>
    <col min="14" max="14" width="18.140625" customWidth="1"/>
    <col min="15" max="15" width="18" customWidth="1"/>
    <col min="16" max="16" width="13.7109375" customWidth="1"/>
    <col min="17" max="17" width="17.140625" customWidth="1"/>
    <col min="18" max="18" width="13" customWidth="1"/>
    <col min="19" max="19" width="13.140625" customWidth="1"/>
    <col min="20" max="20" width="13.42578125" customWidth="1"/>
  </cols>
  <sheetData>
    <row r="1" spans="1:20">
      <c r="A1" t="s">
        <v>526</v>
      </c>
    </row>
    <row r="2" spans="1:20">
      <c r="A2" t="s">
        <v>229</v>
      </c>
      <c r="B2" t="s">
        <v>509</v>
      </c>
      <c r="C2" t="s">
        <v>467</v>
      </c>
      <c r="D2" t="s">
        <v>510</v>
      </c>
      <c r="E2" t="s">
        <v>511</v>
      </c>
      <c r="F2" t="s">
        <v>512</v>
      </c>
      <c r="G2" t="s">
        <v>513</v>
      </c>
      <c r="H2" t="s">
        <v>514</v>
      </c>
      <c r="I2" t="s">
        <v>515</v>
      </c>
      <c r="J2" t="s">
        <v>516</v>
      </c>
      <c r="K2" t="s">
        <v>517</v>
      </c>
      <c r="L2" t="s">
        <v>518</v>
      </c>
      <c r="M2" t="s">
        <v>519</v>
      </c>
      <c r="N2" t="s">
        <v>520</v>
      </c>
      <c r="O2" t="s">
        <v>521</v>
      </c>
      <c r="P2" t="s">
        <v>522</v>
      </c>
      <c r="Q2" t="s">
        <v>523</v>
      </c>
      <c r="R2" t="s">
        <v>524</v>
      </c>
      <c r="S2" t="s">
        <v>525</v>
      </c>
      <c r="T2" t="s">
        <v>527</v>
      </c>
    </row>
    <row r="3" spans="1:20">
      <c r="A3">
        <v>2016</v>
      </c>
      <c r="B3">
        <v>176400</v>
      </c>
      <c r="C3">
        <v>1589800</v>
      </c>
      <c r="D3">
        <v>452800</v>
      </c>
      <c r="E3">
        <v>301500</v>
      </c>
      <c r="F3">
        <v>48800</v>
      </c>
      <c r="G3">
        <v>166900</v>
      </c>
      <c r="H3">
        <v>118500</v>
      </c>
      <c r="I3">
        <v>241100</v>
      </c>
      <c r="J3">
        <v>510700</v>
      </c>
      <c r="K3">
        <v>51900</v>
      </c>
      <c r="L3">
        <v>51400</v>
      </c>
      <c r="M3">
        <v>47100</v>
      </c>
      <c r="N3">
        <v>32900</v>
      </c>
      <c r="O3">
        <v>601900</v>
      </c>
      <c r="P3">
        <v>223100</v>
      </c>
      <c r="Q3">
        <v>99000</v>
      </c>
      <c r="R3">
        <v>3606300</v>
      </c>
      <c r="S3">
        <v>1107200</v>
      </c>
      <c r="T3">
        <v>4714100</v>
      </c>
    </row>
    <row r="4" spans="1:20">
      <c r="A4">
        <v>2017</v>
      </c>
      <c r="B4">
        <v>181200</v>
      </c>
      <c r="C4">
        <v>1625100</v>
      </c>
      <c r="D4">
        <v>465000</v>
      </c>
      <c r="E4">
        <v>311500</v>
      </c>
      <c r="F4">
        <v>49200</v>
      </c>
      <c r="G4">
        <v>169700</v>
      </c>
      <c r="H4">
        <v>120000</v>
      </c>
      <c r="I4">
        <v>244300</v>
      </c>
      <c r="J4">
        <v>518300</v>
      </c>
      <c r="K4">
        <v>53000</v>
      </c>
      <c r="L4">
        <v>52000</v>
      </c>
      <c r="M4">
        <v>47900</v>
      </c>
      <c r="N4">
        <v>32700</v>
      </c>
      <c r="O4">
        <v>614300</v>
      </c>
      <c r="P4">
        <v>228800</v>
      </c>
      <c r="Q4">
        <v>99900</v>
      </c>
      <c r="R4">
        <v>3684400</v>
      </c>
      <c r="S4">
        <v>1128500</v>
      </c>
      <c r="T4">
        <v>4813600</v>
      </c>
    </row>
    <row r="5" spans="1:20">
      <c r="A5">
        <v>2018</v>
      </c>
      <c r="B5">
        <v>185800</v>
      </c>
      <c r="C5">
        <v>1654800</v>
      </c>
      <c r="D5">
        <v>475600</v>
      </c>
      <c r="E5">
        <v>320800</v>
      </c>
      <c r="F5">
        <v>49500</v>
      </c>
      <c r="G5">
        <v>172400</v>
      </c>
      <c r="H5">
        <v>121200</v>
      </c>
      <c r="I5">
        <v>247500</v>
      </c>
      <c r="J5">
        <v>525900</v>
      </c>
      <c r="K5">
        <v>54000</v>
      </c>
      <c r="L5">
        <v>52700</v>
      </c>
      <c r="M5">
        <v>48700</v>
      </c>
      <c r="N5">
        <v>32400</v>
      </c>
      <c r="O5">
        <v>622800</v>
      </c>
      <c r="P5">
        <v>235000</v>
      </c>
      <c r="Q5">
        <v>100500</v>
      </c>
      <c r="R5">
        <v>3753700</v>
      </c>
      <c r="S5">
        <v>1146200</v>
      </c>
      <c r="T5">
        <v>4900600</v>
      </c>
    </row>
    <row r="6" spans="1:20">
      <c r="A6">
        <v>2019</v>
      </c>
      <c r="B6">
        <v>188000</v>
      </c>
      <c r="C6">
        <v>1680500</v>
      </c>
      <c r="D6">
        <v>483900</v>
      </c>
      <c r="E6">
        <v>327100</v>
      </c>
      <c r="F6">
        <v>50300</v>
      </c>
      <c r="G6">
        <v>173800</v>
      </c>
      <c r="H6">
        <v>123100</v>
      </c>
      <c r="I6">
        <v>250300</v>
      </c>
      <c r="J6">
        <v>530900</v>
      </c>
      <c r="K6">
        <v>54900</v>
      </c>
      <c r="L6">
        <v>53200</v>
      </c>
      <c r="M6">
        <v>49100</v>
      </c>
      <c r="N6">
        <v>32700</v>
      </c>
      <c r="O6">
        <v>632000</v>
      </c>
      <c r="P6">
        <v>238400</v>
      </c>
      <c r="Q6">
        <v>101400</v>
      </c>
      <c r="R6">
        <v>3808000</v>
      </c>
      <c r="S6">
        <v>1161700</v>
      </c>
      <c r="T6">
        <v>4970300</v>
      </c>
    </row>
    <row r="7" spans="1:20">
      <c r="A7">
        <v>2020</v>
      </c>
      <c r="B7">
        <v>192700</v>
      </c>
      <c r="C7">
        <v>1712000</v>
      </c>
      <c r="D7">
        <v>496500</v>
      </c>
      <c r="E7">
        <v>336800</v>
      </c>
      <c r="F7">
        <v>51400</v>
      </c>
      <c r="G7">
        <v>177700</v>
      </c>
      <c r="H7">
        <v>125100</v>
      </c>
      <c r="I7">
        <v>253700</v>
      </c>
      <c r="J7">
        <v>537900</v>
      </c>
      <c r="K7">
        <v>57200</v>
      </c>
      <c r="L7">
        <v>54500</v>
      </c>
      <c r="M7">
        <v>50800</v>
      </c>
      <c r="N7">
        <v>33300</v>
      </c>
      <c r="O7">
        <v>645900</v>
      </c>
      <c r="P7">
        <v>244000</v>
      </c>
      <c r="Q7">
        <v>102200</v>
      </c>
      <c r="R7">
        <v>3883800</v>
      </c>
      <c r="S7">
        <v>1187900</v>
      </c>
      <c r="T7">
        <v>5072400</v>
      </c>
    </row>
    <row r="8" spans="1:20">
      <c r="A8">
        <v>2021</v>
      </c>
      <c r="B8">
        <v>195600</v>
      </c>
      <c r="C8">
        <v>1704000</v>
      </c>
      <c r="D8">
        <v>501400</v>
      </c>
      <c r="E8">
        <v>340000</v>
      </c>
      <c r="F8">
        <v>51700</v>
      </c>
      <c r="G8">
        <v>178500</v>
      </c>
      <c r="H8">
        <v>126600</v>
      </c>
      <c r="I8">
        <v>255200</v>
      </c>
      <c r="J8">
        <v>537300</v>
      </c>
      <c r="K8">
        <v>57900</v>
      </c>
      <c r="L8">
        <v>54100</v>
      </c>
      <c r="M8">
        <v>50800</v>
      </c>
      <c r="N8">
        <v>33500</v>
      </c>
      <c r="O8">
        <v>652600</v>
      </c>
      <c r="P8">
        <v>243400</v>
      </c>
      <c r="Q8">
        <v>101400</v>
      </c>
      <c r="R8">
        <v>3890200</v>
      </c>
      <c r="S8">
        <v>1193700</v>
      </c>
      <c r="T8">
        <v>5084600</v>
      </c>
    </row>
    <row r="9" spans="1:20">
      <c r="A9">
        <v>2022</v>
      </c>
      <c r="B9">
        <v>197000</v>
      </c>
      <c r="C9">
        <v>1694400</v>
      </c>
      <c r="D9">
        <v>504300</v>
      </c>
      <c r="E9">
        <v>341000</v>
      </c>
      <c r="F9">
        <v>51800</v>
      </c>
      <c r="G9">
        <v>177700</v>
      </c>
      <c r="H9">
        <v>127500</v>
      </c>
      <c r="I9">
        <v>255400</v>
      </c>
      <c r="J9">
        <v>532900</v>
      </c>
      <c r="K9">
        <v>58400</v>
      </c>
      <c r="L9">
        <v>53900</v>
      </c>
      <c r="M9">
        <v>50500</v>
      </c>
      <c r="N9">
        <v>33600</v>
      </c>
      <c r="O9">
        <v>658300</v>
      </c>
      <c r="P9">
        <v>243400</v>
      </c>
      <c r="Q9">
        <v>101000</v>
      </c>
      <c r="R9">
        <v>3881900</v>
      </c>
      <c r="S9">
        <v>1199100</v>
      </c>
      <c r="T9">
        <v>5081700</v>
      </c>
    </row>
    <row r="10" spans="1:20">
      <c r="A10">
        <v>2023</v>
      </c>
      <c r="B10">
        <v>198500</v>
      </c>
      <c r="C10">
        <v>1755200</v>
      </c>
      <c r="D10">
        <v>516800</v>
      </c>
      <c r="E10">
        <v>346500</v>
      </c>
      <c r="F10">
        <v>52300</v>
      </c>
      <c r="G10">
        <v>179000</v>
      </c>
      <c r="H10">
        <v>129400</v>
      </c>
      <c r="I10">
        <v>257800</v>
      </c>
      <c r="J10">
        <v>538000</v>
      </c>
      <c r="K10">
        <v>59100</v>
      </c>
      <c r="L10">
        <v>54300</v>
      </c>
      <c r="M10">
        <v>50800</v>
      </c>
      <c r="N10">
        <v>33900</v>
      </c>
      <c r="O10">
        <v>676600</v>
      </c>
      <c r="P10">
        <v>248500</v>
      </c>
      <c r="Q10">
        <v>102700</v>
      </c>
      <c r="R10">
        <v>3973400</v>
      </c>
      <c r="S10">
        <v>1226100</v>
      </c>
      <c r="T10">
        <v>5200000</v>
      </c>
    </row>
    <row r="11" spans="1:20">
      <c r="A11">
        <v>2024</v>
      </c>
      <c r="B11">
        <v>200400</v>
      </c>
      <c r="C11">
        <v>1798300</v>
      </c>
      <c r="D11">
        <v>527000</v>
      </c>
      <c r="E11">
        <v>350500</v>
      </c>
      <c r="F11">
        <v>52800</v>
      </c>
      <c r="G11">
        <v>179800</v>
      </c>
      <c r="H11">
        <v>130300</v>
      </c>
      <c r="I11">
        <v>260100</v>
      </c>
      <c r="J11">
        <v>543300</v>
      </c>
      <c r="K11">
        <v>59700</v>
      </c>
      <c r="L11">
        <v>54500</v>
      </c>
      <c r="M11">
        <v>51000</v>
      </c>
      <c r="N11">
        <v>34500</v>
      </c>
      <c r="O11">
        <v>690600</v>
      </c>
      <c r="P11">
        <v>252400</v>
      </c>
      <c r="Q11">
        <v>104200</v>
      </c>
      <c r="R11">
        <v>4042400</v>
      </c>
      <c r="S11">
        <v>1247000</v>
      </c>
      <c r="T11">
        <v>5290000</v>
      </c>
    </row>
    <row r="12" spans="1:20">
      <c r="A12">
        <v>2025</v>
      </c>
      <c r="B12">
        <v>201100</v>
      </c>
      <c r="C12">
        <v>1816000</v>
      </c>
      <c r="D12">
        <v>532100</v>
      </c>
      <c r="E12">
        <v>351500</v>
      </c>
      <c r="F12">
        <v>52700</v>
      </c>
      <c r="G12">
        <v>179700</v>
      </c>
      <c r="H12">
        <v>130300</v>
      </c>
      <c r="I12">
        <v>260700</v>
      </c>
      <c r="J12">
        <v>543400</v>
      </c>
      <c r="K12">
        <v>59900</v>
      </c>
      <c r="L12">
        <v>54300</v>
      </c>
      <c r="M12">
        <v>50800</v>
      </c>
      <c r="N12">
        <v>34700</v>
      </c>
      <c r="O12">
        <v>698200</v>
      </c>
      <c r="P12">
        <v>253900</v>
      </c>
      <c r="Q12">
        <v>104800</v>
      </c>
      <c r="R12">
        <v>4067400</v>
      </c>
      <c r="S12">
        <v>1256700</v>
      </c>
      <c r="T12">
        <v>5324700</v>
      </c>
    </row>
    <row r="13" spans="1:20">
      <c r="A13" t="s">
        <v>528</v>
      </c>
    </row>
    <row r="14" spans="1:20">
      <c r="A14" t="s">
        <v>529</v>
      </c>
    </row>
    <row r="15" spans="1:20">
      <c r="A15" t="s">
        <v>530</v>
      </c>
    </row>
    <row r="17" spans="1:1">
      <c r="A17" t="s">
        <v>531</v>
      </c>
    </row>
    <row r="18" spans="1:1">
      <c r="A18" t="s">
        <v>532</v>
      </c>
    </row>
    <row r="19" spans="1:1">
      <c r="A19" t="s">
        <v>533</v>
      </c>
    </row>
    <row r="20" spans="1:1">
      <c r="A20" t="s">
        <v>534</v>
      </c>
    </row>
    <row r="21" spans="1:1">
      <c r="A21" t="s">
        <v>535</v>
      </c>
    </row>
    <row r="22" spans="1:1">
      <c r="A22" t="s">
        <v>536</v>
      </c>
    </row>
    <row r="23" spans="1:1">
      <c r="A23" t="s">
        <v>260</v>
      </c>
    </row>
    <row r="24" spans="1:1">
      <c r="A24" t="s">
        <v>537</v>
      </c>
    </row>
    <row r="25" spans="1:1">
      <c r="A25" t="s">
        <v>538</v>
      </c>
    </row>
    <row r="26" spans="1:1">
      <c r="A26" t="s">
        <v>539</v>
      </c>
    </row>
    <row r="27" spans="1:1">
      <c r="A27" t="s">
        <v>540</v>
      </c>
    </row>
    <row r="28" spans="1:1">
      <c r="A28" t="s">
        <v>541</v>
      </c>
    </row>
    <row r="29" spans="1:1">
      <c r="A29" t="s">
        <v>542</v>
      </c>
    </row>
    <row r="30" spans="1:1">
      <c r="A30" t="s">
        <v>543</v>
      </c>
    </row>
    <row r="32" spans="1:1">
      <c r="A32" t="s">
        <v>544</v>
      </c>
    </row>
    <row r="34" spans="1:1">
      <c r="A34" t="s">
        <v>545</v>
      </c>
    </row>
    <row r="35" spans="1:1">
      <c r="A35" t="s">
        <v>546</v>
      </c>
    </row>
    <row r="37" spans="1:1">
      <c r="A37" t="s">
        <v>547</v>
      </c>
    </row>
    <row r="38" spans="1:1">
      <c r="A38" t="s">
        <v>548</v>
      </c>
    </row>
    <row r="40" spans="1:1">
      <c r="A40" t="s">
        <v>549</v>
      </c>
    </row>
    <row r="41" spans="1:1">
      <c r="A41" t="s">
        <v>550</v>
      </c>
    </row>
    <row r="42" spans="1:1">
      <c r="A42" t="s">
        <v>551</v>
      </c>
    </row>
    <row r="43" spans="1:1">
      <c r="A43" t="s">
        <v>552</v>
      </c>
    </row>
  </sheetData>
  <pageMargins left="0.7" right="0.7" top="0.75" bottom="0.75" header="0.3" footer="0.3"/>
  <tableParts count="1">
    <tablePart r:id="rId1"/>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CB09C-6683-49EB-9C1F-ECFCBBC8CEC4}">
  <dimension ref="A1:T26"/>
  <sheetViews>
    <sheetView workbookViewId="0"/>
  </sheetViews>
  <sheetFormatPr defaultColWidth="8.85546875" defaultRowHeight="14.65"/>
  <cols>
    <col min="1" max="1" width="6.85546875" bestFit="1" customWidth="1"/>
    <col min="2" max="2" width="17" bestFit="1" customWidth="1"/>
    <col min="3" max="3" width="19.85546875" bestFit="1" customWidth="1"/>
    <col min="4" max="4" width="18.42578125" bestFit="1" customWidth="1"/>
    <col min="5" max="5" width="16.85546875" bestFit="1" customWidth="1"/>
    <col min="6" max="6" width="19.7109375" bestFit="1" customWidth="1"/>
    <col min="7" max="7" width="27.85546875" bestFit="1" customWidth="1"/>
    <col min="8" max="8" width="19.7109375" bestFit="1" customWidth="1"/>
    <col min="9" max="9" width="14.85546875" bestFit="1" customWidth="1"/>
    <col min="10" max="10" width="17.42578125" bestFit="1" customWidth="1"/>
    <col min="11" max="11" width="14" bestFit="1" customWidth="1"/>
    <col min="12" max="12" width="17.7109375" bestFit="1" customWidth="1"/>
    <col min="13" max="13" width="16.28515625" bestFit="1" customWidth="1"/>
    <col min="14" max="14" width="15.7109375" bestFit="1" customWidth="1"/>
    <col min="15" max="15" width="16.140625" bestFit="1" customWidth="1"/>
    <col min="16" max="16" width="18.140625" bestFit="1" customWidth="1"/>
    <col min="17" max="17" width="18.42578125" bestFit="1" customWidth="1"/>
    <col min="18" max="18" width="24.85546875" bestFit="1" customWidth="1"/>
    <col min="19" max="19" width="7.28515625" bestFit="1" customWidth="1"/>
    <col min="20" max="20" width="19.140625" bestFit="1" customWidth="1"/>
  </cols>
  <sheetData>
    <row r="1" spans="1:20">
      <c r="A1" t="s">
        <v>229</v>
      </c>
      <c r="B1" t="s">
        <v>467</v>
      </c>
      <c r="C1" t="s">
        <v>511</v>
      </c>
      <c r="D1" t="s">
        <v>521</v>
      </c>
      <c r="E1" t="s">
        <v>512</v>
      </c>
      <c r="F1" t="s">
        <v>513</v>
      </c>
      <c r="G1" t="s">
        <v>553</v>
      </c>
      <c r="H1" t="s">
        <v>519</v>
      </c>
      <c r="I1" t="s">
        <v>518</v>
      </c>
      <c r="J1" t="s">
        <v>509</v>
      </c>
      <c r="K1" t="s">
        <v>522</v>
      </c>
      <c r="L1" t="s">
        <v>523</v>
      </c>
      <c r="M1" t="s">
        <v>514</v>
      </c>
      <c r="N1" t="s">
        <v>517</v>
      </c>
      <c r="O1" t="s">
        <v>510</v>
      </c>
      <c r="P1" t="s">
        <v>516</v>
      </c>
      <c r="Q1" t="s">
        <v>520</v>
      </c>
      <c r="R1" t="s">
        <v>554</v>
      </c>
      <c r="S1" t="s">
        <v>236</v>
      </c>
      <c r="T1" t="s">
        <v>555</v>
      </c>
    </row>
    <row r="2" spans="1:20">
      <c r="A2">
        <v>2000</v>
      </c>
      <c r="B2">
        <v>44601</v>
      </c>
      <c r="C2">
        <v>11519</v>
      </c>
      <c r="D2">
        <v>20394</v>
      </c>
      <c r="E2">
        <v>2177</v>
      </c>
      <c r="F2">
        <v>7059</v>
      </c>
      <c r="G2">
        <v>9037</v>
      </c>
      <c r="H2">
        <v>1505</v>
      </c>
      <c r="I2">
        <v>1740</v>
      </c>
      <c r="J2">
        <v>5642</v>
      </c>
      <c r="K2">
        <v>7038</v>
      </c>
      <c r="L2">
        <v>2970</v>
      </c>
      <c r="M2">
        <v>3971</v>
      </c>
      <c r="N2">
        <v>1484</v>
      </c>
      <c r="O2">
        <v>14939</v>
      </c>
      <c r="P2">
        <v>17752</v>
      </c>
      <c r="Q2">
        <v>1108</v>
      </c>
      <c r="R2">
        <v>1031</v>
      </c>
      <c r="S2">
        <v>153967</v>
      </c>
      <c r="T2">
        <v>0.289678957179136</v>
      </c>
    </row>
    <row r="3" spans="1:20">
      <c r="A3">
        <v>2001</v>
      </c>
      <c r="B3">
        <v>44555</v>
      </c>
      <c r="C3">
        <v>11427</v>
      </c>
      <c r="D3">
        <v>20386</v>
      </c>
      <c r="E3">
        <v>2016</v>
      </c>
      <c r="F3">
        <v>6693</v>
      </c>
      <c r="G3">
        <v>8710</v>
      </c>
      <c r="H3">
        <v>1532</v>
      </c>
      <c r="I3">
        <v>1608</v>
      </c>
      <c r="J3">
        <v>5454</v>
      </c>
      <c r="K3">
        <v>7140</v>
      </c>
      <c r="L3">
        <v>2918</v>
      </c>
      <c r="M3">
        <v>3838</v>
      </c>
      <c r="N3">
        <v>1572</v>
      </c>
      <c r="O3">
        <v>14430</v>
      </c>
      <c r="P3">
        <v>18325</v>
      </c>
      <c r="Q3">
        <v>939</v>
      </c>
      <c r="R3">
        <v>961</v>
      </c>
      <c r="S3">
        <v>152504</v>
      </c>
      <c r="T3">
        <v>0.29215627131091598</v>
      </c>
    </row>
    <row r="4" spans="1:20">
      <c r="A4">
        <v>2002</v>
      </c>
      <c r="B4">
        <v>45778</v>
      </c>
      <c r="C4">
        <v>11740</v>
      </c>
      <c r="D4">
        <v>20884</v>
      </c>
      <c r="E4">
        <v>2107</v>
      </c>
      <c r="F4">
        <v>6983</v>
      </c>
      <c r="G4">
        <v>8647</v>
      </c>
      <c r="H4">
        <v>1493</v>
      </c>
      <c r="I4">
        <v>1629</v>
      </c>
      <c r="J4">
        <v>5628</v>
      </c>
      <c r="K4">
        <v>7208</v>
      </c>
      <c r="L4">
        <v>3112</v>
      </c>
      <c r="M4">
        <v>4086</v>
      </c>
      <c r="N4">
        <v>1589</v>
      </c>
      <c r="O4">
        <v>15005</v>
      </c>
      <c r="P4">
        <v>18291</v>
      </c>
      <c r="Q4">
        <v>1075</v>
      </c>
      <c r="R4">
        <v>932</v>
      </c>
      <c r="S4">
        <v>156187</v>
      </c>
      <c r="T4">
        <v>0.29309737686235099</v>
      </c>
    </row>
    <row r="5" spans="1:20">
      <c r="A5">
        <v>2003</v>
      </c>
      <c r="B5">
        <v>47188</v>
      </c>
      <c r="C5">
        <v>11634</v>
      </c>
      <c r="D5">
        <v>21489</v>
      </c>
      <c r="E5">
        <v>2146</v>
      </c>
      <c r="F5">
        <v>7338</v>
      </c>
      <c r="G5">
        <v>8808</v>
      </c>
      <c r="H5">
        <v>1531</v>
      </c>
      <c r="I5">
        <v>1633</v>
      </c>
      <c r="J5">
        <v>5597</v>
      </c>
      <c r="K5">
        <v>7427</v>
      </c>
      <c r="L5">
        <v>3331</v>
      </c>
      <c r="M5">
        <v>4138</v>
      </c>
      <c r="N5">
        <v>1683</v>
      </c>
      <c r="O5">
        <v>15458</v>
      </c>
      <c r="P5">
        <v>18707</v>
      </c>
      <c r="Q5">
        <v>1051</v>
      </c>
      <c r="R5">
        <v>1014</v>
      </c>
      <c r="S5">
        <v>160173</v>
      </c>
      <c r="T5">
        <v>0.29460645676861902</v>
      </c>
    </row>
    <row r="6" spans="1:20">
      <c r="A6">
        <v>2004</v>
      </c>
      <c r="B6">
        <v>47947</v>
      </c>
      <c r="C6">
        <v>11758</v>
      </c>
      <c r="D6">
        <v>21527</v>
      </c>
      <c r="E6">
        <v>2161</v>
      </c>
      <c r="F6">
        <v>7773</v>
      </c>
      <c r="G6">
        <v>9052</v>
      </c>
      <c r="H6">
        <v>1546</v>
      </c>
      <c r="I6">
        <v>1674</v>
      </c>
      <c r="J6">
        <v>5669</v>
      </c>
      <c r="K6">
        <v>7645</v>
      </c>
      <c r="L6">
        <v>3380</v>
      </c>
      <c r="M6">
        <v>4295</v>
      </c>
      <c r="N6">
        <v>1718</v>
      </c>
      <c r="O6">
        <v>15723</v>
      </c>
      <c r="P6">
        <v>19138</v>
      </c>
      <c r="Q6">
        <v>1139</v>
      </c>
      <c r="R6">
        <v>940</v>
      </c>
      <c r="S6">
        <v>163085</v>
      </c>
      <c r="T6">
        <v>0.294000061317718</v>
      </c>
    </row>
    <row r="7" spans="1:20">
      <c r="A7">
        <v>2005</v>
      </c>
      <c r="B7">
        <v>48493</v>
      </c>
      <c r="C7">
        <v>12000</v>
      </c>
      <c r="D7">
        <v>22285</v>
      </c>
      <c r="E7">
        <v>2145</v>
      </c>
      <c r="F7">
        <v>7698</v>
      </c>
      <c r="G7">
        <v>8923</v>
      </c>
      <c r="H7">
        <v>1489</v>
      </c>
      <c r="I7">
        <v>1665</v>
      </c>
      <c r="J7">
        <v>5759</v>
      </c>
      <c r="K7">
        <v>7592</v>
      </c>
      <c r="L7">
        <v>3498</v>
      </c>
      <c r="M7">
        <v>4212</v>
      </c>
      <c r="N7">
        <v>1741</v>
      </c>
      <c r="O7">
        <v>15951</v>
      </c>
      <c r="P7">
        <v>19128</v>
      </c>
      <c r="Q7">
        <v>1111</v>
      </c>
      <c r="R7">
        <v>831</v>
      </c>
      <c r="S7">
        <v>164521</v>
      </c>
      <c r="T7">
        <v>0.294752645558926</v>
      </c>
    </row>
    <row r="8" spans="1:20">
      <c r="A8">
        <v>2006</v>
      </c>
      <c r="B8">
        <v>48783</v>
      </c>
      <c r="C8">
        <v>12234</v>
      </c>
      <c r="D8">
        <v>22557</v>
      </c>
      <c r="E8">
        <v>2048</v>
      </c>
      <c r="F8">
        <v>7800</v>
      </c>
      <c r="G8">
        <v>8976</v>
      </c>
      <c r="H8">
        <v>1507</v>
      </c>
      <c r="I8">
        <v>1674</v>
      </c>
      <c r="J8">
        <v>5778</v>
      </c>
      <c r="K8">
        <v>7335</v>
      </c>
      <c r="L8">
        <v>3530</v>
      </c>
      <c r="M8">
        <v>4207</v>
      </c>
      <c r="N8">
        <v>1766</v>
      </c>
      <c r="O8">
        <v>15896</v>
      </c>
      <c r="P8">
        <v>19404</v>
      </c>
      <c r="Q8">
        <v>1158</v>
      </c>
      <c r="R8">
        <v>601</v>
      </c>
      <c r="S8">
        <v>165254</v>
      </c>
      <c r="T8">
        <v>0.29520011618478198</v>
      </c>
    </row>
    <row r="9" spans="1:20">
      <c r="A9">
        <v>2007</v>
      </c>
      <c r="B9">
        <v>50529</v>
      </c>
      <c r="C9">
        <v>12707</v>
      </c>
      <c r="D9">
        <v>23049</v>
      </c>
      <c r="E9">
        <v>2153</v>
      </c>
      <c r="F9">
        <v>8182</v>
      </c>
      <c r="G9">
        <v>9367</v>
      </c>
      <c r="H9">
        <v>1541</v>
      </c>
      <c r="I9">
        <v>1704</v>
      </c>
      <c r="J9">
        <v>5985</v>
      </c>
      <c r="K9">
        <v>7799</v>
      </c>
      <c r="L9">
        <v>3752</v>
      </c>
      <c r="M9">
        <v>4060</v>
      </c>
      <c r="N9">
        <v>1884</v>
      </c>
      <c r="O9">
        <v>16467</v>
      </c>
      <c r="P9">
        <v>20044</v>
      </c>
      <c r="Q9">
        <v>1161</v>
      </c>
      <c r="R9">
        <v>754</v>
      </c>
      <c r="S9">
        <v>171138</v>
      </c>
      <c r="T9">
        <v>0.29525295375661798</v>
      </c>
    </row>
    <row r="10" spans="1:20">
      <c r="A10">
        <v>2008</v>
      </c>
      <c r="B10">
        <v>52732</v>
      </c>
      <c r="C10">
        <v>13361</v>
      </c>
      <c r="D10">
        <v>23965</v>
      </c>
      <c r="E10">
        <v>2136</v>
      </c>
      <c r="F10">
        <v>8465</v>
      </c>
      <c r="G10">
        <v>9454</v>
      </c>
      <c r="H10">
        <v>1636</v>
      </c>
      <c r="I10">
        <v>1688</v>
      </c>
      <c r="J10">
        <v>6176</v>
      </c>
      <c r="K10">
        <v>7935</v>
      </c>
      <c r="L10">
        <v>3865</v>
      </c>
      <c r="M10">
        <v>4359</v>
      </c>
      <c r="N10">
        <v>1910</v>
      </c>
      <c r="O10">
        <v>16806</v>
      </c>
      <c r="P10">
        <v>20639</v>
      </c>
      <c r="Q10">
        <v>1256</v>
      </c>
      <c r="R10">
        <v>610</v>
      </c>
      <c r="S10">
        <v>176993</v>
      </c>
      <c r="T10">
        <v>0.29793268660342498</v>
      </c>
    </row>
    <row r="11" spans="1:20">
      <c r="A11">
        <v>2009</v>
      </c>
      <c r="B11">
        <v>54022</v>
      </c>
      <c r="C11">
        <v>13758</v>
      </c>
      <c r="D11">
        <v>24569</v>
      </c>
      <c r="E11">
        <v>2273</v>
      </c>
      <c r="F11">
        <v>8595</v>
      </c>
      <c r="G11">
        <v>9803</v>
      </c>
      <c r="H11">
        <v>1666</v>
      </c>
      <c r="I11">
        <v>1747</v>
      </c>
      <c r="J11">
        <v>6382</v>
      </c>
      <c r="K11">
        <v>8211</v>
      </c>
      <c r="L11">
        <v>3588</v>
      </c>
      <c r="M11">
        <v>4510</v>
      </c>
      <c r="N11">
        <v>2054</v>
      </c>
      <c r="O11">
        <v>17151</v>
      </c>
      <c r="P11">
        <v>20731</v>
      </c>
      <c r="Q11">
        <v>1204</v>
      </c>
      <c r="R11">
        <v>646</v>
      </c>
      <c r="S11">
        <v>180910</v>
      </c>
      <c r="T11">
        <v>0.29861256978608203</v>
      </c>
    </row>
    <row r="12" spans="1:20">
      <c r="A12">
        <v>2010</v>
      </c>
      <c r="B12">
        <v>56586</v>
      </c>
      <c r="C12">
        <v>14631</v>
      </c>
      <c r="D12">
        <v>25364</v>
      </c>
      <c r="E12">
        <v>2308</v>
      </c>
      <c r="F12">
        <v>9054</v>
      </c>
      <c r="G12">
        <v>10383</v>
      </c>
      <c r="H12">
        <v>1833</v>
      </c>
      <c r="I12">
        <v>1931</v>
      </c>
      <c r="J12">
        <v>6458</v>
      </c>
      <c r="K12">
        <v>8334</v>
      </c>
      <c r="L12">
        <v>3897</v>
      </c>
      <c r="M12">
        <v>4780</v>
      </c>
      <c r="N12">
        <v>2012</v>
      </c>
      <c r="O12">
        <v>18153</v>
      </c>
      <c r="P12">
        <v>21297</v>
      </c>
      <c r="Q12">
        <v>1300</v>
      </c>
      <c r="R12">
        <v>632</v>
      </c>
      <c r="S12">
        <v>188953</v>
      </c>
      <c r="T12">
        <v>0.299471297095045</v>
      </c>
    </row>
    <row r="13" spans="1:20">
      <c r="A13">
        <v>2011</v>
      </c>
      <c r="B13">
        <v>59012</v>
      </c>
      <c r="C13">
        <v>15259</v>
      </c>
      <c r="D13">
        <v>24721</v>
      </c>
      <c r="E13">
        <v>2282</v>
      </c>
      <c r="F13">
        <v>9319</v>
      </c>
      <c r="G13">
        <v>10590</v>
      </c>
      <c r="H13">
        <v>1972</v>
      </c>
      <c r="I13">
        <v>1993</v>
      </c>
      <c r="J13">
        <v>6493</v>
      </c>
      <c r="K13">
        <v>8541</v>
      </c>
      <c r="L13">
        <v>3892</v>
      </c>
      <c r="M13">
        <v>4927</v>
      </c>
      <c r="N13">
        <v>2120</v>
      </c>
      <c r="O13">
        <v>19109</v>
      </c>
      <c r="P13">
        <v>21936</v>
      </c>
      <c r="Q13">
        <v>1358</v>
      </c>
      <c r="R13">
        <v>577</v>
      </c>
      <c r="S13">
        <v>194101</v>
      </c>
      <c r="T13">
        <v>0.304027284764118</v>
      </c>
    </row>
    <row r="14" spans="1:20">
      <c r="A14">
        <v>2012</v>
      </c>
      <c r="B14">
        <v>60652</v>
      </c>
      <c r="C14">
        <v>15460</v>
      </c>
      <c r="D14">
        <v>24403</v>
      </c>
      <c r="E14">
        <v>2232</v>
      </c>
      <c r="F14">
        <v>9464</v>
      </c>
      <c r="G14">
        <v>11032</v>
      </c>
      <c r="H14">
        <v>2035</v>
      </c>
      <c r="I14">
        <v>1981</v>
      </c>
      <c r="J14">
        <v>6564</v>
      </c>
      <c r="K14">
        <v>8790</v>
      </c>
      <c r="L14">
        <v>3794</v>
      </c>
      <c r="M14">
        <v>4905</v>
      </c>
      <c r="N14">
        <v>1999</v>
      </c>
      <c r="O14">
        <v>19544</v>
      </c>
      <c r="P14">
        <v>21809</v>
      </c>
      <c r="Q14">
        <v>1323</v>
      </c>
      <c r="R14">
        <v>539</v>
      </c>
      <c r="S14">
        <v>196526</v>
      </c>
      <c r="T14">
        <v>0.308620742293641</v>
      </c>
    </row>
    <row r="15" spans="1:20">
      <c r="A15">
        <v>2013</v>
      </c>
      <c r="B15">
        <v>62771</v>
      </c>
      <c r="C15">
        <v>15760</v>
      </c>
      <c r="D15">
        <v>24367</v>
      </c>
      <c r="E15">
        <v>2391</v>
      </c>
      <c r="F15">
        <v>9556</v>
      </c>
      <c r="G15">
        <v>11148</v>
      </c>
      <c r="H15">
        <v>2111</v>
      </c>
      <c r="I15">
        <v>1907</v>
      </c>
      <c r="J15">
        <v>6703</v>
      </c>
      <c r="K15">
        <v>9032</v>
      </c>
      <c r="L15">
        <v>3924</v>
      </c>
      <c r="M15">
        <v>5189</v>
      </c>
      <c r="N15">
        <v>1996</v>
      </c>
      <c r="O15">
        <v>19721</v>
      </c>
      <c r="P15">
        <v>22352</v>
      </c>
      <c r="Q15">
        <v>1410</v>
      </c>
      <c r="R15">
        <v>604</v>
      </c>
      <c r="S15">
        <v>200942</v>
      </c>
      <c r="T15">
        <v>0.31238367290063801</v>
      </c>
    </row>
    <row r="16" spans="1:20">
      <c r="A16">
        <v>2014</v>
      </c>
      <c r="B16">
        <v>63572</v>
      </c>
      <c r="C16">
        <v>15656</v>
      </c>
      <c r="D16">
        <v>23940</v>
      </c>
      <c r="E16">
        <v>2385</v>
      </c>
      <c r="F16">
        <v>9499</v>
      </c>
      <c r="G16">
        <v>10734</v>
      </c>
      <c r="H16">
        <v>1971</v>
      </c>
      <c r="I16">
        <v>1889</v>
      </c>
      <c r="J16">
        <v>6833</v>
      </c>
      <c r="K16">
        <v>8651</v>
      </c>
      <c r="L16">
        <v>3834</v>
      </c>
      <c r="M16">
        <v>5077</v>
      </c>
      <c r="N16">
        <v>1975</v>
      </c>
      <c r="O16">
        <v>20173</v>
      </c>
      <c r="P16">
        <v>21938</v>
      </c>
      <c r="Q16">
        <v>1356</v>
      </c>
      <c r="R16">
        <v>519</v>
      </c>
      <c r="S16">
        <v>200002</v>
      </c>
      <c r="T16">
        <v>0.31785682143178601</v>
      </c>
    </row>
    <row r="17" spans="1:20">
      <c r="A17">
        <v>2015</v>
      </c>
      <c r="B17">
        <v>67116</v>
      </c>
      <c r="C17">
        <v>15242</v>
      </c>
      <c r="D17">
        <v>23080</v>
      </c>
      <c r="E17">
        <v>2289</v>
      </c>
      <c r="F17">
        <v>8757</v>
      </c>
      <c r="G17">
        <v>10310</v>
      </c>
      <c r="H17">
        <v>1816</v>
      </c>
      <c r="I17">
        <v>1847</v>
      </c>
      <c r="J17">
        <v>6813</v>
      </c>
      <c r="K17">
        <v>8348</v>
      </c>
      <c r="L17">
        <v>3640</v>
      </c>
      <c r="M17">
        <v>5109</v>
      </c>
      <c r="N17">
        <v>1873</v>
      </c>
      <c r="O17">
        <v>19874</v>
      </c>
      <c r="P17">
        <v>21040</v>
      </c>
      <c r="Q17">
        <v>1213</v>
      </c>
      <c r="R17">
        <v>520</v>
      </c>
      <c r="S17">
        <v>198887</v>
      </c>
      <c r="T17">
        <v>0.33745795351128999</v>
      </c>
    </row>
    <row r="18" spans="1:20">
      <c r="A18">
        <v>2016</v>
      </c>
      <c r="B18">
        <v>67977</v>
      </c>
      <c r="C18">
        <v>15489</v>
      </c>
      <c r="D18">
        <v>23689</v>
      </c>
      <c r="E18">
        <v>2297</v>
      </c>
      <c r="F18">
        <v>8669</v>
      </c>
      <c r="G18">
        <v>10083</v>
      </c>
      <c r="H18">
        <v>1777</v>
      </c>
      <c r="I18">
        <v>1811</v>
      </c>
      <c r="J18">
        <v>7070</v>
      </c>
      <c r="K18">
        <v>8524</v>
      </c>
      <c r="L18">
        <v>3693</v>
      </c>
      <c r="M18">
        <v>5210</v>
      </c>
      <c r="N18">
        <v>1848</v>
      </c>
      <c r="O18">
        <v>20403</v>
      </c>
      <c r="P18">
        <v>21449</v>
      </c>
      <c r="Q18">
        <v>1245</v>
      </c>
      <c r="R18">
        <v>441</v>
      </c>
      <c r="S18">
        <v>201675</v>
      </c>
      <c r="T18">
        <v>0.33706210487170002</v>
      </c>
    </row>
    <row r="19" spans="1:20">
      <c r="A19">
        <v>2017</v>
      </c>
      <c r="B19">
        <v>68780</v>
      </c>
      <c r="C19">
        <v>15673</v>
      </c>
      <c r="D19">
        <v>23835</v>
      </c>
      <c r="E19">
        <v>2278</v>
      </c>
      <c r="F19">
        <v>8392</v>
      </c>
      <c r="G19">
        <v>10278</v>
      </c>
      <c r="H19">
        <v>1721</v>
      </c>
      <c r="I19">
        <v>1811</v>
      </c>
      <c r="J19">
        <v>7334</v>
      </c>
      <c r="K19">
        <v>8495</v>
      </c>
      <c r="L19">
        <v>3614</v>
      </c>
      <c r="M19">
        <v>5280</v>
      </c>
      <c r="N19">
        <v>1857</v>
      </c>
      <c r="O19">
        <v>20777</v>
      </c>
      <c r="P19">
        <v>21085</v>
      </c>
      <c r="Q19">
        <v>1173</v>
      </c>
      <c r="R19">
        <v>389</v>
      </c>
      <c r="S19">
        <v>202772</v>
      </c>
      <c r="T19">
        <v>0.33919870593573098</v>
      </c>
    </row>
    <row r="20" spans="1:20">
      <c r="A20">
        <v>2018</v>
      </c>
      <c r="B20">
        <v>68822</v>
      </c>
      <c r="C20">
        <v>15611</v>
      </c>
      <c r="D20">
        <v>23695</v>
      </c>
      <c r="E20">
        <v>2252</v>
      </c>
      <c r="F20">
        <v>8059</v>
      </c>
      <c r="G20">
        <v>10054</v>
      </c>
      <c r="H20">
        <v>1684</v>
      </c>
      <c r="I20">
        <v>1800</v>
      </c>
      <c r="J20">
        <v>7203</v>
      </c>
      <c r="K20">
        <v>8341</v>
      </c>
      <c r="L20">
        <v>3598</v>
      </c>
      <c r="M20">
        <v>5028</v>
      </c>
      <c r="N20">
        <v>1888</v>
      </c>
      <c r="O20">
        <v>20667</v>
      </c>
      <c r="P20">
        <v>20437</v>
      </c>
      <c r="Q20">
        <v>1102</v>
      </c>
      <c r="R20">
        <v>347</v>
      </c>
      <c r="S20">
        <v>200588</v>
      </c>
      <c r="T20">
        <v>0.343101282230243</v>
      </c>
    </row>
    <row r="21" spans="1:20">
      <c r="A21">
        <v>2019</v>
      </c>
      <c r="B21">
        <v>68770</v>
      </c>
      <c r="C21">
        <v>15236</v>
      </c>
      <c r="D21">
        <v>23683</v>
      </c>
      <c r="E21">
        <v>2160</v>
      </c>
      <c r="F21">
        <v>7864</v>
      </c>
      <c r="G21">
        <v>10176</v>
      </c>
      <c r="H21">
        <v>1636</v>
      </c>
      <c r="I21">
        <v>1724</v>
      </c>
      <c r="J21">
        <v>7015</v>
      </c>
      <c r="K21">
        <v>8317</v>
      </c>
      <c r="L21">
        <v>3497</v>
      </c>
      <c r="M21">
        <v>5013</v>
      </c>
      <c r="N21">
        <v>1926</v>
      </c>
      <c r="O21">
        <v>20655</v>
      </c>
      <c r="P21">
        <v>19869</v>
      </c>
      <c r="Q21">
        <v>1045</v>
      </c>
      <c r="R21">
        <v>337</v>
      </c>
      <c r="S21">
        <v>198923</v>
      </c>
      <c r="T21">
        <v>0.34571165727442299</v>
      </c>
    </row>
    <row r="22" spans="1:20">
      <c r="A22">
        <v>2020</v>
      </c>
      <c r="B22">
        <v>64406</v>
      </c>
      <c r="C22">
        <v>14511</v>
      </c>
      <c r="D22">
        <v>23171</v>
      </c>
      <c r="E22">
        <v>2129</v>
      </c>
      <c r="F22">
        <v>7514</v>
      </c>
      <c r="G22">
        <v>9822</v>
      </c>
      <c r="H22">
        <v>1576</v>
      </c>
      <c r="I22">
        <v>1729</v>
      </c>
      <c r="J22">
        <v>6765</v>
      </c>
      <c r="K22">
        <v>7894</v>
      </c>
      <c r="L22">
        <v>3429</v>
      </c>
      <c r="M22">
        <v>4632</v>
      </c>
      <c r="N22">
        <v>1944</v>
      </c>
      <c r="O22">
        <v>20284</v>
      </c>
      <c r="P22">
        <v>19221</v>
      </c>
      <c r="Q22">
        <v>968</v>
      </c>
      <c r="R22">
        <v>353</v>
      </c>
      <c r="S22">
        <v>190348</v>
      </c>
      <c r="T22">
        <v>0.33835921575220101</v>
      </c>
    </row>
    <row r="23" spans="1:20">
      <c r="A23">
        <v>2021</v>
      </c>
      <c r="B23">
        <v>65235</v>
      </c>
      <c r="C23">
        <v>14839</v>
      </c>
      <c r="D23">
        <v>24644</v>
      </c>
      <c r="E23">
        <v>2045</v>
      </c>
      <c r="F23">
        <v>7667</v>
      </c>
      <c r="G23">
        <v>9655</v>
      </c>
      <c r="H23">
        <v>1611</v>
      </c>
      <c r="I23">
        <v>1772</v>
      </c>
      <c r="J23">
        <v>7390</v>
      </c>
      <c r="K23">
        <v>8306</v>
      </c>
      <c r="L23">
        <v>3570</v>
      </c>
      <c r="M23">
        <v>4956</v>
      </c>
      <c r="N23">
        <v>1937</v>
      </c>
      <c r="O23">
        <v>21092</v>
      </c>
      <c r="P23">
        <v>18562</v>
      </c>
      <c r="Q23">
        <v>998</v>
      </c>
      <c r="R23">
        <v>418</v>
      </c>
      <c r="S23">
        <v>194697</v>
      </c>
      <c r="T23">
        <v>0.33505909181959698</v>
      </c>
    </row>
    <row r="24" spans="1:20">
      <c r="A24">
        <v>2022</v>
      </c>
      <c r="B24">
        <v>59980</v>
      </c>
      <c r="C24">
        <v>13958</v>
      </c>
      <c r="D24">
        <v>23458</v>
      </c>
      <c r="E24">
        <v>2006</v>
      </c>
      <c r="F24">
        <v>7175</v>
      </c>
      <c r="G24">
        <v>9032</v>
      </c>
      <c r="H24">
        <v>1554</v>
      </c>
      <c r="I24">
        <v>1603</v>
      </c>
      <c r="J24">
        <v>6607</v>
      </c>
      <c r="K24">
        <v>7826</v>
      </c>
      <c r="L24">
        <v>3354</v>
      </c>
      <c r="M24">
        <v>4615</v>
      </c>
      <c r="N24">
        <v>1738</v>
      </c>
      <c r="O24">
        <v>19223</v>
      </c>
      <c r="P24">
        <v>17987</v>
      </c>
      <c r="Q24">
        <v>906</v>
      </c>
      <c r="R24">
        <v>451</v>
      </c>
      <c r="S24">
        <v>181473</v>
      </c>
      <c r="T24">
        <v>0.33051748744992399</v>
      </c>
    </row>
    <row r="25" spans="1:20">
      <c r="A25">
        <v>2023</v>
      </c>
      <c r="B25">
        <v>65257</v>
      </c>
      <c r="C25">
        <v>14800</v>
      </c>
      <c r="D25">
        <v>24687</v>
      </c>
      <c r="E25">
        <v>2048</v>
      </c>
      <c r="F25">
        <v>7558</v>
      </c>
      <c r="G25">
        <v>9531</v>
      </c>
      <c r="H25">
        <v>1527</v>
      </c>
      <c r="I25">
        <v>1714</v>
      </c>
      <c r="J25">
        <v>6812</v>
      </c>
      <c r="K25">
        <v>7753</v>
      </c>
      <c r="L25">
        <v>3484</v>
      </c>
      <c r="M25">
        <v>4887</v>
      </c>
      <c r="N25">
        <v>1853</v>
      </c>
      <c r="O25">
        <v>20538</v>
      </c>
      <c r="P25">
        <v>18355</v>
      </c>
      <c r="Q25">
        <v>778</v>
      </c>
      <c r="R25">
        <v>444</v>
      </c>
      <c r="S25">
        <v>192026</v>
      </c>
      <c r="T25">
        <v>0.33983418912022301</v>
      </c>
    </row>
    <row r="26" spans="1:20">
      <c r="A26">
        <v>2024</v>
      </c>
      <c r="B26">
        <v>67383</v>
      </c>
      <c r="C26">
        <v>14674</v>
      </c>
      <c r="D26">
        <v>25042</v>
      </c>
      <c r="E26">
        <v>2037</v>
      </c>
      <c r="F26">
        <v>7599</v>
      </c>
      <c r="G26">
        <v>9550</v>
      </c>
      <c r="H26">
        <v>1477</v>
      </c>
      <c r="I26">
        <v>1617</v>
      </c>
      <c r="J26">
        <v>7030</v>
      </c>
      <c r="K26">
        <v>7912</v>
      </c>
      <c r="L26">
        <v>3528</v>
      </c>
      <c r="M26">
        <v>4714</v>
      </c>
      <c r="N26">
        <v>1847</v>
      </c>
      <c r="O26">
        <v>21016</v>
      </c>
      <c r="P26">
        <v>18379</v>
      </c>
      <c r="Q26">
        <v>773</v>
      </c>
      <c r="R26">
        <v>400</v>
      </c>
      <c r="S26">
        <v>194978</v>
      </c>
      <c r="T26">
        <v>0.34559283611484398</v>
      </c>
    </row>
  </sheetData>
  <pageMargins left="0.7" right="0.7" top="0.75" bottom="0.75" header="0.3" footer="0.3"/>
  <tableParts count="1">
    <tablePart r:id="rId1"/>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EB7B3-8BB1-4415-94AB-178984FA4BF4}">
  <dimension ref="B1:AA24"/>
  <sheetViews>
    <sheetView topLeftCell="B1" workbookViewId="0">
      <selection activeCell="B3" sqref="B3:AA21"/>
    </sheetView>
  </sheetViews>
  <sheetFormatPr defaultColWidth="8.85546875" defaultRowHeight="14.65"/>
  <cols>
    <col min="2" max="2" width="10.42578125" customWidth="1"/>
  </cols>
  <sheetData>
    <row r="1" spans="2:27" ht="15.4">
      <c r="B1" s="155" t="s">
        <v>556</v>
      </c>
      <c r="C1" s="154"/>
      <c r="D1" s="154"/>
      <c r="E1" s="154"/>
      <c r="F1" s="154"/>
      <c r="G1" s="154"/>
      <c r="H1" s="154"/>
      <c r="I1" s="154"/>
      <c r="J1" s="154"/>
      <c r="K1" s="154"/>
      <c r="L1" s="154"/>
      <c r="M1" s="154"/>
      <c r="N1" s="154"/>
      <c r="O1" s="154"/>
      <c r="P1" s="154"/>
      <c r="Q1" s="154"/>
      <c r="R1" s="154"/>
      <c r="S1" s="154"/>
      <c r="T1" s="154"/>
      <c r="U1" s="154"/>
      <c r="V1" s="154"/>
      <c r="W1" s="154"/>
      <c r="X1" s="154"/>
      <c r="Y1" s="154"/>
      <c r="Z1" s="154"/>
      <c r="AA1" s="154"/>
    </row>
    <row r="3" spans="2:27">
      <c r="B3" s="163" t="s">
        <v>557</v>
      </c>
      <c r="C3" s="164" t="s">
        <v>310</v>
      </c>
      <c r="D3" s="164" t="s">
        <v>311</v>
      </c>
      <c r="E3" s="164" t="s">
        <v>312</v>
      </c>
      <c r="F3" s="164" t="s">
        <v>313</v>
      </c>
      <c r="G3" s="164" t="s">
        <v>314</v>
      </c>
      <c r="H3" s="164" t="s">
        <v>315</v>
      </c>
      <c r="I3" s="164" t="s">
        <v>316</v>
      </c>
      <c r="J3" s="164" t="s">
        <v>317</v>
      </c>
      <c r="K3" s="164" t="s">
        <v>318</v>
      </c>
      <c r="L3" s="164" t="s">
        <v>319</v>
      </c>
      <c r="M3" s="164" t="s">
        <v>320</v>
      </c>
      <c r="N3" s="164" t="s">
        <v>321</v>
      </c>
      <c r="O3" s="164" t="s">
        <v>322</v>
      </c>
      <c r="P3" s="164" t="s">
        <v>323</v>
      </c>
      <c r="Q3" s="164" t="s">
        <v>324</v>
      </c>
      <c r="R3" s="164" t="s">
        <v>325</v>
      </c>
      <c r="S3" s="164" t="s">
        <v>326</v>
      </c>
      <c r="T3" s="164" t="s">
        <v>327</v>
      </c>
      <c r="U3" s="164" t="s">
        <v>328</v>
      </c>
      <c r="V3" s="164" t="s">
        <v>329</v>
      </c>
      <c r="W3" s="164" t="s">
        <v>330</v>
      </c>
      <c r="X3" s="164" t="s">
        <v>331</v>
      </c>
      <c r="Y3" s="164" t="s">
        <v>332</v>
      </c>
      <c r="Z3" s="164" t="s">
        <v>333</v>
      </c>
      <c r="AA3" s="164" t="s">
        <v>334</v>
      </c>
    </row>
    <row r="4" spans="2:27">
      <c r="B4" s="153" t="s">
        <v>467</v>
      </c>
      <c r="C4" s="157">
        <v>44601</v>
      </c>
      <c r="D4" s="157">
        <v>44555</v>
      </c>
      <c r="E4" s="157">
        <v>45778</v>
      </c>
      <c r="F4" s="157">
        <v>47188</v>
      </c>
      <c r="G4" s="157">
        <v>47947</v>
      </c>
      <c r="H4" s="157">
        <v>48493</v>
      </c>
      <c r="I4" s="157">
        <v>48783</v>
      </c>
      <c r="J4" s="157">
        <v>50529</v>
      </c>
      <c r="K4" s="157">
        <v>52732</v>
      </c>
      <c r="L4" s="157">
        <v>54022</v>
      </c>
      <c r="M4" s="157">
        <v>56586</v>
      </c>
      <c r="N4" s="157">
        <v>59012</v>
      </c>
      <c r="O4" s="157">
        <v>60652</v>
      </c>
      <c r="P4" s="157">
        <v>62771</v>
      </c>
      <c r="Q4" s="159">
        <v>63572</v>
      </c>
      <c r="R4" s="159">
        <v>67116</v>
      </c>
      <c r="S4" s="159">
        <v>67977</v>
      </c>
      <c r="T4" s="159">
        <v>68780</v>
      </c>
      <c r="U4" s="159">
        <v>68822</v>
      </c>
      <c r="V4" s="159">
        <v>68770</v>
      </c>
      <c r="W4" s="159">
        <v>64406</v>
      </c>
      <c r="X4" s="159">
        <v>65235</v>
      </c>
      <c r="Y4" s="159">
        <v>59980</v>
      </c>
      <c r="Z4" s="159">
        <v>65257</v>
      </c>
      <c r="AA4" s="161">
        <v>67383</v>
      </c>
    </row>
    <row r="5" spans="2:27">
      <c r="B5" s="153" t="s">
        <v>511</v>
      </c>
      <c r="C5" s="157">
        <v>11519</v>
      </c>
      <c r="D5" s="157">
        <v>11427</v>
      </c>
      <c r="E5" s="157">
        <v>11740</v>
      </c>
      <c r="F5" s="157">
        <v>11634</v>
      </c>
      <c r="G5" s="157">
        <v>11758</v>
      </c>
      <c r="H5" s="157">
        <v>12000</v>
      </c>
      <c r="I5" s="157">
        <v>12234</v>
      </c>
      <c r="J5" s="157">
        <v>12707</v>
      </c>
      <c r="K5" s="157">
        <v>13361</v>
      </c>
      <c r="L5" s="157">
        <v>13758</v>
      </c>
      <c r="M5" s="157">
        <v>14631</v>
      </c>
      <c r="N5" s="157">
        <v>15259</v>
      </c>
      <c r="O5" s="157">
        <v>15460</v>
      </c>
      <c r="P5" s="157">
        <v>15760</v>
      </c>
      <c r="Q5" s="159">
        <v>15656</v>
      </c>
      <c r="R5" s="159">
        <v>15242</v>
      </c>
      <c r="S5" s="159">
        <v>15489</v>
      </c>
      <c r="T5" s="159">
        <v>15673</v>
      </c>
      <c r="U5" s="159">
        <v>15611</v>
      </c>
      <c r="V5" s="159">
        <v>15236</v>
      </c>
      <c r="W5" s="159">
        <v>14511</v>
      </c>
      <c r="X5" s="159">
        <v>14839</v>
      </c>
      <c r="Y5" s="159">
        <v>13958</v>
      </c>
      <c r="Z5" s="159">
        <v>14800</v>
      </c>
      <c r="AA5" s="161">
        <v>14674</v>
      </c>
    </row>
    <row r="6" spans="2:27">
      <c r="B6" s="153" t="s">
        <v>521</v>
      </c>
      <c r="C6" s="157">
        <v>20394</v>
      </c>
      <c r="D6" s="157">
        <v>20386</v>
      </c>
      <c r="E6" s="157">
        <v>20884</v>
      </c>
      <c r="F6" s="157">
        <v>21489</v>
      </c>
      <c r="G6" s="157">
        <v>21527</v>
      </c>
      <c r="H6" s="157">
        <v>22285</v>
      </c>
      <c r="I6" s="157">
        <v>22557</v>
      </c>
      <c r="J6" s="157">
        <v>23049</v>
      </c>
      <c r="K6" s="157">
        <v>23965</v>
      </c>
      <c r="L6" s="157">
        <v>24569</v>
      </c>
      <c r="M6" s="157">
        <v>25364</v>
      </c>
      <c r="N6" s="157">
        <v>24721</v>
      </c>
      <c r="O6" s="157">
        <v>24403</v>
      </c>
      <c r="P6" s="157">
        <v>24367</v>
      </c>
      <c r="Q6" s="159">
        <v>23940</v>
      </c>
      <c r="R6" s="159">
        <v>23080</v>
      </c>
      <c r="S6" s="159">
        <v>23689</v>
      </c>
      <c r="T6" s="159">
        <v>23835</v>
      </c>
      <c r="U6" s="159">
        <v>23695</v>
      </c>
      <c r="V6" s="159">
        <v>23683</v>
      </c>
      <c r="W6" s="159">
        <v>23171</v>
      </c>
      <c r="X6" s="159">
        <v>24644</v>
      </c>
      <c r="Y6" s="159">
        <v>23458</v>
      </c>
      <c r="Z6" s="159">
        <v>24687</v>
      </c>
      <c r="AA6" s="161">
        <v>25042</v>
      </c>
    </row>
    <row r="7" spans="2:27">
      <c r="B7" s="153" t="s">
        <v>512</v>
      </c>
      <c r="C7" s="157">
        <v>2177</v>
      </c>
      <c r="D7" s="157">
        <v>2016</v>
      </c>
      <c r="E7" s="157">
        <v>2107</v>
      </c>
      <c r="F7" s="157">
        <v>2146</v>
      </c>
      <c r="G7" s="157">
        <v>2161</v>
      </c>
      <c r="H7" s="157">
        <v>2145</v>
      </c>
      <c r="I7" s="157">
        <v>2048</v>
      </c>
      <c r="J7" s="157">
        <v>2153</v>
      </c>
      <c r="K7" s="157">
        <v>2136</v>
      </c>
      <c r="L7" s="157">
        <v>2273</v>
      </c>
      <c r="M7" s="157">
        <v>2308</v>
      </c>
      <c r="N7" s="157">
        <v>2282</v>
      </c>
      <c r="O7" s="157">
        <v>2232</v>
      </c>
      <c r="P7" s="157">
        <v>2391</v>
      </c>
      <c r="Q7" s="159">
        <v>2385</v>
      </c>
      <c r="R7" s="159">
        <v>2289</v>
      </c>
      <c r="S7" s="159">
        <v>2297</v>
      </c>
      <c r="T7" s="159">
        <v>2278</v>
      </c>
      <c r="U7" s="159">
        <v>2252</v>
      </c>
      <c r="V7" s="159">
        <v>2160</v>
      </c>
      <c r="W7" s="159">
        <v>2129</v>
      </c>
      <c r="X7" s="159">
        <v>2045</v>
      </c>
      <c r="Y7" s="159">
        <v>2006</v>
      </c>
      <c r="Z7" s="159">
        <v>2048</v>
      </c>
      <c r="AA7" s="161">
        <v>2037</v>
      </c>
    </row>
    <row r="8" spans="2:27">
      <c r="B8" s="153" t="s">
        <v>513</v>
      </c>
      <c r="C8" s="157">
        <v>7059</v>
      </c>
      <c r="D8" s="157">
        <v>6693</v>
      </c>
      <c r="E8" s="157">
        <v>6983</v>
      </c>
      <c r="F8" s="157">
        <v>7338</v>
      </c>
      <c r="G8" s="157">
        <v>7773</v>
      </c>
      <c r="H8" s="157">
        <v>7698</v>
      </c>
      <c r="I8" s="157">
        <v>7800</v>
      </c>
      <c r="J8" s="157">
        <v>8182</v>
      </c>
      <c r="K8" s="157">
        <v>8465</v>
      </c>
      <c r="L8" s="157">
        <v>8595</v>
      </c>
      <c r="M8" s="157">
        <v>9054</v>
      </c>
      <c r="N8" s="157">
        <v>9319</v>
      </c>
      <c r="O8" s="157">
        <v>9464</v>
      </c>
      <c r="P8" s="157">
        <v>9556</v>
      </c>
      <c r="Q8" s="159">
        <v>9499</v>
      </c>
      <c r="R8" s="159">
        <v>8757</v>
      </c>
      <c r="S8" s="159">
        <v>8669</v>
      </c>
      <c r="T8" s="159">
        <v>8392</v>
      </c>
      <c r="U8" s="159">
        <v>8059</v>
      </c>
      <c r="V8" s="159">
        <v>7864</v>
      </c>
      <c r="W8" s="159">
        <v>7514</v>
      </c>
      <c r="X8" s="159">
        <v>7667</v>
      </c>
      <c r="Y8" s="159">
        <v>7175</v>
      </c>
      <c r="Z8" s="159">
        <v>7558</v>
      </c>
      <c r="AA8" s="161">
        <v>7599</v>
      </c>
    </row>
    <row r="9" spans="2:27">
      <c r="B9" s="153" t="s">
        <v>553</v>
      </c>
      <c r="C9" s="157">
        <v>9037</v>
      </c>
      <c r="D9" s="157">
        <v>8710</v>
      </c>
      <c r="E9" s="157">
        <v>8647</v>
      </c>
      <c r="F9" s="157">
        <v>8808</v>
      </c>
      <c r="G9" s="157">
        <v>9052</v>
      </c>
      <c r="H9" s="157">
        <v>8923</v>
      </c>
      <c r="I9" s="157">
        <v>8976</v>
      </c>
      <c r="J9" s="157">
        <v>9367</v>
      </c>
      <c r="K9" s="157">
        <v>9454</v>
      </c>
      <c r="L9" s="157">
        <v>9803</v>
      </c>
      <c r="M9" s="157">
        <v>10383</v>
      </c>
      <c r="N9" s="157">
        <v>10590</v>
      </c>
      <c r="O9" s="157">
        <v>11032</v>
      </c>
      <c r="P9" s="157">
        <v>11148</v>
      </c>
      <c r="Q9" s="159">
        <v>10734</v>
      </c>
      <c r="R9" s="159">
        <v>10310</v>
      </c>
      <c r="S9" s="159">
        <v>10083</v>
      </c>
      <c r="T9" s="159">
        <v>10278</v>
      </c>
      <c r="U9" s="159">
        <v>10054</v>
      </c>
      <c r="V9" s="159">
        <v>10176</v>
      </c>
      <c r="W9" s="159">
        <v>9822</v>
      </c>
      <c r="X9" s="159">
        <v>9655</v>
      </c>
      <c r="Y9" s="159">
        <v>9032</v>
      </c>
      <c r="Z9" s="159">
        <v>9531</v>
      </c>
      <c r="AA9" s="161">
        <v>9550</v>
      </c>
    </row>
    <row r="10" spans="2:27">
      <c r="B10" s="153" t="s">
        <v>519</v>
      </c>
      <c r="C10" s="157">
        <v>1505</v>
      </c>
      <c r="D10" s="157">
        <v>1532</v>
      </c>
      <c r="E10" s="157">
        <v>1493</v>
      </c>
      <c r="F10" s="157">
        <v>1531</v>
      </c>
      <c r="G10" s="157">
        <v>1546</v>
      </c>
      <c r="H10" s="157">
        <v>1489</v>
      </c>
      <c r="I10" s="157">
        <v>1507</v>
      </c>
      <c r="J10" s="157">
        <v>1541</v>
      </c>
      <c r="K10" s="157">
        <v>1636</v>
      </c>
      <c r="L10" s="157">
        <v>1666</v>
      </c>
      <c r="M10" s="157">
        <v>1833</v>
      </c>
      <c r="N10" s="157">
        <v>1972</v>
      </c>
      <c r="O10" s="157">
        <v>2035</v>
      </c>
      <c r="P10" s="157">
        <v>2111</v>
      </c>
      <c r="Q10" s="159">
        <v>1971</v>
      </c>
      <c r="R10" s="159">
        <v>1816</v>
      </c>
      <c r="S10" s="159">
        <v>1777</v>
      </c>
      <c r="T10" s="159">
        <v>1721</v>
      </c>
      <c r="U10" s="159">
        <v>1684</v>
      </c>
      <c r="V10" s="159">
        <v>1636</v>
      </c>
      <c r="W10" s="159">
        <v>1576</v>
      </c>
      <c r="X10" s="159">
        <v>1611</v>
      </c>
      <c r="Y10" s="159">
        <v>1554</v>
      </c>
      <c r="Z10" s="159">
        <v>1527</v>
      </c>
      <c r="AA10" s="161">
        <v>1477</v>
      </c>
    </row>
    <row r="11" spans="2:27">
      <c r="B11" s="153" t="s">
        <v>518</v>
      </c>
      <c r="C11" s="157">
        <v>1740</v>
      </c>
      <c r="D11" s="157">
        <v>1608</v>
      </c>
      <c r="E11" s="157">
        <v>1629</v>
      </c>
      <c r="F11" s="157">
        <v>1633</v>
      </c>
      <c r="G11" s="157">
        <v>1674</v>
      </c>
      <c r="H11" s="157">
        <v>1665</v>
      </c>
      <c r="I11" s="157">
        <v>1674</v>
      </c>
      <c r="J11" s="157">
        <v>1704</v>
      </c>
      <c r="K11" s="157">
        <v>1688</v>
      </c>
      <c r="L11" s="157">
        <v>1747</v>
      </c>
      <c r="M11" s="157">
        <v>1931</v>
      </c>
      <c r="N11" s="157">
        <v>1993</v>
      </c>
      <c r="O11" s="157">
        <v>1981</v>
      </c>
      <c r="P11" s="157">
        <v>1907</v>
      </c>
      <c r="Q11" s="159">
        <v>1889</v>
      </c>
      <c r="R11" s="159">
        <v>1847</v>
      </c>
      <c r="S11" s="159">
        <v>1811</v>
      </c>
      <c r="T11" s="159">
        <v>1811</v>
      </c>
      <c r="U11" s="159">
        <v>1800</v>
      </c>
      <c r="V11" s="159">
        <v>1724</v>
      </c>
      <c r="W11" s="159">
        <v>1729</v>
      </c>
      <c r="X11" s="159">
        <v>1772</v>
      </c>
      <c r="Y11" s="159">
        <v>1603</v>
      </c>
      <c r="Z11" s="159">
        <v>1714</v>
      </c>
      <c r="AA11" s="161">
        <v>1617</v>
      </c>
    </row>
    <row r="12" spans="2:27">
      <c r="B12" s="153" t="s">
        <v>509</v>
      </c>
      <c r="C12" s="157">
        <v>5642</v>
      </c>
      <c r="D12" s="157">
        <v>5454</v>
      </c>
      <c r="E12" s="157">
        <v>5628</v>
      </c>
      <c r="F12" s="157">
        <v>5597</v>
      </c>
      <c r="G12" s="157">
        <v>5669</v>
      </c>
      <c r="H12" s="157">
        <v>5759</v>
      </c>
      <c r="I12" s="157">
        <v>5778</v>
      </c>
      <c r="J12" s="157">
        <v>5985</v>
      </c>
      <c r="K12" s="157">
        <v>6176</v>
      </c>
      <c r="L12" s="157">
        <v>6382</v>
      </c>
      <c r="M12" s="157">
        <v>6458</v>
      </c>
      <c r="N12" s="157">
        <v>6493</v>
      </c>
      <c r="O12" s="157">
        <v>6564</v>
      </c>
      <c r="P12" s="157">
        <v>6703</v>
      </c>
      <c r="Q12" s="159">
        <v>6833</v>
      </c>
      <c r="R12" s="159">
        <v>6813</v>
      </c>
      <c r="S12" s="159">
        <v>7070</v>
      </c>
      <c r="T12" s="159">
        <v>7334</v>
      </c>
      <c r="U12" s="159">
        <v>7203</v>
      </c>
      <c r="V12" s="159">
        <v>7015</v>
      </c>
      <c r="W12" s="159">
        <v>6765</v>
      </c>
      <c r="X12" s="159">
        <v>7390</v>
      </c>
      <c r="Y12" s="159">
        <v>6607</v>
      </c>
      <c r="Z12" s="159">
        <v>6812</v>
      </c>
      <c r="AA12" s="161">
        <v>7030</v>
      </c>
    </row>
    <row r="13" spans="2:27">
      <c r="B13" s="153" t="s">
        <v>522</v>
      </c>
      <c r="C13" s="157">
        <v>7038</v>
      </c>
      <c r="D13" s="157">
        <v>7140</v>
      </c>
      <c r="E13" s="157">
        <v>7208</v>
      </c>
      <c r="F13" s="157">
        <v>7427</v>
      </c>
      <c r="G13" s="157">
        <v>7645</v>
      </c>
      <c r="H13" s="157">
        <v>7592</v>
      </c>
      <c r="I13" s="157">
        <v>7335</v>
      </c>
      <c r="J13" s="157">
        <v>7799</v>
      </c>
      <c r="K13" s="157">
        <v>7935</v>
      </c>
      <c r="L13" s="157">
        <v>8211</v>
      </c>
      <c r="M13" s="157">
        <v>8334</v>
      </c>
      <c r="N13" s="157">
        <v>8541</v>
      </c>
      <c r="O13" s="157">
        <v>8790</v>
      </c>
      <c r="P13" s="157">
        <v>9032</v>
      </c>
      <c r="Q13" s="159">
        <v>8651</v>
      </c>
      <c r="R13" s="159">
        <v>8348</v>
      </c>
      <c r="S13" s="159">
        <v>8524</v>
      </c>
      <c r="T13" s="159">
        <v>8495</v>
      </c>
      <c r="U13" s="159">
        <v>8341</v>
      </c>
      <c r="V13" s="159">
        <v>8317</v>
      </c>
      <c r="W13" s="159">
        <v>7894</v>
      </c>
      <c r="X13" s="159">
        <v>8306</v>
      </c>
      <c r="Y13" s="159">
        <v>7826</v>
      </c>
      <c r="Z13" s="159">
        <v>7753</v>
      </c>
      <c r="AA13" s="161">
        <v>7912</v>
      </c>
    </row>
    <row r="14" spans="2:27">
      <c r="B14" s="153" t="s">
        <v>523</v>
      </c>
      <c r="C14" s="157">
        <v>2970</v>
      </c>
      <c r="D14" s="157">
        <v>2918</v>
      </c>
      <c r="E14" s="157">
        <v>3112</v>
      </c>
      <c r="F14" s="157">
        <v>3331</v>
      </c>
      <c r="G14" s="157">
        <v>3380</v>
      </c>
      <c r="H14" s="157">
        <v>3498</v>
      </c>
      <c r="I14" s="157">
        <v>3530</v>
      </c>
      <c r="J14" s="157">
        <v>3752</v>
      </c>
      <c r="K14" s="157">
        <v>3865</v>
      </c>
      <c r="L14" s="157">
        <v>3588</v>
      </c>
      <c r="M14" s="157">
        <v>3897</v>
      </c>
      <c r="N14" s="157">
        <v>3892</v>
      </c>
      <c r="O14" s="157">
        <v>3794</v>
      </c>
      <c r="P14" s="157">
        <v>3924</v>
      </c>
      <c r="Q14" s="159">
        <v>3834</v>
      </c>
      <c r="R14" s="159">
        <v>3640</v>
      </c>
      <c r="S14" s="159">
        <v>3693</v>
      </c>
      <c r="T14" s="159">
        <v>3614</v>
      </c>
      <c r="U14" s="159">
        <v>3598</v>
      </c>
      <c r="V14" s="159">
        <v>3497</v>
      </c>
      <c r="W14" s="159">
        <v>3429</v>
      </c>
      <c r="X14" s="159">
        <v>3570</v>
      </c>
      <c r="Y14" s="159">
        <v>3354</v>
      </c>
      <c r="Z14" s="159">
        <v>3484</v>
      </c>
      <c r="AA14" s="161">
        <v>3528</v>
      </c>
    </row>
    <row r="15" spans="2:27">
      <c r="B15" s="153" t="s">
        <v>514</v>
      </c>
      <c r="C15" s="157">
        <v>3971</v>
      </c>
      <c r="D15" s="157">
        <v>3838</v>
      </c>
      <c r="E15" s="157">
        <v>4086</v>
      </c>
      <c r="F15" s="157">
        <v>4138</v>
      </c>
      <c r="G15" s="157">
        <v>4295</v>
      </c>
      <c r="H15" s="157">
        <v>4212</v>
      </c>
      <c r="I15" s="157">
        <v>4207</v>
      </c>
      <c r="J15" s="157">
        <v>4060</v>
      </c>
      <c r="K15" s="157">
        <v>4359</v>
      </c>
      <c r="L15" s="157">
        <v>4510</v>
      </c>
      <c r="M15" s="157">
        <v>4780</v>
      </c>
      <c r="N15" s="157">
        <v>4927</v>
      </c>
      <c r="O15" s="157">
        <v>4905</v>
      </c>
      <c r="P15" s="157">
        <v>5189</v>
      </c>
      <c r="Q15" s="159">
        <v>5077</v>
      </c>
      <c r="R15" s="159">
        <v>5109</v>
      </c>
      <c r="S15" s="159">
        <v>5210</v>
      </c>
      <c r="T15" s="159">
        <v>5280</v>
      </c>
      <c r="U15" s="159">
        <v>5028</v>
      </c>
      <c r="V15" s="159">
        <v>5013</v>
      </c>
      <c r="W15" s="159">
        <v>4632</v>
      </c>
      <c r="X15" s="159">
        <v>4956</v>
      </c>
      <c r="Y15" s="159">
        <v>4615</v>
      </c>
      <c r="Z15" s="159">
        <v>4887</v>
      </c>
      <c r="AA15" s="161">
        <v>4714</v>
      </c>
    </row>
    <row r="16" spans="2:27">
      <c r="B16" s="153" t="s">
        <v>517</v>
      </c>
      <c r="C16" s="157">
        <v>1484</v>
      </c>
      <c r="D16" s="157">
        <v>1572</v>
      </c>
      <c r="E16" s="157">
        <v>1589</v>
      </c>
      <c r="F16" s="157">
        <v>1683</v>
      </c>
      <c r="G16" s="157">
        <v>1718</v>
      </c>
      <c r="H16" s="157">
        <v>1741</v>
      </c>
      <c r="I16" s="157">
        <v>1766</v>
      </c>
      <c r="J16" s="157">
        <v>1884</v>
      </c>
      <c r="K16" s="157">
        <v>1910</v>
      </c>
      <c r="L16" s="157">
        <v>2054</v>
      </c>
      <c r="M16" s="157">
        <v>2012</v>
      </c>
      <c r="N16" s="157">
        <v>2120</v>
      </c>
      <c r="O16" s="157">
        <v>1999</v>
      </c>
      <c r="P16" s="157">
        <v>1996</v>
      </c>
      <c r="Q16" s="159">
        <v>1975</v>
      </c>
      <c r="R16" s="159">
        <v>1873</v>
      </c>
      <c r="S16" s="159">
        <v>1848</v>
      </c>
      <c r="T16" s="159">
        <v>1857</v>
      </c>
      <c r="U16" s="159">
        <v>1888</v>
      </c>
      <c r="V16" s="159">
        <v>1926</v>
      </c>
      <c r="W16" s="159">
        <v>1944</v>
      </c>
      <c r="X16" s="159">
        <v>1937</v>
      </c>
      <c r="Y16" s="159">
        <v>1738</v>
      </c>
      <c r="Z16" s="159">
        <v>1853</v>
      </c>
      <c r="AA16" s="161">
        <v>1847</v>
      </c>
    </row>
    <row r="17" spans="2:27">
      <c r="B17" s="153" t="s">
        <v>510</v>
      </c>
      <c r="C17" s="157">
        <v>14939</v>
      </c>
      <c r="D17" s="157">
        <v>14430</v>
      </c>
      <c r="E17" s="157">
        <v>15005</v>
      </c>
      <c r="F17" s="157">
        <v>15458</v>
      </c>
      <c r="G17" s="157">
        <v>15723</v>
      </c>
      <c r="H17" s="157">
        <v>15951</v>
      </c>
      <c r="I17" s="157">
        <v>15896</v>
      </c>
      <c r="J17" s="157">
        <v>16467</v>
      </c>
      <c r="K17" s="157">
        <v>16806</v>
      </c>
      <c r="L17" s="157">
        <v>17151</v>
      </c>
      <c r="M17" s="157">
        <v>18153</v>
      </c>
      <c r="N17" s="157">
        <v>19109</v>
      </c>
      <c r="O17" s="157">
        <v>19544</v>
      </c>
      <c r="P17" s="157">
        <v>19721</v>
      </c>
      <c r="Q17" s="159">
        <v>20173</v>
      </c>
      <c r="R17" s="159">
        <v>19874</v>
      </c>
      <c r="S17" s="159">
        <v>20403</v>
      </c>
      <c r="T17" s="159">
        <v>20777</v>
      </c>
      <c r="U17" s="159">
        <v>20667</v>
      </c>
      <c r="V17" s="159">
        <v>20655</v>
      </c>
      <c r="W17" s="159">
        <v>20284</v>
      </c>
      <c r="X17" s="159">
        <v>21092</v>
      </c>
      <c r="Y17" s="159">
        <v>19223</v>
      </c>
      <c r="Z17" s="159">
        <v>20538</v>
      </c>
      <c r="AA17" s="161">
        <v>21016</v>
      </c>
    </row>
    <row r="18" spans="2:27">
      <c r="B18" s="153" t="s">
        <v>516</v>
      </c>
      <c r="C18" s="157">
        <v>17752</v>
      </c>
      <c r="D18" s="157">
        <v>18325</v>
      </c>
      <c r="E18" s="157">
        <v>18291</v>
      </c>
      <c r="F18" s="157">
        <v>18707</v>
      </c>
      <c r="G18" s="157">
        <v>19138</v>
      </c>
      <c r="H18" s="157">
        <v>19128</v>
      </c>
      <c r="I18" s="157">
        <v>19404</v>
      </c>
      <c r="J18" s="157">
        <v>20044</v>
      </c>
      <c r="K18" s="157">
        <v>20639</v>
      </c>
      <c r="L18" s="157">
        <v>20731</v>
      </c>
      <c r="M18" s="157">
        <v>21297</v>
      </c>
      <c r="N18" s="157">
        <v>21936</v>
      </c>
      <c r="O18" s="157">
        <v>21809</v>
      </c>
      <c r="P18" s="157">
        <v>22352</v>
      </c>
      <c r="Q18" s="159">
        <v>21938</v>
      </c>
      <c r="R18" s="159">
        <v>21040</v>
      </c>
      <c r="S18" s="159">
        <v>21449</v>
      </c>
      <c r="T18" s="159">
        <v>21085</v>
      </c>
      <c r="U18" s="159">
        <v>20437</v>
      </c>
      <c r="V18" s="159">
        <v>19869</v>
      </c>
      <c r="W18" s="159">
        <v>19221</v>
      </c>
      <c r="X18" s="159">
        <v>18562</v>
      </c>
      <c r="Y18" s="159">
        <v>17987</v>
      </c>
      <c r="Z18" s="159">
        <v>18355</v>
      </c>
      <c r="AA18" s="161">
        <v>18379</v>
      </c>
    </row>
    <row r="19" spans="2:27">
      <c r="B19" s="153" t="s">
        <v>520</v>
      </c>
      <c r="C19" s="157">
        <v>1108</v>
      </c>
      <c r="D19" s="157">
        <v>939</v>
      </c>
      <c r="E19" s="157">
        <v>1075</v>
      </c>
      <c r="F19" s="157">
        <v>1051</v>
      </c>
      <c r="G19" s="157">
        <v>1139</v>
      </c>
      <c r="H19" s="157">
        <v>1111</v>
      </c>
      <c r="I19" s="157">
        <v>1158</v>
      </c>
      <c r="J19" s="157">
        <v>1161</v>
      </c>
      <c r="K19" s="157">
        <v>1256</v>
      </c>
      <c r="L19" s="157">
        <v>1204</v>
      </c>
      <c r="M19" s="157">
        <v>1300</v>
      </c>
      <c r="N19" s="157">
        <v>1358</v>
      </c>
      <c r="O19" s="157">
        <v>1323</v>
      </c>
      <c r="P19" s="157">
        <v>1410</v>
      </c>
      <c r="Q19" s="159">
        <v>1356</v>
      </c>
      <c r="R19" s="159">
        <v>1213</v>
      </c>
      <c r="S19" s="159">
        <v>1245</v>
      </c>
      <c r="T19" s="159">
        <v>1173</v>
      </c>
      <c r="U19" s="159">
        <v>1102</v>
      </c>
      <c r="V19" s="159">
        <v>1045</v>
      </c>
      <c r="W19" s="159">
        <v>968</v>
      </c>
      <c r="X19" s="159">
        <v>998</v>
      </c>
      <c r="Y19" s="159">
        <v>906</v>
      </c>
      <c r="Z19" s="159">
        <v>778</v>
      </c>
      <c r="AA19" s="161">
        <v>773</v>
      </c>
    </row>
    <row r="20" spans="2:27">
      <c r="B20" s="153" t="s">
        <v>554</v>
      </c>
      <c r="C20" s="157">
        <v>1031</v>
      </c>
      <c r="D20" s="157">
        <v>961</v>
      </c>
      <c r="E20" s="157">
        <v>932</v>
      </c>
      <c r="F20" s="157">
        <v>1014</v>
      </c>
      <c r="G20" s="157">
        <v>940</v>
      </c>
      <c r="H20" s="157">
        <v>831</v>
      </c>
      <c r="I20" s="157">
        <v>601</v>
      </c>
      <c r="J20" s="157">
        <v>754</v>
      </c>
      <c r="K20" s="157">
        <v>610</v>
      </c>
      <c r="L20" s="157">
        <v>646</v>
      </c>
      <c r="M20" s="157">
        <v>632</v>
      </c>
      <c r="N20" s="157">
        <v>577</v>
      </c>
      <c r="O20" s="157">
        <v>539</v>
      </c>
      <c r="P20" s="157">
        <v>604</v>
      </c>
      <c r="Q20" s="159">
        <v>519</v>
      </c>
      <c r="R20" s="159">
        <v>520</v>
      </c>
      <c r="S20" s="159">
        <v>441</v>
      </c>
      <c r="T20" s="159">
        <v>389</v>
      </c>
      <c r="U20" s="159">
        <v>347</v>
      </c>
      <c r="V20" s="159">
        <v>337</v>
      </c>
      <c r="W20" s="159">
        <v>353</v>
      </c>
      <c r="X20" s="159">
        <v>418</v>
      </c>
      <c r="Y20" s="159">
        <v>451</v>
      </c>
      <c r="Z20" s="159">
        <v>444</v>
      </c>
      <c r="AA20" s="161">
        <v>400</v>
      </c>
    </row>
    <row r="21" spans="2:27">
      <c r="B21" s="153" t="s">
        <v>236</v>
      </c>
      <c r="C21" s="158">
        <v>153967</v>
      </c>
      <c r="D21" s="158">
        <v>152504</v>
      </c>
      <c r="E21" s="158">
        <v>156187</v>
      </c>
      <c r="F21" s="158">
        <v>160173</v>
      </c>
      <c r="G21" s="158">
        <v>163085</v>
      </c>
      <c r="H21" s="158">
        <v>164521</v>
      </c>
      <c r="I21" s="158">
        <v>165254</v>
      </c>
      <c r="J21" s="158">
        <v>171138</v>
      </c>
      <c r="K21" s="158">
        <v>176993</v>
      </c>
      <c r="L21" s="158">
        <v>180910</v>
      </c>
      <c r="M21" s="158">
        <v>188953</v>
      </c>
      <c r="N21" s="158">
        <v>194101</v>
      </c>
      <c r="O21" s="158">
        <v>196526</v>
      </c>
      <c r="P21" s="158">
        <v>200942</v>
      </c>
      <c r="Q21" s="160">
        <v>200002</v>
      </c>
      <c r="R21" s="160">
        <v>198887</v>
      </c>
      <c r="S21" s="160">
        <v>201675</v>
      </c>
      <c r="T21" s="160">
        <v>202772</v>
      </c>
      <c r="U21" s="160">
        <v>200588</v>
      </c>
      <c r="V21" s="160">
        <v>198923</v>
      </c>
      <c r="W21" s="160">
        <v>190348</v>
      </c>
      <c r="X21" s="160">
        <v>194697</v>
      </c>
      <c r="Y21" s="160">
        <v>181473</v>
      </c>
      <c r="Z21" s="160">
        <v>192026</v>
      </c>
      <c r="AA21" s="162">
        <v>194978</v>
      </c>
    </row>
    <row r="23" spans="2:27">
      <c r="B23" s="156" t="s">
        <v>3</v>
      </c>
      <c r="C23" s="154"/>
      <c r="D23" s="154"/>
      <c r="E23" s="154"/>
      <c r="F23" s="154"/>
      <c r="G23" s="154"/>
      <c r="H23" s="154"/>
      <c r="I23" s="154"/>
      <c r="J23" s="154"/>
      <c r="K23" s="154"/>
      <c r="L23" s="154"/>
      <c r="M23" s="154"/>
      <c r="N23" s="154"/>
      <c r="O23" s="154"/>
      <c r="P23" s="154"/>
      <c r="Q23" s="154"/>
      <c r="R23" s="154"/>
      <c r="S23" s="154"/>
      <c r="T23" s="154"/>
      <c r="U23" s="154"/>
      <c r="V23" s="154"/>
      <c r="W23" s="154"/>
      <c r="X23" s="154"/>
      <c r="Y23" s="154"/>
      <c r="Z23" s="154"/>
      <c r="AA23" s="154"/>
    </row>
    <row r="24" spans="2:27">
      <c r="B24" s="156" t="s">
        <v>558</v>
      </c>
      <c r="C24" s="154"/>
      <c r="D24" s="154"/>
      <c r="E24" s="154"/>
      <c r="F24" s="154"/>
      <c r="G24" s="154"/>
      <c r="H24" s="154"/>
      <c r="I24" s="154"/>
      <c r="J24" s="154"/>
      <c r="K24" s="154"/>
      <c r="L24" s="154"/>
      <c r="M24" s="154"/>
      <c r="N24" s="154"/>
      <c r="O24" s="154"/>
      <c r="P24" s="154"/>
      <c r="Q24" s="154"/>
      <c r="R24" s="154"/>
      <c r="S24" s="154"/>
      <c r="T24" s="154"/>
      <c r="U24" s="154"/>
      <c r="V24" s="154"/>
      <c r="W24" s="154"/>
      <c r="X24" s="154"/>
      <c r="Y24" s="154"/>
      <c r="Z24" s="154"/>
      <c r="AA24" s="154"/>
    </row>
  </sheetData>
  <pageMargins left="0.7" right="0.7" top="0.75" bottom="0.75" header="0.3" footer="0.3"/>
  <tableParts count="1">
    <tablePart r:id="rId1"/>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61F6E-28FC-477D-B25A-ABFFD0961B1A}">
  <dimension ref="A1:AT4418"/>
  <sheetViews>
    <sheetView topLeftCell="AD1" workbookViewId="0">
      <selection activeCell="AI18" sqref="AI18:AJ18"/>
    </sheetView>
  </sheetViews>
  <sheetFormatPr defaultColWidth="8.85546875" defaultRowHeight="14.65"/>
  <cols>
    <col min="1" max="1" width="16.140625" customWidth="1"/>
    <col min="2" max="2" width="14.42578125" customWidth="1"/>
    <col min="3" max="3" width="11.42578125" customWidth="1"/>
    <col min="7" max="7" width="11.85546875" customWidth="1"/>
    <col min="8" max="8" width="13.28515625" customWidth="1"/>
    <col min="9" max="9" width="11" customWidth="1"/>
    <col min="10" max="10" width="10.42578125" customWidth="1"/>
    <col min="11" max="11" width="13.7109375" customWidth="1"/>
    <col min="12" max="12" width="15.28515625" customWidth="1"/>
    <col min="14" max="14" width="17.42578125" customWidth="1"/>
    <col min="15" max="15" width="19" customWidth="1"/>
    <col min="16" max="16" width="12.85546875" customWidth="1"/>
    <col min="17" max="17" width="16.7109375" customWidth="1"/>
    <col min="18" max="18" width="17.140625" customWidth="1"/>
    <col min="19" max="19" width="18.28515625" customWidth="1"/>
    <col min="20" max="20" width="16.42578125" customWidth="1"/>
    <col min="21" max="21" width="24.85546875" customWidth="1"/>
    <col min="22" max="22" width="20.42578125" customWidth="1"/>
    <col min="24" max="24" width="25.85546875" customWidth="1"/>
    <col min="25" max="25" width="26.140625" customWidth="1"/>
    <col min="26" max="26" width="25.42578125" customWidth="1"/>
    <col min="27" max="27" width="22.85546875" customWidth="1"/>
    <col min="28" max="28" width="25.85546875" customWidth="1"/>
    <col min="29" max="29" width="23.85546875" customWidth="1"/>
    <col min="30" max="30" width="27.140625" customWidth="1"/>
    <col min="31" max="31" width="9.85546875" customWidth="1"/>
    <col min="32" max="32" width="11" customWidth="1"/>
    <col min="33" max="33" width="22.7109375" customWidth="1"/>
    <col min="34" max="34" width="14.85546875" customWidth="1"/>
    <col min="42" max="42" width="18.140625" customWidth="1"/>
    <col min="46" max="46" width="8.85546875" style="175"/>
  </cols>
  <sheetData>
    <row r="1" spans="1:1">
      <c r="A1" t="s">
        <v>559</v>
      </c>
    </row>
    <row r="3" spans="1:1">
      <c r="A3" t="s">
        <v>560</v>
      </c>
    </row>
    <row r="4" spans="1:1">
      <c r="A4" t="s">
        <v>561</v>
      </c>
    </row>
    <row r="5" spans="1:1">
      <c r="A5" t="s">
        <v>562</v>
      </c>
    </row>
    <row r="7" spans="1:1">
      <c r="A7" t="s">
        <v>563</v>
      </c>
    </row>
    <row r="9" spans="1:1">
      <c r="A9" t="s">
        <v>564</v>
      </c>
    </row>
    <row r="10" spans="1:1">
      <c r="A10" t="s">
        <v>565</v>
      </c>
    </row>
    <row r="11" spans="1:1">
      <c r="A11" t="s">
        <v>566</v>
      </c>
    </row>
    <row r="12" spans="1:1">
      <c r="A12" t="s">
        <v>567</v>
      </c>
    </row>
    <row r="13" spans="1:1">
      <c r="A13" t="s">
        <v>568</v>
      </c>
    </row>
    <row r="14" spans="1:1">
      <c r="A14" t="s">
        <v>569</v>
      </c>
    </row>
    <row r="17" spans="1:46">
      <c r="A17" t="s">
        <v>570</v>
      </c>
      <c r="B17" t="s">
        <v>571</v>
      </c>
      <c r="C17" t="s">
        <v>572</v>
      </c>
      <c r="D17" t="s">
        <v>573</v>
      </c>
      <c r="E17" t="s">
        <v>574</v>
      </c>
      <c r="F17" t="s">
        <v>575</v>
      </c>
      <c r="G17" t="s">
        <v>576</v>
      </c>
      <c r="H17" t="s">
        <v>283</v>
      </c>
      <c r="I17" t="s">
        <v>577</v>
      </c>
      <c r="J17" t="s">
        <v>578</v>
      </c>
      <c r="K17" t="s">
        <v>579</v>
      </c>
      <c r="L17" t="s">
        <v>580</v>
      </c>
      <c r="M17" t="s">
        <v>581</v>
      </c>
      <c r="N17" t="s">
        <v>582</v>
      </c>
      <c r="O17" t="s">
        <v>583</v>
      </c>
      <c r="P17" t="s">
        <v>584</v>
      </c>
      <c r="Q17" t="s">
        <v>454</v>
      </c>
      <c r="R17" t="s">
        <v>585</v>
      </c>
      <c r="S17" t="s">
        <v>586</v>
      </c>
      <c r="T17" t="s">
        <v>587</v>
      </c>
      <c r="U17" t="s">
        <v>588</v>
      </c>
      <c r="V17" t="s">
        <v>589</v>
      </c>
      <c r="W17" t="s">
        <v>590</v>
      </c>
      <c r="X17" t="s">
        <v>591</v>
      </c>
      <c r="Y17" t="s">
        <v>592</v>
      </c>
      <c r="Z17" t="s">
        <v>593</v>
      </c>
      <c r="AA17" t="s">
        <v>594</v>
      </c>
      <c r="AB17" t="s">
        <v>595</v>
      </c>
      <c r="AC17" t="s">
        <v>596</v>
      </c>
      <c r="AD17" t="s">
        <v>597</v>
      </c>
      <c r="AE17" t="s">
        <v>598</v>
      </c>
      <c r="AF17" t="s">
        <v>599</v>
      </c>
      <c r="AG17" t="s">
        <v>455</v>
      </c>
      <c r="AH17" t="s">
        <v>456</v>
      </c>
      <c r="AI17" t="s">
        <v>457</v>
      </c>
      <c r="AJ17" t="s">
        <v>458</v>
      </c>
      <c r="AK17" t="s">
        <v>459</v>
      </c>
      <c r="AL17" t="s">
        <v>460</v>
      </c>
      <c r="AM17" t="s">
        <v>461</v>
      </c>
      <c r="AN17" t="s">
        <v>462</v>
      </c>
      <c r="AO17" t="s">
        <v>236</v>
      </c>
      <c r="AP17" t="s">
        <v>463</v>
      </c>
      <c r="AQ17" t="s">
        <v>464</v>
      </c>
      <c r="AR17" t="s">
        <v>465</v>
      </c>
      <c r="AS17" t="s">
        <v>466</v>
      </c>
      <c r="AT17" s="175" t="s">
        <v>383</v>
      </c>
    </row>
    <row r="18" spans="1:46">
      <c r="A18">
        <v>5001</v>
      </c>
      <c r="B18" t="s">
        <v>600</v>
      </c>
      <c r="C18" t="s">
        <v>601</v>
      </c>
      <c r="D18" t="s">
        <v>602</v>
      </c>
      <c r="E18" t="s">
        <v>603</v>
      </c>
      <c r="G18" t="s">
        <v>604</v>
      </c>
      <c r="H18" t="s">
        <v>452</v>
      </c>
      <c r="J18" t="s">
        <v>605</v>
      </c>
      <c r="K18" t="s">
        <v>606</v>
      </c>
      <c r="M18" t="s">
        <v>607</v>
      </c>
      <c r="N18" t="s">
        <v>608</v>
      </c>
      <c r="O18" t="s">
        <v>609</v>
      </c>
      <c r="P18" t="s">
        <v>610</v>
      </c>
      <c r="Q18" t="s">
        <v>509</v>
      </c>
      <c r="R18" t="s">
        <v>611</v>
      </c>
      <c r="S18" t="s">
        <v>612</v>
      </c>
      <c r="T18" t="s">
        <v>613</v>
      </c>
      <c r="U18">
        <v>100800</v>
      </c>
      <c r="V18" t="s">
        <v>614</v>
      </c>
      <c r="W18" t="s">
        <v>615</v>
      </c>
      <c r="X18" t="s">
        <v>616</v>
      </c>
      <c r="Y18" t="s">
        <v>617</v>
      </c>
      <c r="Z18" t="s">
        <v>618</v>
      </c>
      <c r="AA18" t="s">
        <v>619</v>
      </c>
      <c r="AB18" t="s">
        <v>620</v>
      </c>
      <c r="AE18">
        <v>-35.118228070000001</v>
      </c>
      <c r="AF18">
        <v>173.25856461000001</v>
      </c>
      <c r="AG18" s="175">
        <v>30</v>
      </c>
      <c r="AH18" s="175">
        <v>0</v>
      </c>
      <c r="AI18" s="175">
        <v>0</v>
      </c>
      <c r="AJ18" s="175">
        <v>0</v>
      </c>
      <c r="AK18" s="175">
        <v>5</v>
      </c>
      <c r="AL18" s="175">
        <v>11</v>
      </c>
      <c r="AM18" s="175">
        <v>11</v>
      </c>
      <c r="AN18" s="175">
        <v>2</v>
      </c>
      <c r="AO18" s="175">
        <v>29</v>
      </c>
      <c r="AP18" s="175">
        <v>19</v>
      </c>
      <c r="AQ18" s="175">
        <v>19</v>
      </c>
      <c r="AR18" s="175">
        <v>1</v>
      </c>
      <c r="AS18" s="175">
        <v>4</v>
      </c>
      <c r="AT18" s="175">
        <v>1</v>
      </c>
    </row>
    <row r="19" spans="1:46">
      <c r="A19">
        <v>5002</v>
      </c>
      <c r="B19" t="s">
        <v>621</v>
      </c>
      <c r="C19" t="s">
        <v>622</v>
      </c>
      <c r="D19" t="s">
        <v>602</v>
      </c>
      <c r="E19" t="s">
        <v>623</v>
      </c>
      <c r="G19" t="s">
        <v>624</v>
      </c>
      <c r="H19" t="s">
        <v>452</v>
      </c>
      <c r="J19" t="s">
        <v>605</v>
      </c>
      <c r="K19" t="s">
        <v>606</v>
      </c>
      <c r="M19" t="s">
        <v>607</v>
      </c>
      <c r="N19" t="s">
        <v>625</v>
      </c>
      <c r="O19" t="s">
        <v>609</v>
      </c>
      <c r="P19" t="s">
        <v>626</v>
      </c>
      <c r="Q19" t="s">
        <v>509</v>
      </c>
      <c r="R19" t="s">
        <v>611</v>
      </c>
      <c r="S19" t="s">
        <v>612</v>
      </c>
      <c r="T19" t="s">
        <v>613</v>
      </c>
      <c r="U19">
        <v>101101</v>
      </c>
      <c r="V19" t="s">
        <v>627</v>
      </c>
      <c r="W19" t="s">
        <v>615</v>
      </c>
      <c r="X19" t="s">
        <v>616</v>
      </c>
      <c r="Y19" t="s">
        <v>617</v>
      </c>
      <c r="Z19" t="s">
        <v>618</v>
      </c>
      <c r="AA19" t="s">
        <v>619</v>
      </c>
      <c r="AB19" t="s">
        <v>620</v>
      </c>
      <c r="AC19">
        <v>99051</v>
      </c>
      <c r="AD19" t="s">
        <v>628</v>
      </c>
      <c r="AE19">
        <v>-34.994477740000001</v>
      </c>
      <c r="AF19">
        <v>173.46472979999999</v>
      </c>
      <c r="AG19" s="175">
        <v>30</v>
      </c>
      <c r="AH19" s="175">
        <v>0</v>
      </c>
      <c r="AI19" s="175">
        <v>0</v>
      </c>
      <c r="AJ19" s="175">
        <v>0</v>
      </c>
      <c r="AK19" s="175">
        <v>4</v>
      </c>
      <c r="AL19" s="175">
        <v>12</v>
      </c>
      <c r="AM19" s="175">
        <v>16</v>
      </c>
      <c r="AN19" s="175">
        <v>1</v>
      </c>
      <c r="AO19" s="175">
        <v>33</v>
      </c>
      <c r="AP19" s="175">
        <v>26</v>
      </c>
      <c r="AQ19" s="175">
        <v>25</v>
      </c>
      <c r="AR19" s="175">
        <v>4</v>
      </c>
      <c r="AS19" s="175">
        <v>2</v>
      </c>
      <c r="AT19" s="175">
        <v>0</v>
      </c>
    </row>
    <row r="20" spans="1:46">
      <c r="A20">
        <v>5003</v>
      </c>
      <c r="B20" t="s">
        <v>629</v>
      </c>
      <c r="C20" t="s">
        <v>630</v>
      </c>
      <c r="D20" t="s">
        <v>602</v>
      </c>
      <c r="E20" t="s">
        <v>631</v>
      </c>
      <c r="G20" t="s">
        <v>604</v>
      </c>
      <c r="H20" t="s">
        <v>452</v>
      </c>
      <c r="J20" t="s">
        <v>605</v>
      </c>
      <c r="K20" t="s">
        <v>606</v>
      </c>
      <c r="M20" t="s">
        <v>607</v>
      </c>
      <c r="N20" t="s">
        <v>625</v>
      </c>
      <c r="O20" t="s">
        <v>609</v>
      </c>
      <c r="P20" t="s">
        <v>610</v>
      </c>
      <c r="Q20" t="s">
        <v>509</v>
      </c>
      <c r="R20" t="s">
        <v>611</v>
      </c>
      <c r="S20" t="s">
        <v>612</v>
      </c>
      <c r="T20" t="s">
        <v>613</v>
      </c>
      <c r="U20">
        <v>100700</v>
      </c>
      <c r="V20" t="s">
        <v>632</v>
      </c>
      <c r="W20" t="s">
        <v>615</v>
      </c>
      <c r="X20" t="s">
        <v>616</v>
      </c>
      <c r="Y20" t="s">
        <v>617</v>
      </c>
      <c r="Z20" t="s">
        <v>618</v>
      </c>
      <c r="AA20" t="s">
        <v>619</v>
      </c>
      <c r="AB20" t="s">
        <v>620</v>
      </c>
      <c r="AE20">
        <v>-35.116079929999998</v>
      </c>
      <c r="AF20">
        <v>173.27068539000001</v>
      </c>
      <c r="AG20" s="175">
        <v>30</v>
      </c>
      <c r="AH20" s="175">
        <v>0</v>
      </c>
      <c r="AI20" s="175">
        <v>0</v>
      </c>
      <c r="AJ20" s="175">
        <v>0</v>
      </c>
      <c r="AK20" s="175">
        <v>3</v>
      </c>
      <c r="AL20" s="175">
        <v>8</v>
      </c>
      <c r="AM20" s="175">
        <v>10</v>
      </c>
      <c r="AN20" s="175">
        <v>2</v>
      </c>
      <c r="AO20" s="175">
        <v>23</v>
      </c>
      <c r="AP20" s="175">
        <v>12</v>
      </c>
      <c r="AQ20" s="175">
        <v>17</v>
      </c>
      <c r="AR20" s="175">
        <v>4</v>
      </c>
      <c r="AS20" s="175">
        <v>0</v>
      </c>
      <c r="AT20" s="175">
        <v>0</v>
      </c>
    </row>
    <row r="21" spans="1:46">
      <c r="A21">
        <v>5004</v>
      </c>
      <c r="B21" t="s">
        <v>633</v>
      </c>
      <c r="C21" t="s">
        <v>634</v>
      </c>
      <c r="D21" t="s">
        <v>602</v>
      </c>
      <c r="E21" t="s">
        <v>635</v>
      </c>
      <c r="G21" t="s">
        <v>636</v>
      </c>
      <c r="H21" t="s">
        <v>452</v>
      </c>
      <c r="J21" t="s">
        <v>605</v>
      </c>
      <c r="K21" t="s">
        <v>606</v>
      </c>
      <c r="M21" t="s">
        <v>607</v>
      </c>
      <c r="N21" t="s">
        <v>608</v>
      </c>
      <c r="O21" t="s">
        <v>609</v>
      </c>
      <c r="P21" t="s">
        <v>610</v>
      </c>
      <c r="Q21" t="s">
        <v>509</v>
      </c>
      <c r="R21" t="s">
        <v>611</v>
      </c>
      <c r="S21" t="s">
        <v>612</v>
      </c>
      <c r="T21" t="s">
        <v>613</v>
      </c>
      <c r="U21">
        <v>103501</v>
      </c>
      <c r="V21" t="s">
        <v>636</v>
      </c>
      <c r="W21" t="s">
        <v>637</v>
      </c>
      <c r="X21" t="s">
        <v>616</v>
      </c>
      <c r="Y21" t="s">
        <v>617</v>
      </c>
      <c r="Z21" t="s">
        <v>618</v>
      </c>
      <c r="AA21" t="s">
        <v>619</v>
      </c>
      <c r="AB21" t="s">
        <v>620</v>
      </c>
      <c r="AC21">
        <v>99060</v>
      </c>
      <c r="AD21" t="s">
        <v>638</v>
      </c>
      <c r="AE21">
        <v>-35.405553130000001</v>
      </c>
      <c r="AF21">
        <v>173.79640947999999</v>
      </c>
      <c r="AG21" s="175">
        <v>30</v>
      </c>
      <c r="AH21" s="175">
        <v>0</v>
      </c>
      <c r="AI21" s="175">
        <v>0</v>
      </c>
      <c r="AJ21" s="175">
        <v>0</v>
      </c>
      <c r="AK21" s="175">
        <v>6</v>
      </c>
      <c r="AL21" s="175">
        <v>7</v>
      </c>
      <c r="AM21" s="175">
        <v>12</v>
      </c>
      <c r="AN21" s="175">
        <v>2</v>
      </c>
      <c r="AO21" s="175">
        <v>27</v>
      </c>
      <c r="AP21" s="175">
        <v>13</v>
      </c>
      <c r="AQ21" s="175">
        <v>23</v>
      </c>
      <c r="AR21" s="175">
        <v>3</v>
      </c>
      <c r="AS21" s="175">
        <v>2</v>
      </c>
      <c r="AT21" s="175">
        <v>0</v>
      </c>
    </row>
    <row r="22" spans="1:46">
      <c r="A22">
        <v>5006</v>
      </c>
      <c r="B22" t="s">
        <v>639</v>
      </c>
      <c r="C22" t="s">
        <v>640</v>
      </c>
      <c r="D22" t="s">
        <v>602</v>
      </c>
      <c r="E22" t="s">
        <v>641</v>
      </c>
      <c r="G22" t="s">
        <v>642</v>
      </c>
      <c r="H22" t="s">
        <v>452</v>
      </c>
      <c r="J22" t="s">
        <v>605</v>
      </c>
      <c r="K22" t="s">
        <v>606</v>
      </c>
      <c r="M22" t="s">
        <v>607</v>
      </c>
      <c r="N22" t="s">
        <v>643</v>
      </c>
      <c r="O22" t="s">
        <v>609</v>
      </c>
      <c r="P22" t="s">
        <v>610</v>
      </c>
      <c r="Q22" t="s">
        <v>509</v>
      </c>
      <c r="R22" t="s">
        <v>611</v>
      </c>
      <c r="S22" t="s">
        <v>612</v>
      </c>
      <c r="T22" t="s">
        <v>613</v>
      </c>
      <c r="U22">
        <v>103900</v>
      </c>
      <c r="V22" t="s">
        <v>642</v>
      </c>
      <c r="W22" t="s">
        <v>644</v>
      </c>
      <c r="X22" t="s">
        <v>616</v>
      </c>
      <c r="Y22" t="s">
        <v>617</v>
      </c>
      <c r="Z22" t="s">
        <v>618</v>
      </c>
      <c r="AA22" t="s">
        <v>619</v>
      </c>
      <c r="AB22" t="s">
        <v>620</v>
      </c>
      <c r="AC22">
        <v>99117</v>
      </c>
      <c r="AD22" t="s">
        <v>645</v>
      </c>
      <c r="AE22">
        <v>-35.278120569999999</v>
      </c>
      <c r="AF22">
        <v>174.081808</v>
      </c>
      <c r="AG22" s="175">
        <v>30</v>
      </c>
      <c r="AH22" s="175">
        <v>0</v>
      </c>
      <c r="AI22" s="175">
        <v>0</v>
      </c>
      <c r="AJ22" s="175">
        <v>0</v>
      </c>
      <c r="AK22" s="175">
        <v>5</v>
      </c>
      <c r="AL22" s="175">
        <v>12</v>
      </c>
      <c r="AM22" s="175">
        <v>5</v>
      </c>
      <c r="AN22" s="175">
        <v>0</v>
      </c>
      <c r="AO22" s="175">
        <v>22</v>
      </c>
      <c r="AP22" s="175">
        <v>13</v>
      </c>
      <c r="AQ22" s="175">
        <v>10</v>
      </c>
      <c r="AR22" s="175">
        <v>1</v>
      </c>
      <c r="AS22" s="175">
        <v>2</v>
      </c>
      <c r="AT22" s="175">
        <v>0</v>
      </c>
    </row>
    <row r="23" spans="1:46">
      <c r="A23">
        <v>5007</v>
      </c>
      <c r="B23" t="s">
        <v>646</v>
      </c>
      <c r="C23" t="s">
        <v>647</v>
      </c>
      <c r="D23" t="s">
        <v>602</v>
      </c>
      <c r="E23" t="s">
        <v>648</v>
      </c>
      <c r="G23" t="s">
        <v>649</v>
      </c>
      <c r="H23" t="s">
        <v>452</v>
      </c>
      <c r="J23" t="s">
        <v>605</v>
      </c>
      <c r="K23" t="s">
        <v>606</v>
      </c>
      <c r="M23" t="s">
        <v>607</v>
      </c>
      <c r="N23" t="s">
        <v>643</v>
      </c>
      <c r="O23" t="s">
        <v>650</v>
      </c>
      <c r="P23" t="s">
        <v>610</v>
      </c>
      <c r="Q23" t="s">
        <v>509</v>
      </c>
      <c r="R23" t="s">
        <v>611</v>
      </c>
      <c r="S23" t="s">
        <v>612</v>
      </c>
      <c r="T23" t="s">
        <v>613</v>
      </c>
      <c r="U23">
        <v>109301</v>
      </c>
      <c r="V23" t="s">
        <v>649</v>
      </c>
      <c r="W23" t="s">
        <v>651</v>
      </c>
      <c r="X23" t="s">
        <v>616</v>
      </c>
      <c r="Y23" t="s">
        <v>617</v>
      </c>
      <c r="Z23" t="s">
        <v>618</v>
      </c>
      <c r="AA23" t="s">
        <v>619</v>
      </c>
      <c r="AB23" t="s">
        <v>620</v>
      </c>
      <c r="AC23">
        <v>99185</v>
      </c>
      <c r="AD23" t="s">
        <v>652</v>
      </c>
      <c r="AE23">
        <v>-35.939804240000001</v>
      </c>
      <c r="AF23">
        <v>173.86832663000001</v>
      </c>
      <c r="AG23" s="175">
        <v>40</v>
      </c>
      <c r="AH23" s="175">
        <v>0</v>
      </c>
      <c r="AI23" s="175">
        <v>0</v>
      </c>
      <c r="AJ23" s="175">
        <v>0</v>
      </c>
      <c r="AK23" s="175">
        <v>0</v>
      </c>
      <c r="AL23" s="175">
        <v>9</v>
      </c>
      <c r="AM23" s="175">
        <v>34</v>
      </c>
      <c r="AN23" s="175">
        <v>2</v>
      </c>
      <c r="AO23" s="175">
        <v>45</v>
      </c>
      <c r="AP23" s="175">
        <v>41</v>
      </c>
      <c r="AQ23" s="175">
        <v>22</v>
      </c>
      <c r="AR23" s="175">
        <v>6</v>
      </c>
      <c r="AS23" s="175">
        <v>2</v>
      </c>
      <c r="AT23" s="175">
        <v>0</v>
      </c>
    </row>
    <row r="24" spans="1:46">
      <c r="A24">
        <v>5008</v>
      </c>
      <c r="B24" t="s">
        <v>653</v>
      </c>
      <c r="C24" t="s">
        <v>654</v>
      </c>
      <c r="D24" t="s">
        <v>602</v>
      </c>
      <c r="E24" t="s">
        <v>655</v>
      </c>
      <c r="G24" t="s">
        <v>656</v>
      </c>
      <c r="H24" t="s">
        <v>452</v>
      </c>
      <c r="J24" t="s">
        <v>605</v>
      </c>
      <c r="K24" t="s">
        <v>606</v>
      </c>
      <c r="M24" t="s">
        <v>607</v>
      </c>
      <c r="N24" t="s">
        <v>657</v>
      </c>
      <c r="O24" t="s">
        <v>650</v>
      </c>
      <c r="P24" t="s">
        <v>658</v>
      </c>
      <c r="Q24" t="s">
        <v>509</v>
      </c>
      <c r="R24" t="s">
        <v>611</v>
      </c>
      <c r="S24" t="s">
        <v>612</v>
      </c>
      <c r="T24" t="s">
        <v>613</v>
      </c>
      <c r="U24">
        <v>109400</v>
      </c>
      <c r="V24" t="s">
        <v>659</v>
      </c>
      <c r="W24" t="s">
        <v>660</v>
      </c>
      <c r="X24" t="s">
        <v>616</v>
      </c>
      <c r="Y24" t="s">
        <v>617</v>
      </c>
      <c r="Z24" t="s">
        <v>618</v>
      </c>
      <c r="AA24" t="s">
        <v>619</v>
      </c>
      <c r="AB24" t="s">
        <v>620</v>
      </c>
      <c r="AC24">
        <v>99185</v>
      </c>
      <c r="AD24" t="s">
        <v>652</v>
      </c>
      <c r="AE24">
        <v>-36.122211929999999</v>
      </c>
      <c r="AF24">
        <v>174.01140158999999</v>
      </c>
      <c r="AG24" s="175">
        <v>40</v>
      </c>
      <c r="AH24" s="175">
        <v>0</v>
      </c>
      <c r="AI24" s="175">
        <v>0</v>
      </c>
      <c r="AJ24" s="175">
        <v>0</v>
      </c>
      <c r="AK24" s="175">
        <v>8</v>
      </c>
      <c r="AL24" s="175">
        <v>22</v>
      </c>
      <c r="AM24" s="175">
        <v>21</v>
      </c>
      <c r="AN24" s="175">
        <v>1</v>
      </c>
      <c r="AO24" s="175">
        <v>52</v>
      </c>
      <c r="AP24" s="175">
        <v>48</v>
      </c>
      <c r="AQ24" s="175">
        <v>14</v>
      </c>
      <c r="AR24" s="175">
        <v>5</v>
      </c>
      <c r="AS24" s="175">
        <v>0</v>
      </c>
      <c r="AT24" s="175">
        <v>0</v>
      </c>
    </row>
    <row r="25" spans="1:46">
      <c r="A25">
        <v>5009</v>
      </c>
      <c r="B25" t="s">
        <v>661</v>
      </c>
      <c r="C25" t="s">
        <v>662</v>
      </c>
      <c r="D25" t="s">
        <v>602</v>
      </c>
      <c r="E25" t="s">
        <v>663</v>
      </c>
      <c r="G25" t="s">
        <v>649</v>
      </c>
      <c r="H25" t="s">
        <v>452</v>
      </c>
      <c r="J25" t="s">
        <v>605</v>
      </c>
      <c r="K25" t="s">
        <v>606</v>
      </c>
      <c r="M25" t="s">
        <v>607</v>
      </c>
      <c r="N25" t="s">
        <v>608</v>
      </c>
      <c r="O25" t="s">
        <v>650</v>
      </c>
      <c r="P25" t="s">
        <v>610</v>
      </c>
      <c r="Q25" t="s">
        <v>509</v>
      </c>
      <c r="R25" t="s">
        <v>611</v>
      </c>
      <c r="S25" t="s">
        <v>612</v>
      </c>
      <c r="T25" t="s">
        <v>613</v>
      </c>
      <c r="U25">
        <v>109301</v>
      </c>
      <c r="V25" t="s">
        <v>649</v>
      </c>
      <c r="W25" t="s">
        <v>651</v>
      </c>
      <c r="X25" t="s">
        <v>616</v>
      </c>
      <c r="Y25" t="s">
        <v>617</v>
      </c>
      <c r="Z25" t="s">
        <v>618</v>
      </c>
      <c r="AA25" t="s">
        <v>619</v>
      </c>
      <c r="AB25" t="s">
        <v>620</v>
      </c>
      <c r="AC25">
        <v>99185</v>
      </c>
      <c r="AD25" t="s">
        <v>652</v>
      </c>
      <c r="AE25">
        <v>-35.933170169999997</v>
      </c>
      <c r="AF25">
        <v>173.87502228</v>
      </c>
      <c r="AG25" s="175">
        <v>30</v>
      </c>
      <c r="AH25" s="175">
        <v>0</v>
      </c>
      <c r="AI25" s="175">
        <v>0</v>
      </c>
      <c r="AJ25" s="175">
        <v>0</v>
      </c>
      <c r="AK25" s="175">
        <v>0</v>
      </c>
      <c r="AL25" s="175">
        <v>10</v>
      </c>
      <c r="AM25" s="175">
        <v>14</v>
      </c>
      <c r="AN25" s="175">
        <v>0</v>
      </c>
      <c r="AO25" s="175">
        <v>24</v>
      </c>
      <c r="AP25" s="175">
        <v>11</v>
      </c>
      <c r="AQ25" s="175">
        <v>18</v>
      </c>
      <c r="AR25" s="175">
        <v>3</v>
      </c>
      <c r="AS25" s="175">
        <v>2</v>
      </c>
      <c r="AT25" s="175">
        <v>0</v>
      </c>
    </row>
    <row r="26" spans="1:46">
      <c r="A26">
        <v>5010</v>
      </c>
      <c r="B26" t="s">
        <v>664</v>
      </c>
      <c r="C26" t="s">
        <v>665</v>
      </c>
      <c r="D26" t="s">
        <v>602</v>
      </c>
      <c r="E26" t="s">
        <v>666</v>
      </c>
      <c r="F26" t="s">
        <v>667</v>
      </c>
      <c r="G26" t="s">
        <v>668</v>
      </c>
      <c r="H26" t="s">
        <v>452</v>
      </c>
      <c r="J26" t="s">
        <v>605</v>
      </c>
      <c r="K26" t="s">
        <v>606</v>
      </c>
      <c r="M26" t="s">
        <v>607</v>
      </c>
      <c r="N26" t="s">
        <v>643</v>
      </c>
      <c r="O26" t="s">
        <v>669</v>
      </c>
      <c r="P26" t="s">
        <v>670</v>
      </c>
      <c r="Q26" t="s">
        <v>509</v>
      </c>
      <c r="R26" t="s">
        <v>611</v>
      </c>
      <c r="S26" t="s">
        <v>671</v>
      </c>
      <c r="T26" t="s">
        <v>613</v>
      </c>
      <c r="U26">
        <v>106201</v>
      </c>
      <c r="V26" t="s">
        <v>672</v>
      </c>
      <c r="W26" t="s">
        <v>673</v>
      </c>
      <c r="X26" t="s">
        <v>616</v>
      </c>
      <c r="Y26" t="s">
        <v>617</v>
      </c>
      <c r="Z26" t="s">
        <v>618</v>
      </c>
      <c r="AA26" t="s">
        <v>619</v>
      </c>
      <c r="AB26" t="s">
        <v>620</v>
      </c>
      <c r="AC26">
        <v>99182</v>
      </c>
      <c r="AD26" t="s">
        <v>674</v>
      </c>
      <c r="AE26">
        <v>-35.684404139999998</v>
      </c>
      <c r="AF26">
        <v>174.33005427000001</v>
      </c>
      <c r="AG26" s="175">
        <v>40</v>
      </c>
      <c r="AH26" s="175">
        <v>0</v>
      </c>
      <c r="AI26" s="175">
        <v>0</v>
      </c>
      <c r="AJ26" s="175">
        <v>0</v>
      </c>
      <c r="AK26" s="175">
        <v>2</v>
      </c>
      <c r="AL26" s="175">
        <v>20</v>
      </c>
      <c r="AM26" s="175">
        <v>23</v>
      </c>
      <c r="AN26" s="175">
        <v>2</v>
      </c>
      <c r="AO26" s="175">
        <v>47</v>
      </c>
      <c r="AP26" s="175">
        <v>26</v>
      </c>
      <c r="AQ26" s="175">
        <v>27</v>
      </c>
      <c r="AR26" s="175">
        <v>3</v>
      </c>
      <c r="AS26" s="175">
        <v>3</v>
      </c>
      <c r="AT26" s="175">
        <v>2</v>
      </c>
    </row>
    <row r="27" spans="1:46">
      <c r="A27">
        <v>5011</v>
      </c>
      <c r="B27" t="s">
        <v>675</v>
      </c>
      <c r="C27" t="s">
        <v>676</v>
      </c>
      <c r="D27" t="s">
        <v>602</v>
      </c>
      <c r="E27" t="s">
        <v>677</v>
      </c>
      <c r="F27" t="s">
        <v>678</v>
      </c>
      <c r="G27" t="s">
        <v>668</v>
      </c>
      <c r="H27" t="s">
        <v>452</v>
      </c>
      <c r="J27" t="s">
        <v>605</v>
      </c>
      <c r="K27" t="s">
        <v>606</v>
      </c>
      <c r="M27" t="s">
        <v>607</v>
      </c>
      <c r="N27" t="s">
        <v>643</v>
      </c>
      <c r="O27" t="s">
        <v>669</v>
      </c>
      <c r="P27" t="s">
        <v>670</v>
      </c>
      <c r="Q27" t="s">
        <v>509</v>
      </c>
      <c r="R27" t="s">
        <v>611</v>
      </c>
      <c r="S27" t="s">
        <v>671</v>
      </c>
      <c r="T27" t="s">
        <v>613</v>
      </c>
      <c r="U27">
        <v>107000</v>
      </c>
      <c r="V27" t="s">
        <v>679</v>
      </c>
      <c r="W27" t="s">
        <v>673</v>
      </c>
      <c r="X27" t="s">
        <v>616</v>
      </c>
      <c r="Y27" t="s">
        <v>617</v>
      </c>
      <c r="Z27" t="s">
        <v>618</v>
      </c>
      <c r="AA27" t="s">
        <v>619</v>
      </c>
      <c r="AB27" t="s">
        <v>620</v>
      </c>
      <c r="AC27">
        <v>99181</v>
      </c>
      <c r="AD27" t="s">
        <v>680</v>
      </c>
      <c r="AE27">
        <v>-35.729124220000003</v>
      </c>
      <c r="AF27">
        <v>174.313153</v>
      </c>
      <c r="AG27" s="175">
        <v>40</v>
      </c>
      <c r="AH27" s="175">
        <v>0</v>
      </c>
      <c r="AI27" s="175">
        <v>0</v>
      </c>
      <c r="AJ27" s="175">
        <v>0</v>
      </c>
      <c r="AK27" s="175">
        <v>4</v>
      </c>
      <c r="AL27" s="175">
        <v>14</v>
      </c>
      <c r="AM27" s="175">
        <v>27</v>
      </c>
      <c r="AN27" s="175">
        <v>0</v>
      </c>
      <c r="AO27" s="175">
        <v>45</v>
      </c>
      <c r="AP27" s="175">
        <v>23</v>
      </c>
      <c r="AQ27" s="175">
        <v>13</v>
      </c>
      <c r="AR27" s="175">
        <v>2</v>
      </c>
      <c r="AS27" s="175">
        <v>16</v>
      </c>
      <c r="AT27" s="175">
        <v>1</v>
      </c>
    </row>
    <row r="28" spans="1:46">
      <c r="A28">
        <v>5012</v>
      </c>
      <c r="B28" t="s">
        <v>681</v>
      </c>
      <c r="C28" t="s">
        <v>682</v>
      </c>
      <c r="D28" t="s">
        <v>602</v>
      </c>
      <c r="E28" t="s">
        <v>683</v>
      </c>
      <c r="F28" t="s">
        <v>618</v>
      </c>
      <c r="G28" t="s">
        <v>668</v>
      </c>
      <c r="H28" t="s">
        <v>452</v>
      </c>
      <c r="J28" t="s">
        <v>605</v>
      </c>
      <c r="K28" t="s">
        <v>606</v>
      </c>
      <c r="M28" t="s">
        <v>607</v>
      </c>
      <c r="N28" t="s">
        <v>643</v>
      </c>
      <c r="O28" t="s">
        <v>669</v>
      </c>
      <c r="P28" t="s">
        <v>670</v>
      </c>
      <c r="Q28" t="s">
        <v>509</v>
      </c>
      <c r="R28" t="s">
        <v>611</v>
      </c>
      <c r="S28" t="s">
        <v>671</v>
      </c>
      <c r="T28" t="s">
        <v>613</v>
      </c>
      <c r="U28">
        <v>106000</v>
      </c>
      <c r="V28" t="s">
        <v>684</v>
      </c>
      <c r="W28" t="s">
        <v>673</v>
      </c>
      <c r="X28" t="s">
        <v>616</v>
      </c>
      <c r="Y28" t="s">
        <v>617</v>
      </c>
      <c r="Z28" t="s">
        <v>618</v>
      </c>
      <c r="AA28" t="s">
        <v>619</v>
      </c>
      <c r="AB28" t="s">
        <v>620</v>
      </c>
      <c r="AC28">
        <v>99182</v>
      </c>
      <c r="AD28" t="s">
        <v>674</v>
      </c>
      <c r="AE28">
        <v>-35.681472050000004</v>
      </c>
      <c r="AF28">
        <v>174.30435188000001</v>
      </c>
      <c r="AG28" s="175">
        <v>30</v>
      </c>
      <c r="AH28" s="175">
        <v>0</v>
      </c>
      <c r="AI28" s="175">
        <v>0</v>
      </c>
      <c r="AJ28" s="175">
        <v>0</v>
      </c>
      <c r="AK28" s="175">
        <v>7</v>
      </c>
      <c r="AL28" s="175">
        <v>13</v>
      </c>
      <c r="AM28" s="175">
        <v>8</v>
      </c>
      <c r="AN28" s="175">
        <v>3</v>
      </c>
      <c r="AO28" s="175">
        <v>31</v>
      </c>
      <c r="AP28" s="175">
        <v>23</v>
      </c>
      <c r="AQ28" s="175">
        <v>15</v>
      </c>
      <c r="AR28" s="175">
        <v>5</v>
      </c>
      <c r="AS28" s="175">
        <v>5</v>
      </c>
      <c r="AT28" s="175">
        <v>3</v>
      </c>
    </row>
    <row r="29" spans="1:46">
      <c r="A29">
        <v>5013</v>
      </c>
      <c r="B29" t="s">
        <v>685</v>
      </c>
      <c r="C29" t="s">
        <v>686</v>
      </c>
      <c r="D29" t="s">
        <v>602</v>
      </c>
      <c r="E29" t="s">
        <v>687</v>
      </c>
      <c r="F29" t="s">
        <v>688</v>
      </c>
      <c r="G29" t="s">
        <v>668</v>
      </c>
      <c r="H29" t="s">
        <v>452</v>
      </c>
      <c r="J29" t="s">
        <v>605</v>
      </c>
      <c r="K29" t="s">
        <v>606</v>
      </c>
      <c r="M29" t="s">
        <v>607</v>
      </c>
      <c r="N29" t="s">
        <v>657</v>
      </c>
      <c r="O29" t="s">
        <v>669</v>
      </c>
      <c r="P29" t="s">
        <v>670</v>
      </c>
      <c r="Q29" t="s">
        <v>509</v>
      </c>
      <c r="R29" t="s">
        <v>611</v>
      </c>
      <c r="S29" t="s">
        <v>671</v>
      </c>
      <c r="T29" t="s">
        <v>613</v>
      </c>
      <c r="U29">
        <v>106800</v>
      </c>
      <c r="V29" t="s">
        <v>688</v>
      </c>
      <c r="W29" t="s">
        <v>673</v>
      </c>
      <c r="X29" t="s">
        <v>616</v>
      </c>
      <c r="Y29" t="s">
        <v>617</v>
      </c>
      <c r="Z29" t="s">
        <v>618</v>
      </c>
      <c r="AA29" t="s">
        <v>619</v>
      </c>
      <c r="AB29" t="s">
        <v>620</v>
      </c>
      <c r="AC29">
        <v>99181</v>
      </c>
      <c r="AD29" t="s">
        <v>680</v>
      </c>
      <c r="AE29">
        <v>-35.70637172</v>
      </c>
      <c r="AF29">
        <v>174.32298917</v>
      </c>
      <c r="AG29" s="175">
        <v>40</v>
      </c>
      <c r="AH29" s="175">
        <v>0</v>
      </c>
      <c r="AI29" s="175">
        <v>0</v>
      </c>
      <c r="AJ29" s="175">
        <v>0</v>
      </c>
      <c r="AK29" s="175">
        <v>9</v>
      </c>
      <c r="AL29" s="175">
        <v>20</v>
      </c>
      <c r="AM29" s="175">
        <v>17</v>
      </c>
      <c r="AN29" s="175">
        <v>3</v>
      </c>
      <c r="AO29" s="175">
        <v>49</v>
      </c>
      <c r="AP29" s="175">
        <v>42</v>
      </c>
      <c r="AQ29" s="175">
        <v>14</v>
      </c>
      <c r="AR29" s="175">
        <v>1</v>
      </c>
      <c r="AS29" s="175">
        <v>6</v>
      </c>
      <c r="AT29" s="175">
        <v>3</v>
      </c>
    </row>
    <row r="30" spans="1:46">
      <c r="A30">
        <v>5014</v>
      </c>
      <c r="B30" t="s">
        <v>689</v>
      </c>
      <c r="C30" t="s">
        <v>690</v>
      </c>
      <c r="D30" t="s">
        <v>602</v>
      </c>
      <c r="E30" t="s">
        <v>691</v>
      </c>
      <c r="F30" t="s">
        <v>692</v>
      </c>
      <c r="G30" t="s">
        <v>668</v>
      </c>
      <c r="H30" t="s">
        <v>452</v>
      </c>
      <c r="J30" t="s">
        <v>605</v>
      </c>
      <c r="K30" t="s">
        <v>606</v>
      </c>
      <c r="M30" t="s">
        <v>607</v>
      </c>
      <c r="N30" t="s">
        <v>643</v>
      </c>
      <c r="O30" t="s">
        <v>669</v>
      </c>
      <c r="P30" t="s">
        <v>670</v>
      </c>
      <c r="Q30" t="s">
        <v>509</v>
      </c>
      <c r="R30" t="s">
        <v>611</v>
      </c>
      <c r="S30" t="s">
        <v>671</v>
      </c>
      <c r="T30" t="s">
        <v>613</v>
      </c>
      <c r="U30">
        <v>108100</v>
      </c>
      <c r="V30" t="s">
        <v>693</v>
      </c>
      <c r="W30" t="s">
        <v>673</v>
      </c>
      <c r="X30" t="s">
        <v>616</v>
      </c>
      <c r="Y30" t="s">
        <v>617</v>
      </c>
      <c r="Z30" t="s">
        <v>618</v>
      </c>
      <c r="AA30" t="s">
        <v>619</v>
      </c>
      <c r="AB30" t="s">
        <v>620</v>
      </c>
      <c r="AC30">
        <v>99181</v>
      </c>
      <c r="AD30" t="s">
        <v>680</v>
      </c>
      <c r="AE30">
        <v>-35.75174526</v>
      </c>
      <c r="AF30">
        <v>174.37148438</v>
      </c>
      <c r="AG30" s="175">
        <v>40</v>
      </c>
      <c r="AH30" s="175">
        <v>0</v>
      </c>
      <c r="AI30" s="175">
        <v>0</v>
      </c>
      <c r="AJ30" s="175">
        <v>0</v>
      </c>
      <c r="AK30" s="175">
        <v>3</v>
      </c>
      <c r="AL30" s="175">
        <v>17</v>
      </c>
      <c r="AM30" s="175">
        <v>28</v>
      </c>
      <c r="AN30" s="175">
        <v>3</v>
      </c>
      <c r="AO30" s="175">
        <v>51</v>
      </c>
      <c r="AP30" s="175">
        <v>34</v>
      </c>
      <c r="AQ30" s="175">
        <v>21</v>
      </c>
      <c r="AR30" s="175">
        <v>4</v>
      </c>
      <c r="AS30" s="175">
        <v>4</v>
      </c>
      <c r="AT30" s="175">
        <v>1</v>
      </c>
    </row>
    <row r="31" spans="1:46">
      <c r="A31">
        <v>5015</v>
      </c>
      <c r="B31" t="s">
        <v>694</v>
      </c>
      <c r="C31" t="s">
        <v>695</v>
      </c>
      <c r="D31" t="s">
        <v>602</v>
      </c>
      <c r="E31" t="s">
        <v>696</v>
      </c>
      <c r="G31" t="s">
        <v>697</v>
      </c>
      <c r="H31" t="s">
        <v>452</v>
      </c>
      <c r="J31" t="s">
        <v>605</v>
      </c>
      <c r="K31" t="s">
        <v>606</v>
      </c>
      <c r="M31" t="s">
        <v>607</v>
      </c>
      <c r="N31" t="s">
        <v>643</v>
      </c>
      <c r="O31" t="s">
        <v>669</v>
      </c>
      <c r="P31" t="s">
        <v>610</v>
      </c>
      <c r="Q31" t="s">
        <v>509</v>
      </c>
      <c r="R31" t="s">
        <v>611</v>
      </c>
      <c r="S31" t="s">
        <v>671</v>
      </c>
      <c r="T31" t="s">
        <v>613</v>
      </c>
      <c r="U31">
        <v>105200</v>
      </c>
      <c r="V31" t="s">
        <v>697</v>
      </c>
      <c r="W31" t="s">
        <v>698</v>
      </c>
      <c r="X31" t="s">
        <v>616</v>
      </c>
      <c r="Y31" t="s">
        <v>617</v>
      </c>
      <c r="Z31" t="s">
        <v>618</v>
      </c>
      <c r="AA31" t="s">
        <v>619</v>
      </c>
      <c r="AB31" t="s">
        <v>620</v>
      </c>
      <c r="AC31">
        <v>99182</v>
      </c>
      <c r="AD31" t="s">
        <v>674</v>
      </c>
      <c r="AE31">
        <v>-35.60203834</v>
      </c>
      <c r="AF31">
        <v>174.28657496</v>
      </c>
      <c r="AG31" s="175">
        <v>30</v>
      </c>
      <c r="AH31" s="175">
        <v>0</v>
      </c>
      <c r="AI31" s="175">
        <v>0</v>
      </c>
      <c r="AJ31" s="175">
        <v>0</v>
      </c>
      <c r="AK31" s="175">
        <v>8</v>
      </c>
      <c r="AL31" s="175">
        <v>11</v>
      </c>
      <c r="AM31" s="175">
        <v>15</v>
      </c>
      <c r="AN31" s="175">
        <v>1</v>
      </c>
      <c r="AO31" s="175">
        <v>35</v>
      </c>
      <c r="AP31" s="175">
        <v>21</v>
      </c>
      <c r="AQ31" s="175">
        <v>18</v>
      </c>
      <c r="AR31" s="175">
        <v>2</v>
      </c>
      <c r="AS31" s="175">
        <v>1</v>
      </c>
      <c r="AT31" s="175">
        <v>4</v>
      </c>
    </row>
    <row r="32" spans="1:46">
      <c r="A32">
        <v>5016</v>
      </c>
      <c r="B32" t="s">
        <v>699</v>
      </c>
      <c r="C32" t="s">
        <v>700</v>
      </c>
      <c r="D32" t="s">
        <v>602</v>
      </c>
      <c r="E32" t="s">
        <v>701</v>
      </c>
      <c r="G32" t="s">
        <v>702</v>
      </c>
      <c r="H32" t="s">
        <v>452</v>
      </c>
      <c r="J32" t="s">
        <v>605</v>
      </c>
      <c r="K32" t="s">
        <v>606</v>
      </c>
      <c r="M32" t="s">
        <v>607</v>
      </c>
      <c r="N32" t="s">
        <v>657</v>
      </c>
      <c r="O32" t="s">
        <v>669</v>
      </c>
      <c r="P32" t="s">
        <v>658</v>
      </c>
      <c r="Q32" t="s">
        <v>509</v>
      </c>
      <c r="R32" t="s">
        <v>611</v>
      </c>
      <c r="S32" t="s">
        <v>671</v>
      </c>
      <c r="T32" t="s">
        <v>613</v>
      </c>
      <c r="U32">
        <v>107700</v>
      </c>
      <c r="V32" t="s">
        <v>703</v>
      </c>
      <c r="W32" t="s">
        <v>704</v>
      </c>
      <c r="X32" t="s">
        <v>616</v>
      </c>
      <c r="Y32" t="s">
        <v>617</v>
      </c>
      <c r="Z32" t="s">
        <v>618</v>
      </c>
      <c r="AA32" t="s">
        <v>619</v>
      </c>
      <c r="AB32" t="s">
        <v>620</v>
      </c>
      <c r="AC32">
        <v>99183</v>
      </c>
      <c r="AD32" t="s">
        <v>705</v>
      </c>
      <c r="AE32">
        <v>-35.799126630000004</v>
      </c>
      <c r="AF32">
        <v>174.32758147000001</v>
      </c>
      <c r="AG32" s="175">
        <v>29</v>
      </c>
      <c r="AH32" s="175">
        <v>0</v>
      </c>
      <c r="AI32" s="175">
        <v>0</v>
      </c>
      <c r="AJ32" s="175">
        <v>0</v>
      </c>
      <c r="AK32" s="175">
        <v>3</v>
      </c>
      <c r="AL32" s="175">
        <v>13</v>
      </c>
      <c r="AM32" s="175">
        <v>16</v>
      </c>
      <c r="AN32" s="175">
        <v>0</v>
      </c>
      <c r="AO32" s="175">
        <v>32</v>
      </c>
      <c r="AP32" s="175">
        <v>26</v>
      </c>
      <c r="AQ32" s="175">
        <v>16</v>
      </c>
      <c r="AR32" s="175">
        <v>4</v>
      </c>
      <c r="AS32" s="175">
        <v>1</v>
      </c>
      <c r="AT32" s="175">
        <v>3</v>
      </c>
    </row>
    <row r="33" spans="1:46">
      <c r="A33">
        <v>5017</v>
      </c>
      <c r="B33" t="s">
        <v>706</v>
      </c>
      <c r="C33" t="s">
        <v>707</v>
      </c>
      <c r="D33" t="s">
        <v>602</v>
      </c>
      <c r="E33" t="s">
        <v>708</v>
      </c>
      <c r="F33" t="s">
        <v>709</v>
      </c>
      <c r="G33" t="s">
        <v>668</v>
      </c>
      <c r="H33" t="s">
        <v>452</v>
      </c>
      <c r="J33" t="s">
        <v>605</v>
      </c>
      <c r="K33" t="s">
        <v>606</v>
      </c>
      <c r="M33" t="s">
        <v>607</v>
      </c>
      <c r="N33" t="s">
        <v>608</v>
      </c>
      <c r="O33" t="s">
        <v>669</v>
      </c>
      <c r="P33" t="s">
        <v>670</v>
      </c>
      <c r="Q33" t="s">
        <v>509</v>
      </c>
      <c r="R33" t="s">
        <v>611</v>
      </c>
      <c r="S33" t="s">
        <v>671</v>
      </c>
      <c r="T33" t="s">
        <v>613</v>
      </c>
      <c r="U33">
        <v>107300</v>
      </c>
      <c r="V33" t="s">
        <v>709</v>
      </c>
      <c r="W33" t="s">
        <v>673</v>
      </c>
      <c r="X33" t="s">
        <v>616</v>
      </c>
      <c r="Y33" t="s">
        <v>617</v>
      </c>
      <c r="Z33" t="s">
        <v>618</v>
      </c>
      <c r="AA33" t="s">
        <v>619</v>
      </c>
      <c r="AB33" t="s">
        <v>620</v>
      </c>
      <c r="AC33">
        <v>99181</v>
      </c>
      <c r="AD33" t="s">
        <v>680</v>
      </c>
      <c r="AE33">
        <v>-35.744241850000002</v>
      </c>
      <c r="AF33">
        <v>174.30382646000001</v>
      </c>
      <c r="AG33" s="175">
        <v>30</v>
      </c>
      <c r="AH33" s="175">
        <v>0</v>
      </c>
      <c r="AI33" s="175">
        <v>0</v>
      </c>
      <c r="AJ33" s="175">
        <v>0</v>
      </c>
      <c r="AK33" s="175">
        <v>7</v>
      </c>
      <c r="AL33" s="175">
        <v>14</v>
      </c>
      <c r="AM33" s="175">
        <v>18</v>
      </c>
      <c r="AN33" s="175">
        <v>2</v>
      </c>
      <c r="AO33" s="175">
        <v>41</v>
      </c>
      <c r="AP33" s="175">
        <v>20</v>
      </c>
      <c r="AQ33" s="175">
        <v>32</v>
      </c>
      <c r="AR33" s="175">
        <v>6</v>
      </c>
      <c r="AS33" s="175">
        <v>4</v>
      </c>
      <c r="AT33" s="175">
        <v>0</v>
      </c>
    </row>
    <row r="34" spans="1:46">
      <c r="A34">
        <v>5018</v>
      </c>
      <c r="B34" t="s">
        <v>710</v>
      </c>
      <c r="C34" t="s">
        <v>711</v>
      </c>
      <c r="D34" t="s">
        <v>602</v>
      </c>
      <c r="E34" t="s">
        <v>712</v>
      </c>
      <c r="F34" t="s">
        <v>713</v>
      </c>
      <c r="G34" t="s">
        <v>668</v>
      </c>
      <c r="H34" t="s">
        <v>452</v>
      </c>
      <c r="J34" t="s">
        <v>605</v>
      </c>
      <c r="K34" t="s">
        <v>606</v>
      </c>
      <c r="M34" t="s">
        <v>607</v>
      </c>
      <c r="N34" t="s">
        <v>643</v>
      </c>
      <c r="O34" t="s">
        <v>669</v>
      </c>
      <c r="P34" t="s">
        <v>670</v>
      </c>
      <c r="Q34" t="s">
        <v>509</v>
      </c>
      <c r="R34" t="s">
        <v>611</v>
      </c>
      <c r="S34" t="s">
        <v>671</v>
      </c>
      <c r="T34" t="s">
        <v>613</v>
      </c>
      <c r="U34">
        <v>107200</v>
      </c>
      <c r="V34" t="s">
        <v>714</v>
      </c>
      <c r="W34" t="s">
        <v>673</v>
      </c>
      <c r="X34" t="s">
        <v>616</v>
      </c>
      <c r="Y34" t="s">
        <v>617</v>
      </c>
      <c r="Z34" t="s">
        <v>618</v>
      </c>
      <c r="AA34" t="s">
        <v>619</v>
      </c>
      <c r="AB34" t="s">
        <v>620</v>
      </c>
      <c r="AC34">
        <v>99181</v>
      </c>
      <c r="AD34" t="s">
        <v>680</v>
      </c>
      <c r="AE34">
        <v>-35.726097019999997</v>
      </c>
      <c r="AF34">
        <v>174.34387984</v>
      </c>
      <c r="AG34" s="175">
        <v>40</v>
      </c>
      <c r="AH34" s="175">
        <v>0</v>
      </c>
      <c r="AI34" s="175">
        <v>0</v>
      </c>
      <c r="AJ34" s="175">
        <v>0</v>
      </c>
      <c r="AK34" s="175">
        <v>4</v>
      </c>
      <c r="AL34" s="175">
        <v>18</v>
      </c>
      <c r="AM34" s="175">
        <v>24</v>
      </c>
      <c r="AN34" s="175">
        <v>5</v>
      </c>
      <c r="AO34" s="175">
        <v>51</v>
      </c>
      <c r="AP34" s="175">
        <v>43</v>
      </c>
      <c r="AQ34" s="175">
        <v>17</v>
      </c>
      <c r="AR34" s="175">
        <v>2</v>
      </c>
      <c r="AS34" s="175">
        <v>4</v>
      </c>
      <c r="AT34" s="175">
        <v>0</v>
      </c>
    </row>
    <row r="35" spans="1:46">
      <c r="A35">
        <v>5019</v>
      </c>
      <c r="B35" t="s">
        <v>715</v>
      </c>
      <c r="C35" t="s">
        <v>716</v>
      </c>
      <c r="D35" t="s">
        <v>602</v>
      </c>
      <c r="E35" t="s">
        <v>717</v>
      </c>
      <c r="F35" t="s">
        <v>667</v>
      </c>
      <c r="G35" t="s">
        <v>668</v>
      </c>
      <c r="H35" t="s">
        <v>452</v>
      </c>
      <c r="J35" t="s">
        <v>605</v>
      </c>
      <c r="K35" t="s">
        <v>606</v>
      </c>
      <c r="M35" t="s">
        <v>607</v>
      </c>
      <c r="N35" t="s">
        <v>608</v>
      </c>
      <c r="O35" t="s">
        <v>669</v>
      </c>
      <c r="P35" t="s">
        <v>670</v>
      </c>
      <c r="Q35" t="s">
        <v>509</v>
      </c>
      <c r="R35" t="s">
        <v>611</v>
      </c>
      <c r="S35" t="s">
        <v>671</v>
      </c>
      <c r="T35" t="s">
        <v>613</v>
      </c>
      <c r="U35">
        <v>106201</v>
      </c>
      <c r="V35" t="s">
        <v>672</v>
      </c>
      <c r="W35" t="s">
        <v>673</v>
      </c>
      <c r="X35" t="s">
        <v>616</v>
      </c>
      <c r="Y35" t="s">
        <v>617</v>
      </c>
      <c r="Z35" t="s">
        <v>618</v>
      </c>
      <c r="AA35" t="s">
        <v>619</v>
      </c>
      <c r="AB35" t="s">
        <v>620</v>
      </c>
      <c r="AC35">
        <v>99182</v>
      </c>
      <c r="AD35" t="s">
        <v>674</v>
      </c>
      <c r="AE35">
        <v>-35.686043820000002</v>
      </c>
      <c r="AF35">
        <v>174.32513551</v>
      </c>
      <c r="AG35" s="175">
        <v>40</v>
      </c>
      <c r="AH35" s="175">
        <v>0</v>
      </c>
      <c r="AI35" s="175">
        <v>0</v>
      </c>
      <c r="AJ35" s="175">
        <v>0</v>
      </c>
      <c r="AK35" s="175">
        <v>0</v>
      </c>
      <c r="AL35" s="175">
        <v>16</v>
      </c>
      <c r="AM35" s="175">
        <v>22</v>
      </c>
      <c r="AN35" s="175">
        <v>0</v>
      </c>
      <c r="AO35" s="175">
        <v>38</v>
      </c>
      <c r="AP35" s="175">
        <v>15</v>
      </c>
      <c r="AQ35" s="175">
        <v>29</v>
      </c>
      <c r="AR35" s="175">
        <v>5</v>
      </c>
      <c r="AS35" s="175">
        <v>2</v>
      </c>
      <c r="AT35" s="175">
        <v>0</v>
      </c>
    </row>
    <row r="36" spans="1:46">
      <c r="A36">
        <v>5020</v>
      </c>
      <c r="B36" t="s">
        <v>718</v>
      </c>
      <c r="C36" t="s">
        <v>719</v>
      </c>
      <c r="D36" t="s">
        <v>720</v>
      </c>
      <c r="E36" t="s">
        <v>721</v>
      </c>
      <c r="G36" t="s">
        <v>722</v>
      </c>
      <c r="H36" t="s">
        <v>452</v>
      </c>
      <c r="J36" t="s">
        <v>605</v>
      </c>
      <c r="K36" t="s">
        <v>606</v>
      </c>
      <c r="M36" t="s">
        <v>607</v>
      </c>
      <c r="N36" t="s">
        <v>643</v>
      </c>
      <c r="O36" t="s">
        <v>723</v>
      </c>
      <c r="P36" t="s">
        <v>610</v>
      </c>
      <c r="Q36" t="s">
        <v>467</v>
      </c>
      <c r="R36" t="s">
        <v>724</v>
      </c>
      <c r="S36" t="s">
        <v>725</v>
      </c>
      <c r="T36" t="s">
        <v>613</v>
      </c>
      <c r="U36">
        <v>110501</v>
      </c>
      <c r="V36" t="s">
        <v>722</v>
      </c>
      <c r="W36" t="s">
        <v>726</v>
      </c>
      <c r="X36" t="s">
        <v>727</v>
      </c>
      <c r="Y36" t="s">
        <v>728</v>
      </c>
      <c r="Z36" t="s">
        <v>729</v>
      </c>
      <c r="AA36" t="s">
        <v>730</v>
      </c>
      <c r="AB36" t="s">
        <v>731</v>
      </c>
      <c r="AE36">
        <v>-36.298798640000001</v>
      </c>
      <c r="AF36">
        <v>174.52306282000001</v>
      </c>
      <c r="AG36" s="175">
        <v>30</v>
      </c>
      <c r="AH36" s="175">
        <v>0</v>
      </c>
      <c r="AI36" s="175">
        <v>0</v>
      </c>
      <c r="AJ36" s="175">
        <v>0</v>
      </c>
      <c r="AK36" s="175">
        <v>3</v>
      </c>
      <c r="AL36" s="175">
        <v>13</v>
      </c>
      <c r="AM36" s="175">
        <v>20</v>
      </c>
      <c r="AN36" s="175">
        <v>0</v>
      </c>
      <c r="AO36" s="175">
        <v>36</v>
      </c>
      <c r="AP36" s="175">
        <v>36</v>
      </c>
      <c r="AQ36" s="175">
        <v>12</v>
      </c>
      <c r="AR36" s="175">
        <v>1</v>
      </c>
      <c r="AS36" s="175">
        <v>2</v>
      </c>
      <c r="AT36" s="175">
        <v>0</v>
      </c>
    </row>
    <row r="37" spans="1:46">
      <c r="A37">
        <v>5021</v>
      </c>
      <c r="B37" t="s">
        <v>732</v>
      </c>
      <c r="C37" t="s">
        <v>733</v>
      </c>
      <c r="D37" t="s">
        <v>734</v>
      </c>
      <c r="E37" t="s">
        <v>735</v>
      </c>
      <c r="F37" t="s">
        <v>736</v>
      </c>
      <c r="G37" t="s">
        <v>737</v>
      </c>
      <c r="H37" t="s">
        <v>452</v>
      </c>
      <c r="J37" t="s">
        <v>605</v>
      </c>
      <c r="K37" t="s">
        <v>606</v>
      </c>
      <c r="M37" t="s">
        <v>607</v>
      </c>
      <c r="N37" t="s">
        <v>657</v>
      </c>
      <c r="O37" t="s">
        <v>738</v>
      </c>
      <c r="P37" t="s">
        <v>739</v>
      </c>
      <c r="Q37" t="s">
        <v>467</v>
      </c>
      <c r="R37" t="s">
        <v>724</v>
      </c>
      <c r="S37" t="s">
        <v>740</v>
      </c>
      <c r="T37" t="s">
        <v>613</v>
      </c>
      <c r="U37">
        <v>117500</v>
      </c>
      <c r="V37" t="s">
        <v>741</v>
      </c>
      <c r="W37" t="s">
        <v>742</v>
      </c>
      <c r="X37" t="s">
        <v>743</v>
      </c>
      <c r="Y37" t="s">
        <v>744</v>
      </c>
      <c r="Z37" t="s">
        <v>745</v>
      </c>
      <c r="AA37" t="s">
        <v>746</v>
      </c>
      <c r="AC37">
        <v>99121</v>
      </c>
      <c r="AD37" t="s">
        <v>747</v>
      </c>
      <c r="AE37">
        <v>-36.700043299999997</v>
      </c>
      <c r="AF37">
        <v>174.73533655</v>
      </c>
      <c r="AG37" s="175">
        <v>40</v>
      </c>
      <c r="AH37" s="175">
        <v>0</v>
      </c>
      <c r="AI37" s="175">
        <v>0</v>
      </c>
      <c r="AJ37" s="175">
        <v>0</v>
      </c>
      <c r="AK37" s="175">
        <v>3</v>
      </c>
      <c r="AL37" s="175">
        <v>19</v>
      </c>
      <c r="AM37" s="175">
        <v>19</v>
      </c>
      <c r="AN37" s="175">
        <v>3</v>
      </c>
      <c r="AO37" s="175">
        <v>44</v>
      </c>
      <c r="AP37" s="175">
        <v>30</v>
      </c>
      <c r="AQ37" s="175">
        <v>2</v>
      </c>
      <c r="AR37" s="175">
        <v>2</v>
      </c>
      <c r="AS37" s="175">
        <v>15</v>
      </c>
      <c r="AT37" s="175">
        <v>4</v>
      </c>
    </row>
    <row r="38" spans="1:46">
      <c r="A38">
        <v>5022</v>
      </c>
      <c r="B38" t="s">
        <v>748</v>
      </c>
      <c r="C38" t="s">
        <v>749</v>
      </c>
      <c r="D38" t="s">
        <v>750</v>
      </c>
      <c r="E38" t="s">
        <v>751</v>
      </c>
      <c r="G38" t="s">
        <v>752</v>
      </c>
      <c r="H38" t="s">
        <v>452</v>
      </c>
      <c r="J38" t="s">
        <v>605</v>
      </c>
      <c r="K38" t="s">
        <v>606</v>
      </c>
      <c r="M38" t="s">
        <v>607</v>
      </c>
      <c r="N38" t="s">
        <v>657</v>
      </c>
      <c r="O38" t="s">
        <v>738</v>
      </c>
      <c r="P38" t="s">
        <v>670</v>
      </c>
      <c r="Q38" t="s">
        <v>467</v>
      </c>
      <c r="R38" t="s">
        <v>724</v>
      </c>
      <c r="S38" t="s">
        <v>753</v>
      </c>
      <c r="T38" t="s">
        <v>613</v>
      </c>
      <c r="U38">
        <v>112901</v>
      </c>
      <c r="V38" t="s">
        <v>754</v>
      </c>
      <c r="W38" t="s">
        <v>742</v>
      </c>
      <c r="X38" t="s">
        <v>743</v>
      </c>
      <c r="Y38" t="s">
        <v>744</v>
      </c>
      <c r="Z38" t="s">
        <v>745</v>
      </c>
      <c r="AA38" t="s">
        <v>746</v>
      </c>
      <c r="AC38">
        <v>99069</v>
      </c>
      <c r="AD38" t="s">
        <v>755</v>
      </c>
      <c r="AE38">
        <v>-36.591804529999997</v>
      </c>
      <c r="AF38">
        <v>174.68900848999999</v>
      </c>
      <c r="AG38" s="175">
        <v>40</v>
      </c>
      <c r="AH38" s="175">
        <v>0</v>
      </c>
      <c r="AI38" s="175">
        <v>0</v>
      </c>
      <c r="AJ38" s="175">
        <v>0</v>
      </c>
      <c r="AK38" s="175">
        <v>8</v>
      </c>
      <c r="AL38" s="175">
        <v>10</v>
      </c>
      <c r="AM38" s="175">
        <v>33</v>
      </c>
      <c r="AN38" s="175">
        <v>0</v>
      </c>
      <c r="AO38" s="175">
        <v>51</v>
      </c>
      <c r="AP38" s="175">
        <v>43</v>
      </c>
      <c r="AQ38" s="175">
        <v>6</v>
      </c>
      <c r="AR38" s="175">
        <v>4</v>
      </c>
      <c r="AS38" s="175">
        <v>11</v>
      </c>
      <c r="AT38" s="175">
        <v>2</v>
      </c>
    </row>
    <row r="39" spans="1:46">
      <c r="A39">
        <v>5023</v>
      </c>
      <c r="B39" t="s">
        <v>756</v>
      </c>
      <c r="C39" t="s">
        <v>757</v>
      </c>
      <c r="D39" t="s">
        <v>758</v>
      </c>
      <c r="E39" t="s">
        <v>759</v>
      </c>
      <c r="G39" t="s">
        <v>760</v>
      </c>
      <c r="H39" t="s">
        <v>452</v>
      </c>
      <c r="J39" t="s">
        <v>605</v>
      </c>
      <c r="K39" t="s">
        <v>606</v>
      </c>
      <c r="M39" t="s">
        <v>607</v>
      </c>
      <c r="N39" t="s">
        <v>657</v>
      </c>
      <c r="O39" t="s">
        <v>723</v>
      </c>
      <c r="P39" t="s">
        <v>610</v>
      </c>
      <c r="Q39" t="s">
        <v>467</v>
      </c>
      <c r="R39" t="s">
        <v>724</v>
      </c>
      <c r="S39" t="s">
        <v>725</v>
      </c>
      <c r="T39" t="s">
        <v>613</v>
      </c>
      <c r="U39">
        <v>111100</v>
      </c>
      <c r="V39" t="s">
        <v>761</v>
      </c>
      <c r="W39" t="s">
        <v>726</v>
      </c>
      <c r="X39" t="s">
        <v>743</v>
      </c>
      <c r="Y39" t="s">
        <v>744</v>
      </c>
      <c r="Z39" t="s">
        <v>745</v>
      </c>
      <c r="AA39" t="s">
        <v>746</v>
      </c>
      <c r="AE39">
        <v>-36.397483530000002</v>
      </c>
      <c r="AF39">
        <v>174.65346441</v>
      </c>
      <c r="AG39" s="175">
        <v>40</v>
      </c>
      <c r="AH39" s="175">
        <v>0</v>
      </c>
      <c r="AI39" s="175">
        <v>0</v>
      </c>
      <c r="AJ39" s="175">
        <v>0</v>
      </c>
      <c r="AK39" s="175">
        <v>6</v>
      </c>
      <c r="AL39" s="175">
        <v>17</v>
      </c>
      <c r="AM39" s="175">
        <v>22</v>
      </c>
      <c r="AN39" s="175">
        <v>3</v>
      </c>
      <c r="AO39" s="175">
        <v>48</v>
      </c>
      <c r="AP39" s="175">
        <v>41</v>
      </c>
      <c r="AQ39" s="175">
        <v>3</v>
      </c>
      <c r="AR39" s="175">
        <v>6</v>
      </c>
      <c r="AS39" s="175">
        <v>5</v>
      </c>
      <c r="AT39" s="175">
        <v>0</v>
      </c>
    </row>
    <row r="40" spans="1:46">
      <c r="A40">
        <v>5024</v>
      </c>
      <c r="B40" t="s">
        <v>762</v>
      </c>
      <c r="C40" t="s">
        <v>763</v>
      </c>
      <c r="D40" t="s">
        <v>764</v>
      </c>
      <c r="E40" t="s">
        <v>765</v>
      </c>
      <c r="F40" t="s">
        <v>766</v>
      </c>
      <c r="G40" t="s">
        <v>737</v>
      </c>
      <c r="H40" t="s">
        <v>452</v>
      </c>
      <c r="J40" t="s">
        <v>605</v>
      </c>
      <c r="K40" t="s">
        <v>606</v>
      </c>
      <c r="M40" t="s">
        <v>607</v>
      </c>
      <c r="N40" t="s">
        <v>657</v>
      </c>
      <c r="O40" t="s">
        <v>738</v>
      </c>
      <c r="P40" t="s">
        <v>739</v>
      </c>
      <c r="Q40" t="s">
        <v>467</v>
      </c>
      <c r="R40" t="s">
        <v>724</v>
      </c>
      <c r="S40" t="s">
        <v>767</v>
      </c>
      <c r="T40" t="s">
        <v>613</v>
      </c>
      <c r="U40">
        <v>120500</v>
      </c>
      <c r="V40" t="s">
        <v>768</v>
      </c>
      <c r="W40" t="s">
        <v>742</v>
      </c>
      <c r="X40" t="s">
        <v>743</v>
      </c>
      <c r="Y40" t="s">
        <v>744</v>
      </c>
      <c r="Z40" t="s">
        <v>745</v>
      </c>
      <c r="AA40" t="s">
        <v>746</v>
      </c>
      <c r="AC40">
        <v>99000</v>
      </c>
      <c r="AD40" t="s">
        <v>769</v>
      </c>
      <c r="AE40">
        <v>-36.736531560000003</v>
      </c>
      <c r="AF40">
        <v>174.74892718999999</v>
      </c>
      <c r="AG40" s="175">
        <v>40</v>
      </c>
      <c r="AH40" s="175">
        <v>0</v>
      </c>
      <c r="AI40" s="175">
        <v>0</v>
      </c>
      <c r="AJ40" s="175">
        <v>0</v>
      </c>
      <c r="AK40" s="175">
        <v>0</v>
      </c>
      <c r="AL40" s="175">
        <v>26</v>
      </c>
      <c r="AM40" s="175">
        <v>34</v>
      </c>
      <c r="AN40" s="175">
        <v>3</v>
      </c>
      <c r="AO40" s="175">
        <v>63</v>
      </c>
      <c r="AP40" s="175">
        <v>52</v>
      </c>
      <c r="AQ40" s="175">
        <v>4</v>
      </c>
      <c r="AR40" s="175">
        <v>2</v>
      </c>
      <c r="AS40" s="175">
        <v>12</v>
      </c>
      <c r="AT40" s="175">
        <v>5</v>
      </c>
    </row>
    <row r="41" spans="1:46">
      <c r="A41">
        <v>5025</v>
      </c>
      <c r="B41" t="s">
        <v>770</v>
      </c>
      <c r="C41" t="s">
        <v>771</v>
      </c>
      <c r="D41" t="s">
        <v>772</v>
      </c>
      <c r="E41" t="s">
        <v>773</v>
      </c>
      <c r="F41" t="s">
        <v>745</v>
      </c>
      <c r="G41" t="s">
        <v>737</v>
      </c>
      <c r="H41" t="s">
        <v>452</v>
      </c>
      <c r="J41" t="s">
        <v>605</v>
      </c>
      <c r="K41" t="s">
        <v>606</v>
      </c>
      <c r="M41" t="s">
        <v>607</v>
      </c>
      <c r="N41" t="s">
        <v>657</v>
      </c>
      <c r="O41" t="s">
        <v>738</v>
      </c>
      <c r="P41" t="s">
        <v>739</v>
      </c>
      <c r="Q41" t="s">
        <v>467</v>
      </c>
      <c r="R41" t="s">
        <v>724</v>
      </c>
      <c r="S41" t="s">
        <v>740</v>
      </c>
      <c r="T41" t="s">
        <v>613</v>
      </c>
      <c r="U41">
        <v>118300</v>
      </c>
      <c r="V41" t="s">
        <v>774</v>
      </c>
      <c r="W41" t="s">
        <v>742</v>
      </c>
      <c r="X41" t="s">
        <v>743</v>
      </c>
      <c r="Y41" t="s">
        <v>744</v>
      </c>
      <c r="Z41" t="s">
        <v>745</v>
      </c>
      <c r="AA41" t="s">
        <v>746</v>
      </c>
      <c r="AC41">
        <v>99000</v>
      </c>
      <c r="AD41" t="s">
        <v>769</v>
      </c>
      <c r="AE41">
        <v>-36.71550938</v>
      </c>
      <c r="AF41">
        <v>174.74181067999999</v>
      </c>
      <c r="AG41" s="175">
        <v>40</v>
      </c>
      <c r="AH41" s="175">
        <v>0</v>
      </c>
      <c r="AI41" s="175">
        <v>0</v>
      </c>
      <c r="AJ41" s="175">
        <v>0</v>
      </c>
      <c r="AK41" s="175">
        <v>1</v>
      </c>
      <c r="AL41" s="175">
        <v>26</v>
      </c>
      <c r="AM41" s="175">
        <v>26</v>
      </c>
      <c r="AN41" s="175">
        <v>1</v>
      </c>
      <c r="AO41" s="175">
        <v>54</v>
      </c>
      <c r="AP41" s="175">
        <v>26</v>
      </c>
      <c r="AQ41" s="175">
        <v>2</v>
      </c>
      <c r="AR41" s="175">
        <v>0</v>
      </c>
      <c r="AS41" s="175">
        <v>30</v>
      </c>
      <c r="AT41" s="175">
        <v>5</v>
      </c>
    </row>
    <row r="42" spans="1:46">
      <c r="A42">
        <v>5026</v>
      </c>
      <c r="B42" t="s">
        <v>775</v>
      </c>
      <c r="C42" t="s">
        <v>776</v>
      </c>
      <c r="D42" t="s">
        <v>777</v>
      </c>
      <c r="E42" t="s">
        <v>778</v>
      </c>
      <c r="F42" t="s">
        <v>736</v>
      </c>
      <c r="G42" t="s">
        <v>737</v>
      </c>
      <c r="H42" t="s">
        <v>452</v>
      </c>
      <c r="J42" t="s">
        <v>605</v>
      </c>
      <c r="K42" t="s">
        <v>606</v>
      </c>
      <c r="M42" t="s">
        <v>607</v>
      </c>
      <c r="N42" t="s">
        <v>657</v>
      </c>
      <c r="O42" t="s">
        <v>738</v>
      </c>
      <c r="P42" t="s">
        <v>739</v>
      </c>
      <c r="Q42" t="s">
        <v>467</v>
      </c>
      <c r="R42" t="s">
        <v>724</v>
      </c>
      <c r="S42" t="s">
        <v>740</v>
      </c>
      <c r="T42" t="s">
        <v>613</v>
      </c>
      <c r="U42">
        <v>117202</v>
      </c>
      <c r="V42" t="s">
        <v>779</v>
      </c>
      <c r="W42" t="s">
        <v>742</v>
      </c>
      <c r="X42" t="s">
        <v>743</v>
      </c>
      <c r="Y42" t="s">
        <v>744</v>
      </c>
      <c r="Z42" t="s">
        <v>745</v>
      </c>
      <c r="AA42" t="s">
        <v>746</v>
      </c>
      <c r="AC42">
        <v>99121</v>
      </c>
      <c r="AD42" t="s">
        <v>747</v>
      </c>
      <c r="AE42">
        <v>-36.699170080000002</v>
      </c>
      <c r="AF42">
        <v>174.75061436999999</v>
      </c>
      <c r="AG42" s="175">
        <v>40</v>
      </c>
      <c r="AH42" s="175">
        <v>0</v>
      </c>
      <c r="AI42" s="175">
        <v>0</v>
      </c>
      <c r="AJ42" s="175">
        <v>0</v>
      </c>
      <c r="AK42" s="175">
        <v>3</v>
      </c>
      <c r="AL42" s="175">
        <v>19</v>
      </c>
      <c r="AM42" s="175">
        <v>35</v>
      </c>
      <c r="AN42" s="175">
        <v>1</v>
      </c>
      <c r="AO42" s="175">
        <v>58</v>
      </c>
      <c r="AP42" s="175">
        <v>50</v>
      </c>
      <c r="AQ42" s="175">
        <v>5</v>
      </c>
      <c r="AR42" s="175">
        <v>1</v>
      </c>
      <c r="AS42" s="175">
        <v>11</v>
      </c>
      <c r="AT42" s="175">
        <v>0</v>
      </c>
    </row>
    <row r="43" spans="1:46">
      <c r="A43">
        <v>5027</v>
      </c>
      <c r="B43" t="s">
        <v>780</v>
      </c>
      <c r="C43" t="s">
        <v>781</v>
      </c>
      <c r="D43" t="s">
        <v>782</v>
      </c>
      <c r="E43" t="s">
        <v>783</v>
      </c>
      <c r="G43" t="s">
        <v>784</v>
      </c>
      <c r="H43" t="s">
        <v>452</v>
      </c>
      <c r="J43" t="s">
        <v>605</v>
      </c>
      <c r="K43" t="s">
        <v>606</v>
      </c>
      <c r="M43" t="s">
        <v>607</v>
      </c>
      <c r="N43" t="s">
        <v>657</v>
      </c>
      <c r="O43" t="s">
        <v>738</v>
      </c>
      <c r="P43" t="s">
        <v>670</v>
      </c>
      <c r="Q43" t="s">
        <v>467</v>
      </c>
      <c r="R43" t="s">
        <v>724</v>
      </c>
      <c r="S43" t="s">
        <v>753</v>
      </c>
      <c r="T43" t="s">
        <v>613</v>
      </c>
      <c r="U43">
        <v>114600</v>
      </c>
      <c r="V43" t="s">
        <v>785</v>
      </c>
      <c r="W43" t="s">
        <v>742</v>
      </c>
      <c r="X43" t="s">
        <v>743</v>
      </c>
      <c r="Y43" t="s">
        <v>744</v>
      </c>
      <c r="Z43" t="s">
        <v>745</v>
      </c>
      <c r="AA43" t="s">
        <v>746</v>
      </c>
      <c r="AC43">
        <v>99095</v>
      </c>
      <c r="AD43" t="s">
        <v>786</v>
      </c>
      <c r="AE43">
        <v>-36.624387650000003</v>
      </c>
      <c r="AF43">
        <v>174.72840158</v>
      </c>
      <c r="AG43" s="175">
        <v>40</v>
      </c>
      <c r="AH43" s="175">
        <v>0</v>
      </c>
      <c r="AI43" s="175">
        <v>0</v>
      </c>
      <c r="AJ43" s="175">
        <v>0</v>
      </c>
      <c r="AK43" s="175">
        <v>6</v>
      </c>
      <c r="AL43" s="175">
        <v>21</v>
      </c>
      <c r="AM43" s="175">
        <v>20</v>
      </c>
      <c r="AN43" s="175">
        <v>6</v>
      </c>
      <c r="AO43" s="175">
        <v>53</v>
      </c>
      <c r="AP43" s="175">
        <v>50</v>
      </c>
      <c r="AQ43" s="175">
        <v>10</v>
      </c>
      <c r="AR43" s="175">
        <v>7</v>
      </c>
      <c r="AS43" s="175">
        <v>4</v>
      </c>
      <c r="AT43" s="175">
        <v>1</v>
      </c>
    </row>
    <row r="44" spans="1:46">
      <c r="A44">
        <v>5028</v>
      </c>
      <c r="B44" t="s">
        <v>787</v>
      </c>
      <c r="C44" t="s">
        <v>788</v>
      </c>
      <c r="D44" t="s">
        <v>789</v>
      </c>
      <c r="E44" t="s">
        <v>790</v>
      </c>
      <c r="F44" t="s">
        <v>791</v>
      </c>
      <c r="G44" t="s">
        <v>737</v>
      </c>
      <c r="H44" t="s">
        <v>452</v>
      </c>
      <c r="J44" t="s">
        <v>605</v>
      </c>
      <c r="K44" t="s">
        <v>606</v>
      </c>
      <c r="M44" t="s">
        <v>607</v>
      </c>
      <c r="N44" t="s">
        <v>643</v>
      </c>
      <c r="O44" t="s">
        <v>792</v>
      </c>
      <c r="P44" t="s">
        <v>739</v>
      </c>
      <c r="Q44" t="s">
        <v>467</v>
      </c>
      <c r="R44" t="s">
        <v>793</v>
      </c>
      <c r="S44" t="s">
        <v>791</v>
      </c>
      <c r="T44" t="s">
        <v>794</v>
      </c>
      <c r="U44">
        <v>149001</v>
      </c>
      <c r="V44" t="s">
        <v>795</v>
      </c>
      <c r="W44" t="s">
        <v>796</v>
      </c>
      <c r="X44" t="s">
        <v>727</v>
      </c>
      <c r="Y44" t="s">
        <v>728</v>
      </c>
      <c r="Z44" t="s">
        <v>729</v>
      </c>
      <c r="AA44" t="s">
        <v>730</v>
      </c>
      <c r="AB44" t="s">
        <v>731</v>
      </c>
      <c r="AC44">
        <v>99098</v>
      </c>
      <c r="AD44" t="s">
        <v>797</v>
      </c>
      <c r="AE44">
        <v>-36.919120659999997</v>
      </c>
      <c r="AF44">
        <v>174.86696882000001</v>
      </c>
      <c r="AG44" s="175">
        <v>40</v>
      </c>
      <c r="AH44" s="175">
        <v>0</v>
      </c>
      <c r="AI44" s="175">
        <v>0</v>
      </c>
      <c r="AJ44" s="175">
        <v>0</v>
      </c>
      <c r="AK44" s="175">
        <v>4</v>
      </c>
      <c r="AL44" s="175">
        <v>17</v>
      </c>
      <c r="AM44" s="175">
        <v>25</v>
      </c>
      <c r="AN44" s="175">
        <v>2</v>
      </c>
      <c r="AO44" s="175">
        <v>48</v>
      </c>
      <c r="AP44" s="175">
        <v>26</v>
      </c>
      <c r="AQ44" s="175">
        <v>12</v>
      </c>
      <c r="AR44" s="175">
        <v>5</v>
      </c>
      <c r="AS44" s="175">
        <v>23</v>
      </c>
      <c r="AT44" s="175">
        <v>1</v>
      </c>
    </row>
    <row r="45" spans="1:46">
      <c r="A45">
        <v>5029</v>
      </c>
      <c r="B45" t="s">
        <v>798</v>
      </c>
      <c r="C45" t="s">
        <v>799</v>
      </c>
      <c r="D45" t="s">
        <v>800</v>
      </c>
      <c r="E45" t="s">
        <v>801</v>
      </c>
      <c r="F45" t="s">
        <v>802</v>
      </c>
      <c r="G45" t="s">
        <v>737</v>
      </c>
      <c r="H45" t="s">
        <v>452</v>
      </c>
      <c r="J45" t="s">
        <v>605</v>
      </c>
      <c r="K45" t="s">
        <v>606</v>
      </c>
      <c r="M45" t="s">
        <v>607</v>
      </c>
      <c r="N45" t="s">
        <v>625</v>
      </c>
      <c r="O45" t="s">
        <v>803</v>
      </c>
      <c r="P45" t="s">
        <v>739</v>
      </c>
      <c r="Q45" t="s">
        <v>467</v>
      </c>
      <c r="R45" t="s">
        <v>793</v>
      </c>
      <c r="S45" t="s">
        <v>804</v>
      </c>
      <c r="T45" t="s">
        <v>794</v>
      </c>
      <c r="U45">
        <v>132001</v>
      </c>
      <c r="V45" t="s">
        <v>805</v>
      </c>
      <c r="W45" t="s">
        <v>806</v>
      </c>
      <c r="X45" t="s">
        <v>727</v>
      </c>
      <c r="Y45" t="s">
        <v>728</v>
      </c>
      <c r="Z45" t="s">
        <v>729</v>
      </c>
      <c r="AA45" t="s">
        <v>730</v>
      </c>
      <c r="AB45" t="s">
        <v>731</v>
      </c>
      <c r="AE45">
        <v>-36.890196879999998</v>
      </c>
      <c r="AF45">
        <v>174.6874152</v>
      </c>
      <c r="AG45" s="175">
        <v>40</v>
      </c>
      <c r="AH45" s="175">
        <v>0</v>
      </c>
      <c r="AI45" s="175">
        <v>0</v>
      </c>
      <c r="AJ45" s="175">
        <v>0</v>
      </c>
      <c r="AK45" s="175">
        <v>1</v>
      </c>
      <c r="AL45" s="175">
        <v>13</v>
      </c>
      <c r="AM45" s="175">
        <v>35</v>
      </c>
      <c r="AN45" s="175">
        <v>1</v>
      </c>
      <c r="AO45" s="175">
        <v>50</v>
      </c>
      <c r="AP45" s="175">
        <v>14</v>
      </c>
      <c r="AQ45" s="175">
        <v>9</v>
      </c>
      <c r="AR45" s="175">
        <v>25</v>
      </c>
      <c r="AS45" s="175">
        <v>17</v>
      </c>
      <c r="AT45" s="175">
        <v>4</v>
      </c>
    </row>
    <row r="46" spans="1:46">
      <c r="A46">
        <v>5030</v>
      </c>
      <c r="B46" t="s">
        <v>807</v>
      </c>
      <c r="C46" t="s">
        <v>808</v>
      </c>
      <c r="D46" t="s">
        <v>809</v>
      </c>
      <c r="E46" t="s">
        <v>810</v>
      </c>
      <c r="F46" t="s">
        <v>811</v>
      </c>
      <c r="G46" t="s">
        <v>737</v>
      </c>
      <c r="H46" t="s">
        <v>452</v>
      </c>
      <c r="J46" t="s">
        <v>605</v>
      </c>
      <c r="K46" t="s">
        <v>606</v>
      </c>
      <c r="M46" t="s">
        <v>607</v>
      </c>
      <c r="N46" t="s">
        <v>812</v>
      </c>
      <c r="O46" t="s">
        <v>813</v>
      </c>
      <c r="P46" t="s">
        <v>739</v>
      </c>
      <c r="Q46" t="s">
        <v>467</v>
      </c>
      <c r="R46" t="s">
        <v>814</v>
      </c>
      <c r="S46" t="s">
        <v>815</v>
      </c>
      <c r="T46" t="s">
        <v>794</v>
      </c>
      <c r="U46">
        <v>153500</v>
      </c>
      <c r="V46" t="s">
        <v>816</v>
      </c>
      <c r="W46" t="s">
        <v>817</v>
      </c>
      <c r="X46" t="s">
        <v>727</v>
      </c>
      <c r="Y46" t="s">
        <v>728</v>
      </c>
      <c r="Z46" t="s">
        <v>729</v>
      </c>
      <c r="AA46" t="s">
        <v>730</v>
      </c>
      <c r="AB46" t="s">
        <v>731</v>
      </c>
      <c r="AE46">
        <v>-36.960097359999999</v>
      </c>
      <c r="AF46">
        <v>174.86638790000001</v>
      </c>
      <c r="AG46" s="175">
        <v>30</v>
      </c>
      <c r="AH46" s="175">
        <v>0</v>
      </c>
      <c r="AI46" s="175">
        <v>0</v>
      </c>
      <c r="AJ46" s="175">
        <v>0</v>
      </c>
      <c r="AK46" s="175">
        <v>1</v>
      </c>
      <c r="AL46" s="175">
        <v>6</v>
      </c>
      <c r="AM46" s="175">
        <v>10</v>
      </c>
      <c r="AN46" s="175">
        <v>1</v>
      </c>
      <c r="AO46" s="175">
        <v>18</v>
      </c>
      <c r="AP46" s="175">
        <v>2</v>
      </c>
      <c r="AQ46" s="175">
        <v>8</v>
      </c>
      <c r="AR46" s="175">
        <v>16</v>
      </c>
      <c r="AS46" s="175">
        <v>0</v>
      </c>
      <c r="AT46" s="175">
        <v>0</v>
      </c>
    </row>
    <row r="47" spans="1:46">
      <c r="A47">
        <v>5031</v>
      </c>
      <c r="B47" t="s">
        <v>818</v>
      </c>
      <c r="C47" t="s">
        <v>819</v>
      </c>
      <c r="D47" t="s">
        <v>820</v>
      </c>
      <c r="E47" t="s">
        <v>821</v>
      </c>
      <c r="F47" t="s">
        <v>822</v>
      </c>
      <c r="G47" t="s">
        <v>737</v>
      </c>
      <c r="H47" t="s">
        <v>452</v>
      </c>
      <c r="J47" t="s">
        <v>605</v>
      </c>
      <c r="K47" t="s">
        <v>606</v>
      </c>
      <c r="M47" t="s">
        <v>607</v>
      </c>
      <c r="N47" t="s">
        <v>657</v>
      </c>
      <c r="O47" t="s">
        <v>823</v>
      </c>
      <c r="P47" t="s">
        <v>739</v>
      </c>
      <c r="Q47" t="s">
        <v>467</v>
      </c>
      <c r="R47" t="s">
        <v>724</v>
      </c>
      <c r="S47" t="s">
        <v>824</v>
      </c>
      <c r="T47" t="s">
        <v>613</v>
      </c>
      <c r="U47">
        <v>121401</v>
      </c>
      <c r="V47" t="s">
        <v>825</v>
      </c>
      <c r="W47" t="s">
        <v>826</v>
      </c>
      <c r="X47" t="s">
        <v>727</v>
      </c>
      <c r="Y47" t="s">
        <v>728</v>
      </c>
      <c r="Z47" t="s">
        <v>729</v>
      </c>
      <c r="AA47" t="s">
        <v>730</v>
      </c>
      <c r="AB47" t="s">
        <v>731</v>
      </c>
      <c r="AC47">
        <v>99120</v>
      </c>
      <c r="AD47" t="s">
        <v>827</v>
      </c>
      <c r="AE47">
        <v>-36.772087900000002</v>
      </c>
      <c r="AF47">
        <v>174.70538442</v>
      </c>
      <c r="AG47" s="175">
        <v>40</v>
      </c>
      <c r="AH47" s="175">
        <v>0</v>
      </c>
      <c r="AI47" s="175">
        <v>0</v>
      </c>
      <c r="AJ47" s="175">
        <v>0</v>
      </c>
      <c r="AK47" s="175">
        <v>2</v>
      </c>
      <c r="AL47" s="175">
        <v>18</v>
      </c>
      <c r="AM47" s="175">
        <v>25</v>
      </c>
      <c r="AN47" s="175">
        <v>0</v>
      </c>
      <c r="AO47" s="175">
        <v>45</v>
      </c>
      <c r="AP47" s="175">
        <v>20</v>
      </c>
      <c r="AQ47" s="175">
        <v>12</v>
      </c>
      <c r="AR47" s="175">
        <v>5</v>
      </c>
      <c r="AS47" s="175">
        <v>19</v>
      </c>
      <c r="AT47" s="175">
        <v>5</v>
      </c>
    </row>
    <row r="48" spans="1:46">
      <c r="A48">
        <v>5032</v>
      </c>
      <c r="B48" t="s">
        <v>828</v>
      </c>
      <c r="C48" t="s">
        <v>829</v>
      </c>
      <c r="D48" t="s">
        <v>830</v>
      </c>
      <c r="E48" t="s">
        <v>831</v>
      </c>
      <c r="F48" t="s">
        <v>832</v>
      </c>
      <c r="G48" t="s">
        <v>737</v>
      </c>
      <c r="H48" t="s">
        <v>452</v>
      </c>
      <c r="J48" t="s">
        <v>605</v>
      </c>
      <c r="K48" t="s">
        <v>606</v>
      </c>
      <c r="M48" t="s">
        <v>607</v>
      </c>
      <c r="N48" t="s">
        <v>657</v>
      </c>
      <c r="O48" t="s">
        <v>833</v>
      </c>
      <c r="P48" t="s">
        <v>739</v>
      </c>
      <c r="Q48" t="s">
        <v>467</v>
      </c>
      <c r="R48" t="s">
        <v>724</v>
      </c>
      <c r="S48" t="s">
        <v>767</v>
      </c>
      <c r="T48" t="s">
        <v>613</v>
      </c>
      <c r="U48">
        <v>129400</v>
      </c>
      <c r="V48" t="s">
        <v>834</v>
      </c>
      <c r="W48" t="s">
        <v>826</v>
      </c>
      <c r="X48" t="s">
        <v>727</v>
      </c>
      <c r="Y48" t="s">
        <v>728</v>
      </c>
      <c r="Z48" t="s">
        <v>729</v>
      </c>
      <c r="AA48" t="s">
        <v>730</v>
      </c>
      <c r="AB48" t="s">
        <v>731</v>
      </c>
      <c r="AC48">
        <v>99048</v>
      </c>
      <c r="AD48" t="s">
        <v>835</v>
      </c>
      <c r="AE48">
        <v>-36.812387229999999</v>
      </c>
      <c r="AF48">
        <v>174.78389878999999</v>
      </c>
      <c r="AG48" s="175">
        <v>40</v>
      </c>
      <c r="AH48" s="175">
        <v>0</v>
      </c>
      <c r="AI48" s="175">
        <v>0</v>
      </c>
      <c r="AJ48" s="175">
        <v>0</v>
      </c>
      <c r="AK48" s="175">
        <v>5</v>
      </c>
      <c r="AL48" s="175">
        <v>21</v>
      </c>
      <c r="AM48" s="175">
        <v>20</v>
      </c>
      <c r="AN48" s="175">
        <v>4</v>
      </c>
      <c r="AO48" s="175">
        <v>50</v>
      </c>
      <c r="AP48" s="175">
        <v>36</v>
      </c>
      <c r="AQ48" s="175">
        <v>4</v>
      </c>
      <c r="AR48" s="175">
        <v>5</v>
      </c>
      <c r="AS48" s="175">
        <v>12</v>
      </c>
      <c r="AT48" s="175">
        <v>4</v>
      </c>
    </row>
    <row r="49" spans="1:46">
      <c r="A49">
        <v>5033</v>
      </c>
      <c r="B49" t="s">
        <v>836</v>
      </c>
      <c r="C49" t="s">
        <v>837</v>
      </c>
      <c r="D49" t="s">
        <v>838</v>
      </c>
      <c r="E49" t="s">
        <v>839</v>
      </c>
      <c r="F49" t="s">
        <v>840</v>
      </c>
      <c r="G49" t="s">
        <v>737</v>
      </c>
      <c r="H49" t="s">
        <v>452</v>
      </c>
      <c r="J49" t="s">
        <v>605</v>
      </c>
      <c r="K49" t="s">
        <v>606</v>
      </c>
      <c r="M49" t="s">
        <v>607</v>
      </c>
      <c r="N49" t="s">
        <v>657</v>
      </c>
      <c r="O49" t="s">
        <v>823</v>
      </c>
      <c r="P49" t="s">
        <v>739</v>
      </c>
      <c r="Q49" t="s">
        <v>467</v>
      </c>
      <c r="R49" t="s">
        <v>724</v>
      </c>
      <c r="S49" t="s">
        <v>841</v>
      </c>
      <c r="T49" t="s">
        <v>613</v>
      </c>
      <c r="U49">
        <v>122400</v>
      </c>
      <c r="V49" t="s">
        <v>842</v>
      </c>
      <c r="W49" t="s">
        <v>826</v>
      </c>
      <c r="X49" t="s">
        <v>727</v>
      </c>
      <c r="Y49" t="s">
        <v>728</v>
      </c>
      <c r="Z49" t="s">
        <v>729</v>
      </c>
      <c r="AA49" t="s">
        <v>730</v>
      </c>
      <c r="AB49" t="s">
        <v>731</v>
      </c>
      <c r="AC49">
        <v>99214</v>
      </c>
      <c r="AD49" t="s">
        <v>843</v>
      </c>
      <c r="AE49">
        <v>-36.790652389999998</v>
      </c>
      <c r="AF49">
        <v>174.69257214999999</v>
      </c>
      <c r="AG49" s="175">
        <v>40</v>
      </c>
      <c r="AH49" s="175">
        <v>0</v>
      </c>
      <c r="AI49" s="175">
        <v>0</v>
      </c>
      <c r="AJ49" s="175">
        <v>0</v>
      </c>
      <c r="AK49" s="175">
        <v>3</v>
      </c>
      <c r="AL49" s="175">
        <v>16</v>
      </c>
      <c r="AM49" s="175">
        <v>26</v>
      </c>
      <c r="AN49" s="175">
        <v>3</v>
      </c>
      <c r="AO49" s="175">
        <v>48</v>
      </c>
      <c r="AP49" s="175">
        <v>31</v>
      </c>
      <c r="AQ49" s="175">
        <v>13</v>
      </c>
      <c r="AR49" s="175">
        <v>13</v>
      </c>
      <c r="AS49" s="175">
        <v>6</v>
      </c>
      <c r="AT49" s="175">
        <v>3</v>
      </c>
    </row>
    <row r="50" spans="1:46">
      <c r="A50">
        <v>5034</v>
      </c>
      <c r="B50" t="s">
        <v>844</v>
      </c>
      <c r="C50" t="s">
        <v>845</v>
      </c>
      <c r="D50" t="s">
        <v>846</v>
      </c>
      <c r="E50" t="s">
        <v>847</v>
      </c>
      <c r="F50" t="s">
        <v>848</v>
      </c>
      <c r="G50" t="s">
        <v>737</v>
      </c>
      <c r="H50" t="s">
        <v>452</v>
      </c>
      <c r="J50" t="s">
        <v>605</v>
      </c>
      <c r="K50" t="s">
        <v>606</v>
      </c>
      <c r="M50" t="s">
        <v>607</v>
      </c>
      <c r="N50" t="s">
        <v>657</v>
      </c>
      <c r="O50" t="s">
        <v>823</v>
      </c>
      <c r="P50" t="s">
        <v>739</v>
      </c>
      <c r="Q50" t="s">
        <v>467</v>
      </c>
      <c r="R50" t="s">
        <v>724</v>
      </c>
      <c r="S50" t="s">
        <v>841</v>
      </c>
      <c r="T50" t="s">
        <v>613</v>
      </c>
      <c r="U50">
        <v>127400</v>
      </c>
      <c r="V50" t="s">
        <v>849</v>
      </c>
      <c r="W50" t="s">
        <v>826</v>
      </c>
      <c r="X50" t="s">
        <v>727</v>
      </c>
      <c r="Y50" t="s">
        <v>728</v>
      </c>
      <c r="Z50" t="s">
        <v>729</v>
      </c>
      <c r="AA50" t="s">
        <v>730</v>
      </c>
      <c r="AB50" t="s">
        <v>731</v>
      </c>
      <c r="AE50">
        <v>-36.811399889999997</v>
      </c>
      <c r="AF50">
        <v>174.72144019000001</v>
      </c>
      <c r="AG50" s="175">
        <v>40</v>
      </c>
      <c r="AH50" s="175">
        <v>0</v>
      </c>
      <c r="AI50" s="175">
        <v>0</v>
      </c>
      <c r="AJ50" s="175">
        <v>0</v>
      </c>
      <c r="AK50" s="175">
        <v>6</v>
      </c>
      <c r="AL50" s="175">
        <v>17</v>
      </c>
      <c r="AM50" s="175">
        <v>21</v>
      </c>
      <c r="AN50" s="175">
        <v>2</v>
      </c>
      <c r="AO50" s="175">
        <v>46</v>
      </c>
      <c r="AP50" s="175">
        <v>28</v>
      </c>
      <c r="AQ50" s="175">
        <v>4</v>
      </c>
      <c r="AR50" s="175">
        <v>5</v>
      </c>
      <c r="AS50" s="175">
        <v>16</v>
      </c>
      <c r="AT50" s="175">
        <v>4</v>
      </c>
    </row>
    <row r="51" spans="1:46">
      <c r="A51">
        <v>5035</v>
      </c>
      <c r="B51" t="s">
        <v>850</v>
      </c>
      <c r="C51" t="s">
        <v>851</v>
      </c>
      <c r="D51" t="s">
        <v>852</v>
      </c>
      <c r="E51" t="s">
        <v>853</v>
      </c>
      <c r="F51" t="s">
        <v>854</v>
      </c>
      <c r="G51" t="s">
        <v>737</v>
      </c>
      <c r="H51" t="s">
        <v>452</v>
      </c>
      <c r="J51" t="s">
        <v>605</v>
      </c>
      <c r="K51" t="s">
        <v>606</v>
      </c>
      <c r="M51" t="s">
        <v>607</v>
      </c>
      <c r="N51" t="s">
        <v>657</v>
      </c>
      <c r="O51" t="s">
        <v>803</v>
      </c>
      <c r="P51" t="s">
        <v>739</v>
      </c>
      <c r="Q51" t="s">
        <v>467</v>
      </c>
      <c r="R51" t="s">
        <v>793</v>
      </c>
      <c r="S51" t="s">
        <v>855</v>
      </c>
      <c r="T51" t="s">
        <v>794</v>
      </c>
      <c r="U51">
        <v>137202</v>
      </c>
      <c r="V51" t="s">
        <v>856</v>
      </c>
      <c r="W51" t="s">
        <v>806</v>
      </c>
      <c r="X51" t="s">
        <v>727</v>
      </c>
      <c r="Y51" t="s">
        <v>728</v>
      </c>
      <c r="Z51" t="s">
        <v>729</v>
      </c>
      <c r="AA51" t="s">
        <v>730</v>
      </c>
      <c r="AB51" t="s">
        <v>731</v>
      </c>
      <c r="AC51">
        <v>99012</v>
      </c>
      <c r="AD51" t="s">
        <v>857</v>
      </c>
      <c r="AE51">
        <v>-36.92185585</v>
      </c>
      <c r="AF51">
        <v>174.70233521</v>
      </c>
      <c r="AG51" s="175">
        <v>40</v>
      </c>
      <c r="AH51" s="175">
        <v>0</v>
      </c>
      <c r="AI51" s="175">
        <v>0</v>
      </c>
      <c r="AJ51" s="175">
        <v>0</v>
      </c>
      <c r="AK51" s="175">
        <v>7</v>
      </c>
      <c r="AL51" s="175">
        <v>22</v>
      </c>
      <c r="AM51" s="175">
        <v>21</v>
      </c>
      <c r="AN51" s="175">
        <v>0</v>
      </c>
      <c r="AO51" s="175">
        <v>50</v>
      </c>
      <c r="AP51" s="175">
        <v>12</v>
      </c>
      <c r="AQ51" s="175">
        <v>5</v>
      </c>
      <c r="AR51" s="175">
        <v>7</v>
      </c>
      <c r="AS51" s="175">
        <v>36</v>
      </c>
      <c r="AT51" s="175">
        <v>4</v>
      </c>
    </row>
    <row r="52" spans="1:46">
      <c r="A52">
        <v>5036</v>
      </c>
      <c r="B52" t="s">
        <v>858</v>
      </c>
      <c r="C52" t="s">
        <v>859</v>
      </c>
      <c r="D52" t="s">
        <v>860</v>
      </c>
      <c r="E52" t="s">
        <v>861</v>
      </c>
      <c r="F52" t="s">
        <v>862</v>
      </c>
      <c r="G52" t="s">
        <v>737</v>
      </c>
      <c r="H52" t="s">
        <v>452</v>
      </c>
      <c r="J52" t="s">
        <v>605</v>
      </c>
      <c r="K52" t="s">
        <v>606</v>
      </c>
      <c r="M52" t="s">
        <v>607</v>
      </c>
      <c r="N52" t="s">
        <v>657</v>
      </c>
      <c r="O52" t="s">
        <v>792</v>
      </c>
      <c r="P52" t="s">
        <v>739</v>
      </c>
      <c r="Q52" t="s">
        <v>467</v>
      </c>
      <c r="R52" t="s">
        <v>793</v>
      </c>
      <c r="S52" t="s">
        <v>863</v>
      </c>
      <c r="T52" t="s">
        <v>794</v>
      </c>
      <c r="U52">
        <v>152900</v>
      </c>
      <c r="V52" t="s">
        <v>864</v>
      </c>
      <c r="W52" t="s">
        <v>796</v>
      </c>
      <c r="X52" t="s">
        <v>727</v>
      </c>
      <c r="Y52" t="s">
        <v>728</v>
      </c>
      <c r="Z52" t="s">
        <v>729</v>
      </c>
      <c r="AA52" t="s">
        <v>730</v>
      </c>
      <c r="AB52" t="s">
        <v>731</v>
      </c>
      <c r="AC52">
        <v>99119</v>
      </c>
      <c r="AD52" t="s">
        <v>865</v>
      </c>
      <c r="AE52">
        <v>-36.910386639999999</v>
      </c>
      <c r="AF52">
        <v>174.92191905999999</v>
      </c>
      <c r="AG52" s="175">
        <v>40</v>
      </c>
      <c r="AH52" s="175">
        <v>0</v>
      </c>
      <c r="AI52" s="175">
        <v>0</v>
      </c>
      <c r="AJ52" s="175">
        <v>0</v>
      </c>
      <c r="AK52" s="175">
        <v>6</v>
      </c>
      <c r="AL52" s="175">
        <v>19</v>
      </c>
      <c r="AM52" s="175">
        <v>23</v>
      </c>
      <c r="AN52" s="175">
        <v>3</v>
      </c>
      <c r="AO52" s="175">
        <v>51</v>
      </c>
      <c r="AP52" s="175">
        <v>28</v>
      </c>
      <c r="AQ52" s="175">
        <v>3</v>
      </c>
      <c r="AR52" s="175">
        <v>8</v>
      </c>
      <c r="AS52" s="175">
        <v>21</v>
      </c>
      <c r="AT52" s="175">
        <v>3</v>
      </c>
    </row>
    <row r="53" spans="1:46">
      <c r="A53">
        <v>5037</v>
      </c>
      <c r="B53" t="s">
        <v>866</v>
      </c>
      <c r="C53" t="s">
        <v>867</v>
      </c>
      <c r="D53" t="s">
        <v>868</v>
      </c>
      <c r="E53" t="s">
        <v>869</v>
      </c>
      <c r="F53" t="s">
        <v>822</v>
      </c>
      <c r="G53" t="s">
        <v>737</v>
      </c>
      <c r="H53" t="s">
        <v>452</v>
      </c>
      <c r="J53" t="s">
        <v>605</v>
      </c>
      <c r="K53" t="s">
        <v>606</v>
      </c>
      <c r="M53" t="s">
        <v>607</v>
      </c>
      <c r="N53" t="s">
        <v>657</v>
      </c>
      <c r="O53" t="s">
        <v>833</v>
      </c>
      <c r="P53" t="s">
        <v>739</v>
      </c>
      <c r="Q53" t="s">
        <v>467</v>
      </c>
      <c r="R53" t="s">
        <v>724</v>
      </c>
      <c r="S53" t="s">
        <v>767</v>
      </c>
      <c r="T53" t="s">
        <v>613</v>
      </c>
      <c r="U53">
        <v>121300</v>
      </c>
      <c r="V53" t="s">
        <v>870</v>
      </c>
      <c r="W53" t="s">
        <v>826</v>
      </c>
      <c r="X53" t="s">
        <v>727</v>
      </c>
      <c r="Y53" t="s">
        <v>728</v>
      </c>
      <c r="Z53" t="s">
        <v>729</v>
      </c>
      <c r="AA53" t="s">
        <v>730</v>
      </c>
      <c r="AB53" t="s">
        <v>731</v>
      </c>
      <c r="AC53">
        <v>99188</v>
      </c>
      <c r="AD53" t="s">
        <v>871</v>
      </c>
      <c r="AE53">
        <v>-36.754854190000003</v>
      </c>
      <c r="AF53">
        <v>174.74360088</v>
      </c>
      <c r="AG53" s="175">
        <v>40</v>
      </c>
      <c r="AH53" s="175">
        <v>0</v>
      </c>
      <c r="AI53" s="175">
        <v>0</v>
      </c>
      <c r="AJ53" s="175">
        <v>0</v>
      </c>
      <c r="AK53" s="175">
        <v>2</v>
      </c>
      <c r="AL53" s="175">
        <v>18</v>
      </c>
      <c r="AM53" s="175">
        <v>22</v>
      </c>
      <c r="AN53" s="175">
        <v>0</v>
      </c>
      <c r="AO53" s="175">
        <v>42</v>
      </c>
      <c r="AP53" s="175">
        <v>14</v>
      </c>
      <c r="AQ53" s="175">
        <v>7</v>
      </c>
      <c r="AR53" s="175">
        <v>5</v>
      </c>
      <c r="AS53" s="175">
        <v>22</v>
      </c>
      <c r="AT53" s="175">
        <v>3</v>
      </c>
    </row>
    <row r="54" spans="1:46">
      <c r="A54">
        <v>5038</v>
      </c>
      <c r="B54" t="s">
        <v>872</v>
      </c>
      <c r="C54" t="s">
        <v>873</v>
      </c>
      <c r="D54" t="s">
        <v>874</v>
      </c>
      <c r="E54" t="s">
        <v>875</v>
      </c>
      <c r="F54" t="s">
        <v>876</v>
      </c>
      <c r="G54" t="s">
        <v>737</v>
      </c>
      <c r="H54" t="s">
        <v>452</v>
      </c>
      <c r="J54" t="s">
        <v>605</v>
      </c>
      <c r="K54" t="s">
        <v>606</v>
      </c>
      <c r="M54" t="s">
        <v>607</v>
      </c>
      <c r="N54" t="s">
        <v>657</v>
      </c>
      <c r="O54" t="s">
        <v>792</v>
      </c>
      <c r="P54" t="s">
        <v>739</v>
      </c>
      <c r="Q54" t="s">
        <v>467</v>
      </c>
      <c r="R54" t="s">
        <v>793</v>
      </c>
      <c r="S54" t="s">
        <v>791</v>
      </c>
      <c r="T54" t="s">
        <v>794</v>
      </c>
      <c r="U54">
        <v>148000</v>
      </c>
      <c r="V54" t="s">
        <v>877</v>
      </c>
      <c r="W54" t="s">
        <v>796</v>
      </c>
      <c r="X54" t="s">
        <v>727</v>
      </c>
      <c r="Y54" t="s">
        <v>728</v>
      </c>
      <c r="Z54" t="s">
        <v>729</v>
      </c>
      <c r="AA54" t="s">
        <v>730</v>
      </c>
      <c r="AB54" t="s">
        <v>731</v>
      </c>
      <c r="AE54">
        <v>-36.878243789999999</v>
      </c>
      <c r="AF54">
        <v>174.91184878999999</v>
      </c>
      <c r="AG54" s="175">
        <v>40</v>
      </c>
      <c r="AH54" s="175">
        <v>0</v>
      </c>
      <c r="AI54" s="175">
        <v>0</v>
      </c>
      <c r="AJ54" s="175">
        <v>0</v>
      </c>
      <c r="AK54" s="175">
        <v>12</v>
      </c>
      <c r="AL54" s="175">
        <v>19</v>
      </c>
      <c r="AM54" s="175">
        <v>14</v>
      </c>
      <c r="AN54" s="175">
        <v>3</v>
      </c>
      <c r="AO54" s="175">
        <v>48</v>
      </c>
      <c r="AP54" s="175">
        <v>17</v>
      </c>
      <c r="AQ54" s="175">
        <v>4</v>
      </c>
      <c r="AR54" s="175">
        <v>0</v>
      </c>
      <c r="AS54" s="175">
        <v>31</v>
      </c>
      <c r="AT54" s="175">
        <v>1</v>
      </c>
    </row>
    <row r="55" spans="1:46">
      <c r="A55">
        <v>5039</v>
      </c>
      <c r="B55" t="s">
        <v>878</v>
      </c>
      <c r="C55" t="s">
        <v>879</v>
      </c>
      <c r="D55" t="s">
        <v>880</v>
      </c>
      <c r="E55" t="s">
        <v>881</v>
      </c>
      <c r="F55" t="s">
        <v>791</v>
      </c>
      <c r="G55" t="s">
        <v>737</v>
      </c>
      <c r="H55" t="s">
        <v>452</v>
      </c>
      <c r="J55" t="s">
        <v>605</v>
      </c>
      <c r="K55" t="s">
        <v>606</v>
      </c>
      <c r="M55" t="s">
        <v>607</v>
      </c>
      <c r="N55" t="s">
        <v>657</v>
      </c>
      <c r="O55" t="s">
        <v>792</v>
      </c>
      <c r="P55" t="s">
        <v>739</v>
      </c>
      <c r="Q55" t="s">
        <v>467</v>
      </c>
      <c r="R55" t="s">
        <v>793</v>
      </c>
      <c r="S55" t="s">
        <v>791</v>
      </c>
      <c r="T55" t="s">
        <v>794</v>
      </c>
      <c r="U55">
        <v>150700</v>
      </c>
      <c r="V55" t="s">
        <v>882</v>
      </c>
      <c r="W55" t="s">
        <v>796</v>
      </c>
      <c r="X55" t="s">
        <v>727</v>
      </c>
      <c r="Y55" t="s">
        <v>728</v>
      </c>
      <c r="Z55" t="s">
        <v>729</v>
      </c>
      <c r="AA55" t="s">
        <v>730</v>
      </c>
      <c r="AB55" t="s">
        <v>731</v>
      </c>
      <c r="AC55">
        <v>99149</v>
      </c>
      <c r="AD55" t="s">
        <v>883</v>
      </c>
      <c r="AE55">
        <v>-36.90867291</v>
      </c>
      <c r="AF55">
        <v>174.89960191</v>
      </c>
      <c r="AG55" s="175">
        <v>40</v>
      </c>
      <c r="AH55" s="175">
        <v>0</v>
      </c>
      <c r="AI55" s="175">
        <v>0</v>
      </c>
      <c r="AJ55" s="175">
        <v>0</v>
      </c>
      <c r="AK55" s="175">
        <v>6</v>
      </c>
      <c r="AL55" s="175">
        <v>18</v>
      </c>
      <c r="AM55" s="175">
        <v>25</v>
      </c>
      <c r="AN55" s="175">
        <v>2</v>
      </c>
      <c r="AO55" s="175">
        <v>51</v>
      </c>
      <c r="AP55" s="175">
        <v>24</v>
      </c>
      <c r="AQ55" s="175">
        <v>10</v>
      </c>
      <c r="AR55" s="175">
        <v>9</v>
      </c>
      <c r="AS55" s="175">
        <v>22</v>
      </c>
      <c r="AT55" s="175">
        <v>6</v>
      </c>
    </row>
    <row r="56" spans="1:46">
      <c r="A56">
        <v>5040</v>
      </c>
      <c r="B56" t="s">
        <v>884</v>
      </c>
      <c r="C56" t="s">
        <v>885</v>
      </c>
      <c r="D56" t="s">
        <v>886</v>
      </c>
      <c r="E56" t="s">
        <v>887</v>
      </c>
      <c r="F56" t="s">
        <v>888</v>
      </c>
      <c r="G56" t="s">
        <v>737</v>
      </c>
      <c r="H56" t="s">
        <v>452</v>
      </c>
      <c r="J56" t="s">
        <v>605</v>
      </c>
      <c r="K56" t="s">
        <v>606</v>
      </c>
      <c r="M56" t="s">
        <v>607</v>
      </c>
      <c r="N56" t="s">
        <v>657</v>
      </c>
      <c r="O56" t="s">
        <v>889</v>
      </c>
      <c r="P56" t="s">
        <v>739</v>
      </c>
      <c r="Q56" t="s">
        <v>467</v>
      </c>
      <c r="R56" t="s">
        <v>793</v>
      </c>
      <c r="S56" t="s">
        <v>890</v>
      </c>
      <c r="T56" t="s">
        <v>794</v>
      </c>
      <c r="U56">
        <v>144400</v>
      </c>
      <c r="V56" t="s">
        <v>891</v>
      </c>
      <c r="W56" t="s">
        <v>892</v>
      </c>
      <c r="X56" t="s">
        <v>727</v>
      </c>
      <c r="Y56" t="s">
        <v>728</v>
      </c>
      <c r="Z56" t="s">
        <v>729</v>
      </c>
      <c r="AA56" t="s">
        <v>730</v>
      </c>
      <c r="AB56" t="s">
        <v>731</v>
      </c>
      <c r="AE56">
        <v>-36.8905636</v>
      </c>
      <c r="AF56">
        <v>174.82237018000001</v>
      </c>
      <c r="AG56" s="175">
        <v>40</v>
      </c>
      <c r="AH56" s="175">
        <v>0</v>
      </c>
      <c r="AI56" s="175">
        <v>0</v>
      </c>
      <c r="AJ56" s="175">
        <v>0</v>
      </c>
      <c r="AK56" s="175">
        <v>2</v>
      </c>
      <c r="AL56" s="175">
        <v>22</v>
      </c>
      <c r="AM56" s="175">
        <v>21</v>
      </c>
      <c r="AN56" s="175">
        <v>1</v>
      </c>
      <c r="AO56" s="175">
        <v>46</v>
      </c>
      <c r="AP56" s="175">
        <v>35</v>
      </c>
      <c r="AQ56" s="175">
        <v>4</v>
      </c>
      <c r="AR56" s="175">
        <v>3</v>
      </c>
      <c r="AS56" s="175">
        <v>12</v>
      </c>
      <c r="AT56" s="175">
        <v>3</v>
      </c>
    </row>
    <row r="57" spans="1:46">
      <c r="A57">
        <v>5042</v>
      </c>
      <c r="B57" t="s">
        <v>893</v>
      </c>
      <c r="C57" t="s">
        <v>894</v>
      </c>
      <c r="D57" t="s">
        <v>895</v>
      </c>
      <c r="E57" t="s">
        <v>896</v>
      </c>
      <c r="F57" t="s">
        <v>897</v>
      </c>
      <c r="G57" t="s">
        <v>737</v>
      </c>
      <c r="H57" t="s">
        <v>452</v>
      </c>
      <c r="J57" t="s">
        <v>605</v>
      </c>
      <c r="K57" t="s">
        <v>606</v>
      </c>
      <c r="M57" t="s">
        <v>607</v>
      </c>
      <c r="N57" t="s">
        <v>643</v>
      </c>
      <c r="O57" t="s">
        <v>898</v>
      </c>
      <c r="P57" t="s">
        <v>739</v>
      </c>
      <c r="Q57" t="s">
        <v>467</v>
      </c>
      <c r="R57" t="s">
        <v>724</v>
      </c>
      <c r="S57" t="s">
        <v>824</v>
      </c>
      <c r="T57" t="s">
        <v>613</v>
      </c>
      <c r="U57">
        <v>122300</v>
      </c>
      <c r="V57" t="s">
        <v>899</v>
      </c>
      <c r="W57" t="s">
        <v>900</v>
      </c>
      <c r="X57" t="s">
        <v>727</v>
      </c>
      <c r="Y57" t="s">
        <v>728</v>
      </c>
      <c r="Z57" t="s">
        <v>729</v>
      </c>
      <c r="AA57" t="s">
        <v>730</v>
      </c>
      <c r="AB57" t="s">
        <v>731</v>
      </c>
      <c r="AC57">
        <v>99125</v>
      </c>
      <c r="AD57" t="s">
        <v>901</v>
      </c>
      <c r="AE57">
        <v>-36.834802279999998</v>
      </c>
      <c r="AF57">
        <v>174.63291111999999</v>
      </c>
      <c r="AG57" s="175">
        <v>30</v>
      </c>
      <c r="AH57" s="175">
        <v>0</v>
      </c>
      <c r="AI57" s="175">
        <v>0</v>
      </c>
      <c r="AJ57" s="175">
        <v>0</v>
      </c>
      <c r="AK57" s="175">
        <v>4</v>
      </c>
      <c r="AL57" s="175">
        <v>7</v>
      </c>
      <c r="AM57" s="175">
        <v>19</v>
      </c>
      <c r="AN57" s="175">
        <v>0</v>
      </c>
      <c r="AO57" s="175">
        <v>30</v>
      </c>
      <c r="AP57" s="175">
        <v>11</v>
      </c>
      <c r="AQ57" s="175">
        <v>7</v>
      </c>
      <c r="AR57" s="175">
        <v>4</v>
      </c>
      <c r="AS57" s="175">
        <v>10</v>
      </c>
      <c r="AT57" s="175">
        <v>3</v>
      </c>
    </row>
    <row r="58" spans="1:46">
      <c r="A58">
        <v>5043</v>
      </c>
      <c r="B58" t="s">
        <v>902</v>
      </c>
      <c r="C58" t="s">
        <v>903</v>
      </c>
      <c r="D58" t="s">
        <v>904</v>
      </c>
      <c r="E58" t="s">
        <v>905</v>
      </c>
      <c r="F58" t="s">
        <v>906</v>
      </c>
      <c r="G58" t="s">
        <v>737</v>
      </c>
      <c r="H58" t="s">
        <v>452</v>
      </c>
      <c r="J58" t="s">
        <v>605</v>
      </c>
      <c r="K58" t="s">
        <v>606</v>
      </c>
      <c r="M58" t="s">
        <v>607</v>
      </c>
      <c r="N58" t="s">
        <v>657</v>
      </c>
      <c r="O58" t="s">
        <v>889</v>
      </c>
      <c r="P58" t="s">
        <v>739</v>
      </c>
      <c r="Q58" t="s">
        <v>467</v>
      </c>
      <c r="R58" t="s">
        <v>793</v>
      </c>
      <c r="S58" t="s">
        <v>907</v>
      </c>
      <c r="T58" t="s">
        <v>794</v>
      </c>
      <c r="U58">
        <v>141000</v>
      </c>
      <c r="V58" t="s">
        <v>908</v>
      </c>
      <c r="W58" t="s">
        <v>909</v>
      </c>
      <c r="X58" t="s">
        <v>727</v>
      </c>
      <c r="Y58" t="s">
        <v>728</v>
      </c>
      <c r="Z58" t="s">
        <v>729</v>
      </c>
      <c r="AA58" t="s">
        <v>730</v>
      </c>
      <c r="AB58" t="s">
        <v>731</v>
      </c>
      <c r="AE58">
        <v>-36.882450290000001</v>
      </c>
      <c r="AF58">
        <v>174.80526584</v>
      </c>
      <c r="AG58" s="175">
        <v>40</v>
      </c>
      <c r="AH58" s="175">
        <v>0</v>
      </c>
      <c r="AI58" s="175">
        <v>0</v>
      </c>
      <c r="AJ58" s="175">
        <v>0</v>
      </c>
      <c r="AK58" s="175">
        <v>11</v>
      </c>
      <c r="AL58" s="175">
        <v>14</v>
      </c>
      <c r="AM58" s="175">
        <v>13</v>
      </c>
      <c r="AN58" s="175">
        <v>4</v>
      </c>
      <c r="AO58" s="175">
        <v>42</v>
      </c>
      <c r="AP58" s="175">
        <v>21</v>
      </c>
      <c r="AQ58" s="175">
        <v>3</v>
      </c>
      <c r="AR58" s="175">
        <v>0</v>
      </c>
      <c r="AS58" s="175">
        <v>21</v>
      </c>
      <c r="AT58" s="175">
        <v>2</v>
      </c>
    </row>
    <row r="59" spans="1:46">
      <c r="A59">
        <v>5044</v>
      </c>
      <c r="B59" t="s">
        <v>910</v>
      </c>
      <c r="C59" t="s">
        <v>911</v>
      </c>
      <c r="E59" t="s">
        <v>912</v>
      </c>
      <c r="F59" t="s">
        <v>913</v>
      </c>
      <c r="G59" t="s">
        <v>737</v>
      </c>
      <c r="H59" t="s">
        <v>452</v>
      </c>
      <c r="J59" t="s">
        <v>605</v>
      </c>
      <c r="K59" t="s">
        <v>606</v>
      </c>
      <c r="M59" t="s">
        <v>607</v>
      </c>
      <c r="N59" t="s">
        <v>657</v>
      </c>
      <c r="O59" t="s">
        <v>914</v>
      </c>
      <c r="P59" t="s">
        <v>739</v>
      </c>
      <c r="Q59" t="s">
        <v>467</v>
      </c>
      <c r="R59" t="s">
        <v>793</v>
      </c>
      <c r="S59" t="s">
        <v>890</v>
      </c>
      <c r="T59" t="s">
        <v>794</v>
      </c>
      <c r="U59">
        <v>145000</v>
      </c>
      <c r="V59" t="s">
        <v>915</v>
      </c>
      <c r="W59" t="s">
        <v>892</v>
      </c>
      <c r="X59" t="s">
        <v>727</v>
      </c>
      <c r="Y59" t="s">
        <v>728</v>
      </c>
      <c r="Z59" t="s">
        <v>729</v>
      </c>
      <c r="AA59" t="s">
        <v>730</v>
      </c>
      <c r="AB59" t="s">
        <v>731</v>
      </c>
      <c r="AC59">
        <v>99190</v>
      </c>
      <c r="AD59" t="s">
        <v>916</v>
      </c>
      <c r="AE59">
        <v>-36.917184130000003</v>
      </c>
      <c r="AF59">
        <v>174.78769492999999</v>
      </c>
      <c r="AG59" s="175">
        <v>40</v>
      </c>
      <c r="AH59" s="175">
        <v>0</v>
      </c>
      <c r="AI59" s="175">
        <v>0</v>
      </c>
      <c r="AJ59" s="175">
        <v>0</v>
      </c>
      <c r="AK59" s="175">
        <v>1</v>
      </c>
      <c r="AL59" s="175">
        <v>17</v>
      </c>
      <c r="AM59" s="175">
        <v>24</v>
      </c>
      <c r="AN59" s="175">
        <v>2</v>
      </c>
      <c r="AO59" s="175">
        <v>44</v>
      </c>
      <c r="AP59" s="175">
        <v>23</v>
      </c>
      <c r="AQ59" s="175">
        <v>9</v>
      </c>
      <c r="AR59" s="175">
        <v>10</v>
      </c>
      <c r="AS59" s="175">
        <v>13</v>
      </c>
      <c r="AT59" s="175">
        <v>4</v>
      </c>
    </row>
    <row r="60" spans="1:46">
      <c r="A60">
        <v>5045</v>
      </c>
      <c r="B60" t="s">
        <v>917</v>
      </c>
      <c r="C60" t="s">
        <v>918</v>
      </c>
      <c r="D60" t="s">
        <v>919</v>
      </c>
      <c r="E60" t="s">
        <v>920</v>
      </c>
      <c r="F60" t="s">
        <v>921</v>
      </c>
      <c r="G60" t="s">
        <v>737</v>
      </c>
      <c r="H60" t="s">
        <v>452</v>
      </c>
      <c r="J60" t="s">
        <v>605</v>
      </c>
      <c r="K60" t="s">
        <v>606</v>
      </c>
      <c r="M60" t="s">
        <v>607</v>
      </c>
      <c r="N60" t="s">
        <v>657</v>
      </c>
      <c r="O60" t="s">
        <v>833</v>
      </c>
      <c r="P60" t="s">
        <v>739</v>
      </c>
      <c r="Q60" t="s">
        <v>467</v>
      </c>
      <c r="R60" t="s">
        <v>724</v>
      </c>
      <c r="S60" t="s">
        <v>767</v>
      </c>
      <c r="T60" t="s">
        <v>613</v>
      </c>
      <c r="U60">
        <v>134000</v>
      </c>
      <c r="V60" t="s">
        <v>922</v>
      </c>
      <c r="W60" t="s">
        <v>826</v>
      </c>
      <c r="X60" t="s">
        <v>727</v>
      </c>
      <c r="Y60" t="s">
        <v>728</v>
      </c>
      <c r="Z60" t="s">
        <v>729</v>
      </c>
      <c r="AA60" t="s">
        <v>730</v>
      </c>
      <c r="AB60" t="s">
        <v>731</v>
      </c>
      <c r="AC60">
        <v>99048</v>
      </c>
      <c r="AD60" t="s">
        <v>835</v>
      </c>
      <c r="AE60">
        <v>-36.82488893</v>
      </c>
      <c r="AF60">
        <v>174.80341881000001</v>
      </c>
      <c r="AG60" s="175">
        <v>40</v>
      </c>
      <c r="AH60" s="175">
        <v>0</v>
      </c>
      <c r="AI60" s="175">
        <v>0</v>
      </c>
      <c r="AJ60" s="175">
        <v>0</v>
      </c>
      <c r="AK60" s="175">
        <v>0</v>
      </c>
      <c r="AL60" s="175">
        <v>5</v>
      </c>
      <c r="AM60" s="175">
        <v>40</v>
      </c>
      <c r="AN60" s="175">
        <v>4</v>
      </c>
      <c r="AO60" s="175">
        <v>49</v>
      </c>
      <c r="AP60" s="175">
        <v>48</v>
      </c>
      <c r="AQ60" s="175">
        <v>8</v>
      </c>
      <c r="AR60" s="175">
        <v>1</v>
      </c>
      <c r="AS60" s="175">
        <v>3</v>
      </c>
      <c r="AT60" s="175">
        <v>5</v>
      </c>
    </row>
    <row r="61" spans="1:46">
      <c r="A61">
        <v>5046</v>
      </c>
      <c r="B61" t="s">
        <v>923</v>
      </c>
      <c r="C61" t="s">
        <v>924</v>
      </c>
      <c r="D61" t="s">
        <v>925</v>
      </c>
      <c r="E61" t="s">
        <v>926</v>
      </c>
      <c r="F61" t="s">
        <v>897</v>
      </c>
      <c r="G61" t="s">
        <v>737</v>
      </c>
      <c r="H61" t="s">
        <v>452</v>
      </c>
      <c r="J61" t="s">
        <v>605</v>
      </c>
      <c r="K61" t="s">
        <v>606</v>
      </c>
      <c r="M61" t="s">
        <v>607</v>
      </c>
      <c r="N61" t="s">
        <v>625</v>
      </c>
      <c r="O61" t="s">
        <v>898</v>
      </c>
      <c r="P61" t="s">
        <v>739</v>
      </c>
      <c r="Q61" t="s">
        <v>467</v>
      </c>
      <c r="R61" t="s">
        <v>724</v>
      </c>
      <c r="S61" t="s">
        <v>824</v>
      </c>
      <c r="T61" t="s">
        <v>613</v>
      </c>
      <c r="U61">
        <v>121701</v>
      </c>
      <c r="V61" t="s">
        <v>927</v>
      </c>
      <c r="W61" t="s">
        <v>900</v>
      </c>
      <c r="X61" t="s">
        <v>727</v>
      </c>
      <c r="Y61" t="s">
        <v>728</v>
      </c>
      <c r="Z61" t="s">
        <v>729</v>
      </c>
      <c r="AA61" t="s">
        <v>730</v>
      </c>
      <c r="AB61" t="s">
        <v>731</v>
      </c>
      <c r="AC61">
        <v>99125</v>
      </c>
      <c r="AD61" t="s">
        <v>901</v>
      </c>
      <c r="AE61">
        <v>-36.850832869999998</v>
      </c>
      <c r="AF61">
        <v>174.60964823</v>
      </c>
      <c r="AG61" s="175">
        <v>40</v>
      </c>
      <c r="AH61" s="175">
        <v>0</v>
      </c>
      <c r="AI61" s="175">
        <v>0</v>
      </c>
      <c r="AJ61" s="175">
        <v>0</v>
      </c>
      <c r="AK61" s="175">
        <v>7</v>
      </c>
      <c r="AL61" s="175">
        <v>10</v>
      </c>
      <c r="AM61" s="175">
        <v>19</v>
      </c>
      <c r="AN61" s="175">
        <v>0</v>
      </c>
      <c r="AO61" s="175">
        <v>36</v>
      </c>
      <c r="AP61" s="175">
        <v>12</v>
      </c>
      <c r="AQ61" s="175">
        <v>8</v>
      </c>
      <c r="AR61" s="175">
        <v>12</v>
      </c>
      <c r="AS61" s="175">
        <v>9</v>
      </c>
      <c r="AT61" s="175">
        <v>1</v>
      </c>
    </row>
    <row r="62" spans="1:46">
      <c r="A62">
        <v>5047</v>
      </c>
      <c r="B62" t="s">
        <v>928</v>
      </c>
      <c r="C62" t="s">
        <v>929</v>
      </c>
      <c r="D62" t="s">
        <v>930</v>
      </c>
      <c r="E62" t="s">
        <v>931</v>
      </c>
      <c r="F62" t="s">
        <v>932</v>
      </c>
      <c r="G62" t="s">
        <v>737</v>
      </c>
      <c r="H62" t="s">
        <v>452</v>
      </c>
      <c r="J62" t="s">
        <v>605</v>
      </c>
      <c r="K62" t="s">
        <v>606</v>
      </c>
      <c r="M62" t="s">
        <v>607</v>
      </c>
      <c r="N62" t="s">
        <v>608</v>
      </c>
      <c r="O62" t="s">
        <v>933</v>
      </c>
      <c r="P62" t="s">
        <v>739</v>
      </c>
      <c r="Q62" t="s">
        <v>467</v>
      </c>
      <c r="R62" t="s">
        <v>814</v>
      </c>
      <c r="S62" t="s">
        <v>934</v>
      </c>
      <c r="T62" t="s">
        <v>794</v>
      </c>
      <c r="U62">
        <v>148200</v>
      </c>
      <c r="V62" t="s">
        <v>935</v>
      </c>
      <c r="W62" t="s">
        <v>817</v>
      </c>
      <c r="X62" t="s">
        <v>727</v>
      </c>
      <c r="Y62" t="s">
        <v>728</v>
      </c>
      <c r="Z62" t="s">
        <v>729</v>
      </c>
      <c r="AA62" t="s">
        <v>730</v>
      </c>
      <c r="AB62" t="s">
        <v>731</v>
      </c>
      <c r="AE62">
        <v>-36.953888650000003</v>
      </c>
      <c r="AF62">
        <v>174.80747557000001</v>
      </c>
      <c r="AG62" s="175">
        <v>40</v>
      </c>
      <c r="AH62" s="175">
        <v>0</v>
      </c>
      <c r="AI62" s="175">
        <v>0</v>
      </c>
      <c r="AJ62" s="175">
        <v>0</v>
      </c>
      <c r="AK62" s="175">
        <v>8</v>
      </c>
      <c r="AL62" s="175">
        <v>9</v>
      </c>
      <c r="AM62" s="175">
        <v>17</v>
      </c>
      <c r="AN62" s="175">
        <v>1</v>
      </c>
      <c r="AO62" s="175">
        <v>35</v>
      </c>
      <c r="AP62" s="175">
        <v>3</v>
      </c>
      <c r="AQ62" s="175">
        <v>4</v>
      </c>
      <c r="AR62" s="175">
        <v>30</v>
      </c>
      <c r="AS62" s="175">
        <v>4</v>
      </c>
      <c r="AT62" s="175">
        <v>0</v>
      </c>
    </row>
    <row r="63" spans="1:46">
      <c r="A63">
        <v>5048</v>
      </c>
      <c r="B63" t="s">
        <v>936</v>
      </c>
      <c r="C63" t="s">
        <v>937</v>
      </c>
      <c r="D63" t="s">
        <v>938</v>
      </c>
      <c r="E63" t="s">
        <v>939</v>
      </c>
      <c r="F63" t="s">
        <v>940</v>
      </c>
      <c r="G63" t="s">
        <v>737</v>
      </c>
      <c r="H63" t="s">
        <v>452</v>
      </c>
      <c r="I63" t="s">
        <v>941</v>
      </c>
      <c r="J63" t="s">
        <v>605</v>
      </c>
      <c r="K63" t="s">
        <v>606</v>
      </c>
      <c r="M63" t="s">
        <v>607</v>
      </c>
      <c r="N63" t="s">
        <v>657</v>
      </c>
      <c r="O63" t="s">
        <v>942</v>
      </c>
      <c r="P63" t="s">
        <v>739</v>
      </c>
      <c r="Q63" t="s">
        <v>467</v>
      </c>
      <c r="R63" t="s">
        <v>793</v>
      </c>
      <c r="S63" t="s">
        <v>943</v>
      </c>
      <c r="T63" t="s">
        <v>794</v>
      </c>
      <c r="U63">
        <v>134200</v>
      </c>
      <c r="V63" t="s">
        <v>944</v>
      </c>
      <c r="W63" t="s">
        <v>945</v>
      </c>
      <c r="X63" t="s">
        <v>727</v>
      </c>
      <c r="Y63" t="s">
        <v>728</v>
      </c>
      <c r="Z63" t="s">
        <v>729</v>
      </c>
      <c r="AA63" t="s">
        <v>730</v>
      </c>
      <c r="AB63" t="s">
        <v>731</v>
      </c>
      <c r="AC63">
        <v>99150</v>
      </c>
      <c r="AD63" t="s">
        <v>946</v>
      </c>
      <c r="AE63">
        <v>-36.882298140000003</v>
      </c>
      <c r="AF63">
        <v>174.71943231</v>
      </c>
      <c r="AG63" s="175">
        <v>40</v>
      </c>
      <c r="AH63" s="175">
        <v>0</v>
      </c>
      <c r="AI63" s="175">
        <v>0</v>
      </c>
      <c r="AJ63" s="175">
        <v>0</v>
      </c>
      <c r="AK63" s="175">
        <v>0</v>
      </c>
      <c r="AL63" s="175">
        <v>19</v>
      </c>
      <c r="AM63" s="175">
        <v>28</v>
      </c>
      <c r="AN63" s="175">
        <v>2</v>
      </c>
      <c r="AO63" s="175">
        <v>49</v>
      </c>
      <c r="AP63" s="175">
        <v>40</v>
      </c>
      <c r="AQ63" s="175">
        <v>9</v>
      </c>
      <c r="AR63" s="175">
        <v>5</v>
      </c>
      <c r="AS63" s="175">
        <v>14</v>
      </c>
      <c r="AT63" s="175">
        <v>3</v>
      </c>
    </row>
    <row r="64" spans="1:46">
      <c r="A64">
        <v>5049</v>
      </c>
      <c r="B64" t="s">
        <v>947</v>
      </c>
      <c r="C64" t="s">
        <v>948</v>
      </c>
      <c r="D64" t="s">
        <v>949</v>
      </c>
      <c r="E64" t="s">
        <v>950</v>
      </c>
      <c r="F64" t="s">
        <v>811</v>
      </c>
      <c r="G64" t="s">
        <v>737</v>
      </c>
      <c r="H64" t="s">
        <v>452</v>
      </c>
      <c r="J64" t="s">
        <v>605</v>
      </c>
      <c r="K64" t="s">
        <v>606</v>
      </c>
      <c r="M64" t="s">
        <v>607</v>
      </c>
      <c r="N64" t="s">
        <v>812</v>
      </c>
      <c r="O64" t="s">
        <v>813</v>
      </c>
      <c r="P64" t="s">
        <v>739</v>
      </c>
      <c r="Q64" t="s">
        <v>467</v>
      </c>
      <c r="R64" t="s">
        <v>814</v>
      </c>
      <c r="S64" t="s">
        <v>815</v>
      </c>
      <c r="T64" t="s">
        <v>794</v>
      </c>
      <c r="U64">
        <v>155702</v>
      </c>
      <c r="V64" t="s">
        <v>951</v>
      </c>
      <c r="W64" t="s">
        <v>817</v>
      </c>
      <c r="X64" t="s">
        <v>727</v>
      </c>
      <c r="Y64" t="s">
        <v>728</v>
      </c>
      <c r="Z64" t="s">
        <v>729</v>
      </c>
      <c r="AA64" t="s">
        <v>730</v>
      </c>
      <c r="AB64" t="s">
        <v>731</v>
      </c>
      <c r="AC64">
        <v>99200</v>
      </c>
      <c r="AD64" t="s">
        <v>952</v>
      </c>
      <c r="AE64">
        <v>-36.97427639</v>
      </c>
      <c r="AF64">
        <v>174.88428969</v>
      </c>
      <c r="AG64" s="175">
        <v>40</v>
      </c>
      <c r="AH64" s="175">
        <v>0</v>
      </c>
      <c r="AI64" s="175">
        <v>0</v>
      </c>
      <c r="AJ64" s="175">
        <v>0</v>
      </c>
      <c r="AK64" s="175">
        <v>2</v>
      </c>
      <c r="AL64" s="175">
        <v>10</v>
      </c>
      <c r="AM64" s="175">
        <v>17</v>
      </c>
      <c r="AN64" s="175">
        <v>0</v>
      </c>
      <c r="AO64" s="175">
        <v>29</v>
      </c>
      <c r="AP64" s="175">
        <v>1</v>
      </c>
      <c r="AQ64" s="175">
        <v>9</v>
      </c>
      <c r="AR64" s="175">
        <v>22</v>
      </c>
      <c r="AS64" s="175">
        <v>4</v>
      </c>
      <c r="AT64" s="175">
        <v>0</v>
      </c>
    </row>
    <row r="65" spans="1:46">
      <c r="A65">
        <v>5050</v>
      </c>
      <c r="B65" t="s">
        <v>953</v>
      </c>
      <c r="C65" t="s">
        <v>954</v>
      </c>
      <c r="D65" t="s">
        <v>955</v>
      </c>
      <c r="E65" t="s">
        <v>956</v>
      </c>
      <c r="F65" t="s">
        <v>957</v>
      </c>
      <c r="G65" t="s">
        <v>737</v>
      </c>
      <c r="H65" t="s">
        <v>452</v>
      </c>
      <c r="J65" t="s">
        <v>605</v>
      </c>
      <c r="K65" t="s">
        <v>606</v>
      </c>
      <c r="M65" t="s">
        <v>607</v>
      </c>
      <c r="N65" t="s">
        <v>643</v>
      </c>
      <c r="O65" t="s">
        <v>958</v>
      </c>
      <c r="P65" t="s">
        <v>739</v>
      </c>
      <c r="Q65" t="s">
        <v>467</v>
      </c>
      <c r="R65" t="s">
        <v>724</v>
      </c>
      <c r="S65" t="s">
        <v>804</v>
      </c>
      <c r="T65" t="s">
        <v>794</v>
      </c>
      <c r="U65">
        <v>130801</v>
      </c>
      <c r="V65" t="s">
        <v>959</v>
      </c>
      <c r="W65" t="s">
        <v>900</v>
      </c>
      <c r="X65" t="s">
        <v>727</v>
      </c>
      <c r="Y65" t="s">
        <v>728</v>
      </c>
      <c r="Z65" t="s">
        <v>729</v>
      </c>
      <c r="AA65" t="s">
        <v>730</v>
      </c>
      <c r="AB65" t="s">
        <v>731</v>
      </c>
      <c r="AE65">
        <v>-36.909946789999999</v>
      </c>
      <c r="AF65">
        <v>174.65339134999999</v>
      </c>
      <c r="AG65" s="175">
        <v>45</v>
      </c>
      <c r="AH65" s="175">
        <v>0</v>
      </c>
      <c r="AI65" s="175">
        <v>0</v>
      </c>
      <c r="AJ65" s="175">
        <v>0</v>
      </c>
      <c r="AK65" s="175">
        <v>11</v>
      </c>
      <c r="AL65" s="175">
        <v>15</v>
      </c>
      <c r="AM65" s="175">
        <v>19</v>
      </c>
      <c r="AN65" s="175">
        <v>0</v>
      </c>
      <c r="AO65" s="175">
        <v>45</v>
      </c>
      <c r="AP65" s="175">
        <v>18</v>
      </c>
      <c r="AQ65" s="175">
        <v>5</v>
      </c>
      <c r="AR65" s="175">
        <v>14</v>
      </c>
      <c r="AS65" s="175">
        <v>11</v>
      </c>
      <c r="AT65" s="175">
        <v>6</v>
      </c>
    </row>
    <row r="66" spans="1:46">
      <c r="A66">
        <v>5051</v>
      </c>
      <c r="B66" t="s">
        <v>960</v>
      </c>
      <c r="C66" t="s">
        <v>961</v>
      </c>
      <c r="D66" t="s">
        <v>962</v>
      </c>
      <c r="E66" t="s">
        <v>963</v>
      </c>
      <c r="F66" t="s">
        <v>964</v>
      </c>
      <c r="G66" t="s">
        <v>737</v>
      </c>
      <c r="H66" t="s">
        <v>452</v>
      </c>
      <c r="J66" t="s">
        <v>605</v>
      </c>
      <c r="K66" t="s">
        <v>606</v>
      </c>
      <c r="M66" t="s">
        <v>607</v>
      </c>
      <c r="N66" t="s">
        <v>812</v>
      </c>
      <c r="O66" t="s">
        <v>914</v>
      </c>
      <c r="P66" t="s">
        <v>739</v>
      </c>
      <c r="Q66" t="s">
        <v>467</v>
      </c>
      <c r="R66" t="s">
        <v>793</v>
      </c>
      <c r="S66" t="s">
        <v>965</v>
      </c>
      <c r="T66" t="s">
        <v>794</v>
      </c>
      <c r="U66">
        <v>145800</v>
      </c>
      <c r="V66" t="s">
        <v>966</v>
      </c>
      <c r="W66" t="s">
        <v>892</v>
      </c>
      <c r="X66" t="s">
        <v>727</v>
      </c>
      <c r="Y66" t="s">
        <v>728</v>
      </c>
      <c r="Z66" t="s">
        <v>729</v>
      </c>
      <c r="AA66" t="s">
        <v>730</v>
      </c>
      <c r="AB66" t="s">
        <v>731</v>
      </c>
      <c r="AE66">
        <v>-36.875430020000003</v>
      </c>
      <c r="AF66">
        <v>174.8729419</v>
      </c>
      <c r="AG66" s="175">
        <v>40</v>
      </c>
      <c r="AH66" s="175">
        <v>0</v>
      </c>
      <c r="AI66" s="175">
        <v>0</v>
      </c>
      <c r="AJ66" s="175">
        <v>0</v>
      </c>
      <c r="AK66" s="175">
        <v>6</v>
      </c>
      <c r="AL66" s="175">
        <v>10</v>
      </c>
      <c r="AM66" s="175">
        <v>10</v>
      </c>
      <c r="AN66" s="175">
        <v>0</v>
      </c>
      <c r="AO66" s="175">
        <v>26</v>
      </c>
      <c r="AP66" s="175">
        <v>9</v>
      </c>
      <c r="AQ66" s="175">
        <v>9</v>
      </c>
      <c r="AR66" s="175">
        <v>12</v>
      </c>
      <c r="AS66" s="175">
        <v>1</v>
      </c>
      <c r="AT66" s="175">
        <v>2</v>
      </c>
    </row>
    <row r="67" spans="1:46">
      <c r="A67">
        <v>5052</v>
      </c>
      <c r="B67" t="s">
        <v>967</v>
      </c>
      <c r="C67" t="s">
        <v>968</v>
      </c>
      <c r="D67" t="s">
        <v>969</v>
      </c>
      <c r="E67" t="s">
        <v>970</v>
      </c>
      <c r="F67" t="s">
        <v>822</v>
      </c>
      <c r="G67" t="s">
        <v>737</v>
      </c>
      <c r="H67" t="s">
        <v>452</v>
      </c>
      <c r="J67" t="s">
        <v>605</v>
      </c>
      <c r="K67" t="s">
        <v>606</v>
      </c>
      <c r="M67" t="s">
        <v>607</v>
      </c>
      <c r="N67" t="s">
        <v>657</v>
      </c>
      <c r="O67" t="s">
        <v>823</v>
      </c>
      <c r="P67" t="s">
        <v>739</v>
      </c>
      <c r="Q67" t="s">
        <v>467</v>
      </c>
      <c r="R67" t="s">
        <v>724</v>
      </c>
      <c r="S67" t="s">
        <v>841</v>
      </c>
      <c r="T67" t="s">
        <v>613</v>
      </c>
      <c r="U67">
        <v>123100</v>
      </c>
      <c r="V67" t="s">
        <v>971</v>
      </c>
      <c r="W67" t="s">
        <v>826</v>
      </c>
      <c r="X67" t="s">
        <v>727</v>
      </c>
      <c r="Y67" t="s">
        <v>728</v>
      </c>
      <c r="Z67" t="s">
        <v>729</v>
      </c>
      <c r="AA67" t="s">
        <v>730</v>
      </c>
      <c r="AB67" t="s">
        <v>731</v>
      </c>
      <c r="AC67">
        <v>99120</v>
      </c>
      <c r="AD67" t="s">
        <v>827</v>
      </c>
      <c r="AE67">
        <v>-36.778446350000003</v>
      </c>
      <c r="AF67">
        <v>174.72221289000001</v>
      </c>
      <c r="AG67" s="175">
        <v>40</v>
      </c>
      <c r="AH67" s="175">
        <v>0</v>
      </c>
      <c r="AI67" s="175">
        <v>0</v>
      </c>
      <c r="AJ67" s="175">
        <v>0</v>
      </c>
      <c r="AK67" s="175">
        <v>1</v>
      </c>
      <c r="AL67" s="175">
        <v>18</v>
      </c>
      <c r="AM67" s="175">
        <v>28</v>
      </c>
      <c r="AN67" s="175">
        <v>1</v>
      </c>
      <c r="AO67" s="175">
        <v>48</v>
      </c>
      <c r="AP67" s="175">
        <v>15</v>
      </c>
      <c r="AQ67" s="175">
        <v>4</v>
      </c>
      <c r="AR67" s="175">
        <v>5</v>
      </c>
      <c r="AS67" s="175">
        <v>30</v>
      </c>
      <c r="AT67" s="175">
        <v>1</v>
      </c>
    </row>
    <row r="68" spans="1:46">
      <c r="A68">
        <v>5053</v>
      </c>
      <c r="B68" t="s">
        <v>972</v>
      </c>
      <c r="C68" t="s">
        <v>973</v>
      </c>
      <c r="D68" t="s">
        <v>974</v>
      </c>
      <c r="E68" t="s">
        <v>975</v>
      </c>
      <c r="F68" t="s">
        <v>976</v>
      </c>
      <c r="G68" t="s">
        <v>737</v>
      </c>
      <c r="H68" t="s">
        <v>452</v>
      </c>
      <c r="J68" t="s">
        <v>605</v>
      </c>
      <c r="K68" t="s">
        <v>606</v>
      </c>
      <c r="M68" t="s">
        <v>607</v>
      </c>
      <c r="N68" t="s">
        <v>657</v>
      </c>
      <c r="O68" t="s">
        <v>803</v>
      </c>
      <c r="P68" t="s">
        <v>739</v>
      </c>
      <c r="Q68" t="s">
        <v>467</v>
      </c>
      <c r="R68" t="s">
        <v>724</v>
      </c>
      <c r="S68" t="s">
        <v>855</v>
      </c>
      <c r="T68" t="s">
        <v>794</v>
      </c>
      <c r="U68">
        <v>137300</v>
      </c>
      <c r="V68" t="s">
        <v>977</v>
      </c>
      <c r="W68" t="s">
        <v>806</v>
      </c>
      <c r="X68" t="s">
        <v>727</v>
      </c>
      <c r="Y68" t="s">
        <v>728</v>
      </c>
      <c r="Z68" t="s">
        <v>729</v>
      </c>
      <c r="AA68" t="s">
        <v>730</v>
      </c>
      <c r="AB68" t="s">
        <v>731</v>
      </c>
      <c r="AC68">
        <v>99062</v>
      </c>
      <c r="AD68" t="s">
        <v>978</v>
      </c>
      <c r="AE68">
        <v>-36.930257159999996</v>
      </c>
      <c r="AF68">
        <v>174.67530539000001</v>
      </c>
      <c r="AG68" s="175">
        <v>40</v>
      </c>
      <c r="AH68" s="175">
        <v>0</v>
      </c>
      <c r="AI68" s="175">
        <v>0</v>
      </c>
      <c r="AJ68" s="175">
        <v>0</v>
      </c>
      <c r="AK68" s="175">
        <v>0</v>
      </c>
      <c r="AL68" s="175">
        <v>21</v>
      </c>
      <c r="AM68" s="175">
        <v>30</v>
      </c>
      <c r="AN68" s="175">
        <v>2</v>
      </c>
      <c r="AO68" s="175">
        <v>53</v>
      </c>
      <c r="AP68" s="175">
        <v>35</v>
      </c>
      <c r="AQ68" s="175">
        <v>11</v>
      </c>
      <c r="AR68" s="175">
        <v>5</v>
      </c>
      <c r="AS68" s="175">
        <v>10</v>
      </c>
      <c r="AT68" s="175">
        <v>8</v>
      </c>
    </row>
    <row r="69" spans="1:46">
      <c r="A69">
        <v>5054</v>
      </c>
      <c r="B69" t="s">
        <v>979</v>
      </c>
      <c r="C69" t="s">
        <v>980</v>
      </c>
      <c r="D69" t="s">
        <v>981</v>
      </c>
      <c r="E69" t="s">
        <v>982</v>
      </c>
      <c r="F69" t="s">
        <v>983</v>
      </c>
      <c r="G69" t="s">
        <v>737</v>
      </c>
      <c r="H69" t="s">
        <v>452</v>
      </c>
      <c r="J69" t="s">
        <v>605</v>
      </c>
      <c r="K69" t="s">
        <v>606</v>
      </c>
      <c r="M69" t="s">
        <v>607</v>
      </c>
      <c r="N69" t="s">
        <v>625</v>
      </c>
      <c r="O69" t="s">
        <v>898</v>
      </c>
      <c r="P69" t="s">
        <v>739</v>
      </c>
      <c r="Q69" t="s">
        <v>467</v>
      </c>
      <c r="R69" t="s">
        <v>724</v>
      </c>
      <c r="S69" t="s">
        <v>984</v>
      </c>
      <c r="T69" t="s">
        <v>613</v>
      </c>
      <c r="U69">
        <v>126702</v>
      </c>
      <c r="V69" t="s">
        <v>985</v>
      </c>
      <c r="W69" t="s">
        <v>900</v>
      </c>
      <c r="X69" t="s">
        <v>727</v>
      </c>
      <c r="Y69" t="s">
        <v>728</v>
      </c>
      <c r="Z69" t="s">
        <v>729</v>
      </c>
      <c r="AA69" t="s">
        <v>730</v>
      </c>
      <c r="AB69" t="s">
        <v>731</v>
      </c>
      <c r="AC69">
        <v>99029</v>
      </c>
      <c r="AD69" t="s">
        <v>986</v>
      </c>
      <c r="AE69">
        <v>-36.879790970000002</v>
      </c>
      <c r="AF69">
        <v>174.62901073</v>
      </c>
      <c r="AG69" s="175">
        <v>40</v>
      </c>
      <c r="AH69" s="175">
        <v>0</v>
      </c>
      <c r="AI69" s="175">
        <v>0</v>
      </c>
      <c r="AJ69" s="175">
        <v>0</v>
      </c>
      <c r="AK69" s="175">
        <v>12</v>
      </c>
      <c r="AL69" s="175">
        <v>15</v>
      </c>
      <c r="AM69" s="175">
        <v>15</v>
      </c>
      <c r="AN69" s="175">
        <v>2</v>
      </c>
      <c r="AO69" s="175">
        <v>44</v>
      </c>
      <c r="AP69" s="175">
        <v>23</v>
      </c>
      <c r="AQ69" s="175">
        <v>9</v>
      </c>
      <c r="AR69" s="175">
        <v>8</v>
      </c>
      <c r="AS69" s="175">
        <v>17</v>
      </c>
      <c r="AT69" s="175">
        <v>3</v>
      </c>
    </row>
    <row r="70" spans="1:46">
      <c r="A70">
        <v>5055</v>
      </c>
      <c r="B70" t="s">
        <v>987</v>
      </c>
      <c r="C70" t="s">
        <v>988</v>
      </c>
      <c r="D70" t="s">
        <v>989</v>
      </c>
      <c r="E70" t="s">
        <v>990</v>
      </c>
      <c r="F70" t="s">
        <v>862</v>
      </c>
      <c r="G70" t="s">
        <v>737</v>
      </c>
      <c r="H70" t="s">
        <v>452</v>
      </c>
      <c r="J70" t="s">
        <v>605</v>
      </c>
      <c r="K70" t="s">
        <v>606</v>
      </c>
      <c r="M70" t="s">
        <v>607</v>
      </c>
      <c r="N70" t="s">
        <v>657</v>
      </c>
      <c r="O70" t="s">
        <v>792</v>
      </c>
      <c r="P70" t="s">
        <v>739</v>
      </c>
      <c r="Q70" t="s">
        <v>467</v>
      </c>
      <c r="R70" t="s">
        <v>793</v>
      </c>
      <c r="S70" t="s">
        <v>791</v>
      </c>
      <c r="T70" t="s">
        <v>794</v>
      </c>
      <c r="U70">
        <v>152201</v>
      </c>
      <c r="V70" t="s">
        <v>991</v>
      </c>
      <c r="W70" t="s">
        <v>796</v>
      </c>
      <c r="X70" t="s">
        <v>727</v>
      </c>
      <c r="Y70" t="s">
        <v>728</v>
      </c>
      <c r="Z70" t="s">
        <v>729</v>
      </c>
      <c r="AA70" t="s">
        <v>730</v>
      </c>
      <c r="AB70" t="s">
        <v>731</v>
      </c>
      <c r="AE70">
        <v>-36.899208809999998</v>
      </c>
      <c r="AF70">
        <v>174.91548251</v>
      </c>
      <c r="AG70" s="175">
        <v>40</v>
      </c>
      <c r="AH70" s="175">
        <v>0</v>
      </c>
      <c r="AI70" s="175">
        <v>0</v>
      </c>
      <c r="AJ70" s="175">
        <v>0</v>
      </c>
      <c r="AK70" s="175">
        <v>9</v>
      </c>
      <c r="AL70" s="175">
        <v>15</v>
      </c>
      <c r="AM70" s="175">
        <v>16</v>
      </c>
      <c r="AN70" s="175">
        <v>3</v>
      </c>
      <c r="AO70" s="175">
        <v>43</v>
      </c>
      <c r="AP70" s="175">
        <v>17</v>
      </c>
      <c r="AQ70" s="175">
        <v>3</v>
      </c>
      <c r="AR70" s="175">
        <v>5</v>
      </c>
      <c r="AS70" s="175">
        <v>23</v>
      </c>
      <c r="AT70" s="175">
        <v>1</v>
      </c>
    </row>
    <row r="71" spans="1:46">
      <c r="A71">
        <v>5056</v>
      </c>
      <c r="B71" t="s">
        <v>992</v>
      </c>
      <c r="C71" t="s">
        <v>993</v>
      </c>
      <c r="D71" t="s">
        <v>994</v>
      </c>
      <c r="E71" t="s">
        <v>995</v>
      </c>
      <c r="F71" t="s">
        <v>996</v>
      </c>
      <c r="G71" t="s">
        <v>737</v>
      </c>
      <c r="H71" t="s">
        <v>452</v>
      </c>
      <c r="J71" t="s">
        <v>605</v>
      </c>
      <c r="K71" t="s">
        <v>606</v>
      </c>
      <c r="M71" t="s">
        <v>607</v>
      </c>
      <c r="N71" t="s">
        <v>643</v>
      </c>
      <c r="O71" t="s">
        <v>997</v>
      </c>
      <c r="P71" t="s">
        <v>739</v>
      </c>
      <c r="Q71" t="s">
        <v>467</v>
      </c>
      <c r="R71" t="s">
        <v>793</v>
      </c>
      <c r="S71" t="s">
        <v>998</v>
      </c>
      <c r="T71" t="s">
        <v>794</v>
      </c>
      <c r="U71">
        <v>142101</v>
      </c>
      <c r="V71" t="s">
        <v>999</v>
      </c>
      <c r="W71" t="s">
        <v>945</v>
      </c>
      <c r="X71" t="s">
        <v>727</v>
      </c>
      <c r="Y71" t="s">
        <v>728</v>
      </c>
      <c r="Z71" t="s">
        <v>729</v>
      </c>
      <c r="AA71" t="s">
        <v>730</v>
      </c>
      <c r="AB71" t="s">
        <v>731</v>
      </c>
      <c r="AE71">
        <v>-36.923834569999997</v>
      </c>
      <c r="AF71">
        <v>174.74420651</v>
      </c>
      <c r="AG71" s="175">
        <v>40</v>
      </c>
      <c r="AH71" s="175">
        <v>0</v>
      </c>
      <c r="AI71" s="175">
        <v>0</v>
      </c>
      <c r="AJ71" s="175">
        <v>0</v>
      </c>
      <c r="AK71" s="175">
        <v>6</v>
      </c>
      <c r="AL71" s="175">
        <v>22</v>
      </c>
      <c r="AM71" s="175">
        <v>28</v>
      </c>
      <c r="AN71" s="175">
        <v>0</v>
      </c>
      <c r="AO71" s="175">
        <v>56</v>
      </c>
      <c r="AP71" s="175">
        <v>13</v>
      </c>
      <c r="AQ71" s="175">
        <v>6</v>
      </c>
      <c r="AR71" s="175">
        <v>17</v>
      </c>
      <c r="AS71" s="175">
        <v>34</v>
      </c>
      <c r="AT71" s="175">
        <v>2</v>
      </c>
    </row>
    <row r="72" spans="1:46">
      <c r="A72">
        <v>5057</v>
      </c>
      <c r="B72" t="s">
        <v>1000</v>
      </c>
      <c r="C72" t="s">
        <v>1001</v>
      </c>
      <c r="D72" t="s">
        <v>1002</v>
      </c>
      <c r="E72" t="s">
        <v>1003</v>
      </c>
      <c r="F72" t="s">
        <v>1004</v>
      </c>
      <c r="G72" t="s">
        <v>737</v>
      </c>
      <c r="H72" t="s">
        <v>452</v>
      </c>
      <c r="J72" t="s">
        <v>605</v>
      </c>
      <c r="K72" t="s">
        <v>606</v>
      </c>
      <c r="M72" t="s">
        <v>607</v>
      </c>
      <c r="N72" t="s">
        <v>657</v>
      </c>
      <c r="O72" t="s">
        <v>898</v>
      </c>
      <c r="P72" t="s">
        <v>739</v>
      </c>
      <c r="Q72" t="s">
        <v>467</v>
      </c>
      <c r="R72" t="s">
        <v>724</v>
      </c>
      <c r="S72" t="s">
        <v>824</v>
      </c>
      <c r="T72" t="s">
        <v>613</v>
      </c>
      <c r="U72">
        <v>119800</v>
      </c>
      <c r="V72" t="s">
        <v>1005</v>
      </c>
      <c r="W72" t="s">
        <v>900</v>
      </c>
      <c r="X72" t="s">
        <v>727</v>
      </c>
      <c r="Y72" t="s">
        <v>728</v>
      </c>
      <c r="Z72" t="s">
        <v>729</v>
      </c>
      <c r="AA72" t="s">
        <v>730</v>
      </c>
      <c r="AB72" t="s">
        <v>731</v>
      </c>
      <c r="AC72">
        <v>99129</v>
      </c>
      <c r="AD72" t="s">
        <v>1006</v>
      </c>
      <c r="AE72">
        <v>-36.813449349999999</v>
      </c>
      <c r="AF72">
        <v>174.62227003999999</v>
      </c>
      <c r="AG72" s="175">
        <v>40</v>
      </c>
      <c r="AH72" s="175">
        <v>0</v>
      </c>
      <c r="AI72" s="175">
        <v>0</v>
      </c>
      <c r="AJ72" s="175">
        <v>0</v>
      </c>
      <c r="AK72" s="175">
        <v>3</v>
      </c>
      <c r="AL72" s="175">
        <v>9</v>
      </c>
      <c r="AM72" s="175">
        <v>35</v>
      </c>
      <c r="AN72" s="175">
        <v>0</v>
      </c>
      <c r="AO72" s="175">
        <v>47</v>
      </c>
      <c r="AP72" s="175">
        <v>21</v>
      </c>
      <c r="AQ72" s="175">
        <v>7</v>
      </c>
      <c r="AR72" s="175">
        <v>4</v>
      </c>
      <c r="AS72" s="175">
        <v>25</v>
      </c>
      <c r="AT72" s="175">
        <v>0</v>
      </c>
    </row>
    <row r="73" spans="1:46">
      <c r="A73">
        <v>5058</v>
      </c>
      <c r="B73" t="s">
        <v>1007</v>
      </c>
      <c r="C73" t="s">
        <v>1008</v>
      </c>
      <c r="D73" t="s">
        <v>1009</v>
      </c>
      <c r="E73" t="s">
        <v>1010</v>
      </c>
      <c r="F73" t="s">
        <v>862</v>
      </c>
      <c r="G73" t="s">
        <v>737</v>
      </c>
      <c r="H73" t="s">
        <v>452</v>
      </c>
      <c r="J73" t="s">
        <v>605</v>
      </c>
      <c r="K73" t="s">
        <v>606</v>
      </c>
      <c r="M73" t="s">
        <v>607</v>
      </c>
      <c r="N73" t="s">
        <v>657</v>
      </c>
      <c r="O73" t="s">
        <v>792</v>
      </c>
      <c r="P73" t="s">
        <v>739</v>
      </c>
      <c r="Q73" t="s">
        <v>467</v>
      </c>
      <c r="R73" t="s">
        <v>793</v>
      </c>
      <c r="S73" t="s">
        <v>791</v>
      </c>
      <c r="T73" t="s">
        <v>794</v>
      </c>
      <c r="U73">
        <v>152000</v>
      </c>
      <c r="V73" t="s">
        <v>1011</v>
      </c>
      <c r="W73" t="s">
        <v>796</v>
      </c>
      <c r="X73" t="s">
        <v>727</v>
      </c>
      <c r="Y73" t="s">
        <v>728</v>
      </c>
      <c r="Z73" t="s">
        <v>729</v>
      </c>
      <c r="AA73" t="s">
        <v>730</v>
      </c>
      <c r="AB73" t="s">
        <v>731</v>
      </c>
      <c r="AE73">
        <v>-36.895696409999999</v>
      </c>
      <c r="AF73">
        <v>174.92759558</v>
      </c>
      <c r="AG73" s="175">
        <v>40</v>
      </c>
      <c r="AH73" s="175">
        <v>0</v>
      </c>
      <c r="AI73" s="175">
        <v>0</v>
      </c>
      <c r="AJ73" s="175">
        <v>0</v>
      </c>
      <c r="AK73" s="175">
        <v>14</v>
      </c>
      <c r="AL73" s="175">
        <v>18</v>
      </c>
      <c r="AM73" s="175">
        <v>13</v>
      </c>
      <c r="AN73" s="175">
        <v>0</v>
      </c>
      <c r="AO73" s="175">
        <v>45</v>
      </c>
      <c r="AP73" s="175">
        <v>28</v>
      </c>
      <c r="AQ73" s="175">
        <v>7</v>
      </c>
      <c r="AR73" s="175">
        <v>3</v>
      </c>
      <c r="AS73" s="175">
        <v>19</v>
      </c>
      <c r="AT73" s="175">
        <v>2</v>
      </c>
    </row>
    <row r="74" spans="1:46">
      <c r="A74">
        <v>5059</v>
      </c>
      <c r="B74" t="s">
        <v>1012</v>
      </c>
      <c r="C74" t="s">
        <v>1013</v>
      </c>
      <c r="E74" t="s">
        <v>1014</v>
      </c>
      <c r="F74" t="s">
        <v>932</v>
      </c>
      <c r="G74" t="s">
        <v>737</v>
      </c>
      <c r="H74" t="s">
        <v>452</v>
      </c>
      <c r="J74" t="s">
        <v>605</v>
      </c>
      <c r="K74" t="s">
        <v>606</v>
      </c>
      <c r="M74" t="s">
        <v>607</v>
      </c>
      <c r="N74" t="s">
        <v>812</v>
      </c>
      <c r="O74" t="s">
        <v>933</v>
      </c>
      <c r="P74" t="s">
        <v>739</v>
      </c>
      <c r="Q74" t="s">
        <v>467</v>
      </c>
      <c r="R74" t="s">
        <v>814</v>
      </c>
      <c r="S74" t="s">
        <v>934</v>
      </c>
      <c r="T74" t="s">
        <v>794</v>
      </c>
      <c r="U74">
        <v>148901</v>
      </c>
      <c r="V74" t="s">
        <v>1015</v>
      </c>
      <c r="W74" t="s">
        <v>817</v>
      </c>
      <c r="X74" t="s">
        <v>727</v>
      </c>
      <c r="Y74" t="s">
        <v>728</v>
      </c>
      <c r="Z74" t="s">
        <v>729</v>
      </c>
      <c r="AA74" t="s">
        <v>730</v>
      </c>
      <c r="AB74" t="s">
        <v>731</v>
      </c>
      <c r="AE74">
        <v>-36.9665471</v>
      </c>
      <c r="AF74">
        <v>174.79274849999999</v>
      </c>
      <c r="AG74" s="175">
        <v>45</v>
      </c>
      <c r="AH74" s="175">
        <v>0</v>
      </c>
      <c r="AI74" s="175">
        <v>0</v>
      </c>
      <c r="AJ74" s="175">
        <v>0</v>
      </c>
      <c r="AK74" s="175">
        <v>2</v>
      </c>
      <c r="AL74" s="175">
        <v>10</v>
      </c>
      <c r="AM74" s="175">
        <v>17</v>
      </c>
      <c r="AN74" s="175">
        <v>1</v>
      </c>
      <c r="AO74" s="175">
        <v>30</v>
      </c>
      <c r="AP74" s="175">
        <v>2</v>
      </c>
      <c r="AQ74" s="175">
        <v>5</v>
      </c>
      <c r="AR74" s="175">
        <v>29</v>
      </c>
      <c r="AS74" s="175">
        <v>0</v>
      </c>
      <c r="AT74" s="175">
        <v>1</v>
      </c>
    </row>
    <row r="75" spans="1:46">
      <c r="A75">
        <v>5060</v>
      </c>
      <c r="B75" t="s">
        <v>1016</v>
      </c>
      <c r="C75" t="s">
        <v>1017</v>
      </c>
      <c r="D75" t="s">
        <v>1018</v>
      </c>
      <c r="E75" t="s">
        <v>1019</v>
      </c>
      <c r="F75" t="s">
        <v>848</v>
      </c>
      <c r="G75" t="s">
        <v>737</v>
      </c>
      <c r="H75" t="s">
        <v>452</v>
      </c>
      <c r="J75" t="s">
        <v>605</v>
      </c>
      <c r="K75" t="s">
        <v>606</v>
      </c>
      <c r="M75" t="s">
        <v>607</v>
      </c>
      <c r="N75" t="s">
        <v>657</v>
      </c>
      <c r="O75" t="s">
        <v>823</v>
      </c>
      <c r="P75" t="s">
        <v>739</v>
      </c>
      <c r="Q75" t="s">
        <v>467</v>
      </c>
      <c r="R75" t="s">
        <v>724</v>
      </c>
      <c r="S75" t="s">
        <v>841</v>
      </c>
      <c r="T75" t="s">
        <v>613</v>
      </c>
      <c r="U75">
        <v>123900</v>
      </c>
      <c r="V75" t="s">
        <v>1020</v>
      </c>
      <c r="W75" t="s">
        <v>826</v>
      </c>
      <c r="X75" t="s">
        <v>727</v>
      </c>
      <c r="Y75" t="s">
        <v>728</v>
      </c>
      <c r="Z75" t="s">
        <v>729</v>
      </c>
      <c r="AA75" t="s">
        <v>730</v>
      </c>
      <c r="AB75" t="s">
        <v>731</v>
      </c>
      <c r="AC75">
        <v>99214</v>
      </c>
      <c r="AD75" t="s">
        <v>843</v>
      </c>
      <c r="AE75">
        <v>-36.804720670000002</v>
      </c>
      <c r="AF75">
        <v>174.69824158</v>
      </c>
      <c r="AG75" s="175">
        <v>40</v>
      </c>
      <c r="AH75" s="175">
        <v>0</v>
      </c>
      <c r="AI75" s="175">
        <v>0</v>
      </c>
      <c r="AJ75" s="175">
        <v>0</v>
      </c>
      <c r="AK75" s="175">
        <v>10</v>
      </c>
      <c r="AL75" s="175">
        <v>17</v>
      </c>
      <c r="AM75" s="175">
        <v>17</v>
      </c>
      <c r="AN75" s="175">
        <v>0</v>
      </c>
      <c r="AO75" s="175">
        <v>44</v>
      </c>
      <c r="AP75" s="175">
        <v>41</v>
      </c>
      <c r="AQ75" s="175">
        <v>7</v>
      </c>
      <c r="AR75" s="175">
        <v>5</v>
      </c>
      <c r="AS75" s="175">
        <v>7</v>
      </c>
      <c r="AT75" s="175">
        <v>3</v>
      </c>
    </row>
    <row r="76" spans="1:46">
      <c r="A76">
        <v>5061</v>
      </c>
      <c r="B76" t="s">
        <v>1021</v>
      </c>
      <c r="C76" t="s">
        <v>1022</v>
      </c>
      <c r="D76" t="s">
        <v>1023</v>
      </c>
      <c r="E76" t="s">
        <v>1024</v>
      </c>
      <c r="F76" t="s">
        <v>932</v>
      </c>
      <c r="G76" t="s">
        <v>737</v>
      </c>
      <c r="H76" t="s">
        <v>452</v>
      </c>
      <c r="J76" t="s">
        <v>605</v>
      </c>
      <c r="K76" t="s">
        <v>606</v>
      </c>
      <c r="M76" t="s">
        <v>607</v>
      </c>
      <c r="N76" t="s">
        <v>812</v>
      </c>
      <c r="O76" t="s">
        <v>933</v>
      </c>
      <c r="P76" t="s">
        <v>739</v>
      </c>
      <c r="Q76" t="s">
        <v>467</v>
      </c>
      <c r="R76" t="s">
        <v>814</v>
      </c>
      <c r="S76" t="s">
        <v>934</v>
      </c>
      <c r="T76" t="s">
        <v>794</v>
      </c>
      <c r="U76">
        <v>150200</v>
      </c>
      <c r="V76" t="s">
        <v>1025</v>
      </c>
      <c r="W76" t="s">
        <v>817</v>
      </c>
      <c r="X76" t="s">
        <v>727</v>
      </c>
      <c r="Y76" t="s">
        <v>728</v>
      </c>
      <c r="Z76" t="s">
        <v>729</v>
      </c>
      <c r="AA76" t="s">
        <v>730</v>
      </c>
      <c r="AB76" t="s">
        <v>731</v>
      </c>
      <c r="AE76">
        <v>-36.972231200000003</v>
      </c>
      <c r="AF76">
        <v>174.80249013</v>
      </c>
      <c r="AG76" s="175">
        <v>30</v>
      </c>
      <c r="AH76" s="175">
        <v>0</v>
      </c>
      <c r="AI76" s="175">
        <v>0</v>
      </c>
      <c r="AJ76" s="175">
        <v>0</v>
      </c>
      <c r="AK76" s="175">
        <v>2</v>
      </c>
      <c r="AL76" s="175">
        <v>7</v>
      </c>
      <c r="AM76" s="175">
        <v>14</v>
      </c>
      <c r="AN76" s="175">
        <v>1</v>
      </c>
      <c r="AO76" s="175">
        <v>24</v>
      </c>
      <c r="AP76" s="175">
        <v>1</v>
      </c>
      <c r="AQ76" s="175">
        <v>9</v>
      </c>
      <c r="AR76" s="175">
        <v>17</v>
      </c>
      <c r="AS76" s="175">
        <v>2</v>
      </c>
      <c r="AT76" s="175">
        <v>1</v>
      </c>
    </row>
    <row r="77" spans="1:46">
      <c r="A77">
        <v>5062</v>
      </c>
      <c r="B77" t="s">
        <v>1026</v>
      </c>
      <c r="C77" t="s">
        <v>1027</v>
      </c>
      <c r="D77" t="s">
        <v>1028</v>
      </c>
      <c r="E77" t="s">
        <v>1029</v>
      </c>
      <c r="F77" t="s">
        <v>1030</v>
      </c>
      <c r="G77" t="s">
        <v>737</v>
      </c>
      <c r="H77" t="s">
        <v>452</v>
      </c>
      <c r="J77" t="s">
        <v>605</v>
      </c>
      <c r="K77" t="s">
        <v>606</v>
      </c>
      <c r="M77" t="s">
        <v>607</v>
      </c>
      <c r="N77" t="s">
        <v>625</v>
      </c>
      <c r="O77" t="s">
        <v>813</v>
      </c>
      <c r="P77" t="s">
        <v>739</v>
      </c>
      <c r="Q77" t="s">
        <v>467</v>
      </c>
      <c r="R77" t="s">
        <v>814</v>
      </c>
      <c r="S77" t="s">
        <v>934</v>
      </c>
      <c r="T77" t="s">
        <v>794</v>
      </c>
      <c r="U77">
        <v>153301</v>
      </c>
      <c r="V77" t="s">
        <v>1031</v>
      </c>
      <c r="W77" t="s">
        <v>817</v>
      </c>
      <c r="X77" t="s">
        <v>727</v>
      </c>
      <c r="Y77" t="s">
        <v>728</v>
      </c>
      <c r="Z77" t="s">
        <v>729</v>
      </c>
      <c r="AA77" t="s">
        <v>730</v>
      </c>
      <c r="AB77" t="s">
        <v>731</v>
      </c>
      <c r="AE77">
        <v>-36.969767920000002</v>
      </c>
      <c r="AF77">
        <v>174.83078857999999</v>
      </c>
      <c r="AG77" s="175">
        <v>40</v>
      </c>
      <c r="AH77" s="175">
        <v>0</v>
      </c>
      <c r="AI77" s="175">
        <v>0</v>
      </c>
      <c r="AJ77" s="175">
        <v>0</v>
      </c>
      <c r="AK77" s="175">
        <v>10</v>
      </c>
      <c r="AL77" s="175">
        <v>10</v>
      </c>
      <c r="AM77" s="175">
        <v>17</v>
      </c>
      <c r="AN77" s="175">
        <v>1</v>
      </c>
      <c r="AO77" s="175">
        <v>38</v>
      </c>
      <c r="AP77" s="175">
        <v>4</v>
      </c>
      <c r="AQ77" s="175">
        <v>12</v>
      </c>
      <c r="AR77" s="175">
        <v>27</v>
      </c>
      <c r="AS77" s="175">
        <v>6</v>
      </c>
      <c r="AT77" s="175">
        <v>1</v>
      </c>
    </row>
    <row r="78" spans="1:46">
      <c r="A78">
        <v>5063</v>
      </c>
      <c r="B78" t="s">
        <v>1032</v>
      </c>
      <c r="C78" t="s">
        <v>1033</v>
      </c>
      <c r="D78" t="s">
        <v>1034</v>
      </c>
      <c r="E78" t="s">
        <v>1035</v>
      </c>
      <c r="F78" t="s">
        <v>907</v>
      </c>
      <c r="G78" t="s">
        <v>737</v>
      </c>
      <c r="H78" t="s">
        <v>452</v>
      </c>
      <c r="I78" t="s">
        <v>941</v>
      </c>
      <c r="J78" t="s">
        <v>605</v>
      </c>
      <c r="K78" t="s">
        <v>606</v>
      </c>
      <c r="M78" t="s">
        <v>607</v>
      </c>
      <c r="N78" t="s">
        <v>657</v>
      </c>
      <c r="O78" t="s">
        <v>942</v>
      </c>
      <c r="P78" t="s">
        <v>739</v>
      </c>
      <c r="Q78" t="s">
        <v>467</v>
      </c>
      <c r="R78" t="s">
        <v>793</v>
      </c>
      <c r="S78" t="s">
        <v>907</v>
      </c>
      <c r="T78" t="s">
        <v>794</v>
      </c>
      <c r="U78">
        <v>140200</v>
      </c>
      <c r="V78" t="s">
        <v>1036</v>
      </c>
      <c r="W78" t="s">
        <v>945</v>
      </c>
      <c r="X78" t="s">
        <v>727</v>
      </c>
      <c r="Y78" t="s">
        <v>728</v>
      </c>
      <c r="Z78" t="s">
        <v>729</v>
      </c>
      <c r="AA78" t="s">
        <v>730</v>
      </c>
      <c r="AB78" t="s">
        <v>731</v>
      </c>
      <c r="AE78">
        <v>-36.890120750000001</v>
      </c>
      <c r="AF78">
        <v>174.76409168000001</v>
      </c>
      <c r="AG78" s="175">
        <v>43</v>
      </c>
      <c r="AH78" s="175">
        <v>0</v>
      </c>
      <c r="AI78" s="175">
        <v>0</v>
      </c>
      <c r="AJ78" s="175">
        <v>0</v>
      </c>
      <c r="AK78" s="175">
        <v>1</v>
      </c>
      <c r="AL78" s="175">
        <v>8</v>
      </c>
      <c r="AM78" s="175">
        <v>19</v>
      </c>
      <c r="AN78" s="175">
        <v>2</v>
      </c>
      <c r="AO78" s="175">
        <v>30</v>
      </c>
      <c r="AP78" s="175">
        <v>5</v>
      </c>
      <c r="AQ78" s="175">
        <v>0</v>
      </c>
      <c r="AR78" s="175">
        <v>1</v>
      </c>
      <c r="AS78" s="175">
        <v>26</v>
      </c>
      <c r="AT78" s="175">
        <v>3</v>
      </c>
    </row>
    <row r="79" spans="1:46">
      <c r="A79">
        <v>5064</v>
      </c>
      <c r="B79" t="s">
        <v>1037</v>
      </c>
      <c r="C79" t="s">
        <v>1038</v>
      </c>
      <c r="D79" t="s">
        <v>1039</v>
      </c>
      <c r="E79" t="s">
        <v>1040</v>
      </c>
      <c r="F79" t="s">
        <v>1041</v>
      </c>
      <c r="G79" t="s">
        <v>737</v>
      </c>
      <c r="H79" t="s">
        <v>452</v>
      </c>
      <c r="J79" t="s">
        <v>605</v>
      </c>
      <c r="K79" t="s">
        <v>606</v>
      </c>
      <c r="M79" t="s">
        <v>607</v>
      </c>
      <c r="N79" t="s">
        <v>657</v>
      </c>
      <c r="O79" t="s">
        <v>1042</v>
      </c>
      <c r="P79" t="s">
        <v>739</v>
      </c>
      <c r="Q79" t="s">
        <v>467</v>
      </c>
      <c r="R79" t="s">
        <v>793</v>
      </c>
      <c r="S79" t="s">
        <v>1043</v>
      </c>
      <c r="T79" t="s">
        <v>794</v>
      </c>
      <c r="U79">
        <v>131801</v>
      </c>
      <c r="V79" t="s">
        <v>1041</v>
      </c>
      <c r="W79" t="s">
        <v>1044</v>
      </c>
      <c r="X79" t="s">
        <v>727</v>
      </c>
      <c r="Y79" t="s">
        <v>728</v>
      </c>
      <c r="Z79" t="s">
        <v>729</v>
      </c>
      <c r="AA79" t="s">
        <v>730</v>
      </c>
      <c r="AB79" t="s">
        <v>731</v>
      </c>
      <c r="AE79">
        <v>-36.854866319999999</v>
      </c>
      <c r="AF79">
        <v>174.75222281000001</v>
      </c>
      <c r="AG79" s="175">
        <v>40</v>
      </c>
      <c r="AH79" s="175">
        <v>0</v>
      </c>
      <c r="AI79" s="175">
        <v>0</v>
      </c>
      <c r="AJ79" s="175">
        <v>0</v>
      </c>
      <c r="AK79" s="175">
        <v>3</v>
      </c>
      <c r="AL79" s="175">
        <v>21</v>
      </c>
      <c r="AM79" s="175">
        <v>10</v>
      </c>
      <c r="AN79" s="175">
        <v>5</v>
      </c>
      <c r="AO79" s="175">
        <v>39</v>
      </c>
      <c r="AP79" s="175">
        <v>6</v>
      </c>
      <c r="AQ79" s="175">
        <v>1</v>
      </c>
      <c r="AR79" s="175">
        <v>5</v>
      </c>
      <c r="AS79" s="175">
        <v>26</v>
      </c>
      <c r="AT79" s="175">
        <v>5</v>
      </c>
    </row>
    <row r="80" spans="1:46">
      <c r="A80">
        <v>5065</v>
      </c>
      <c r="B80" t="s">
        <v>1045</v>
      </c>
      <c r="C80" t="s">
        <v>1046</v>
      </c>
      <c r="D80" t="s">
        <v>1047</v>
      </c>
      <c r="E80" t="s">
        <v>1048</v>
      </c>
      <c r="F80" t="s">
        <v>1049</v>
      </c>
      <c r="G80" t="s">
        <v>737</v>
      </c>
      <c r="H80" t="s">
        <v>452</v>
      </c>
      <c r="J80" t="s">
        <v>605</v>
      </c>
      <c r="K80" t="s">
        <v>606</v>
      </c>
      <c r="M80" t="s">
        <v>607</v>
      </c>
      <c r="N80" t="s">
        <v>657</v>
      </c>
      <c r="O80" t="s">
        <v>997</v>
      </c>
      <c r="P80" t="s">
        <v>739</v>
      </c>
      <c r="Q80" t="s">
        <v>467</v>
      </c>
      <c r="R80" t="s">
        <v>793</v>
      </c>
      <c r="S80" t="s">
        <v>998</v>
      </c>
      <c r="T80" t="s">
        <v>794</v>
      </c>
      <c r="U80">
        <v>140901</v>
      </c>
      <c r="V80" t="s">
        <v>1050</v>
      </c>
      <c r="W80" t="s">
        <v>945</v>
      </c>
      <c r="X80" t="s">
        <v>727</v>
      </c>
      <c r="Y80" t="s">
        <v>728</v>
      </c>
      <c r="Z80" t="s">
        <v>729</v>
      </c>
      <c r="AA80" t="s">
        <v>730</v>
      </c>
      <c r="AB80" t="s">
        <v>731</v>
      </c>
      <c r="AC80">
        <v>99012</v>
      </c>
      <c r="AD80" t="s">
        <v>857</v>
      </c>
      <c r="AE80">
        <v>-36.932737490000001</v>
      </c>
      <c r="AF80">
        <v>174.72025907</v>
      </c>
      <c r="AG80" s="175">
        <v>40</v>
      </c>
      <c r="AH80" s="175">
        <v>0</v>
      </c>
      <c r="AI80" s="175">
        <v>0</v>
      </c>
      <c r="AJ80" s="175">
        <v>0</v>
      </c>
      <c r="AK80" s="175">
        <v>8</v>
      </c>
      <c r="AL80" s="175">
        <v>13</v>
      </c>
      <c r="AM80" s="175">
        <v>24</v>
      </c>
      <c r="AN80" s="175">
        <v>2</v>
      </c>
      <c r="AO80" s="175">
        <v>47</v>
      </c>
      <c r="AP80" s="175">
        <v>11</v>
      </c>
      <c r="AQ80" s="175">
        <v>5</v>
      </c>
      <c r="AR80" s="175">
        <v>7</v>
      </c>
      <c r="AS80" s="175">
        <v>34</v>
      </c>
      <c r="AT80" s="175">
        <v>4</v>
      </c>
    </row>
    <row r="81" spans="1:46">
      <c r="A81">
        <v>5066</v>
      </c>
      <c r="B81" t="s">
        <v>1051</v>
      </c>
      <c r="C81" t="s">
        <v>1052</v>
      </c>
      <c r="D81" t="s">
        <v>1053</v>
      </c>
      <c r="E81" t="s">
        <v>1054</v>
      </c>
      <c r="F81" t="s">
        <v>932</v>
      </c>
      <c r="G81" t="s">
        <v>737</v>
      </c>
      <c r="H81" t="s">
        <v>452</v>
      </c>
      <c r="J81" t="s">
        <v>605</v>
      </c>
      <c r="K81" t="s">
        <v>606</v>
      </c>
      <c r="M81" t="s">
        <v>607</v>
      </c>
      <c r="N81" t="s">
        <v>812</v>
      </c>
      <c r="O81" t="s">
        <v>933</v>
      </c>
      <c r="P81" t="s">
        <v>739</v>
      </c>
      <c r="Q81" t="s">
        <v>467</v>
      </c>
      <c r="R81" t="s">
        <v>814</v>
      </c>
      <c r="S81" t="s">
        <v>934</v>
      </c>
      <c r="T81" t="s">
        <v>794</v>
      </c>
      <c r="U81">
        <v>150000</v>
      </c>
      <c r="V81" t="s">
        <v>1055</v>
      </c>
      <c r="W81" t="s">
        <v>817</v>
      </c>
      <c r="X81" t="s">
        <v>727</v>
      </c>
      <c r="Y81" t="s">
        <v>728</v>
      </c>
      <c r="Z81" t="s">
        <v>729</v>
      </c>
      <c r="AA81" t="s">
        <v>730</v>
      </c>
      <c r="AB81" t="s">
        <v>731</v>
      </c>
      <c r="AE81">
        <v>-36.96300171</v>
      </c>
      <c r="AF81">
        <v>174.81082168</v>
      </c>
      <c r="AG81" s="175">
        <v>30</v>
      </c>
      <c r="AH81" s="175">
        <v>0</v>
      </c>
      <c r="AI81" s="175">
        <v>0</v>
      </c>
      <c r="AJ81" s="175">
        <v>0</v>
      </c>
      <c r="AK81" s="175">
        <v>0</v>
      </c>
      <c r="AL81" s="175">
        <v>12</v>
      </c>
      <c r="AM81" s="175">
        <v>16</v>
      </c>
      <c r="AN81" s="175">
        <v>2</v>
      </c>
      <c r="AO81" s="175">
        <v>30</v>
      </c>
      <c r="AP81" s="175">
        <v>0</v>
      </c>
      <c r="AQ81" s="175">
        <v>4</v>
      </c>
      <c r="AR81" s="175">
        <v>27</v>
      </c>
      <c r="AS81" s="175">
        <v>0</v>
      </c>
      <c r="AT81" s="175">
        <v>1</v>
      </c>
    </row>
    <row r="82" spans="1:46">
      <c r="A82">
        <v>5067</v>
      </c>
      <c r="B82" t="s">
        <v>1056</v>
      </c>
      <c r="C82" t="s">
        <v>1057</v>
      </c>
      <c r="D82" t="s">
        <v>1058</v>
      </c>
      <c r="E82" t="s">
        <v>1059</v>
      </c>
      <c r="F82" t="s">
        <v>1060</v>
      </c>
      <c r="G82" t="s">
        <v>737</v>
      </c>
      <c r="H82" t="s">
        <v>452</v>
      </c>
      <c r="J82" t="s">
        <v>605</v>
      </c>
      <c r="K82" t="s">
        <v>606</v>
      </c>
      <c r="M82" t="s">
        <v>607</v>
      </c>
      <c r="N82" t="s">
        <v>657</v>
      </c>
      <c r="O82" t="s">
        <v>933</v>
      </c>
      <c r="P82" t="s">
        <v>739</v>
      </c>
      <c r="Q82" t="s">
        <v>467</v>
      </c>
      <c r="R82" t="s">
        <v>793</v>
      </c>
      <c r="S82" t="s">
        <v>934</v>
      </c>
      <c r="T82" t="s">
        <v>794</v>
      </c>
      <c r="U82">
        <v>146100</v>
      </c>
      <c r="V82" t="s">
        <v>1061</v>
      </c>
      <c r="W82" t="s">
        <v>817</v>
      </c>
      <c r="X82" t="s">
        <v>727</v>
      </c>
      <c r="Y82" t="s">
        <v>728</v>
      </c>
      <c r="Z82" t="s">
        <v>729</v>
      </c>
      <c r="AA82" t="s">
        <v>730</v>
      </c>
      <c r="AB82" t="s">
        <v>731</v>
      </c>
      <c r="AC82">
        <v>99190</v>
      </c>
      <c r="AD82" t="s">
        <v>916</v>
      </c>
      <c r="AE82">
        <v>-36.94696562</v>
      </c>
      <c r="AF82">
        <v>174.77322989000001</v>
      </c>
      <c r="AG82" s="175">
        <v>40</v>
      </c>
      <c r="AH82" s="175">
        <v>0</v>
      </c>
      <c r="AI82" s="175">
        <v>0</v>
      </c>
      <c r="AJ82" s="175">
        <v>0</v>
      </c>
      <c r="AK82" s="175">
        <v>0</v>
      </c>
      <c r="AL82" s="175">
        <v>19</v>
      </c>
      <c r="AM82" s="175">
        <v>22</v>
      </c>
      <c r="AN82" s="175">
        <v>2</v>
      </c>
      <c r="AO82" s="175">
        <v>43</v>
      </c>
      <c r="AP82" s="175">
        <v>27</v>
      </c>
      <c r="AQ82" s="175">
        <v>12</v>
      </c>
      <c r="AR82" s="175">
        <v>14</v>
      </c>
      <c r="AS82" s="175">
        <v>6</v>
      </c>
      <c r="AT82" s="175">
        <v>1</v>
      </c>
    </row>
    <row r="83" spans="1:46">
      <c r="A83">
        <v>5068</v>
      </c>
      <c r="B83" t="s">
        <v>1062</v>
      </c>
      <c r="C83" t="s">
        <v>1063</v>
      </c>
      <c r="D83" t="s">
        <v>1064</v>
      </c>
      <c r="E83" t="s">
        <v>1065</v>
      </c>
      <c r="F83" t="s">
        <v>822</v>
      </c>
      <c r="G83" t="s">
        <v>737</v>
      </c>
      <c r="H83" t="s">
        <v>452</v>
      </c>
      <c r="J83" t="s">
        <v>605</v>
      </c>
      <c r="K83" t="s">
        <v>606</v>
      </c>
      <c r="M83" t="s">
        <v>607</v>
      </c>
      <c r="N83" t="s">
        <v>657</v>
      </c>
      <c r="O83" t="s">
        <v>823</v>
      </c>
      <c r="P83" t="s">
        <v>739</v>
      </c>
      <c r="Q83" t="s">
        <v>467</v>
      </c>
      <c r="R83" t="s">
        <v>724</v>
      </c>
      <c r="S83" t="s">
        <v>841</v>
      </c>
      <c r="T83" t="s">
        <v>613</v>
      </c>
      <c r="U83">
        <v>124000</v>
      </c>
      <c r="V83" t="s">
        <v>1066</v>
      </c>
      <c r="W83" t="s">
        <v>826</v>
      </c>
      <c r="X83" t="s">
        <v>727</v>
      </c>
      <c r="Y83" t="s">
        <v>728</v>
      </c>
      <c r="Z83" t="s">
        <v>729</v>
      </c>
      <c r="AA83" t="s">
        <v>730</v>
      </c>
      <c r="AB83" t="s">
        <v>731</v>
      </c>
      <c r="AC83">
        <v>99120</v>
      </c>
      <c r="AD83" t="s">
        <v>827</v>
      </c>
      <c r="AE83">
        <v>-36.788960770000003</v>
      </c>
      <c r="AF83">
        <v>174.72759705000001</v>
      </c>
      <c r="AG83" s="175">
        <v>40</v>
      </c>
      <c r="AH83" s="175">
        <v>0</v>
      </c>
      <c r="AI83" s="175">
        <v>0</v>
      </c>
      <c r="AJ83" s="175">
        <v>0</v>
      </c>
      <c r="AK83" s="175">
        <v>0</v>
      </c>
      <c r="AL83" s="175">
        <v>27</v>
      </c>
      <c r="AM83" s="175">
        <v>26</v>
      </c>
      <c r="AN83" s="175">
        <v>1</v>
      </c>
      <c r="AO83" s="175">
        <v>54</v>
      </c>
      <c r="AP83" s="175">
        <v>29</v>
      </c>
      <c r="AQ83" s="175">
        <v>3</v>
      </c>
      <c r="AR83" s="175">
        <v>2</v>
      </c>
      <c r="AS83" s="175">
        <v>30</v>
      </c>
      <c r="AT83" s="175">
        <v>1</v>
      </c>
    </row>
    <row r="84" spans="1:46">
      <c r="A84">
        <v>5069</v>
      </c>
      <c r="B84" t="s">
        <v>1067</v>
      </c>
      <c r="C84" t="s">
        <v>1068</v>
      </c>
      <c r="D84" t="s">
        <v>1069</v>
      </c>
      <c r="E84" t="s">
        <v>1070</v>
      </c>
      <c r="F84" t="s">
        <v>897</v>
      </c>
      <c r="G84" t="s">
        <v>737</v>
      </c>
      <c r="H84" t="s">
        <v>452</v>
      </c>
      <c r="J84" t="s">
        <v>605</v>
      </c>
      <c r="K84" t="s">
        <v>606</v>
      </c>
      <c r="M84" t="s">
        <v>607</v>
      </c>
      <c r="N84" t="s">
        <v>643</v>
      </c>
      <c r="O84" t="s">
        <v>898</v>
      </c>
      <c r="P84" t="s">
        <v>739</v>
      </c>
      <c r="Q84" t="s">
        <v>467</v>
      </c>
      <c r="R84" t="s">
        <v>724</v>
      </c>
      <c r="S84" t="s">
        <v>824</v>
      </c>
      <c r="T84" t="s">
        <v>613</v>
      </c>
      <c r="U84">
        <v>121701</v>
      </c>
      <c r="V84" t="s">
        <v>927</v>
      </c>
      <c r="W84" t="s">
        <v>900</v>
      </c>
      <c r="X84" t="s">
        <v>727</v>
      </c>
      <c r="Y84" t="s">
        <v>728</v>
      </c>
      <c r="Z84" t="s">
        <v>729</v>
      </c>
      <c r="AA84" t="s">
        <v>730</v>
      </c>
      <c r="AB84" t="s">
        <v>731</v>
      </c>
      <c r="AC84">
        <v>99125</v>
      </c>
      <c r="AD84" t="s">
        <v>901</v>
      </c>
      <c r="AE84">
        <v>-36.839429879999997</v>
      </c>
      <c r="AF84">
        <v>174.6001685</v>
      </c>
      <c r="AG84" s="175">
        <v>40</v>
      </c>
      <c r="AH84" s="175">
        <v>0</v>
      </c>
      <c r="AI84" s="175">
        <v>0</v>
      </c>
      <c r="AJ84" s="175">
        <v>0</v>
      </c>
      <c r="AK84" s="175">
        <v>8</v>
      </c>
      <c r="AL84" s="175">
        <v>15</v>
      </c>
      <c r="AM84" s="175">
        <v>27</v>
      </c>
      <c r="AN84" s="175">
        <v>0</v>
      </c>
      <c r="AO84" s="175">
        <v>50</v>
      </c>
      <c r="AP84" s="175">
        <v>30</v>
      </c>
      <c r="AQ84" s="175">
        <v>13</v>
      </c>
      <c r="AR84" s="175">
        <v>20</v>
      </c>
      <c r="AS84" s="175">
        <v>8</v>
      </c>
      <c r="AT84" s="175">
        <v>3</v>
      </c>
    </row>
    <row r="85" spans="1:46">
      <c r="A85">
        <v>5070</v>
      </c>
      <c r="B85" t="s">
        <v>1071</v>
      </c>
      <c r="C85" t="s">
        <v>1072</v>
      </c>
      <c r="D85" t="s">
        <v>1073</v>
      </c>
      <c r="E85" t="s">
        <v>1074</v>
      </c>
      <c r="F85" t="s">
        <v>811</v>
      </c>
      <c r="G85" t="s">
        <v>737</v>
      </c>
      <c r="H85" t="s">
        <v>452</v>
      </c>
      <c r="J85" t="s">
        <v>605</v>
      </c>
      <c r="K85" t="s">
        <v>606</v>
      </c>
      <c r="M85" t="s">
        <v>607</v>
      </c>
      <c r="N85" t="s">
        <v>812</v>
      </c>
      <c r="O85" t="s">
        <v>813</v>
      </c>
      <c r="P85" t="s">
        <v>739</v>
      </c>
      <c r="Q85" t="s">
        <v>467</v>
      </c>
      <c r="R85" t="s">
        <v>814</v>
      </c>
      <c r="S85" t="s">
        <v>815</v>
      </c>
      <c r="T85" t="s">
        <v>794</v>
      </c>
      <c r="U85">
        <v>155100</v>
      </c>
      <c r="V85" t="s">
        <v>1075</v>
      </c>
      <c r="W85" t="s">
        <v>817</v>
      </c>
      <c r="X85" t="s">
        <v>727</v>
      </c>
      <c r="Y85" t="s">
        <v>728</v>
      </c>
      <c r="Z85" t="s">
        <v>729</v>
      </c>
      <c r="AA85" t="s">
        <v>730</v>
      </c>
      <c r="AB85" t="s">
        <v>731</v>
      </c>
      <c r="AE85">
        <v>-36.951380669999999</v>
      </c>
      <c r="AF85">
        <v>174.88744453000001</v>
      </c>
      <c r="AG85" s="175">
        <v>40</v>
      </c>
      <c r="AH85" s="175">
        <v>0</v>
      </c>
      <c r="AI85" s="175">
        <v>0</v>
      </c>
      <c r="AJ85" s="175">
        <v>0</v>
      </c>
      <c r="AK85" s="175">
        <v>5</v>
      </c>
      <c r="AL85" s="175">
        <v>12</v>
      </c>
      <c r="AM85" s="175">
        <v>16</v>
      </c>
      <c r="AN85" s="175">
        <v>0</v>
      </c>
      <c r="AO85" s="175">
        <v>33</v>
      </c>
      <c r="AP85" s="175">
        <v>0</v>
      </c>
      <c r="AQ85" s="175">
        <v>7</v>
      </c>
      <c r="AR85" s="175">
        <v>26</v>
      </c>
      <c r="AS85" s="175">
        <v>5</v>
      </c>
      <c r="AT85" s="175">
        <v>2</v>
      </c>
    </row>
    <row r="86" spans="1:46">
      <c r="A86">
        <v>5071</v>
      </c>
      <c r="B86" t="s">
        <v>1076</v>
      </c>
      <c r="C86" t="s">
        <v>1077</v>
      </c>
      <c r="D86" t="s">
        <v>1078</v>
      </c>
      <c r="E86" t="s">
        <v>1079</v>
      </c>
      <c r="F86" t="s">
        <v>1080</v>
      </c>
      <c r="G86" t="s">
        <v>737</v>
      </c>
      <c r="H86" t="s">
        <v>452</v>
      </c>
      <c r="J86" t="s">
        <v>605</v>
      </c>
      <c r="K86" t="s">
        <v>606</v>
      </c>
      <c r="M86" t="s">
        <v>607</v>
      </c>
      <c r="N86" t="s">
        <v>657</v>
      </c>
      <c r="O86" t="s">
        <v>889</v>
      </c>
      <c r="P86" t="s">
        <v>739</v>
      </c>
      <c r="Q86" t="s">
        <v>467</v>
      </c>
      <c r="R86" t="s">
        <v>793</v>
      </c>
      <c r="S86" t="s">
        <v>965</v>
      </c>
      <c r="T86" t="s">
        <v>794</v>
      </c>
      <c r="U86">
        <v>141900</v>
      </c>
      <c r="V86" t="s">
        <v>1081</v>
      </c>
      <c r="W86" t="s">
        <v>909</v>
      </c>
      <c r="X86" t="s">
        <v>727</v>
      </c>
      <c r="Y86" t="s">
        <v>728</v>
      </c>
      <c r="Z86" t="s">
        <v>729</v>
      </c>
      <c r="AA86" t="s">
        <v>730</v>
      </c>
      <c r="AB86" t="s">
        <v>731</v>
      </c>
      <c r="AE86">
        <v>-36.869817359999999</v>
      </c>
      <c r="AF86">
        <v>174.82329179000001</v>
      </c>
      <c r="AG86" s="175">
        <v>40</v>
      </c>
      <c r="AH86" s="175">
        <v>0</v>
      </c>
      <c r="AI86" s="175">
        <v>0</v>
      </c>
      <c r="AJ86" s="175">
        <v>0</v>
      </c>
      <c r="AK86" s="175">
        <v>4</v>
      </c>
      <c r="AL86" s="175">
        <v>22</v>
      </c>
      <c r="AM86" s="175">
        <v>17</v>
      </c>
      <c r="AN86" s="175">
        <v>1</v>
      </c>
      <c r="AO86" s="175">
        <v>44</v>
      </c>
      <c r="AP86" s="175">
        <v>27</v>
      </c>
      <c r="AQ86" s="175">
        <v>8</v>
      </c>
      <c r="AR86" s="175">
        <v>3</v>
      </c>
      <c r="AS86" s="175">
        <v>17</v>
      </c>
      <c r="AT86" s="175">
        <v>2</v>
      </c>
    </row>
    <row r="87" spans="1:46">
      <c r="A87">
        <v>5072</v>
      </c>
      <c r="B87" t="s">
        <v>1082</v>
      </c>
      <c r="C87" t="s">
        <v>1083</v>
      </c>
      <c r="D87" t="s">
        <v>1084</v>
      </c>
      <c r="E87" t="s">
        <v>1085</v>
      </c>
      <c r="F87" t="s">
        <v>1086</v>
      </c>
      <c r="G87" t="s">
        <v>737</v>
      </c>
      <c r="H87" t="s">
        <v>452</v>
      </c>
      <c r="J87" t="s">
        <v>605</v>
      </c>
      <c r="K87" t="s">
        <v>606</v>
      </c>
      <c r="M87" t="s">
        <v>607</v>
      </c>
      <c r="N87" t="s">
        <v>657</v>
      </c>
      <c r="O87" t="s">
        <v>833</v>
      </c>
      <c r="P87" t="s">
        <v>739</v>
      </c>
      <c r="Q87" t="s">
        <v>467</v>
      </c>
      <c r="R87" t="s">
        <v>724</v>
      </c>
      <c r="S87" t="s">
        <v>767</v>
      </c>
      <c r="T87" t="s">
        <v>613</v>
      </c>
      <c r="U87">
        <v>125900</v>
      </c>
      <c r="V87" t="s">
        <v>1087</v>
      </c>
      <c r="W87" t="s">
        <v>826</v>
      </c>
      <c r="X87" t="s">
        <v>727</v>
      </c>
      <c r="Y87" t="s">
        <v>728</v>
      </c>
      <c r="Z87" t="s">
        <v>729</v>
      </c>
      <c r="AA87" t="s">
        <v>730</v>
      </c>
      <c r="AB87" t="s">
        <v>731</v>
      </c>
      <c r="AC87">
        <v>99188</v>
      </c>
      <c r="AD87" t="s">
        <v>871</v>
      </c>
      <c r="AE87">
        <v>-36.77528014</v>
      </c>
      <c r="AF87">
        <v>174.76748459000001</v>
      </c>
      <c r="AG87" s="175">
        <v>40</v>
      </c>
      <c r="AH87" s="175">
        <v>0</v>
      </c>
      <c r="AI87" s="175">
        <v>0</v>
      </c>
      <c r="AJ87" s="175">
        <v>0</v>
      </c>
      <c r="AK87" s="175">
        <v>9</v>
      </c>
      <c r="AL87" s="175">
        <v>12</v>
      </c>
      <c r="AM87" s="175">
        <v>33</v>
      </c>
      <c r="AN87" s="175">
        <v>1</v>
      </c>
      <c r="AO87" s="175">
        <v>55</v>
      </c>
      <c r="AP87" s="175">
        <v>39</v>
      </c>
      <c r="AQ87" s="175">
        <v>3</v>
      </c>
      <c r="AR87" s="175">
        <v>2</v>
      </c>
      <c r="AS87" s="175">
        <v>15</v>
      </c>
      <c r="AT87" s="175">
        <v>4</v>
      </c>
    </row>
    <row r="88" spans="1:46">
      <c r="A88">
        <v>5073</v>
      </c>
      <c r="B88" t="s">
        <v>1088</v>
      </c>
      <c r="C88" t="s">
        <v>1089</v>
      </c>
      <c r="D88" t="s">
        <v>1090</v>
      </c>
      <c r="E88" t="s">
        <v>1091</v>
      </c>
      <c r="F88" t="s">
        <v>1092</v>
      </c>
      <c r="G88" t="s">
        <v>737</v>
      </c>
      <c r="H88" t="s">
        <v>452</v>
      </c>
      <c r="J88" t="s">
        <v>605</v>
      </c>
      <c r="K88" t="s">
        <v>606</v>
      </c>
      <c r="M88" t="s">
        <v>607</v>
      </c>
      <c r="N88" t="s">
        <v>657</v>
      </c>
      <c r="O88" t="s">
        <v>889</v>
      </c>
      <c r="P88" t="s">
        <v>739</v>
      </c>
      <c r="Q88" t="s">
        <v>467</v>
      </c>
      <c r="R88" t="s">
        <v>793</v>
      </c>
      <c r="S88" t="s">
        <v>965</v>
      </c>
      <c r="T88" t="s">
        <v>794</v>
      </c>
      <c r="U88">
        <v>141101</v>
      </c>
      <c r="V88" t="s">
        <v>1092</v>
      </c>
      <c r="W88" t="s">
        <v>909</v>
      </c>
      <c r="X88" t="s">
        <v>727</v>
      </c>
      <c r="Y88" t="s">
        <v>728</v>
      </c>
      <c r="Z88" t="s">
        <v>729</v>
      </c>
      <c r="AA88" t="s">
        <v>730</v>
      </c>
      <c r="AB88" t="s">
        <v>731</v>
      </c>
      <c r="AE88">
        <v>-36.855582069999997</v>
      </c>
      <c r="AF88">
        <v>174.82883806999999</v>
      </c>
      <c r="AG88" s="175">
        <v>40</v>
      </c>
      <c r="AH88" s="175">
        <v>0</v>
      </c>
      <c r="AI88" s="175">
        <v>0</v>
      </c>
      <c r="AJ88" s="175">
        <v>0</v>
      </c>
      <c r="AK88" s="175">
        <v>4</v>
      </c>
      <c r="AL88" s="175">
        <v>14</v>
      </c>
      <c r="AM88" s="175">
        <v>28</v>
      </c>
      <c r="AN88" s="175">
        <v>3</v>
      </c>
      <c r="AO88" s="175">
        <v>49</v>
      </c>
      <c r="AP88" s="175">
        <v>40</v>
      </c>
      <c r="AQ88" s="175">
        <v>5</v>
      </c>
      <c r="AR88" s="175">
        <v>0</v>
      </c>
      <c r="AS88" s="175">
        <v>9</v>
      </c>
      <c r="AT88" s="175">
        <v>5</v>
      </c>
    </row>
    <row r="89" spans="1:46">
      <c r="A89">
        <v>5074</v>
      </c>
      <c r="B89" t="s">
        <v>1093</v>
      </c>
      <c r="C89" t="s">
        <v>1094</v>
      </c>
      <c r="D89" t="s">
        <v>1095</v>
      </c>
      <c r="E89" t="s">
        <v>1096</v>
      </c>
      <c r="F89" t="s">
        <v>940</v>
      </c>
      <c r="G89" t="s">
        <v>737</v>
      </c>
      <c r="H89" t="s">
        <v>452</v>
      </c>
      <c r="I89" t="s">
        <v>941</v>
      </c>
      <c r="J89" t="s">
        <v>605</v>
      </c>
      <c r="K89" t="s">
        <v>606</v>
      </c>
      <c r="M89" t="s">
        <v>607</v>
      </c>
      <c r="N89" t="s">
        <v>657</v>
      </c>
      <c r="O89" t="s">
        <v>942</v>
      </c>
      <c r="P89" t="s">
        <v>739</v>
      </c>
      <c r="Q89" t="s">
        <v>467</v>
      </c>
      <c r="R89" t="s">
        <v>793</v>
      </c>
      <c r="S89" t="s">
        <v>943</v>
      </c>
      <c r="T89" t="s">
        <v>794</v>
      </c>
      <c r="U89">
        <v>133600</v>
      </c>
      <c r="V89" t="s">
        <v>1097</v>
      </c>
      <c r="W89" t="s">
        <v>945</v>
      </c>
      <c r="X89" t="s">
        <v>727</v>
      </c>
      <c r="Y89" t="s">
        <v>728</v>
      </c>
      <c r="Z89" t="s">
        <v>729</v>
      </c>
      <c r="AA89" t="s">
        <v>730</v>
      </c>
      <c r="AB89" t="s">
        <v>731</v>
      </c>
      <c r="AC89">
        <v>99150</v>
      </c>
      <c r="AD89" t="s">
        <v>946</v>
      </c>
      <c r="AE89">
        <v>-36.876569099999998</v>
      </c>
      <c r="AF89">
        <v>174.73254449000001</v>
      </c>
      <c r="AG89" s="175">
        <v>40</v>
      </c>
      <c r="AH89" s="175">
        <v>0</v>
      </c>
      <c r="AI89" s="175">
        <v>0</v>
      </c>
      <c r="AJ89" s="175">
        <v>0</v>
      </c>
      <c r="AK89" s="175">
        <v>7</v>
      </c>
      <c r="AL89" s="175">
        <v>16</v>
      </c>
      <c r="AM89" s="175">
        <v>22</v>
      </c>
      <c r="AN89" s="175">
        <v>1</v>
      </c>
      <c r="AO89" s="175">
        <v>46</v>
      </c>
      <c r="AP89" s="175">
        <v>23</v>
      </c>
      <c r="AQ89" s="175">
        <v>3</v>
      </c>
      <c r="AR89" s="175">
        <v>9</v>
      </c>
      <c r="AS89" s="175">
        <v>15</v>
      </c>
      <c r="AT89" s="175">
        <v>2</v>
      </c>
    </row>
    <row r="90" spans="1:46">
      <c r="A90">
        <v>5075</v>
      </c>
      <c r="B90" t="s">
        <v>1098</v>
      </c>
      <c r="C90" t="s">
        <v>1099</v>
      </c>
      <c r="D90" t="s">
        <v>1100</v>
      </c>
      <c r="E90" t="s">
        <v>1101</v>
      </c>
      <c r="F90" t="s">
        <v>1102</v>
      </c>
      <c r="G90" t="s">
        <v>737</v>
      </c>
      <c r="H90" t="s">
        <v>452</v>
      </c>
      <c r="I90" t="s">
        <v>941</v>
      </c>
      <c r="J90" t="s">
        <v>605</v>
      </c>
      <c r="K90" t="s">
        <v>606</v>
      </c>
      <c r="M90" t="s">
        <v>607</v>
      </c>
      <c r="N90" t="s">
        <v>657</v>
      </c>
      <c r="O90" t="s">
        <v>942</v>
      </c>
      <c r="P90" t="s">
        <v>739</v>
      </c>
      <c r="Q90" t="s">
        <v>467</v>
      </c>
      <c r="R90" t="s">
        <v>793</v>
      </c>
      <c r="S90" t="s">
        <v>907</v>
      </c>
      <c r="T90" t="s">
        <v>794</v>
      </c>
      <c r="U90">
        <v>138400</v>
      </c>
      <c r="V90" t="s">
        <v>1103</v>
      </c>
      <c r="W90" t="s">
        <v>945</v>
      </c>
      <c r="X90" t="s">
        <v>727</v>
      </c>
      <c r="Y90" t="s">
        <v>728</v>
      </c>
      <c r="Z90" t="s">
        <v>729</v>
      </c>
      <c r="AA90" t="s">
        <v>730</v>
      </c>
      <c r="AB90" t="s">
        <v>731</v>
      </c>
      <c r="AE90">
        <v>-36.882062329999997</v>
      </c>
      <c r="AF90">
        <v>174.75051213</v>
      </c>
      <c r="AG90" s="175">
        <v>40</v>
      </c>
      <c r="AH90" s="175">
        <v>0</v>
      </c>
      <c r="AI90" s="175">
        <v>0</v>
      </c>
      <c r="AJ90" s="175">
        <v>0</v>
      </c>
      <c r="AK90" s="175">
        <v>0</v>
      </c>
      <c r="AL90" s="175">
        <v>20</v>
      </c>
      <c r="AM90" s="175">
        <v>32</v>
      </c>
      <c r="AN90" s="175">
        <v>3</v>
      </c>
      <c r="AO90" s="175">
        <v>55</v>
      </c>
      <c r="AP90" s="175">
        <v>50</v>
      </c>
      <c r="AQ90" s="175">
        <v>8</v>
      </c>
      <c r="AR90" s="175">
        <v>0</v>
      </c>
      <c r="AS90" s="175">
        <v>7</v>
      </c>
      <c r="AT90" s="175">
        <v>0</v>
      </c>
    </row>
    <row r="91" spans="1:46">
      <c r="A91">
        <v>5076</v>
      </c>
      <c r="B91" t="s">
        <v>1104</v>
      </c>
      <c r="C91" t="s">
        <v>1105</v>
      </c>
      <c r="D91" t="s">
        <v>1106</v>
      </c>
      <c r="E91" t="s">
        <v>1107</v>
      </c>
      <c r="F91" t="s">
        <v>1108</v>
      </c>
      <c r="G91" t="s">
        <v>737</v>
      </c>
      <c r="H91" t="s">
        <v>452</v>
      </c>
      <c r="J91" t="s">
        <v>605</v>
      </c>
      <c r="K91" t="s">
        <v>606</v>
      </c>
      <c r="M91" t="s">
        <v>607</v>
      </c>
      <c r="N91" t="s">
        <v>643</v>
      </c>
      <c r="O91" t="s">
        <v>997</v>
      </c>
      <c r="P91" t="s">
        <v>739</v>
      </c>
      <c r="Q91" t="s">
        <v>467</v>
      </c>
      <c r="R91" t="s">
        <v>793</v>
      </c>
      <c r="S91" t="s">
        <v>998</v>
      </c>
      <c r="T91" t="s">
        <v>794</v>
      </c>
      <c r="U91">
        <v>139700</v>
      </c>
      <c r="V91" t="s">
        <v>1109</v>
      </c>
      <c r="W91" t="s">
        <v>945</v>
      </c>
      <c r="X91" t="s">
        <v>727</v>
      </c>
      <c r="Y91" t="s">
        <v>728</v>
      </c>
      <c r="Z91" t="s">
        <v>729</v>
      </c>
      <c r="AA91" t="s">
        <v>730</v>
      </c>
      <c r="AB91" t="s">
        <v>731</v>
      </c>
      <c r="AE91">
        <v>-36.905513650000003</v>
      </c>
      <c r="AF91">
        <v>174.74659725999999</v>
      </c>
      <c r="AG91" s="175">
        <v>40</v>
      </c>
      <c r="AH91" s="175">
        <v>0</v>
      </c>
      <c r="AI91" s="175">
        <v>0</v>
      </c>
      <c r="AJ91" s="175">
        <v>0</v>
      </c>
      <c r="AK91" s="175">
        <v>3</v>
      </c>
      <c r="AL91" s="175">
        <v>14</v>
      </c>
      <c r="AM91" s="175">
        <v>16</v>
      </c>
      <c r="AN91" s="175">
        <v>0</v>
      </c>
      <c r="AO91" s="175">
        <v>33</v>
      </c>
      <c r="AP91" s="175">
        <v>5</v>
      </c>
      <c r="AQ91" s="175">
        <v>1</v>
      </c>
      <c r="AR91" s="175">
        <v>10</v>
      </c>
      <c r="AS91" s="175">
        <v>14</v>
      </c>
      <c r="AT91" s="175">
        <v>6</v>
      </c>
    </row>
    <row r="92" spans="1:46">
      <c r="A92">
        <v>5077</v>
      </c>
      <c r="B92" t="s">
        <v>1110</v>
      </c>
      <c r="C92" t="s">
        <v>1111</v>
      </c>
      <c r="D92" t="s">
        <v>1112</v>
      </c>
      <c r="E92" t="s">
        <v>1113</v>
      </c>
      <c r="F92" t="s">
        <v>1114</v>
      </c>
      <c r="G92" t="s">
        <v>737</v>
      </c>
      <c r="H92" t="s">
        <v>452</v>
      </c>
      <c r="J92" t="s">
        <v>605</v>
      </c>
      <c r="K92" t="s">
        <v>606</v>
      </c>
      <c r="M92" t="s">
        <v>607</v>
      </c>
      <c r="N92" t="s">
        <v>643</v>
      </c>
      <c r="O92" t="s">
        <v>914</v>
      </c>
      <c r="P92" t="s">
        <v>739</v>
      </c>
      <c r="Q92" t="s">
        <v>467</v>
      </c>
      <c r="R92" t="s">
        <v>793</v>
      </c>
      <c r="S92" t="s">
        <v>890</v>
      </c>
      <c r="T92" t="s">
        <v>794</v>
      </c>
      <c r="U92">
        <v>147202</v>
      </c>
      <c r="V92" t="s">
        <v>1115</v>
      </c>
      <c r="W92" t="s">
        <v>892</v>
      </c>
      <c r="X92" t="s">
        <v>727</v>
      </c>
      <c r="Y92" t="s">
        <v>728</v>
      </c>
      <c r="Z92" t="s">
        <v>729</v>
      </c>
      <c r="AA92" t="s">
        <v>730</v>
      </c>
      <c r="AB92" t="s">
        <v>731</v>
      </c>
      <c r="AE92">
        <v>-36.912641909999998</v>
      </c>
      <c r="AF92">
        <v>174.83685045999999</v>
      </c>
      <c r="AG92" s="175">
        <v>40</v>
      </c>
      <c r="AH92" s="175">
        <v>0</v>
      </c>
      <c r="AI92" s="175">
        <v>0</v>
      </c>
      <c r="AJ92" s="175">
        <v>0</v>
      </c>
      <c r="AK92" s="175">
        <v>9</v>
      </c>
      <c r="AL92" s="175">
        <v>19</v>
      </c>
      <c r="AM92" s="175">
        <v>16</v>
      </c>
      <c r="AN92" s="175">
        <v>3</v>
      </c>
      <c r="AO92" s="175">
        <v>47</v>
      </c>
      <c r="AP92" s="175">
        <v>14</v>
      </c>
      <c r="AQ92" s="175">
        <v>19</v>
      </c>
      <c r="AR92" s="175">
        <v>19</v>
      </c>
      <c r="AS92" s="175">
        <v>11</v>
      </c>
      <c r="AT92" s="175">
        <v>3</v>
      </c>
    </row>
    <row r="93" spans="1:46">
      <c r="A93">
        <v>5078</v>
      </c>
      <c r="B93" t="s">
        <v>1116</v>
      </c>
      <c r="C93" t="s">
        <v>1117</v>
      </c>
      <c r="D93" t="s">
        <v>1118</v>
      </c>
      <c r="E93" t="s">
        <v>1119</v>
      </c>
      <c r="F93" t="s">
        <v>1120</v>
      </c>
      <c r="G93" t="s">
        <v>737</v>
      </c>
      <c r="H93" t="s">
        <v>452</v>
      </c>
      <c r="J93" t="s">
        <v>605</v>
      </c>
      <c r="K93" t="s">
        <v>606</v>
      </c>
      <c r="M93" t="s">
        <v>607</v>
      </c>
      <c r="N93" t="s">
        <v>625</v>
      </c>
      <c r="O93" t="s">
        <v>813</v>
      </c>
      <c r="P93" t="s">
        <v>739</v>
      </c>
      <c r="Q93" t="s">
        <v>467</v>
      </c>
      <c r="R93" t="s">
        <v>814</v>
      </c>
      <c r="S93" t="s">
        <v>1121</v>
      </c>
      <c r="T93" t="s">
        <v>794</v>
      </c>
      <c r="U93">
        <v>155901</v>
      </c>
      <c r="V93" t="s">
        <v>1122</v>
      </c>
      <c r="W93" t="s">
        <v>817</v>
      </c>
      <c r="X93" t="s">
        <v>727</v>
      </c>
      <c r="Y93" t="s">
        <v>728</v>
      </c>
      <c r="Z93" t="s">
        <v>729</v>
      </c>
      <c r="AA93" t="s">
        <v>730</v>
      </c>
      <c r="AB93" t="s">
        <v>731</v>
      </c>
      <c r="AC93">
        <v>99102</v>
      </c>
      <c r="AD93" t="s">
        <v>1123</v>
      </c>
      <c r="AE93">
        <v>-36.987462899999997</v>
      </c>
      <c r="AF93">
        <v>174.84930272</v>
      </c>
      <c r="AG93" s="175">
        <v>40</v>
      </c>
      <c r="AH93" s="175">
        <v>0</v>
      </c>
      <c r="AI93" s="175">
        <v>0</v>
      </c>
      <c r="AJ93" s="175">
        <v>0</v>
      </c>
      <c r="AK93" s="175">
        <v>7</v>
      </c>
      <c r="AL93" s="175">
        <v>6</v>
      </c>
      <c r="AM93" s="175">
        <v>19</v>
      </c>
      <c r="AN93" s="175">
        <v>1</v>
      </c>
      <c r="AO93" s="175">
        <v>33</v>
      </c>
      <c r="AP93" s="175">
        <v>7</v>
      </c>
      <c r="AQ93" s="175">
        <v>12</v>
      </c>
      <c r="AR93" s="175">
        <v>15</v>
      </c>
      <c r="AS93" s="175">
        <v>11</v>
      </c>
      <c r="AT93" s="175">
        <v>1</v>
      </c>
    </row>
    <row r="94" spans="1:46">
      <c r="A94">
        <v>5081</v>
      </c>
      <c r="B94" t="s">
        <v>1124</v>
      </c>
      <c r="C94" t="s">
        <v>1125</v>
      </c>
      <c r="D94" t="s">
        <v>1126</v>
      </c>
      <c r="E94" t="s">
        <v>1127</v>
      </c>
      <c r="F94" t="s">
        <v>1128</v>
      </c>
      <c r="G94" t="s">
        <v>737</v>
      </c>
      <c r="H94" t="s">
        <v>452</v>
      </c>
      <c r="J94" t="s">
        <v>605</v>
      </c>
      <c r="K94" t="s">
        <v>606</v>
      </c>
      <c r="M94" t="s">
        <v>607</v>
      </c>
      <c r="N94" t="s">
        <v>657</v>
      </c>
      <c r="O94" t="s">
        <v>823</v>
      </c>
      <c r="P94" t="s">
        <v>739</v>
      </c>
      <c r="Q94" t="s">
        <v>467</v>
      </c>
      <c r="R94" t="s">
        <v>724</v>
      </c>
      <c r="S94" t="s">
        <v>841</v>
      </c>
      <c r="T94" t="s">
        <v>613</v>
      </c>
      <c r="U94">
        <v>127100</v>
      </c>
      <c r="V94" t="s">
        <v>1129</v>
      </c>
      <c r="W94" t="s">
        <v>826</v>
      </c>
      <c r="X94" t="s">
        <v>727</v>
      </c>
      <c r="Y94" t="s">
        <v>728</v>
      </c>
      <c r="Z94" t="s">
        <v>729</v>
      </c>
      <c r="AA94" t="s">
        <v>730</v>
      </c>
      <c r="AB94" t="s">
        <v>731</v>
      </c>
      <c r="AE94">
        <v>-36.801077229999997</v>
      </c>
      <c r="AF94">
        <v>174.74762593</v>
      </c>
      <c r="AG94" s="175">
        <v>40</v>
      </c>
      <c r="AH94" s="175">
        <v>0</v>
      </c>
      <c r="AI94" s="175">
        <v>0</v>
      </c>
      <c r="AJ94" s="175">
        <v>0</v>
      </c>
      <c r="AK94" s="175">
        <v>16</v>
      </c>
      <c r="AL94" s="175">
        <v>15</v>
      </c>
      <c r="AM94" s="175">
        <v>20</v>
      </c>
      <c r="AN94" s="175">
        <v>1</v>
      </c>
      <c r="AO94" s="175">
        <v>52</v>
      </c>
      <c r="AP94" s="175">
        <v>21</v>
      </c>
      <c r="AQ94" s="175">
        <v>7</v>
      </c>
      <c r="AR94" s="175">
        <v>10</v>
      </c>
      <c r="AS94" s="175">
        <v>23</v>
      </c>
      <c r="AT94" s="175">
        <v>1</v>
      </c>
    </row>
    <row r="95" spans="1:46">
      <c r="A95">
        <v>5082</v>
      </c>
      <c r="B95" t="s">
        <v>1130</v>
      </c>
      <c r="C95" t="s">
        <v>1131</v>
      </c>
      <c r="D95" t="s">
        <v>1132</v>
      </c>
      <c r="E95" t="s">
        <v>1133</v>
      </c>
      <c r="F95" t="s">
        <v>841</v>
      </c>
      <c r="G95" t="s">
        <v>737</v>
      </c>
      <c r="H95" t="s">
        <v>452</v>
      </c>
      <c r="J95" t="s">
        <v>605</v>
      </c>
      <c r="K95" t="s">
        <v>606</v>
      </c>
      <c r="M95" t="s">
        <v>607</v>
      </c>
      <c r="N95" t="s">
        <v>657</v>
      </c>
      <c r="O95" t="s">
        <v>823</v>
      </c>
      <c r="P95" t="s">
        <v>739</v>
      </c>
      <c r="Q95" t="s">
        <v>467</v>
      </c>
      <c r="R95" t="s">
        <v>724</v>
      </c>
      <c r="S95" t="s">
        <v>841</v>
      </c>
      <c r="T95" t="s">
        <v>613</v>
      </c>
      <c r="U95">
        <v>127300</v>
      </c>
      <c r="V95" t="s">
        <v>1134</v>
      </c>
      <c r="W95" t="s">
        <v>826</v>
      </c>
      <c r="X95" t="s">
        <v>727</v>
      </c>
      <c r="Y95" t="s">
        <v>728</v>
      </c>
      <c r="Z95" t="s">
        <v>729</v>
      </c>
      <c r="AA95" t="s">
        <v>730</v>
      </c>
      <c r="AB95" t="s">
        <v>731</v>
      </c>
      <c r="AE95">
        <v>-36.80961697</v>
      </c>
      <c r="AF95">
        <v>174.74180555999999</v>
      </c>
      <c r="AG95" s="175">
        <v>40</v>
      </c>
      <c r="AH95" s="175">
        <v>0</v>
      </c>
      <c r="AI95" s="175">
        <v>0</v>
      </c>
      <c r="AJ95" s="175">
        <v>0</v>
      </c>
      <c r="AK95" s="175">
        <v>0</v>
      </c>
      <c r="AL95" s="175">
        <v>23</v>
      </c>
      <c r="AM95" s="175">
        <v>21</v>
      </c>
      <c r="AN95" s="175">
        <v>2</v>
      </c>
      <c r="AO95" s="175">
        <v>46</v>
      </c>
      <c r="AP95" s="175">
        <v>42</v>
      </c>
      <c r="AQ95" s="175">
        <v>3</v>
      </c>
      <c r="AR95" s="175">
        <v>0</v>
      </c>
      <c r="AS95" s="175">
        <v>4</v>
      </c>
      <c r="AT95" s="175">
        <v>3</v>
      </c>
    </row>
    <row r="96" spans="1:46">
      <c r="A96">
        <v>5083</v>
      </c>
      <c r="B96" t="s">
        <v>1135</v>
      </c>
      <c r="C96" t="s">
        <v>1136</v>
      </c>
      <c r="D96" t="s">
        <v>1137</v>
      </c>
      <c r="E96" t="s">
        <v>1138</v>
      </c>
      <c r="F96" t="s">
        <v>1120</v>
      </c>
      <c r="G96" t="s">
        <v>737</v>
      </c>
      <c r="H96" t="s">
        <v>452</v>
      </c>
      <c r="J96" t="s">
        <v>605</v>
      </c>
      <c r="K96" t="s">
        <v>606</v>
      </c>
      <c r="M96" t="s">
        <v>607</v>
      </c>
      <c r="N96" t="s">
        <v>625</v>
      </c>
      <c r="O96" t="s">
        <v>813</v>
      </c>
      <c r="P96" t="s">
        <v>739</v>
      </c>
      <c r="Q96" t="s">
        <v>467</v>
      </c>
      <c r="R96" t="s">
        <v>814</v>
      </c>
      <c r="S96" t="s">
        <v>815</v>
      </c>
      <c r="T96" t="s">
        <v>794</v>
      </c>
      <c r="U96">
        <v>154001</v>
      </c>
      <c r="V96" t="s">
        <v>1139</v>
      </c>
      <c r="W96" t="s">
        <v>817</v>
      </c>
      <c r="X96" t="s">
        <v>727</v>
      </c>
      <c r="Y96" t="s">
        <v>728</v>
      </c>
      <c r="Z96" t="s">
        <v>729</v>
      </c>
      <c r="AA96" t="s">
        <v>730</v>
      </c>
      <c r="AB96" t="s">
        <v>731</v>
      </c>
      <c r="AE96">
        <v>-36.96779634</v>
      </c>
      <c r="AF96">
        <v>174.85057942</v>
      </c>
      <c r="AG96" s="175">
        <v>40</v>
      </c>
      <c r="AH96" s="175">
        <v>0</v>
      </c>
      <c r="AI96" s="175">
        <v>0</v>
      </c>
      <c r="AJ96" s="175">
        <v>0</v>
      </c>
      <c r="AK96" s="175">
        <v>6</v>
      </c>
      <c r="AL96" s="175">
        <v>8</v>
      </c>
      <c r="AM96" s="175">
        <v>15</v>
      </c>
      <c r="AN96" s="175">
        <v>2</v>
      </c>
      <c r="AO96" s="175">
        <v>31</v>
      </c>
      <c r="AP96" s="175">
        <v>1</v>
      </c>
      <c r="AQ96" s="175">
        <v>3</v>
      </c>
      <c r="AR96" s="175">
        <v>7</v>
      </c>
      <c r="AS96" s="175">
        <v>24</v>
      </c>
      <c r="AT96" s="175">
        <v>0</v>
      </c>
    </row>
    <row r="97" spans="1:46">
      <c r="A97">
        <v>5084</v>
      </c>
      <c r="B97" t="s">
        <v>1140</v>
      </c>
      <c r="C97" t="s">
        <v>1141</v>
      </c>
      <c r="D97" t="s">
        <v>1142</v>
      </c>
      <c r="E97" t="s">
        <v>1143</v>
      </c>
      <c r="F97" t="s">
        <v>1144</v>
      </c>
      <c r="G97" t="s">
        <v>737</v>
      </c>
      <c r="H97" t="s">
        <v>452</v>
      </c>
      <c r="J97" t="s">
        <v>605</v>
      </c>
      <c r="K97" t="s">
        <v>606</v>
      </c>
      <c r="M97" t="s">
        <v>607</v>
      </c>
      <c r="N97" t="s">
        <v>657</v>
      </c>
      <c r="O97" t="s">
        <v>889</v>
      </c>
      <c r="P97" t="s">
        <v>739</v>
      </c>
      <c r="Q97" t="s">
        <v>467</v>
      </c>
      <c r="R97" t="s">
        <v>793</v>
      </c>
      <c r="S97" t="s">
        <v>965</v>
      </c>
      <c r="T97" t="s">
        <v>794</v>
      </c>
      <c r="U97">
        <v>139201</v>
      </c>
      <c r="V97" t="s">
        <v>1145</v>
      </c>
      <c r="W97" t="s">
        <v>909</v>
      </c>
      <c r="X97" t="s">
        <v>727</v>
      </c>
      <c r="Y97" t="s">
        <v>728</v>
      </c>
      <c r="Z97" t="s">
        <v>729</v>
      </c>
      <c r="AA97" t="s">
        <v>730</v>
      </c>
      <c r="AB97" t="s">
        <v>731</v>
      </c>
      <c r="AC97">
        <v>99100</v>
      </c>
      <c r="AD97" t="s">
        <v>1146</v>
      </c>
      <c r="AE97">
        <v>-36.858104650000001</v>
      </c>
      <c r="AF97">
        <v>174.8164721</v>
      </c>
      <c r="AG97" s="175">
        <v>40</v>
      </c>
      <c r="AH97" s="175">
        <v>0</v>
      </c>
      <c r="AI97" s="175">
        <v>0</v>
      </c>
      <c r="AJ97" s="175">
        <v>0</v>
      </c>
      <c r="AK97" s="175">
        <v>0</v>
      </c>
      <c r="AL97" s="175">
        <v>16</v>
      </c>
      <c r="AM97" s="175">
        <v>26</v>
      </c>
      <c r="AN97" s="175">
        <v>5</v>
      </c>
      <c r="AO97" s="175">
        <v>47</v>
      </c>
      <c r="AP97" s="175">
        <v>28</v>
      </c>
      <c r="AQ97" s="175">
        <v>9</v>
      </c>
      <c r="AR97" s="175">
        <v>4</v>
      </c>
      <c r="AS97" s="175">
        <v>10</v>
      </c>
      <c r="AT97" s="175">
        <v>5</v>
      </c>
    </row>
    <row r="98" spans="1:46">
      <c r="A98">
        <v>5085</v>
      </c>
      <c r="B98" t="s">
        <v>1147</v>
      </c>
      <c r="C98" t="s">
        <v>1148</v>
      </c>
      <c r="D98" t="s">
        <v>1149</v>
      </c>
      <c r="E98" t="s">
        <v>1150</v>
      </c>
      <c r="F98" t="s">
        <v>1151</v>
      </c>
      <c r="G98" t="s">
        <v>1152</v>
      </c>
      <c r="H98" t="s">
        <v>452</v>
      </c>
      <c r="J98" t="s">
        <v>605</v>
      </c>
      <c r="K98" t="s">
        <v>606</v>
      </c>
      <c r="M98" t="s">
        <v>607</v>
      </c>
      <c r="N98" t="s">
        <v>657</v>
      </c>
      <c r="O98" t="s">
        <v>958</v>
      </c>
      <c r="P98" t="s">
        <v>658</v>
      </c>
      <c r="Q98" t="s">
        <v>467</v>
      </c>
      <c r="R98" t="s">
        <v>724</v>
      </c>
      <c r="S98" t="s">
        <v>855</v>
      </c>
      <c r="T98" t="s">
        <v>794</v>
      </c>
      <c r="U98">
        <v>130000</v>
      </c>
      <c r="V98" t="s">
        <v>1151</v>
      </c>
      <c r="W98" t="s">
        <v>900</v>
      </c>
      <c r="X98" t="s">
        <v>727</v>
      </c>
      <c r="Y98" t="s">
        <v>728</v>
      </c>
      <c r="Z98" t="s">
        <v>729</v>
      </c>
      <c r="AA98" t="s">
        <v>730</v>
      </c>
      <c r="AB98" t="s">
        <v>731</v>
      </c>
      <c r="AC98">
        <v>99029</v>
      </c>
      <c r="AD98" t="s">
        <v>986</v>
      </c>
      <c r="AE98">
        <v>-36.912494989999999</v>
      </c>
      <c r="AF98">
        <v>174.62026718999999</v>
      </c>
      <c r="AG98" s="175">
        <v>40</v>
      </c>
      <c r="AH98" s="175">
        <v>0</v>
      </c>
      <c r="AI98" s="175">
        <v>0</v>
      </c>
      <c r="AJ98" s="175">
        <v>0</v>
      </c>
      <c r="AK98" s="175">
        <v>2</v>
      </c>
      <c r="AL98" s="175">
        <v>20</v>
      </c>
      <c r="AM98" s="175">
        <v>21</v>
      </c>
      <c r="AN98" s="175">
        <v>0</v>
      </c>
      <c r="AO98" s="175">
        <v>43</v>
      </c>
      <c r="AP98" s="175">
        <v>35</v>
      </c>
      <c r="AQ98" s="175">
        <v>11</v>
      </c>
      <c r="AR98" s="175">
        <v>4</v>
      </c>
      <c r="AS98" s="175">
        <v>5</v>
      </c>
      <c r="AT98" s="175">
        <v>1</v>
      </c>
    </row>
    <row r="99" spans="1:46">
      <c r="A99">
        <v>5086</v>
      </c>
      <c r="B99" t="s">
        <v>1153</v>
      </c>
      <c r="C99" t="s">
        <v>1154</v>
      </c>
      <c r="D99" t="s">
        <v>1155</v>
      </c>
      <c r="E99" t="s">
        <v>1156</v>
      </c>
      <c r="F99" t="s">
        <v>1157</v>
      </c>
      <c r="G99" t="s">
        <v>737</v>
      </c>
      <c r="H99" t="s">
        <v>452</v>
      </c>
      <c r="J99" t="s">
        <v>605</v>
      </c>
      <c r="K99" t="s">
        <v>606</v>
      </c>
      <c r="M99" t="s">
        <v>607</v>
      </c>
      <c r="N99" t="s">
        <v>608</v>
      </c>
      <c r="O99" t="s">
        <v>933</v>
      </c>
      <c r="P99" t="s">
        <v>739</v>
      </c>
      <c r="Q99" t="s">
        <v>467</v>
      </c>
      <c r="R99" t="s">
        <v>814</v>
      </c>
      <c r="S99" t="s">
        <v>815</v>
      </c>
      <c r="T99" t="s">
        <v>794</v>
      </c>
      <c r="U99">
        <v>151900</v>
      </c>
      <c r="V99" t="s">
        <v>1158</v>
      </c>
      <c r="W99" t="s">
        <v>817</v>
      </c>
      <c r="X99" t="s">
        <v>727</v>
      </c>
      <c r="Y99" t="s">
        <v>728</v>
      </c>
      <c r="Z99" t="s">
        <v>729</v>
      </c>
      <c r="AA99" t="s">
        <v>730</v>
      </c>
      <c r="AB99" t="s">
        <v>731</v>
      </c>
      <c r="AC99">
        <v>99151</v>
      </c>
      <c r="AD99" t="s">
        <v>1159</v>
      </c>
      <c r="AE99">
        <v>-36.943614449999998</v>
      </c>
      <c r="AF99">
        <v>174.8480879</v>
      </c>
      <c r="AG99" s="175">
        <v>40</v>
      </c>
      <c r="AH99" s="175">
        <v>0</v>
      </c>
      <c r="AI99" s="175">
        <v>0</v>
      </c>
      <c r="AJ99" s="175">
        <v>0</v>
      </c>
      <c r="AK99" s="175">
        <v>8</v>
      </c>
      <c r="AL99" s="175">
        <v>10</v>
      </c>
      <c r="AM99" s="175">
        <v>15</v>
      </c>
      <c r="AN99" s="175">
        <v>0</v>
      </c>
      <c r="AO99" s="175">
        <v>33</v>
      </c>
      <c r="AP99" s="175">
        <v>3</v>
      </c>
      <c r="AQ99" s="175">
        <v>6</v>
      </c>
      <c r="AR99" s="175">
        <v>23</v>
      </c>
      <c r="AS99" s="175">
        <v>7</v>
      </c>
      <c r="AT99" s="175">
        <v>0</v>
      </c>
    </row>
    <row r="100" spans="1:46">
      <c r="A100">
        <v>5087</v>
      </c>
      <c r="B100" t="s">
        <v>1160</v>
      </c>
      <c r="C100" t="s">
        <v>1161</v>
      </c>
      <c r="D100" t="s">
        <v>1162</v>
      </c>
      <c r="E100" t="s">
        <v>1163</v>
      </c>
      <c r="F100" t="s">
        <v>1164</v>
      </c>
      <c r="G100" t="s">
        <v>737</v>
      </c>
      <c r="H100" t="s">
        <v>452</v>
      </c>
      <c r="J100" t="s">
        <v>605</v>
      </c>
      <c r="K100" t="s">
        <v>606</v>
      </c>
      <c r="M100" t="s">
        <v>607</v>
      </c>
      <c r="N100" t="s">
        <v>625</v>
      </c>
      <c r="O100" t="s">
        <v>942</v>
      </c>
      <c r="P100" t="s">
        <v>739</v>
      </c>
      <c r="Q100" t="s">
        <v>467</v>
      </c>
      <c r="R100" t="s">
        <v>793</v>
      </c>
      <c r="S100" t="s">
        <v>943</v>
      </c>
      <c r="T100" t="s">
        <v>794</v>
      </c>
      <c r="U100">
        <v>135500</v>
      </c>
      <c r="V100" t="s">
        <v>1165</v>
      </c>
      <c r="W100" t="s">
        <v>945</v>
      </c>
      <c r="X100" t="s">
        <v>727</v>
      </c>
      <c r="Y100" t="s">
        <v>728</v>
      </c>
      <c r="Z100" t="s">
        <v>729</v>
      </c>
      <c r="AA100" t="s">
        <v>730</v>
      </c>
      <c r="AB100" t="s">
        <v>731</v>
      </c>
      <c r="AC100">
        <v>99150</v>
      </c>
      <c r="AD100" t="s">
        <v>946</v>
      </c>
      <c r="AE100">
        <v>-36.894884019999999</v>
      </c>
      <c r="AF100">
        <v>174.71445169</v>
      </c>
      <c r="AG100" s="175">
        <v>40</v>
      </c>
      <c r="AH100" s="175">
        <v>0</v>
      </c>
      <c r="AI100" s="175">
        <v>0</v>
      </c>
      <c r="AJ100" s="175">
        <v>0</v>
      </c>
      <c r="AK100" s="175">
        <v>7</v>
      </c>
      <c r="AL100" s="175">
        <v>9</v>
      </c>
      <c r="AM100" s="175">
        <v>14</v>
      </c>
      <c r="AN100" s="175">
        <v>0</v>
      </c>
      <c r="AO100" s="175">
        <v>30</v>
      </c>
      <c r="AP100" s="175">
        <v>17</v>
      </c>
      <c r="AQ100" s="175">
        <v>4</v>
      </c>
      <c r="AR100" s="175">
        <v>8</v>
      </c>
      <c r="AS100" s="175">
        <v>7</v>
      </c>
      <c r="AT100" s="175">
        <v>2</v>
      </c>
    </row>
    <row r="101" spans="1:46">
      <c r="A101">
        <v>5088</v>
      </c>
      <c r="B101" t="s">
        <v>1166</v>
      </c>
      <c r="C101" t="s">
        <v>1167</v>
      </c>
      <c r="D101" t="s">
        <v>1168</v>
      </c>
      <c r="E101" t="s">
        <v>1169</v>
      </c>
      <c r="F101" t="s">
        <v>1170</v>
      </c>
      <c r="G101" t="s">
        <v>737</v>
      </c>
      <c r="H101" t="s">
        <v>452</v>
      </c>
      <c r="J101" t="s">
        <v>605</v>
      </c>
      <c r="K101" t="s">
        <v>606</v>
      </c>
      <c r="M101" t="s">
        <v>607</v>
      </c>
      <c r="N101" t="s">
        <v>657</v>
      </c>
      <c r="O101" t="s">
        <v>792</v>
      </c>
      <c r="P101" t="s">
        <v>739</v>
      </c>
      <c r="Q101" t="s">
        <v>467</v>
      </c>
      <c r="R101" t="s">
        <v>793</v>
      </c>
      <c r="S101" t="s">
        <v>791</v>
      </c>
      <c r="T101" t="s">
        <v>794</v>
      </c>
      <c r="U101">
        <v>151500</v>
      </c>
      <c r="V101" t="s">
        <v>1171</v>
      </c>
      <c r="W101" t="s">
        <v>796</v>
      </c>
      <c r="X101" t="s">
        <v>727</v>
      </c>
      <c r="Y101" t="s">
        <v>728</v>
      </c>
      <c r="Z101" t="s">
        <v>729</v>
      </c>
      <c r="AA101" t="s">
        <v>730</v>
      </c>
      <c r="AB101" t="s">
        <v>731</v>
      </c>
      <c r="AC101">
        <v>99149</v>
      </c>
      <c r="AD101" t="s">
        <v>883</v>
      </c>
      <c r="AE101">
        <v>-36.915176889999998</v>
      </c>
      <c r="AF101">
        <v>174.88331024999999</v>
      </c>
      <c r="AG101" s="175">
        <v>40</v>
      </c>
      <c r="AH101" s="175">
        <v>0</v>
      </c>
      <c r="AI101" s="175">
        <v>0</v>
      </c>
      <c r="AJ101" s="175">
        <v>0</v>
      </c>
      <c r="AK101" s="175">
        <v>4</v>
      </c>
      <c r="AL101" s="175">
        <v>25</v>
      </c>
      <c r="AM101" s="175">
        <v>19</v>
      </c>
      <c r="AN101" s="175">
        <v>0</v>
      </c>
      <c r="AO101" s="175">
        <v>48</v>
      </c>
      <c r="AP101" s="175">
        <v>24</v>
      </c>
      <c r="AQ101" s="175">
        <v>5</v>
      </c>
      <c r="AR101" s="175">
        <v>7</v>
      </c>
      <c r="AS101" s="175">
        <v>18</v>
      </c>
      <c r="AT101" s="175">
        <v>3</v>
      </c>
    </row>
    <row r="102" spans="1:46">
      <c r="A102">
        <v>5089</v>
      </c>
      <c r="B102" t="s">
        <v>1172</v>
      </c>
      <c r="C102" t="s">
        <v>1173</v>
      </c>
      <c r="D102" t="s">
        <v>1174</v>
      </c>
      <c r="E102" t="s">
        <v>1175</v>
      </c>
      <c r="F102" t="s">
        <v>1120</v>
      </c>
      <c r="G102" t="s">
        <v>737</v>
      </c>
      <c r="H102" t="s">
        <v>452</v>
      </c>
      <c r="J102" t="s">
        <v>605</v>
      </c>
      <c r="K102" t="s">
        <v>606</v>
      </c>
      <c r="M102" t="s">
        <v>607</v>
      </c>
      <c r="N102" t="s">
        <v>643</v>
      </c>
      <c r="O102" t="s">
        <v>813</v>
      </c>
      <c r="P102" t="s">
        <v>739</v>
      </c>
      <c r="Q102" t="s">
        <v>467</v>
      </c>
      <c r="R102" t="s">
        <v>814</v>
      </c>
      <c r="S102" t="s">
        <v>815</v>
      </c>
      <c r="T102" t="s">
        <v>794</v>
      </c>
      <c r="U102">
        <v>154901</v>
      </c>
      <c r="V102" t="s">
        <v>1176</v>
      </c>
      <c r="W102" t="s">
        <v>817</v>
      </c>
      <c r="X102" t="s">
        <v>727</v>
      </c>
      <c r="Y102" t="s">
        <v>728</v>
      </c>
      <c r="Z102" t="s">
        <v>729</v>
      </c>
      <c r="AA102" t="s">
        <v>730</v>
      </c>
      <c r="AB102" t="s">
        <v>731</v>
      </c>
      <c r="AC102">
        <v>99102</v>
      </c>
      <c r="AD102" t="s">
        <v>1123</v>
      </c>
      <c r="AE102">
        <v>-36.977169859999997</v>
      </c>
      <c r="AF102">
        <v>174.86093973000001</v>
      </c>
      <c r="AG102" s="175">
        <v>40</v>
      </c>
      <c r="AH102" s="175">
        <v>0</v>
      </c>
      <c r="AI102" s="175">
        <v>0</v>
      </c>
      <c r="AJ102" s="175">
        <v>0</v>
      </c>
      <c r="AK102" s="175">
        <v>6</v>
      </c>
      <c r="AL102" s="175">
        <v>13</v>
      </c>
      <c r="AM102" s="175">
        <v>20</v>
      </c>
      <c r="AN102" s="175">
        <v>0</v>
      </c>
      <c r="AO102" s="175">
        <v>39</v>
      </c>
      <c r="AP102" s="175">
        <v>10</v>
      </c>
      <c r="AQ102" s="175">
        <v>6</v>
      </c>
      <c r="AR102" s="175">
        <v>11</v>
      </c>
      <c r="AS102" s="175">
        <v>24</v>
      </c>
      <c r="AT102" s="175">
        <v>0</v>
      </c>
    </row>
    <row r="103" spans="1:46">
      <c r="A103">
        <v>5090</v>
      </c>
      <c r="B103" t="s">
        <v>1177</v>
      </c>
      <c r="C103" t="s">
        <v>1178</v>
      </c>
      <c r="D103" t="s">
        <v>1179</v>
      </c>
      <c r="E103" t="s">
        <v>1180</v>
      </c>
      <c r="F103" t="s">
        <v>1181</v>
      </c>
      <c r="G103" t="s">
        <v>737</v>
      </c>
      <c r="H103" t="s">
        <v>452</v>
      </c>
      <c r="J103" t="s">
        <v>605</v>
      </c>
      <c r="K103" t="s">
        <v>606</v>
      </c>
      <c r="M103" t="s">
        <v>607</v>
      </c>
      <c r="N103" t="s">
        <v>657</v>
      </c>
      <c r="O103" t="s">
        <v>1042</v>
      </c>
      <c r="P103" t="s">
        <v>739</v>
      </c>
      <c r="Q103" t="s">
        <v>467</v>
      </c>
      <c r="R103" t="s">
        <v>793</v>
      </c>
      <c r="S103" t="s">
        <v>907</v>
      </c>
      <c r="T103" t="s">
        <v>794</v>
      </c>
      <c r="U103">
        <v>137400</v>
      </c>
      <c r="V103" t="s">
        <v>1182</v>
      </c>
      <c r="W103" t="s">
        <v>909</v>
      </c>
      <c r="X103" t="s">
        <v>727</v>
      </c>
      <c r="Y103" t="s">
        <v>728</v>
      </c>
      <c r="Z103" t="s">
        <v>729</v>
      </c>
      <c r="AA103" t="s">
        <v>730</v>
      </c>
      <c r="AB103" t="s">
        <v>731</v>
      </c>
      <c r="AE103">
        <v>-36.854603480000002</v>
      </c>
      <c r="AF103">
        <v>174.78584760000001</v>
      </c>
      <c r="AG103" s="175">
        <v>30</v>
      </c>
      <c r="AH103" s="175">
        <v>0</v>
      </c>
      <c r="AI103" s="175">
        <v>0</v>
      </c>
      <c r="AJ103" s="175">
        <v>0</v>
      </c>
      <c r="AK103" s="175">
        <v>3</v>
      </c>
      <c r="AL103" s="175">
        <v>14</v>
      </c>
      <c r="AM103" s="175">
        <v>19</v>
      </c>
      <c r="AN103" s="175">
        <v>2</v>
      </c>
      <c r="AO103" s="175">
        <v>38</v>
      </c>
      <c r="AP103" s="175">
        <v>15</v>
      </c>
      <c r="AQ103" s="175">
        <v>4</v>
      </c>
      <c r="AR103" s="175">
        <v>1</v>
      </c>
      <c r="AS103" s="175">
        <v>23</v>
      </c>
      <c r="AT103" s="175">
        <v>4</v>
      </c>
    </row>
    <row r="104" spans="1:46">
      <c r="A104">
        <v>5091</v>
      </c>
      <c r="B104" t="s">
        <v>1183</v>
      </c>
      <c r="C104" t="s">
        <v>1184</v>
      </c>
      <c r="D104" t="s">
        <v>1185</v>
      </c>
      <c r="E104" t="s">
        <v>1186</v>
      </c>
      <c r="F104" t="s">
        <v>1187</v>
      </c>
      <c r="G104" t="s">
        <v>737</v>
      </c>
      <c r="H104" t="s">
        <v>452</v>
      </c>
      <c r="J104" t="s">
        <v>605</v>
      </c>
      <c r="K104" t="s">
        <v>606</v>
      </c>
      <c r="M104" t="s">
        <v>607</v>
      </c>
      <c r="N104" t="s">
        <v>657</v>
      </c>
      <c r="O104" t="s">
        <v>1042</v>
      </c>
      <c r="P104" t="s">
        <v>739</v>
      </c>
      <c r="Q104" t="s">
        <v>467</v>
      </c>
      <c r="R104" t="s">
        <v>793</v>
      </c>
      <c r="S104" t="s">
        <v>1043</v>
      </c>
      <c r="T104" t="s">
        <v>794</v>
      </c>
      <c r="U104">
        <v>131200</v>
      </c>
      <c r="V104" t="s">
        <v>1188</v>
      </c>
      <c r="W104" t="s">
        <v>1044</v>
      </c>
      <c r="X104" t="s">
        <v>727</v>
      </c>
      <c r="Y104" t="s">
        <v>728</v>
      </c>
      <c r="Z104" t="s">
        <v>729</v>
      </c>
      <c r="AA104" t="s">
        <v>730</v>
      </c>
      <c r="AB104" t="s">
        <v>731</v>
      </c>
      <c r="AE104">
        <v>-36.850481619999996</v>
      </c>
      <c r="AF104">
        <v>174.74181798000001</v>
      </c>
      <c r="AG104" s="175">
        <v>40</v>
      </c>
      <c r="AH104" s="175">
        <v>0</v>
      </c>
      <c r="AI104" s="175">
        <v>0</v>
      </c>
      <c r="AJ104" s="175">
        <v>0</v>
      </c>
      <c r="AK104" s="175">
        <v>8</v>
      </c>
      <c r="AL104" s="175">
        <v>15</v>
      </c>
      <c r="AM104" s="175">
        <v>17</v>
      </c>
      <c r="AN104" s="175">
        <v>0</v>
      </c>
      <c r="AO104" s="175">
        <v>40</v>
      </c>
      <c r="AP104" s="175">
        <v>28</v>
      </c>
      <c r="AQ104" s="175">
        <v>5</v>
      </c>
      <c r="AR104" s="175">
        <v>3</v>
      </c>
      <c r="AS104" s="175">
        <v>6</v>
      </c>
      <c r="AT104" s="175">
        <v>8</v>
      </c>
    </row>
    <row r="105" spans="1:46">
      <c r="A105">
        <v>5093</v>
      </c>
      <c r="B105" t="s">
        <v>1189</v>
      </c>
      <c r="C105" t="s">
        <v>1190</v>
      </c>
      <c r="D105" t="s">
        <v>1191</v>
      </c>
      <c r="E105" t="s">
        <v>1192</v>
      </c>
      <c r="F105" t="s">
        <v>1193</v>
      </c>
      <c r="G105" t="s">
        <v>737</v>
      </c>
      <c r="H105" t="s">
        <v>452</v>
      </c>
      <c r="J105" t="s">
        <v>605</v>
      </c>
      <c r="K105" t="s">
        <v>606</v>
      </c>
      <c r="M105" t="s">
        <v>607</v>
      </c>
      <c r="N105" t="s">
        <v>812</v>
      </c>
      <c r="O105" t="s">
        <v>914</v>
      </c>
      <c r="P105" t="s">
        <v>739</v>
      </c>
      <c r="Q105" t="s">
        <v>467</v>
      </c>
      <c r="R105" t="s">
        <v>793</v>
      </c>
      <c r="S105" t="s">
        <v>815</v>
      </c>
      <c r="T105" t="s">
        <v>794</v>
      </c>
      <c r="U105">
        <v>146301</v>
      </c>
      <c r="V105" t="s">
        <v>1194</v>
      </c>
      <c r="W105" t="s">
        <v>892</v>
      </c>
      <c r="X105" t="s">
        <v>727</v>
      </c>
      <c r="Y105" t="s">
        <v>728</v>
      </c>
      <c r="Z105" t="s">
        <v>729</v>
      </c>
      <c r="AA105" t="s">
        <v>730</v>
      </c>
      <c r="AB105" t="s">
        <v>731</v>
      </c>
      <c r="AE105">
        <v>-36.88297128</v>
      </c>
      <c r="AF105">
        <v>174.86734576999999</v>
      </c>
      <c r="AG105" s="175">
        <v>40</v>
      </c>
      <c r="AH105" s="175">
        <v>0</v>
      </c>
      <c r="AI105" s="175">
        <v>0</v>
      </c>
      <c r="AJ105" s="175">
        <v>0</v>
      </c>
      <c r="AK105" s="175">
        <v>3</v>
      </c>
      <c r="AL105" s="175">
        <v>12</v>
      </c>
      <c r="AM105" s="175">
        <v>15</v>
      </c>
      <c r="AN105" s="175">
        <v>0</v>
      </c>
      <c r="AO105" s="175">
        <v>30</v>
      </c>
      <c r="AP105" s="175">
        <v>4</v>
      </c>
      <c r="AQ105" s="175">
        <v>10</v>
      </c>
      <c r="AR105" s="175">
        <v>20</v>
      </c>
      <c r="AS105" s="175">
        <v>2</v>
      </c>
      <c r="AT105" s="175">
        <v>1</v>
      </c>
    </row>
    <row r="106" spans="1:46">
      <c r="A106">
        <v>5094</v>
      </c>
      <c r="B106" t="s">
        <v>1195</v>
      </c>
      <c r="C106" t="s">
        <v>1196</v>
      </c>
      <c r="D106" t="s">
        <v>1197</v>
      </c>
      <c r="E106" t="s">
        <v>1198</v>
      </c>
      <c r="F106" t="s">
        <v>1199</v>
      </c>
      <c r="G106" t="s">
        <v>737</v>
      </c>
      <c r="H106" t="s">
        <v>452</v>
      </c>
      <c r="J106" t="s">
        <v>605</v>
      </c>
      <c r="K106" t="s">
        <v>606</v>
      </c>
      <c r="M106" t="s">
        <v>607</v>
      </c>
      <c r="N106" t="s">
        <v>625</v>
      </c>
      <c r="O106" t="s">
        <v>898</v>
      </c>
      <c r="P106" t="s">
        <v>739</v>
      </c>
      <c r="Q106" t="s">
        <v>467</v>
      </c>
      <c r="R106" t="s">
        <v>724</v>
      </c>
      <c r="S106" t="s">
        <v>984</v>
      </c>
      <c r="T106" t="s">
        <v>613</v>
      </c>
      <c r="U106">
        <v>123800</v>
      </c>
      <c r="V106" t="s">
        <v>1200</v>
      </c>
      <c r="W106" t="s">
        <v>900</v>
      </c>
      <c r="X106" t="s">
        <v>727</v>
      </c>
      <c r="Y106" t="s">
        <v>728</v>
      </c>
      <c r="Z106" t="s">
        <v>729</v>
      </c>
      <c r="AA106" t="s">
        <v>730</v>
      </c>
      <c r="AB106" t="s">
        <v>731</v>
      </c>
      <c r="AE106">
        <v>-36.865769239999999</v>
      </c>
      <c r="AF106">
        <v>174.60336025000001</v>
      </c>
      <c r="AG106" s="175">
        <v>40</v>
      </c>
      <c r="AH106" s="175">
        <v>0</v>
      </c>
      <c r="AI106" s="175">
        <v>0</v>
      </c>
      <c r="AJ106" s="175">
        <v>0</v>
      </c>
      <c r="AK106" s="175">
        <v>5</v>
      </c>
      <c r="AL106" s="175">
        <v>9</v>
      </c>
      <c r="AM106" s="175">
        <v>32</v>
      </c>
      <c r="AN106" s="175">
        <v>1</v>
      </c>
      <c r="AO106" s="175">
        <v>47</v>
      </c>
      <c r="AP106" s="175">
        <v>14</v>
      </c>
      <c r="AQ106" s="175">
        <v>21</v>
      </c>
      <c r="AR106" s="175">
        <v>19</v>
      </c>
      <c r="AS106" s="175">
        <v>6</v>
      </c>
      <c r="AT106" s="175">
        <v>5</v>
      </c>
    </row>
    <row r="107" spans="1:46">
      <c r="A107">
        <v>5095</v>
      </c>
      <c r="B107" t="s">
        <v>1201</v>
      </c>
      <c r="C107" t="s">
        <v>1202</v>
      </c>
      <c r="D107" t="s">
        <v>1203</v>
      </c>
      <c r="E107" t="s">
        <v>1204</v>
      </c>
      <c r="F107" t="s">
        <v>983</v>
      </c>
      <c r="G107" t="s">
        <v>737</v>
      </c>
      <c r="H107" t="s">
        <v>452</v>
      </c>
      <c r="J107" t="s">
        <v>605</v>
      </c>
      <c r="K107" t="s">
        <v>606</v>
      </c>
      <c r="M107" t="s">
        <v>607</v>
      </c>
      <c r="N107" t="s">
        <v>625</v>
      </c>
      <c r="O107" t="s">
        <v>898</v>
      </c>
      <c r="P107" t="s">
        <v>739</v>
      </c>
      <c r="Q107" t="s">
        <v>467</v>
      </c>
      <c r="R107" t="s">
        <v>724</v>
      </c>
      <c r="S107" t="s">
        <v>984</v>
      </c>
      <c r="T107" t="s">
        <v>613</v>
      </c>
      <c r="U107">
        <v>124900</v>
      </c>
      <c r="V107" t="s">
        <v>1205</v>
      </c>
      <c r="W107" t="s">
        <v>900</v>
      </c>
      <c r="X107" t="s">
        <v>727</v>
      </c>
      <c r="Y107" t="s">
        <v>728</v>
      </c>
      <c r="Z107" t="s">
        <v>729</v>
      </c>
      <c r="AA107" t="s">
        <v>730</v>
      </c>
      <c r="AB107" t="s">
        <v>731</v>
      </c>
      <c r="AE107">
        <v>-36.857811079999998</v>
      </c>
      <c r="AF107">
        <v>174.62422508</v>
      </c>
      <c r="AG107" s="175">
        <v>40</v>
      </c>
      <c r="AH107" s="175">
        <v>0</v>
      </c>
      <c r="AI107" s="175">
        <v>0</v>
      </c>
      <c r="AJ107" s="175">
        <v>0</v>
      </c>
      <c r="AK107" s="175">
        <v>0</v>
      </c>
      <c r="AL107" s="175">
        <v>18</v>
      </c>
      <c r="AM107" s="175">
        <v>17</v>
      </c>
      <c r="AN107" s="175">
        <v>1</v>
      </c>
      <c r="AO107" s="175">
        <v>36</v>
      </c>
      <c r="AP107" s="175">
        <v>10</v>
      </c>
      <c r="AQ107" s="175">
        <v>20</v>
      </c>
      <c r="AR107" s="175">
        <v>15</v>
      </c>
      <c r="AS107" s="175">
        <v>5</v>
      </c>
      <c r="AT107" s="175">
        <v>1</v>
      </c>
    </row>
    <row r="108" spans="1:46">
      <c r="A108">
        <v>5096</v>
      </c>
      <c r="B108" t="s">
        <v>1206</v>
      </c>
      <c r="C108" t="s">
        <v>1207</v>
      </c>
      <c r="D108" t="s">
        <v>1208</v>
      </c>
      <c r="E108" t="s">
        <v>1209</v>
      </c>
      <c r="F108" t="s">
        <v>957</v>
      </c>
      <c r="G108" t="s">
        <v>737</v>
      </c>
      <c r="H108" t="s">
        <v>452</v>
      </c>
      <c r="J108" t="s">
        <v>605</v>
      </c>
      <c r="K108" t="s">
        <v>606</v>
      </c>
      <c r="M108" t="s">
        <v>607</v>
      </c>
      <c r="N108" t="s">
        <v>643</v>
      </c>
      <c r="O108" t="s">
        <v>958</v>
      </c>
      <c r="P108" t="s">
        <v>739</v>
      </c>
      <c r="Q108" t="s">
        <v>467</v>
      </c>
      <c r="R108" t="s">
        <v>724</v>
      </c>
      <c r="S108" t="s">
        <v>804</v>
      </c>
      <c r="T108" t="s">
        <v>794</v>
      </c>
      <c r="U108">
        <v>130901</v>
      </c>
      <c r="V108" t="s">
        <v>1210</v>
      </c>
      <c r="W108" t="s">
        <v>900</v>
      </c>
      <c r="X108" t="s">
        <v>727</v>
      </c>
      <c r="Y108" t="s">
        <v>728</v>
      </c>
      <c r="Z108" t="s">
        <v>729</v>
      </c>
      <c r="AA108" t="s">
        <v>730</v>
      </c>
      <c r="AB108" t="s">
        <v>731</v>
      </c>
      <c r="AE108">
        <v>-36.915397519999999</v>
      </c>
      <c r="AF108">
        <v>174.64021617</v>
      </c>
      <c r="AG108" s="175">
        <v>40</v>
      </c>
      <c r="AH108" s="175">
        <v>0</v>
      </c>
      <c r="AI108" s="175">
        <v>0</v>
      </c>
      <c r="AJ108" s="175">
        <v>0</v>
      </c>
      <c r="AK108" s="175">
        <v>8</v>
      </c>
      <c r="AL108" s="175">
        <v>11</v>
      </c>
      <c r="AM108" s="175">
        <v>14</v>
      </c>
      <c r="AN108" s="175">
        <v>0</v>
      </c>
      <c r="AO108" s="175">
        <v>33</v>
      </c>
      <c r="AP108" s="175">
        <v>9</v>
      </c>
      <c r="AQ108" s="175">
        <v>6</v>
      </c>
      <c r="AR108" s="175">
        <v>11</v>
      </c>
      <c r="AS108" s="175">
        <v>14</v>
      </c>
      <c r="AT108" s="175">
        <v>2</v>
      </c>
    </row>
    <row r="109" spans="1:46">
      <c r="A109">
        <v>5097</v>
      </c>
      <c r="B109" t="s">
        <v>1211</v>
      </c>
      <c r="C109" t="s">
        <v>1212</v>
      </c>
      <c r="D109" t="s">
        <v>1213</v>
      </c>
      <c r="E109" t="s">
        <v>1214</v>
      </c>
      <c r="F109" t="s">
        <v>1108</v>
      </c>
      <c r="G109" t="s">
        <v>737</v>
      </c>
      <c r="H109" t="s">
        <v>452</v>
      </c>
      <c r="J109" t="s">
        <v>605</v>
      </c>
      <c r="K109" t="s">
        <v>606</v>
      </c>
      <c r="M109" t="s">
        <v>607</v>
      </c>
      <c r="N109" t="s">
        <v>643</v>
      </c>
      <c r="O109" t="s">
        <v>997</v>
      </c>
      <c r="P109" t="s">
        <v>739</v>
      </c>
      <c r="Q109" t="s">
        <v>467</v>
      </c>
      <c r="R109" t="s">
        <v>793</v>
      </c>
      <c r="S109" t="s">
        <v>998</v>
      </c>
      <c r="T109" t="s">
        <v>794</v>
      </c>
      <c r="U109">
        <v>141300</v>
      </c>
      <c r="V109" t="s">
        <v>1215</v>
      </c>
      <c r="W109" t="s">
        <v>945</v>
      </c>
      <c r="X109" t="s">
        <v>727</v>
      </c>
      <c r="Y109" t="s">
        <v>728</v>
      </c>
      <c r="Z109" t="s">
        <v>729</v>
      </c>
      <c r="AA109" t="s">
        <v>730</v>
      </c>
      <c r="AB109" t="s">
        <v>731</v>
      </c>
      <c r="AE109">
        <v>-36.925567809999997</v>
      </c>
      <c r="AF109">
        <v>174.73488320000001</v>
      </c>
      <c r="AG109" s="175">
        <v>40</v>
      </c>
      <c r="AH109" s="175">
        <v>0</v>
      </c>
      <c r="AI109" s="175">
        <v>0</v>
      </c>
      <c r="AJ109" s="175">
        <v>0</v>
      </c>
      <c r="AK109" s="175">
        <v>0</v>
      </c>
      <c r="AL109" s="175">
        <v>15</v>
      </c>
      <c r="AM109" s="175">
        <v>31</v>
      </c>
      <c r="AN109" s="175">
        <v>1</v>
      </c>
      <c r="AO109" s="175">
        <v>47</v>
      </c>
      <c r="AP109" s="175">
        <v>15</v>
      </c>
      <c r="AQ109" s="175">
        <v>6</v>
      </c>
      <c r="AR109" s="175">
        <v>14</v>
      </c>
      <c r="AS109" s="175">
        <v>22</v>
      </c>
      <c r="AT109" s="175">
        <v>5</v>
      </c>
    </row>
    <row r="110" spans="1:46">
      <c r="A110">
        <v>5098</v>
      </c>
      <c r="B110" t="s">
        <v>1216</v>
      </c>
      <c r="C110" t="s">
        <v>1217</v>
      </c>
      <c r="D110" t="s">
        <v>1218</v>
      </c>
      <c r="E110" t="s">
        <v>1219</v>
      </c>
      <c r="F110" t="s">
        <v>940</v>
      </c>
      <c r="G110" t="s">
        <v>737</v>
      </c>
      <c r="H110" t="s">
        <v>452</v>
      </c>
      <c r="J110" t="s">
        <v>605</v>
      </c>
      <c r="K110" t="s">
        <v>606</v>
      </c>
      <c r="M110" t="s">
        <v>607</v>
      </c>
      <c r="N110" t="s">
        <v>657</v>
      </c>
      <c r="O110" t="s">
        <v>942</v>
      </c>
      <c r="P110" t="s">
        <v>739</v>
      </c>
      <c r="Q110" t="s">
        <v>467</v>
      </c>
      <c r="R110" t="s">
        <v>793</v>
      </c>
      <c r="S110" t="s">
        <v>943</v>
      </c>
      <c r="T110" t="s">
        <v>794</v>
      </c>
      <c r="U110">
        <v>131900</v>
      </c>
      <c r="V110" t="s">
        <v>1220</v>
      </c>
      <c r="W110" t="s">
        <v>945</v>
      </c>
      <c r="X110" t="s">
        <v>727</v>
      </c>
      <c r="Y110" t="s">
        <v>728</v>
      </c>
      <c r="Z110" t="s">
        <v>729</v>
      </c>
      <c r="AA110" t="s">
        <v>730</v>
      </c>
      <c r="AB110" t="s">
        <v>731</v>
      </c>
      <c r="AC110">
        <v>99150</v>
      </c>
      <c r="AD110" t="s">
        <v>946</v>
      </c>
      <c r="AE110">
        <v>-36.88206168</v>
      </c>
      <c r="AF110">
        <v>174.70961586000001</v>
      </c>
      <c r="AG110" s="175">
        <v>40</v>
      </c>
      <c r="AH110" s="175">
        <v>0</v>
      </c>
      <c r="AI110" s="175">
        <v>0</v>
      </c>
      <c r="AJ110" s="175">
        <v>0</v>
      </c>
      <c r="AK110" s="175">
        <v>6</v>
      </c>
      <c r="AL110" s="175">
        <v>5</v>
      </c>
      <c r="AM110" s="175">
        <v>12</v>
      </c>
      <c r="AN110" s="175">
        <v>1</v>
      </c>
      <c r="AO110" s="175">
        <v>24</v>
      </c>
      <c r="AP110" s="175">
        <v>8</v>
      </c>
      <c r="AQ110" s="175">
        <v>3</v>
      </c>
      <c r="AR110" s="175">
        <v>3</v>
      </c>
      <c r="AS110" s="175">
        <v>11</v>
      </c>
      <c r="AT110" s="175">
        <v>3</v>
      </c>
    </row>
    <row r="111" spans="1:46">
      <c r="A111">
        <v>5099</v>
      </c>
      <c r="B111" t="s">
        <v>1221</v>
      </c>
      <c r="C111" t="s">
        <v>1222</v>
      </c>
      <c r="D111" t="s">
        <v>1223</v>
      </c>
      <c r="E111" t="s">
        <v>1224</v>
      </c>
      <c r="F111" t="s">
        <v>1225</v>
      </c>
      <c r="G111" t="s">
        <v>737</v>
      </c>
      <c r="H111" t="s">
        <v>452</v>
      </c>
      <c r="J111" t="s">
        <v>605</v>
      </c>
      <c r="K111" t="s">
        <v>606</v>
      </c>
      <c r="M111" t="s">
        <v>607</v>
      </c>
      <c r="N111" t="s">
        <v>657</v>
      </c>
      <c r="O111" t="s">
        <v>889</v>
      </c>
      <c r="P111" t="s">
        <v>739</v>
      </c>
      <c r="Q111" t="s">
        <v>467</v>
      </c>
      <c r="R111" t="s">
        <v>793</v>
      </c>
      <c r="S111" t="s">
        <v>965</v>
      </c>
      <c r="T111" t="s">
        <v>794</v>
      </c>
      <c r="U111">
        <v>145101</v>
      </c>
      <c r="V111" t="s">
        <v>1226</v>
      </c>
      <c r="W111" t="s">
        <v>909</v>
      </c>
      <c r="X111" t="s">
        <v>727</v>
      </c>
      <c r="Y111" t="s">
        <v>728</v>
      </c>
      <c r="Z111" t="s">
        <v>729</v>
      </c>
      <c r="AA111" t="s">
        <v>730</v>
      </c>
      <c r="AB111" t="s">
        <v>731</v>
      </c>
      <c r="AC111">
        <v>99100</v>
      </c>
      <c r="AD111" t="s">
        <v>1146</v>
      </c>
      <c r="AE111">
        <v>-36.859026780000001</v>
      </c>
      <c r="AF111">
        <v>174.86190895999999</v>
      </c>
      <c r="AG111" s="175">
        <v>40</v>
      </c>
      <c r="AH111" s="175">
        <v>0</v>
      </c>
      <c r="AI111" s="175">
        <v>0</v>
      </c>
      <c r="AJ111" s="175">
        <v>0</v>
      </c>
      <c r="AK111" s="175">
        <v>4</v>
      </c>
      <c r="AL111" s="175">
        <v>20</v>
      </c>
      <c r="AM111" s="175">
        <v>23</v>
      </c>
      <c r="AN111" s="175">
        <v>1</v>
      </c>
      <c r="AO111" s="175">
        <v>48</v>
      </c>
      <c r="AP111" s="175">
        <v>31</v>
      </c>
      <c r="AQ111" s="175">
        <v>4</v>
      </c>
      <c r="AR111" s="175">
        <v>3</v>
      </c>
      <c r="AS111" s="175">
        <v>11</v>
      </c>
      <c r="AT111" s="175">
        <v>7</v>
      </c>
    </row>
    <row r="112" spans="1:46">
      <c r="A112">
        <v>5100</v>
      </c>
      <c r="B112" t="s">
        <v>1227</v>
      </c>
      <c r="C112" t="s">
        <v>1228</v>
      </c>
      <c r="D112" t="s">
        <v>1229</v>
      </c>
      <c r="E112" t="s">
        <v>1230</v>
      </c>
      <c r="F112" t="s">
        <v>1231</v>
      </c>
      <c r="G112" t="s">
        <v>737</v>
      </c>
      <c r="H112" t="s">
        <v>452</v>
      </c>
      <c r="J112" t="s">
        <v>605</v>
      </c>
      <c r="K112" t="s">
        <v>606</v>
      </c>
      <c r="M112" t="s">
        <v>607</v>
      </c>
      <c r="N112" t="s">
        <v>657</v>
      </c>
      <c r="O112" t="s">
        <v>1042</v>
      </c>
      <c r="P112" t="s">
        <v>739</v>
      </c>
      <c r="Q112" t="s">
        <v>467</v>
      </c>
      <c r="R112" t="s">
        <v>793</v>
      </c>
      <c r="S112" t="s">
        <v>943</v>
      </c>
      <c r="T112" t="s">
        <v>794</v>
      </c>
      <c r="U112">
        <v>133500</v>
      </c>
      <c r="V112" t="s">
        <v>1232</v>
      </c>
      <c r="W112" t="s">
        <v>1044</v>
      </c>
      <c r="X112" t="s">
        <v>727</v>
      </c>
      <c r="Y112" t="s">
        <v>728</v>
      </c>
      <c r="Z112" t="s">
        <v>729</v>
      </c>
      <c r="AA112" t="s">
        <v>730</v>
      </c>
      <c r="AB112" t="s">
        <v>731</v>
      </c>
      <c r="AE112">
        <v>-36.86555997</v>
      </c>
      <c r="AF112">
        <v>174.7479696</v>
      </c>
      <c r="AG112" s="175">
        <v>30</v>
      </c>
      <c r="AH112" s="175">
        <v>0</v>
      </c>
      <c r="AI112" s="175">
        <v>0</v>
      </c>
      <c r="AJ112" s="175">
        <v>0</v>
      </c>
      <c r="AK112" s="175">
        <v>0</v>
      </c>
      <c r="AL112" s="175">
        <v>9</v>
      </c>
      <c r="AM112" s="175">
        <v>22</v>
      </c>
      <c r="AN112" s="175">
        <v>0</v>
      </c>
      <c r="AO112" s="175">
        <v>31</v>
      </c>
      <c r="AP112" s="175">
        <v>21</v>
      </c>
      <c r="AQ112" s="175">
        <v>6</v>
      </c>
      <c r="AR112" s="175">
        <v>8</v>
      </c>
      <c r="AS112" s="175">
        <v>2</v>
      </c>
      <c r="AT112" s="175">
        <v>6</v>
      </c>
    </row>
    <row r="113" spans="1:46">
      <c r="A113">
        <v>5101</v>
      </c>
      <c r="B113" t="s">
        <v>1233</v>
      </c>
      <c r="C113" t="s">
        <v>1234</v>
      </c>
      <c r="D113" t="s">
        <v>1235</v>
      </c>
      <c r="E113" t="s">
        <v>1236</v>
      </c>
      <c r="F113" t="s">
        <v>964</v>
      </c>
      <c r="G113" t="s">
        <v>737</v>
      </c>
      <c r="H113" t="s">
        <v>452</v>
      </c>
      <c r="J113" t="s">
        <v>605</v>
      </c>
      <c r="K113" t="s">
        <v>606</v>
      </c>
      <c r="M113" t="s">
        <v>607</v>
      </c>
      <c r="N113" t="s">
        <v>643</v>
      </c>
      <c r="O113" t="s">
        <v>889</v>
      </c>
      <c r="P113" t="s">
        <v>739</v>
      </c>
      <c r="Q113" t="s">
        <v>467</v>
      </c>
      <c r="R113" t="s">
        <v>793</v>
      </c>
      <c r="S113" t="s">
        <v>965</v>
      </c>
      <c r="T113" t="s">
        <v>794</v>
      </c>
      <c r="U113">
        <v>144500</v>
      </c>
      <c r="V113" t="s">
        <v>1237</v>
      </c>
      <c r="W113" t="s">
        <v>892</v>
      </c>
      <c r="X113" t="s">
        <v>727</v>
      </c>
      <c r="Y113" t="s">
        <v>728</v>
      </c>
      <c r="Z113" t="s">
        <v>729</v>
      </c>
      <c r="AA113" t="s">
        <v>730</v>
      </c>
      <c r="AB113" t="s">
        <v>731</v>
      </c>
      <c r="AC113">
        <v>99100</v>
      </c>
      <c r="AD113" t="s">
        <v>1146</v>
      </c>
      <c r="AE113">
        <v>-36.878247700000003</v>
      </c>
      <c r="AF113">
        <v>174.84748754</v>
      </c>
      <c r="AG113" s="175">
        <v>40</v>
      </c>
      <c r="AH113" s="175">
        <v>0</v>
      </c>
      <c r="AI113" s="175">
        <v>0</v>
      </c>
      <c r="AJ113" s="175">
        <v>0</v>
      </c>
      <c r="AK113" s="175">
        <v>10</v>
      </c>
      <c r="AL113" s="175">
        <v>15</v>
      </c>
      <c r="AM113" s="175">
        <v>19</v>
      </c>
      <c r="AN113" s="175">
        <v>2</v>
      </c>
      <c r="AO113" s="175">
        <v>46</v>
      </c>
      <c r="AP113" s="175">
        <v>20</v>
      </c>
      <c r="AQ113" s="175">
        <v>2</v>
      </c>
      <c r="AR113" s="175">
        <v>1</v>
      </c>
      <c r="AS113" s="175">
        <v>26</v>
      </c>
      <c r="AT113" s="175">
        <v>5</v>
      </c>
    </row>
    <row r="114" spans="1:46">
      <c r="A114">
        <v>5103</v>
      </c>
      <c r="B114" t="s">
        <v>1238</v>
      </c>
      <c r="C114" t="s">
        <v>1239</v>
      </c>
      <c r="D114" t="s">
        <v>1240</v>
      </c>
      <c r="E114" t="s">
        <v>1241</v>
      </c>
      <c r="F114" t="s">
        <v>1242</v>
      </c>
      <c r="G114" t="s">
        <v>737</v>
      </c>
      <c r="H114" t="s">
        <v>452</v>
      </c>
      <c r="J114" t="s">
        <v>605</v>
      </c>
      <c r="K114" t="s">
        <v>606</v>
      </c>
      <c r="M114" t="s">
        <v>607</v>
      </c>
      <c r="N114" t="s">
        <v>657</v>
      </c>
      <c r="O114" t="s">
        <v>942</v>
      </c>
      <c r="P114" t="s">
        <v>739</v>
      </c>
      <c r="Q114" t="s">
        <v>467</v>
      </c>
      <c r="R114" t="s">
        <v>793</v>
      </c>
      <c r="S114" t="s">
        <v>943</v>
      </c>
      <c r="T114" t="s">
        <v>794</v>
      </c>
      <c r="U114">
        <v>136300</v>
      </c>
      <c r="V114" t="s">
        <v>1243</v>
      </c>
      <c r="W114" t="s">
        <v>945</v>
      </c>
      <c r="X114" t="s">
        <v>727</v>
      </c>
      <c r="Y114" t="s">
        <v>728</v>
      </c>
      <c r="Z114" t="s">
        <v>729</v>
      </c>
      <c r="AA114" t="s">
        <v>730</v>
      </c>
      <c r="AB114" t="s">
        <v>731</v>
      </c>
      <c r="AE114">
        <v>-36.879336100000003</v>
      </c>
      <c r="AF114">
        <v>174.73964384000001</v>
      </c>
      <c r="AG114" s="175">
        <v>30</v>
      </c>
      <c r="AH114" s="175">
        <v>0</v>
      </c>
      <c r="AI114" s="175">
        <v>0</v>
      </c>
      <c r="AJ114" s="175">
        <v>0</v>
      </c>
      <c r="AK114" s="175">
        <v>0</v>
      </c>
      <c r="AL114" s="175">
        <v>8</v>
      </c>
      <c r="AM114" s="175">
        <v>21</v>
      </c>
      <c r="AN114" s="175">
        <v>2</v>
      </c>
      <c r="AO114" s="175">
        <v>31</v>
      </c>
      <c r="AP114" s="175">
        <v>22</v>
      </c>
      <c r="AQ114" s="175">
        <v>4</v>
      </c>
      <c r="AR114" s="175">
        <v>4</v>
      </c>
      <c r="AS114" s="175">
        <v>6</v>
      </c>
      <c r="AT114" s="175">
        <v>3</v>
      </c>
    </row>
    <row r="115" spans="1:46">
      <c r="A115">
        <v>5104</v>
      </c>
      <c r="B115" t="s">
        <v>1244</v>
      </c>
      <c r="C115" t="s">
        <v>1245</v>
      </c>
      <c r="D115" t="s">
        <v>1246</v>
      </c>
      <c r="E115" t="s">
        <v>1247</v>
      </c>
      <c r="F115" t="s">
        <v>983</v>
      </c>
      <c r="G115" t="s">
        <v>737</v>
      </c>
      <c r="H115" t="s">
        <v>452</v>
      </c>
      <c r="J115" t="s">
        <v>605</v>
      </c>
      <c r="K115" t="s">
        <v>606</v>
      </c>
      <c r="M115" t="s">
        <v>607</v>
      </c>
      <c r="N115" t="s">
        <v>657</v>
      </c>
      <c r="O115" t="s">
        <v>898</v>
      </c>
      <c r="P115" t="s">
        <v>739</v>
      </c>
      <c r="Q115" t="s">
        <v>467</v>
      </c>
      <c r="R115" t="s">
        <v>724</v>
      </c>
      <c r="S115" t="s">
        <v>984</v>
      </c>
      <c r="T115" t="s">
        <v>613</v>
      </c>
      <c r="U115">
        <v>126702</v>
      </c>
      <c r="V115" t="s">
        <v>985</v>
      </c>
      <c r="W115" t="s">
        <v>900</v>
      </c>
      <c r="X115" t="s">
        <v>727</v>
      </c>
      <c r="Y115" t="s">
        <v>728</v>
      </c>
      <c r="Z115" t="s">
        <v>729</v>
      </c>
      <c r="AA115" t="s">
        <v>730</v>
      </c>
      <c r="AB115" t="s">
        <v>731</v>
      </c>
      <c r="AE115">
        <v>-36.88174918</v>
      </c>
      <c r="AF115">
        <v>174.61622629999999</v>
      </c>
      <c r="AG115" s="175">
        <v>40</v>
      </c>
      <c r="AH115" s="175">
        <v>0</v>
      </c>
      <c r="AI115" s="175">
        <v>0</v>
      </c>
      <c r="AJ115" s="175">
        <v>0</v>
      </c>
      <c r="AK115" s="175">
        <v>1</v>
      </c>
      <c r="AL115" s="175">
        <v>17</v>
      </c>
      <c r="AM115" s="175">
        <v>33</v>
      </c>
      <c r="AN115" s="175">
        <v>1</v>
      </c>
      <c r="AO115" s="175">
        <v>52</v>
      </c>
      <c r="AP115" s="175">
        <v>22</v>
      </c>
      <c r="AQ115" s="175">
        <v>6</v>
      </c>
      <c r="AR115" s="175">
        <v>9</v>
      </c>
      <c r="AS115" s="175">
        <v>26</v>
      </c>
      <c r="AT115" s="175">
        <v>2</v>
      </c>
    </row>
    <row r="116" spans="1:46">
      <c r="A116">
        <v>5105</v>
      </c>
      <c r="B116" t="s">
        <v>1248</v>
      </c>
      <c r="C116" t="s">
        <v>1249</v>
      </c>
      <c r="D116" t="s">
        <v>1250</v>
      </c>
      <c r="E116" t="s">
        <v>1251</v>
      </c>
      <c r="F116" t="s">
        <v>1252</v>
      </c>
      <c r="G116" t="s">
        <v>1152</v>
      </c>
      <c r="H116" t="s">
        <v>452</v>
      </c>
      <c r="J116" t="s">
        <v>605</v>
      </c>
      <c r="K116" t="s">
        <v>606</v>
      </c>
      <c r="M116" t="s">
        <v>607</v>
      </c>
      <c r="N116" t="s">
        <v>657</v>
      </c>
      <c r="O116" t="s">
        <v>1253</v>
      </c>
      <c r="P116" t="s">
        <v>739</v>
      </c>
      <c r="Q116" t="s">
        <v>467</v>
      </c>
      <c r="R116" t="s">
        <v>724</v>
      </c>
      <c r="S116" t="s">
        <v>725</v>
      </c>
      <c r="T116" t="s">
        <v>613</v>
      </c>
      <c r="U116">
        <v>117001</v>
      </c>
      <c r="V116" t="s">
        <v>1252</v>
      </c>
      <c r="W116" t="s">
        <v>742</v>
      </c>
      <c r="X116" t="s">
        <v>727</v>
      </c>
      <c r="Y116" t="s">
        <v>728</v>
      </c>
      <c r="Z116" t="s">
        <v>729</v>
      </c>
      <c r="AA116" t="s">
        <v>730</v>
      </c>
      <c r="AB116" t="s">
        <v>731</v>
      </c>
      <c r="AE116">
        <v>-36.793118839999998</v>
      </c>
      <c r="AF116">
        <v>174.61952049999999</v>
      </c>
      <c r="AG116" s="175">
        <v>40</v>
      </c>
      <c r="AH116" s="175">
        <v>0</v>
      </c>
      <c r="AI116" s="175">
        <v>0</v>
      </c>
      <c r="AJ116" s="175">
        <v>0</v>
      </c>
      <c r="AK116" s="175">
        <v>4</v>
      </c>
      <c r="AL116" s="175">
        <v>13</v>
      </c>
      <c r="AM116" s="175">
        <v>28</v>
      </c>
      <c r="AN116" s="175">
        <v>1</v>
      </c>
      <c r="AO116" s="175">
        <v>46</v>
      </c>
      <c r="AP116" s="175">
        <v>27</v>
      </c>
      <c r="AQ116" s="175">
        <v>6</v>
      </c>
      <c r="AR116" s="175">
        <v>2</v>
      </c>
      <c r="AS116" s="175">
        <v>15</v>
      </c>
      <c r="AT116" s="175">
        <v>4</v>
      </c>
    </row>
    <row r="117" spans="1:46">
      <c r="A117">
        <v>5106</v>
      </c>
      <c r="B117" t="s">
        <v>1254</v>
      </c>
      <c r="C117" t="s">
        <v>1255</v>
      </c>
      <c r="E117" t="s">
        <v>1256</v>
      </c>
      <c r="F117" t="s">
        <v>983</v>
      </c>
      <c r="G117" t="s">
        <v>737</v>
      </c>
      <c r="H117" t="s">
        <v>452</v>
      </c>
      <c r="J117" t="s">
        <v>605</v>
      </c>
      <c r="K117" t="s">
        <v>606</v>
      </c>
      <c r="M117" t="s">
        <v>607</v>
      </c>
      <c r="N117" t="s">
        <v>643</v>
      </c>
      <c r="O117" t="s">
        <v>898</v>
      </c>
      <c r="P117" t="s">
        <v>739</v>
      </c>
      <c r="Q117" t="s">
        <v>467</v>
      </c>
      <c r="R117" t="s">
        <v>724</v>
      </c>
      <c r="S117" t="s">
        <v>804</v>
      </c>
      <c r="T117" t="s">
        <v>794</v>
      </c>
      <c r="U117">
        <v>128401</v>
      </c>
      <c r="V117" t="s">
        <v>1257</v>
      </c>
      <c r="W117" t="s">
        <v>900</v>
      </c>
      <c r="X117" t="s">
        <v>727</v>
      </c>
      <c r="Y117" t="s">
        <v>728</v>
      </c>
      <c r="Z117" t="s">
        <v>729</v>
      </c>
      <c r="AA117" t="s">
        <v>730</v>
      </c>
      <c r="AB117" t="s">
        <v>731</v>
      </c>
      <c r="AC117">
        <v>99029</v>
      </c>
      <c r="AD117" t="s">
        <v>986</v>
      </c>
      <c r="AE117">
        <v>-36.891228679999998</v>
      </c>
      <c r="AF117">
        <v>174.64201007</v>
      </c>
      <c r="AG117" s="175">
        <v>40</v>
      </c>
      <c r="AH117" s="175">
        <v>0</v>
      </c>
      <c r="AI117" s="175">
        <v>0</v>
      </c>
      <c r="AJ117" s="175">
        <v>0</v>
      </c>
      <c r="AK117" s="175">
        <v>9</v>
      </c>
      <c r="AL117" s="175">
        <v>23</v>
      </c>
      <c r="AM117" s="175">
        <v>17</v>
      </c>
      <c r="AN117" s="175">
        <v>1</v>
      </c>
      <c r="AO117" s="175">
        <v>50</v>
      </c>
      <c r="AP117" s="175">
        <v>20</v>
      </c>
      <c r="AQ117" s="175">
        <v>11</v>
      </c>
      <c r="AR117" s="175">
        <v>19</v>
      </c>
      <c r="AS117" s="175">
        <v>16</v>
      </c>
      <c r="AT117" s="175">
        <v>3</v>
      </c>
    </row>
    <row r="118" spans="1:46">
      <c r="A118">
        <v>5107</v>
      </c>
      <c r="B118" t="s">
        <v>1258</v>
      </c>
      <c r="C118" t="s">
        <v>1259</v>
      </c>
      <c r="D118" t="s">
        <v>1260</v>
      </c>
      <c r="E118" t="s">
        <v>1261</v>
      </c>
      <c r="F118" t="s">
        <v>1262</v>
      </c>
      <c r="G118" t="s">
        <v>737</v>
      </c>
      <c r="H118" t="s">
        <v>452</v>
      </c>
      <c r="J118" t="s">
        <v>605</v>
      </c>
      <c r="K118" t="s">
        <v>606</v>
      </c>
      <c r="M118" t="s">
        <v>607</v>
      </c>
      <c r="N118" t="s">
        <v>657</v>
      </c>
      <c r="O118" t="s">
        <v>833</v>
      </c>
      <c r="P118" t="s">
        <v>739</v>
      </c>
      <c r="Q118" t="s">
        <v>467</v>
      </c>
      <c r="R118" t="s">
        <v>724</v>
      </c>
      <c r="S118" t="s">
        <v>767</v>
      </c>
      <c r="T118" t="s">
        <v>613</v>
      </c>
      <c r="U118">
        <v>126801</v>
      </c>
      <c r="V118" t="s">
        <v>1263</v>
      </c>
      <c r="W118" t="s">
        <v>826</v>
      </c>
      <c r="X118" t="s">
        <v>727</v>
      </c>
      <c r="Y118" t="s">
        <v>728</v>
      </c>
      <c r="Z118" t="s">
        <v>729</v>
      </c>
      <c r="AA118" t="s">
        <v>730</v>
      </c>
      <c r="AB118" t="s">
        <v>731</v>
      </c>
      <c r="AC118">
        <v>99188</v>
      </c>
      <c r="AD118" t="s">
        <v>871</v>
      </c>
      <c r="AE118">
        <v>-36.792570120000001</v>
      </c>
      <c r="AF118">
        <v>174.77294173999999</v>
      </c>
      <c r="AG118" s="175">
        <v>40</v>
      </c>
      <c r="AH118" s="175">
        <v>0</v>
      </c>
      <c r="AI118" s="175">
        <v>0</v>
      </c>
      <c r="AJ118" s="175">
        <v>0</v>
      </c>
      <c r="AK118" s="175">
        <v>0</v>
      </c>
      <c r="AL118" s="175">
        <v>14</v>
      </c>
      <c r="AM118" s="175">
        <v>36</v>
      </c>
      <c r="AN118" s="175">
        <v>3</v>
      </c>
      <c r="AO118" s="175">
        <v>53</v>
      </c>
      <c r="AP118" s="175">
        <v>43</v>
      </c>
      <c r="AQ118" s="175">
        <v>3</v>
      </c>
      <c r="AR118" s="175">
        <v>2</v>
      </c>
      <c r="AS118" s="175">
        <v>17</v>
      </c>
      <c r="AT118" s="175">
        <v>1</v>
      </c>
    </row>
    <row r="119" spans="1:46">
      <c r="A119">
        <v>5108</v>
      </c>
      <c r="B119" t="s">
        <v>1264</v>
      </c>
      <c r="C119" t="s">
        <v>1265</v>
      </c>
      <c r="D119" t="s">
        <v>1266</v>
      </c>
      <c r="E119" t="s">
        <v>1267</v>
      </c>
      <c r="F119" t="s">
        <v>1268</v>
      </c>
      <c r="G119" t="s">
        <v>737</v>
      </c>
      <c r="H119" t="s">
        <v>452</v>
      </c>
      <c r="J119" t="s">
        <v>605</v>
      </c>
      <c r="K119" t="s">
        <v>606</v>
      </c>
      <c r="M119" t="s">
        <v>607</v>
      </c>
      <c r="N119" t="s">
        <v>657</v>
      </c>
      <c r="O119" t="s">
        <v>898</v>
      </c>
      <c r="P119" t="s">
        <v>739</v>
      </c>
      <c r="Q119" t="s">
        <v>467</v>
      </c>
      <c r="R119" t="s">
        <v>724</v>
      </c>
      <c r="S119" t="s">
        <v>984</v>
      </c>
      <c r="T119" t="s">
        <v>613</v>
      </c>
      <c r="U119">
        <v>124500</v>
      </c>
      <c r="V119" t="s">
        <v>1269</v>
      </c>
      <c r="W119" t="s">
        <v>900</v>
      </c>
      <c r="X119" t="s">
        <v>727</v>
      </c>
      <c r="Y119" t="s">
        <v>728</v>
      </c>
      <c r="Z119" t="s">
        <v>729</v>
      </c>
      <c r="AA119" t="s">
        <v>730</v>
      </c>
      <c r="AB119" t="s">
        <v>731</v>
      </c>
      <c r="AE119">
        <v>-36.839914530000001</v>
      </c>
      <c r="AF119">
        <v>174.65461392</v>
      </c>
      <c r="AG119" s="175">
        <v>40</v>
      </c>
      <c r="AH119" s="175">
        <v>0</v>
      </c>
      <c r="AI119" s="175">
        <v>0</v>
      </c>
      <c r="AJ119" s="175">
        <v>0</v>
      </c>
      <c r="AK119" s="175">
        <v>8</v>
      </c>
      <c r="AL119" s="175">
        <v>12</v>
      </c>
      <c r="AM119" s="175">
        <v>26</v>
      </c>
      <c r="AN119" s="175">
        <v>4</v>
      </c>
      <c r="AO119" s="175">
        <v>50</v>
      </c>
      <c r="AP119" s="175">
        <v>18</v>
      </c>
      <c r="AQ119" s="175">
        <v>19</v>
      </c>
      <c r="AR119" s="175">
        <v>20</v>
      </c>
      <c r="AS119" s="175">
        <v>18</v>
      </c>
      <c r="AT119" s="175">
        <v>2</v>
      </c>
    </row>
    <row r="120" spans="1:46">
      <c r="A120">
        <v>5109</v>
      </c>
      <c r="B120" t="s">
        <v>1270</v>
      </c>
      <c r="C120" t="s">
        <v>1271</v>
      </c>
      <c r="D120" t="s">
        <v>1272</v>
      </c>
      <c r="E120" t="s">
        <v>1273</v>
      </c>
      <c r="F120" t="s">
        <v>1274</v>
      </c>
      <c r="G120" t="s">
        <v>737</v>
      </c>
      <c r="H120" t="s">
        <v>452</v>
      </c>
      <c r="J120" t="s">
        <v>605</v>
      </c>
      <c r="K120" t="s">
        <v>606</v>
      </c>
      <c r="M120" t="s">
        <v>607</v>
      </c>
      <c r="N120" t="s">
        <v>657</v>
      </c>
      <c r="O120" t="s">
        <v>898</v>
      </c>
      <c r="P120" t="s">
        <v>739</v>
      </c>
      <c r="Q120" t="s">
        <v>467</v>
      </c>
      <c r="R120" t="s">
        <v>724</v>
      </c>
      <c r="S120" t="s">
        <v>984</v>
      </c>
      <c r="T120" t="s">
        <v>794</v>
      </c>
      <c r="U120">
        <v>128501</v>
      </c>
      <c r="V120" t="s">
        <v>1275</v>
      </c>
      <c r="W120" t="s">
        <v>900</v>
      </c>
      <c r="X120" t="s">
        <v>727</v>
      </c>
      <c r="Y120" t="s">
        <v>728</v>
      </c>
      <c r="Z120" t="s">
        <v>729</v>
      </c>
      <c r="AA120" t="s">
        <v>730</v>
      </c>
      <c r="AB120" t="s">
        <v>731</v>
      </c>
      <c r="AC120">
        <v>99013</v>
      </c>
      <c r="AD120" t="s">
        <v>1276</v>
      </c>
      <c r="AE120">
        <v>-36.879241129999997</v>
      </c>
      <c r="AF120">
        <v>174.65222663</v>
      </c>
      <c r="AG120" s="175">
        <v>40</v>
      </c>
      <c r="AH120" s="175">
        <v>0</v>
      </c>
      <c r="AI120" s="175">
        <v>0</v>
      </c>
      <c r="AJ120" s="175">
        <v>0</v>
      </c>
      <c r="AK120" s="175">
        <v>2</v>
      </c>
      <c r="AL120" s="175">
        <v>20</v>
      </c>
      <c r="AM120" s="175">
        <v>30</v>
      </c>
      <c r="AN120" s="175">
        <v>3</v>
      </c>
      <c r="AO120" s="175">
        <v>55</v>
      </c>
      <c r="AP120" s="175">
        <v>25</v>
      </c>
      <c r="AQ120" s="175">
        <v>11</v>
      </c>
      <c r="AR120" s="175">
        <v>12</v>
      </c>
      <c r="AS120" s="175">
        <v>21</v>
      </c>
      <c r="AT120" s="175">
        <v>1</v>
      </c>
    </row>
    <row r="121" spans="1:46">
      <c r="A121">
        <v>5111</v>
      </c>
      <c r="B121" t="s">
        <v>1277</v>
      </c>
      <c r="C121" t="s">
        <v>1278</v>
      </c>
      <c r="D121" t="s">
        <v>1279</v>
      </c>
      <c r="E121" t="s">
        <v>1280</v>
      </c>
      <c r="F121" t="s">
        <v>1086</v>
      </c>
      <c r="G121" t="s">
        <v>737</v>
      </c>
      <c r="H121" t="s">
        <v>452</v>
      </c>
      <c r="J121" t="s">
        <v>605</v>
      </c>
      <c r="K121" t="s">
        <v>606</v>
      </c>
      <c r="M121" t="s">
        <v>607</v>
      </c>
      <c r="N121" t="s">
        <v>657</v>
      </c>
      <c r="O121" t="s">
        <v>833</v>
      </c>
      <c r="P121" t="s">
        <v>739</v>
      </c>
      <c r="Q121" t="s">
        <v>467</v>
      </c>
      <c r="R121" t="s">
        <v>724</v>
      </c>
      <c r="S121" t="s">
        <v>767</v>
      </c>
      <c r="T121" t="s">
        <v>613</v>
      </c>
      <c r="U121">
        <v>123600</v>
      </c>
      <c r="V121" t="s">
        <v>1281</v>
      </c>
      <c r="W121" t="s">
        <v>826</v>
      </c>
      <c r="X121" t="s">
        <v>727</v>
      </c>
      <c r="Y121" t="s">
        <v>728</v>
      </c>
      <c r="Z121" t="s">
        <v>729</v>
      </c>
      <c r="AA121" t="s">
        <v>730</v>
      </c>
      <c r="AB121" t="s">
        <v>731</v>
      </c>
      <c r="AC121">
        <v>99188</v>
      </c>
      <c r="AD121" t="s">
        <v>871</v>
      </c>
      <c r="AE121">
        <v>-36.769356940000002</v>
      </c>
      <c r="AF121">
        <v>174.75078217999999</v>
      </c>
      <c r="AG121" s="175">
        <v>40</v>
      </c>
      <c r="AH121" s="175">
        <v>0</v>
      </c>
      <c r="AI121" s="175">
        <v>0</v>
      </c>
      <c r="AJ121" s="175">
        <v>0</v>
      </c>
      <c r="AK121" s="175">
        <v>5</v>
      </c>
      <c r="AL121" s="175">
        <v>18</v>
      </c>
      <c r="AM121" s="175">
        <v>24</v>
      </c>
      <c r="AN121" s="175">
        <v>1</v>
      </c>
      <c r="AO121" s="175">
        <v>48</v>
      </c>
      <c r="AP121" s="175">
        <v>24</v>
      </c>
      <c r="AQ121" s="175">
        <v>2</v>
      </c>
      <c r="AR121" s="175">
        <v>1</v>
      </c>
      <c r="AS121" s="175">
        <v>27</v>
      </c>
      <c r="AT121" s="175">
        <v>1</v>
      </c>
    </row>
    <row r="122" spans="1:46">
      <c r="A122">
        <v>5112</v>
      </c>
      <c r="B122" t="s">
        <v>1282</v>
      </c>
      <c r="C122" t="s">
        <v>1283</v>
      </c>
      <c r="D122" t="s">
        <v>1284</v>
      </c>
      <c r="E122" t="s">
        <v>1285</v>
      </c>
      <c r="F122" t="s">
        <v>1286</v>
      </c>
      <c r="G122" t="s">
        <v>737</v>
      </c>
      <c r="H122" t="s">
        <v>452</v>
      </c>
      <c r="J122" t="s">
        <v>605</v>
      </c>
      <c r="K122" t="s">
        <v>606</v>
      </c>
      <c r="M122" t="s">
        <v>607</v>
      </c>
      <c r="N122" t="s">
        <v>657</v>
      </c>
      <c r="O122" t="s">
        <v>1042</v>
      </c>
      <c r="P122" t="s">
        <v>739</v>
      </c>
      <c r="Q122" t="s">
        <v>467</v>
      </c>
      <c r="R122" t="s">
        <v>793</v>
      </c>
      <c r="S122" t="s">
        <v>943</v>
      </c>
      <c r="T122" t="s">
        <v>794</v>
      </c>
      <c r="U122">
        <v>130300</v>
      </c>
      <c r="V122" t="s">
        <v>1287</v>
      </c>
      <c r="W122" t="s">
        <v>1044</v>
      </c>
      <c r="X122" t="s">
        <v>727</v>
      </c>
      <c r="Y122" t="s">
        <v>728</v>
      </c>
      <c r="Z122" t="s">
        <v>729</v>
      </c>
      <c r="AA122" t="s">
        <v>730</v>
      </c>
      <c r="AB122" t="s">
        <v>731</v>
      </c>
      <c r="AE122">
        <v>-36.857767600000003</v>
      </c>
      <c r="AF122">
        <v>174.72163112999999</v>
      </c>
      <c r="AG122" s="175">
        <v>40</v>
      </c>
      <c r="AH122" s="175">
        <v>0</v>
      </c>
      <c r="AI122" s="175">
        <v>0</v>
      </c>
      <c r="AJ122" s="175">
        <v>0</v>
      </c>
      <c r="AK122" s="175">
        <v>0</v>
      </c>
      <c r="AL122" s="175">
        <v>14</v>
      </c>
      <c r="AM122" s="175">
        <v>35</v>
      </c>
      <c r="AN122" s="175">
        <v>0</v>
      </c>
      <c r="AO122" s="175">
        <v>49</v>
      </c>
      <c r="AP122" s="175">
        <v>43</v>
      </c>
      <c r="AQ122" s="175">
        <v>11</v>
      </c>
      <c r="AR122" s="175">
        <v>3</v>
      </c>
      <c r="AS122" s="175">
        <v>8</v>
      </c>
      <c r="AT122" s="175">
        <v>0</v>
      </c>
    </row>
    <row r="123" spans="1:46">
      <c r="A123">
        <v>5113</v>
      </c>
      <c r="B123" t="s">
        <v>1288</v>
      </c>
      <c r="C123" t="s">
        <v>1289</v>
      </c>
      <c r="D123" t="s">
        <v>1290</v>
      </c>
      <c r="E123" t="s">
        <v>1291</v>
      </c>
      <c r="F123" t="s">
        <v>791</v>
      </c>
      <c r="G123" t="s">
        <v>737</v>
      </c>
      <c r="H123" t="s">
        <v>452</v>
      </c>
      <c r="J123" t="s">
        <v>605</v>
      </c>
      <c r="K123" t="s">
        <v>606</v>
      </c>
      <c r="M123" t="s">
        <v>607</v>
      </c>
      <c r="N123" t="s">
        <v>657</v>
      </c>
      <c r="O123" t="s">
        <v>792</v>
      </c>
      <c r="P123" t="s">
        <v>739</v>
      </c>
      <c r="Q123" t="s">
        <v>467</v>
      </c>
      <c r="R123" t="s">
        <v>793</v>
      </c>
      <c r="S123" t="s">
        <v>791</v>
      </c>
      <c r="T123" t="s">
        <v>794</v>
      </c>
      <c r="U123">
        <v>148401</v>
      </c>
      <c r="V123" t="s">
        <v>1292</v>
      </c>
      <c r="W123" t="s">
        <v>796</v>
      </c>
      <c r="X123" t="s">
        <v>727</v>
      </c>
      <c r="Y123" t="s">
        <v>728</v>
      </c>
      <c r="Z123" t="s">
        <v>729</v>
      </c>
      <c r="AA123" t="s">
        <v>730</v>
      </c>
      <c r="AB123" t="s">
        <v>731</v>
      </c>
      <c r="AE123">
        <v>-36.89577311</v>
      </c>
      <c r="AF123">
        <v>174.89534685000001</v>
      </c>
      <c r="AG123" s="175">
        <v>40</v>
      </c>
      <c r="AH123" s="175">
        <v>0</v>
      </c>
      <c r="AI123" s="175">
        <v>0</v>
      </c>
      <c r="AJ123" s="175">
        <v>0</v>
      </c>
      <c r="AK123" s="175">
        <v>8</v>
      </c>
      <c r="AL123" s="175">
        <v>22</v>
      </c>
      <c r="AM123" s="175">
        <v>16</v>
      </c>
      <c r="AN123" s="175">
        <v>1</v>
      </c>
      <c r="AO123" s="175">
        <v>47</v>
      </c>
      <c r="AP123" s="175">
        <v>19</v>
      </c>
      <c r="AQ123" s="175">
        <v>3</v>
      </c>
      <c r="AR123" s="175">
        <v>3</v>
      </c>
      <c r="AS123" s="175">
        <v>27</v>
      </c>
      <c r="AT123" s="175">
        <v>2</v>
      </c>
    </row>
    <row r="124" spans="1:46">
      <c r="A124">
        <v>5114</v>
      </c>
      <c r="B124" t="s">
        <v>1293</v>
      </c>
      <c r="C124" t="s">
        <v>1294</v>
      </c>
      <c r="D124" t="s">
        <v>1295</v>
      </c>
      <c r="E124" t="s">
        <v>1296</v>
      </c>
      <c r="F124" t="s">
        <v>811</v>
      </c>
      <c r="G124" t="s">
        <v>737</v>
      </c>
      <c r="H124" t="s">
        <v>452</v>
      </c>
      <c r="J124" t="s">
        <v>605</v>
      </c>
      <c r="K124" t="s">
        <v>606</v>
      </c>
      <c r="M124" t="s">
        <v>607</v>
      </c>
      <c r="N124" t="s">
        <v>812</v>
      </c>
      <c r="O124" t="s">
        <v>813</v>
      </c>
      <c r="P124" t="s">
        <v>739</v>
      </c>
      <c r="Q124" t="s">
        <v>467</v>
      </c>
      <c r="R124" t="s">
        <v>814</v>
      </c>
      <c r="S124" t="s">
        <v>815</v>
      </c>
      <c r="T124" t="s">
        <v>794</v>
      </c>
      <c r="U124">
        <v>155801</v>
      </c>
      <c r="V124" t="s">
        <v>1297</v>
      </c>
      <c r="W124" t="s">
        <v>817</v>
      </c>
      <c r="X124" t="s">
        <v>727</v>
      </c>
      <c r="Y124" t="s">
        <v>728</v>
      </c>
      <c r="Z124" t="s">
        <v>729</v>
      </c>
      <c r="AA124" t="s">
        <v>730</v>
      </c>
      <c r="AB124" t="s">
        <v>731</v>
      </c>
      <c r="AE124">
        <v>-36.966397180000001</v>
      </c>
      <c r="AF124">
        <v>174.8781329</v>
      </c>
      <c r="AG124" s="175">
        <v>30</v>
      </c>
      <c r="AH124" s="175">
        <v>0</v>
      </c>
      <c r="AI124" s="175">
        <v>0</v>
      </c>
      <c r="AJ124" s="175">
        <v>0</v>
      </c>
      <c r="AK124" s="175">
        <v>5</v>
      </c>
      <c r="AL124" s="175">
        <v>5</v>
      </c>
      <c r="AM124" s="175">
        <v>8</v>
      </c>
      <c r="AN124" s="175">
        <v>2</v>
      </c>
      <c r="AO124" s="175">
        <v>20</v>
      </c>
      <c r="AP124" s="175">
        <v>1</v>
      </c>
      <c r="AQ124" s="175">
        <v>2</v>
      </c>
      <c r="AR124" s="175">
        <v>19</v>
      </c>
      <c r="AS124" s="175">
        <v>1</v>
      </c>
      <c r="AT124" s="175">
        <v>0</v>
      </c>
    </row>
    <row r="125" spans="1:46">
      <c r="A125">
        <v>5115</v>
      </c>
      <c r="B125" t="s">
        <v>1298</v>
      </c>
      <c r="C125" t="s">
        <v>1299</v>
      </c>
      <c r="E125" t="s">
        <v>1300</v>
      </c>
      <c r="F125" t="s">
        <v>1121</v>
      </c>
      <c r="G125" t="s">
        <v>737</v>
      </c>
      <c r="H125" t="s">
        <v>452</v>
      </c>
      <c r="J125" t="s">
        <v>605</v>
      </c>
      <c r="K125" t="s">
        <v>606</v>
      </c>
      <c r="M125" t="s">
        <v>607</v>
      </c>
      <c r="N125" t="s">
        <v>608</v>
      </c>
      <c r="O125" t="s">
        <v>1301</v>
      </c>
      <c r="P125" t="s">
        <v>739</v>
      </c>
      <c r="Q125" t="s">
        <v>467</v>
      </c>
      <c r="R125" t="s">
        <v>814</v>
      </c>
      <c r="S125" t="s">
        <v>1302</v>
      </c>
      <c r="T125" t="s">
        <v>794</v>
      </c>
      <c r="U125">
        <v>160800</v>
      </c>
      <c r="V125" t="s">
        <v>1303</v>
      </c>
      <c r="W125" t="s">
        <v>1304</v>
      </c>
      <c r="X125" t="s">
        <v>1305</v>
      </c>
      <c r="Y125" t="s">
        <v>1306</v>
      </c>
      <c r="Z125" t="s">
        <v>1302</v>
      </c>
      <c r="AA125" t="s">
        <v>1307</v>
      </c>
      <c r="AB125" t="s">
        <v>1308</v>
      </c>
      <c r="AC125">
        <v>99186</v>
      </c>
      <c r="AD125" t="s">
        <v>1309</v>
      </c>
      <c r="AE125">
        <v>-37.022995280000004</v>
      </c>
      <c r="AF125">
        <v>174.90203303999999</v>
      </c>
      <c r="AG125" s="175">
        <v>40</v>
      </c>
      <c r="AH125" s="175">
        <v>0</v>
      </c>
      <c r="AI125" s="175">
        <v>0</v>
      </c>
      <c r="AJ125" s="175">
        <v>0</v>
      </c>
      <c r="AK125" s="175">
        <v>12</v>
      </c>
      <c r="AL125" s="175">
        <v>15</v>
      </c>
      <c r="AM125" s="175">
        <v>11</v>
      </c>
      <c r="AN125" s="175">
        <v>1</v>
      </c>
      <c r="AO125" s="175">
        <v>39</v>
      </c>
      <c r="AP125" s="175">
        <v>4</v>
      </c>
      <c r="AQ125" s="175">
        <v>9</v>
      </c>
      <c r="AR125" s="175">
        <v>20</v>
      </c>
      <c r="AS125" s="175">
        <v>15</v>
      </c>
      <c r="AT125" s="175">
        <v>0</v>
      </c>
    </row>
    <row r="126" spans="1:46">
      <c r="A126">
        <v>5116</v>
      </c>
      <c r="B126" t="s">
        <v>1310</v>
      </c>
      <c r="C126" t="s">
        <v>1311</v>
      </c>
      <c r="E126" t="s">
        <v>1312</v>
      </c>
      <c r="F126" t="s">
        <v>1121</v>
      </c>
      <c r="G126" t="s">
        <v>737</v>
      </c>
      <c r="H126" t="s">
        <v>452</v>
      </c>
      <c r="J126" t="s">
        <v>605</v>
      </c>
      <c r="K126" t="s">
        <v>606</v>
      </c>
      <c r="M126" t="s">
        <v>607</v>
      </c>
      <c r="N126" t="s">
        <v>812</v>
      </c>
      <c r="O126" t="s">
        <v>1301</v>
      </c>
      <c r="P126" t="s">
        <v>739</v>
      </c>
      <c r="Q126" t="s">
        <v>467</v>
      </c>
      <c r="R126" t="s">
        <v>814</v>
      </c>
      <c r="S126" t="s">
        <v>1302</v>
      </c>
      <c r="T126" t="s">
        <v>794</v>
      </c>
      <c r="U126">
        <v>161500</v>
      </c>
      <c r="V126" t="s">
        <v>1313</v>
      </c>
      <c r="W126" t="s">
        <v>1304</v>
      </c>
      <c r="X126" t="s">
        <v>1305</v>
      </c>
      <c r="Y126" t="s">
        <v>1306</v>
      </c>
      <c r="Z126" t="s">
        <v>1302</v>
      </c>
      <c r="AA126" t="s">
        <v>1307</v>
      </c>
      <c r="AB126" t="s">
        <v>1308</v>
      </c>
      <c r="AE126">
        <v>-37.040792039999999</v>
      </c>
      <c r="AF126">
        <v>174.89673977999999</v>
      </c>
      <c r="AG126" s="175">
        <v>40</v>
      </c>
      <c r="AH126" s="175">
        <v>0</v>
      </c>
      <c r="AI126" s="175">
        <v>0</v>
      </c>
      <c r="AJ126" s="175">
        <v>0</v>
      </c>
      <c r="AK126" s="175">
        <v>2</v>
      </c>
      <c r="AL126" s="175">
        <v>9</v>
      </c>
      <c r="AM126" s="175">
        <v>29</v>
      </c>
      <c r="AN126" s="175">
        <v>2</v>
      </c>
      <c r="AO126" s="175">
        <v>42</v>
      </c>
      <c r="AP126" s="175">
        <v>12</v>
      </c>
      <c r="AQ126" s="175">
        <v>11</v>
      </c>
      <c r="AR126" s="175">
        <v>20</v>
      </c>
      <c r="AS126" s="175">
        <v>13</v>
      </c>
      <c r="AT126" s="175">
        <v>0</v>
      </c>
    </row>
    <row r="127" spans="1:46">
      <c r="A127">
        <v>5117</v>
      </c>
      <c r="B127" t="s">
        <v>1314</v>
      </c>
      <c r="C127" t="s">
        <v>1315</v>
      </c>
      <c r="E127" t="s">
        <v>1316</v>
      </c>
      <c r="F127" t="s">
        <v>1317</v>
      </c>
      <c r="G127" t="s">
        <v>737</v>
      </c>
      <c r="H127" t="s">
        <v>452</v>
      </c>
      <c r="J127" t="s">
        <v>605</v>
      </c>
      <c r="K127" t="s">
        <v>606</v>
      </c>
      <c r="M127" t="s">
        <v>607</v>
      </c>
      <c r="N127" t="s">
        <v>625</v>
      </c>
      <c r="O127" t="s">
        <v>1318</v>
      </c>
      <c r="P127" t="s">
        <v>626</v>
      </c>
      <c r="Q127" t="s">
        <v>467</v>
      </c>
      <c r="R127" t="s">
        <v>814</v>
      </c>
      <c r="S127" t="s">
        <v>1319</v>
      </c>
      <c r="T127" t="s">
        <v>1320</v>
      </c>
      <c r="U127">
        <v>162701</v>
      </c>
      <c r="V127" t="s">
        <v>1321</v>
      </c>
      <c r="W127" t="s">
        <v>1322</v>
      </c>
      <c r="X127" t="s">
        <v>1305</v>
      </c>
      <c r="Y127" t="s">
        <v>1306</v>
      </c>
      <c r="Z127" t="s">
        <v>1302</v>
      </c>
      <c r="AA127" t="s">
        <v>1307</v>
      </c>
      <c r="AB127" t="s">
        <v>1308</v>
      </c>
      <c r="AC127">
        <v>99119</v>
      </c>
      <c r="AD127" t="s">
        <v>865</v>
      </c>
      <c r="AE127">
        <v>-36.950141760000001</v>
      </c>
      <c r="AF127">
        <v>175.17045870999999</v>
      </c>
      <c r="AG127" s="175">
        <v>20</v>
      </c>
      <c r="AH127" s="175">
        <v>0</v>
      </c>
      <c r="AI127" s="175">
        <v>0</v>
      </c>
      <c r="AJ127" s="175">
        <v>0</v>
      </c>
      <c r="AK127" s="175">
        <v>3</v>
      </c>
      <c r="AL127" s="175">
        <v>8</v>
      </c>
      <c r="AM127" s="175">
        <v>13</v>
      </c>
      <c r="AN127" s="175">
        <v>1</v>
      </c>
      <c r="AO127" s="175">
        <v>25</v>
      </c>
      <c r="AP127" s="175">
        <v>17</v>
      </c>
      <c r="AQ127" s="175">
        <v>11</v>
      </c>
      <c r="AR127" s="175">
        <v>1</v>
      </c>
      <c r="AS127" s="175">
        <v>0</v>
      </c>
      <c r="AT127" s="175">
        <v>2</v>
      </c>
    </row>
    <row r="128" spans="1:46">
      <c r="A128">
        <v>5118</v>
      </c>
      <c r="B128" t="s">
        <v>1323</v>
      </c>
      <c r="C128" t="s">
        <v>1324</v>
      </c>
      <c r="E128" t="s">
        <v>1325</v>
      </c>
      <c r="F128" t="s">
        <v>1121</v>
      </c>
      <c r="G128" t="s">
        <v>737</v>
      </c>
      <c r="H128" t="s">
        <v>452</v>
      </c>
      <c r="J128" t="s">
        <v>605</v>
      </c>
      <c r="K128" t="s">
        <v>606</v>
      </c>
      <c r="M128" t="s">
        <v>607</v>
      </c>
      <c r="N128" t="s">
        <v>812</v>
      </c>
      <c r="O128" t="s">
        <v>1301</v>
      </c>
      <c r="P128" t="s">
        <v>739</v>
      </c>
      <c r="Q128" t="s">
        <v>467</v>
      </c>
      <c r="R128" t="s">
        <v>814</v>
      </c>
      <c r="S128" t="s">
        <v>1121</v>
      </c>
      <c r="T128" t="s">
        <v>794</v>
      </c>
      <c r="U128">
        <v>159900</v>
      </c>
      <c r="V128" t="s">
        <v>1326</v>
      </c>
      <c r="W128" t="s">
        <v>1304</v>
      </c>
      <c r="X128" t="s">
        <v>1305</v>
      </c>
      <c r="Y128" t="s">
        <v>1306</v>
      </c>
      <c r="Z128" t="s">
        <v>1302</v>
      </c>
      <c r="AA128" t="s">
        <v>1307</v>
      </c>
      <c r="AB128" t="s">
        <v>1308</v>
      </c>
      <c r="AE128">
        <v>-37.031784930000001</v>
      </c>
      <c r="AF128">
        <v>174.87221292000001</v>
      </c>
      <c r="AG128" s="175">
        <v>40</v>
      </c>
      <c r="AH128" s="175">
        <v>0</v>
      </c>
      <c r="AI128" s="175">
        <v>0</v>
      </c>
      <c r="AJ128" s="175">
        <v>0</v>
      </c>
      <c r="AK128" s="175">
        <v>5</v>
      </c>
      <c r="AL128" s="175">
        <v>17</v>
      </c>
      <c r="AM128" s="175">
        <v>10</v>
      </c>
      <c r="AN128" s="175">
        <v>2</v>
      </c>
      <c r="AO128" s="175">
        <v>34</v>
      </c>
      <c r="AP128" s="175">
        <v>3</v>
      </c>
      <c r="AQ128" s="175">
        <v>11</v>
      </c>
      <c r="AR128" s="175">
        <v>21</v>
      </c>
      <c r="AS128" s="175">
        <v>7</v>
      </c>
      <c r="AT128" s="175">
        <v>2</v>
      </c>
    </row>
    <row r="129" spans="1:46">
      <c r="A129">
        <v>5120</v>
      </c>
      <c r="B129" t="s">
        <v>1327</v>
      </c>
      <c r="C129" t="s">
        <v>1328</v>
      </c>
      <c r="E129" t="s">
        <v>1329</v>
      </c>
      <c r="G129" t="s">
        <v>1330</v>
      </c>
      <c r="H129" t="s">
        <v>452</v>
      </c>
      <c r="J129" t="s">
        <v>605</v>
      </c>
      <c r="K129" t="s">
        <v>606</v>
      </c>
      <c r="M129" t="s">
        <v>607</v>
      </c>
      <c r="N129" t="s">
        <v>657</v>
      </c>
      <c r="O129" t="s">
        <v>1318</v>
      </c>
      <c r="P129" t="s">
        <v>610</v>
      </c>
      <c r="Q129" t="s">
        <v>467</v>
      </c>
      <c r="R129" t="s">
        <v>814</v>
      </c>
      <c r="S129" t="s">
        <v>1331</v>
      </c>
      <c r="T129" t="s">
        <v>1320</v>
      </c>
      <c r="U129">
        <v>164800</v>
      </c>
      <c r="V129" t="s">
        <v>1332</v>
      </c>
      <c r="W129" t="s">
        <v>1322</v>
      </c>
      <c r="X129" t="s">
        <v>1305</v>
      </c>
      <c r="Y129" t="s">
        <v>1306</v>
      </c>
      <c r="Z129" t="s">
        <v>1302</v>
      </c>
      <c r="AA129" t="s">
        <v>1307</v>
      </c>
      <c r="AB129" t="s">
        <v>1308</v>
      </c>
      <c r="AC129">
        <v>99033</v>
      </c>
      <c r="AD129" t="s">
        <v>1333</v>
      </c>
      <c r="AE129">
        <v>-37.255681000000003</v>
      </c>
      <c r="AF129">
        <v>174.73119367999999</v>
      </c>
      <c r="AG129" s="175">
        <v>40</v>
      </c>
      <c r="AH129" s="175">
        <v>0</v>
      </c>
      <c r="AI129" s="175">
        <v>0</v>
      </c>
      <c r="AJ129" s="175">
        <v>0</v>
      </c>
      <c r="AK129" s="175">
        <v>2</v>
      </c>
      <c r="AL129" s="175">
        <v>17</v>
      </c>
      <c r="AM129" s="175">
        <v>28</v>
      </c>
      <c r="AN129" s="175">
        <v>1</v>
      </c>
      <c r="AO129" s="175">
        <v>48</v>
      </c>
      <c r="AP129" s="175">
        <v>45</v>
      </c>
      <c r="AQ129" s="175">
        <v>6</v>
      </c>
      <c r="AR129" s="175">
        <v>4</v>
      </c>
      <c r="AS129" s="175">
        <v>2</v>
      </c>
      <c r="AT129" s="175">
        <v>2</v>
      </c>
    </row>
    <row r="130" spans="1:46">
      <c r="A130">
        <v>5121</v>
      </c>
      <c r="B130" t="s">
        <v>1334</v>
      </c>
      <c r="C130" t="s">
        <v>1335</v>
      </c>
      <c r="E130" t="s">
        <v>1336</v>
      </c>
      <c r="F130" t="s">
        <v>1121</v>
      </c>
      <c r="G130" t="s">
        <v>737</v>
      </c>
      <c r="H130" t="s">
        <v>452</v>
      </c>
      <c r="J130" t="s">
        <v>605</v>
      </c>
      <c r="K130" t="s">
        <v>606</v>
      </c>
      <c r="M130" t="s">
        <v>607</v>
      </c>
      <c r="N130" t="s">
        <v>657</v>
      </c>
      <c r="O130" t="s">
        <v>1301</v>
      </c>
      <c r="P130" t="s">
        <v>739</v>
      </c>
      <c r="Q130" t="s">
        <v>467</v>
      </c>
      <c r="R130" t="s">
        <v>814</v>
      </c>
      <c r="S130" t="s">
        <v>1121</v>
      </c>
      <c r="T130" t="s">
        <v>794</v>
      </c>
      <c r="U130">
        <v>160300</v>
      </c>
      <c r="V130" t="s">
        <v>1337</v>
      </c>
      <c r="W130" t="s">
        <v>1304</v>
      </c>
      <c r="X130" t="s">
        <v>1305</v>
      </c>
      <c r="Y130" t="s">
        <v>1306</v>
      </c>
      <c r="Z130" t="s">
        <v>1302</v>
      </c>
      <c r="AA130" t="s">
        <v>1307</v>
      </c>
      <c r="AB130" t="s">
        <v>1308</v>
      </c>
      <c r="AC130">
        <v>99186</v>
      </c>
      <c r="AD130" t="s">
        <v>1309</v>
      </c>
      <c r="AE130">
        <v>-37.012998949999997</v>
      </c>
      <c r="AF130">
        <v>174.89791661000001</v>
      </c>
      <c r="AG130" s="175">
        <v>40</v>
      </c>
      <c r="AH130" s="175">
        <v>0</v>
      </c>
      <c r="AI130" s="175">
        <v>0</v>
      </c>
      <c r="AJ130" s="175">
        <v>0</v>
      </c>
      <c r="AK130" s="175">
        <v>6</v>
      </c>
      <c r="AL130" s="175">
        <v>20</v>
      </c>
      <c r="AM130" s="175">
        <v>25</v>
      </c>
      <c r="AN130" s="175">
        <v>4</v>
      </c>
      <c r="AO130" s="175">
        <v>55</v>
      </c>
      <c r="AP130" s="175">
        <v>30</v>
      </c>
      <c r="AQ130" s="175">
        <v>14</v>
      </c>
      <c r="AR130" s="175">
        <v>18</v>
      </c>
      <c r="AS130" s="175">
        <v>16</v>
      </c>
      <c r="AT130" s="175">
        <v>2</v>
      </c>
    </row>
    <row r="131" spans="1:46">
      <c r="A131">
        <v>5122</v>
      </c>
      <c r="B131" t="s">
        <v>1338</v>
      </c>
      <c r="C131" t="s">
        <v>1339</v>
      </c>
      <c r="E131" t="s">
        <v>1340</v>
      </c>
      <c r="F131" t="s">
        <v>1121</v>
      </c>
      <c r="G131" t="s">
        <v>737</v>
      </c>
      <c r="H131" t="s">
        <v>452</v>
      </c>
      <c r="J131" t="s">
        <v>605</v>
      </c>
      <c r="K131" t="s">
        <v>606</v>
      </c>
      <c r="M131" t="s">
        <v>607</v>
      </c>
      <c r="N131" t="s">
        <v>608</v>
      </c>
      <c r="O131" t="s">
        <v>1301</v>
      </c>
      <c r="P131" t="s">
        <v>739</v>
      </c>
      <c r="Q131" t="s">
        <v>467</v>
      </c>
      <c r="R131" t="s">
        <v>814</v>
      </c>
      <c r="S131" t="s">
        <v>1121</v>
      </c>
      <c r="T131" t="s">
        <v>794</v>
      </c>
      <c r="U131">
        <v>157600</v>
      </c>
      <c r="V131" t="s">
        <v>1341</v>
      </c>
      <c r="W131" t="s">
        <v>1304</v>
      </c>
      <c r="X131" t="s">
        <v>1305</v>
      </c>
      <c r="Y131" t="s">
        <v>1306</v>
      </c>
      <c r="Z131" t="s">
        <v>1302</v>
      </c>
      <c r="AA131" t="s">
        <v>1307</v>
      </c>
      <c r="AB131" t="s">
        <v>1308</v>
      </c>
      <c r="AC131">
        <v>99187</v>
      </c>
      <c r="AD131" t="s">
        <v>1342</v>
      </c>
      <c r="AE131">
        <v>-37.016783969999999</v>
      </c>
      <c r="AF131">
        <v>174.86787219000001</v>
      </c>
      <c r="AG131" s="175">
        <v>40</v>
      </c>
      <c r="AH131" s="175">
        <v>0</v>
      </c>
      <c r="AI131" s="175">
        <v>0</v>
      </c>
      <c r="AJ131" s="175">
        <v>0</v>
      </c>
      <c r="AK131" s="175">
        <v>4</v>
      </c>
      <c r="AL131" s="175">
        <v>15</v>
      </c>
      <c r="AM131" s="175">
        <v>15</v>
      </c>
      <c r="AN131" s="175">
        <v>1</v>
      </c>
      <c r="AO131" s="175">
        <v>35</v>
      </c>
      <c r="AP131" s="175">
        <v>5</v>
      </c>
      <c r="AQ131" s="175">
        <v>12</v>
      </c>
      <c r="AR131" s="175">
        <v>24</v>
      </c>
      <c r="AS131" s="175">
        <v>6</v>
      </c>
      <c r="AT131" s="175">
        <v>1</v>
      </c>
    </row>
    <row r="132" spans="1:46">
      <c r="A132">
        <v>5124</v>
      </c>
      <c r="B132" t="s">
        <v>1343</v>
      </c>
      <c r="C132" t="s">
        <v>1344</v>
      </c>
      <c r="E132" t="s">
        <v>1345</v>
      </c>
      <c r="G132" t="s">
        <v>1346</v>
      </c>
      <c r="H132" t="s">
        <v>452</v>
      </c>
      <c r="J132" t="s">
        <v>605</v>
      </c>
      <c r="K132" t="s">
        <v>606</v>
      </c>
      <c r="M132" t="s">
        <v>607</v>
      </c>
      <c r="N132" t="s">
        <v>657</v>
      </c>
      <c r="O132" t="s">
        <v>1318</v>
      </c>
      <c r="P132" t="s">
        <v>1347</v>
      </c>
      <c r="Q132" t="s">
        <v>467</v>
      </c>
      <c r="R132" t="s">
        <v>814</v>
      </c>
      <c r="S132" t="s">
        <v>1331</v>
      </c>
      <c r="T132" t="s">
        <v>1320</v>
      </c>
      <c r="U132">
        <v>165700</v>
      </c>
      <c r="V132" t="s">
        <v>1348</v>
      </c>
      <c r="W132" t="s">
        <v>1322</v>
      </c>
      <c r="X132" t="s">
        <v>1305</v>
      </c>
      <c r="Y132" t="s">
        <v>1306</v>
      </c>
      <c r="Z132" t="s">
        <v>1302</v>
      </c>
      <c r="AA132" t="s">
        <v>1307</v>
      </c>
      <c r="AB132" t="s">
        <v>1308</v>
      </c>
      <c r="AC132">
        <v>99075</v>
      </c>
      <c r="AD132" t="s">
        <v>1349</v>
      </c>
      <c r="AE132">
        <v>-37.208595070000001</v>
      </c>
      <c r="AF132">
        <v>174.89811061</v>
      </c>
      <c r="AG132" s="175">
        <v>40</v>
      </c>
      <c r="AH132" s="175">
        <v>0</v>
      </c>
      <c r="AI132" s="175">
        <v>0</v>
      </c>
      <c r="AJ132" s="175">
        <v>0</v>
      </c>
      <c r="AK132" s="175">
        <v>5</v>
      </c>
      <c r="AL132" s="175">
        <v>18</v>
      </c>
      <c r="AM132" s="175">
        <v>26</v>
      </c>
      <c r="AN132" s="175">
        <v>2</v>
      </c>
      <c r="AO132" s="175">
        <v>51</v>
      </c>
      <c r="AP132" s="175">
        <v>46</v>
      </c>
      <c r="AQ132" s="175">
        <v>4</v>
      </c>
      <c r="AR132" s="175">
        <v>4</v>
      </c>
      <c r="AS132" s="175">
        <v>5</v>
      </c>
      <c r="AT132" s="175">
        <v>1</v>
      </c>
    </row>
    <row r="133" spans="1:46">
      <c r="A133">
        <v>5125</v>
      </c>
      <c r="B133" t="s">
        <v>1350</v>
      </c>
      <c r="C133" t="s">
        <v>1351</v>
      </c>
      <c r="E133" t="s">
        <v>1352</v>
      </c>
      <c r="G133" t="s">
        <v>1319</v>
      </c>
      <c r="H133" t="s">
        <v>452</v>
      </c>
      <c r="J133" t="s">
        <v>605</v>
      </c>
      <c r="K133" t="s">
        <v>606</v>
      </c>
      <c r="M133" t="s">
        <v>607</v>
      </c>
      <c r="N133" t="s">
        <v>643</v>
      </c>
      <c r="O133" t="s">
        <v>1353</v>
      </c>
      <c r="P133" t="s">
        <v>739</v>
      </c>
      <c r="Q133" t="s">
        <v>467</v>
      </c>
      <c r="R133" t="s">
        <v>814</v>
      </c>
      <c r="S133" t="s">
        <v>1319</v>
      </c>
      <c r="T133" t="s">
        <v>1320</v>
      </c>
      <c r="U133">
        <v>163501</v>
      </c>
      <c r="V133" t="s">
        <v>1354</v>
      </c>
      <c r="W133" t="s">
        <v>1304</v>
      </c>
      <c r="X133" t="s">
        <v>1305</v>
      </c>
      <c r="Y133" t="s">
        <v>1306</v>
      </c>
      <c r="Z133" t="s">
        <v>1302</v>
      </c>
      <c r="AA133" t="s">
        <v>1307</v>
      </c>
      <c r="AB133" t="s">
        <v>1308</v>
      </c>
      <c r="AC133">
        <v>99152</v>
      </c>
      <c r="AD133" t="s">
        <v>1355</v>
      </c>
      <c r="AE133">
        <v>-37.061439110000002</v>
      </c>
      <c r="AF133">
        <v>174.95018834000001</v>
      </c>
      <c r="AG133" s="175">
        <v>40</v>
      </c>
      <c r="AH133" s="175">
        <v>0</v>
      </c>
      <c r="AI133" s="175">
        <v>0</v>
      </c>
      <c r="AJ133" s="175">
        <v>0</v>
      </c>
      <c r="AK133" s="175">
        <v>6</v>
      </c>
      <c r="AL133" s="175">
        <v>22</v>
      </c>
      <c r="AM133" s="175">
        <v>23</v>
      </c>
      <c r="AN133" s="175">
        <v>2</v>
      </c>
      <c r="AO133" s="175">
        <v>53</v>
      </c>
      <c r="AP133" s="175">
        <v>41</v>
      </c>
      <c r="AQ133" s="175">
        <v>12</v>
      </c>
      <c r="AR133" s="175">
        <v>13</v>
      </c>
      <c r="AS133" s="175">
        <v>11</v>
      </c>
      <c r="AT133" s="175">
        <v>1</v>
      </c>
    </row>
    <row r="134" spans="1:46">
      <c r="A134">
        <v>5126</v>
      </c>
      <c r="B134" t="s">
        <v>1356</v>
      </c>
      <c r="C134" t="s">
        <v>1308</v>
      </c>
      <c r="D134" t="s">
        <v>1357</v>
      </c>
      <c r="E134" t="s">
        <v>1358</v>
      </c>
      <c r="G134" t="s">
        <v>1319</v>
      </c>
      <c r="H134" t="s">
        <v>452</v>
      </c>
      <c r="J134" t="s">
        <v>605</v>
      </c>
      <c r="K134" t="s">
        <v>606</v>
      </c>
      <c r="M134" t="s">
        <v>607</v>
      </c>
      <c r="N134" t="s">
        <v>657</v>
      </c>
      <c r="O134" t="s">
        <v>1353</v>
      </c>
      <c r="P134" t="s">
        <v>739</v>
      </c>
      <c r="Q134" t="s">
        <v>467</v>
      </c>
      <c r="R134" t="s">
        <v>814</v>
      </c>
      <c r="S134" t="s">
        <v>1319</v>
      </c>
      <c r="T134" t="s">
        <v>1320</v>
      </c>
      <c r="U134">
        <v>163100</v>
      </c>
      <c r="V134" t="s">
        <v>1359</v>
      </c>
      <c r="W134" t="s">
        <v>1304</v>
      </c>
      <c r="X134" t="s">
        <v>1305</v>
      </c>
      <c r="Y134" t="s">
        <v>1306</v>
      </c>
      <c r="Z134" t="s">
        <v>1302</v>
      </c>
      <c r="AA134" t="s">
        <v>1307</v>
      </c>
      <c r="AB134" t="s">
        <v>1308</v>
      </c>
      <c r="AE134">
        <v>-37.068678589999998</v>
      </c>
      <c r="AF134">
        <v>174.93654233999999</v>
      </c>
      <c r="AG134" s="175">
        <v>40</v>
      </c>
      <c r="AH134" s="175">
        <v>0</v>
      </c>
      <c r="AI134" s="175">
        <v>0</v>
      </c>
      <c r="AJ134" s="175">
        <v>0</v>
      </c>
      <c r="AK134" s="175">
        <v>6</v>
      </c>
      <c r="AL134" s="175">
        <v>16</v>
      </c>
      <c r="AM134" s="175">
        <v>24</v>
      </c>
      <c r="AN134" s="175">
        <v>0</v>
      </c>
      <c r="AO134" s="175">
        <v>46</v>
      </c>
      <c r="AP134" s="175">
        <v>23</v>
      </c>
      <c r="AQ134" s="175">
        <v>11</v>
      </c>
      <c r="AR134" s="175">
        <v>6</v>
      </c>
      <c r="AS134" s="175">
        <v>16</v>
      </c>
      <c r="AT134" s="175">
        <v>2</v>
      </c>
    </row>
    <row r="135" spans="1:46">
      <c r="A135">
        <v>5127</v>
      </c>
      <c r="B135" t="s">
        <v>1360</v>
      </c>
      <c r="C135" t="s">
        <v>1308</v>
      </c>
      <c r="D135" t="s">
        <v>1357</v>
      </c>
      <c r="E135" t="s">
        <v>1361</v>
      </c>
      <c r="G135" t="s">
        <v>1319</v>
      </c>
      <c r="H135" t="s">
        <v>452</v>
      </c>
      <c r="J135" t="s">
        <v>605</v>
      </c>
      <c r="K135" t="s">
        <v>606</v>
      </c>
      <c r="M135" t="s">
        <v>607</v>
      </c>
      <c r="N135" t="s">
        <v>643</v>
      </c>
      <c r="O135" t="s">
        <v>1353</v>
      </c>
      <c r="P135" t="s">
        <v>739</v>
      </c>
      <c r="Q135" t="s">
        <v>467</v>
      </c>
      <c r="R135" t="s">
        <v>814</v>
      </c>
      <c r="S135" t="s">
        <v>1319</v>
      </c>
      <c r="T135" t="s">
        <v>1320</v>
      </c>
      <c r="U135">
        <v>163001</v>
      </c>
      <c r="V135" t="s">
        <v>1362</v>
      </c>
      <c r="W135" t="s">
        <v>1304</v>
      </c>
      <c r="X135" t="s">
        <v>1305</v>
      </c>
      <c r="Y135" t="s">
        <v>1306</v>
      </c>
      <c r="Z135" t="s">
        <v>1302</v>
      </c>
      <c r="AA135" t="s">
        <v>1307</v>
      </c>
      <c r="AB135" t="s">
        <v>1308</v>
      </c>
      <c r="AC135">
        <v>99152</v>
      </c>
      <c r="AD135" t="s">
        <v>1355</v>
      </c>
      <c r="AE135">
        <v>-37.05560337</v>
      </c>
      <c r="AF135">
        <v>174.94398613999999</v>
      </c>
      <c r="AG135" s="175">
        <v>40</v>
      </c>
      <c r="AH135" s="175">
        <v>0</v>
      </c>
      <c r="AI135" s="175">
        <v>0</v>
      </c>
      <c r="AJ135" s="175">
        <v>0</v>
      </c>
      <c r="AK135" s="175">
        <v>7</v>
      </c>
      <c r="AL135" s="175">
        <v>13</v>
      </c>
      <c r="AM135" s="175">
        <v>16</v>
      </c>
      <c r="AN135" s="175">
        <v>2</v>
      </c>
      <c r="AO135" s="175">
        <v>38</v>
      </c>
      <c r="AP135" s="175">
        <v>9</v>
      </c>
      <c r="AQ135" s="175">
        <v>19</v>
      </c>
      <c r="AR135" s="175">
        <v>15</v>
      </c>
      <c r="AS135" s="175">
        <v>12</v>
      </c>
      <c r="AT135" s="175">
        <v>5</v>
      </c>
    </row>
    <row r="136" spans="1:46">
      <c r="A136">
        <v>5129</v>
      </c>
      <c r="B136" t="s">
        <v>1363</v>
      </c>
      <c r="C136" t="s">
        <v>1308</v>
      </c>
      <c r="D136" t="s">
        <v>1357</v>
      </c>
      <c r="E136" t="s">
        <v>1364</v>
      </c>
      <c r="G136" t="s">
        <v>1346</v>
      </c>
      <c r="H136" t="s">
        <v>452</v>
      </c>
      <c r="J136" t="s">
        <v>605</v>
      </c>
      <c r="K136" t="s">
        <v>606</v>
      </c>
      <c r="M136" t="s">
        <v>607</v>
      </c>
      <c r="N136" t="s">
        <v>643</v>
      </c>
      <c r="O136" t="s">
        <v>1318</v>
      </c>
      <c r="P136" t="s">
        <v>1347</v>
      </c>
      <c r="Q136" t="s">
        <v>467</v>
      </c>
      <c r="R136" t="s">
        <v>814</v>
      </c>
      <c r="S136" t="s">
        <v>1331</v>
      </c>
      <c r="T136" t="s">
        <v>1320</v>
      </c>
      <c r="U136">
        <v>166000</v>
      </c>
      <c r="V136" t="s">
        <v>1365</v>
      </c>
      <c r="W136" t="s">
        <v>1322</v>
      </c>
      <c r="X136" t="s">
        <v>1305</v>
      </c>
      <c r="Y136" t="s">
        <v>1306</v>
      </c>
      <c r="Z136" t="s">
        <v>1302</v>
      </c>
      <c r="AA136" t="s">
        <v>1307</v>
      </c>
      <c r="AB136" t="s">
        <v>1308</v>
      </c>
      <c r="AC136">
        <v>99075</v>
      </c>
      <c r="AD136" t="s">
        <v>1349</v>
      </c>
      <c r="AE136">
        <v>-37.2002472</v>
      </c>
      <c r="AF136">
        <v>174.89995060999999</v>
      </c>
      <c r="AG136" s="175">
        <v>40</v>
      </c>
      <c r="AH136" s="175">
        <v>0</v>
      </c>
      <c r="AI136" s="175">
        <v>0</v>
      </c>
      <c r="AJ136" s="175">
        <v>0</v>
      </c>
      <c r="AK136" s="175">
        <v>5</v>
      </c>
      <c r="AL136" s="175">
        <v>16</v>
      </c>
      <c r="AM136" s="175">
        <v>25</v>
      </c>
      <c r="AN136" s="175">
        <v>0</v>
      </c>
      <c r="AO136" s="175">
        <v>46</v>
      </c>
      <c r="AP136" s="175">
        <v>37</v>
      </c>
      <c r="AQ136" s="175">
        <v>11</v>
      </c>
      <c r="AR136" s="175">
        <v>7</v>
      </c>
      <c r="AS136" s="175">
        <v>7</v>
      </c>
      <c r="AT136" s="175">
        <v>3</v>
      </c>
    </row>
    <row r="137" spans="1:46">
      <c r="A137">
        <v>5130</v>
      </c>
      <c r="B137" t="s">
        <v>1366</v>
      </c>
      <c r="C137" t="s">
        <v>1308</v>
      </c>
      <c r="E137" t="s">
        <v>1367</v>
      </c>
      <c r="F137" t="s">
        <v>1368</v>
      </c>
      <c r="G137" t="s">
        <v>737</v>
      </c>
      <c r="H137" t="s">
        <v>452</v>
      </c>
      <c r="J137" t="s">
        <v>605</v>
      </c>
      <c r="K137" t="s">
        <v>606</v>
      </c>
      <c r="M137" t="s">
        <v>607</v>
      </c>
      <c r="N137" t="s">
        <v>625</v>
      </c>
      <c r="O137" t="s">
        <v>813</v>
      </c>
      <c r="P137" t="s">
        <v>739</v>
      </c>
      <c r="Q137" t="s">
        <v>467</v>
      </c>
      <c r="R137" t="s">
        <v>814</v>
      </c>
      <c r="S137" t="s">
        <v>1302</v>
      </c>
      <c r="T137" t="s">
        <v>794</v>
      </c>
      <c r="U137">
        <v>157901</v>
      </c>
      <c r="V137" t="s">
        <v>1369</v>
      </c>
      <c r="W137" t="s">
        <v>817</v>
      </c>
      <c r="X137" t="s">
        <v>1305</v>
      </c>
      <c r="Y137" t="s">
        <v>1306</v>
      </c>
      <c r="Z137" t="s">
        <v>1302</v>
      </c>
      <c r="AA137" t="s">
        <v>1307</v>
      </c>
      <c r="AB137" t="s">
        <v>1308</v>
      </c>
      <c r="AE137">
        <v>-36.986244239999998</v>
      </c>
      <c r="AF137">
        <v>174.8902061</v>
      </c>
      <c r="AG137" s="175">
        <v>40</v>
      </c>
      <c r="AH137" s="175">
        <v>0</v>
      </c>
      <c r="AI137" s="175">
        <v>0</v>
      </c>
      <c r="AJ137" s="175">
        <v>0</v>
      </c>
      <c r="AK137" s="175">
        <v>3</v>
      </c>
      <c r="AL137" s="175">
        <v>16</v>
      </c>
      <c r="AM137" s="175">
        <v>22</v>
      </c>
      <c r="AN137" s="175">
        <v>2</v>
      </c>
      <c r="AO137" s="175">
        <v>43</v>
      </c>
      <c r="AP137" s="175">
        <v>6</v>
      </c>
      <c r="AQ137" s="175">
        <v>12</v>
      </c>
      <c r="AR137" s="175">
        <v>26</v>
      </c>
      <c r="AS137" s="175">
        <v>14</v>
      </c>
      <c r="AT137" s="175">
        <v>0</v>
      </c>
    </row>
    <row r="138" spans="1:46">
      <c r="A138">
        <v>5131</v>
      </c>
      <c r="B138" t="s">
        <v>1370</v>
      </c>
      <c r="C138" t="s">
        <v>1308</v>
      </c>
      <c r="D138" t="s">
        <v>1357</v>
      </c>
      <c r="E138" t="s">
        <v>1371</v>
      </c>
      <c r="F138" t="s">
        <v>1121</v>
      </c>
      <c r="G138" t="s">
        <v>737</v>
      </c>
      <c r="H138" t="s">
        <v>452</v>
      </c>
      <c r="J138" t="s">
        <v>605</v>
      </c>
      <c r="K138" t="s">
        <v>606</v>
      </c>
      <c r="M138" t="s">
        <v>607</v>
      </c>
      <c r="N138" t="s">
        <v>812</v>
      </c>
      <c r="O138" t="s">
        <v>1301</v>
      </c>
      <c r="P138" t="s">
        <v>739</v>
      </c>
      <c r="Q138" t="s">
        <v>467</v>
      </c>
      <c r="R138" t="s">
        <v>814</v>
      </c>
      <c r="S138" t="s">
        <v>1121</v>
      </c>
      <c r="T138" t="s">
        <v>794</v>
      </c>
      <c r="U138">
        <v>158700</v>
      </c>
      <c r="V138" t="s">
        <v>1372</v>
      </c>
      <c r="W138" t="s">
        <v>1304</v>
      </c>
      <c r="X138" t="s">
        <v>1305</v>
      </c>
      <c r="Y138" t="s">
        <v>1306</v>
      </c>
      <c r="Z138" t="s">
        <v>1302</v>
      </c>
      <c r="AA138" t="s">
        <v>1307</v>
      </c>
      <c r="AB138" t="s">
        <v>1308</v>
      </c>
      <c r="AE138">
        <v>-37.0270954</v>
      </c>
      <c r="AF138">
        <v>174.86298103999999</v>
      </c>
      <c r="AG138" s="175">
        <v>40</v>
      </c>
      <c r="AH138" s="175">
        <v>0</v>
      </c>
      <c r="AI138" s="175">
        <v>0</v>
      </c>
      <c r="AJ138" s="175">
        <v>0</v>
      </c>
      <c r="AK138" s="175">
        <v>8</v>
      </c>
      <c r="AL138" s="175">
        <v>8</v>
      </c>
      <c r="AM138" s="175">
        <v>22</v>
      </c>
      <c r="AN138" s="175">
        <v>1</v>
      </c>
      <c r="AO138" s="175">
        <v>39</v>
      </c>
      <c r="AP138" s="175">
        <v>2</v>
      </c>
      <c r="AQ138" s="175">
        <v>9</v>
      </c>
      <c r="AR138" s="175">
        <v>23</v>
      </c>
      <c r="AS138" s="175">
        <v>10</v>
      </c>
      <c r="AT138" s="175">
        <v>5</v>
      </c>
    </row>
    <row r="139" spans="1:46">
      <c r="A139">
        <v>5133</v>
      </c>
      <c r="B139" t="s">
        <v>1373</v>
      </c>
      <c r="C139" t="s">
        <v>1308</v>
      </c>
      <c r="E139" t="s">
        <v>1374</v>
      </c>
      <c r="G139" t="s">
        <v>1330</v>
      </c>
      <c r="H139" t="s">
        <v>452</v>
      </c>
      <c r="J139" t="s">
        <v>605</v>
      </c>
      <c r="K139" t="s">
        <v>606</v>
      </c>
      <c r="M139" t="s">
        <v>607</v>
      </c>
      <c r="N139" t="s">
        <v>625</v>
      </c>
      <c r="O139" t="s">
        <v>1318</v>
      </c>
      <c r="P139" t="s">
        <v>610</v>
      </c>
      <c r="Q139" t="s">
        <v>467</v>
      </c>
      <c r="R139" t="s">
        <v>814</v>
      </c>
      <c r="S139" t="s">
        <v>1331</v>
      </c>
      <c r="T139" t="s">
        <v>1320</v>
      </c>
      <c r="U139">
        <v>164700</v>
      </c>
      <c r="V139" t="s">
        <v>1375</v>
      </c>
      <c r="W139" t="s">
        <v>1322</v>
      </c>
      <c r="X139" t="s">
        <v>1305</v>
      </c>
      <c r="Y139" t="s">
        <v>1306</v>
      </c>
      <c r="Z139" t="s">
        <v>1302</v>
      </c>
      <c r="AA139" t="s">
        <v>1307</v>
      </c>
      <c r="AB139" t="s">
        <v>1308</v>
      </c>
      <c r="AC139">
        <v>99033</v>
      </c>
      <c r="AD139" t="s">
        <v>1333</v>
      </c>
      <c r="AE139">
        <v>-37.249164069999999</v>
      </c>
      <c r="AF139">
        <v>174.73225962000001</v>
      </c>
      <c r="AG139" s="175">
        <v>40</v>
      </c>
      <c r="AH139" s="175">
        <v>0</v>
      </c>
      <c r="AI139" s="175">
        <v>0</v>
      </c>
      <c r="AJ139" s="175">
        <v>0</v>
      </c>
      <c r="AK139" s="175">
        <v>12</v>
      </c>
      <c r="AL139" s="175">
        <v>16</v>
      </c>
      <c r="AM139" s="175">
        <v>17</v>
      </c>
      <c r="AN139" s="175">
        <v>1</v>
      </c>
      <c r="AO139" s="175">
        <v>46</v>
      </c>
      <c r="AP139" s="175">
        <v>40</v>
      </c>
      <c r="AQ139" s="175">
        <v>17</v>
      </c>
      <c r="AR139" s="175">
        <v>8</v>
      </c>
      <c r="AS139" s="175">
        <v>0</v>
      </c>
      <c r="AT139" s="175">
        <v>1</v>
      </c>
    </row>
    <row r="140" spans="1:46">
      <c r="A140">
        <v>5134</v>
      </c>
      <c r="B140" t="s">
        <v>1376</v>
      </c>
      <c r="C140" t="s">
        <v>1377</v>
      </c>
      <c r="D140" t="s">
        <v>1378</v>
      </c>
      <c r="E140" t="s">
        <v>1379</v>
      </c>
      <c r="F140" t="s">
        <v>1380</v>
      </c>
      <c r="G140" t="s">
        <v>1381</v>
      </c>
      <c r="H140" t="s">
        <v>452</v>
      </c>
      <c r="J140" t="s">
        <v>605</v>
      </c>
      <c r="K140" t="s">
        <v>606</v>
      </c>
      <c r="M140" t="s">
        <v>1382</v>
      </c>
      <c r="N140" t="s">
        <v>657</v>
      </c>
      <c r="O140" t="s">
        <v>1383</v>
      </c>
      <c r="P140" t="s">
        <v>739</v>
      </c>
      <c r="Q140" t="s">
        <v>510</v>
      </c>
      <c r="R140" t="s">
        <v>1384</v>
      </c>
      <c r="S140" t="s">
        <v>1385</v>
      </c>
      <c r="T140" t="s">
        <v>1320</v>
      </c>
      <c r="U140">
        <v>177901</v>
      </c>
      <c r="V140" t="s">
        <v>1386</v>
      </c>
      <c r="W140" t="s">
        <v>1387</v>
      </c>
      <c r="X140" t="s">
        <v>1388</v>
      </c>
      <c r="Y140" t="s">
        <v>1389</v>
      </c>
      <c r="AA140" t="s">
        <v>1390</v>
      </c>
      <c r="AB140" t="s">
        <v>1391</v>
      </c>
      <c r="AC140">
        <v>99035</v>
      </c>
      <c r="AD140" t="s">
        <v>1392</v>
      </c>
      <c r="AE140">
        <v>-37.789044410000002</v>
      </c>
      <c r="AF140">
        <v>175.24444715000001</v>
      </c>
      <c r="AG140" s="175">
        <v>45</v>
      </c>
      <c r="AH140" s="175">
        <v>0</v>
      </c>
      <c r="AI140" s="175">
        <v>0</v>
      </c>
      <c r="AJ140" s="175">
        <v>0</v>
      </c>
      <c r="AK140" s="175">
        <v>2</v>
      </c>
      <c r="AL140" s="175">
        <v>17</v>
      </c>
      <c r="AM140" s="175">
        <v>32</v>
      </c>
      <c r="AN140" s="175">
        <v>1</v>
      </c>
      <c r="AO140" s="175">
        <v>52</v>
      </c>
      <c r="AP140" s="175">
        <v>32</v>
      </c>
      <c r="AQ140" s="175">
        <v>16</v>
      </c>
      <c r="AR140" s="175">
        <v>6</v>
      </c>
      <c r="AS140" s="175">
        <v>9</v>
      </c>
      <c r="AT140" s="175">
        <v>6</v>
      </c>
    </row>
    <row r="141" spans="1:46">
      <c r="A141">
        <v>5135</v>
      </c>
      <c r="B141" t="s">
        <v>1393</v>
      </c>
      <c r="C141" t="s">
        <v>1394</v>
      </c>
      <c r="D141" t="s">
        <v>1378</v>
      </c>
      <c r="E141" t="s">
        <v>1395</v>
      </c>
      <c r="F141" t="s">
        <v>1380</v>
      </c>
      <c r="G141" t="s">
        <v>1381</v>
      </c>
      <c r="H141" t="s">
        <v>452</v>
      </c>
      <c r="J141" t="s">
        <v>605</v>
      </c>
      <c r="K141" t="s">
        <v>606</v>
      </c>
      <c r="M141" t="s">
        <v>1382</v>
      </c>
      <c r="N141" t="s">
        <v>643</v>
      </c>
      <c r="O141" t="s">
        <v>1383</v>
      </c>
      <c r="P141" t="s">
        <v>739</v>
      </c>
      <c r="Q141" t="s">
        <v>510</v>
      </c>
      <c r="R141" t="s">
        <v>1384</v>
      </c>
      <c r="S141" t="s">
        <v>1396</v>
      </c>
      <c r="T141" t="s">
        <v>1320</v>
      </c>
      <c r="U141">
        <v>177300</v>
      </c>
      <c r="V141" t="s">
        <v>1397</v>
      </c>
      <c r="W141" t="s">
        <v>1398</v>
      </c>
      <c r="X141" t="s">
        <v>1388</v>
      </c>
      <c r="Y141" t="s">
        <v>1389</v>
      </c>
      <c r="AA141" t="s">
        <v>1390</v>
      </c>
      <c r="AB141" t="s">
        <v>1391</v>
      </c>
      <c r="AE141">
        <v>-37.75520057</v>
      </c>
      <c r="AF141">
        <v>175.27860183000001</v>
      </c>
      <c r="AG141" s="175">
        <v>30</v>
      </c>
      <c r="AH141" s="175">
        <v>0</v>
      </c>
      <c r="AI141" s="175">
        <v>0</v>
      </c>
      <c r="AJ141" s="175">
        <v>0</v>
      </c>
      <c r="AK141" s="175">
        <v>9</v>
      </c>
      <c r="AL141" s="175">
        <v>11</v>
      </c>
      <c r="AM141" s="175">
        <v>14</v>
      </c>
      <c r="AN141" s="175">
        <v>2</v>
      </c>
      <c r="AO141" s="175">
        <v>36</v>
      </c>
      <c r="AP141" s="175">
        <v>9</v>
      </c>
      <c r="AQ141" s="175">
        <v>19</v>
      </c>
      <c r="AR141" s="175">
        <v>10</v>
      </c>
      <c r="AS141" s="175">
        <v>5</v>
      </c>
      <c r="AT141" s="175">
        <v>1</v>
      </c>
    </row>
    <row r="142" spans="1:46">
      <c r="A142">
        <v>5136</v>
      </c>
      <c r="B142" t="s">
        <v>1399</v>
      </c>
      <c r="C142" t="s">
        <v>1400</v>
      </c>
      <c r="D142" t="s">
        <v>1378</v>
      </c>
      <c r="E142" t="s">
        <v>1401</v>
      </c>
      <c r="G142" t="s">
        <v>1402</v>
      </c>
      <c r="H142" t="s">
        <v>452</v>
      </c>
      <c r="J142" t="s">
        <v>605</v>
      </c>
      <c r="K142" t="s">
        <v>606</v>
      </c>
      <c r="M142" t="s">
        <v>1382</v>
      </c>
      <c r="N142" t="s">
        <v>657</v>
      </c>
      <c r="O142" t="s">
        <v>1403</v>
      </c>
      <c r="P142" t="s">
        <v>1347</v>
      </c>
      <c r="Q142" t="s">
        <v>510</v>
      </c>
      <c r="R142" t="s">
        <v>1384</v>
      </c>
      <c r="S142" t="s">
        <v>1404</v>
      </c>
      <c r="T142" t="s">
        <v>1320</v>
      </c>
      <c r="U142">
        <v>182800</v>
      </c>
      <c r="V142" t="s">
        <v>1405</v>
      </c>
      <c r="W142" t="s">
        <v>1406</v>
      </c>
      <c r="X142" t="s">
        <v>1388</v>
      </c>
      <c r="Y142" t="s">
        <v>1389</v>
      </c>
      <c r="AA142" t="s">
        <v>1390</v>
      </c>
      <c r="AB142" t="s">
        <v>1391</v>
      </c>
      <c r="AE142">
        <v>-37.88771406</v>
      </c>
      <c r="AF142">
        <v>175.46624485999999</v>
      </c>
      <c r="AG142" s="175">
        <v>40</v>
      </c>
      <c r="AH142" s="175">
        <v>0</v>
      </c>
      <c r="AI142" s="175">
        <v>0</v>
      </c>
      <c r="AJ142" s="175">
        <v>0</v>
      </c>
      <c r="AK142" s="175">
        <v>5</v>
      </c>
      <c r="AL142" s="175">
        <v>24</v>
      </c>
      <c r="AM142" s="175">
        <v>27</v>
      </c>
      <c r="AN142" s="175">
        <v>1</v>
      </c>
      <c r="AO142" s="175">
        <v>57</v>
      </c>
      <c r="AP142" s="175">
        <v>53</v>
      </c>
      <c r="AQ142" s="175">
        <v>4</v>
      </c>
      <c r="AR142" s="175">
        <v>0</v>
      </c>
      <c r="AS142" s="175">
        <v>4</v>
      </c>
      <c r="AT142" s="175">
        <v>1</v>
      </c>
    </row>
    <row r="143" spans="1:46">
      <c r="A143">
        <v>5137</v>
      </c>
      <c r="B143" t="s">
        <v>1407</v>
      </c>
      <c r="C143" t="s">
        <v>1408</v>
      </c>
      <c r="D143" t="s">
        <v>1378</v>
      </c>
      <c r="E143" t="s">
        <v>1409</v>
      </c>
      <c r="F143" t="s">
        <v>1397</v>
      </c>
      <c r="G143" t="s">
        <v>1381</v>
      </c>
      <c r="H143" t="s">
        <v>452</v>
      </c>
      <c r="J143" t="s">
        <v>605</v>
      </c>
      <c r="K143" t="s">
        <v>606</v>
      </c>
      <c r="M143" t="s">
        <v>1382</v>
      </c>
      <c r="N143" t="s">
        <v>657</v>
      </c>
      <c r="O143" t="s">
        <v>1383</v>
      </c>
      <c r="P143" t="s">
        <v>739</v>
      </c>
      <c r="Q143" t="s">
        <v>510</v>
      </c>
      <c r="R143" t="s">
        <v>1384</v>
      </c>
      <c r="S143" t="s">
        <v>1396</v>
      </c>
      <c r="T143" t="s">
        <v>1320</v>
      </c>
      <c r="U143">
        <v>176600</v>
      </c>
      <c r="V143" t="s">
        <v>1410</v>
      </c>
      <c r="W143" t="s">
        <v>1398</v>
      </c>
      <c r="X143" t="s">
        <v>1388</v>
      </c>
      <c r="Y143" t="s">
        <v>1389</v>
      </c>
      <c r="AA143" t="s">
        <v>1390</v>
      </c>
      <c r="AB143" t="s">
        <v>1391</v>
      </c>
      <c r="AE143">
        <v>-37.751896530000003</v>
      </c>
      <c r="AF143">
        <v>175.27023643000001</v>
      </c>
      <c r="AG143" s="175">
        <v>45</v>
      </c>
      <c r="AH143" s="175">
        <v>0</v>
      </c>
      <c r="AI143" s="175">
        <v>0</v>
      </c>
      <c r="AJ143" s="175">
        <v>0</v>
      </c>
      <c r="AK143" s="175">
        <v>5</v>
      </c>
      <c r="AL143" s="175">
        <v>19</v>
      </c>
      <c r="AM143" s="175">
        <v>23</v>
      </c>
      <c r="AN143" s="175">
        <v>1</v>
      </c>
      <c r="AO143" s="175">
        <v>48</v>
      </c>
      <c r="AP143" s="175">
        <v>35</v>
      </c>
      <c r="AQ143" s="175">
        <v>8</v>
      </c>
      <c r="AR143" s="175">
        <v>4</v>
      </c>
      <c r="AS143" s="175">
        <v>9</v>
      </c>
      <c r="AT143" s="175">
        <v>3</v>
      </c>
    </row>
    <row r="144" spans="1:46">
      <c r="A144">
        <v>5138</v>
      </c>
      <c r="B144" t="s">
        <v>1411</v>
      </c>
      <c r="C144" t="s">
        <v>1412</v>
      </c>
      <c r="D144" t="s">
        <v>1378</v>
      </c>
      <c r="E144" t="s">
        <v>1413</v>
      </c>
      <c r="F144" t="s">
        <v>1380</v>
      </c>
      <c r="G144" t="s">
        <v>1381</v>
      </c>
      <c r="H144" t="s">
        <v>452</v>
      </c>
      <c r="J144" t="s">
        <v>605</v>
      </c>
      <c r="K144" t="s">
        <v>606</v>
      </c>
      <c r="M144" t="s">
        <v>1382</v>
      </c>
      <c r="N144" t="s">
        <v>657</v>
      </c>
      <c r="O144" t="s">
        <v>1383</v>
      </c>
      <c r="P144" t="s">
        <v>739</v>
      </c>
      <c r="Q144" t="s">
        <v>510</v>
      </c>
      <c r="R144" t="s">
        <v>1384</v>
      </c>
      <c r="S144" t="s">
        <v>1385</v>
      </c>
      <c r="T144" t="s">
        <v>1320</v>
      </c>
      <c r="U144">
        <v>180400</v>
      </c>
      <c r="V144" t="s">
        <v>1414</v>
      </c>
      <c r="W144" t="s">
        <v>1387</v>
      </c>
      <c r="X144" t="s">
        <v>1388</v>
      </c>
      <c r="Y144" t="s">
        <v>1389</v>
      </c>
      <c r="AA144" t="s">
        <v>1390</v>
      </c>
      <c r="AB144" t="s">
        <v>1391</v>
      </c>
      <c r="AC144">
        <v>99105</v>
      </c>
      <c r="AD144" t="s">
        <v>1415</v>
      </c>
      <c r="AE144">
        <v>-37.820253690000001</v>
      </c>
      <c r="AF144">
        <v>175.27856844999999</v>
      </c>
      <c r="AG144" s="175">
        <v>40</v>
      </c>
      <c r="AH144" s="175">
        <v>0</v>
      </c>
      <c r="AI144" s="175">
        <v>0</v>
      </c>
      <c r="AJ144" s="175">
        <v>0</v>
      </c>
      <c r="AK144" s="175">
        <v>5</v>
      </c>
      <c r="AL144" s="175">
        <v>15</v>
      </c>
      <c r="AM144" s="175">
        <v>25</v>
      </c>
      <c r="AN144" s="175">
        <v>0</v>
      </c>
      <c r="AO144" s="175">
        <v>45</v>
      </c>
      <c r="AP144" s="175">
        <v>10</v>
      </c>
      <c r="AQ144" s="175">
        <v>6</v>
      </c>
      <c r="AR144" s="175">
        <v>3</v>
      </c>
      <c r="AS144" s="175">
        <v>32</v>
      </c>
      <c r="AT144" s="175">
        <v>0</v>
      </c>
    </row>
    <row r="145" spans="1:46">
      <c r="A145">
        <v>5139</v>
      </c>
      <c r="B145" t="s">
        <v>1416</v>
      </c>
      <c r="C145" t="s">
        <v>1417</v>
      </c>
      <c r="D145" t="s">
        <v>1378</v>
      </c>
      <c r="E145" t="s">
        <v>1418</v>
      </c>
      <c r="F145" t="s">
        <v>1419</v>
      </c>
      <c r="G145" t="s">
        <v>1381</v>
      </c>
      <c r="H145" t="s">
        <v>452</v>
      </c>
      <c r="J145" t="s">
        <v>605</v>
      </c>
      <c r="K145" t="s">
        <v>606</v>
      </c>
      <c r="M145" t="s">
        <v>1382</v>
      </c>
      <c r="N145" t="s">
        <v>657</v>
      </c>
      <c r="O145" t="s">
        <v>1383</v>
      </c>
      <c r="P145" t="s">
        <v>739</v>
      </c>
      <c r="Q145" t="s">
        <v>510</v>
      </c>
      <c r="R145" t="s">
        <v>1384</v>
      </c>
      <c r="S145" t="s">
        <v>1385</v>
      </c>
      <c r="T145" t="s">
        <v>1320</v>
      </c>
      <c r="U145">
        <v>178100</v>
      </c>
      <c r="V145" t="s">
        <v>1420</v>
      </c>
      <c r="W145" t="s">
        <v>1387</v>
      </c>
      <c r="X145" t="s">
        <v>1388</v>
      </c>
      <c r="Y145" t="s">
        <v>1389</v>
      </c>
      <c r="AA145" t="s">
        <v>1390</v>
      </c>
      <c r="AB145" t="s">
        <v>1391</v>
      </c>
      <c r="AE145">
        <v>-37.7979056</v>
      </c>
      <c r="AF145">
        <v>175.23496771000001</v>
      </c>
      <c r="AG145" s="175">
        <v>40</v>
      </c>
      <c r="AH145" s="175">
        <v>0</v>
      </c>
      <c r="AI145" s="175">
        <v>0</v>
      </c>
      <c r="AJ145" s="175">
        <v>0</v>
      </c>
      <c r="AK145" s="175">
        <v>13</v>
      </c>
      <c r="AL145" s="175">
        <v>20</v>
      </c>
      <c r="AM145" s="175">
        <v>20</v>
      </c>
      <c r="AN145" s="175">
        <v>1</v>
      </c>
      <c r="AO145" s="175">
        <v>54</v>
      </c>
      <c r="AP145" s="175">
        <v>42</v>
      </c>
      <c r="AQ145" s="175">
        <v>9</v>
      </c>
      <c r="AR145" s="175">
        <v>1</v>
      </c>
      <c r="AS145" s="175">
        <v>12</v>
      </c>
      <c r="AT145" s="175">
        <v>2</v>
      </c>
    </row>
    <row r="146" spans="1:46">
      <c r="A146">
        <v>5140</v>
      </c>
      <c r="B146" t="s">
        <v>1421</v>
      </c>
      <c r="C146" t="s">
        <v>1422</v>
      </c>
      <c r="D146" t="s">
        <v>1378</v>
      </c>
      <c r="E146" t="s">
        <v>1423</v>
      </c>
      <c r="F146" t="s">
        <v>1424</v>
      </c>
      <c r="G146" t="s">
        <v>1381</v>
      </c>
      <c r="H146" t="s">
        <v>452</v>
      </c>
      <c r="J146" t="s">
        <v>605</v>
      </c>
      <c r="K146" t="s">
        <v>606</v>
      </c>
      <c r="M146" t="s">
        <v>1382</v>
      </c>
      <c r="N146" t="s">
        <v>608</v>
      </c>
      <c r="O146" t="s">
        <v>1383</v>
      </c>
      <c r="P146" t="s">
        <v>739</v>
      </c>
      <c r="Q146" t="s">
        <v>510</v>
      </c>
      <c r="R146" t="s">
        <v>1384</v>
      </c>
      <c r="S146" t="s">
        <v>1396</v>
      </c>
      <c r="T146" t="s">
        <v>1320</v>
      </c>
      <c r="U146">
        <v>178201</v>
      </c>
      <c r="V146" t="s">
        <v>1425</v>
      </c>
      <c r="W146" t="s">
        <v>1398</v>
      </c>
      <c r="X146" t="s">
        <v>1388</v>
      </c>
      <c r="Y146" t="s">
        <v>1389</v>
      </c>
      <c r="AA146" t="s">
        <v>1390</v>
      </c>
      <c r="AB146" t="s">
        <v>1391</v>
      </c>
      <c r="AE146">
        <v>-37.76582896</v>
      </c>
      <c r="AF146">
        <v>175.28622743</v>
      </c>
      <c r="AG146" s="175">
        <v>45</v>
      </c>
      <c r="AH146" s="175">
        <v>0</v>
      </c>
      <c r="AI146" s="175">
        <v>0</v>
      </c>
      <c r="AJ146" s="175">
        <v>0</v>
      </c>
      <c r="AK146" s="175">
        <v>9</v>
      </c>
      <c r="AL146" s="175">
        <v>10</v>
      </c>
      <c r="AM146" s="175">
        <v>21</v>
      </c>
      <c r="AN146" s="175">
        <v>3</v>
      </c>
      <c r="AO146" s="175">
        <v>43</v>
      </c>
      <c r="AP146" s="175">
        <v>17</v>
      </c>
      <c r="AQ146" s="175">
        <v>16</v>
      </c>
      <c r="AR146" s="175">
        <v>8</v>
      </c>
      <c r="AS146" s="175">
        <v>8</v>
      </c>
      <c r="AT146" s="175">
        <v>7</v>
      </c>
    </row>
    <row r="147" spans="1:46">
      <c r="A147">
        <v>5141</v>
      </c>
      <c r="B147" t="s">
        <v>1426</v>
      </c>
      <c r="C147" t="s">
        <v>1427</v>
      </c>
      <c r="D147" t="s">
        <v>1378</v>
      </c>
      <c r="E147" t="s">
        <v>1428</v>
      </c>
      <c r="F147" t="s">
        <v>1429</v>
      </c>
      <c r="G147" t="s">
        <v>1381</v>
      </c>
      <c r="H147" t="s">
        <v>452</v>
      </c>
      <c r="J147" t="s">
        <v>605</v>
      </c>
      <c r="K147" t="s">
        <v>606</v>
      </c>
      <c r="M147" t="s">
        <v>1382</v>
      </c>
      <c r="N147" t="s">
        <v>643</v>
      </c>
      <c r="O147" t="s">
        <v>1383</v>
      </c>
      <c r="P147" t="s">
        <v>739</v>
      </c>
      <c r="Q147" t="s">
        <v>510</v>
      </c>
      <c r="R147" t="s">
        <v>1384</v>
      </c>
      <c r="S147" t="s">
        <v>1385</v>
      </c>
      <c r="T147" t="s">
        <v>1320</v>
      </c>
      <c r="U147">
        <v>178701</v>
      </c>
      <c r="V147" t="s">
        <v>1430</v>
      </c>
      <c r="W147" t="s">
        <v>1387</v>
      </c>
      <c r="X147" t="s">
        <v>1388</v>
      </c>
      <c r="Y147" t="s">
        <v>1389</v>
      </c>
      <c r="AA147" t="s">
        <v>1390</v>
      </c>
      <c r="AB147" t="s">
        <v>1391</v>
      </c>
      <c r="AC147">
        <v>99035</v>
      </c>
      <c r="AD147" t="s">
        <v>1392</v>
      </c>
      <c r="AE147">
        <v>-37.792780460000003</v>
      </c>
      <c r="AF147">
        <v>175.25192598000001</v>
      </c>
      <c r="AG147" s="175">
        <v>47</v>
      </c>
      <c r="AH147" s="175">
        <v>0</v>
      </c>
      <c r="AI147" s="175">
        <v>0</v>
      </c>
      <c r="AJ147" s="175">
        <v>0</v>
      </c>
      <c r="AK147" s="175">
        <v>1</v>
      </c>
      <c r="AL147" s="175">
        <v>17</v>
      </c>
      <c r="AM147" s="175">
        <v>20</v>
      </c>
      <c r="AN147" s="175">
        <v>6</v>
      </c>
      <c r="AO147" s="175">
        <v>44</v>
      </c>
      <c r="AP147" s="175">
        <v>17</v>
      </c>
      <c r="AQ147" s="175">
        <v>19</v>
      </c>
      <c r="AR147" s="175">
        <v>6</v>
      </c>
      <c r="AS147" s="175">
        <v>13</v>
      </c>
      <c r="AT147" s="175">
        <v>1</v>
      </c>
    </row>
    <row r="148" spans="1:46">
      <c r="A148">
        <v>5142</v>
      </c>
      <c r="B148" t="s">
        <v>1431</v>
      </c>
      <c r="C148" t="s">
        <v>1432</v>
      </c>
      <c r="D148" t="s">
        <v>1378</v>
      </c>
      <c r="E148" t="s">
        <v>1433</v>
      </c>
      <c r="G148" t="s">
        <v>1434</v>
      </c>
      <c r="H148" t="s">
        <v>452</v>
      </c>
      <c r="J148" t="s">
        <v>605</v>
      </c>
      <c r="K148" t="s">
        <v>606</v>
      </c>
      <c r="M148" t="s">
        <v>1382</v>
      </c>
      <c r="N148" t="s">
        <v>643</v>
      </c>
      <c r="O148" t="s">
        <v>1435</v>
      </c>
      <c r="P148" t="s">
        <v>610</v>
      </c>
      <c r="Q148" t="s">
        <v>510</v>
      </c>
      <c r="R148" t="s">
        <v>1384</v>
      </c>
      <c r="S148" t="s">
        <v>1384</v>
      </c>
      <c r="T148" t="s">
        <v>1320</v>
      </c>
      <c r="U148">
        <v>172100</v>
      </c>
      <c r="V148" t="s">
        <v>1436</v>
      </c>
      <c r="W148" t="s">
        <v>1437</v>
      </c>
      <c r="X148" t="s">
        <v>1388</v>
      </c>
      <c r="Y148" t="s">
        <v>1389</v>
      </c>
      <c r="AA148" t="s">
        <v>1390</v>
      </c>
      <c r="AB148" t="s">
        <v>1391</v>
      </c>
      <c r="AC148">
        <v>99156</v>
      </c>
      <c r="AD148" t="s">
        <v>1438</v>
      </c>
      <c r="AE148">
        <v>-37.665422280000001</v>
      </c>
      <c r="AF148">
        <v>175.145296</v>
      </c>
      <c r="AG148" s="175">
        <v>40</v>
      </c>
      <c r="AH148" s="175">
        <v>0</v>
      </c>
      <c r="AI148" s="175">
        <v>0</v>
      </c>
      <c r="AJ148" s="175">
        <v>0</v>
      </c>
      <c r="AK148" s="175">
        <v>6</v>
      </c>
      <c r="AL148" s="175">
        <v>27</v>
      </c>
      <c r="AM148" s="175">
        <v>17</v>
      </c>
      <c r="AN148" s="175">
        <v>0</v>
      </c>
      <c r="AO148" s="175">
        <v>50</v>
      </c>
      <c r="AP148" s="175">
        <v>45</v>
      </c>
      <c r="AQ148" s="175">
        <v>27</v>
      </c>
      <c r="AR148" s="175">
        <v>0</v>
      </c>
      <c r="AS148" s="175">
        <v>5</v>
      </c>
      <c r="AT148" s="175">
        <v>2</v>
      </c>
    </row>
    <row r="149" spans="1:46">
      <c r="A149">
        <v>5143</v>
      </c>
      <c r="B149" t="s">
        <v>1439</v>
      </c>
      <c r="C149" t="s">
        <v>1440</v>
      </c>
      <c r="D149" t="s">
        <v>1378</v>
      </c>
      <c r="E149" t="s">
        <v>1441</v>
      </c>
      <c r="F149" t="s">
        <v>1442</v>
      </c>
      <c r="G149" t="s">
        <v>1381</v>
      </c>
      <c r="H149" t="s">
        <v>452</v>
      </c>
      <c r="J149" t="s">
        <v>605</v>
      </c>
      <c r="K149" t="s">
        <v>606</v>
      </c>
      <c r="M149" t="s">
        <v>1382</v>
      </c>
      <c r="N149" t="s">
        <v>625</v>
      </c>
      <c r="O149" t="s">
        <v>1383</v>
      </c>
      <c r="P149" t="s">
        <v>739</v>
      </c>
      <c r="Q149" t="s">
        <v>510</v>
      </c>
      <c r="R149" t="s">
        <v>1384</v>
      </c>
      <c r="S149" t="s">
        <v>1385</v>
      </c>
      <c r="T149" t="s">
        <v>1320</v>
      </c>
      <c r="U149">
        <v>177200</v>
      </c>
      <c r="V149" t="s">
        <v>1443</v>
      </c>
      <c r="W149" t="s">
        <v>1387</v>
      </c>
      <c r="X149" t="s">
        <v>1388</v>
      </c>
      <c r="Y149" t="s">
        <v>1389</v>
      </c>
      <c r="AA149" t="s">
        <v>1390</v>
      </c>
      <c r="AB149" t="s">
        <v>1391</v>
      </c>
      <c r="AE149">
        <v>-37.779619310000001</v>
      </c>
      <c r="AF149">
        <v>175.23702241999999</v>
      </c>
      <c r="AG149" s="175">
        <v>40</v>
      </c>
      <c r="AH149" s="175">
        <v>0</v>
      </c>
      <c r="AI149" s="175">
        <v>0</v>
      </c>
      <c r="AJ149" s="175">
        <v>0</v>
      </c>
      <c r="AK149" s="175">
        <v>10</v>
      </c>
      <c r="AL149" s="175">
        <v>17</v>
      </c>
      <c r="AM149" s="175">
        <v>14</v>
      </c>
      <c r="AN149" s="175">
        <v>3</v>
      </c>
      <c r="AO149" s="175">
        <v>44</v>
      </c>
      <c r="AP149" s="175">
        <v>19</v>
      </c>
      <c r="AQ149" s="175">
        <v>17</v>
      </c>
      <c r="AR149" s="175">
        <v>8</v>
      </c>
      <c r="AS149" s="175">
        <v>12</v>
      </c>
      <c r="AT149" s="175">
        <v>2</v>
      </c>
    </row>
    <row r="150" spans="1:46">
      <c r="A150">
        <v>5144</v>
      </c>
      <c r="B150" t="s">
        <v>1444</v>
      </c>
      <c r="C150" t="s">
        <v>1445</v>
      </c>
      <c r="D150" t="s">
        <v>1378</v>
      </c>
      <c r="E150" t="s">
        <v>1446</v>
      </c>
      <c r="F150" t="s">
        <v>1380</v>
      </c>
      <c r="G150" t="s">
        <v>1381</v>
      </c>
      <c r="H150" t="s">
        <v>452</v>
      </c>
      <c r="J150" t="s">
        <v>605</v>
      </c>
      <c r="K150" t="s">
        <v>606</v>
      </c>
      <c r="M150" t="s">
        <v>1382</v>
      </c>
      <c r="N150" t="s">
        <v>657</v>
      </c>
      <c r="O150" t="s">
        <v>1383</v>
      </c>
      <c r="P150" t="s">
        <v>739</v>
      </c>
      <c r="Q150" t="s">
        <v>510</v>
      </c>
      <c r="R150" t="s">
        <v>1384</v>
      </c>
      <c r="S150" t="s">
        <v>1385</v>
      </c>
      <c r="T150" t="s">
        <v>1320</v>
      </c>
      <c r="U150">
        <v>179502</v>
      </c>
      <c r="V150" t="s">
        <v>1447</v>
      </c>
      <c r="W150" t="s">
        <v>1387</v>
      </c>
      <c r="X150" t="s">
        <v>1388</v>
      </c>
      <c r="Y150" t="s">
        <v>1389</v>
      </c>
      <c r="AA150" t="s">
        <v>1390</v>
      </c>
      <c r="AB150" t="s">
        <v>1391</v>
      </c>
      <c r="AE150">
        <v>-37.800965120000001</v>
      </c>
      <c r="AF150">
        <v>175.28334852</v>
      </c>
      <c r="AG150" s="175">
        <v>40</v>
      </c>
      <c r="AH150" s="175">
        <v>0</v>
      </c>
      <c r="AI150" s="175">
        <v>0</v>
      </c>
      <c r="AJ150" s="175">
        <v>0</v>
      </c>
      <c r="AK150" s="175">
        <v>7</v>
      </c>
      <c r="AL150" s="175">
        <v>25</v>
      </c>
      <c r="AM150" s="175">
        <v>13</v>
      </c>
      <c r="AN150" s="175">
        <v>3</v>
      </c>
      <c r="AO150" s="175">
        <v>48</v>
      </c>
      <c r="AP150" s="175">
        <v>29</v>
      </c>
      <c r="AQ150" s="175">
        <v>6</v>
      </c>
      <c r="AR150" s="175">
        <v>2</v>
      </c>
      <c r="AS150" s="175">
        <v>17</v>
      </c>
      <c r="AT150" s="175">
        <v>2</v>
      </c>
    </row>
    <row r="151" spans="1:46">
      <c r="A151">
        <v>5145</v>
      </c>
      <c r="B151" t="s">
        <v>633</v>
      </c>
      <c r="C151" t="s">
        <v>1448</v>
      </c>
      <c r="D151" t="s">
        <v>1378</v>
      </c>
      <c r="E151" t="s">
        <v>1449</v>
      </c>
      <c r="F151" t="s">
        <v>1450</v>
      </c>
      <c r="G151" t="s">
        <v>1381</v>
      </c>
      <c r="H151" t="s">
        <v>452</v>
      </c>
      <c r="J151" t="s">
        <v>605</v>
      </c>
      <c r="K151" t="s">
        <v>606</v>
      </c>
      <c r="M151" t="s">
        <v>1382</v>
      </c>
      <c r="N151" t="s">
        <v>657</v>
      </c>
      <c r="O151" t="s">
        <v>1383</v>
      </c>
      <c r="P151" t="s">
        <v>739</v>
      </c>
      <c r="Q151" t="s">
        <v>510</v>
      </c>
      <c r="R151" t="s">
        <v>1384</v>
      </c>
      <c r="S151" t="s">
        <v>1396</v>
      </c>
      <c r="T151" t="s">
        <v>1320</v>
      </c>
      <c r="U151">
        <v>180700</v>
      </c>
      <c r="V151" t="s">
        <v>1451</v>
      </c>
      <c r="W151" t="s">
        <v>1398</v>
      </c>
      <c r="X151" t="s">
        <v>1388</v>
      </c>
      <c r="Y151" t="s">
        <v>1389</v>
      </c>
      <c r="AA151" t="s">
        <v>1390</v>
      </c>
      <c r="AB151" t="s">
        <v>1391</v>
      </c>
      <c r="AE151">
        <v>-37.795721540000002</v>
      </c>
      <c r="AF151">
        <v>175.32058674000001</v>
      </c>
      <c r="AG151" s="175">
        <v>43</v>
      </c>
      <c r="AH151" s="175">
        <v>0</v>
      </c>
      <c r="AI151" s="175">
        <v>0</v>
      </c>
      <c r="AJ151" s="175">
        <v>0</v>
      </c>
      <c r="AK151" s="175">
        <v>6</v>
      </c>
      <c r="AL151" s="175">
        <v>19</v>
      </c>
      <c r="AM151" s="175">
        <v>27</v>
      </c>
      <c r="AN151" s="175">
        <v>2</v>
      </c>
      <c r="AO151" s="175">
        <v>54</v>
      </c>
      <c r="AP151" s="175">
        <v>29</v>
      </c>
      <c r="AQ151" s="175">
        <v>8</v>
      </c>
      <c r="AR151" s="175">
        <v>6</v>
      </c>
      <c r="AS151" s="175">
        <v>17</v>
      </c>
      <c r="AT151" s="175">
        <v>3</v>
      </c>
    </row>
    <row r="152" spans="1:46">
      <c r="A152">
        <v>5146</v>
      </c>
      <c r="B152" t="s">
        <v>1452</v>
      </c>
      <c r="C152" t="s">
        <v>1453</v>
      </c>
      <c r="D152" t="s">
        <v>1378</v>
      </c>
      <c r="E152" t="s">
        <v>1454</v>
      </c>
      <c r="F152" t="s">
        <v>1397</v>
      </c>
      <c r="G152" t="s">
        <v>1381</v>
      </c>
      <c r="H152" t="s">
        <v>452</v>
      </c>
      <c r="J152" t="s">
        <v>605</v>
      </c>
      <c r="K152" t="s">
        <v>606</v>
      </c>
      <c r="M152" t="s">
        <v>1382</v>
      </c>
      <c r="N152" t="s">
        <v>657</v>
      </c>
      <c r="O152" t="s">
        <v>1383</v>
      </c>
      <c r="P152" t="s">
        <v>739</v>
      </c>
      <c r="Q152" t="s">
        <v>510</v>
      </c>
      <c r="R152" t="s">
        <v>1384</v>
      </c>
      <c r="S152" t="s">
        <v>1396</v>
      </c>
      <c r="T152" t="s">
        <v>1320</v>
      </c>
      <c r="U152">
        <v>177500</v>
      </c>
      <c r="V152" t="s">
        <v>1455</v>
      </c>
      <c r="W152" t="s">
        <v>1398</v>
      </c>
      <c r="X152" t="s">
        <v>1388</v>
      </c>
      <c r="Y152" t="s">
        <v>1389</v>
      </c>
      <c r="AA152" t="s">
        <v>1390</v>
      </c>
      <c r="AB152" t="s">
        <v>1391</v>
      </c>
      <c r="AE152">
        <v>-37.748220600000003</v>
      </c>
      <c r="AF152">
        <v>175.28025603</v>
      </c>
      <c r="AG152" s="175">
        <v>40</v>
      </c>
      <c r="AH152" s="175">
        <v>0</v>
      </c>
      <c r="AI152" s="175">
        <v>0</v>
      </c>
      <c r="AJ152" s="175">
        <v>0</v>
      </c>
      <c r="AK152" s="175">
        <v>7</v>
      </c>
      <c r="AL152" s="175">
        <v>16</v>
      </c>
      <c r="AM152" s="175">
        <v>23</v>
      </c>
      <c r="AN152" s="175">
        <v>1</v>
      </c>
      <c r="AO152" s="175">
        <v>47</v>
      </c>
      <c r="AP152" s="175">
        <v>32</v>
      </c>
      <c r="AQ152" s="175">
        <v>11</v>
      </c>
      <c r="AR152" s="175">
        <v>1</v>
      </c>
      <c r="AS152" s="175">
        <v>9</v>
      </c>
      <c r="AT152" s="175">
        <v>1</v>
      </c>
    </row>
    <row r="153" spans="1:46">
      <c r="A153">
        <v>5147</v>
      </c>
      <c r="B153" t="s">
        <v>1456</v>
      </c>
      <c r="C153" t="s">
        <v>1457</v>
      </c>
      <c r="D153" t="s">
        <v>1378</v>
      </c>
      <c r="E153" t="s">
        <v>1458</v>
      </c>
      <c r="F153" t="s">
        <v>1380</v>
      </c>
      <c r="G153" t="s">
        <v>1381</v>
      </c>
      <c r="H153" t="s">
        <v>452</v>
      </c>
      <c r="J153" t="s">
        <v>605</v>
      </c>
      <c r="K153" t="s">
        <v>606</v>
      </c>
      <c r="M153" t="s">
        <v>1382</v>
      </c>
      <c r="N153" t="s">
        <v>608</v>
      </c>
      <c r="O153" t="s">
        <v>1383</v>
      </c>
      <c r="P153" t="s">
        <v>739</v>
      </c>
      <c r="Q153" t="s">
        <v>510</v>
      </c>
      <c r="R153" t="s">
        <v>1384</v>
      </c>
      <c r="S153" t="s">
        <v>1396</v>
      </c>
      <c r="T153" t="s">
        <v>1320</v>
      </c>
      <c r="U153">
        <v>178400</v>
      </c>
      <c r="V153" t="s">
        <v>1459</v>
      </c>
      <c r="W153" t="s">
        <v>1398</v>
      </c>
      <c r="X153" t="s">
        <v>1388</v>
      </c>
      <c r="Y153" t="s">
        <v>1389</v>
      </c>
      <c r="AA153" t="s">
        <v>1390</v>
      </c>
      <c r="AB153" t="s">
        <v>1391</v>
      </c>
      <c r="AE153">
        <v>-37.760182790000002</v>
      </c>
      <c r="AF153">
        <v>175.29302357</v>
      </c>
      <c r="AG153" s="175">
        <v>40</v>
      </c>
      <c r="AH153" s="175">
        <v>0</v>
      </c>
      <c r="AI153" s="175">
        <v>0</v>
      </c>
      <c r="AJ153" s="175">
        <v>0</v>
      </c>
      <c r="AK153" s="175">
        <v>7</v>
      </c>
      <c r="AL153" s="175">
        <v>18</v>
      </c>
      <c r="AM153" s="175">
        <v>17</v>
      </c>
      <c r="AN153" s="175">
        <v>1</v>
      </c>
      <c r="AO153" s="175">
        <v>43</v>
      </c>
      <c r="AP153" s="175">
        <v>13</v>
      </c>
      <c r="AQ153" s="175">
        <v>21</v>
      </c>
      <c r="AR153" s="175">
        <v>13</v>
      </c>
      <c r="AS153" s="175">
        <v>8</v>
      </c>
      <c r="AT153" s="175">
        <v>3</v>
      </c>
    </row>
    <row r="154" spans="1:46">
      <c r="A154">
        <v>5148</v>
      </c>
      <c r="B154" t="s">
        <v>1460</v>
      </c>
      <c r="C154" t="s">
        <v>1461</v>
      </c>
      <c r="D154" t="s">
        <v>1378</v>
      </c>
      <c r="E154" t="s">
        <v>1462</v>
      </c>
      <c r="F154" t="s">
        <v>1463</v>
      </c>
      <c r="G154" t="s">
        <v>1402</v>
      </c>
      <c r="H154" t="s">
        <v>452</v>
      </c>
      <c r="J154" t="s">
        <v>605</v>
      </c>
      <c r="K154" t="s">
        <v>606</v>
      </c>
      <c r="M154" t="s">
        <v>1382</v>
      </c>
      <c r="N154" t="s">
        <v>657</v>
      </c>
      <c r="O154" t="s">
        <v>1403</v>
      </c>
      <c r="P154" t="s">
        <v>1347</v>
      </c>
      <c r="Q154" t="s">
        <v>510</v>
      </c>
      <c r="R154" t="s">
        <v>1384</v>
      </c>
      <c r="S154" t="s">
        <v>1404</v>
      </c>
      <c r="T154" t="s">
        <v>1320</v>
      </c>
      <c r="U154">
        <v>183900</v>
      </c>
      <c r="V154" t="s">
        <v>1464</v>
      </c>
      <c r="W154" t="s">
        <v>1406</v>
      </c>
      <c r="X154" t="s">
        <v>1388</v>
      </c>
      <c r="Y154" t="s">
        <v>1389</v>
      </c>
      <c r="AA154" t="s">
        <v>1390</v>
      </c>
      <c r="AB154" t="s">
        <v>1391</v>
      </c>
      <c r="AE154">
        <v>-37.899312989999999</v>
      </c>
      <c r="AF154">
        <v>175.48212343</v>
      </c>
      <c r="AG154" s="175">
        <v>45</v>
      </c>
      <c r="AH154" s="175">
        <v>0</v>
      </c>
      <c r="AI154" s="175">
        <v>0</v>
      </c>
      <c r="AJ154" s="175">
        <v>0</v>
      </c>
      <c r="AK154" s="175">
        <v>5</v>
      </c>
      <c r="AL154" s="175">
        <v>33</v>
      </c>
      <c r="AM154" s="175">
        <v>19</v>
      </c>
      <c r="AN154" s="175">
        <v>5</v>
      </c>
      <c r="AO154" s="175">
        <v>62</v>
      </c>
      <c r="AP154" s="175">
        <v>60</v>
      </c>
      <c r="AQ154" s="175">
        <v>4</v>
      </c>
      <c r="AR154" s="175">
        <v>0</v>
      </c>
      <c r="AS154" s="175">
        <v>3</v>
      </c>
      <c r="AT154" s="175">
        <v>2</v>
      </c>
    </row>
    <row r="155" spans="1:46">
      <c r="A155">
        <v>5149</v>
      </c>
      <c r="B155" t="s">
        <v>1465</v>
      </c>
      <c r="C155" t="s">
        <v>1466</v>
      </c>
      <c r="D155" t="s">
        <v>1378</v>
      </c>
      <c r="E155" t="s">
        <v>1467</v>
      </c>
      <c r="F155" t="s">
        <v>1468</v>
      </c>
      <c r="G155" t="s">
        <v>1381</v>
      </c>
      <c r="H155" t="s">
        <v>452</v>
      </c>
      <c r="J155" t="s">
        <v>605</v>
      </c>
      <c r="K155" t="s">
        <v>606</v>
      </c>
      <c r="M155" t="s">
        <v>1382</v>
      </c>
      <c r="N155" t="s">
        <v>657</v>
      </c>
      <c r="O155" t="s">
        <v>1383</v>
      </c>
      <c r="P155" t="s">
        <v>739</v>
      </c>
      <c r="Q155" t="s">
        <v>510</v>
      </c>
      <c r="R155" t="s">
        <v>1384</v>
      </c>
      <c r="S155" t="s">
        <v>1385</v>
      </c>
      <c r="T155" t="s">
        <v>1320</v>
      </c>
      <c r="U155">
        <v>177400</v>
      </c>
      <c r="V155" t="s">
        <v>1469</v>
      </c>
      <c r="W155" t="s">
        <v>1387</v>
      </c>
      <c r="X155" t="s">
        <v>1388</v>
      </c>
      <c r="Y155" t="s">
        <v>1389</v>
      </c>
      <c r="AA155" t="s">
        <v>1390</v>
      </c>
      <c r="AB155" t="s">
        <v>1391</v>
      </c>
      <c r="AE155">
        <v>-37.77048053</v>
      </c>
      <c r="AF155">
        <v>175.25482507000001</v>
      </c>
      <c r="AG155" s="175">
        <v>45</v>
      </c>
      <c r="AH155" s="175">
        <v>0</v>
      </c>
      <c r="AI155" s="175">
        <v>0</v>
      </c>
      <c r="AJ155" s="175">
        <v>0</v>
      </c>
      <c r="AK155" s="175">
        <v>6</v>
      </c>
      <c r="AL155" s="175">
        <v>22</v>
      </c>
      <c r="AM155" s="175">
        <v>20</v>
      </c>
      <c r="AN155" s="175">
        <v>2</v>
      </c>
      <c r="AO155" s="175">
        <v>50</v>
      </c>
      <c r="AP155" s="175">
        <v>32</v>
      </c>
      <c r="AQ155" s="175">
        <v>25</v>
      </c>
      <c r="AR155" s="175">
        <v>11</v>
      </c>
      <c r="AS155" s="175">
        <v>8</v>
      </c>
      <c r="AT155" s="175">
        <v>3</v>
      </c>
    </row>
    <row r="156" spans="1:46">
      <c r="A156">
        <v>5150</v>
      </c>
      <c r="B156" t="s">
        <v>1470</v>
      </c>
      <c r="C156" t="s">
        <v>1471</v>
      </c>
      <c r="D156" t="s">
        <v>1378</v>
      </c>
      <c r="E156" t="s">
        <v>1472</v>
      </c>
      <c r="F156" t="s">
        <v>1463</v>
      </c>
      <c r="G156" t="s">
        <v>1402</v>
      </c>
      <c r="H156" t="s">
        <v>452</v>
      </c>
      <c r="J156" t="s">
        <v>605</v>
      </c>
      <c r="K156" t="s">
        <v>606</v>
      </c>
      <c r="M156" t="s">
        <v>1382</v>
      </c>
      <c r="N156" t="s">
        <v>657</v>
      </c>
      <c r="O156" t="s">
        <v>1403</v>
      </c>
      <c r="P156" t="s">
        <v>1347</v>
      </c>
      <c r="Q156" t="s">
        <v>510</v>
      </c>
      <c r="R156" t="s">
        <v>1384</v>
      </c>
      <c r="S156" t="s">
        <v>1404</v>
      </c>
      <c r="T156" t="s">
        <v>1320</v>
      </c>
      <c r="U156">
        <v>183500</v>
      </c>
      <c r="V156" t="s">
        <v>1473</v>
      </c>
      <c r="W156" t="s">
        <v>1406</v>
      </c>
      <c r="X156" t="s">
        <v>1388</v>
      </c>
      <c r="Y156" t="s">
        <v>1389</v>
      </c>
      <c r="AA156" t="s">
        <v>1390</v>
      </c>
      <c r="AB156" t="s">
        <v>1391</v>
      </c>
      <c r="AE156">
        <v>-37.908191899999998</v>
      </c>
      <c r="AF156">
        <v>175.4733779</v>
      </c>
      <c r="AG156" s="175">
        <v>40</v>
      </c>
      <c r="AH156" s="175">
        <v>0</v>
      </c>
      <c r="AI156" s="175">
        <v>0</v>
      </c>
      <c r="AJ156" s="175">
        <v>0</v>
      </c>
      <c r="AK156" s="175">
        <v>10</v>
      </c>
      <c r="AL156" s="175">
        <v>14</v>
      </c>
      <c r="AM156" s="175">
        <v>24</v>
      </c>
      <c r="AN156" s="175">
        <v>1</v>
      </c>
      <c r="AO156" s="175">
        <v>49</v>
      </c>
      <c r="AP156" s="175">
        <v>34</v>
      </c>
      <c r="AQ156" s="175">
        <v>14</v>
      </c>
      <c r="AR156" s="175">
        <v>0</v>
      </c>
      <c r="AS156" s="175">
        <v>10</v>
      </c>
      <c r="AT156" s="175">
        <v>0</v>
      </c>
    </row>
    <row r="157" spans="1:46">
      <c r="A157">
        <v>5151</v>
      </c>
      <c r="B157" t="s">
        <v>1474</v>
      </c>
      <c r="C157" t="s">
        <v>1475</v>
      </c>
      <c r="D157" t="s">
        <v>1378</v>
      </c>
      <c r="E157" t="s">
        <v>1476</v>
      </c>
      <c r="F157" t="s">
        <v>1477</v>
      </c>
      <c r="G157" t="s">
        <v>1381</v>
      </c>
      <c r="H157" t="s">
        <v>452</v>
      </c>
      <c r="J157" t="s">
        <v>605</v>
      </c>
      <c r="K157" t="s">
        <v>606</v>
      </c>
      <c r="M157" t="s">
        <v>1382</v>
      </c>
      <c r="N157" t="s">
        <v>812</v>
      </c>
      <c r="O157" t="s">
        <v>1383</v>
      </c>
      <c r="P157" t="s">
        <v>739</v>
      </c>
      <c r="Q157" t="s">
        <v>510</v>
      </c>
      <c r="R157" t="s">
        <v>1384</v>
      </c>
      <c r="S157" t="s">
        <v>1385</v>
      </c>
      <c r="T157" t="s">
        <v>1320</v>
      </c>
      <c r="U157">
        <v>180500</v>
      </c>
      <c r="V157" t="s">
        <v>1478</v>
      </c>
      <c r="W157" t="s">
        <v>1387</v>
      </c>
      <c r="X157" t="s">
        <v>1388</v>
      </c>
      <c r="Y157" t="s">
        <v>1389</v>
      </c>
      <c r="AA157" t="s">
        <v>1390</v>
      </c>
      <c r="AB157" t="s">
        <v>1391</v>
      </c>
      <c r="AC157">
        <v>99105</v>
      </c>
      <c r="AD157" t="s">
        <v>1415</v>
      </c>
      <c r="AE157">
        <v>-37.807539120000001</v>
      </c>
      <c r="AF157">
        <v>175.28877367999999</v>
      </c>
      <c r="AG157" s="175">
        <v>40</v>
      </c>
      <c r="AH157" s="175">
        <v>0</v>
      </c>
      <c r="AI157" s="175">
        <v>0</v>
      </c>
      <c r="AJ157" s="175">
        <v>0</v>
      </c>
      <c r="AK157" s="175">
        <v>4</v>
      </c>
      <c r="AL157" s="175">
        <v>14</v>
      </c>
      <c r="AM157" s="175">
        <v>17</v>
      </c>
      <c r="AN157" s="175">
        <v>0</v>
      </c>
      <c r="AO157" s="175">
        <v>35</v>
      </c>
      <c r="AP157" s="175">
        <v>10</v>
      </c>
      <c r="AQ157" s="175">
        <v>23</v>
      </c>
      <c r="AR157" s="175">
        <v>6</v>
      </c>
      <c r="AS157" s="175">
        <v>4</v>
      </c>
      <c r="AT157" s="175">
        <v>3</v>
      </c>
    </row>
    <row r="158" spans="1:46">
      <c r="A158">
        <v>5152</v>
      </c>
      <c r="B158" t="s">
        <v>1479</v>
      </c>
      <c r="C158" t="s">
        <v>1480</v>
      </c>
      <c r="E158" t="s">
        <v>1481</v>
      </c>
      <c r="F158" t="s">
        <v>1482</v>
      </c>
      <c r="G158" t="s">
        <v>1381</v>
      </c>
      <c r="H158" t="s">
        <v>452</v>
      </c>
      <c r="J158" t="s">
        <v>605</v>
      </c>
      <c r="K158" t="s">
        <v>606</v>
      </c>
      <c r="M158" t="s">
        <v>1382</v>
      </c>
      <c r="N158" t="s">
        <v>657</v>
      </c>
      <c r="O158" t="s">
        <v>1383</v>
      </c>
      <c r="P158" t="s">
        <v>739</v>
      </c>
      <c r="Q158" t="s">
        <v>510</v>
      </c>
      <c r="R158" t="s">
        <v>1384</v>
      </c>
      <c r="S158" t="s">
        <v>1396</v>
      </c>
      <c r="T158" t="s">
        <v>1320</v>
      </c>
      <c r="U158">
        <v>179300</v>
      </c>
      <c r="V158" t="s">
        <v>1482</v>
      </c>
      <c r="W158" t="s">
        <v>1398</v>
      </c>
      <c r="X158" t="s">
        <v>1388</v>
      </c>
      <c r="Y158" t="s">
        <v>1389</v>
      </c>
      <c r="AA158" t="s">
        <v>1390</v>
      </c>
      <c r="AB158" t="s">
        <v>1391</v>
      </c>
      <c r="AE158">
        <v>-37.778842130000001</v>
      </c>
      <c r="AF158">
        <v>175.28190889999999</v>
      </c>
      <c r="AG158" s="175">
        <v>40</v>
      </c>
      <c r="AH158" s="175">
        <v>0</v>
      </c>
      <c r="AI158" s="175">
        <v>0</v>
      </c>
      <c r="AJ158" s="175">
        <v>0</v>
      </c>
      <c r="AK158" s="175">
        <v>11</v>
      </c>
      <c r="AL158" s="175">
        <v>19</v>
      </c>
      <c r="AM158" s="175">
        <v>22</v>
      </c>
      <c r="AN158" s="175">
        <v>3</v>
      </c>
      <c r="AO158" s="175">
        <v>55</v>
      </c>
      <c r="AP158" s="175">
        <v>41</v>
      </c>
      <c r="AQ158" s="175">
        <v>12</v>
      </c>
      <c r="AR158" s="175">
        <v>5</v>
      </c>
      <c r="AS158" s="175">
        <v>9</v>
      </c>
      <c r="AT158" s="175">
        <v>3</v>
      </c>
    </row>
    <row r="159" spans="1:46">
      <c r="A159">
        <v>5153</v>
      </c>
      <c r="B159" t="s">
        <v>1483</v>
      </c>
      <c r="C159" t="s">
        <v>1484</v>
      </c>
      <c r="D159" t="s">
        <v>1378</v>
      </c>
      <c r="E159" t="s">
        <v>1485</v>
      </c>
      <c r="G159" t="s">
        <v>1434</v>
      </c>
      <c r="H159" t="s">
        <v>452</v>
      </c>
      <c r="J159" t="s">
        <v>605</v>
      </c>
      <c r="K159" t="s">
        <v>606</v>
      </c>
      <c r="M159" t="s">
        <v>1382</v>
      </c>
      <c r="N159" t="s">
        <v>608</v>
      </c>
      <c r="O159" t="s">
        <v>1435</v>
      </c>
      <c r="P159" t="s">
        <v>610</v>
      </c>
      <c r="Q159" t="s">
        <v>510</v>
      </c>
      <c r="R159" t="s">
        <v>1384</v>
      </c>
      <c r="S159" t="s">
        <v>1384</v>
      </c>
      <c r="T159" t="s">
        <v>1320</v>
      </c>
      <c r="U159">
        <v>172001</v>
      </c>
      <c r="V159" t="s">
        <v>1486</v>
      </c>
      <c r="W159" t="s">
        <v>1437</v>
      </c>
      <c r="X159" t="s">
        <v>1388</v>
      </c>
      <c r="Y159" t="s">
        <v>1389</v>
      </c>
      <c r="AA159" t="s">
        <v>1390</v>
      </c>
      <c r="AB159" t="s">
        <v>1391</v>
      </c>
      <c r="AE159">
        <v>-37.660027620000001</v>
      </c>
      <c r="AF159">
        <v>175.15177444</v>
      </c>
      <c r="AG159" s="175">
        <v>50</v>
      </c>
      <c r="AH159" s="175">
        <v>0</v>
      </c>
      <c r="AI159" s="175">
        <v>0</v>
      </c>
      <c r="AJ159" s="175">
        <v>0</v>
      </c>
      <c r="AK159" s="175">
        <v>5</v>
      </c>
      <c r="AL159" s="175">
        <v>12</v>
      </c>
      <c r="AM159" s="175">
        <v>18</v>
      </c>
      <c r="AN159" s="175">
        <v>0</v>
      </c>
      <c r="AO159" s="175">
        <v>35</v>
      </c>
      <c r="AP159" s="175">
        <v>25</v>
      </c>
      <c r="AQ159" s="175">
        <v>16</v>
      </c>
      <c r="AR159" s="175">
        <v>6</v>
      </c>
      <c r="AS159" s="175">
        <v>5</v>
      </c>
      <c r="AT159" s="175">
        <v>0</v>
      </c>
    </row>
    <row r="160" spans="1:46">
      <c r="A160">
        <v>5154</v>
      </c>
      <c r="B160" t="s">
        <v>1487</v>
      </c>
      <c r="C160" t="s">
        <v>1488</v>
      </c>
      <c r="D160" t="s">
        <v>1378</v>
      </c>
      <c r="E160" t="s">
        <v>1489</v>
      </c>
      <c r="F160" t="s">
        <v>1380</v>
      </c>
      <c r="G160" t="s">
        <v>1381</v>
      </c>
      <c r="H160" t="s">
        <v>452</v>
      </c>
      <c r="J160" t="s">
        <v>605</v>
      </c>
      <c r="K160" t="s">
        <v>606</v>
      </c>
      <c r="M160" t="s">
        <v>1382</v>
      </c>
      <c r="N160" t="s">
        <v>657</v>
      </c>
      <c r="O160" t="s">
        <v>1383</v>
      </c>
      <c r="P160" t="s">
        <v>739</v>
      </c>
      <c r="Q160" t="s">
        <v>510</v>
      </c>
      <c r="R160" t="s">
        <v>1384</v>
      </c>
      <c r="S160" t="s">
        <v>1396</v>
      </c>
      <c r="T160" t="s">
        <v>1320</v>
      </c>
      <c r="U160">
        <v>180000</v>
      </c>
      <c r="V160" t="s">
        <v>1490</v>
      </c>
      <c r="W160" t="s">
        <v>1398</v>
      </c>
      <c r="X160" t="s">
        <v>1388</v>
      </c>
      <c r="Y160" t="s">
        <v>1389</v>
      </c>
      <c r="AA160" t="s">
        <v>1390</v>
      </c>
      <c r="AB160" t="s">
        <v>1391</v>
      </c>
      <c r="AE160">
        <v>-37.792503779999997</v>
      </c>
      <c r="AF160">
        <v>175.30075210999999</v>
      </c>
      <c r="AG160" s="175">
        <v>40</v>
      </c>
      <c r="AH160" s="175">
        <v>0</v>
      </c>
      <c r="AI160" s="175">
        <v>0</v>
      </c>
      <c r="AJ160" s="175">
        <v>0</v>
      </c>
      <c r="AK160" s="175">
        <v>4</v>
      </c>
      <c r="AL160" s="175">
        <v>17</v>
      </c>
      <c r="AM160" s="175">
        <v>23</v>
      </c>
      <c r="AN160" s="175">
        <v>2</v>
      </c>
      <c r="AO160" s="175">
        <v>46</v>
      </c>
      <c r="AP160" s="175">
        <v>22</v>
      </c>
      <c r="AQ160" s="175">
        <v>14</v>
      </c>
      <c r="AR160" s="175">
        <v>4</v>
      </c>
      <c r="AS160" s="175">
        <v>16</v>
      </c>
      <c r="AT160" s="175">
        <v>3</v>
      </c>
    </row>
    <row r="161" spans="1:46">
      <c r="A161">
        <v>5155</v>
      </c>
      <c r="B161" t="s">
        <v>1491</v>
      </c>
      <c r="C161" t="s">
        <v>1492</v>
      </c>
      <c r="D161" t="s">
        <v>1493</v>
      </c>
      <c r="E161" t="s">
        <v>1494</v>
      </c>
      <c r="F161" t="s">
        <v>1495</v>
      </c>
      <c r="G161" t="s">
        <v>1381</v>
      </c>
      <c r="H161" t="s">
        <v>452</v>
      </c>
      <c r="J161" t="s">
        <v>605</v>
      </c>
      <c r="K161" t="s">
        <v>606</v>
      </c>
      <c r="M161" t="s">
        <v>1382</v>
      </c>
      <c r="N161" t="s">
        <v>657</v>
      </c>
      <c r="O161" t="s">
        <v>1383</v>
      </c>
      <c r="P161" t="s">
        <v>739</v>
      </c>
      <c r="Q161" t="s">
        <v>510</v>
      </c>
      <c r="R161" t="s">
        <v>1384</v>
      </c>
      <c r="S161" t="s">
        <v>1385</v>
      </c>
      <c r="T161" t="s">
        <v>1320</v>
      </c>
      <c r="U161">
        <v>176000</v>
      </c>
      <c r="V161" t="s">
        <v>1496</v>
      </c>
      <c r="W161" t="s">
        <v>1387</v>
      </c>
      <c r="X161" t="s">
        <v>1388</v>
      </c>
      <c r="Y161" t="s">
        <v>1389</v>
      </c>
      <c r="AA161" t="s">
        <v>1390</v>
      </c>
      <c r="AB161" t="s">
        <v>1391</v>
      </c>
      <c r="AE161">
        <v>-37.745547010000003</v>
      </c>
      <c r="AF161">
        <v>175.24190225999999</v>
      </c>
      <c r="AG161" s="175">
        <v>40</v>
      </c>
      <c r="AH161" s="175">
        <v>0</v>
      </c>
      <c r="AI161" s="175">
        <v>0</v>
      </c>
      <c r="AJ161" s="175">
        <v>0</v>
      </c>
      <c r="AK161" s="175">
        <v>5</v>
      </c>
      <c r="AL161" s="175">
        <v>20</v>
      </c>
      <c r="AM161" s="175">
        <v>24</v>
      </c>
      <c r="AN161" s="175">
        <v>1</v>
      </c>
      <c r="AO161" s="175">
        <v>50</v>
      </c>
      <c r="AP161" s="175">
        <v>35</v>
      </c>
      <c r="AQ161" s="175">
        <v>16</v>
      </c>
      <c r="AR161" s="175">
        <v>4</v>
      </c>
      <c r="AS161" s="175">
        <v>8</v>
      </c>
      <c r="AT161" s="175">
        <v>2</v>
      </c>
    </row>
    <row r="162" spans="1:46">
      <c r="A162">
        <v>5156</v>
      </c>
      <c r="B162" t="s">
        <v>1497</v>
      </c>
      <c r="C162" t="s">
        <v>1498</v>
      </c>
      <c r="E162" t="s">
        <v>1499</v>
      </c>
      <c r="G162" t="s">
        <v>1500</v>
      </c>
      <c r="H162" t="s">
        <v>452</v>
      </c>
      <c r="J162" t="s">
        <v>605</v>
      </c>
      <c r="K162" t="s">
        <v>606</v>
      </c>
      <c r="M162" t="s">
        <v>1382</v>
      </c>
      <c r="N162" t="s">
        <v>657</v>
      </c>
      <c r="O162" t="s">
        <v>1435</v>
      </c>
      <c r="P162" t="s">
        <v>610</v>
      </c>
      <c r="Q162" t="s">
        <v>510</v>
      </c>
      <c r="R162" t="s">
        <v>1384</v>
      </c>
      <c r="S162" t="s">
        <v>1501</v>
      </c>
      <c r="T162" t="s">
        <v>1320</v>
      </c>
      <c r="U162">
        <v>171601</v>
      </c>
      <c r="V162" t="s">
        <v>1500</v>
      </c>
      <c r="W162" t="s">
        <v>1502</v>
      </c>
      <c r="X162" t="s">
        <v>1388</v>
      </c>
      <c r="Y162" t="s">
        <v>1389</v>
      </c>
      <c r="AA162" t="s">
        <v>1390</v>
      </c>
      <c r="AB162" t="s">
        <v>1391</v>
      </c>
      <c r="AE162">
        <v>-37.802866620000003</v>
      </c>
      <c r="AF162">
        <v>174.86977503</v>
      </c>
      <c r="AG162" s="175">
        <v>60</v>
      </c>
      <c r="AH162" s="175">
        <v>0</v>
      </c>
      <c r="AI162" s="175">
        <v>0</v>
      </c>
      <c r="AJ162" s="175">
        <v>0</v>
      </c>
      <c r="AK162" s="175">
        <v>1</v>
      </c>
      <c r="AL162" s="175">
        <v>15</v>
      </c>
      <c r="AM162" s="175">
        <v>31</v>
      </c>
      <c r="AN162" s="175">
        <v>4</v>
      </c>
      <c r="AO162" s="175">
        <v>51</v>
      </c>
      <c r="AP162" s="175">
        <v>42</v>
      </c>
      <c r="AQ162" s="175">
        <v>20</v>
      </c>
      <c r="AR162" s="175">
        <v>2</v>
      </c>
      <c r="AS162" s="175">
        <v>5</v>
      </c>
      <c r="AT162" s="175">
        <v>1</v>
      </c>
    </row>
    <row r="163" spans="1:46">
      <c r="A163">
        <v>5157</v>
      </c>
      <c r="B163" t="s">
        <v>1503</v>
      </c>
      <c r="C163" t="s">
        <v>1504</v>
      </c>
      <c r="D163" t="s">
        <v>1378</v>
      </c>
      <c r="E163" t="s">
        <v>1505</v>
      </c>
      <c r="F163" t="s">
        <v>1506</v>
      </c>
      <c r="G163" t="s">
        <v>1381</v>
      </c>
      <c r="H163" t="s">
        <v>452</v>
      </c>
      <c r="J163" t="s">
        <v>605</v>
      </c>
      <c r="K163" t="s">
        <v>606</v>
      </c>
      <c r="M163" t="s">
        <v>1382</v>
      </c>
      <c r="N163" t="s">
        <v>657</v>
      </c>
      <c r="O163" t="s">
        <v>1383</v>
      </c>
      <c r="P163" t="s">
        <v>739</v>
      </c>
      <c r="Q163" t="s">
        <v>510</v>
      </c>
      <c r="R163" t="s">
        <v>1384</v>
      </c>
      <c r="S163" t="s">
        <v>1385</v>
      </c>
      <c r="T163" t="s">
        <v>1320</v>
      </c>
      <c r="U163">
        <v>176500</v>
      </c>
      <c r="V163" t="s">
        <v>1507</v>
      </c>
      <c r="W163" t="s">
        <v>1387</v>
      </c>
      <c r="X163" t="s">
        <v>1388</v>
      </c>
      <c r="Y163" t="s">
        <v>1389</v>
      </c>
      <c r="AA163" t="s">
        <v>1390</v>
      </c>
      <c r="AB163" t="s">
        <v>1391</v>
      </c>
      <c r="AE163">
        <v>-37.753186059999997</v>
      </c>
      <c r="AF163">
        <v>175.25521832999999</v>
      </c>
      <c r="AG163" s="175">
        <v>40</v>
      </c>
      <c r="AH163" s="175">
        <v>0</v>
      </c>
      <c r="AI163" s="175">
        <v>0</v>
      </c>
      <c r="AJ163" s="175">
        <v>0</v>
      </c>
      <c r="AK163" s="175">
        <v>10</v>
      </c>
      <c r="AL163" s="175">
        <v>21</v>
      </c>
      <c r="AM163" s="175">
        <v>14</v>
      </c>
      <c r="AN163" s="175">
        <v>0</v>
      </c>
      <c r="AO163" s="175">
        <v>45</v>
      </c>
      <c r="AP163" s="175">
        <v>31</v>
      </c>
      <c r="AQ163" s="175">
        <v>15</v>
      </c>
      <c r="AR163" s="175">
        <v>1</v>
      </c>
      <c r="AS163" s="175">
        <v>4</v>
      </c>
      <c r="AT163" s="175">
        <v>3</v>
      </c>
    </row>
    <row r="164" spans="1:46">
      <c r="A164">
        <v>5158</v>
      </c>
      <c r="B164" t="s">
        <v>1508</v>
      </c>
      <c r="C164" t="s">
        <v>1509</v>
      </c>
      <c r="D164" t="s">
        <v>1378</v>
      </c>
      <c r="E164" t="s">
        <v>1510</v>
      </c>
      <c r="F164" t="s">
        <v>1511</v>
      </c>
      <c r="G164" t="s">
        <v>1381</v>
      </c>
      <c r="H164" t="s">
        <v>452</v>
      </c>
      <c r="J164" t="s">
        <v>605</v>
      </c>
      <c r="K164" t="s">
        <v>606</v>
      </c>
      <c r="M164" t="s">
        <v>1382</v>
      </c>
      <c r="N164" t="s">
        <v>657</v>
      </c>
      <c r="O164" t="s">
        <v>1383</v>
      </c>
      <c r="P164" t="s">
        <v>739</v>
      </c>
      <c r="Q164" t="s">
        <v>510</v>
      </c>
      <c r="R164" t="s">
        <v>1384</v>
      </c>
      <c r="S164" t="s">
        <v>1385</v>
      </c>
      <c r="T164" t="s">
        <v>1320</v>
      </c>
      <c r="U164">
        <v>180900</v>
      </c>
      <c r="V164" t="s">
        <v>1511</v>
      </c>
      <c r="W164" t="s">
        <v>1387</v>
      </c>
      <c r="X164" t="s">
        <v>1388</v>
      </c>
      <c r="Y164" t="s">
        <v>1389</v>
      </c>
      <c r="AA164" t="s">
        <v>1390</v>
      </c>
      <c r="AB164" t="s">
        <v>1391</v>
      </c>
      <c r="AC164">
        <v>99105</v>
      </c>
      <c r="AD164" t="s">
        <v>1415</v>
      </c>
      <c r="AE164">
        <v>-37.820552790000001</v>
      </c>
      <c r="AF164">
        <v>175.29303302</v>
      </c>
      <c r="AG164" s="175">
        <v>45</v>
      </c>
      <c r="AH164" s="175">
        <v>0</v>
      </c>
      <c r="AI164" s="175">
        <v>0</v>
      </c>
      <c r="AJ164" s="175">
        <v>0</v>
      </c>
      <c r="AK164" s="175">
        <v>10</v>
      </c>
      <c r="AL164" s="175">
        <v>12</v>
      </c>
      <c r="AM164" s="175">
        <v>18</v>
      </c>
      <c r="AN164" s="175">
        <v>2</v>
      </c>
      <c r="AO164" s="175">
        <v>42</v>
      </c>
      <c r="AP164" s="175">
        <v>32</v>
      </c>
      <c r="AQ164" s="175">
        <v>12</v>
      </c>
      <c r="AR164" s="175">
        <v>3</v>
      </c>
      <c r="AS164" s="175">
        <v>9</v>
      </c>
      <c r="AT164" s="175">
        <v>2</v>
      </c>
    </row>
    <row r="165" spans="1:46">
      <c r="A165">
        <v>5159</v>
      </c>
      <c r="B165" t="s">
        <v>1512</v>
      </c>
      <c r="C165" t="s">
        <v>1513</v>
      </c>
      <c r="D165" t="s">
        <v>1378</v>
      </c>
      <c r="E165" t="s">
        <v>1514</v>
      </c>
      <c r="F165" t="s">
        <v>1515</v>
      </c>
      <c r="G165" t="s">
        <v>1381</v>
      </c>
      <c r="H165" t="s">
        <v>452</v>
      </c>
      <c r="J165" t="s">
        <v>605</v>
      </c>
      <c r="K165" t="s">
        <v>606</v>
      </c>
      <c r="M165" t="s">
        <v>1382</v>
      </c>
      <c r="N165" t="s">
        <v>625</v>
      </c>
      <c r="O165" t="s">
        <v>1383</v>
      </c>
      <c r="P165" t="s">
        <v>739</v>
      </c>
      <c r="Q165" t="s">
        <v>510</v>
      </c>
      <c r="R165" t="s">
        <v>1384</v>
      </c>
      <c r="S165" t="s">
        <v>1385</v>
      </c>
      <c r="T165" t="s">
        <v>1320</v>
      </c>
      <c r="U165">
        <v>178301</v>
      </c>
      <c r="V165" t="s">
        <v>1515</v>
      </c>
      <c r="W165" t="s">
        <v>1387</v>
      </c>
      <c r="X165" t="s">
        <v>1388</v>
      </c>
      <c r="Y165" t="s">
        <v>1389</v>
      </c>
      <c r="AA165" t="s">
        <v>1390</v>
      </c>
      <c r="AB165" t="s">
        <v>1391</v>
      </c>
      <c r="AE165">
        <v>-37.779083780000001</v>
      </c>
      <c r="AF165">
        <v>175.26968334</v>
      </c>
      <c r="AG165" s="175">
        <v>45</v>
      </c>
      <c r="AH165" s="175">
        <v>0</v>
      </c>
      <c r="AI165" s="175">
        <v>0</v>
      </c>
      <c r="AJ165" s="175">
        <v>0</v>
      </c>
      <c r="AK165" s="175">
        <v>6</v>
      </c>
      <c r="AL165" s="175">
        <v>13</v>
      </c>
      <c r="AM165" s="175">
        <v>17</v>
      </c>
      <c r="AN165" s="175">
        <v>1</v>
      </c>
      <c r="AO165" s="175">
        <v>37</v>
      </c>
      <c r="AP165" s="175">
        <v>6</v>
      </c>
      <c r="AQ165" s="175">
        <v>15</v>
      </c>
      <c r="AR165" s="175">
        <v>3</v>
      </c>
      <c r="AS165" s="175">
        <v>19</v>
      </c>
      <c r="AT165" s="175">
        <v>2</v>
      </c>
    </row>
    <row r="166" spans="1:46">
      <c r="A166">
        <v>5160</v>
      </c>
      <c r="B166" t="s">
        <v>1516</v>
      </c>
      <c r="C166" t="s">
        <v>1517</v>
      </c>
      <c r="D166" t="s">
        <v>1518</v>
      </c>
      <c r="E166" t="s">
        <v>1519</v>
      </c>
      <c r="G166" t="s">
        <v>1520</v>
      </c>
      <c r="H166" t="s">
        <v>452</v>
      </c>
      <c r="J166" t="s">
        <v>605</v>
      </c>
      <c r="K166" t="s">
        <v>606</v>
      </c>
      <c r="M166" t="s">
        <v>1382</v>
      </c>
      <c r="N166" t="s">
        <v>625</v>
      </c>
      <c r="O166" t="s">
        <v>1521</v>
      </c>
      <c r="P166" t="s">
        <v>610</v>
      </c>
      <c r="Q166" t="s">
        <v>510</v>
      </c>
      <c r="R166" t="s">
        <v>1384</v>
      </c>
      <c r="S166" t="s">
        <v>1522</v>
      </c>
      <c r="T166" t="s">
        <v>1320</v>
      </c>
      <c r="U166">
        <v>169200</v>
      </c>
      <c r="V166" t="s">
        <v>1520</v>
      </c>
      <c r="W166" t="s">
        <v>1523</v>
      </c>
      <c r="X166" t="s">
        <v>1524</v>
      </c>
      <c r="Y166" t="s">
        <v>1525</v>
      </c>
      <c r="AA166" t="s">
        <v>1526</v>
      </c>
      <c r="AB166" t="s">
        <v>1527</v>
      </c>
      <c r="AC166">
        <v>99070</v>
      </c>
      <c r="AD166" t="s">
        <v>1528</v>
      </c>
      <c r="AE166">
        <v>-37.380561270000001</v>
      </c>
      <c r="AF166">
        <v>175.67400359999999</v>
      </c>
      <c r="AG166" s="175">
        <v>40</v>
      </c>
      <c r="AH166" s="175">
        <v>0</v>
      </c>
      <c r="AI166" s="175">
        <v>0</v>
      </c>
      <c r="AJ166" s="175">
        <v>0</v>
      </c>
      <c r="AK166" s="175">
        <v>3</v>
      </c>
      <c r="AL166" s="175">
        <v>11</v>
      </c>
      <c r="AM166" s="175">
        <v>17</v>
      </c>
      <c r="AN166" s="175">
        <v>0</v>
      </c>
      <c r="AO166" s="175">
        <v>31</v>
      </c>
      <c r="AP166" s="175">
        <v>23</v>
      </c>
      <c r="AQ166" s="175">
        <v>17</v>
      </c>
      <c r="AR166" s="175">
        <v>2</v>
      </c>
      <c r="AS166" s="175">
        <v>1</v>
      </c>
      <c r="AT166" s="175">
        <v>0</v>
      </c>
    </row>
    <row r="167" spans="1:46">
      <c r="A167">
        <v>5161</v>
      </c>
      <c r="B167" t="s">
        <v>1529</v>
      </c>
      <c r="C167" t="s">
        <v>1530</v>
      </c>
      <c r="D167" t="s">
        <v>1531</v>
      </c>
      <c r="E167" t="s">
        <v>1532</v>
      </c>
      <c r="G167" t="s">
        <v>1533</v>
      </c>
      <c r="H167" t="s">
        <v>452</v>
      </c>
      <c r="J167" t="s">
        <v>605</v>
      </c>
      <c r="K167" t="s">
        <v>606</v>
      </c>
      <c r="M167" t="s">
        <v>1382</v>
      </c>
      <c r="N167" t="s">
        <v>643</v>
      </c>
      <c r="O167" t="s">
        <v>1534</v>
      </c>
      <c r="P167" t="s">
        <v>610</v>
      </c>
      <c r="Q167" t="s">
        <v>510</v>
      </c>
      <c r="R167" t="s">
        <v>1384</v>
      </c>
      <c r="S167" t="s">
        <v>1384</v>
      </c>
      <c r="T167" t="s">
        <v>1320</v>
      </c>
      <c r="U167">
        <v>174100</v>
      </c>
      <c r="V167" t="s">
        <v>1535</v>
      </c>
      <c r="W167" t="s">
        <v>1536</v>
      </c>
      <c r="X167" t="s">
        <v>1537</v>
      </c>
      <c r="Y167" t="s">
        <v>1532</v>
      </c>
      <c r="Z167" t="s">
        <v>1533</v>
      </c>
      <c r="AA167" t="s">
        <v>1538</v>
      </c>
      <c r="AB167" t="s">
        <v>1539</v>
      </c>
      <c r="AC167">
        <v>99202</v>
      </c>
      <c r="AD167" t="s">
        <v>1540</v>
      </c>
      <c r="AE167">
        <v>-37.541508970000002</v>
      </c>
      <c r="AF167">
        <v>175.71278554</v>
      </c>
      <c r="AG167" s="175">
        <v>50</v>
      </c>
      <c r="AH167" s="175">
        <v>0</v>
      </c>
      <c r="AI167" s="175">
        <v>0</v>
      </c>
      <c r="AJ167" s="175">
        <v>0</v>
      </c>
      <c r="AK167" s="175">
        <v>9</v>
      </c>
      <c r="AL167" s="175">
        <v>20</v>
      </c>
      <c r="AM167" s="175">
        <v>27</v>
      </c>
      <c r="AN167" s="175">
        <v>4</v>
      </c>
      <c r="AO167" s="175">
        <v>60</v>
      </c>
      <c r="AP167" s="175">
        <v>43</v>
      </c>
      <c r="AQ167" s="175">
        <v>18</v>
      </c>
      <c r="AR167" s="175">
        <v>4</v>
      </c>
      <c r="AS167" s="175">
        <v>6</v>
      </c>
      <c r="AT167" s="175">
        <v>1</v>
      </c>
    </row>
    <row r="168" spans="1:46">
      <c r="A168">
        <v>5162</v>
      </c>
      <c r="B168" t="s">
        <v>1541</v>
      </c>
      <c r="C168" t="s">
        <v>1517</v>
      </c>
      <c r="D168" t="s">
        <v>1542</v>
      </c>
      <c r="E168" t="s">
        <v>1543</v>
      </c>
      <c r="G168" t="s">
        <v>1544</v>
      </c>
      <c r="H168" t="s">
        <v>452</v>
      </c>
      <c r="J168" t="s">
        <v>605</v>
      </c>
      <c r="K168" t="s">
        <v>606</v>
      </c>
      <c r="M168" t="s">
        <v>1382</v>
      </c>
      <c r="N168" t="s">
        <v>608</v>
      </c>
      <c r="O168" t="s">
        <v>1545</v>
      </c>
      <c r="P168" t="s">
        <v>610</v>
      </c>
      <c r="Q168" t="s">
        <v>510</v>
      </c>
      <c r="R168" t="s">
        <v>1384</v>
      </c>
      <c r="S168" t="s">
        <v>1522</v>
      </c>
      <c r="T168" t="s">
        <v>1320</v>
      </c>
      <c r="U168">
        <v>167700</v>
      </c>
      <c r="V168" t="s">
        <v>1546</v>
      </c>
      <c r="W168" t="s">
        <v>1547</v>
      </c>
      <c r="X168" t="s">
        <v>1524</v>
      </c>
      <c r="Y168" t="s">
        <v>1525</v>
      </c>
      <c r="AA168" t="s">
        <v>1526</v>
      </c>
      <c r="AB168" t="s">
        <v>1527</v>
      </c>
      <c r="AC168">
        <v>99087</v>
      </c>
      <c r="AD168" t="s">
        <v>1548</v>
      </c>
      <c r="AE168">
        <v>-37.144665379999999</v>
      </c>
      <c r="AF168">
        <v>175.54774447</v>
      </c>
      <c r="AG168" s="175">
        <v>40</v>
      </c>
      <c r="AH168" s="175">
        <v>0</v>
      </c>
      <c r="AI168" s="175">
        <v>0</v>
      </c>
      <c r="AJ168" s="175">
        <v>0</v>
      </c>
      <c r="AK168" s="175">
        <v>5</v>
      </c>
      <c r="AL168" s="175">
        <v>11</v>
      </c>
      <c r="AM168" s="175">
        <v>17</v>
      </c>
      <c r="AN168" s="175">
        <v>3</v>
      </c>
      <c r="AO168" s="175">
        <v>36</v>
      </c>
      <c r="AP168" s="175">
        <v>17</v>
      </c>
      <c r="AQ168" s="175">
        <v>16</v>
      </c>
      <c r="AR168" s="175">
        <v>4</v>
      </c>
      <c r="AS168" s="175">
        <v>12</v>
      </c>
      <c r="AT168" s="175">
        <v>2</v>
      </c>
    </row>
    <row r="169" spans="1:46">
      <c r="A169">
        <v>5163</v>
      </c>
      <c r="B169" t="s">
        <v>1549</v>
      </c>
      <c r="C169" t="s">
        <v>1550</v>
      </c>
      <c r="D169" t="s">
        <v>1551</v>
      </c>
      <c r="E169" t="s">
        <v>1552</v>
      </c>
      <c r="G169" t="s">
        <v>1553</v>
      </c>
      <c r="H169" t="s">
        <v>452</v>
      </c>
      <c r="J169" t="s">
        <v>605</v>
      </c>
      <c r="K169" t="s">
        <v>606</v>
      </c>
      <c r="M169" t="s">
        <v>1382</v>
      </c>
      <c r="N169" t="s">
        <v>657</v>
      </c>
      <c r="O169" t="s">
        <v>1554</v>
      </c>
      <c r="P169" t="s">
        <v>1347</v>
      </c>
      <c r="Q169" t="s">
        <v>511</v>
      </c>
      <c r="R169" t="s">
        <v>1555</v>
      </c>
      <c r="S169" t="s">
        <v>1556</v>
      </c>
      <c r="T169" t="s">
        <v>1557</v>
      </c>
      <c r="U169">
        <v>202700</v>
      </c>
      <c r="V169" t="s">
        <v>1558</v>
      </c>
      <c r="W169" t="s">
        <v>1559</v>
      </c>
      <c r="X169" t="s">
        <v>1560</v>
      </c>
      <c r="Y169" t="s">
        <v>1525</v>
      </c>
      <c r="AA169" t="s">
        <v>1526</v>
      </c>
      <c r="AB169" t="s">
        <v>1561</v>
      </c>
      <c r="AC169">
        <v>99016</v>
      </c>
      <c r="AD169" t="s">
        <v>1562</v>
      </c>
      <c r="AE169">
        <v>-37.956750790000001</v>
      </c>
      <c r="AF169">
        <v>176.98742726</v>
      </c>
      <c r="AG169" s="175">
        <v>40</v>
      </c>
      <c r="AH169" s="175">
        <v>0</v>
      </c>
      <c r="AI169" s="175">
        <v>0</v>
      </c>
      <c r="AJ169" s="175">
        <v>0</v>
      </c>
      <c r="AK169" s="175">
        <v>6</v>
      </c>
      <c r="AL169" s="175">
        <v>19</v>
      </c>
      <c r="AM169" s="175">
        <v>22</v>
      </c>
      <c r="AN169" s="175">
        <v>5</v>
      </c>
      <c r="AO169" s="175">
        <v>52</v>
      </c>
      <c r="AP169" s="175">
        <v>45</v>
      </c>
      <c r="AQ169" s="175">
        <v>23</v>
      </c>
      <c r="AR169" s="175">
        <v>1</v>
      </c>
      <c r="AS169" s="175">
        <v>4</v>
      </c>
      <c r="AT169" s="175">
        <v>3</v>
      </c>
    </row>
    <row r="170" spans="1:46">
      <c r="A170">
        <v>5164</v>
      </c>
      <c r="B170" t="s">
        <v>1563</v>
      </c>
      <c r="C170" t="s">
        <v>1517</v>
      </c>
      <c r="D170" t="s">
        <v>1564</v>
      </c>
      <c r="E170" t="s">
        <v>1565</v>
      </c>
      <c r="G170" t="s">
        <v>1566</v>
      </c>
      <c r="H170" t="s">
        <v>452</v>
      </c>
      <c r="J170" t="s">
        <v>605</v>
      </c>
      <c r="K170" t="s">
        <v>606</v>
      </c>
      <c r="M170" t="s">
        <v>1382</v>
      </c>
      <c r="N170" t="s">
        <v>643</v>
      </c>
      <c r="O170" t="s">
        <v>1567</v>
      </c>
      <c r="P170" t="s">
        <v>1347</v>
      </c>
      <c r="Q170" t="s">
        <v>510</v>
      </c>
      <c r="R170" t="s">
        <v>1384</v>
      </c>
      <c r="S170" t="s">
        <v>1404</v>
      </c>
      <c r="T170" t="s">
        <v>1568</v>
      </c>
      <c r="U170">
        <v>186800</v>
      </c>
      <c r="V170" t="s">
        <v>1569</v>
      </c>
      <c r="W170" t="s">
        <v>1570</v>
      </c>
      <c r="X170" t="s">
        <v>1571</v>
      </c>
      <c r="Y170" t="s">
        <v>1525</v>
      </c>
      <c r="AA170" t="s">
        <v>1526</v>
      </c>
      <c r="AB170" t="s">
        <v>1572</v>
      </c>
      <c r="AC170">
        <v>99195</v>
      </c>
      <c r="AD170" t="s">
        <v>1573</v>
      </c>
      <c r="AE170">
        <v>-38.241063529999998</v>
      </c>
      <c r="AF170">
        <v>175.86663293999999</v>
      </c>
      <c r="AG170" s="175">
        <v>40</v>
      </c>
      <c r="AH170" s="175">
        <v>0</v>
      </c>
      <c r="AI170" s="175">
        <v>0</v>
      </c>
      <c r="AJ170" s="175">
        <v>0</v>
      </c>
      <c r="AK170" s="175">
        <v>8</v>
      </c>
      <c r="AL170" s="175">
        <v>13</v>
      </c>
      <c r="AM170" s="175">
        <v>23</v>
      </c>
      <c r="AN170" s="175">
        <v>3</v>
      </c>
      <c r="AO170" s="175">
        <v>47</v>
      </c>
      <c r="AP170" s="175">
        <v>32</v>
      </c>
      <c r="AQ170" s="175">
        <v>33</v>
      </c>
      <c r="AR170" s="175">
        <v>10</v>
      </c>
      <c r="AS170" s="175">
        <v>0</v>
      </c>
      <c r="AT170" s="175">
        <v>0</v>
      </c>
    </row>
    <row r="171" spans="1:46">
      <c r="A171">
        <v>5165</v>
      </c>
      <c r="B171" t="s">
        <v>1574</v>
      </c>
      <c r="C171" t="s">
        <v>1517</v>
      </c>
      <c r="D171" t="s">
        <v>1575</v>
      </c>
      <c r="E171" t="s">
        <v>1576</v>
      </c>
      <c r="G171" t="s">
        <v>1566</v>
      </c>
      <c r="H171" t="s">
        <v>452</v>
      </c>
      <c r="J171" t="s">
        <v>605</v>
      </c>
      <c r="K171" t="s">
        <v>606</v>
      </c>
      <c r="M171" t="s">
        <v>1382</v>
      </c>
      <c r="N171" t="s">
        <v>625</v>
      </c>
      <c r="O171" t="s">
        <v>1567</v>
      </c>
      <c r="P171" t="s">
        <v>1347</v>
      </c>
      <c r="Q171" t="s">
        <v>510</v>
      </c>
      <c r="R171" t="s">
        <v>1384</v>
      </c>
      <c r="S171" t="s">
        <v>1404</v>
      </c>
      <c r="T171" t="s">
        <v>1568</v>
      </c>
      <c r="U171">
        <v>186800</v>
      </c>
      <c r="V171" t="s">
        <v>1569</v>
      </c>
      <c r="W171" t="s">
        <v>1570</v>
      </c>
      <c r="X171" t="s">
        <v>1571</v>
      </c>
      <c r="Y171" t="s">
        <v>1525</v>
      </c>
      <c r="AA171" t="s">
        <v>1526</v>
      </c>
      <c r="AB171" t="s">
        <v>1572</v>
      </c>
      <c r="AC171">
        <v>99195</v>
      </c>
      <c r="AD171" t="s">
        <v>1573</v>
      </c>
      <c r="AE171">
        <v>-38.23732622</v>
      </c>
      <c r="AF171">
        <v>175.85890058999999</v>
      </c>
      <c r="AG171" s="175">
        <v>40</v>
      </c>
      <c r="AH171" s="175">
        <v>0</v>
      </c>
      <c r="AI171" s="175">
        <v>0</v>
      </c>
      <c r="AJ171" s="175">
        <v>0</v>
      </c>
      <c r="AK171" s="175">
        <v>6</v>
      </c>
      <c r="AL171" s="175">
        <v>20</v>
      </c>
      <c r="AM171" s="175">
        <v>16</v>
      </c>
      <c r="AN171" s="175">
        <v>2</v>
      </c>
      <c r="AO171" s="175">
        <v>44</v>
      </c>
      <c r="AP171" s="175">
        <v>27</v>
      </c>
      <c r="AQ171" s="175">
        <v>32</v>
      </c>
      <c r="AR171" s="175">
        <v>7</v>
      </c>
      <c r="AS171" s="175">
        <v>4</v>
      </c>
      <c r="AT171" s="175">
        <v>0</v>
      </c>
    </row>
    <row r="172" spans="1:46">
      <c r="A172">
        <v>5166</v>
      </c>
      <c r="B172" t="s">
        <v>1577</v>
      </c>
      <c r="C172" t="s">
        <v>1517</v>
      </c>
      <c r="D172" t="s">
        <v>1578</v>
      </c>
      <c r="E172" t="s">
        <v>1579</v>
      </c>
      <c r="G172" t="s">
        <v>1580</v>
      </c>
      <c r="H172" t="s">
        <v>452</v>
      </c>
      <c r="J172" t="s">
        <v>605</v>
      </c>
      <c r="K172" t="s">
        <v>606</v>
      </c>
      <c r="M172" t="s">
        <v>1382</v>
      </c>
      <c r="N172" t="s">
        <v>625</v>
      </c>
      <c r="O172" t="s">
        <v>1567</v>
      </c>
      <c r="P172" t="s">
        <v>610</v>
      </c>
      <c r="Q172" t="s">
        <v>510</v>
      </c>
      <c r="R172" t="s">
        <v>1384</v>
      </c>
      <c r="S172" t="s">
        <v>1404</v>
      </c>
      <c r="T172" t="s">
        <v>1568</v>
      </c>
      <c r="U172">
        <v>186000</v>
      </c>
      <c r="V172" t="s">
        <v>1581</v>
      </c>
      <c r="W172" t="s">
        <v>1582</v>
      </c>
      <c r="X172" t="s">
        <v>1571</v>
      </c>
      <c r="Y172" t="s">
        <v>1525</v>
      </c>
      <c r="AA172" t="s">
        <v>1526</v>
      </c>
      <c r="AB172" t="s">
        <v>1572</v>
      </c>
      <c r="AC172">
        <v>99076</v>
      </c>
      <c r="AD172" t="s">
        <v>1583</v>
      </c>
      <c r="AE172">
        <v>-38.043594919999997</v>
      </c>
      <c r="AF172">
        <v>175.77774461000001</v>
      </c>
      <c r="AG172" s="175">
        <v>40</v>
      </c>
      <c r="AH172" s="175">
        <v>0</v>
      </c>
      <c r="AI172" s="175">
        <v>0</v>
      </c>
      <c r="AJ172" s="175">
        <v>0</v>
      </c>
      <c r="AK172" s="175">
        <v>6</v>
      </c>
      <c r="AL172" s="175">
        <v>12</v>
      </c>
      <c r="AM172" s="175">
        <v>15</v>
      </c>
      <c r="AN172" s="175">
        <v>1</v>
      </c>
      <c r="AO172" s="175">
        <v>34</v>
      </c>
      <c r="AP172" s="175">
        <v>21</v>
      </c>
      <c r="AQ172" s="175">
        <v>18</v>
      </c>
      <c r="AR172" s="175">
        <v>1</v>
      </c>
      <c r="AS172" s="175">
        <v>3</v>
      </c>
      <c r="AT172" s="175">
        <v>0</v>
      </c>
    </row>
    <row r="173" spans="1:46">
      <c r="A173">
        <v>5167</v>
      </c>
      <c r="B173" t="s">
        <v>1584</v>
      </c>
      <c r="C173" t="s">
        <v>1517</v>
      </c>
      <c r="D173" t="s">
        <v>1585</v>
      </c>
      <c r="E173" t="s">
        <v>1586</v>
      </c>
      <c r="G173" t="s">
        <v>1566</v>
      </c>
      <c r="H173" t="s">
        <v>452</v>
      </c>
      <c r="J173" t="s">
        <v>605</v>
      </c>
      <c r="K173" t="s">
        <v>606</v>
      </c>
      <c r="M173" t="s">
        <v>1382</v>
      </c>
      <c r="N173" t="s">
        <v>812</v>
      </c>
      <c r="O173" t="s">
        <v>1567</v>
      </c>
      <c r="P173" t="s">
        <v>1347</v>
      </c>
      <c r="Q173" t="s">
        <v>510</v>
      </c>
      <c r="R173" t="s">
        <v>1384</v>
      </c>
      <c r="S173" t="s">
        <v>1404</v>
      </c>
      <c r="T173" t="s">
        <v>1568</v>
      </c>
      <c r="U173">
        <v>186500</v>
      </c>
      <c r="V173" t="s">
        <v>1587</v>
      </c>
      <c r="W173" t="s">
        <v>1570</v>
      </c>
      <c r="X173" t="s">
        <v>1571</v>
      </c>
      <c r="Y173" t="s">
        <v>1525</v>
      </c>
      <c r="AA173" t="s">
        <v>1526</v>
      </c>
      <c r="AB173" t="s">
        <v>1572</v>
      </c>
      <c r="AC173">
        <v>99195</v>
      </c>
      <c r="AD173" t="s">
        <v>1573</v>
      </c>
      <c r="AE173">
        <v>-38.223926949999999</v>
      </c>
      <c r="AF173">
        <v>175.86561696999999</v>
      </c>
      <c r="AG173" s="175">
        <v>40</v>
      </c>
      <c r="AH173" s="175">
        <v>0</v>
      </c>
      <c r="AI173" s="175">
        <v>0</v>
      </c>
      <c r="AJ173" s="175">
        <v>0</v>
      </c>
      <c r="AK173" s="175">
        <v>8</v>
      </c>
      <c r="AL173" s="175">
        <v>15</v>
      </c>
      <c r="AM173" s="175">
        <v>17</v>
      </c>
      <c r="AN173" s="175">
        <v>3</v>
      </c>
      <c r="AO173" s="175">
        <v>43</v>
      </c>
      <c r="AP173" s="175">
        <v>20</v>
      </c>
      <c r="AQ173" s="175">
        <v>30</v>
      </c>
      <c r="AR173" s="175">
        <v>15</v>
      </c>
      <c r="AS173" s="175">
        <v>3</v>
      </c>
      <c r="AT173" s="175">
        <v>1</v>
      </c>
    </row>
    <row r="174" spans="1:46">
      <c r="A174">
        <v>5168</v>
      </c>
      <c r="B174" t="s">
        <v>1588</v>
      </c>
      <c r="C174" t="s">
        <v>1517</v>
      </c>
      <c r="D174" t="s">
        <v>1589</v>
      </c>
      <c r="E174" t="s">
        <v>1590</v>
      </c>
      <c r="G174" t="s">
        <v>1566</v>
      </c>
      <c r="H174" t="s">
        <v>452</v>
      </c>
      <c r="J174" t="s">
        <v>605</v>
      </c>
      <c r="K174" t="s">
        <v>606</v>
      </c>
      <c r="M174" t="s">
        <v>1382</v>
      </c>
      <c r="N174" t="s">
        <v>625</v>
      </c>
      <c r="O174" t="s">
        <v>1567</v>
      </c>
      <c r="P174" t="s">
        <v>1347</v>
      </c>
      <c r="Q174" t="s">
        <v>510</v>
      </c>
      <c r="R174" t="s">
        <v>1384</v>
      </c>
      <c r="S174" t="s">
        <v>1404</v>
      </c>
      <c r="T174" t="s">
        <v>1568</v>
      </c>
      <c r="U174">
        <v>186400</v>
      </c>
      <c r="V174" t="s">
        <v>1591</v>
      </c>
      <c r="W174" t="s">
        <v>1570</v>
      </c>
      <c r="X174" t="s">
        <v>1571</v>
      </c>
      <c r="Y174" t="s">
        <v>1525</v>
      </c>
      <c r="AA174" t="s">
        <v>1526</v>
      </c>
      <c r="AB174" t="s">
        <v>1572</v>
      </c>
      <c r="AE174">
        <v>-38.225097030000001</v>
      </c>
      <c r="AF174">
        <v>175.8523677</v>
      </c>
      <c r="AG174" s="175">
        <v>40</v>
      </c>
      <c r="AH174" s="175">
        <v>0</v>
      </c>
      <c r="AI174" s="175">
        <v>0</v>
      </c>
      <c r="AJ174" s="175">
        <v>0</v>
      </c>
      <c r="AK174" s="175">
        <v>10</v>
      </c>
      <c r="AL174" s="175">
        <v>15</v>
      </c>
      <c r="AM174" s="175">
        <v>16</v>
      </c>
      <c r="AN174" s="175">
        <v>2</v>
      </c>
      <c r="AO174" s="175">
        <v>43</v>
      </c>
      <c r="AP174" s="175">
        <v>30</v>
      </c>
      <c r="AQ174" s="175">
        <v>21</v>
      </c>
      <c r="AR174" s="175">
        <v>8</v>
      </c>
      <c r="AS174" s="175">
        <v>3</v>
      </c>
      <c r="AT174" s="175">
        <v>0</v>
      </c>
    </row>
    <row r="175" spans="1:46">
      <c r="A175">
        <v>5169</v>
      </c>
      <c r="B175" t="s">
        <v>1592</v>
      </c>
      <c r="C175" t="s">
        <v>1593</v>
      </c>
      <c r="D175" t="s">
        <v>1594</v>
      </c>
      <c r="E175" t="s">
        <v>1595</v>
      </c>
      <c r="G175" t="s">
        <v>1596</v>
      </c>
      <c r="H175" t="s">
        <v>452</v>
      </c>
      <c r="J175" t="s">
        <v>605</v>
      </c>
      <c r="K175" t="s">
        <v>606</v>
      </c>
      <c r="M175" t="s">
        <v>1382</v>
      </c>
      <c r="N175" t="s">
        <v>643</v>
      </c>
      <c r="O175" t="s">
        <v>1554</v>
      </c>
      <c r="P175" t="s">
        <v>610</v>
      </c>
      <c r="Q175" t="s">
        <v>511</v>
      </c>
      <c r="R175" t="s">
        <v>1555</v>
      </c>
      <c r="S175" t="s">
        <v>1556</v>
      </c>
      <c r="T175" t="s">
        <v>1557</v>
      </c>
      <c r="U175">
        <v>202200</v>
      </c>
      <c r="V175" t="s">
        <v>1596</v>
      </c>
      <c r="W175" t="s">
        <v>1597</v>
      </c>
      <c r="X175" t="s">
        <v>1560</v>
      </c>
      <c r="Y175" t="s">
        <v>1525</v>
      </c>
      <c r="AA175" t="s">
        <v>1526</v>
      </c>
      <c r="AB175" t="s">
        <v>1561</v>
      </c>
      <c r="AC175">
        <v>99038</v>
      </c>
      <c r="AD175" t="s">
        <v>1598</v>
      </c>
      <c r="AE175">
        <v>-37.978074309999997</v>
      </c>
      <c r="AF175">
        <v>176.82627891000001</v>
      </c>
      <c r="AG175" s="175">
        <v>40</v>
      </c>
      <c r="AH175" s="175">
        <v>0</v>
      </c>
      <c r="AI175" s="175">
        <v>0</v>
      </c>
      <c r="AJ175" s="175">
        <v>0</v>
      </c>
      <c r="AK175" s="175">
        <v>5</v>
      </c>
      <c r="AL175" s="175">
        <v>18</v>
      </c>
      <c r="AM175" s="175">
        <v>17</v>
      </c>
      <c r="AN175" s="175">
        <v>2</v>
      </c>
      <c r="AO175" s="175">
        <v>42</v>
      </c>
      <c r="AP175" s="175">
        <v>25</v>
      </c>
      <c r="AQ175" s="175">
        <v>21</v>
      </c>
      <c r="AR175" s="175">
        <v>1</v>
      </c>
      <c r="AS175" s="175">
        <v>4</v>
      </c>
      <c r="AT175" s="175">
        <v>4</v>
      </c>
    </row>
    <row r="176" spans="1:46">
      <c r="A176">
        <v>5172</v>
      </c>
      <c r="B176" t="s">
        <v>1599</v>
      </c>
      <c r="C176" t="s">
        <v>1600</v>
      </c>
      <c r="D176" t="s">
        <v>1601</v>
      </c>
      <c r="E176" t="s">
        <v>1602</v>
      </c>
      <c r="F176" t="s">
        <v>1603</v>
      </c>
      <c r="G176" t="s">
        <v>1604</v>
      </c>
      <c r="H176" t="s">
        <v>452</v>
      </c>
      <c r="J176" t="s">
        <v>605</v>
      </c>
      <c r="K176" t="s">
        <v>606</v>
      </c>
      <c r="M176" t="s">
        <v>1382</v>
      </c>
      <c r="N176" t="s">
        <v>812</v>
      </c>
      <c r="O176" t="s">
        <v>1605</v>
      </c>
      <c r="P176" t="s">
        <v>670</v>
      </c>
      <c r="Q176" t="s">
        <v>511</v>
      </c>
      <c r="R176" t="s">
        <v>1555</v>
      </c>
      <c r="S176" t="s">
        <v>1604</v>
      </c>
      <c r="T176" t="s">
        <v>1557</v>
      </c>
      <c r="U176">
        <v>199700</v>
      </c>
      <c r="V176" t="s">
        <v>1603</v>
      </c>
      <c r="W176" t="s">
        <v>1606</v>
      </c>
      <c r="X176" t="s">
        <v>1607</v>
      </c>
      <c r="Y176" t="s">
        <v>1525</v>
      </c>
      <c r="AA176" t="s">
        <v>1526</v>
      </c>
      <c r="AB176" t="s">
        <v>1608</v>
      </c>
      <c r="AC176">
        <v>99107</v>
      </c>
      <c r="AD176" t="s">
        <v>1609</v>
      </c>
      <c r="AE176">
        <v>-38.145137859999998</v>
      </c>
      <c r="AF176">
        <v>176.22610853</v>
      </c>
      <c r="AG176" s="175">
        <v>40</v>
      </c>
      <c r="AH176" s="175">
        <v>0</v>
      </c>
      <c r="AI176" s="175">
        <v>0</v>
      </c>
      <c r="AJ176" s="175">
        <v>0</v>
      </c>
      <c r="AK176" s="175">
        <v>9</v>
      </c>
      <c r="AL176" s="175">
        <v>15</v>
      </c>
      <c r="AM176" s="175">
        <v>12</v>
      </c>
      <c r="AN176" s="175">
        <v>1</v>
      </c>
      <c r="AO176" s="175">
        <v>37</v>
      </c>
      <c r="AP176" s="175">
        <v>7</v>
      </c>
      <c r="AQ176" s="175">
        <v>35</v>
      </c>
      <c r="AR176" s="175">
        <v>2</v>
      </c>
      <c r="AS176" s="175">
        <v>2</v>
      </c>
      <c r="AT176" s="175">
        <v>1</v>
      </c>
    </row>
    <row r="177" spans="1:46">
      <c r="A177">
        <v>5173</v>
      </c>
      <c r="B177" t="s">
        <v>1610</v>
      </c>
      <c r="C177" t="s">
        <v>1611</v>
      </c>
      <c r="D177" t="s">
        <v>1612</v>
      </c>
      <c r="E177" t="s">
        <v>1613</v>
      </c>
      <c r="G177" t="s">
        <v>1553</v>
      </c>
      <c r="H177" t="s">
        <v>452</v>
      </c>
      <c r="J177" t="s">
        <v>605</v>
      </c>
      <c r="K177" t="s">
        <v>606</v>
      </c>
      <c r="M177" t="s">
        <v>1382</v>
      </c>
      <c r="N177" t="s">
        <v>608</v>
      </c>
      <c r="O177" t="s">
        <v>1554</v>
      </c>
      <c r="P177" t="s">
        <v>1347</v>
      </c>
      <c r="Q177" t="s">
        <v>511</v>
      </c>
      <c r="R177" t="s">
        <v>1555</v>
      </c>
      <c r="S177" t="s">
        <v>1556</v>
      </c>
      <c r="T177" t="s">
        <v>1557</v>
      </c>
      <c r="U177">
        <v>202800</v>
      </c>
      <c r="V177" t="s">
        <v>1614</v>
      </c>
      <c r="W177" t="s">
        <v>1559</v>
      </c>
      <c r="X177" t="s">
        <v>1560</v>
      </c>
      <c r="Y177" t="s">
        <v>1525</v>
      </c>
      <c r="AA177" t="s">
        <v>1526</v>
      </c>
      <c r="AB177" t="s">
        <v>1561</v>
      </c>
      <c r="AC177">
        <v>99016</v>
      </c>
      <c r="AD177" t="s">
        <v>1562</v>
      </c>
      <c r="AE177">
        <v>-37.967236249999999</v>
      </c>
      <c r="AF177">
        <v>176.97947916999999</v>
      </c>
      <c r="AG177" s="175">
        <v>80</v>
      </c>
      <c r="AH177" s="175">
        <v>10</v>
      </c>
      <c r="AI177" s="175">
        <v>0</v>
      </c>
      <c r="AJ177" s="175">
        <v>0</v>
      </c>
      <c r="AK177" s="175">
        <v>7</v>
      </c>
      <c r="AL177" s="175">
        <v>20</v>
      </c>
      <c r="AM177" s="175">
        <v>13</v>
      </c>
      <c r="AN177" s="175">
        <v>1</v>
      </c>
      <c r="AO177" s="175">
        <v>41</v>
      </c>
      <c r="AP177" s="175">
        <v>30</v>
      </c>
      <c r="AQ177" s="175">
        <v>15</v>
      </c>
      <c r="AR177" s="175">
        <v>1</v>
      </c>
      <c r="AS177" s="175">
        <v>1</v>
      </c>
      <c r="AT177" s="175">
        <v>2</v>
      </c>
    </row>
    <row r="178" spans="1:46">
      <c r="A178">
        <v>5174</v>
      </c>
      <c r="B178" t="s">
        <v>1615</v>
      </c>
      <c r="C178" t="s">
        <v>1517</v>
      </c>
      <c r="D178" t="s">
        <v>1616</v>
      </c>
      <c r="E178" t="s">
        <v>1617</v>
      </c>
      <c r="G178" t="s">
        <v>1580</v>
      </c>
      <c r="H178" t="s">
        <v>452</v>
      </c>
      <c r="J178" t="s">
        <v>605</v>
      </c>
      <c r="K178" t="s">
        <v>606</v>
      </c>
      <c r="M178" t="s">
        <v>1382</v>
      </c>
      <c r="N178" t="s">
        <v>625</v>
      </c>
      <c r="O178" t="s">
        <v>1567</v>
      </c>
      <c r="P178" t="s">
        <v>610</v>
      </c>
      <c r="Q178" t="s">
        <v>510</v>
      </c>
      <c r="R178" t="s">
        <v>1384</v>
      </c>
      <c r="S178" t="s">
        <v>1404</v>
      </c>
      <c r="T178" t="s">
        <v>1568</v>
      </c>
      <c r="U178">
        <v>186000</v>
      </c>
      <c r="V178" t="s">
        <v>1581</v>
      </c>
      <c r="W178" t="s">
        <v>1582</v>
      </c>
      <c r="X178" t="s">
        <v>1571</v>
      </c>
      <c r="Y178" t="s">
        <v>1525</v>
      </c>
      <c r="AA178" t="s">
        <v>1526</v>
      </c>
      <c r="AB178" t="s">
        <v>1572</v>
      </c>
      <c r="AC178">
        <v>99076</v>
      </c>
      <c r="AD178" t="s">
        <v>1583</v>
      </c>
      <c r="AE178">
        <v>-38.051726019999997</v>
      </c>
      <c r="AF178">
        <v>175.77719980000001</v>
      </c>
      <c r="AG178" s="175">
        <v>40</v>
      </c>
      <c r="AH178" s="175">
        <v>0</v>
      </c>
      <c r="AI178" s="175">
        <v>0</v>
      </c>
      <c r="AJ178" s="175">
        <v>0</v>
      </c>
      <c r="AK178" s="175">
        <v>7</v>
      </c>
      <c r="AL178" s="175">
        <v>19</v>
      </c>
      <c r="AM178" s="175">
        <v>24</v>
      </c>
      <c r="AN178" s="175">
        <v>3</v>
      </c>
      <c r="AO178" s="175">
        <v>53</v>
      </c>
      <c r="AP178" s="175">
        <v>42</v>
      </c>
      <c r="AQ178" s="175">
        <v>16</v>
      </c>
      <c r="AR178" s="175">
        <v>2</v>
      </c>
      <c r="AS178" s="175">
        <v>1</v>
      </c>
      <c r="AT178" s="175">
        <v>6</v>
      </c>
    </row>
    <row r="179" spans="1:46">
      <c r="A179">
        <v>5175</v>
      </c>
      <c r="B179" t="s">
        <v>1618</v>
      </c>
      <c r="C179" t="s">
        <v>1517</v>
      </c>
      <c r="D179" t="s">
        <v>1619</v>
      </c>
      <c r="E179" t="s">
        <v>1620</v>
      </c>
      <c r="G179" t="s">
        <v>1621</v>
      </c>
      <c r="H179" t="s">
        <v>452</v>
      </c>
      <c r="J179" t="s">
        <v>605</v>
      </c>
      <c r="K179" t="s">
        <v>606</v>
      </c>
      <c r="M179" t="s">
        <v>1382</v>
      </c>
      <c r="N179" t="s">
        <v>643</v>
      </c>
      <c r="O179" t="s">
        <v>1403</v>
      </c>
      <c r="P179" t="s">
        <v>1347</v>
      </c>
      <c r="Q179" t="s">
        <v>510</v>
      </c>
      <c r="R179" t="s">
        <v>1384</v>
      </c>
      <c r="S179" t="s">
        <v>1501</v>
      </c>
      <c r="T179" t="s">
        <v>1320</v>
      </c>
      <c r="U179">
        <v>184400</v>
      </c>
      <c r="V179" t="s">
        <v>1622</v>
      </c>
      <c r="W179" t="s">
        <v>1623</v>
      </c>
      <c r="X179" t="s">
        <v>1571</v>
      </c>
      <c r="Y179" t="s">
        <v>1525</v>
      </c>
      <c r="AA179" t="s">
        <v>1526</v>
      </c>
      <c r="AB179" t="s">
        <v>1572</v>
      </c>
      <c r="AE179">
        <v>-38.013034150000003</v>
      </c>
      <c r="AF179">
        <v>175.33335260999999</v>
      </c>
      <c r="AG179" s="175">
        <v>40</v>
      </c>
      <c r="AH179" s="175">
        <v>0</v>
      </c>
      <c r="AI179" s="175">
        <v>0</v>
      </c>
      <c r="AJ179" s="175">
        <v>0</v>
      </c>
      <c r="AK179" s="175">
        <v>8</v>
      </c>
      <c r="AL179" s="175">
        <v>19</v>
      </c>
      <c r="AM179" s="175">
        <v>17</v>
      </c>
      <c r="AN179" s="175">
        <v>2</v>
      </c>
      <c r="AO179" s="175">
        <v>46</v>
      </c>
      <c r="AP179" s="175">
        <v>31</v>
      </c>
      <c r="AQ179" s="175">
        <v>19</v>
      </c>
      <c r="AR179" s="175">
        <v>0</v>
      </c>
      <c r="AS179" s="175">
        <v>1</v>
      </c>
      <c r="AT179" s="175">
        <v>1</v>
      </c>
    </row>
    <row r="180" spans="1:46">
      <c r="A180">
        <v>5177</v>
      </c>
      <c r="B180" t="s">
        <v>1624</v>
      </c>
      <c r="C180" t="s">
        <v>1625</v>
      </c>
      <c r="D180" t="s">
        <v>1626</v>
      </c>
      <c r="E180" t="s">
        <v>1627</v>
      </c>
      <c r="G180" t="s">
        <v>1628</v>
      </c>
      <c r="H180" t="s">
        <v>452</v>
      </c>
      <c r="J180" t="s">
        <v>605</v>
      </c>
      <c r="K180" t="s">
        <v>606</v>
      </c>
      <c r="M180" t="s">
        <v>1382</v>
      </c>
      <c r="N180" t="s">
        <v>625</v>
      </c>
      <c r="O180" t="s">
        <v>1629</v>
      </c>
      <c r="P180" t="s">
        <v>1347</v>
      </c>
      <c r="Q180" t="s">
        <v>510</v>
      </c>
      <c r="R180" t="s">
        <v>1555</v>
      </c>
      <c r="S180" t="s">
        <v>1404</v>
      </c>
      <c r="T180" t="s">
        <v>1557</v>
      </c>
      <c r="U180">
        <v>188900</v>
      </c>
      <c r="V180" t="s">
        <v>1630</v>
      </c>
      <c r="W180" t="s">
        <v>1631</v>
      </c>
      <c r="X180" t="s">
        <v>1632</v>
      </c>
      <c r="Y180" t="s">
        <v>1525</v>
      </c>
      <c r="AA180" t="s">
        <v>1526</v>
      </c>
      <c r="AC180">
        <v>99020</v>
      </c>
      <c r="AD180" t="s">
        <v>1633</v>
      </c>
      <c r="AE180">
        <v>-38.690175459999999</v>
      </c>
      <c r="AF180">
        <v>176.09733731</v>
      </c>
      <c r="AG180" s="175">
        <v>40</v>
      </c>
      <c r="AH180" s="175">
        <v>0</v>
      </c>
      <c r="AI180" s="175">
        <v>0</v>
      </c>
      <c r="AJ180" s="175">
        <v>0</v>
      </c>
      <c r="AK180" s="175">
        <v>0</v>
      </c>
      <c r="AL180" s="175">
        <v>18</v>
      </c>
      <c r="AM180" s="175">
        <v>20</v>
      </c>
      <c r="AN180" s="175">
        <v>2</v>
      </c>
      <c r="AO180" s="175">
        <v>40</v>
      </c>
      <c r="AP180" s="175">
        <v>23</v>
      </c>
      <c r="AQ180" s="175">
        <v>19</v>
      </c>
      <c r="AR180" s="175">
        <v>2</v>
      </c>
      <c r="AS180" s="175">
        <v>3</v>
      </c>
      <c r="AT180" s="175">
        <v>0</v>
      </c>
    </row>
    <row r="181" spans="1:46">
      <c r="A181">
        <v>5179</v>
      </c>
      <c r="B181" t="s">
        <v>1634</v>
      </c>
      <c r="C181" t="s">
        <v>1635</v>
      </c>
      <c r="D181" t="s">
        <v>1636</v>
      </c>
      <c r="E181" t="s">
        <v>1637</v>
      </c>
      <c r="G181" t="s">
        <v>1638</v>
      </c>
      <c r="H181" t="s">
        <v>452</v>
      </c>
      <c r="J181" t="s">
        <v>605</v>
      </c>
      <c r="K181" t="s">
        <v>606</v>
      </c>
      <c r="M181" t="s">
        <v>1382</v>
      </c>
      <c r="N181" t="s">
        <v>812</v>
      </c>
      <c r="O181" t="s">
        <v>1435</v>
      </c>
      <c r="P181" t="s">
        <v>610</v>
      </c>
      <c r="Q181" t="s">
        <v>510</v>
      </c>
      <c r="R181" t="s">
        <v>1384</v>
      </c>
      <c r="S181" t="s">
        <v>1384</v>
      </c>
      <c r="T181" t="s">
        <v>1320</v>
      </c>
      <c r="U181">
        <v>171502</v>
      </c>
      <c r="V181" t="s">
        <v>1639</v>
      </c>
      <c r="W181" t="s">
        <v>1640</v>
      </c>
      <c r="X181" t="s">
        <v>1524</v>
      </c>
      <c r="Y181" t="s">
        <v>1525</v>
      </c>
      <c r="AA181" t="s">
        <v>1526</v>
      </c>
      <c r="AB181" t="s">
        <v>1527</v>
      </c>
      <c r="AC181">
        <v>99130</v>
      </c>
      <c r="AD181" t="s">
        <v>1641</v>
      </c>
      <c r="AE181">
        <v>-37.55529421</v>
      </c>
      <c r="AF181">
        <v>175.16075483</v>
      </c>
      <c r="AG181" s="175">
        <v>40</v>
      </c>
      <c r="AH181" s="175">
        <v>0</v>
      </c>
      <c r="AI181" s="175">
        <v>0</v>
      </c>
      <c r="AJ181" s="175">
        <v>0</v>
      </c>
      <c r="AK181" s="175">
        <v>10</v>
      </c>
      <c r="AL181" s="175">
        <v>12</v>
      </c>
      <c r="AM181" s="175">
        <v>16</v>
      </c>
      <c r="AN181" s="175">
        <v>2</v>
      </c>
      <c r="AO181" s="175">
        <v>40</v>
      </c>
      <c r="AP181" s="175">
        <v>13</v>
      </c>
      <c r="AQ181" s="175">
        <v>22</v>
      </c>
      <c r="AR181" s="175">
        <v>5</v>
      </c>
      <c r="AS181" s="175">
        <v>10</v>
      </c>
      <c r="AT181" s="175">
        <v>2</v>
      </c>
    </row>
    <row r="182" spans="1:46">
      <c r="A182">
        <v>5181</v>
      </c>
      <c r="B182" t="s">
        <v>1642</v>
      </c>
      <c r="C182" t="s">
        <v>1643</v>
      </c>
      <c r="D182" t="s">
        <v>1644</v>
      </c>
      <c r="E182" t="s">
        <v>1645</v>
      </c>
      <c r="F182" t="s">
        <v>1646</v>
      </c>
      <c r="G182" t="s">
        <v>1604</v>
      </c>
      <c r="H182" t="s">
        <v>452</v>
      </c>
      <c r="J182" t="s">
        <v>605</v>
      </c>
      <c r="K182" t="s">
        <v>606</v>
      </c>
      <c r="M182" t="s">
        <v>1382</v>
      </c>
      <c r="N182" t="s">
        <v>657</v>
      </c>
      <c r="O182" t="s">
        <v>1605</v>
      </c>
      <c r="P182" t="s">
        <v>670</v>
      </c>
      <c r="Q182" t="s">
        <v>511</v>
      </c>
      <c r="R182" t="s">
        <v>1555</v>
      </c>
      <c r="S182" t="s">
        <v>1604</v>
      </c>
      <c r="T182" t="s">
        <v>1557</v>
      </c>
      <c r="U182">
        <v>200600</v>
      </c>
      <c r="V182" t="s">
        <v>1647</v>
      </c>
      <c r="W182" t="s">
        <v>1606</v>
      </c>
      <c r="X182" t="s">
        <v>1607</v>
      </c>
      <c r="Y182" t="s">
        <v>1525</v>
      </c>
      <c r="AA182" t="s">
        <v>1526</v>
      </c>
      <c r="AB182" t="s">
        <v>1608</v>
      </c>
      <c r="AC182">
        <v>99019</v>
      </c>
      <c r="AD182" t="s">
        <v>1648</v>
      </c>
      <c r="AE182">
        <v>-38.160319209999997</v>
      </c>
      <c r="AF182">
        <v>176.23370983999999</v>
      </c>
      <c r="AG182" s="175">
        <v>45</v>
      </c>
      <c r="AH182" s="175">
        <v>0</v>
      </c>
      <c r="AI182" s="175">
        <v>0</v>
      </c>
      <c r="AJ182" s="175">
        <v>0</v>
      </c>
      <c r="AK182" s="175">
        <v>12</v>
      </c>
      <c r="AL182" s="175">
        <v>27</v>
      </c>
      <c r="AM182" s="175">
        <v>14</v>
      </c>
      <c r="AN182" s="175">
        <v>0</v>
      </c>
      <c r="AO182" s="175">
        <v>53</v>
      </c>
      <c r="AP182" s="175">
        <v>32</v>
      </c>
      <c r="AQ182" s="175">
        <v>19</v>
      </c>
      <c r="AR182" s="175">
        <v>2</v>
      </c>
      <c r="AS182" s="175">
        <v>12</v>
      </c>
      <c r="AT182" s="175">
        <v>3</v>
      </c>
    </row>
    <row r="183" spans="1:46">
      <c r="A183">
        <v>5183</v>
      </c>
      <c r="B183" t="s">
        <v>1649</v>
      </c>
      <c r="C183" t="s">
        <v>1517</v>
      </c>
      <c r="D183" t="s">
        <v>1650</v>
      </c>
      <c r="E183" t="s">
        <v>1651</v>
      </c>
      <c r="G183" t="s">
        <v>1652</v>
      </c>
      <c r="H183" t="s">
        <v>452</v>
      </c>
      <c r="J183" t="s">
        <v>605</v>
      </c>
      <c r="K183" t="s">
        <v>606</v>
      </c>
      <c r="M183" t="s">
        <v>1382</v>
      </c>
      <c r="N183" t="s">
        <v>657</v>
      </c>
      <c r="O183" t="s">
        <v>1403</v>
      </c>
      <c r="P183" t="s">
        <v>610</v>
      </c>
      <c r="Q183" t="s">
        <v>510</v>
      </c>
      <c r="R183" t="s">
        <v>1384</v>
      </c>
      <c r="S183" t="s">
        <v>1501</v>
      </c>
      <c r="T183" t="s">
        <v>1320</v>
      </c>
      <c r="U183">
        <v>184800</v>
      </c>
      <c r="V183" t="s">
        <v>1653</v>
      </c>
      <c r="W183" t="s">
        <v>1623</v>
      </c>
      <c r="X183" t="s">
        <v>1571</v>
      </c>
      <c r="Y183" t="s">
        <v>1525</v>
      </c>
      <c r="AA183" t="s">
        <v>1526</v>
      </c>
      <c r="AB183" t="s">
        <v>1572</v>
      </c>
      <c r="AE183">
        <v>-38.036295940000002</v>
      </c>
      <c r="AF183">
        <v>175.34604346</v>
      </c>
      <c r="AG183" s="175">
        <v>40</v>
      </c>
      <c r="AH183" s="175">
        <v>0</v>
      </c>
      <c r="AI183" s="175">
        <v>0</v>
      </c>
      <c r="AJ183" s="175">
        <v>0</v>
      </c>
      <c r="AK183" s="175">
        <v>1</v>
      </c>
      <c r="AL183" s="175">
        <v>21</v>
      </c>
      <c r="AM183" s="175">
        <v>30</v>
      </c>
      <c r="AN183" s="175">
        <v>0</v>
      </c>
      <c r="AO183" s="175">
        <v>52</v>
      </c>
      <c r="AP183" s="175">
        <v>43</v>
      </c>
      <c r="AQ183" s="175">
        <v>19</v>
      </c>
      <c r="AR183" s="175">
        <v>3</v>
      </c>
      <c r="AS183" s="175">
        <v>2</v>
      </c>
      <c r="AT183" s="175">
        <v>1</v>
      </c>
    </row>
    <row r="184" spans="1:46">
      <c r="A184">
        <v>5185</v>
      </c>
      <c r="B184" t="s">
        <v>1654</v>
      </c>
      <c r="C184" t="s">
        <v>1655</v>
      </c>
      <c r="D184" t="s">
        <v>1656</v>
      </c>
      <c r="E184" t="s">
        <v>1657</v>
      </c>
      <c r="G184" t="s">
        <v>1628</v>
      </c>
      <c r="H184" t="s">
        <v>452</v>
      </c>
      <c r="J184" t="s">
        <v>605</v>
      </c>
      <c r="K184" t="s">
        <v>606</v>
      </c>
      <c r="M184" t="s">
        <v>1382</v>
      </c>
      <c r="N184" t="s">
        <v>643</v>
      </c>
      <c r="O184" t="s">
        <v>1629</v>
      </c>
      <c r="P184" t="s">
        <v>1347</v>
      </c>
      <c r="Q184" t="s">
        <v>510</v>
      </c>
      <c r="R184" t="s">
        <v>1555</v>
      </c>
      <c r="S184" t="s">
        <v>1404</v>
      </c>
      <c r="T184" t="s">
        <v>1557</v>
      </c>
      <c r="U184">
        <v>188800</v>
      </c>
      <c r="V184" t="s">
        <v>1658</v>
      </c>
      <c r="W184" t="s">
        <v>1631</v>
      </c>
      <c r="X184" t="s">
        <v>1632</v>
      </c>
      <c r="Y184" t="s">
        <v>1525</v>
      </c>
      <c r="AA184" t="s">
        <v>1526</v>
      </c>
      <c r="AC184">
        <v>99020</v>
      </c>
      <c r="AD184" t="s">
        <v>1633</v>
      </c>
      <c r="AE184">
        <v>-38.68631371</v>
      </c>
      <c r="AF184">
        <v>176.08214135</v>
      </c>
      <c r="AG184" s="175">
        <v>44</v>
      </c>
      <c r="AH184" s="175">
        <v>0</v>
      </c>
      <c r="AI184" s="175">
        <v>0</v>
      </c>
      <c r="AJ184" s="175">
        <v>0</v>
      </c>
      <c r="AK184" s="175">
        <v>0</v>
      </c>
      <c r="AL184" s="175">
        <v>18</v>
      </c>
      <c r="AM184" s="175">
        <v>29</v>
      </c>
      <c r="AN184" s="175">
        <v>2</v>
      </c>
      <c r="AO184" s="175">
        <v>49</v>
      </c>
      <c r="AP184" s="175">
        <v>30</v>
      </c>
      <c r="AQ184" s="175">
        <v>20</v>
      </c>
      <c r="AR184" s="175">
        <v>4</v>
      </c>
      <c r="AS184" s="175">
        <v>10</v>
      </c>
      <c r="AT184" s="175">
        <v>2</v>
      </c>
    </row>
    <row r="185" spans="1:46">
      <c r="A185">
        <v>5186</v>
      </c>
      <c r="B185" t="s">
        <v>1659</v>
      </c>
      <c r="C185" t="s">
        <v>1517</v>
      </c>
      <c r="D185" t="s">
        <v>1660</v>
      </c>
      <c r="E185" t="s">
        <v>1661</v>
      </c>
      <c r="G185" t="s">
        <v>1662</v>
      </c>
      <c r="H185" t="s">
        <v>452</v>
      </c>
      <c r="J185" t="s">
        <v>605</v>
      </c>
      <c r="K185" t="s">
        <v>606</v>
      </c>
      <c r="M185" t="s">
        <v>1382</v>
      </c>
      <c r="N185" t="s">
        <v>608</v>
      </c>
      <c r="O185" t="s">
        <v>1534</v>
      </c>
      <c r="P185" t="s">
        <v>610</v>
      </c>
      <c r="Q185" t="s">
        <v>510</v>
      </c>
      <c r="R185" t="s">
        <v>1384</v>
      </c>
      <c r="S185" t="s">
        <v>1384</v>
      </c>
      <c r="T185" t="s">
        <v>1320</v>
      </c>
      <c r="U185">
        <v>175001</v>
      </c>
      <c r="V185" t="s">
        <v>1663</v>
      </c>
      <c r="W185" t="s">
        <v>1664</v>
      </c>
      <c r="X185" t="s">
        <v>1524</v>
      </c>
      <c r="Y185" t="s">
        <v>1525</v>
      </c>
      <c r="AA185" t="s">
        <v>1526</v>
      </c>
      <c r="AB185" t="s">
        <v>1527</v>
      </c>
      <c r="AC185">
        <v>99104</v>
      </c>
      <c r="AD185" t="s">
        <v>1665</v>
      </c>
      <c r="AE185">
        <v>-37.815334829999998</v>
      </c>
      <c r="AF185">
        <v>175.77014552</v>
      </c>
      <c r="AG185" s="175">
        <v>40</v>
      </c>
      <c r="AH185" s="175">
        <v>0</v>
      </c>
      <c r="AI185" s="175">
        <v>0</v>
      </c>
      <c r="AJ185" s="175">
        <v>0</v>
      </c>
      <c r="AK185" s="175">
        <v>8</v>
      </c>
      <c r="AL185" s="175">
        <v>22</v>
      </c>
      <c r="AM185" s="175">
        <v>22</v>
      </c>
      <c r="AN185" s="175">
        <v>2</v>
      </c>
      <c r="AO185" s="175">
        <v>54</v>
      </c>
      <c r="AP185" s="175">
        <v>43</v>
      </c>
      <c r="AQ185" s="175">
        <v>19</v>
      </c>
      <c r="AR185" s="175">
        <v>4</v>
      </c>
      <c r="AS185" s="175">
        <v>5</v>
      </c>
      <c r="AT185" s="175">
        <v>0</v>
      </c>
    </row>
    <row r="186" spans="1:46">
      <c r="A186">
        <v>5187</v>
      </c>
      <c r="B186" t="s">
        <v>1666</v>
      </c>
      <c r="C186" t="s">
        <v>1517</v>
      </c>
      <c r="D186" t="s">
        <v>1667</v>
      </c>
      <c r="E186" t="s">
        <v>1668</v>
      </c>
      <c r="G186" t="s">
        <v>1669</v>
      </c>
      <c r="H186" t="s">
        <v>452</v>
      </c>
      <c r="J186" t="s">
        <v>605</v>
      </c>
      <c r="K186" t="s">
        <v>606</v>
      </c>
      <c r="M186" t="s">
        <v>1382</v>
      </c>
      <c r="N186" t="s">
        <v>625</v>
      </c>
      <c r="O186" t="s">
        <v>1534</v>
      </c>
      <c r="P186" t="s">
        <v>610</v>
      </c>
      <c r="Q186" t="s">
        <v>510</v>
      </c>
      <c r="R186" t="s">
        <v>1384</v>
      </c>
      <c r="S186" t="s">
        <v>1384</v>
      </c>
      <c r="T186" t="s">
        <v>1320</v>
      </c>
      <c r="U186">
        <v>173902</v>
      </c>
      <c r="V186" t="s">
        <v>1670</v>
      </c>
      <c r="W186" t="s">
        <v>1671</v>
      </c>
      <c r="X186" t="s">
        <v>1524</v>
      </c>
      <c r="Y186" t="s">
        <v>1525</v>
      </c>
      <c r="AA186" t="s">
        <v>1526</v>
      </c>
      <c r="AB186" t="s">
        <v>1527</v>
      </c>
      <c r="AC186">
        <v>99131</v>
      </c>
      <c r="AD186" t="s">
        <v>1672</v>
      </c>
      <c r="AE186">
        <v>-37.654904119999998</v>
      </c>
      <c r="AF186">
        <v>175.52665396</v>
      </c>
      <c r="AG186" s="175">
        <v>40</v>
      </c>
      <c r="AH186" s="175">
        <v>0</v>
      </c>
      <c r="AI186" s="175">
        <v>0</v>
      </c>
      <c r="AJ186" s="175">
        <v>0</v>
      </c>
      <c r="AK186" s="175">
        <v>6</v>
      </c>
      <c r="AL186" s="175">
        <v>15</v>
      </c>
      <c r="AM186" s="175">
        <v>19</v>
      </c>
      <c r="AN186" s="175">
        <v>0</v>
      </c>
      <c r="AO186" s="175">
        <v>40</v>
      </c>
      <c r="AP186" s="175">
        <v>23</v>
      </c>
      <c r="AQ186" s="175">
        <v>13</v>
      </c>
      <c r="AR186" s="175">
        <v>2</v>
      </c>
      <c r="AS186" s="175">
        <v>12</v>
      </c>
      <c r="AT186" s="175">
        <v>1</v>
      </c>
    </row>
    <row r="187" spans="1:46">
      <c r="A187">
        <v>5188</v>
      </c>
      <c r="B187" t="s">
        <v>1673</v>
      </c>
      <c r="C187" t="s">
        <v>1674</v>
      </c>
      <c r="D187" t="s">
        <v>1675</v>
      </c>
      <c r="E187" t="s">
        <v>1676</v>
      </c>
      <c r="G187" t="s">
        <v>1677</v>
      </c>
      <c r="H187" t="s">
        <v>452</v>
      </c>
      <c r="J187" t="s">
        <v>605</v>
      </c>
      <c r="K187" t="s">
        <v>606</v>
      </c>
      <c r="M187" t="s">
        <v>1382</v>
      </c>
      <c r="N187" t="s">
        <v>625</v>
      </c>
      <c r="O187" t="s">
        <v>1554</v>
      </c>
      <c r="P187" t="s">
        <v>610</v>
      </c>
      <c r="Q187" t="s">
        <v>511</v>
      </c>
      <c r="R187" t="s">
        <v>1555</v>
      </c>
      <c r="S187" t="s">
        <v>1556</v>
      </c>
      <c r="T187" t="s">
        <v>1557</v>
      </c>
      <c r="U187">
        <v>203600</v>
      </c>
      <c r="V187" t="s">
        <v>1677</v>
      </c>
      <c r="W187" t="s">
        <v>1678</v>
      </c>
      <c r="X187" t="s">
        <v>1679</v>
      </c>
      <c r="Y187" t="s">
        <v>1680</v>
      </c>
      <c r="Z187" t="s">
        <v>1681</v>
      </c>
      <c r="AA187" t="s">
        <v>1682</v>
      </c>
      <c r="AB187" t="s">
        <v>1683</v>
      </c>
      <c r="AC187">
        <v>99038</v>
      </c>
      <c r="AD187" t="s">
        <v>1598</v>
      </c>
      <c r="AE187">
        <v>-38.460571119999997</v>
      </c>
      <c r="AF187">
        <v>176.7077749</v>
      </c>
      <c r="AG187" s="175">
        <v>45</v>
      </c>
      <c r="AH187" s="175">
        <v>0</v>
      </c>
      <c r="AI187" s="175">
        <v>0</v>
      </c>
      <c r="AJ187" s="175">
        <v>0</v>
      </c>
      <c r="AK187" s="175">
        <v>5</v>
      </c>
      <c r="AL187" s="175">
        <v>13</v>
      </c>
      <c r="AM187" s="175">
        <v>18</v>
      </c>
      <c r="AN187" s="175">
        <v>1</v>
      </c>
      <c r="AO187" s="175">
        <v>37</v>
      </c>
      <c r="AP187" s="175">
        <v>7</v>
      </c>
      <c r="AQ187" s="175">
        <v>36</v>
      </c>
      <c r="AR187" s="175">
        <v>0</v>
      </c>
      <c r="AS187" s="175">
        <v>1</v>
      </c>
      <c r="AT187" s="175">
        <v>1</v>
      </c>
    </row>
    <row r="188" spans="1:46">
      <c r="A188">
        <v>5189</v>
      </c>
      <c r="B188" t="s">
        <v>1684</v>
      </c>
      <c r="C188" t="s">
        <v>1685</v>
      </c>
      <c r="D188" t="s">
        <v>1686</v>
      </c>
      <c r="E188" t="s">
        <v>1687</v>
      </c>
      <c r="F188" t="s">
        <v>1688</v>
      </c>
      <c r="G188" t="s">
        <v>1604</v>
      </c>
      <c r="H188" t="s">
        <v>452</v>
      </c>
      <c r="J188" t="s">
        <v>605</v>
      </c>
      <c r="K188" t="s">
        <v>606</v>
      </c>
      <c r="M188" t="s">
        <v>1382</v>
      </c>
      <c r="N188" t="s">
        <v>625</v>
      </c>
      <c r="O188" t="s">
        <v>1605</v>
      </c>
      <c r="P188" t="s">
        <v>610</v>
      </c>
      <c r="Q188" t="s">
        <v>511</v>
      </c>
      <c r="R188" t="s">
        <v>1555</v>
      </c>
      <c r="S188" t="s">
        <v>1604</v>
      </c>
      <c r="T188" t="s">
        <v>1557</v>
      </c>
      <c r="U188">
        <v>198200</v>
      </c>
      <c r="V188" t="s">
        <v>1689</v>
      </c>
      <c r="W188" t="s">
        <v>1606</v>
      </c>
      <c r="X188" t="s">
        <v>1607</v>
      </c>
      <c r="Y188" t="s">
        <v>1525</v>
      </c>
      <c r="AA188" t="s">
        <v>1526</v>
      </c>
      <c r="AB188" t="s">
        <v>1608</v>
      </c>
      <c r="AC188">
        <v>99107</v>
      </c>
      <c r="AD188" t="s">
        <v>1609</v>
      </c>
      <c r="AE188">
        <v>-38.079497089999997</v>
      </c>
      <c r="AF188">
        <v>176.21088716</v>
      </c>
      <c r="AG188" s="175">
        <v>45</v>
      </c>
      <c r="AH188" s="175">
        <v>0</v>
      </c>
      <c r="AI188" s="175">
        <v>0</v>
      </c>
      <c r="AJ188" s="175">
        <v>0</v>
      </c>
      <c r="AK188" s="175">
        <v>12</v>
      </c>
      <c r="AL188" s="175">
        <v>12</v>
      </c>
      <c r="AM188" s="175">
        <v>16</v>
      </c>
      <c r="AN188" s="175">
        <v>0</v>
      </c>
      <c r="AO188" s="175">
        <v>40</v>
      </c>
      <c r="AP188" s="175">
        <v>20</v>
      </c>
      <c r="AQ188" s="175">
        <v>21</v>
      </c>
      <c r="AR188" s="175">
        <v>3</v>
      </c>
      <c r="AS188" s="175">
        <v>1</v>
      </c>
      <c r="AT188" s="175">
        <v>6</v>
      </c>
    </row>
    <row r="189" spans="1:46">
      <c r="A189">
        <v>5190</v>
      </c>
      <c r="B189" t="s">
        <v>1690</v>
      </c>
      <c r="C189" t="s">
        <v>1691</v>
      </c>
      <c r="D189" t="s">
        <v>1692</v>
      </c>
      <c r="E189" t="s">
        <v>1693</v>
      </c>
      <c r="G189" t="s">
        <v>1694</v>
      </c>
      <c r="H189" t="s">
        <v>452</v>
      </c>
      <c r="J189" t="s">
        <v>605</v>
      </c>
      <c r="K189" t="s">
        <v>606</v>
      </c>
      <c r="M189" t="s">
        <v>1382</v>
      </c>
      <c r="N189" t="s">
        <v>812</v>
      </c>
      <c r="O189" t="s">
        <v>1695</v>
      </c>
      <c r="P189" t="s">
        <v>610</v>
      </c>
      <c r="Q189" t="s">
        <v>511</v>
      </c>
      <c r="R189" t="s">
        <v>1555</v>
      </c>
      <c r="S189" t="s">
        <v>1556</v>
      </c>
      <c r="T189" t="s">
        <v>1557</v>
      </c>
      <c r="U189">
        <v>204400</v>
      </c>
      <c r="V189" t="s">
        <v>1696</v>
      </c>
      <c r="W189" t="s">
        <v>1697</v>
      </c>
      <c r="X189" t="s">
        <v>1560</v>
      </c>
      <c r="Y189" t="s">
        <v>1525</v>
      </c>
      <c r="AA189" t="s">
        <v>1526</v>
      </c>
      <c r="AB189" t="s">
        <v>1561</v>
      </c>
      <c r="AC189">
        <v>99037</v>
      </c>
      <c r="AD189" t="s">
        <v>1698</v>
      </c>
      <c r="AE189">
        <v>-38.010435409999999</v>
      </c>
      <c r="AF189">
        <v>177.28811372000001</v>
      </c>
      <c r="AG189" s="175">
        <v>50</v>
      </c>
      <c r="AH189" s="175">
        <v>0</v>
      </c>
      <c r="AI189" s="175">
        <v>0</v>
      </c>
      <c r="AJ189" s="175">
        <v>0</v>
      </c>
      <c r="AK189" s="175">
        <v>5</v>
      </c>
      <c r="AL189" s="175">
        <v>22</v>
      </c>
      <c r="AM189" s="175">
        <v>20</v>
      </c>
      <c r="AN189" s="175">
        <v>1</v>
      </c>
      <c r="AO189" s="175">
        <v>48</v>
      </c>
      <c r="AP189" s="175">
        <v>21</v>
      </c>
      <c r="AQ189" s="175">
        <v>37</v>
      </c>
      <c r="AR189" s="175">
        <v>5</v>
      </c>
      <c r="AS189" s="175">
        <v>1</v>
      </c>
      <c r="AT189" s="175">
        <v>0</v>
      </c>
    </row>
    <row r="190" spans="1:46">
      <c r="A190">
        <v>5191</v>
      </c>
      <c r="B190" t="s">
        <v>1699</v>
      </c>
      <c r="C190" t="s">
        <v>1517</v>
      </c>
      <c r="D190" t="s">
        <v>1700</v>
      </c>
      <c r="E190" t="s">
        <v>1701</v>
      </c>
      <c r="G190" t="s">
        <v>1702</v>
      </c>
      <c r="H190" t="s">
        <v>452</v>
      </c>
      <c r="J190" t="s">
        <v>605</v>
      </c>
      <c r="K190" t="s">
        <v>606</v>
      </c>
      <c r="M190" t="s">
        <v>1382</v>
      </c>
      <c r="N190" t="s">
        <v>625</v>
      </c>
      <c r="O190" t="s">
        <v>1703</v>
      </c>
      <c r="P190" t="s">
        <v>610</v>
      </c>
      <c r="Q190" t="s">
        <v>510</v>
      </c>
      <c r="R190" t="s">
        <v>1384</v>
      </c>
      <c r="S190" t="s">
        <v>1501</v>
      </c>
      <c r="T190" t="s">
        <v>1568</v>
      </c>
      <c r="U190">
        <v>185500</v>
      </c>
      <c r="V190" t="s">
        <v>1704</v>
      </c>
      <c r="W190" t="s">
        <v>1705</v>
      </c>
      <c r="X190" t="s">
        <v>1571</v>
      </c>
      <c r="Y190" t="s">
        <v>1525</v>
      </c>
      <c r="AA190" t="s">
        <v>1526</v>
      </c>
      <c r="AB190" t="s">
        <v>1572</v>
      </c>
      <c r="AC190">
        <v>99194</v>
      </c>
      <c r="AD190" t="s">
        <v>1706</v>
      </c>
      <c r="AE190">
        <v>-38.184118249999997</v>
      </c>
      <c r="AF190">
        <v>175.20936462</v>
      </c>
      <c r="AG190" s="175">
        <v>40</v>
      </c>
      <c r="AH190" s="175">
        <v>0</v>
      </c>
      <c r="AI190" s="175">
        <v>0</v>
      </c>
      <c r="AJ190" s="175">
        <v>0</v>
      </c>
      <c r="AK190" s="175">
        <v>6</v>
      </c>
      <c r="AL190" s="175">
        <v>17</v>
      </c>
      <c r="AM190" s="175">
        <v>26</v>
      </c>
      <c r="AN190" s="175">
        <v>0</v>
      </c>
      <c r="AO190" s="175">
        <v>49</v>
      </c>
      <c r="AP190" s="175">
        <v>36</v>
      </c>
      <c r="AQ190" s="175">
        <v>24</v>
      </c>
      <c r="AR190" s="175">
        <v>4</v>
      </c>
      <c r="AS190" s="175">
        <v>3</v>
      </c>
      <c r="AT190" s="175">
        <v>0</v>
      </c>
    </row>
    <row r="191" spans="1:46">
      <c r="A191">
        <v>5192</v>
      </c>
      <c r="B191" t="s">
        <v>1707</v>
      </c>
      <c r="C191" t="s">
        <v>1708</v>
      </c>
      <c r="D191" t="s">
        <v>1709</v>
      </c>
      <c r="E191" t="s">
        <v>1710</v>
      </c>
      <c r="F191" t="s">
        <v>1711</v>
      </c>
      <c r="G191" t="s">
        <v>1604</v>
      </c>
      <c r="H191" t="s">
        <v>452</v>
      </c>
      <c r="J191" t="s">
        <v>605</v>
      </c>
      <c r="K191" t="s">
        <v>606</v>
      </c>
      <c r="M191" t="s">
        <v>1382</v>
      </c>
      <c r="N191" t="s">
        <v>608</v>
      </c>
      <c r="O191" t="s">
        <v>1605</v>
      </c>
      <c r="P191" t="s">
        <v>670</v>
      </c>
      <c r="Q191" t="s">
        <v>511</v>
      </c>
      <c r="R191" t="s">
        <v>1555</v>
      </c>
      <c r="S191" t="s">
        <v>1604</v>
      </c>
      <c r="T191" t="s">
        <v>1557</v>
      </c>
      <c r="U191">
        <v>201401</v>
      </c>
      <c r="V191" t="s">
        <v>1712</v>
      </c>
      <c r="W191" t="s">
        <v>1606</v>
      </c>
      <c r="X191" t="s">
        <v>1607</v>
      </c>
      <c r="Y191" t="s">
        <v>1525</v>
      </c>
      <c r="AA191" t="s">
        <v>1526</v>
      </c>
      <c r="AB191" t="s">
        <v>1608</v>
      </c>
      <c r="AC191">
        <v>99017</v>
      </c>
      <c r="AD191" t="s">
        <v>1713</v>
      </c>
      <c r="AE191">
        <v>-38.134545260000003</v>
      </c>
      <c r="AF191">
        <v>176.30352998000001</v>
      </c>
      <c r="AG191" s="175">
        <v>40</v>
      </c>
      <c r="AH191" s="175">
        <v>0</v>
      </c>
      <c r="AI191" s="175">
        <v>0</v>
      </c>
      <c r="AJ191" s="175">
        <v>0</v>
      </c>
      <c r="AK191" s="175">
        <v>8</v>
      </c>
      <c r="AL191" s="175">
        <v>18</v>
      </c>
      <c r="AM191" s="175">
        <v>14</v>
      </c>
      <c r="AN191" s="175">
        <v>0</v>
      </c>
      <c r="AO191" s="175">
        <v>40</v>
      </c>
      <c r="AP191" s="175">
        <v>25</v>
      </c>
      <c r="AQ191" s="175">
        <v>25</v>
      </c>
      <c r="AR191" s="175">
        <v>5</v>
      </c>
      <c r="AS191" s="175">
        <v>4</v>
      </c>
      <c r="AT191" s="175">
        <v>0</v>
      </c>
    </row>
    <row r="192" spans="1:46">
      <c r="A192">
        <v>5193</v>
      </c>
      <c r="B192" t="s">
        <v>1714</v>
      </c>
      <c r="C192" t="s">
        <v>1517</v>
      </c>
      <c r="D192" t="s">
        <v>1715</v>
      </c>
      <c r="E192" t="s">
        <v>1716</v>
      </c>
      <c r="G192" t="s">
        <v>1717</v>
      </c>
      <c r="H192" t="s">
        <v>452</v>
      </c>
      <c r="J192" t="s">
        <v>605</v>
      </c>
      <c r="K192" t="s">
        <v>606</v>
      </c>
      <c r="M192" t="s">
        <v>1382</v>
      </c>
      <c r="N192" t="s">
        <v>608</v>
      </c>
      <c r="O192" t="s">
        <v>1718</v>
      </c>
      <c r="P192" t="s">
        <v>610</v>
      </c>
      <c r="Q192" t="s">
        <v>553</v>
      </c>
      <c r="R192" t="s">
        <v>1384</v>
      </c>
      <c r="S192" t="s">
        <v>1719</v>
      </c>
      <c r="T192" t="s">
        <v>1568</v>
      </c>
      <c r="U192">
        <v>222600</v>
      </c>
      <c r="V192" t="s">
        <v>1720</v>
      </c>
      <c r="W192" t="s">
        <v>1721</v>
      </c>
      <c r="X192" t="s">
        <v>1571</v>
      </c>
      <c r="Y192" t="s">
        <v>1525</v>
      </c>
      <c r="AA192" t="s">
        <v>1526</v>
      </c>
      <c r="AB192" t="s">
        <v>1572</v>
      </c>
      <c r="AC192">
        <v>99201</v>
      </c>
      <c r="AD192" t="s">
        <v>1722</v>
      </c>
      <c r="AE192">
        <v>-38.883092660000003</v>
      </c>
      <c r="AF192">
        <v>175.27377921999999</v>
      </c>
      <c r="AG192" s="175">
        <v>40</v>
      </c>
      <c r="AH192" s="175">
        <v>0</v>
      </c>
      <c r="AI192" s="175">
        <v>0</v>
      </c>
      <c r="AJ192" s="175">
        <v>0</v>
      </c>
      <c r="AK192" s="175">
        <v>5</v>
      </c>
      <c r="AL192" s="175">
        <v>12</v>
      </c>
      <c r="AM192" s="175">
        <v>17</v>
      </c>
      <c r="AN192" s="175">
        <v>5</v>
      </c>
      <c r="AO192" s="175">
        <v>39</v>
      </c>
      <c r="AP192" s="175">
        <v>19</v>
      </c>
      <c r="AQ192" s="175">
        <v>28</v>
      </c>
      <c r="AR192" s="175">
        <v>7</v>
      </c>
      <c r="AS192" s="175">
        <v>2</v>
      </c>
      <c r="AT192" s="175">
        <v>2</v>
      </c>
    </row>
    <row r="193" spans="1:46">
      <c r="A193">
        <v>5194</v>
      </c>
      <c r="B193" t="s">
        <v>1723</v>
      </c>
      <c r="C193" t="s">
        <v>1517</v>
      </c>
      <c r="D193" t="s">
        <v>1724</v>
      </c>
      <c r="E193" t="s">
        <v>1725</v>
      </c>
      <c r="G193" t="s">
        <v>1566</v>
      </c>
      <c r="H193" t="s">
        <v>452</v>
      </c>
      <c r="J193" t="s">
        <v>605</v>
      </c>
      <c r="K193" t="s">
        <v>606</v>
      </c>
      <c r="M193" t="s">
        <v>1382</v>
      </c>
      <c r="N193" t="s">
        <v>643</v>
      </c>
      <c r="O193" t="s">
        <v>1567</v>
      </c>
      <c r="P193" t="s">
        <v>1347</v>
      </c>
      <c r="Q193" t="s">
        <v>510</v>
      </c>
      <c r="R193" t="s">
        <v>1384</v>
      </c>
      <c r="S193" t="s">
        <v>1404</v>
      </c>
      <c r="T193" t="s">
        <v>1568</v>
      </c>
      <c r="U193">
        <v>186200</v>
      </c>
      <c r="V193" t="s">
        <v>1726</v>
      </c>
      <c r="W193" t="s">
        <v>1570</v>
      </c>
      <c r="X193" t="s">
        <v>1571</v>
      </c>
      <c r="Y193" t="s">
        <v>1525</v>
      </c>
      <c r="AA193" t="s">
        <v>1526</v>
      </c>
      <c r="AB193" t="s">
        <v>1572</v>
      </c>
      <c r="AC193">
        <v>99195</v>
      </c>
      <c r="AD193" t="s">
        <v>1573</v>
      </c>
      <c r="AE193">
        <v>-38.214936510000001</v>
      </c>
      <c r="AF193">
        <v>175.85483499</v>
      </c>
      <c r="AG193" s="175">
        <v>40</v>
      </c>
      <c r="AH193" s="175">
        <v>0</v>
      </c>
      <c r="AI193" s="175">
        <v>0</v>
      </c>
      <c r="AJ193" s="175">
        <v>0</v>
      </c>
      <c r="AK193" s="175">
        <v>3</v>
      </c>
      <c r="AL193" s="175">
        <v>20</v>
      </c>
      <c r="AM193" s="175">
        <v>21</v>
      </c>
      <c r="AN193" s="175">
        <v>0</v>
      </c>
      <c r="AO193" s="175">
        <v>44</v>
      </c>
      <c r="AP193" s="175">
        <v>28</v>
      </c>
      <c r="AQ193" s="175">
        <v>17</v>
      </c>
      <c r="AR193" s="175">
        <v>4</v>
      </c>
      <c r="AS193" s="175">
        <v>11</v>
      </c>
      <c r="AT193" s="175">
        <v>2</v>
      </c>
    </row>
    <row r="194" spans="1:46">
      <c r="A194">
        <v>5195</v>
      </c>
      <c r="B194" t="s">
        <v>1727</v>
      </c>
      <c r="C194" t="s">
        <v>1728</v>
      </c>
      <c r="D194" t="s">
        <v>1729</v>
      </c>
      <c r="E194" t="s">
        <v>1730</v>
      </c>
      <c r="G194" t="s">
        <v>1731</v>
      </c>
      <c r="H194" t="s">
        <v>452</v>
      </c>
      <c r="J194" t="s">
        <v>605</v>
      </c>
      <c r="K194" t="s">
        <v>606</v>
      </c>
      <c r="M194" t="s">
        <v>1382</v>
      </c>
      <c r="N194" t="s">
        <v>812</v>
      </c>
      <c r="O194" t="s">
        <v>1732</v>
      </c>
      <c r="P194" t="s">
        <v>610</v>
      </c>
      <c r="Q194" t="s">
        <v>511</v>
      </c>
      <c r="R194" t="s">
        <v>1555</v>
      </c>
      <c r="S194" t="s">
        <v>1556</v>
      </c>
      <c r="T194" t="s">
        <v>1557</v>
      </c>
      <c r="U194">
        <v>203700</v>
      </c>
      <c r="V194" t="s">
        <v>1733</v>
      </c>
      <c r="W194" t="s">
        <v>1734</v>
      </c>
      <c r="X194" t="s">
        <v>1560</v>
      </c>
      <c r="Y194" t="s">
        <v>1525</v>
      </c>
      <c r="AA194" t="s">
        <v>1526</v>
      </c>
      <c r="AB194" t="s">
        <v>1561</v>
      </c>
      <c r="AC194">
        <v>99038</v>
      </c>
      <c r="AD194" t="s">
        <v>1598</v>
      </c>
      <c r="AE194">
        <v>-38.088724139999997</v>
      </c>
      <c r="AF194">
        <v>176.68690429</v>
      </c>
      <c r="AG194" s="175">
        <v>40</v>
      </c>
      <c r="AH194" s="175">
        <v>0</v>
      </c>
      <c r="AI194" s="175">
        <v>0</v>
      </c>
      <c r="AJ194" s="175">
        <v>0</v>
      </c>
      <c r="AK194" s="175">
        <v>5</v>
      </c>
      <c r="AL194" s="175">
        <v>11</v>
      </c>
      <c r="AM194" s="175">
        <v>11</v>
      </c>
      <c r="AN194" s="175">
        <v>0</v>
      </c>
      <c r="AO194" s="175">
        <v>27</v>
      </c>
      <c r="AP194" s="175">
        <v>9</v>
      </c>
      <c r="AQ194" s="175">
        <v>22</v>
      </c>
      <c r="AR194" s="175">
        <v>2</v>
      </c>
      <c r="AS194" s="175">
        <v>0</v>
      </c>
      <c r="AT194" s="175">
        <v>1</v>
      </c>
    </row>
    <row r="195" spans="1:46">
      <c r="A195">
        <v>5196</v>
      </c>
      <c r="B195" t="s">
        <v>1735</v>
      </c>
      <c r="C195" t="s">
        <v>1517</v>
      </c>
      <c r="D195" t="s">
        <v>1736</v>
      </c>
      <c r="E195" t="s">
        <v>1737</v>
      </c>
      <c r="G195" t="s">
        <v>1662</v>
      </c>
      <c r="H195" t="s">
        <v>452</v>
      </c>
      <c r="J195" t="s">
        <v>605</v>
      </c>
      <c r="K195" t="s">
        <v>606</v>
      </c>
      <c r="M195" t="s">
        <v>1382</v>
      </c>
      <c r="N195" t="s">
        <v>657</v>
      </c>
      <c r="O195" t="s">
        <v>1534</v>
      </c>
      <c r="P195" t="s">
        <v>610</v>
      </c>
      <c r="Q195" t="s">
        <v>510</v>
      </c>
      <c r="R195" t="s">
        <v>1384</v>
      </c>
      <c r="S195" t="s">
        <v>1384</v>
      </c>
      <c r="T195" t="s">
        <v>1320</v>
      </c>
      <c r="U195">
        <v>174901</v>
      </c>
      <c r="V195" t="s">
        <v>1738</v>
      </c>
      <c r="W195" t="s">
        <v>1664</v>
      </c>
      <c r="X195" t="s">
        <v>1524</v>
      </c>
      <c r="Y195" t="s">
        <v>1525</v>
      </c>
      <c r="AA195" t="s">
        <v>1526</v>
      </c>
      <c r="AB195" t="s">
        <v>1527</v>
      </c>
      <c r="AC195">
        <v>99104</v>
      </c>
      <c r="AD195" t="s">
        <v>1665</v>
      </c>
      <c r="AE195">
        <v>-37.810886199999999</v>
      </c>
      <c r="AF195">
        <v>175.78431617999999</v>
      </c>
      <c r="AG195" s="175">
        <v>40</v>
      </c>
      <c r="AH195" s="175">
        <v>0</v>
      </c>
      <c r="AI195" s="175">
        <v>0</v>
      </c>
      <c r="AJ195" s="175">
        <v>0</v>
      </c>
      <c r="AK195" s="175">
        <v>7</v>
      </c>
      <c r="AL195" s="175">
        <v>18</v>
      </c>
      <c r="AM195" s="175">
        <v>24</v>
      </c>
      <c r="AN195" s="175">
        <v>0</v>
      </c>
      <c r="AO195" s="175">
        <v>49</v>
      </c>
      <c r="AP195" s="175">
        <v>46</v>
      </c>
      <c r="AQ195" s="175">
        <v>14</v>
      </c>
      <c r="AR195" s="175">
        <v>0</v>
      </c>
      <c r="AS195" s="175">
        <v>3</v>
      </c>
      <c r="AT195" s="175">
        <v>0</v>
      </c>
    </row>
    <row r="196" spans="1:46">
      <c r="A196">
        <v>5197</v>
      </c>
      <c r="B196" t="s">
        <v>1739</v>
      </c>
      <c r="C196" t="s">
        <v>1517</v>
      </c>
      <c r="D196" t="s">
        <v>1740</v>
      </c>
      <c r="E196" t="s">
        <v>1741</v>
      </c>
      <c r="G196" t="s">
        <v>1621</v>
      </c>
      <c r="H196" t="s">
        <v>452</v>
      </c>
      <c r="J196" t="s">
        <v>605</v>
      </c>
      <c r="K196" t="s">
        <v>606</v>
      </c>
      <c r="M196" t="s">
        <v>1382</v>
      </c>
      <c r="N196" t="s">
        <v>657</v>
      </c>
      <c r="O196" t="s">
        <v>1403</v>
      </c>
      <c r="P196" t="s">
        <v>1347</v>
      </c>
      <c r="Q196" t="s">
        <v>510</v>
      </c>
      <c r="R196" t="s">
        <v>1384</v>
      </c>
      <c r="S196" t="s">
        <v>1501</v>
      </c>
      <c r="T196" t="s">
        <v>1320</v>
      </c>
      <c r="U196">
        <v>183600</v>
      </c>
      <c r="V196" t="s">
        <v>1742</v>
      </c>
      <c r="W196" t="s">
        <v>1623</v>
      </c>
      <c r="X196" t="s">
        <v>1571</v>
      </c>
      <c r="Y196" t="s">
        <v>1525</v>
      </c>
      <c r="AA196" t="s">
        <v>1526</v>
      </c>
      <c r="AB196" t="s">
        <v>1572</v>
      </c>
      <c r="AE196">
        <v>-38.009156359999999</v>
      </c>
      <c r="AF196">
        <v>175.32021598</v>
      </c>
      <c r="AG196" s="175">
        <v>40</v>
      </c>
      <c r="AH196" s="175">
        <v>0</v>
      </c>
      <c r="AI196" s="175">
        <v>0</v>
      </c>
      <c r="AJ196" s="175">
        <v>0</v>
      </c>
      <c r="AK196" s="175">
        <v>8</v>
      </c>
      <c r="AL196" s="175">
        <v>15</v>
      </c>
      <c r="AM196" s="175">
        <v>21</v>
      </c>
      <c r="AN196" s="175">
        <v>0</v>
      </c>
      <c r="AO196" s="175">
        <v>44</v>
      </c>
      <c r="AP196" s="175">
        <v>33</v>
      </c>
      <c r="AQ196" s="175">
        <v>17</v>
      </c>
      <c r="AR196" s="175">
        <v>2</v>
      </c>
      <c r="AS196" s="175">
        <v>5</v>
      </c>
      <c r="AT196" s="175">
        <v>3</v>
      </c>
    </row>
    <row r="197" spans="1:46">
      <c r="A197">
        <v>5198</v>
      </c>
      <c r="B197" t="s">
        <v>1743</v>
      </c>
      <c r="C197" t="s">
        <v>1744</v>
      </c>
      <c r="D197" t="s">
        <v>1745</v>
      </c>
      <c r="E197" t="s">
        <v>1746</v>
      </c>
      <c r="F197" t="s">
        <v>1747</v>
      </c>
      <c r="G197" t="s">
        <v>1604</v>
      </c>
      <c r="H197" t="s">
        <v>452</v>
      </c>
      <c r="J197" t="s">
        <v>605</v>
      </c>
      <c r="K197" t="s">
        <v>606</v>
      </c>
      <c r="M197" t="s">
        <v>1382</v>
      </c>
      <c r="N197" t="s">
        <v>657</v>
      </c>
      <c r="O197" t="s">
        <v>1605</v>
      </c>
      <c r="P197" t="s">
        <v>670</v>
      </c>
      <c r="Q197" t="s">
        <v>511</v>
      </c>
      <c r="R197" t="s">
        <v>1555</v>
      </c>
      <c r="S197" t="s">
        <v>1604</v>
      </c>
      <c r="T197" t="s">
        <v>1557</v>
      </c>
      <c r="U197">
        <v>201401</v>
      </c>
      <c r="V197" t="s">
        <v>1712</v>
      </c>
      <c r="W197" t="s">
        <v>1606</v>
      </c>
      <c r="X197" t="s">
        <v>1607</v>
      </c>
      <c r="Y197" t="s">
        <v>1525</v>
      </c>
      <c r="AA197" t="s">
        <v>1526</v>
      </c>
      <c r="AB197" t="s">
        <v>1608</v>
      </c>
      <c r="AC197">
        <v>99017</v>
      </c>
      <c r="AD197" t="s">
        <v>1713</v>
      </c>
      <c r="AE197">
        <v>-38.141813509999999</v>
      </c>
      <c r="AF197">
        <v>176.29118958999999</v>
      </c>
      <c r="AG197" s="175">
        <v>40</v>
      </c>
      <c r="AH197" s="175">
        <v>0</v>
      </c>
      <c r="AI197" s="175">
        <v>0</v>
      </c>
      <c r="AJ197" s="175">
        <v>0</v>
      </c>
      <c r="AK197" s="175">
        <v>8</v>
      </c>
      <c r="AL197" s="175">
        <v>12</v>
      </c>
      <c r="AM197" s="175">
        <v>20</v>
      </c>
      <c r="AN197" s="175">
        <v>3</v>
      </c>
      <c r="AO197" s="175">
        <v>43</v>
      </c>
      <c r="AP197" s="175">
        <v>28</v>
      </c>
      <c r="AQ197" s="175">
        <v>9</v>
      </c>
      <c r="AR197" s="175">
        <v>4</v>
      </c>
      <c r="AS197" s="175">
        <v>8</v>
      </c>
      <c r="AT197" s="175">
        <v>4</v>
      </c>
    </row>
    <row r="198" spans="1:46">
      <c r="A198">
        <v>5199</v>
      </c>
      <c r="B198" t="s">
        <v>1748</v>
      </c>
      <c r="C198" t="s">
        <v>1749</v>
      </c>
      <c r="D198" t="s">
        <v>1750</v>
      </c>
      <c r="E198" t="s">
        <v>1751</v>
      </c>
      <c r="F198" t="s">
        <v>1752</v>
      </c>
      <c r="G198" t="s">
        <v>1604</v>
      </c>
      <c r="H198" t="s">
        <v>452</v>
      </c>
      <c r="J198" t="s">
        <v>605</v>
      </c>
      <c r="K198" t="s">
        <v>606</v>
      </c>
      <c r="M198" t="s">
        <v>1382</v>
      </c>
      <c r="N198" t="s">
        <v>812</v>
      </c>
      <c r="O198" t="s">
        <v>1605</v>
      </c>
      <c r="P198" t="s">
        <v>670</v>
      </c>
      <c r="Q198" t="s">
        <v>511</v>
      </c>
      <c r="R198" t="s">
        <v>1555</v>
      </c>
      <c r="S198" t="s">
        <v>1604</v>
      </c>
      <c r="T198" t="s">
        <v>1557</v>
      </c>
      <c r="U198">
        <v>198500</v>
      </c>
      <c r="V198" t="s">
        <v>1752</v>
      </c>
      <c r="W198" t="s">
        <v>1606</v>
      </c>
      <c r="X198" t="s">
        <v>1607</v>
      </c>
      <c r="Y198" t="s">
        <v>1525</v>
      </c>
      <c r="AA198" t="s">
        <v>1526</v>
      </c>
      <c r="AB198" t="s">
        <v>1608</v>
      </c>
      <c r="AC198">
        <v>99107</v>
      </c>
      <c r="AD198" t="s">
        <v>1609</v>
      </c>
      <c r="AE198">
        <v>-38.11358242</v>
      </c>
      <c r="AF198">
        <v>176.22398132000001</v>
      </c>
      <c r="AG198" s="175">
        <v>45</v>
      </c>
      <c r="AH198" s="175">
        <v>0</v>
      </c>
      <c r="AI198" s="175">
        <v>0</v>
      </c>
      <c r="AJ198" s="175">
        <v>0</v>
      </c>
      <c r="AK198" s="175">
        <v>10</v>
      </c>
      <c r="AL198" s="175">
        <v>14</v>
      </c>
      <c r="AM198" s="175">
        <v>15</v>
      </c>
      <c r="AN198" s="175">
        <v>1</v>
      </c>
      <c r="AO198" s="175">
        <v>40</v>
      </c>
      <c r="AP198" s="175">
        <v>20</v>
      </c>
      <c r="AQ198" s="175">
        <v>24</v>
      </c>
      <c r="AR198" s="175">
        <v>7</v>
      </c>
      <c r="AS198" s="175">
        <v>2</v>
      </c>
      <c r="AT198" s="175">
        <v>1</v>
      </c>
    </row>
    <row r="199" spans="1:46">
      <c r="A199">
        <v>5201</v>
      </c>
      <c r="B199" t="s">
        <v>1753</v>
      </c>
      <c r="C199" t="s">
        <v>1517</v>
      </c>
      <c r="D199" t="s">
        <v>1754</v>
      </c>
      <c r="E199" t="s">
        <v>1755</v>
      </c>
      <c r="G199" t="s">
        <v>1717</v>
      </c>
      <c r="H199" t="s">
        <v>452</v>
      </c>
      <c r="J199" t="s">
        <v>605</v>
      </c>
      <c r="K199" t="s">
        <v>606</v>
      </c>
      <c r="M199" t="s">
        <v>1382</v>
      </c>
      <c r="N199" t="s">
        <v>625</v>
      </c>
      <c r="O199" t="s">
        <v>1718</v>
      </c>
      <c r="P199" t="s">
        <v>610</v>
      </c>
      <c r="Q199" t="s">
        <v>553</v>
      </c>
      <c r="R199" t="s">
        <v>1384</v>
      </c>
      <c r="S199" t="s">
        <v>1719</v>
      </c>
      <c r="T199" t="s">
        <v>1568</v>
      </c>
      <c r="U199">
        <v>222500</v>
      </c>
      <c r="V199" t="s">
        <v>1756</v>
      </c>
      <c r="W199" t="s">
        <v>1721</v>
      </c>
      <c r="X199" t="s">
        <v>1571</v>
      </c>
      <c r="Y199" t="s">
        <v>1525</v>
      </c>
      <c r="AA199" t="s">
        <v>1526</v>
      </c>
      <c r="AB199" t="s">
        <v>1572</v>
      </c>
      <c r="AC199">
        <v>99201</v>
      </c>
      <c r="AD199" t="s">
        <v>1722</v>
      </c>
      <c r="AE199">
        <v>-38.868009290000003</v>
      </c>
      <c r="AF199">
        <v>175.25240385999999</v>
      </c>
      <c r="AG199" s="175">
        <v>40</v>
      </c>
      <c r="AH199" s="175">
        <v>0</v>
      </c>
      <c r="AI199" s="175">
        <v>0</v>
      </c>
      <c r="AJ199" s="175">
        <v>0</v>
      </c>
      <c r="AK199" s="175">
        <v>9</v>
      </c>
      <c r="AL199" s="175">
        <v>9</v>
      </c>
      <c r="AM199" s="175">
        <v>20</v>
      </c>
      <c r="AN199" s="175">
        <v>1</v>
      </c>
      <c r="AO199" s="175">
        <v>39</v>
      </c>
      <c r="AP199" s="175">
        <v>24</v>
      </c>
      <c r="AQ199" s="175">
        <v>23</v>
      </c>
      <c r="AR199" s="175">
        <v>1</v>
      </c>
      <c r="AS199" s="175">
        <v>1</v>
      </c>
      <c r="AT199" s="175">
        <v>5</v>
      </c>
    </row>
    <row r="200" spans="1:46">
      <c r="A200">
        <v>5204</v>
      </c>
      <c r="B200" t="s">
        <v>1757</v>
      </c>
      <c r="C200" t="s">
        <v>1758</v>
      </c>
      <c r="D200" t="s">
        <v>1759</v>
      </c>
      <c r="E200" t="s">
        <v>1760</v>
      </c>
      <c r="G200" t="s">
        <v>1761</v>
      </c>
      <c r="H200" t="s">
        <v>452</v>
      </c>
      <c r="J200" t="s">
        <v>605</v>
      </c>
      <c r="K200" t="s">
        <v>606</v>
      </c>
      <c r="M200" t="s">
        <v>1382</v>
      </c>
      <c r="N200" t="s">
        <v>608</v>
      </c>
      <c r="O200" t="s">
        <v>1629</v>
      </c>
      <c r="P200" t="s">
        <v>610</v>
      </c>
      <c r="Q200" t="s">
        <v>510</v>
      </c>
      <c r="R200" t="s">
        <v>1555</v>
      </c>
      <c r="S200" t="s">
        <v>1404</v>
      </c>
      <c r="T200" t="s">
        <v>1557</v>
      </c>
      <c r="U200">
        <v>189700</v>
      </c>
      <c r="V200" t="s">
        <v>1762</v>
      </c>
      <c r="W200" t="s">
        <v>1763</v>
      </c>
      <c r="X200" t="s">
        <v>1632</v>
      </c>
      <c r="Y200" t="s">
        <v>1525</v>
      </c>
      <c r="AA200" t="s">
        <v>1526</v>
      </c>
      <c r="AC200">
        <v>99020</v>
      </c>
      <c r="AD200" t="s">
        <v>1633</v>
      </c>
      <c r="AE200">
        <v>-38.984840310000003</v>
      </c>
      <c r="AF200">
        <v>175.81029509000001</v>
      </c>
      <c r="AG200" s="175">
        <v>40</v>
      </c>
      <c r="AH200" s="175">
        <v>0</v>
      </c>
      <c r="AI200" s="175">
        <v>0</v>
      </c>
      <c r="AJ200" s="175">
        <v>0</v>
      </c>
      <c r="AK200" s="175">
        <v>2</v>
      </c>
      <c r="AL200" s="175">
        <v>15</v>
      </c>
      <c r="AM200" s="175">
        <v>18</v>
      </c>
      <c r="AN200" s="175">
        <v>2</v>
      </c>
      <c r="AO200" s="175">
        <v>37</v>
      </c>
      <c r="AP200" s="175">
        <v>16</v>
      </c>
      <c r="AQ200" s="175">
        <v>30</v>
      </c>
      <c r="AR200" s="175">
        <v>4</v>
      </c>
      <c r="AS200" s="175">
        <v>3</v>
      </c>
      <c r="AT200" s="175">
        <v>2</v>
      </c>
    </row>
    <row r="201" spans="1:46">
      <c r="A201">
        <v>5205</v>
      </c>
      <c r="B201" t="s">
        <v>1764</v>
      </c>
      <c r="C201" t="s">
        <v>1765</v>
      </c>
      <c r="D201" t="s">
        <v>1766</v>
      </c>
      <c r="E201" t="s">
        <v>1767</v>
      </c>
      <c r="G201" t="s">
        <v>1628</v>
      </c>
      <c r="H201" t="s">
        <v>452</v>
      </c>
      <c r="J201" t="s">
        <v>605</v>
      </c>
      <c r="K201" t="s">
        <v>606</v>
      </c>
      <c r="M201" t="s">
        <v>1382</v>
      </c>
      <c r="N201" t="s">
        <v>657</v>
      </c>
      <c r="O201" t="s">
        <v>1629</v>
      </c>
      <c r="P201" t="s">
        <v>1347</v>
      </c>
      <c r="Q201" t="s">
        <v>510</v>
      </c>
      <c r="R201" t="s">
        <v>1555</v>
      </c>
      <c r="S201" t="s">
        <v>1404</v>
      </c>
      <c r="T201" t="s">
        <v>1557</v>
      </c>
      <c r="U201">
        <v>189300</v>
      </c>
      <c r="V201" t="s">
        <v>1768</v>
      </c>
      <c r="W201" t="s">
        <v>1631</v>
      </c>
      <c r="X201" t="s">
        <v>1632</v>
      </c>
      <c r="Y201" t="s">
        <v>1525</v>
      </c>
      <c r="AA201" t="s">
        <v>1526</v>
      </c>
      <c r="AC201">
        <v>99020</v>
      </c>
      <c r="AD201" t="s">
        <v>1633</v>
      </c>
      <c r="AE201">
        <v>-38.71791949</v>
      </c>
      <c r="AF201">
        <v>176.08841674000001</v>
      </c>
      <c r="AG201" s="175">
        <v>40</v>
      </c>
      <c r="AH201" s="175">
        <v>0</v>
      </c>
      <c r="AI201" s="175">
        <v>0</v>
      </c>
      <c r="AJ201" s="175">
        <v>0</v>
      </c>
      <c r="AK201" s="175">
        <v>2</v>
      </c>
      <c r="AL201" s="175">
        <v>17</v>
      </c>
      <c r="AM201" s="175">
        <v>22</v>
      </c>
      <c r="AN201" s="175">
        <v>2</v>
      </c>
      <c r="AO201" s="175">
        <v>43</v>
      </c>
      <c r="AP201" s="175">
        <v>31</v>
      </c>
      <c r="AQ201" s="175">
        <v>10</v>
      </c>
      <c r="AR201" s="175">
        <v>2</v>
      </c>
      <c r="AS201" s="175">
        <v>3</v>
      </c>
      <c r="AT201" s="175">
        <v>6</v>
      </c>
    </row>
    <row r="202" spans="1:46">
      <c r="A202">
        <v>5206</v>
      </c>
      <c r="B202" t="s">
        <v>1769</v>
      </c>
      <c r="C202" t="s">
        <v>1770</v>
      </c>
      <c r="D202" t="s">
        <v>1771</v>
      </c>
      <c r="E202" t="s">
        <v>1772</v>
      </c>
      <c r="F202" t="s">
        <v>1773</v>
      </c>
      <c r="G202" t="s">
        <v>1604</v>
      </c>
      <c r="H202" t="s">
        <v>452</v>
      </c>
      <c r="J202" t="s">
        <v>605</v>
      </c>
      <c r="K202" t="s">
        <v>606</v>
      </c>
      <c r="M202" t="s">
        <v>1382</v>
      </c>
      <c r="N202" t="s">
        <v>608</v>
      </c>
      <c r="O202" t="s">
        <v>1605</v>
      </c>
      <c r="P202" t="s">
        <v>670</v>
      </c>
      <c r="Q202" t="s">
        <v>511</v>
      </c>
      <c r="R202" t="s">
        <v>1555</v>
      </c>
      <c r="S202" t="s">
        <v>1604</v>
      </c>
      <c r="T202" t="s">
        <v>1557</v>
      </c>
      <c r="U202">
        <v>199000</v>
      </c>
      <c r="V202" t="s">
        <v>1774</v>
      </c>
      <c r="W202" t="s">
        <v>1606</v>
      </c>
      <c r="X202" t="s">
        <v>1607</v>
      </c>
      <c r="Y202" t="s">
        <v>1525</v>
      </c>
      <c r="AA202" t="s">
        <v>1526</v>
      </c>
      <c r="AB202" t="s">
        <v>1608</v>
      </c>
      <c r="AC202">
        <v>99107</v>
      </c>
      <c r="AD202" t="s">
        <v>1609</v>
      </c>
      <c r="AE202">
        <v>-38.123955219999999</v>
      </c>
      <c r="AF202">
        <v>176.21902370999999</v>
      </c>
      <c r="AG202" s="175">
        <v>40</v>
      </c>
      <c r="AH202" s="175">
        <v>0</v>
      </c>
      <c r="AI202" s="175">
        <v>0</v>
      </c>
      <c r="AJ202" s="175">
        <v>0</v>
      </c>
      <c r="AK202" s="175">
        <v>7</v>
      </c>
      <c r="AL202" s="175">
        <v>10</v>
      </c>
      <c r="AM202" s="175">
        <v>10</v>
      </c>
      <c r="AN202" s="175">
        <v>2</v>
      </c>
      <c r="AO202" s="175">
        <v>29</v>
      </c>
      <c r="AP202" s="175">
        <v>10</v>
      </c>
      <c r="AQ202" s="175">
        <v>22</v>
      </c>
      <c r="AR202" s="175">
        <v>5</v>
      </c>
      <c r="AS202" s="175">
        <v>1</v>
      </c>
      <c r="AT202" s="175">
        <v>0</v>
      </c>
    </row>
    <row r="203" spans="1:46">
      <c r="A203">
        <v>5207</v>
      </c>
      <c r="B203" t="s">
        <v>1775</v>
      </c>
      <c r="C203" t="s">
        <v>1776</v>
      </c>
      <c r="D203" t="s">
        <v>1777</v>
      </c>
      <c r="E203" t="s">
        <v>1778</v>
      </c>
      <c r="G203" t="s">
        <v>1779</v>
      </c>
      <c r="H203" t="s">
        <v>452</v>
      </c>
      <c r="J203" t="s">
        <v>605</v>
      </c>
      <c r="K203" t="s">
        <v>606</v>
      </c>
      <c r="M203" t="s">
        <v>1382</v>
      </c>
      <c r="N203" t="s">
        <v>657</v>
      </c>
      <c r="O203" t="s">
        <v>1780</v>
      </c>
      <c r="P203" t="s">
        <v>739</v>
      </c>
      <c r="Q203" t="s">
        <v>511</v>
      </c>
      <c r="R203" t="s">
        <v>1555</v>
      </c>
      <c r="S203" t="s">
        <v>1781</v>
      </c>
      <c r="T203" t="s">
        <v>1557</v>
      </c>
      <c r="U203">
        <v>195800</v>
      </c>
      <c r="V203" t="s">
        <v>1782</v>
      </c>
      <c r="W203" t="s">
        <v>1783</v>
      </c>
      <c r="X203" t="s">
        <v>1679</v>
      </c>
      <c r="Y203" t="s">
        <v>1680</v>
      </c>
      <c r="Z203" t="s">
        <v>1681</v>
      </c>
      <c r="AA203" t="s">
        <v>1682</v>
      </c>
      <c r="AB203" t="s">
        <v>1683</v>
      </c>
      <c r="AC203">
        <v>99064</v>
      </c>
      <c r="AD203" t="s">
        <v>1784</v>
      </c>
      <c r="AE203">
        <v>-37.675286870000001</v>
      </c>
      <c r="AF203">
        <v>176.23321695999999</v>
      </c>
      <c r="AG203" s="175">
        <v>45</v>
      </c>
      <c r="AH203" s="175">
        <v>0</v>
      </c>
      <c r="AI203" s="175">
        <v>0</v>
      </c>
      <c r="AJ203" s="175">
        <v>0</v>
      </c>
      <c r="AK203" s="175">
        <v>0</v>
      </c>
      <c r="AL203" s="175">
        <v>8</v>
      </c>
      <c r="AM203" s="175">
        <v>31</v>
      </c>
      <c r="AN203" s="175">
        <v>2</v>
      </c>
      <c r="AO203" s="175">
        <v>41</v>
      </c>
      <c r="AP203" s="175">
        <v>35</v>
      </c>
      <c r="AQ203" s="175">
        <v>9</v>
      </c>
      <c r="AR203" s="175">
        <v>0</v>
      </c>
      <c r="AS203" s="175">
        <v>2</v>
      </c>
      <c r="AT203" s="175">
        <v>2</v>
      </c>
    </row>
    <row r="204" spans="1:46">
      <c r="A204">
        <v>5208</v>
      </c>
      <c r="B204" t="s">
        <v>1785</v>
      </c>
      <c r="C204" t="s">
        <v>1786</v>
      </c>
      <c r="D204" t="s">
        <v>1787</v>
      </c>
      <c r="E204" t="s">
        <v>1788</v>
      </c>
      <c r="F204" t="s">
        <v>1789</v>
      </c>
      <c r="G204" t="s">
        <v>1681</v>
      </c>
      <c r="H204" t="s">
        <v>452</v>
      </c>
      <c r="J204" t="s">
        <v>605</v>
      </c>
      <c r="K204" t="s">
        <v>606</v>
      </c>
      <c r="M204" t="s">
        <v>1382</v>
      </c>
      <c r="N204" t="s">
        <v>643</v>
      </c>
      <c r="O204" t="s">
        <v>1780</v>
      </c>
      <c r="P204" t="s">
        <v>739</v>
      </c>
      <c r="Q204" t="s">
        <v>511</v>
      </c>
      <c r="R204" t="s">
        <v>1555</v>
      </c>
      <c r="S204" t="s">
        <v>1681</v>
      </c>
      <c r="T204" t="s">
        <v>1557</v>
      </c>
      <c r="U204">
        <v>193600</v>
      </c>
      <c r="V204" t="s">
        <v>1790</v>
      </c>
      <c r="W204" t="s">
        <v>1791</v>
      </c>
      <c r="X204" t="s">
        <v>1679</v>
      </c>
      <c r="Y204" t="s">
        <v>1680</v>
      </c>
      <c r="Z204" t="s">
        <v>1681</v>
      </c>
      <c r="AA204" t="s">
        <v>1682</v>
      </c>
      <c r="AB204" t="s">
        <v>1683</v>
      </c>
      <c r="AC204">
        <v>99036</v>
      </c>
      <c r="AD204" t="s">
        <v>1792</v>
      </c>
      <c r="AE204">
        <v>-37.691905820000002</v>
      </c>
      <c r="AF204">
        <v>176.13640576</v>
      </c>
      <c r="AG204" s="175">
        <v>42</v>
      </c>
      <c r="AH204" s="175">
        <v>0</v>
      </c>
      <c r="AI204" s="175">
        <v>0</v>
      </c>
      <c r="AJ204" s="175">
        <v>0</v>
      </c>
      <c r="AK204" s="175">
        <v>2</v>
      </c>
      <c r="AL204" s="175">
        <v>16</v>
      </c>
      <c r="AM204" s="175">
        <v>12</v>
      </c>
      <c r="AN204" s="175">
        <v>0</v>
      </c>
      <c r="AO204" s="175">
        <v>30</v>
      </c>
      <c r="AP204" s="175">
        <v>24</v>
      </c>
      <c r="AQ204" s="175">
        <v>13</v>
      </c>
      <c r="AR204" s="175">
        <v>2</v>
      </c>
      <c r="AS204" s="175">
        <v>3</v>
      </c>
      <c r="AT204" s="175">
        <v>1</v>
      </c>
    </row>
    <row r="205" spans="1:46">
      <c r="A205">
        <v>5209</v>
      </c>
      <c r="B205" t="s">
        <v>1793</v>
      </c>
      <c r="C205" t="s">
        <v>1794</v>
      </c>
      <c r="D205" t="s">
        <v>1795</v>
      </c>
      <c r="E205" t="s">
        <v>1796</v>
      </c>
      <c r="F205" t="s">
        <v>1797</v>
      </c>
      <c r="G205" t="s">
        <v>1681</v>
      </c>
      <c r="H205" t="s">
        <v>452</v>
      </c>
      <c r="J205" t="s">
        <v>605</v>
      </c>
      <c r="K205" t="s">
        <v>606</v>
      </c>
      <c r="M205" t="s">
        <v>1382</v>
      </c>
      <c r="N205" t="s">
        <v>643</v>
      </c>
      <c r="O205" t="s">
        <v>1780</v>
      </c>
      <c r="P205" t="s">
        <v>739</v>
      </c>
      <c r="Q205" t="s">
        <v>511</v>
      </c>
      <c r="R205" t="s">
        <v>1555</v>
      </c>
      <c r="S205" t="s">
        <v>1681</v>
      </c>
      <c r="T205" t="s">
        <v>1557</v>
      </c>
      <c r="U205">
        <v>194700</v>
      </c>
      <c r="V205" t="s">
        <v>1798</v>
      </c>
      <c r="W205" t="s">
        <v>1799</v>
      </c>
      <c r="X205" t="s">
        <v>1679</v>
      </c>
      <c r="Y205" t="s">
        <v>1680</v>
      </c>
      <c r="Z205" t="s">
        <v>1681</v>
      </c>
      <c r="AA205" t="s">
        <v>1682</v>
      </c>
      <c r="AB205" t="s">
        <v>1683</v>
      </c>
      <c r="AC205">
        <v>99085</v>
      </c>
      <c r="AD205" t="s">
        <v>1800</v>
      </c>
      <c r="AE205">
        <v>-37.728114140000002</v>
      </c>
      <c r="AF205">
        <v>176.13308710000001</v>
      </c>
      <c r="AG205" s="175">
        <v>45</v>
      </c>
      <c r="AH205" s="175">
        <v>0</v>
      </c>
      <c r="AI205" s="175">
        <v>0</v>
      </c>
      <c r="AJ205" s="175">
        <v>0</v>
      </c>
      <c r="AK205" s="175">
        <v>0</v>
      </c>
      <c r="AL205" s="175">
        <v>15</v>
      </c>
      <c r="AM205" s="175">
        <v>24</v>
      </c>
      <c r="AN205" s="175">
        <v>2</v>
      </c>
      <c r="AO205" s="175">
        <v>41</v>
      </c>
      <c r="AP205" s="175">
        <v>18</v>
      </c>
      <c r="AQ205" s="175">
        <v>13</v>
      </c>
      <c r="AR205" s="175">
        <v>8</v>
      </c>
      <c r="AS205" s="175">
        <v>7</v>
      </c>
      <c r="AT205" s="175">
        <v>2</v>
      </c>
    </row>
    <row r="206" spans="1:46">
      <c r="A206">
        <v>5210</v>
      </c>
      <c r="B206" t="s">
        <v>1801</v>
      </c>
      <c r="C206" t="s">
        <v>1802</v>
      </c>
      <c r="D206" t="s">
        <v>1803</v>
      </c>
      <c r="E206" t="s">
        <v>1804</v>
      </c>
      <c r="G206" t="s">
        <v>1779</v>
      </c>
      <c r="H206" t="s">
        <v>452</v>
      </c>
      <c r="J206" t="s">
        <v>605</v>
      </c>
      <c r="K206" t="s">
        <v>606</v>
      </c>
      <c r="M206" t="s">
        <v>1382</v>
      </c>
      <c r="N206" t="s">
        <v>657</v>
      </c>
      <c r="O206" t="s">
        <v>1780</v>
      </c>
      <c r="P206" t="s">
        <v>739</v>
      </c>
      <c r="Q206" t="s">
        <v>511</v>
      </c>
      <c r="R206" t="s">
        <v>1555</v>
      </c>
      <c r="S206" t="s">
        <v>1681</v>
      </c>
      <c r="T206" t="s">
        <v>1557</v>
      </c>
      <c r="U206">
        <v>194300</v>
      </c>
      <c r="V206" t="s">
        <v>1805</v>
      </c>
      <c r="W206" t="s">
        <v>1806</v>
      </c>
      <c r="X206" t="s">
        <v>1679</v>
      </c>
      <c r="Y206" t="s">
        <v>1680</v>
      </c>
      <c r="Z206" t="s">
        <v>1681</v>
      </c>
      <c r="AA206" t="s">
        <v>1682</v>
      </c>
      <c r="AB206" t="s">
        <v>1683</v>
      </c>
      <c r="AC206">
        <v>99064</v>
      </c>
      <c r="AD206" t="s">
        <v>1784</v>
      </c>
      <c r="AE206">
        <v>-37.659361410000002</v>
      </c>
      <c r="AF206">
        <v>176.20556794000001</v>
      </c>
      <c r="AG206" s="175">
        <v>45</v>
      </c>
      <c r="AH206" s="175">
        <v>0</v>
      </c>
      <c r="AI206" s="175">
        <v>0</v>
      </c>
      <c r="AJ206" s="175">
        <v>0</v>
      </c>
      <c r="AK206" s="175">
        <v>0</v>
      </c>
      <c r="AL206" s="175">
        <v>13</v>
      </c>
      <c r="AM206" s="175">
        <v>29</v>
      </c>
      <c r="AN206" s="175">
        <v>3</v>
      </c>
      <c r="AO206" s="175">
        <v>45</v>
      </c>
      <c r="AP206" s="175">
        <v>42</v>
      </c>
      <c r="AQ206" s="175">
        <v>8</v>
      </c>
      <c r="AR206" s="175">
        <v>1</v>
      </c>
      <c r="AS206" s="175">
        <v>0</v>
      </c>
      <c r="AT206" s="175">
        <v>5</v>
      </c>
    </row>
    <row r="207" spans="1:46">
      <c r="A207">
        <v>5211</v>
      </c>
      <c r="B207" t="s">
        <v>1807</v>
      </c>
      <c r="C207" t="s">
        <v>1808</v>
      </c>
      <c r="D207" t="s">
        <v>1809</v>
      </c>
      <c r="E207" t="s">
        <v>1810</v>
      </c>
      <c r="F207" t="s">
        <v>1811</v>
      </c>
      <c r="G207" t="s">
        <v>1681</v>
      </c>
      <c r="H207" t="s">
        <v>452</v>
      </c>
      <c r="J207" t="s">
        <v>605</v>
      </c>
      <c r="K207" t="s">
        <v>606</v>
      </c>
      <c r="M207" t="s">
        <v>1382</v>
      </c>
      <c r="N207" t="s">
        <v>657</v>
      </c>
      <c r="O207" t="s">
        <v>1780</v>
      </c>
      <c r="P207" t="s">
        <v>739</v>
      </c>
      <c r="Q207" t="s">
        <v>511</v>
      </c>
      <c r="R207" t="s">
        <v>1555</v>
      </c>
      <c r="S207" t="s">
        <v>1781</v>
      </c>
      <c r="T207" t="s">
        <v>1557</v>
      </c>
      <c r="U207">
        <v>195900</v>
      </c>
      <c r="V207" t="s">
        <v>1812</v>
      </c>
      <c r="W207" t="s">
        <v>1813</v>
      </c>
      <c r="X207" t="s">
        <v>1679</v>
      </c>
      <c r="Y207" t="s">
        <v>1680</v>
      </c>
      <c r="Z207" t="s">
        <v>1681</v>
      </c>
      <c r="AA207" t="s">
        <v>1682</v>
      </c>
      <c r="AB207" t="s">
        <v>1683</v>
      </c>
      <c r="AC207">
        <v>99085</v>
      </c>
      <c r="AD207" t="s">
        <v>1800</v>
      </c>
      <c r="AE207">
        <v>-37.715414629999998</v>
      </c>
      <c r="AF207">
        <v>176.18308786</v>
      </c>
      <c r="AG207" s="175">
        <v>45</v>
      </c>
      <c r="AH207" s="175">
        <v>0</v>
      </c>
      <c r="AI207" s="175">
        <v>0</v>
      </c>
      <c r="AJ207" s="175">
        <v>0</v>
      </c>
      <c r="AK207" s="175">
        <v>6</v>
      </c>
      <c r="AL207" s="175">
        <v>18</v>
      </c>
      <c r="AM207" s="175">
        <v>22</v>
      </c>
      <c r="AN207" s="175">
        <v>4</v>
      </c>
      <c r="AO207" s="175">
        <v>50</v>
      </c>
      <c r="AP207" s="175">
        <v>44</v>
      </c>
      <c r="AQ207" s="175">
        <v>11</v>
      </c>
      <c r="AR207" s="175">
        <v>2</v>
      </c>
      <c r="AS207" s="175">
        <v>5</v>
      </c>
      <c r="AT207" s="175">
        <v>1</v>
      </c>
    </row>
    <row r="208" spans="1:46">
      <c r="A208">
        <v>5212</v>
      </c>
      <c r="B208" t="s">
        <v>1814</v>
      </c>
      <c r="C208" t="s">
        <v>1815</v>
      </c>
      <c r="D208" t="s">
        <v>1816</v>
      </c>
      <c r="E208" t="s">
        <v>1817</v>
      </c>
      <c r="F208" t="s">
        <v>1789</v>
      </c>
      <c r="G208" t="s">
        <v>1681</v>
      </c>
      <c r="H208" t="s">
        <v>452</v>
      </c>
      <c r="J208" t="s">
        <v>605</v>
      </c>
      <c r="K208" t="s">
        <v>606</v>
      </c>
      <c r="M208" t="s">
        <v>1382</v>
      </c>
      <c r="N208" t="s">
        <v>657</v>
      </c>
      <c r="O208" t="s">
        <v>1780</v>
      </c>
      <c r="P208" t="s">
        <v>739</v>
      </c>
      <c r="Q208" t="s">
        <v>511</v>
      </c>
      <c r="R208" t="s">
        <v>1555</v>
      </c>
      <c r="S208" t="s">
        <v>1681</v>
      </c>
      <c r="T208" t="s">
        <v>1557</v>
      </c>
      <c r="U208">
        <v>193202</v>
      </c>
      <c r="V208" t="s">
        <v>1818</v>
      </c>
      <c r="W208" t="s">
        <v>1819</v>
      </c>
      <c r="X208" t="s">
        <v>1679</v>
      </c>
      <c r="Y208" t="s">
        <v>1680</v>
      </c>
      <c r="Z208" t="s">
        <v>1681</v>
      </c>
      <c r="AA208" t="s">
        <v>1682</v>
      </c>
      <c r="AB208" t="s">
        <v>1683</v>
      </c>
      <c r="AC208">
        <v>99036</v>
      </c>
      <c r="AD208" t="s">
        <v>1792</v>
      </c>
      <c r="AE208">
        <v>-37.67445043</v>
      </c>
      <c r="AF208">
        <v>176.14974824000001</v>
      </c>
      <c r="AG208" s="175">
        <v>45</v>
      </c>
      <c r="AH208" s="175">
        <v>0</v>
      </c>
      <c r="AI208" s="175">
        <v>0</v>
      </c>
      <c r="AJ208" s="175">
        <v>0</v>
      </c>
      <c r="AK208" s="175">
        <v>9</v>
      </c>
      <c r="AL208" s="175">
        <v>16</v>
      </c>
      <c r="AM208" s="175">
        <v>25</v>
      </c>
      <c r="AN208" s="175">
        <v>0</v>
      </c>
      <c r="AO208" s="175">
        <v>50</v>
      </c>
      <c r="AP208" s="175">
        <v>50</v>
      </c>
      <c r="AQ208" s="175">
        <v>2</v>
      </c>
      <c r="AR208" s="175">
        <v>1</v>
      </c>
      <c r="AS208" s="175">
        <v>0</v>
      </c>
      <c r="AT208" s="175">
        <v>0</v>
      </c>
    </row>
    <row r="209" spans="1:46">
      <c r="A209">
        <v>5214</v>
      </c>
      <c r="B209" t="s">
        <v>1820</v>
      </c>
      <c r="C209" t="s">
        <v>1821</v>
      </c>
      <c r="D209" t="s">
        <v>1822</v>
      </c>
      <c r="E209" t="s">
        <v>1823</v>
      </c>
      <c r="G209" t="s">
        <v>1824</v>
      </c>
      <c r="H209" t="s">
        <v>452</v>
      </c>
      <c r="J209" t="s">
        <v>605</v>
      </c>
      <c r="K209" t="s">
        <v>606</v>
      </c>
      <c r="M209" t="s">
        <v>1382</v>
      </c>
      <c r="N209" t="s">
        <v>657</v>
      </c>
      <c r="O209" t="s">
        <v>1825</v>
      </c>
      <c r="P209" t="s">
        <v>610</v>
      </c>
      <c r="Q209" t="s">
        <v>511</v>
      </c>
      <c r="R209" t="s">
        <v>1555</v>
      </c>
      <c r="S209" t="s">
        <v>1604</v>
      </c>
      <c r="T209" t="s">
        <v>1557</v>
      </c>
      <c r="U209">
        <v>192101</v>
      </c>
      <c r="V209" t="s">
        <v>1826</v>
      </c>
      <c r="W209" t="s">
        <v>1827</v>
      </c>
      <c r="X209" t="s">
        <v>1679</v>
      </c>
      <c r="Y209" t="s">
        <v>1680</v>
      </c>
      <c r="Z209" t="s">
        <v>1681</v>
      </c>
      <c r="AA209" t="s">
        <v>1682</v>
      </c>
      <c r="AB209" t="s">
        <v>1683</v>
      </c>
      <c r="AC209">
        <v>99086</v>
      </c>
      <c r="AD209" t="s">
        <v>1828</v>
      </c>
      <c r="AE209">
        <v>-37.787610069999999</v>
      </c>
      <c r="AF209">
        <v>176.32373826</v>
      </c>
      <c r="AG209" s="175">
        <v>42</v>
      </c>
      <c r="AH209" s="175">
        <v>0</v>
      </c>
      <c r="AI209" s="175">
        <v>0</v>
      </c>
      <c r="AJ209" s="175">
        <v>0</v>
      </c>
      <c r="AK209" s="175">
        <v>3</v>
      </c>
      <c r="AL209" s="175">
        <v>14</v>
      </c>
      <c r="AM209" s="175">
        <v>19</v>
      </c>
      <c r="AN209" s="175">
        <v>2</v>
      </c>
      <c r="AO209" s="175">
        <v>38</v>
      </c>
      <c r="AP209" s="175">
        <v>20</v>
      </c>
      <c r="AQ209" s="175">
        <v>20</v>
      </c>
      <c r="AR209" s="175">
        <v>2</v>
      </c>
      <c r="AS209" s="175">
        <v>5</v>
      </c>
      <c r="AT209" s="175">
        <v>1</v>
      </c>
    </row>
    <row r="210" spans="1:46">
      <c r="A210">
        <v>5215</v>
      </c>
      <c r="B210" t="s">
        <v>1829</v>
      </c>
      <c r="C210" t="s">
        <v>1830</v>
      </c>
      <c r="D210" t="s">
        <v>1831</v>
      </c>
      <c r="E210" t="s">
        <v>1832</v>
      </c>
      <c r="G210" t="s">
        <v>1824</v>
      </c>
      <c r="H210" t="s">
        <v>452</v>
      </c>
      <c r="J210" t="s">
        <v>605</v>
      </c>
      <c r="K210" t="s">
        <v>606</v>
      </c>
      <c r="M210" t="s">
        <v>1382</v>
      </c>
      <c r="N210" t="s">
        <v>657</v>
      </c>
      <c r="O210" t="s">
        <v>1825</v>
      </c>
      <c r="P210" t="s">
        <v>626</v>
      </c>
      <c r="Q210" t="s">
        <v>511</v>
      </c>
      <c r="R210" t="s">
        <v>1555</v>
      </c>
      <c r="S210" t="s">
        <v>1556</v>
      </c>
      <c r="T210" t="s">
        <v>1557</v>
      </c>
      <c r="U210">
        <v>192500</v>
      </c>
      <c r="V210" t="s">
        <v>1833</v>
      </c>
      <c r="W210" t="s">
        <v>1827</v>
      </c>
      <c r="X210" t="s">
        <v>1679</v>
      </c>
      <c r="Y210" t="s">
        <v>1680</v>
      </c>
      <c r="Z210" t="s">
        <v>1681</v>
      </c>
      <c r="AA210" t="s">
        <v>1682</v>
      </c>
      <c r="AB210" t="s">
        <v>1683</v>
      </c>
      <c r="AC210">
        <v>99086</v>
      </c>
      <c r="AD210" t="s">
        <v>1828</v>
      </c>
      <c r="AE210">
        <v>-37.825635669999997</v>
      </c>
      <c r="AF210">
        <v>176.41436568</v>
      </c>
      <c r="AG210" s="175">
        <v>43</v>
      </c>
      <c r="AH210" s="175">
        <v>0</v>
      </c>
      <c r="AI210" s="175">
        <v>0</v>
      </c>
      <c r="AJ210" s="175">
        <v>0</v>
      </c>
      <c r="AK210" s="175">
        <v>2</v>
      </c>
      <c r="AL210" s="175">
        <v>19</v>
      </c>
      <c r="AM210" s="175">
        <v>27</v>
      </c>
      <c r="AN210" s="175">
        <v>1</v>
      </c>
      <c r="AO210" s="175">
        <v>49</v>
      </c>
      <c r="AP210" s="175">
        <v>42</v>
      </c>
      <c r="AQ210" s="175">
        <v>14</v>
      </c>
      <c r="AR210" s="175">
        <v>1</v>
      </c>
      <c r="AS210" s="175">
        <v>4</v>
      </c>
      <c r="AT210" s="175">
        <v>1</v>
      </c>
    </row>
    <row r="211" spans="1:46">
      <c r="A211">
        <v>5216</v>
      </c>
      <c r="B211" t="s">
        <v>1834</v>
      </c>
      <c r="C211" t="s">
        <v>1835</v>
      </c>
      <c r="D211" t="s">
        <v>1836</v>
      </c>
      <c r="E211" t="s">
        <v>1837</v>
      </c>
      <c r="F211" t="s">
        <v>1838</v>
      </c>
      <c r="G211" t="s">
        <v>1839</v>
      </c>
      <c r="H211" t="s">
        <v>452</v>
      </c>
      <c r="J211" t="s">
        <v>605</v>
      </c>
      <c r="K211" t="s">
        <v>606</v>
      </c>
      <c r="M211" t="s">
        <v>1382</v>
      </c>
      <c r="N211" t="s">
        <v>657</v>
      </c>
      <c r="O211" t="s">
        <v>1840</v>
      </c>
      <c r="P211" t="s">
        <v>670</v>
      </c>
      <c r="Q211" t="s">
        <v>514</v>
      </c>
      <c r="R211" t="s">
        <v>1841</v>
      </c>
      <c r="S211" t="s">
        <v>1839</v>
      </c>
      <c r="T211" t="s">
        <v>1568</v>
      </c>
      <c r="U211">
        <v>217501</v>
      </c>
      <c r="V211" t="s">
        <v>1842</v>
      </c>
      <c r="W211" t="s">
        <v>1843</v>
      </c>
      <c r="X211" t="s">
        <v>1844</v>
      </c>
      <c r="Y211" t="s">
        <v>1845</v>
      </c>
      <c r="AA211" t="s">
        <v>1846</v>
      </c>
      <c r="AB211" t="s">
        <v>1847</v>
      </c>
      <c r="AE211">
        <v>-39.033430459999998</v>
      </c>
      <c r="AF211">
        <v>174.14667417000001</v>
      </c>
      <c r="AG211" s="175">
        <v>31</v>
      </c>
      <c r="AH211" s="175">
        <v>0</v>
      </c>
      <c r="AI211" s="175">
        <v>0</v>
      </c>
      <c r="AJ211" s="175">
        <v>0</v>
      </c>
      <c r="AK211" s="175">
        <v>8</v>
      </c>
      <c r="AL211" s="175">
        <v>17</v>
      </c>
      <c r="AM211" s="175">
        <v>11</v>
      </c>
      <c r="AN211" s="175">
        <v>1</v>
      </c>
      <c r="AO211" s="175">
        <v>37</v>
      </c>
      <c r="AP211" s="175">
        <v>23</v>
      </c>
      <c r="AQ211" s="175">
        <v>11</v>
      </c>
      <c r="AR211" s="175">
        <v>1</v>
      </c>
      <c r="AS211" s="175">
        <v>8</v>
      </c>
      <c r="AT211" s="175">
        <v>5</v>
      </c>
    </row>
    <row r="212" spans="1:46">
      <c r="A212">
        <v>5217</v>
      </c>
      <c r="B212" t="s">
        <v>1848</v>
      </c>
      <c r="C212" t="s">
        <v>1849</v>
      </c>
      <c r="D212" t="s">
        <v>1850</v>
      </c>
      <c r="E212" t="s">
        <v>1851</v>
      </c>
      <c r="G212" t="s">
        <v>1839</v>
      </c>
      <c r="H212" t="s">
        <v>452</v>
      </c>
      <c r="J212" t="s">
        <v>605</v>
      </c>
      <c r="K212" t="s">
        <v>606</v>
      </c>
      <c r="M212" t="s">
        <v>1382</v>
      </c>
      <c r="N212" t="s">
        <v>643</v>
      </c>
      <c r="O212" t="s">
        <v>1840</v>
      </c>
      <c r="P212" t="s">
        <v>670</v>
      </c>
      <c r="Q212" t="s">
        <v>514</v>
      </c>
      <c r="R212" t="s">
        <v>1841</v>
      </c>
      <c r="S212" t="s">
        <v>1839</v>
      </c>
      <c r="T212" t="s">
        <v>1568</v>
      </c>
      <c r="U212">
        <v>218600</v>
      </c>
      <c r="V212" t="s">
        <v>1852</v>
      </c>
      <c r="W212" t="s">
        <v>1843</v>
      </c>
      <c r="X212" t="s">
        <v>1844</v>
      </c>
      <c r="Y212" t="s">
        <v>1845</v>
      </c>
      <c r="AA212" t="s">
        <v>1846</v>
      </c>
      <c r="AB212" t="s">
        <v>1847</v>
      </c>
      <c r="AE212">
        <v>-39.077224639999997</v>
      </c>
      <c r="AF212">
        <v>174.08613101</v>
      </c>
      <c r="AG212" s="175">
        <v>40</v>
      </c>
      <c r="AH212" s="175">
        <v>0</v>
      </c>
      <c r="AI212" s="175">
        <v>0</v>
      </c>
      <c r="AJ212" s="175">
        <v>0</v>
      </c>
      <c r="AK212" s="175">
        <v>3</v>
      </c>
      <c r="AL212" s="175">
        <v>19</v>
      </c>
      <c r="AM212" s="175">
        <v>28</v>
      </c>
      <c r="AN212" s="175">
        <v>1</v>
      </c>
      <c r="AO212" s="175">
        <v>51</v>
      </c>
      <c r="AP212" s="175">
        <v>40</v>
      </c>
      <c r="AQ212" s="175">
        <v>14</v>
      </c>
      <c r="AR212" s="175">
        <v>3</v>
      </c>
      <c r="AS212" s="175">
        <v>7</v>
      </c>
      <c r="AT212" s="175">
        <v>0</v>
      </c>
    </row>
    <row r="213" spans="1:46">
      <c r="A213">
        <v>5218</v>
      </c>
      <c r="B213" t="s">
        <v>1853</v>
      </c>
      <c r="C213" t="s">
        <v>1854</v>
      </c>
      <c r="D213" t="s">
        <v>1855</v>
      </c>
      <c r="E213" t="s">
        <v>1856</v>
      </c>
      <c r="G213" t="s">
        <v>1839</v>
      </c>
      <c r="H213" t="s">
        <v>452</v>
      </c>
      <c r="J213" t="s">
        <v>605</v>
      </c>
      <c r="K213" t="s">
        <v>606</v>
      </c>
      <c r="M213" t="s">
        <v>1382</v>
      </c>
      <c r="N213" t="s">
        <v>625</v>
      </c>
      <c r="O213" t="s">
        <v>1840</v>
      </c>
      <c r="P213" t="s">
        <v>670</v>
      </c>
      <c r="Q213" t="s">
        <v>514</v>
      </c>
      <c r="R213" t="s">
        <v>1841</v>
      </c>
      <c r="S213" t="s">
        <v>1839</v>
      </c>
      <c r="T213" t="s">
        <v>1568</v>
      </c>
      <c r="U213">
        <v>216600</v>
      </c>
      <c r="V213" t="s">
        <v>1857</v>
      </c>
      <c r="W213" t="s">
        <v>1843</v>
      </c>
      <c r="X213" t="s">
        <v>1844</v>
      </c>
      <c r="Y213" t="s">
        <v>1845</v>
      </c>
      <c r="AA213" t="s">
        <v>1846</v>
      </c>
      <c r="AB213" t="s">
        <v>1847</v>
      </c>
      <c r="AE213">
        <v>-39.061264250000001</v>
      </c>
      <c r="AF213">
        <v>174.05118196000001</v>
      </c>
      <c r="AG213" s="175">
        <v>34</v>
      </c>
      <c r="AH213" s="175">
        <v>0</v>
      </c>
      <c r="AI213" s="175">
        <v>0</v>
      </c>
      <c r="AJ213" s="175">
        <v>0</v>
      </c>
      <c r="AK213" s="175">
        <v>0</v>
      </c>
      <c r="AL213" s="175">
        <v>8</v>
      </c>
      <c r="AM213" s="175">
        <v>31</v>
      </c>
      <c r="AN213" s="175">
        <v>1</v>
      </c>
      <c r="AO213" s="175">
        <v>40</v>
      </c>
      <c r="AP213" s="175">
        <v>30</v>
      </c>
      <c r="AQ213" s="175">
        <v>8</v>
      </c>
      <c r="AR213" s="175">
        <v>3</v>
      </c>
      <c r="AS213" s="175">
        <v>6</v>
      </c>
      <c r="AT213" s="175">
        <v>1</v>
      </c>
    </row>
    <row r="214" spans="1:46">
      <c r="A214">
        <v>5219</v>
      </c>
      <c r="B214" t="s">
        <v>1858</v>
      </c>
      <c r="C214" t="s">
        <v>1859</v>
      </c>
      <c r="D214" t="s">
        <v>1860</v>
      </c>
      <c r="E214" t="s">
        <v>1861</v>
      </c>
      <c r="F214" t="s">
        <v>1862</v>
      </c>
      <c r="G214" t="s">
        <v>1839</v>
      </c>
      <c r="H214" t="s">
        <v>452</v>
      </c>
      <c r="J214" t="s">
        <v>605</v>
      </c>
      <c r="K214" t="s">
        <v>606</v>
      </c>
      <c r="M214" t="s">
        <v>1382</v>
      </c>
      <c r="N214" t="s">
        <v>657</v>
      </c>
      <c r="O214" t="s">
        <v>1840</v>
      </c>
      <c r="P214" t="s">
        <v>670</v>
      </c>
      <c r="Q214" t="s">
        <v>514</v>
      </c>
      <c r="R214" t="s">
        <v>1841</v>
      </c>
      <c r="S214" t="s">
        <v>1839</v>
      </c>
      <c r="T214" t="s">
        <v>1568</v>
      </c>
      <c r="U214">
        <v>218401</v>
      </c>
      <c r="V214" t="s">
        <v>1863</v>
      </c>
      <c r="W214" t="s">
        <v>1843</v>
      </c>
      <c r="X214" t="s">
        <v>1844</v>
      </c>
      <c r="Y214" t="s">
        <v>1845</v>
      </c>
      <c r="AA214" t="s">
        <v>1846</v>
      </c>
      <c r="AB214" t="s">
        <v>1847</v>
      </c>
      <c r="AE214">
        <v>-39.047134759999999</v>
      </c>
      <c r="AF214">
        <v>174.10026490999999</v>
      </c>
      <c r="AG214" s="175">
        <v>34</v>
      </c>
      <c r="AH214" s="175">
        <v>0</v>
      </c>
      <c r="AI214" s="175">
        <v>0</v>
      </c>
      <c r="AJ214" s="175">
        <v>0</v>
      </c>
      <c r="AK214" s="175">
        <v>0</v>
      </c>
      <c r="AL214" s="175">
        <v>18</v>
      </c>
      <c r="AM214" s="175">
        <v>31</v>
      </c>
      <c r="AN214" s="175">
        <v>0</v>
      </c>
      <c r="AO214" s="175">
        <v>49</v>
      </c>
      <c r="AP214" s="175">
        <v>44</v>
      </c>
      <c r="AQ214" s="175">
        <v>9</v>
      </c>
      <c r="AR214" s="175">
        <v>0</v>
      </c>
      <c r="AS214" s="175">
        <v>5</v>
      </c>
      <c r="AT214" s="175">
        <v>0</v>
      </c>
    </row>
    <row r="215" spans="1:46">
      <c r="A215">
        <v>5220</v>
      </c>
      <c r="B215" t="s">
        <v>1864</v>
      </c>
      <c r="C215" t="s">
        <v>1865</v>
      </c>
      <c r="D215" t="s">
        <v>1866</v>
      </c>
      <c r="E215" t="s">
        <v>1867</v>
      </c>
      <c r="G215" t="s">
        <v>1839</v>
      </c>
      <c r="H215" t="s">
        <v>452</v>
      </c>
      <c r="J215" t="s">
        <v>605</v>
      </c>
      <c r="K215" t="s">
        <v>606</v>
      </c>
      <c r="M215" t="s">
        <v>1382</v>
      </c>
      <c r="N215" t="s">
        <v>657</v>
      </c>
      <c r="O215" t="s">
        <v>1840</v>
      </c>
      <c r="P215" t="s">
        <v>670</v>
      </c>
      <c r="Q215" t="s">
        <v>514</v>
      </c>
      <c r="R215" t="s">
        <v>1841</v>
      </c>
      <c r="S215" t="s">
        <v>1839</v>
      </c>
      <c r="T215" t="s">
        <v>1568</v>
      </c>
      <c r="U215">
        <v>218201</v>
      </c>
      <c r="V215" t="s">
        <v>1868</v>
      </c>
      <c r="W215" t="s">
        <v>1843</v>
      </c>
      <c r="X215" t="s">
        <v>1844</v>
      </c>
      <c r="Y215" t="s">
        <v>1845</v>
      </c>
      <c r="AA215" t="s">
        <v>1846</v>
      </c>
      <c r="AB215" t="s">
        <v>1847</v>
      </c>
      <c r="AE215">
        <v>-39.090663679999999</v>
      </c>
      <c r="AF215">
        <v>174.05621869999999</v>
      </c>
      <c r="AG215" s="175">
        <v>44</v>
      </c>
      <c r="AH215" s="175">
        <v>0</v>
      </c>
      <c r="AI215" s="175">
        <v>0</v>
      </c>
      <c r="AJ215" s="175">
        <v>0</v>
      </c>
      <c r="AK215" s="175">
        <v>11</v>
      </c>
      <c r="AL215" s="175">
        <v>21</v>
      </c>
      <c r="AM215" s="175">
        <v>26</v>
      </c>
      <c r="AN215" s="175">
        <v>3</v>
      </c>
      <c r="AO215" s="175">
        <v>61</v>
      </c>
      <c r="AP215" s="175">
        <v>52</v>
      </c>
      <c r="AQ215" s="175">
        <v>14</v>
      </c>
      <c r="AR215" s="175">
        <v>1</v>
      </c>
      <c r="AS215" s="175">
        <v>7</v>
      </c>
      <c r="AT215" s="175">
        <v>1</v>
      </c>
    </row>
    <row r="216" spans="1:46">
      <c r="A216">
        <v>5221</v>
      </c>
      <c r="B216" t="s">
        <v>1869</v>
      </c>
      <c r="C216" t="s">
        <v>1870</v>
      </c>
      <c r="D216" t="s">
        <v>1871</v>
      </c>
      <c r="E216" t="s">
        <v>1872</v>
      </c>
      <c r="G216" t="s">
        <v>1873</v>
      </c>
      <c r="H216" t="s">
        <v>452</v>
      </c>
      <c r="J216" t="s">
        <v>605</v>
      </c>
      <c r="K216" t="s">
        <v>606</v>
      </c>
      <c r="M216" t="s">
        <v>1382</v>
      </c>
      <c r="N216" t="s">
        <v>657</v>
      </c>
      <c r="O216" t="s">
        <v>1840</v>
      </c>
      <c r="P216" t="s">
        <v>610</v>
      </c>
      <c r="Q216" t="s">
        <v>514</v>
      </c>
      <c r="R216" t="s">
        <v>1841</v>
      </c>
      <c r="S216" t="s">
        <v>1501</v>
      </c>
      <c r="T216" t="s">
        <v>1568</v>
      </c>
      <c r="U216">
        <v>219601</v>
      </c>
      <c r="V216" t="s">
        <v>1873</v>
      </c>
      <c r="W216" t="s">
        <v>1874</v>
      </c>
      <c r="X216" t="s">
        <v>1844</v>
      </c>
      <c r="Y216" t="s">
        <v>1845</v>
      </c>
      <c r="AA216" t="s">
        <v>1846</v>
      </c>
      <c r="AB216" t="s">
        <v>1847</v>
      </c>
      <c r="AC216">
        <v>99059</v>
      </c>
      <c r="AD216" t="s">
        <v>1875</v>
      </c>
      <c r="AE216">
        <v>-39.158539060000003</v>
      </c>
      <c r="AF216">
        <v>174.19862658</v>
      </c>
      <c r="AG216" s="175">
        <v>40</v>
      </c>
      <c r="AH216" s="175">
        <v>0</v>
      </c>
      <c r="AI216" s="175">
        <v>0</v>
      </c>
      <c r="AJ216" s="175">
        <v>0</v>
      </c>
      <c r="AK216" s="175">
        <v>6</v>
      </c>
      <c r="AL216" s="175">
        <v>27</v>
      </c>
      <c r="AM216" s="175">
        <v>24</v>
      </c>
      <c r="AN216" s="175">
        <v>2</v>
      </c>
      <c r="AO216" s="175">
        <v>59</v>
      </c>
      <c r="AP216" s="175">
        <v>49</v>
      </c>
      <c r="AQ216" s="175">
        <v>18</v>
      </c>
      <c r="AR216" s="175">
        <v>4</v>
      </c>
      <c r="AS216" s="175">
        <v>7</v>
      </c>
      <c r="AT216" s="175">
        <v>1</v>
      </c>
    </row>
    <row r="217" spans="1:46">
      <c r="A217">
        <v>5222</v>
      </c>
      <c r="B217" t="s">
        <v>1876</v>
      </c>
      <c r="C217" t="s">
        <v>1877</v>
      </c>
      <c r="D217" t="s">
        <v>1878</v>
      </c>
      <c r="E217" t="s">
        <v>1879</v>
      </c>
      <c r="F217" t="s">
        <v>1880</v>
      </c>
      <c r="G217" t="s">
        <v>1839</v>
      </c>
      <c r="H217" t="s">
        <v>452</v>
      </c>
      <c r="J217" t="s">
        <v>605</v>
      </c>
      <c r="K217" t="s">
        <v>606</v>
      </c>
      <c r="M217" t="s">
        <v>1382</v>
      </c>
      <c r="N217" t="s">
        <v>608</v>
      </c>
      <c r="O217" t="s">
        <v>1840</v>
      </c>
      <c r="P217" t="s">
        <v>670</v>
      </c>
      <c r="Q217" t="s">
        <v>514</v>
      </c>
      <c r="R217" t="s">
        <v>1841</v>
      </c>
      <c r="S217" t="s">
        <v>1839</v>
      </c>
      <c r="T217" t="s">
        <v>1568</v>
      </c>
      <c r="U217">
        <v>217100</v>
      </c>
      <c r="V217" t="s">
        <v>1880</v>
      </c>
      <c r="W217" t="s">
        <v>1843</v>
      </c>
      <c r="X217" t="s">
        <v>1844</v>
      </c>
      <c r="Y217" t="s">
        <v>1845</v>
      </c>
      <c r="AA217" t="s">
        <v>1846</v>
      </c>
      <c r="AB217" t="s">
        <v>1847</v>
      </c>
      <c r="AE217">
        <v>-39.07695245</v>
      </c>
      <c r="AF217">
        <v>174.04921924999999</v>
      </c>
      <c r="AG217" s="175">
        <v>47</v>
      </c>
      <c r="AH217" s="175">
        <v>0</v>
      </c>
      <c r="AI217" s="175">
        <v>0</v>
      </c>
      <c r="AJ217" s="175">
        <v>0</v>
      </c>
      <c r="AK217" s="175">
        <v>6</v>
      </c>
      <c r="AL217" s="175">
        <v>10</v>
      </c>
      <c r="AM217" s="175">
        <v>16</v>
      </c>
      <c r="AN217" s="175">
        <v>1</v>
      </c>
      <c r="AO217" s="175">
        <v>33</v>
      </c>
      <c r="AP217" s="175">
        <v>12</v>
      </c>
      <c r="AQ217" s="175">
        <v>19</v>
      </c>
      <c r="AR217" s="175">
        <v>3</v>
      </c>
      <c r="AS217" s="175">
        <v>4</v>
      </c>
      <c r="AT217" s="175">
        <v>2</v>
      </c>
    </row>
    <row r="218" spans="1:46">
      <c r="A218">
        <v>5223</v>
      </c>
      <c r="B218" t="s">
        <v>1881</v>
      </c>
      <c r="C218" t="s">
        <v>1882</v>
      </c>
      <c r="D218" t="s">
        <v>1883</v>
      </c>
      <c r="E218" t="s">
        <v>1884</v>
      </c>
      <c r="F218" t="s">
        <v>1885</v>
      </c>
      <c r="G218" t="s">
        <v>1839</v>
      </c>
      <c r="H218" t="s">
        <v>452</v>
      </c>
      <c r="J218" t="s">
        <v>605</v>
      </c>
      <c r="K218" t="s">
        <v>606</v>
      </c>
      <c r="M218" t="s">
        <v>1382</v>
      </c>
      <c r="N218" t="s">
        <v>643</v>
      </c>
      <c r="O218" t="s">
        <v>1840</v>
      </c>
      <c r="P218" t="s">
        <v>670</v>
      </c>
      <c r="Q218" t="s">
        <v>514</v>
      </c>
      <c r="R218" t="s">
        <v>1841</v>
      </c>
      <c r="S218" t="s">
        <v>1839</v>
      </c>
      <c r="T218" t="s">
        <v>1568</v>
      </c>
      <c r="U218">
        <v>218100</v>
      </c>
      <c r="V218" t="s">
        <v>1885</v>
      </c>
      <c r="W218" t="s">
        <v>1843</v>
      </c>
      <c r="X218" t="s">
        <v>1844</v>
      </c>
      <c r="Y218" t="s">
        <v>1845</v>
      </c>
      <c r="AA218" t="s">
        <v>1846</v>
      </c>
      <c r="AB218" t="s">
        <v>1847</v>
      </c>
      <c r="AE218">
        <v>-39.06006395</v>
      </c>
      <c r="AF218">
        <v>174.10186186999999</v>
      </c>
      <c r="AG218" s="175">
        <v>40</v>
      </c>
      <c r="AH218" s="175">
        <v>0</v>
      </c>
      <c r="AI218" s="175">
        <v>0</v>
      </c>
      <c r="AJ218" s="175">
        <v>0</v>
      </c>
      <c r="AK218" s="175">
        <v>6</v>
      </c>
      <c r="AL218" s="175">
        <v>14</v>
      </c>
      <c r="AM218" s="175">
        <v>23</v>
      </c>
      <c r="AN218" s="175">
        <v>1</v>
      </c>
      <c r="AO218" s="175">
        <v>44</v>
      </c>
      <c r="AP218" s="175">
        <v>34</v>
      </c>
      <c r="AQ218" s="175">
        <v>13</v>
      </c>
      <c r="AR218" s="175">
        <v>3</v>
      </c>
      <c r="AS218" s="175">
        <v>8</v>
      </c>
      <c r="AT218" s="175">
        <v>0</v>
      </c>
    </row>
    <row r="219" spans="1:46">
      <c r="A219">
        <v>5224</v>
      </c>
      <c r="B219" t="s">
        <v>1886</v>
      </c>
      <c r="C219" t="s">
        <v>1887</v>
      </c>
      <c r="D219" t="s">
        <v>1888</v>
      </c>
      <c r="E219" t="s">
        <v>1889</v>
      </c>
      <c r="G219" t="s">
        <v>1839</v>
      </c>
      <c r="H219" t="s">
        <v>452</v>
      </c>
      <c r="J219" t="s">
        <v>605</v>
      </c>
      <c r="K219" t="s">
        <v>606</v>
      </c>
      <c r="M219" t="s">
        <v>1382</v>
      </c>
      <c r="N219" t="s">
        <v>657</v>
      </c>
      <c r="O219" t="s">
        <v>1840</v>
      </c>
      <c r="P219" t="s">
        <v>670</v>
      </c>
      <c r="Q219" t="s">
        <v>514</v>
      </c>
      <c r="R219" t="s">
        <v>1841</v>
      </c>
      <c r="S219" t="s">
        <v>1839</v>
      </c>
      <c r="T219" t="s">
        <v>1568</v>
      </c>
      <c r="U219">
        <v>218301</v>
      </c>
      <c r="V219" t="s">
        <v>1890</v>
      </c>
      <c r="W219" t="s">
        <v>1843</v>
      </c>
      <c r="X219" t="s">
        <v>1844</v>
      </c>
      <c r="Y219" t="s">
        <v>1845</v>
      </c>
      <c r="AA219" t="s">
        <v>1846</v>
      </c>
      <c r="AB219" t="s">
        <v>1847</v>
      </c>
      <c r="AE219">
        <v>-39.061915769999999</v>
      </c>
      <c r="AF219">
        <v>174.08060498</v>
      </c>
      <c r="AG219" s="175">
        <v>40</v>
      </c>
      <c r="AH219" s="175">
        <v>0</v>
      </c>
      <c r="AI219" s="175">
        <v>0</v>
      </c>
      <c r="AJ219" s="175">
        <v>0</v>
      </c>
      <c r="AK219" s="175">
        <v>4</v>
      </c>
      <c r="AL219" s="175">
        <v>21</v>
      </c>
      <c r="AM219" s="175">
        <v>21</v>
      </c>
      <c r="AN219" s="175">
        <v>2</v>
      </c>
      <c r="AO219" s="175">
        <v>48</v>
      </c>
      <c r="AP219" s="175">
        <v>40</v>
      </c>
      <c r="AQ219" s="175">
        <v>8</v>
      </c>
      <c r="AR219" s="175">
        <v>3</v>
      </c>
      <c r="AS219" s="175">
        <v>13</v>
      </c>
      <c r="AT219" s="175">
        <v>4</v>
      </c>
    </row>
    <row r="220" spans="1:46">
      <c r="A220">
        <v>5225</v>
      </c>
      <c r="B220" t="s">
        <v>1891</v>
      </c>
      <c r="C220" t="s">
        <v>1892</v>
      </c>
      <c r="D220" t="s">
        <v>1893</v>
      </c>
      <c r="E220" t="s">
        <v>1894</v>
      </c>
      <c r="F220" t="s">
        <v>1838</v>
      </c>
      <c r="G220" t="s">
        <v>1839</v>
      </c>
      <c r="H220" t="s">
        <v>452</v>
      </c>
      <c r="J220" t="s">
        <v>605</v>
      </c>
      <c r="K220" t="s">
        <v>606</v>
      </c>
      <c r="M220" t="s">
        <v>1382</v>
      </c>
      <c r="N220" t="s">
        <v>643</v>
      </c>
      <c r="O220" t="s">
        <v>1840</v>
      </c>
      <c r="P220" t="s">
        <v>670</v>
      </c>
      <c r="Q220" t="s">
        <v>514</v>
      </c>
      <c r="R220" t="s">
        <v>1841</v>
      </c>
      <c r="S220" t="s">
        <v>1839</v>
      </c>
      <c r="T220" t="s">
        <v>1568</v>
      </c>
      <c r="U220">
        <v>217502</v>
      </c>
      <c r="V220" t="s">
        <v>1895</v>
      </c>
      <c r="W220" t="s">
        <v>1843</v>
      </c>
      <c r="X220" t="s">
        <v>1844</v>
      </c>
      <c r="Y220" t="s">
        <v>1845</v>
      </c>
      <c r="AA220" t="s">
        <v>1846</v>
      </c>
      <c r="AB220" t="s">
        <v>1847</v>
      </c>
      <c r="AE220">
        <v>-39.025493500000003</v>
      </c>
      <c r="AF220">
        <v>174.15113177000001</v>
      </c>
      <c r="AG220" s="175">
        <v>40</v>
      </c>
      <c r="AH220" s="175">
        <v>0</v>
      </c>
      <c r="AI220" s="175">
        <v>0</v>
      </c>
      <c r="AJ220" s="175">
        <v>0</v>
      </c>
      <c r="AK220" s="175">
        <v>12</v>
      </c>
      <c r="AL220" s="175">
        <v>14</v>
      </c>
      <c r="AM220" s="175">
        <v>13</v>
      </c>
      <c r="AN220" s="175">
        <v>1</v>
      </c>
      <c r="AO220" s="175">
        <v>40</v>
      </c>
      <c r="AP220" s="175">
        <v>29</v>
      </c>
      <c r="AQ220" s="175">
        <v>16</v>
      </c>
      <c r="AR220" s="175">
        <v>2</v>
      </c>
      <c r="AS220" s="175">
        <v>3</v>
      </c>
      <c r="AT220" s="175">
        <v>4</v>
      </c>
    </row>
    <row r="221" spans="1:46">
      <c r="A221">
        <v>5226</v>
      </c>
      <c r="B221" t="s">
        <v>1896</v>
      </c>
      <c r="C221" t="s">
        <v>1897</v>
      </c>
      <c r="D221" t="s">
        <v>1898</v>
      </c>
      <c r="E221" t="s">
        <v>1899</v>
      </c>
      <c r="F221" t="s">
        <v>1900</v>
      </c>
      <c r="G221" t="s">
        <v>1839</v>
      </c>
      <c r="H221" t="s">
        <v>452</v>
      </c>
      <c r="J221" t="s">
        <v>605</v>
      </c>
      <c r="K221" t="s">
        <v>606</v>
      </c>
      <c r="M221" t="s">
        <v>1382</v>
      </c>
      <c r="N221" t="s">
        <v>608</v>
      </c>
      <c r="O221" t="s">
        <v>1840</v>
      </c>
      <c r="P221" t="s">
        <v>670</v>
      </c>
      <c r="Q221" t="s">
        <v>514</v>
      </c>
      <c r="R221" t="s">
        <v>1841</v>
      </c>
      <c r="S221" t="s">
        <v>1839</v>
      </c>
      <c r="T221" t="s">
        <v>1568</v>
      </c>
      <c r="U221">
        <v>216300</v>
      </c>
      <c r="V221" t="s">
        <v>1900</v>
      </c>
      <c r="W221" t="s">
        <v>1843</v>
      </c>
      <c r="X221" t="s">
        <v>1844</v>
      </c>
      <c r="Y221" t="s">
        <v>1845</v>
      </c>
      <c r="AA221" t="s">
        <v>1846</v>
      </c>
      <c r="AB221" t="s">
        <v>1847</v>
      </c>
      <c r="AE221">
        <v>-39.067268630000001</v>
      </c>
      <c r="AF221">
        <v>174.02432744999999</v>
      </c>
      <c r="AG221" s="175">
        <v>34</v>
      </c>
      <c r="AH221" s="175">
        <v>0</v>
      </c>
      <c r="AI221" s="175">
        <v>0</v>
      </c>
      <c r="AJ221" s="175">
        <v>0</v>
      </c>
      <c r="AK221" s="175">
        <v>7</v>
      </c>
      <c r="AL221" s="175">
        <v>13</v>
      </c>
      <c r="AM221" s="175">
        <v>11</v>
      </c>
      <c r="AN221" s="175">
        <v>0</v>
      </c>
      <c r="AO221" s="175">
        <v>31</v>
      </c>
      <c r="AP221" s="175">
        <v>22</v>
      </c>
      <c r="AQ221" s="175">
        <v>20</v>
      </c>
      <c r="AR221" s="175">
        <v>3</v>
      </c>
      <c r="AS221" s="175">
        <v>2</v>
      </c>
      <c r="AT221" s="175">
        <v>0</v>
      </c>
    </row>
    <row r="222" spans="1:46">
      <c r="A222">
        <v>5227</v>
      </c>
      <c r="B222" t="s">
        <v>1901</v>
      </c>
      <c r="C222" t="s">
        <v>1902</v>
      </c>
      <c r="D222" t="s">
        <v>1903</v>
      </c>
      <c r="E222" t="s">
        <v>1904</v>
      </c>
      <c r="G222" t="s">
        <v>1905</v>
      </c>
      <c r="H222" t="s">
        <v>452</v>
      </c>
      <c r="J222" t="s">
        <v>605</v>
      </c>
      <c r="K222" t="s">
        <v>606</v>
      </c>
      <c r="M222" t="s">
        <v>1382</v>
      </c>
      <c r="N222" t="s">
        <v>625</v>
      </c>
      <c r="O222" t="s">
        <v>1840</v>
      </c>
      <c r="P222" t="s">
        <v>610</v>
      </c>
      <c r="Q222" t="s">
        <v>514</v>
      </c>
      <c r="R222" t="s">
        <v>1841</v>
      </c>
      <c r="S222" t="s">
        <v>1839</v>
      </c>
      <c r="T222" t="s">
        <v>1568</v>
      </c>
      <c r="U222">
        <v>218500</v>
      </c>
      <c r="V222" t="s">
        <v>1906</v>
      </c>
      <c r="W222" t="s">
        <v>1907</v>
      </c>
      <c r="X222" t="s">
        <v>1844</v>
      </c>
      <c r="Y222" t="s">
        <v>1845</v>
      </c>
      <c r="AA222" t="s">
        <v>1846</v>
      </c>
      <c r="AB222" t="s">
        <v>1847</v>
      </c>
      <c r="AE222">
        <v>-39.003863500000001</v>
      </c>
      <c r="AF222">
        <v>174.23542713000001</v>
      </c>
      <c r="AG222" s="175">
        <v>40</v>
      </c>
      <c r="AH222" s="175">
        <v>0</v>
      </c>
      <c r="AI222" s="175">
        <v>0</v>
      </c>
      <c r="AJ222" s="175">
        <v>0</v>
      </c>
      <c r="AK222" s="175">
        <v>3</v>
      </c>
      <c r="AL222" s="175">
        <v>17</v>
      </c>
      <c r="AM222" s="175">
        <v>10</v>
      </c>
      <c r="AN222" s="175">
        <v>2</v>
      </c>
      <c r="AO222" s="175">
        <v>32</v>
      </c>
      <c r="AP222" s="175">
        <v>19</v>
      </c>
      <c r="AQ222" s="175">
        <v>23</v>
      </c>
      <c r="AR222" s="175">
        <v>5</v>
      </c>
      <c r="AS222" s="175">
        <v>1</v>
      </c>
      <c r="AT222" s="175">
        <v>0</v>
      </c>
    </row>
    <row r="223" spans="1:46">
      <c r="A223">
        <v>5228</v>
      </c>
      <c r="B223" t="s">
        <v>1908</v>
      </c>
      <c r="C223" t="s">
        <v>1909</v>
      </c>
      <c r="D223" t="s">
        <v>1910</v>
      </c>
      <c r="E223" t="s">
        <v>1911</v>
      </c>
      <c r="G223" t="s">
        <v>1905</v>
      </c>
      <c r="H223" t="s">
        <v>452</v>
      </c>
      <c r="J223" t="s">
        <v>605</v>
      </c>
      <c r="K223" t="s">
        <v>606</v>
      </c>
      <c r="M223" t="s">
        <v>1382</v>
      </c>
      <c r="N223" t="s">
        <v>608</v>
      </c>
      <c r="O223" t="s">
        <v>1840</v>
      </c>
      <c r="P223" t="s">
        <v>610</v>
      </c>
      <c r="Q223" t="s">
        <v>514</v>
      </c>
      <c r="R223" t="s">
        <v>1841</v>
      </c>
      <c r="S223" t="s">
        <v>1839</v>
      </c>
      <c r="T223" t="s">
        <v>1568</v>
      </c>
      <c r="U223">
        <v>218500</v>
      </c>
      <c r="V223" t="s">
        <v>1906</v>
      </c>
      <c r="W223" t="s">
        <v>1907</v>
      </c>
      <c r="X223" t="s">
        <v>1844</v>
      </c>
      <c r="Y223" t="s">
        <v>1845</v>
      </c>
      <c r="AA223" t="s">
        <v>1846</v>
      </c>
      <c r="AB223" t="s">
        <v>1847</v>
      </c>
      <c r="AE223">
        <v>-38.992448770000003</v>
      </c>
      <c r="AF223">
        <v>174.22414986000001</v>
      </c>
      <c r="AG223" s="175">
        <v>40</v>
      </c>
      <c r="AH223" s="175">
        <v>0</v>
      </c>
      <c r="AI223" s="175">
        <v>0</v>
      </c>
      <c r="AJ223" s="175">
        <v>0</v>
      </c>
      <c r="AK223" s="175">
        <v>2</v>
      </c>
      <c r="AL223" s="175">
        <v>9</v>
      </c>
      <c r="AM223" s="175">
        <v>22</v>
      </c>
      <c r="AN223" s="175">
        <v>0</v>
      </c>
      <c r="AO223" s="175">
        <v>33</v>
      </c>
      <c r="AP223" s="175">
        <v>30</v>
      </c>
      <c r="AQ223" s="175">
        <v>18</v>
      </c>
      <c r="AR223" s="175">
        <v>2</v>
      </c>
      <c r="AS223" s="175">
        <v>2</v>
      </c>
      <c r="AT223" s="175">
        <v>0</v>
      </c>
    </row>
    <row r="224" spans="1:46">
      <c r="A224">
        <v>5229</v>
      </c>
      <c r="B224" t="s">
        <v>1912</v>
      </c>
      <c r="C224" t="s">
        <v>1913</v>
      </c>
      <c r="D224" t="s">
        <v>1914</v>
      </c>
      <c r="E224" t="s">
        <v>1915</v>
      </c>
      <c r="G224" t="s">
        <v>1839</v>
      </c>
      <c r="H224" t="s">
        <v>452</v>
      </c>
      <c r="J224" t="s">
        <v>605</v>
      </c>
      <c r="K224" t="s">
        <v>606</v>
      </c>
      <c r="M224" t="s">
        <v>1382</v>
      </c>
      <c r="N224" t="s">
        <v>625</v>
      </c>
      <c r="O224" t="s">
        <v>1840</v>
      </c>
      <c r="P224" t="s">
        <v>670</v>
      </c>
      <c r="Q224" t="s">
        <v>514</v>
      </c>
      <c r="R224" t="s">
        <v>1841</v>
      </c>
      <c r="S224" t="s">
        <v>1839</v>
      </c>
      <c r="T224" t="s">
        <v>1568</v>
      </c>
      <c r="U224">
        <v>217400</v>
      </c>
      <c r="V224" t="s">
        <v>1916</v>
      </c>
      <c r="W224" t="s">
        <v>1843</v>
      </c>
      <c r="X224" t="s">
        <v>1844</v>
      </c>
      <c r="Y224" t="s">
        <v>1845</v>
      </c>
      <c r="AA224" t="s">
        <v>1846</v>
      </c>
      <c r="AB224" t="s">
        <v>1847</v>
      </c>
      <c r="AE224">
        <v>-39.07398225</v>
      </c>
      <c r="AF224">
        <v>174.06042189999999</v>
      </c>
      <c r="AG224" s="175">
        <v>40</v>
      </c>
      <c r="AH224" s="175">
        <v>0</v>
      </c>
      <c r="AI224" s="175">
        <v>0</v>
      </c>
      <c r="AJ224" s="175">
        <v>0</v>
      </c>
      <c r="AK224" s="175">
        <v>8</v>
      </c>
      <c r="AL224" s="175">
        <v>16</v>
      </c>
      <c r="AM224" s="175">
        <v>16</v>
      </c>
      <c r="AN224" s="175">
        <v>0</v>
      </c>
      <c r="AO224" s="175">
        <v>40</v>
      </c>
      <c r="AP224" s="175">
        <v>25</v>
      </c>
      <c r="AQ224" s="175">
        <v>11</v>
      </c>
      <c r="AR224" s="175">
        <v>1</v>
      </c>
      <c r="AS224" s="175">
        <v>10</v>
      </c>
      <c r="AT224" s="175">
        <v>2</v>
      </c>
    </row>
    <row r="225" spans="1:46">
      <c r="A225">
        <v>5230</v>
      </c>
      <c r="B225" t="s">
        <v>1917</v>
      </c>
      <c r="C225" t="s">
        <v>1918</v>
      </c>
      <c r="D225" t="s">
        <v>1919</v>
      </c>
      <c r="E225" t="s">
        <v>1920</v>
      </c>
      <c r="G225" t="s">
        <v>1921</v>
      </c>
      <c r="H225" t="s">
        <v>452</v>
      </c>
      <c r="J225" t="s">
        <v>605</v>
      </c>
      <c r="K225" t="s">
        <v>606</v>
      </c>
      <c r="M225" t="s">
        <v>1382</v>
      </c>
      <c r="N225" t="s">
        <v>625</v>
      </c>
      <c r="O225" t="s">
        <v>1922</v>
      </c>
      <c r="P225" t="s">
        <v>610</v>
      </c>
      <c r="Q225" t="s">
        <v>514</v>
      </c>
      <c r="R225" t="s">
        <v>1841</v>
      </c>
      <c r="S225" t="s">
        <v>1923</v>
      </c>
      <c r="T225" t="s">
        <v>1568</v>
      </c>
      <c r="U225">
        <v>220400</v>
      </c>
      <c r="V225" t="s">
        <v>1924</v>
      </c>
      <c r="W225" t="s">
        <v>1925</v>
      </c>
      <c r="X225" t="s">
        <v>1844</v>
      </c>
      <c r="Y225" t="s">
        <v>1845</v>
      </c>
      <c r="AA225" t="s">
        <v>1846</v>
      </c>
      <c r="AB225" t="s">
        <v>1847</v>
      </c>
      <c r="AC225">
        <v>99108</v>
      </c>
      <c r="AD225" t="s">
        <v>1926</v>
      </c>
      <c r="AE225">
        <v>-39.350845239999998</v>
      </c>
      <c r="AF225">
        <v>174.28191242</v>
      </c>
      <c r="AG225" s="175">
        <v>39</v>
      </c>
      <c r="AH225" s="175">
        <v>0</v>
      </c>
      <c r="AI225" s="175">
        <v>0</v>
      </c>
      <c r="AJ225" s="175">
        <v>0</v>
      </c>
      <c r="AK225" s="175">
        <v>7</v>
      </c>
      <c r="AL225" s="175">
        <v>11</v>
      </c>
      <c r="AM225" s="175">
        <v>15</v>
      </c>
      <c r="AN225" s="175">
        <v>0</v>
      </c>
      <c r="AO225" s="175">
        <v>33</v>
      </c>
      <c r="AP225" s="175">
        <v>31</v>
      </c>
      <c r="AQ225" s="175">
        <v>12</v>
      </c>
      <c r="AR225" s="175">
        <v>1</v>
      </c>
      <c r="AS225" s="175">
        <v>0</v>
      </c>
      <c r="AT225" s="175">
        <v>1</v>
      </c>
    </row>
    <row r="226" spans="1:46">
      <c r="A226">
        <v>5231</v>
      </c>
      <c r="B226" t="s">
        <v>1927</v>
      </c>
      <c r="C226" t="s">
        <v>1928</v>
      </c>
      <c r="D226" t="s">
        <v>1929</v>
      </c>
      <c r="E226" t="s">
        <v>1930</v>
      </c>
      <c r="G226" t="s">
        <v>1931</v>
      </c>
      <c r="H226" t="s">
        <v>452</v>
      </c>
      <c r="J226" t="s">
        <v>605</v>
      </c>
      <c r="K226" t="s">
        <v>606</v>
      </c>
      <c r="M226" t="s">
        <v>1382</v>
      </c>
      <c r="N226" t="s">
        <v>625</v>
      </c>
      <c r="O226" t="s">
        <v>1932</v>
      </c>
      <c r="P226" t="s">
        <v>610</v>
      </c>
      <c r="Q226" t="s">
        <v>514</v>
      </c>
      <c r="R226" t="s">
        <v>1841</v>
      </c>
      <c r="S226" t="s">
        <v>1923</v>
      </c>
      <c r="T226" t="s">
        <v>1568</v>
      </c>
      <c r="U226">
        <v>221001</v>
      </c>
      <c r="V226" t="s">
        <v>1931</v>
      </c>
      <c r="W226" t="s">
        <v>1933</v>
      </c>
      <c r="X226" t="s">
        <v>1844</v>
      </c>
      <c r="Y226" t="s">
        <v>1845</v>
      </c>
      <c r="AA226" t="s">
        <v>1846</v>
      </c>
      <c r="AB226" t="s">
        <v>1847</v>
      </c>
      <c r="AC226">
        <v>99108</v>
      </c>
      <c r="AD226" t="s">
        <v>1926</v>
      </c>
      <c r="AE226">
        <v>-39.432761630000002</v>
      </c>
      <c r="AF226">
        <v>174.29804102</v>
      </c>
      <c r="AG226" s="175">
        <v>45</v>
      </c>
      <c r="AH226" s="175">
        <v>0</v>
      </c>
      <c r="AI226" s="175">
        <v>0</v>
      </c>
      <c r="AJ226" s="175">
        <v>0</v>
      </c>
      <c r="AK226" s="175">
        <v>2</v>
      </c>
      <c r="AL226" s="175">
        <v>10</v>
      </c>
      <c r="AM226" s="175">
        <v>16</v>
      </c>
      <c r="AN226" s="175">
        <v>1</v>
      </c>
      <c r="AO226" s="175">
        <v>29</v>
      </c>
      <c r="AP226" s="175">
        <v>24</v>
      </c>
      <c r="AQ226" s="175">
        <v>14</v>
      </c>
      <c r="AR226" s="175">
        <v>1</v>
      </c>
      <c r="AS226" s="175">
        <v>3</v>
      </c>
      <c r="AT226" s="175">
        <v>0</v>
      </c>
    </row>
    <row r="227" spans="1:46">
      <c r="A227">
        <v>5232</v>
      </c>
      <c r="B227" t="s">
        <v>1934</v>
      </c>
      <c r="C227" t="s">
        <v>1935</v>
      </c>
      <c r="D227" t="s">
        <v>1936</v>
      </c>
      <c r="E227" t="s">
        <v>1937</v>
      </c>
      <c r="G227" t="s">
        <v>1938</v>
      </c>
      <c r="H227" t="s">
        <v>452</v>
      </c>
      <c r="J227" t="s">
        <v>605</v>
      </c>
      <c r="K227" t="s">
        <v>606</v>
      </c>
      <c r="M227" t="s">
        <v>1382</v>
      </c>
      <c r="N227" t="s">
        <v>643</v>
      </c>
      <c r="O227" t="s">
        <v>1932</v>
      </c>
      <c r="P227" t="s">
        <v>610</v>
      </c>
      <c r="Q227" t="s">
        <v>514</v>
      </c>
      <c r="R227" t="s">
        <v>1841</v>
      </c>
      <c r="S227" t="s">
        <v>1923</v>
      </c>
      <c r="T227" t="s">
        <v>1568</v>
      </c>
      <c r="U227">
        <v>221800</v>
      </c>
      <c r="V227" t="s">
        <v>1939</v>
      </c>
      <c r="W227" t="s">
        <v>1940</v>
      </c>
      <c r="X227" t="s">
        <v>1844</v>
      </c>
      <c r="Y227" t="s">
        <v>1845</v>
      </c>
      <c r="AA227" t="s">
        <v>1846</v>
      </c>
      <c r="AB227" t="s">
        <v>1847</v>
      </c>
      <c r="AC227">
        <v>99167</v>
      </c>
      <c r="AD227" t="s">
        <v>1941</v>
      </c>
      <c r="AE227">
        <v>-39.592770229999999</v>
      </c>
      <c r="AF227">
        <v>174.27291957</v>
      </c>
      <c r="AG227" s="175">
        <v>41</v>
      </c>
      <c r="AH227" s="175">
        <v>0</v>
      </c>
      <c r="AI227" s="175">
        <v>0</v>
      </c>
      <c r="AJ227" s="175">
        <v>0</v>
      </c>
      <c r="AK227" s="175">
        <v>4</v>
      </c>
      <c r="AL227" s="175">
        <v>20</v>
      </c>
      <c r="AM227" s="175">
        <v>16</v>
      </c>
      <c r="AN227" s="175">
        <v>1</v>
      </c>
      <c r="AO227" s="175">
        <v>41</v>
      </c>
      <c r="AP227" s="175">
        <v>34</v>
      </c>
      <c r="AQ227" s="175">
        <v>16</v>
      </c>
      <c r="AR227" s="175">
        <v>5</v>
      </c>
      <c r="AS227" s="175">
        <v>4</v>
      </c>
      <c r="AT227" s="175">
        <v>0</v>
      </c>
    </row>
    <row r="228" spans="1:46">
      <c r="A228">
        <v>5233</v>
      </c>
      <c r="B228" t="s">
        <v>1942</v>
      </c>
      <c r="C228" t="s">
        <v>1943</v>
      </c>
      <c r="D228" t="s">
        <v>1944</v>
      </c>
      <c r="E228" t="s">
        <v>1945</v>
      </c>
      <c r="G228" t="s">
        <v>1938</v>
      </c>
      <c r="H228" t="s">
        <v>452</v>
      </c>
      <c r="J228" t="s">
        <v>605</v>
      </c>
      <c r="K228" t="s">
        <v>606</v>
      </c>
      <c r="M228" t="s">
        <v>1382</v>
      </c>
      <c r="N228" t="s">
        <v>643</v>
      </c>
      <c r="O228" t="s">
        <v>1932</v>
      </c>
      <c r="P228" t="s">
        <v>610</v>
      </c>
      <c r="Q228" t="s">
        <v>514</v>
      </c>
      <c r="R228" t="s">
        <v>1841</v>
      </c>
      <c r="S228" t="s">
        <v>1923</v>
      </c>
      <c r="T228" t="s">
        <v>1568</v>
      </c>
      <c r="U228">
        <v>221600</v>
      </c>
      <c r="V228" t="s">
        <v>1946</v>
      </c>
      <c r="W228" t="s">
        <v>1940</v>
      </c>
      <c r="X228" t="s">
        <v>1844</v>
      </c>
      <c r="Y228" t="s">
        <v>1845</v>
      </c>
      <c r="AA228" t="s">
        <v>1846</v>
      </c>
      <c r="AB228" t="s">
        <v>1847</v>
      </c>
      <c r="AC228">
        <v>99167</v>
      </c>
      <c r="AD228" t="s">
        <v>1941</v>
      </c>
      <c r="AE228">
        <v>-39.574148989999998</v>
      </c>
      <c r="AF228">
        <v>174.27592064000001</v>
      </c>
      <c r="AG228" s="175">
        <v>37</v>
      </c>
      <c r="AH228" s="175">
        <v>0</v>
      </c>
      <c r="AI228" s="175">
        <v>0</v>
      </c>
      <c r="AJ228" s="175">
        <v>0</v>
      </c>
      <c r="AK228" s="175">
        <v>11</v>
      </c>
      <c r="AL228" s="175">
        <v>12</v>
      </c>
      <c r="AM228" s="175">
        <v>17</v>
      </c>
      <c r="AN228" s="175">
        <v>0</v>
      </c>
      <c r="AO228" s="175">
        <v>40</v>
      </c>
      <c r="AP228" s="175">
        <v>38</v>
      </c>
      <c r="AQ228" s="175">
        <v>15</v>
      </c>
      <c r="AR228" s="175">
        <v>4</v>
      </c>
      <c r="AS228" s="175">
        <v>0</v>
      </c>
      <c r="AT228" s="175">
        <v>0</v>
      </c>
    </row>
    <row r="229" spans="1:46">
      <c r="A229">
        <v>5234</v>
      </c>
      <c r="B229" t="s">
        <v>1947</v>
      </c>
      <c r="C229" t="s">
        <v>1948</v>
      </c>
      <c r="D229" t="s">
        <v>1949</v>
      </c>
      <c r="E229" t="s">
        <v>1950</v>
      </c>
      <c r="G229" t="s">
        <v>1951</v>
      </c>
      <c r="H229" t="s">
        <v>452</v>
      </c>
      <c r="J229" t="s">
        <v>605</v>
      </c>
      <c r="K229" t="s">
        <v>606</v>
      </c>
      <c r="M229" t="s">
        <v>1382</v>
      </c>
      <c r="N229" t="s">
        <v>643</v>
      </c>
      <c r="O229" t="s">
        <v>1932</v>
      </c>
      <c r="P229" t="s">
        <v>610</v>
      </c>
      <c r="Q229" t="s">
        <v>514</v>
      </c>
      <c r="R229" t="s">
        <v>1841</v>
      </c>
      <c r="S229" t="s">
        <v>1923</v>
      </c>
      <c r="T229" t="s">
        <v>1568</v>
      </c>
      <c r="U229">
        <v>222201</v>
      </c>
      <c r="V229" t="s">
        <v>1952</v>
      </c>
      <c r="W229" t="s">
        <v>1953</v>
      </c>
      <c r="X229" t="s">
        <v>1844</v>
      </c>
      <c r="Y229" t="s">
        <v>1845</v>
      </c>
      <c r="AA229" t="s">
        <v>1846</v>
      </c>
      <c r="AB229" t="s">
        <v>1847</v>
      </c>
      <c r="AC229">
        <v>99167</v>
      </c>
      <c r="AD229" t="s">
        <v>1941</v>
      </c>
      <c r="AE229">
        <v>-39.752943440000003</v>
      </c>
      <c r="AF229">
        <v>174.47309781000001</v>
      </c>
      <c r="AG229" s="175">
        <v>40</v>
      </c>
      <c r="AH229" s="175">
        <v>0</v>
      </c>
      <c r="AI229" s="175">
        <v>0</v>
      </c>
      <c r="AJ229" s="175">
        <v>0</v>
      </c>
      <c r="AK229" s="175">
        <v>6</v>
      </c>
      <c r="AL229" s="175">
        <v>14</v>
      </c>
      <c r="AM229" s="175">
        <v>23</v>
      </c>
      <c r="AN229" s="175">
        <v>1</v>
      </c>
      <c r="AO229" s="175">
        <v>44</v>
      </c>
      <c r="AP229" s="175">
        <v>36</v>
      </c>
      <c r="AQ229" s="175">
        <v>13</v>
      </c>
      <c r="AR229" s="175">
        <v>2</v>
      </c>
      <c r="AS229" s="175">
        <v>4</v>
      </c>
      <c r="AT229" s="175">
        <v>1</v>
      </c>
    </row>
    <row r="230" spans="1:46">
      <c r="A230">
        <v>5235</v>
      </c>
      <c r="B230" t="s">
        <v>1954</v>
      </c>
      <c r="C230" t="s">
        <v>1955</v>
      </c>
      <c r="D230" t="s">
        <v>1956</v>
      </c>
      <c r="E230" t="s">
        <v>1957</v>
      </c>
      <c r="G230" t="s">
        <v>1921</v>
      </c>
      <c r="H230" t="s">
        <v>452</v>
      </c>
      <c r="J230" t="s">
        <v>605</v>
      </c>
      <c r="K230" t="s">
        <v>606</v>
      </c>
      <c r="M230" t="s">
        <v>1382</v>
      </c>
      <c r="N230" t="s">
        <v>643</v>
      </c>
      <c r="O230" t="s">
        <v>1922</v>
      </c>
      <c r="P230" t="s">
        <v>610</v>
      </c>
      <c r="Q230" t="s">
        <v>514</v>
      </c>
      <c r="R230" t="s">
        <v>1841</v>
      </c>
      <c r="S230" t="s">
        <v>1923</v>
      </c>
      <c r="T230" t="s">
        <v>1568</v>
      </c>
      <c r="U230">
        <v>220301</v>
      </c>
      <c r="V230" t="s">
        <v>1958</v>
      </c>
      <c r="W230" t="s">
        <v>1925</v>
      </c>
      <c r="X230" t="s">
        <v>1844</v>
      </c>
      <c r="Y230" t="s">
        <v>1845</v>
      </c>
      <c r="AA230" t="s">
        <v>1846</v>
      </c>
      <c r="AB230" t="s">
        <v>1847</v>
      </c>
      <c r="AC230">
        <v>99108</v>
      </c>
      <c r="AD230" t="s">
        <v>1926</v>
      </c>
      <c r="AE230">
        <v>-39.33796984</v>
      </c>
      <c r="AF230">
        <v>174.29016486</v>
      </c>
      <c r="AG230" s="175">
        <v>50</v>
      </c>
      <c r="AH230" s="175">
        <v>0</v>
      </c>
      <c r="AI230" s="175">
        <v>0</v>
      </c>
      <c r="AJ230" s="175">
        <v>0</v>
      </c>
      <c r="AK230" s="175">
        <v>9</v>
      </c>
      <c r="AL230" s="175">
        <v>15</v>
      </c>
      <c r="AM230" s="175">
        <v>29</v>
      </c>
      <c r="AN230" s="175">
        <v>1</v>
      </c>
      <c r="AO230" s="175">
        <v>54</v>
      </c>
      <c r="AP230" s="175">
        <v>50</v>
      </c>
      <c r="AQ230" s="175">
        <v>13</v>
      </c>
      <c r="AR230" s="175">
        <v>0</v>
      </c>
      <c r="AS230" s="175">
        <v>0</v>
      </c>
      <c r="AT230" s="175">
        <v>2</v>
      </c>
    </row>
    <row r="231" spans="1:46">
      <c r="A231">
        <v>5236</v>
      </c>
      <c r="B231" t="s">
        <v>1959</v>
      </c>
      <c r="C231" t="s">
        <v>1960</v>
      </c>
      <c r="D231" t="s">
        <v>1961</v>
      </c>
      <c r="E231" t="s">
        <v>1962</v>
      </c>
      <c r="G231" t="s">
        <v>1938</v>
      </c>
      <c r="H231" t="s">
        <v>452</v>
      </c>
      <c r="J231" t="s">
        <v>605</v>
      </c>
      <c r="K231" t="s">
        <v>606</v>
      </c>
      <c r="M231" t="s">
        <v>1382</v>
      </c>
      <c r="N231" t="s">
        <v>643</v>
      </c>
      <c r="O231" t="s">
        <v>1932</v>
      </c>
      <c r="P231" t="s">
        <v>610</v>
      </c>
      <c r="Q231" t="s">
        <v>514</v>
      </c>
      <c r="R231" t="s">
        <v>1841</v>
      </c>
      <c r="S231" t="s">
        <v>1923</v>
      </c>
      <c r="T231" t="s">
        <v>1568</v>
      </c>
      <c r="U231">
        <v>221600</v>
      </c>
      <c r="V231" t="s">
        <v>1946</v>
      </c>
      <c r="W231" t="s">
        <v>1940</v>
      </c>
      <c r="X231" t="s">
        <v>1844</v>
      </c>
      <c r="Y231" t="s">
        <v>1845</v>
      </c>
      <c r="AA231" t="s">
        <v>1846</v>
      </c>
      <c r="AB231" t="s">
        <v>1847</v>
      </c>
      <c r="AC231">
        <v>99167</v>
      </c>
      <c r="AD231" t="s">
        <v>1941</v>
      </c>
      <c r="AE231">
        <v>-39.5853021</v>
      </c>
      <c r="AF231">
        <v>174.2933707</v>
      </c>
      <c r="AG231" s="175">
        <v>40</v>
      </c>
      <c r="AH231" s="175">
        <v>0</v>
      </c>
      <c r="AI231" s="175">
        <v>0</v>
      </c>
      <c r="AJ231" s="175">
        <v>0</v>
      </c>
      <c r="AK231" s="175">
        <v>5</v>
      </c>
      <c r="AL231" s="175">
        <v>17</v>
      </c>
      <c r="AM231" s="175">
        <v>8</v>
      </c>
      <c r="AN231" s="175">
        <v>2</v>
      </c>
      <c r="AO231" s="175">
        <v>32</v>
      </c>
      <c r="AP231" s="175">
        <v>23</v>
      </c>
      <c r="AQ231" s="175">
        <v>13</v>
      </c>
      <c r="AR231" s="175">
        <v>0</v>
      </c>
      <c r="AS231" s="175">
        <v>5</v>
      </c>
      <c r="AT231" s="175">
        <v>2</v>
      </c>
    </row>
    <row r="232" spans="1:46">
      <c r="A232">
        <v>5237</v>
      </c>
      <c r="B232" t="s">
        <v>1963</v>
      </c>
      <c r="C232" t="s">
        <v>1964</v>
      </c>
      <c r="D232" t="s">
        <v>1965</v>
      </c>
      <c r="E232" t="s">
        <v>1966</v>
      </c>
      <c r="F232" t="s">
        <v>1967</v>
      </c>
      <c r="G232" t="s">
        <v>1923</v>
      </c>
      <c r="H232" t="s">
        <v>452</v>
      </c>
      <c r="J232" t="s">
        <v>605</v>
      </c>
      <c r="K232" t="s">
        <v>606</v>
      </c>
      <c r="M232" t="s">
        <v>1382</v>
      </c>
      <c r="N232" t="s">
        <v>643</v>
      </c>
      <c r="O232" t="s">
        <v>1968</v>
      </c>
      <c r="P232" t="s">
        <v>670</v>
      </c>
      <c r="Q232" t="s">
        <v>553</v>
      </c>
      <c r="R232" t="s">
        <v>1841</v>
      </c>
      <c r="S232" t="s">
        <v>1923</v>
      </c>
      <c r="T232" t="s">
        <v>1568</v>
      </c>
      <c r="U232">
        <v>224000</v>
      </c>
      <c r="V232" t="s">
        <v>1969</v>
      </c>
      <c r="W232" t="s">
        <v>1734</v>
      </c>
      <c r="X232" t="s">
        <v>1970</v>
      </c>
      <c r="Y232" t="s">
        <v>1971</v>
      </c>
      <c r="AA232" t="s">
        <v>1972</v>
      </c>
      <c r="AB232" t="s">
        <v>1973</v>
      </c>
      <c r="AC232">
        <v>99218</v>
      </c>
      <c r="AD232" t="s">
        <v>1974</v>
      </c>
      <c r="AE232">
        <v>-39.901912000000003</v>
      </c>
      <c r="AF232">
        <v>175.06160886000001</v>
      </c>
      <c r="AG232" s="175">
        <v>40</v>
      </c>
      <c r="AH232" s="175">
        <v>0</v>
      </c>
      <c r="AI232" s="175">
        <v>0</v>
      </c>
      <c r="AJ232" s="175">
        <v>0</v>
      </c>
      <c r="AK232" s="175">
        <v>4</v>
      </c>
      <c r="AL232" s="175">
        <v>10</v>
      </c>
      <c r="AM232" s="175">
        <v>14</v>
      </c>
      <c r="AN232" s="175">
        <v>0</v>
      </c>
      <c r="AO232" s="175">
        <v>28</v>
      </c>
      <c r="AP232" s="175">
        <v>23</v>
      </c>
      <c r="AQ232" s="175">
        <v>8</v>
      </c>
      <c r="AR232" s="175">
        <v>2</v>
      </c>
      <c r="AS232" s="175">
        <v>1</v>
      </c>
      <c r="AT232" s="175">
        <v>3</v>
      </c>
    </row>
    <row r="233" spans="1:46">
      <c r="A233">
        <v>5238</v>
      </c>
      <c r="B233" t="s">
        <v>1975</v>
      </c>
      <c r="C233" t="s">
        <v>1976</v>
      </c>
      <c r="D233" t="s">
        <v>1977</v>
      </c>
      <c r="E233" t="s">
        <v>1978</v>
      </c>
      <c r="F233" t="s">
        <v>1979</v>
      </c>
      <c r="G233" t="s">
        <v>1923</v>
      </c>
      <c r="H233" t="s">
        <v>452</v>
      </c>
      <c r="J233" t="s">
        <v>605</v>
      </c>
      <c r="K233" t="s">
        <v>606</v>
      </c>
      <c r="M233" t="s">
        <v>1382</v>
      </c>
      <c r="N233" t="s">
        <v>812</v>
      </c>
      <c r="O233" t="s">
        <v>1968</v>
      </c>
      <c r="P233" t="s">
        <v>670</v>
      </c>
      <c r="Q233" t="s">
        <v>553</v>
      </c>
      <c r="R233" t="s">
        <v>1841</v>
      </c>
      <c r="S233" t="s">
        <v>1923</v>
      </c>
      <c r="T233" t="s">
        <v>1568</v>
      </c>
      <c r="U233">
        <v>224301</v>
      </c>
      <c r="V233" t="s">
        <v>1980</v>
      </c>
      <c r="W233" t="s">
        <v>1734</v>
      </c>
      <c r="X233" t="s">
        <v>1970</v>
      </c>
      <c r="Y233" t="s">
        <v>1971</v>
      </c>
      <c r="AA233" t="s">
        <v>1972</v>
      </c>
      <c r="AB233" t="s">
        <v>1973</v>
      </c>
      <c r="AC233">
        <v>99219</v>
      </c>
      <c r="AD233" t="s">
        <v>1981</v>
      </c>
      <c r="AE233">
        <v>-39.938772839999999</v>
      </c>
      <c r="AF233">
        <v>175.00800903999999</v>
      </c>
      <c r="AG233" s="175">
        <v>40</v>
      </c>
      <c r="AH233" s="175">
        <v>0</v>
      </c>
      <c r="AI233" s="175">
        <v>0</v>
      </c>
      <c r="AJ233" s="175">
        <v>0</v>
      </c>
      <c r="AK233" s="175">
        <v>11</v>
      </c>
      <c r="AL233" s="175">
        <v>7</v>
      </c>
      <c r="AM233" s="175">
        <v>6</v>
      </c>
      <c r="AN233" s="175">
        <v>0</v>
      </c>
      <c r="AO233" s="175">
        <v>24</v>
      </c>
      <c r="AP233" s="175">
        <v>18</v>
      </c>
      <c r="AQ233" s="175">
        <v>6</v>
      </c>
      <c r="AR233" s="175">
        <v>5</v>
      </c>
      <c r="AS233" s="175">
        <v>1</v>
      </c>
      <c r="AT233" s="175">
        <v>0</v>
      </c>
    </row>
    <row r="234" spans="1:46">
      <c r="A234">
        <v>5239</v>
      </c>
      <c r="B234" t="s">
        <v>1982</v>
      </c>
      <c r="C234" t="s">
        <v>1983</v>
      </c>
      <c r="D234" t="s">
        <v>1984</v>
      </c>
      <c r="E234" t="s">
        <v>1985</v>
      </c>
      <c r="G234" t="s">
        <v>1923</v>
      </c>
      <c r="H234" t="s">
        <v>452</v>
      </c>
      <c r="J234" t="s">
        <v>605</v>
      </c>
      <c r="K234" t="s">
        <v>606</v>
      </c>
      <c r="M234" t="s">
        <v>1382</v>
      </c>
      <c r="N234" t="s">
        <v>608</v>
      </c>
      <c r="O234" t="s">
        <v>1968</v>
      </c>
      <c r="P234" t="s">
        <v>670</v>
      </c>
      <c r="Q234" t="s">
        <v>553</v>
      </c>
      <c r="R234" t="s">
        <v>1841</v>
      </c>
      <c r="S234" t="s">
        <v>1923</v>
      </c>
      <c r="T234" t="s">
        <v>1568</v>
      </c>
      <c r="U234">
        <v>224800</v>
      </c>
      <c r="V234" t="s">
        <v>1986</v>
      </c>
      <c r="W234" t="s">
        <v>1734</v>
      </c>
      <c r="X234" t="s">
        <v>1970</v>
      </c>
      <c r="Y234" t="s">
        <v>1971</v>
      </c>
      <c r="AA234" t="s">
        <v>1972</v>
      </c>
      <c r="AB234" t="s">
        <v>1973</v>
      </c>
      <c r="AC234">
        <v>99220</v>
      </c>
      <c r="AD234" t="s">
        <v>1987</v>
      </c>
      <c r="AE234">
        <v>-39.923016220000001</v>
      </c>
      <c r="AF234">
        <v>175.04731726</v>
      </c>
      <c r="AG234" s="175">
        <v>30</v>
      </c>
      <c r="AH234" s="175">
        <v>0</v>
      </c>
      <c r="AI234" s="175">
        <v>0</v>
      </c>
      <c r="AJ234" s="175">
        <v>0</v>
      </c>
      <c r="AK234" s="175">
        <v>11</v>
      </c>
      <c r="AL234" s="175">
        <v>10</v>
      </c>
      <c r="AM234" s="175">
        <v>5</v>
      </c>
      <c r="AN234" s="175">
        <v>0</v>
      </c>
      <c r="AO234" s="175">
        <v>26</v>
      </c>
      <c r="AP234" s="175">
        <v>18</v>
      </c>
      <c r="AQ234" s="175">
        <v>8</v>
      </c>
      <c r="AR234" s="175">
        <v>5</v>
      </c>
      <c r="AS234" s="175">
        <v>3</v>
      </c>
      <c r="AT234" s="175">
        <v>0</v>
      </c>
    </row>
    <row r="235" spans="1:46">
      <c r="A235">
        <v>5240</v>
      </c>
      <c r="B235" t="s">
        <v>1988</v>
      </c>
      <c r="C235" t="s">
        <v>1989</v>
      </c>
      <c r="D235" t="s">
        <v>1990</v>
      </c>
      <c r="E235" t="s">
        <v>1991</v>
      </c>
      <c r="F235" t="s">
        <v>1992</v>
      </c>
      <c r="G235" t="s">
        <v>1923</v>
      </c>
      <c r="H235" t="s">
        <v>452</v>
      </c>
      <c r="J235" t="s">
        <v>605</v>
      </c>
      <c r="K235" t="s">
        <v>606</v>
      </c>
      <c r="M235" t="s">
        <v>1382</v>
      </c>
      <c r="N235" t="s">
        <v>625</v>
      </c>
      <c r="O235" t="s">
        <v>1968</v>
      </c>
      <c r="P235" t="s">
        <v>670</v>
      </c>
      <c r="Q235" t="s">
        <v>553</v>
      </c>
      <c r="R235" t="s">
        <v>1841</v>
      </c>
      <c r="S235" t="s">
        <v>1923</v>
      </c>
      <c r="T235" t="s">
        <v>1568</v>
      </c>
      <c r="U235">
        <v>225300</v>
      </c>
      <c r="V235" t="s">
        <v>1993</v>
      </c>
      <c r="W235" t="s">
        <v>1734</v>
      </c>
      <c r="X235" t="s">
        <v>1970</v>
      </c>
      <c r="Y235" t="s">
        <v>1971</v>
      </c>
      <c r="AA235" t="s">
        <v>1972</v>
      </c>
      <c r="AB235" t="s">
        <v>1973</v>
      </c>
      <c r="AC235">
        <v>99219</v>
      </c>
      <c r="AD235" t="s">
        <v>1981</v>
      </c>
      <c r="AE235">
        <v>-39.93981805</v>
      </c>
      <c r="AF235">
        <v>175.02463098999999</v>
      </c>
      <c r="AG235" s="175">
        <v>40</v>
      </c>
      <c r="AH235" s="175">
        <v>0</v>
      </c>
      <c r="AI235" s="175">
        <v>0</v>
      </c>
      <c r="AJ235" s="175">
        <v>0</v>
      </c>
      <c r="AK235" s="175">
        <v>10</v>
      </c>
      <c r="AL235" s="175">
        <v>11</v>
      </c>
      <c r="AM235" s="175">
        <v>15</v>
      </c>
      <c r="AN235" s="175">
        <v>1</v>
      </c>
      <c r="AO235" s="175">
        <v>37</v>
      </c>
      <c r="AP235" s="175">
        <v>26</v>
      </c>
      <c r="AQ235" s="175">
        <v>12</v>
      </c>
      <c r="AR235" s="175">
        <v>8</v>
      </c>
      <c r="AS235" s="175">
        <v>0</v>
      </c>
      <c r="AT235" s="175">
        <v>0</v>
      </c>
    </row>
    <row r="236" spans="1:46">
      <c r="A236">
        <v>5241</v>
      </c>
      <c r="B236" t="s">
        <v>1994</v>
      </c>
      <c r="C236" t="s">
        <v>1995</v>
      </c>
      <c r="D236" t="s">
        <v>1996</v>
      </c>
      <c r="E236" t="s">
        <v>1997</v>
      </c>
      <c r="G236" t="s">
        <v>1923</v>
      </c>
      <c r="H236" t="s">
        <v>452</v>
      </c>
      <c r="J236" t="s">
        <v>605</v>
      </c>
      <c r="K236" t="s">
        <v>606</v>
      </c>
      <c r="M236" t="s">
        <v>1382</v>
      </c>
      <c r="N236" t="s">
        <v>657</v>
      </c>
      <c r="O236" t="s">
        <v>1968</v>
      </c>
      <c r="P236" t="s">
        <v>670</v>
      </c>
      <c r="Q236" t="s">
        <v>553</v>
      </c>
      <c r="R236" t="s">
        <v>1841</v>
      </c>
      <c r="S236" t="s">
        <v>1923</v>
      </c>
      <c r="T236" t="s">
        <v>1568</v>
      </c>
      <c r="U236">
        <v>225300</v>
      </c>
      <c r="V236" t="s">
        <v>1993</v>
      </c>
      <c r="W236" t="s">
        <v>1734</v>
      </c>
      <c r="X236" t="s">
        <v>1970</v>
      </c>
      <c r="Y236" t="s">
        <v>1971</v>
      </c>
      <c r="AA236" t="s">
        <v>1972</v>
      </c>
      <c r="AB236" t="s">
        <v>1973</v>
      </c>
      <c r="AC236">
        <v>99220</v>
      </c>
      <c r="AD236" t="s">
        <v>1987</v>
      </c>
      <c r="AE236">
        <v>-39.938540230000001</v>
      </c>
      <c r="AF236">
        <v>175.03407472000001</v>
      </c>
      <c r="AG236" s="175">
        <v>40</v>
      </c>
      <c r="AH236" s="175">
        <v>0</v>
      </c>
      <c r="AI236" s="175">
        <v>0</v>
      </c>
      <c r="AJ236" s="175">
        <v>0</v>
      </c>
      <c r="AK236" s="175">
        <v>7</v>
      </c>
      <c r="AL236" s="175">
        <v>9</v>
      </c>
      <c r="AM236" s="175">
        <v>11</v>
      </c>
      <c r="AN236" s="175">
        <v>2</v>
      </c>
      <c r="AO236" s="175">
        <v>29</v>
      </c>
      <c r="AP236" s="175">
        <v>24</v>
      </c>
      <c r="AQ236" s="175">
        <v>7</v>
      </c>
      <c r="AR236" s="175">
        <v>1</v>
      </c>
      <c r="AS236" s="175">
        <v>1</v>
      </c>
      <c r="AT236" s="175">
        <v>1</v>
      </c>
    </row>
    <row r="237" spans="1:46">
      <c r="A237">
        <v>5243</v>
      </c>
      <c r="B237" t="s">
        <v>1998</v>
      </c>
      <c r="C237" t="s">
        <v>1999</v>
      </c>
      <c r="D237" t="s">
        <v>2000</v>
      </c>
      <c r="E237" t="s">
        <v>2001</v>
      </c>
      <c r="G237" t="s">
        <v>1923</v>
      </c>
      <c r="H237" t="s">
        <v>452</v>
      </c>
      <c r="J237" t="s">
        <v>605</v>
      </c>
      <c r="K237" t="s">
        <v>606</v>
      </c>
      <c r="M237" t="s">
        <v>1382</v>
      </c>
      <c r="N237" t="s">
        <v>812</v>
      </c>
      <c r="O237" t="s">
        <v>1968</v>
      </c>
      <c r="P237" t="s">
        <v>670</v>
      </c>
      <c r="Q237" t="s">
        <v>553</v>
      </c>
      <c r="R237" t="s">
        <v>1841</v>
      </c>
      <c r="S237" t="s">
        <v>1923</v>
      </c>
      <c r="T237" t="s">
        <v>1568</v>
      </c>
      <c r="U237">
        <v>223800</v>
      </c>
      <c r="V237" t="s">
        <v>2002</v>
      </c>
      <c r="W237" t="s">
        <v>1734</v>
      </c>
      <c r="X237" t="s">
        <v>1970</v>
      </c>
      <c r="Y237" t="s">
        <v>1971</v>
      </c>
      <c r="AA237" t="s">
        <v>1972</v>
      </c>
      <c r="AB237" t="s">
        <v>1973</v>
      </c>
      <c r="AC237">
        <v>99218</v>
      </c>
      <c r="AD237" t="s">
        <v>1974</v>
      </c>
      <c r="AE237">
        <v>-39.940280459999997</v>
      </c>
      <c r="AF237">
        <v>174.98561251999999</v>
      </c>
      <c r="AG237" s="175">
        <v>40</v>
      </c>
      <c r="AH237" s="175">
        <v>0</v>
      </c>
      <c r="AI237" s="175">
        <v>0</v>
      </c>
      <c r="AJ237" s="175">
        <v>0</v>
      </c>
      <c r="AK237" s="175">
        <v>7</v>
      </c>
      <c r="AL237" s="175">
        <v>14</v>
      </c>
      <c r="AM237" s="175">
        <v>11</v>
      </c>
      <c r="AN237" s="175">
        <v>3</v>
      </c>
      <c r="AO237" s="175">
        <v>35</v>
      </c>
      <c r="AP237" s="175">
        <v>13</v>
      </c>
      <c r="AQ237" s="175">
        <v>24</v>
      </c>
      <c r="AR237" s="175">
        <v>4</v>
      </c>
      <c r="AS237" s="175">
        <v>3</v>
      </c>
      <c r="AT237" s="175">
        <v>0</v>
      </c>
    </row>
    <row r="238" spans="1:46">
      <c r="A238">
        <v>5244</v>
      </c>
      <c r="B238" t="s">
        <v>2003</v>
      </c>
      <c r="C238" t="s">
        <v>2004</v>
      </c>
      <c r="D238" t="s">
        <v>2005</v>
      </c>
      <c r="E238" t="s">
        <v>2006</v>
      </c>
      <c r="G238" t="s">
        <v>2007</v>
      </c>
      <c r="H238" t="s">
        <v>452</v>
      </c>
      <c r="J238" t="s">
        <v>605</v>
      </c>
      <c r="K238" t="s">
        <v>606</v>
      </c>
      <c r="M238" t="s">
        <v>1382</v>
      </c>
      <c r="N238" t="s">
        <v>657</v>
      </c>
      <c r="O238" t="s">
        <v>1718</v>
      </c>
      <c r="P238" t="s">
        <v>610</v>
      </c>
      <c r="Q238" t="s">
        <v>553</v>
      </c>
      <c r="R238" t="s">
        <v>1841</v>
      </c>
      <c r="S238" t="s">
        <v>1719</v>
      </c>
      <c r="T238" t="s">
        <v>1568</v>
      </c>
      <c r="U238">
        <v>223100</v>
      </c>
      <c r="V238" t="s">
        <v>2008</v>
      </c>
      <c r="W238" t="s">
        <v>1721</v>
      </c>
      <c r="X238" t="s">
        <v>1970</v>
      </c>
      <c r="Y238" t="s">
        <v>1971</v>
      </c>
      <c r="AA238" t="s">
        <v>1972</v>
      </c>
      <c r="AB238" t="s">
        <v>1973</v>
      </c>
      <c r="AE238">
        <v>-39.41473397</v>
      </c>
      <c r="AF238">
        <v>175.40600026999999</v>
      </c>
      <c r="AG238" s="175">
        <v>30</v>
      </c>
      <c r="AH238" s="175">
        <v>0</v>
      </c>
      <c r="AI238" s="175">
        <v>0</v>
      </c>
      <c r="AJ238" s="175">
        <v>0</v>
      </c>
      <c r="AK238" s="175">
        <v>6</v>
      </c>
      <c r="AL238" s="175">
        <v>9</v>
      </c>
      <c r="AM238" s="175">
        <v>25</v>
      </c>
      <c r="AN238" s="175">
        <v>3</v>
      </c>
      <c r="AO238" s="175">
        <v>43</v>
      </c>
      <c r="AP238" s="175">
        <v>40</v>
      </c>
      <c r="AQ238" s="175">
        <v>22</v>
      </c>
      <c r="AR238" s="175">
        <v>0</v>
      </c>
      <c r="AS238" s="175">
        <v>2</v>
      </c>
      <c r="AT238" s="175">
        <v>1</v>
      </c>
    </row>
    <row r="239" spans="1:46">
      <c r="A239">
        <v>5245</v>
      </c>
      <c r="B239" t="s">
        <v>2009</v>
      </c>
      <c r="C239" t="s">
        <v>2010</v>
      </c>
      <c r="D239" t="s">
        <v>2011</v>
      </c>
      <c r="E239" t="s">
        <v>2012</v>
      </c>
      <c r="F239" t="s">
        <v>2013</v>
      </c>
      <c r="G239" t="s">
        <v>1923</v>
      </c>
      <c r="H239" t="s">
        <v>452</v>
      </c>
      <c r="J239" t="s">
        <v>605</v>
      </c>
      <c r="K239" t="s">
        <v>606</v>
      </c>
      <c r="M239" t="s">
        <v>1382</v>
      </c>
      <c r="N239" t="s">
        <v>657</v>
      </c>
      <c r="O239" t="s">
        <v>1968</v>
      </c>
      <c r="P239" t="s">
        <v>670</v>
      </c>
      <c r="Q239" t="s">
        <v>553</v>
      </c>
      <c r="R239" t="s">
        <v>1841</v>
      </c>
      <c r="S239" t="s">
        <v>1923</v>
      </c>
      <c r="T239" t="s">
        <v>1568</v>
      </c>
      <c r="U239">
        <v>225900</v>
      </c>
      <c r="V239" t="s">
        <v>2014</v>
      </c>
      <c r="W239" t="s">
        <v>1734</v>
      </c>
      <c r="X239" t="s">
        <v>1970</v>
      </c>
      <c r="Y239" t="s">
        <v>1971</v>
      </c>
      <c r="AA239" t="s">
        <v>1972</v>
      </c>
      <c r="AB239" t="s">
        <v>1973</v>
      </c>
      <c r="AC239">
        <v>99218</v>
      </c>
      <c r="AD239" t="s">
        <v>1974</v>
      </c>
      <c r="AE239">
        <v>-39.937715169999997</v>
      </c>
      <c r="AF239">
        <v>175.0640204</v>
      </c>
      <c r="AG239" s="175">
        <v>40</v>
      </c>
      <c r="AH239" s="175">
        <v>0</v>
      </c>
      <c r="AI239" s="175">
        <v>0</v>
      </c>
      <c r="AJ239" s="175">
        <v>0</v>
      </c>
      <c r="AK239" s="175">
        <v>7</v>
      </c>
      <c r="AL239" s="175">
        <v>9</v>
      </c>
      <c r="AM239" s="175">
        <v>8</v>
      </c>
      <c r="AN239" s="175">
        <v>0</v>
      </c>
      <c r="AO239" s="175">
        <v>24</v>
      </c>
      <c r="AP239" s="175">
        <v>20</v>
      </c>
      <c r="AQ239" s="175">
        <v>7</v>
      </c>
      <c r="AR239" s="175">
        <v>2</v>
      </c>
      <c r="AS239" s="175">
        <v>0</v>
      </c>
      <c r="AT239" s="175">
        <v>4</v>
      </c>
    </row>
    <row r="240" spans="1:46">
      <c r="A240">
        <v>5246</v>
      </c>
      <c r="B240" t="s">
        <v>2015</v>
      </c>
      <c r="C240" t="s">
        <v>2016</v>
      </c>
      <c r="D240" t="s">
        <v>2017</v>
      </c>
      <c r="E240" t="s">
        <v>2018</v>
      </c>
      <c r="F240" t="s">
        <v>2019</v>
      </c>
      <c r="G240" t="s">
        <v>1923</v>
      </c>
      <c r="H240" t="s">
        <v>452</v>
      </c>
      <c r="J240" t="s">
        <v>605</v>
      </c>
      <c r="K240" t="s">
        <v>606</v>
      </c>
      <c r="M240" t="s">
        <v>1382</v>
      </c>
      <c r="N240" t="s">
        <v>657</v>
      </c>
      <c r="O240" t="s">
        <v>1968</v>
      </c>
      <c r="P240" t="s">
        <v>670</v>
      </c>
      <c r="Q240" t="s">
        <v>553</v>
      </c>
      <c r="R240" t="s">
        <v>1841</v>
      </c>
      <c r="S240" t="s">
        <v>1923</v>
      </c>
      <c r="T240" t="s">
        <v>1568</v>
      </c>
      <c r="U240">
        <v>226000</v>
      </c>
      <c r="V240" t="s">
        <v>2019</v>
      </c>
      <c r="W240" t="s">
        <v>1734</v>
      </c>
      <c r="X240" t="s">
        <v>1970</v>
      </c>
      <c r="Y240" t="s">
        <v>1971</v>
      </c>
      <c r="AA240" t="s">
        <v>1972</v>
      </c>
      <c r="AB240" t="s">
        <v>1973</v>
      </c>
      <c r="AC240">
        <v>99218</v>
      </c>
      <c r="AD240" t="s">
        <v>1974</v>
      </c>
      <c r="AE240">
        <v>-39.947247429999997</v>
      </c>
      <c r="AF240">
        <v>175.0496464</v>
      </c>
      <c r="AG240" s="175">
        <v>40</v>
      </c>
      <c r="AH240" s="175">
        <v>0</v>
      </c>
      <c r="AI240" s="175">
        <v>0</v>
      </c>
      <c r="AJ240" s="175">
        <v>0</v>
      </c>
      <c r="AK240" s="175">
        <v>8</v>
      </c>
      <c r="AL240" s="175">
        <v>14</v>
      </c>
      <c r="AM240" s="175">
        <v>8</v>
      </c>
      <c r="AN240" s="175">
        <v>0</v>
      </c>
      <c r="AO240" s="175">
        <v>30</v>
      </c>
      <c r="AP240" s="175">
        <v>20</v>
      </c>
      <c r="AQ240" s="175">
        <v>16</v>
      </c>
      <c r="AR240" s="175">
        <v>1</v>
      </c>
      <c r="AS240" s="175">
        <v>1</v>
      </c>
      <c r="AT240" s="175">
        <v>0</v>
      </c>
    </row>
    <row r="241" spans="1:46">
      <c r="A241">
        <v>5247</v>
      </c>
      <c r="B241" t="s">
        <v>2020</v>
      </c>
      <c r="C241" t="s">
        <v>2021</v>
      </c>
      <c r="D241" t="s">
        <v>2022</v>
      </c>
      <c r="E241" t="s">
        <v>2023</v>
      </c>
      <c r="F241" t="s">
        <v>2024</v>
      </c>
      <c r="G241" t="s">
        <v>1923</v>
      </c>
      <c r="H241" t="s">
        <v>452</v>
      </c>
      <c r="J241" t="s">
        <v>605</v>
      </c>
      <c r="K241" t="s">
        <v>606</v>
      </c>
      <c r="M241" t="s">
        <v>1382</v>
      </c>
      <c r="N241" t="s">
        <v>657</v>
      </c>
      <c r="O241" t="s">
        <v>1968</v>
      </c>
      <c r="P241" t="s">
        <v>670</v>
      </c>
      <c r="Q241" t="s">
        <v>553</v>
      </c>
      <c r="R241" t="s">
        <v>1841</v>
      </c>
      <c r="S241" t="s">
        <v>1923</v>
      </c>
      <c r="T241" t="s">
        <v>1568</v>
      </c>
      <c r="U241">
        <v>225000</v>
      </c>
      <c r="V241" t="s">
        <v>2025</v>
      </c>
      <c r="W241" t="s">
        <v>1734</v>
      </c>
      <c r="X241" t="s">
        <v>1970</v>
      </c>
      <c r="Y241" t="s">
        <v>1971</v>
      </c>
      <c r="AA241" t="s">
        <v>1972</v>
      </c>
      <c r="AB241" t="s">
        <v>1973</v>
      </c>
      <c r="AC241">
        <v>99219</v>
      </c>
      <c r="AD241" t="s">
        <v>1981</v>
      </c>
      <c r="AE241">
        <v>-39.921967789999997</v>
      </c>
      <c r="AF241">
        <v>175.03673029000001</v>
      </c>
      <c r="AG241" s="175">
        <v>40</v>
      </c>
      <c r="AH241" s="175">
        <v>0</v>
      </c>
      <c r="AI241" s="175">
        <v>0</v>
      </c>
      <c r="AJ241" s="175">
        <v>0</v>
      </c>
      <c r="AK241" s="175">
        <v>1</v>
      </c>
      <c r="AL241" s="175">
        <v>23</v>
      </c>
      <c r="AM241" s="175">
        <v>26</v>
      </c>
      <c r="AN241" s="175">
        <v>1</v>
      </c>
      <c r="AO241" s="175">
        <v>51</v>
      </c>
      <c r="AP241" s="175">
        <v>45</v>
      </c>
      <c r="AQ241" s="175">
        <v>10</v>
      </c>
      <c r="AR241" s="175">
        <v>1</v>
      </c>
      <c r="AS241" s="175">
        <v>4</v>
      </c>
      <c r="AT241" s="175">
        <v>0</v>
      </c>
    </row>
    <row r="242" spans="1:46">
      <c r="A242">
        <v>5248</v>
      </c>
      <c r="B242" t="s">
        <v>2026</v>
      </c>
      <c r="C242" t="s">
        <v>2027</v>
      </c>
      <c r="D242" t="s">
        <v>2028</v>
      </c>
      <c r="E242" t="s">
        <v>2029</v>
      </c>
      <c r="F242" t="s">
        <v>2030</v>
      </c>
      <c r="G242" t="s">
        <v>1923</v>
      </c>
      <c r="H242" t="s">
        <v>452</v>
      </c>
      <c r="J242" t="s">
        <v>605</v>
      </c>
      <c r="K242" t="s">
        <v>606</v>
      </c>
      <c r="M242" t="s">
        <v>1382</v>
      </c>
      <c r="N242" t="s">
        <v>643</v>
      </c>
      <c r="O242" t="s">
        <v>1968</v>
      </c>
      <c r="P242" t="s">
        <v>670</v>
      </c>
      <c r="Q242" t="s">
        <v>553</v>
      </c>
      <c r="R242" t="s">
        <v>1841</v>
      </c>
      <c r="S242" t="s">
        <v>1923</v>
      </c>
      <c r="T242" t="s">
        <v>1568</v>
      </c>
      <c r="U242">
        <v>225500</v>
      </c>
      <c r="V242" t="s">
        <v>2031</v>
      </c>
      <c r="W242" t="s">
        <v>1734</v>
      </c>
      <c r="X242" t="s">
        <v>1970</v>
      </c>
      <c r="Y242" t="s">
        <v>1971</v>
      </c>
      <c r="AA242" t="s">
        <v>1972</v>
      </c>
      <c r="AB242" t="s">
        <v>1973</v>
      </c>
      <c r="AC242">
        <v>99220</v>
      </c>
      <c r="AD242" t="s">
        <v>1987</v>
      </c>
      <c r="AE242">
        <v>-39.92163978</v>
      </c>
      <c r="AF242">
        <v>175.06453023</v>
      </c>
      <c r="AG242" s="175">
        <v>40</v>
      </c>
      <c r="AH242" s="175">
        <v>0</v>
      </c>
      <c r="AI242" s="175">
        <v>0</v>
      </c>
      <c r="AJ242" s="175">
        <v>0</v>
      </c>
      <c r="AK242" s="175">
        <v>5</v>
      </c>
      <c r="AL242" s="175">
        <v>14</v>
      </c>
      <c r="AM242" s="175">
        <v>15</v>
      </c>
      <c r="AN242" s="175">
        <v>2</v>
      </c>
      <c r="AO242" s="175">
        <v>36</v>
      </c>
      <c r="AP242" s="175">
        <v>30</v>
      </c>
      <c r="AQ242" s="175">
        <v>7</v>
      </c>
      <c r="AR242" s="175">
        <v>1</v>
      </c>
      <c r="AS242" s="175">
        <v>3</v>
      </c>
      <c r="AT242" s="175">
        <v>3</v>
      </c>
    </row>
    <row r="243" spans="1:46">
      <c r="A243">
        <v>5249</v>
      </c>
      <c r="B243" t="s">
        <v>2032</v>
      </c>
      <c r="C243" t="s">
        <v>2033</v>
      </c>
      <c r="D243" t="s">
        <v>2034</v>
      </c>
      <c r="E243" t="s">
        <v>2035</v>
      </c>
      <c r="G243" t="s">
        <v>2036</v>
      </c>
      <c r="H243" t="s">
        <v>452</v>
      </c>
      <c r="J243" t="s">
        <v>605</v>
      </c>
      <c r="K243" t="s">
        <v>606</v>
      </c>
      <c r="M243" t="s">
        <v>1382</v>
      </c>
      <c r="N243" t="s">
        <v>657</v>
      </c>
      <c r="O243" t="s">
        <v>2037</v>
      </c>
      <c r="P243" t="s">
        <v>610</v>
      </c>
      <c r="Q243" t="s">
        <v>553</v>
      </c>
      <c r="R243" t="s">
        <v>1841</v>
      </c>
      <c r="S243" t="s">
        <v>1719</v>
      </c>
      <c r="T243" t="s">
        <v>1568</v>
      </c>
      <c r="U243">
        <v>232200</v>
      </c>
      <c r="V243" t="s">
        <v>2036</v>
      </c>
      <c r="W243" t="s">
        <v>2038</v>
      </c>
      <c r="X243" t="s">
        <v>2039</v>
      </c>
      <c r="Y243" t="s">
        <v>2040</v>
      </c>
      <c r="AA243" t="s">
        <v>2041</v>
      </c>
      <c r="AB243" t="s">
        <v>2042</v>
      </c>
      <c r="AC243">
        <v>99052</v>
      </c>
      <c r="AD243" t="s">
        <v>2043</v>
      </c>
      <c r="AE243">
        <v>-40.285540089999998</v>
      </c>
      <c r="AF243">
        <v>175.75721573000001</v>
      </c>
      <c r="AG243" s="175">
        <v>40</v>
      </c>
      <c r="AH243" s="175">
        <v>0</v>
      </c>
      <c r="AI243" s="175">
        <v>0</v>
      </c>
      <c r="AJ243" s="175">
        <v>0</v>
      </c>
      <c r="AK243" s="175">
        <v>0</v>
      </c>
      <c r="AL243" s="175">
        <v>14</v>
      </c>
      <c r="AM243" s="175">
        <v>20</v>
      </c>
      <c r="AN243" s="175">
        <v>2</v>
      </c>
      <c r="AO243" s="175">
        <v>36</v>
      </c>
      <c r="AP243" s="175">
        <v>28</v>
      </c>
      <c r="AQ243" s="175">
        <v>12</v>
      </c>
      <c r="AR243" s="175">
        <v>1</v>
      </c>
      <c r="AS243" s="175">
        <v>3</v>
      </c>
      <c r="AT243" s="175">
        <v>3</v>
      </c>
    </row>
    <row r="244" spans="1:46">
      <c r="A244">
        <v>5251</v>
      </c>
      <c r="B244" t="s">
        <v>2044</v>
      </c>
      <c r="C244" t="s">
        <v>2045</v>
      </c>
      <c r="E244" t="s">
        <v>2046</v>
      </c>
      <c r="G244" t="s">
        <v>2047</v>
      </c>
      <c r="H244" t="s">
        <v>452</v>
      </c>
      <c r="J244" t="s">
        <v>605</v>
      </c>
      <c r="K244" t="s">
        <v>606</v>
      </c>
      <c r="M244" t="s">
        <v>1382</v>
      </c>
      <c r="N244" t="s">
        <v>657</v>
      </c>
      <c r="O244" t="s">
        <v>2048</v>
      </c>
      <c r="P244" t="s">
        <v>610</v>
      </c>
      <c r="Q244" t="s">
        <v>553</v>
      </c>
      <c r="R244" t="s">
        <v>1841</v>
      </c>
      <c r="S244" t="s">
        <v>1719</v>
      </c>
      <c r="T244" t="s">
        <v>1568</v>
      </c>
      <c r="U244">
        <v>227000</v>
      </c>
      <c r="V244" t="s">
        <v>2047</v>
      </c>
      <c r="W244" t="s">
        <v>2049</v>
      </c>
      <c r="X244" t="s">
        <v>2039</v>
      </c>
      <c r="Y244" t="s">
        <v>2040</v>
      </c>
      <c r="AA244" t="s">
        <v>2041</v>
      </c>
      <c r="AB244" t="s">
        <v>2042</v>
      </c>
      <c r="AC244">
        <v>99078</v>
      </c>
      <c r="AD244" t="s">
        <v>2050</v>
      </c>
      <c r="AE244">
        <v>-40.168857359999997</v>
      </c>
      <c r="AF244">
        <v>175.38605031</v>
      </c>
      <c r="AG244" s="175">
        <v>40</v>
      </c>
      <c r="AH244" s="175">
        <v>0</v>
      </c>
      <c r="AI244" s="175">
        <v>0</v>
      </c>
      <c r="AJ244" s="175">
        <v>0</v>
      </c>
      <c r="AK244" s="175">
        <v>1</v>
      </c>
      <c r="AL244" s="175">
        <v>12</v>
      </c>
      <c r="AM244" s="175">
        <v>21</v>
      </c>
      <c r="AN244" s="175">
        <v>0</v>
      </c>
      <c r="AO244" s="175">
        <v>34</v>
      </c>
      <c r="AP244" s="175">
        <v>24</v>
      </c>
      <c r="AQ244" s="175">
        <v>14</v>
      </c>
      <c r="AR244" s="175">
        <v>5</v>
      </c>
      <c r="AS244" s="175">
        <v>0</v>
      </c>
      <c r="AT244" s="175">
        <v>2</v>
      </c>
    </row>
    <row r="245" spans="1:46">
      <c r="A245">
        <v>5252</v>
      </c>
      <c r="B245" t="s">
        <v>2051</v>
      </c>
      <c r="C245" t="s">
        <v>2052</v>
      </c>
      <c r="D245" t="s">
        <v>2053</v>
      </c>
      <c r="E245" t="s">
        <v>2054</v>
      </c>
      <c r="G245" t="s">
        <v>2055</v>
      </c>
      <c r="H245" t="s">
        <v>452</v>
      </c>
      <c r="J245" t="s">
        <v>605</v>
      </c>
      <c r="K245" t="s">
        <v>606</v>
      </c>
      <c r="M245" t="s">
        <v>1382</v>
      </c>
      <c r="N245" t="s">
        <v>643</v>
      </c>
      <c r="O245" t="s">
        <v>2037</v>
      </c>
      <c r="P245" t="s">
        <v>670</v>
      </c>
      <c r="Q245" t="s">
        <v>553</v>
      </c>
      <c r="R245" t="s">
        <v>1841</v>
      </c>
      <c r="S245" t="s">
        <v>2055</v>
      </c>
      <c r="T245" t="s">
        <v>1568</v>
      </c>
      <c r="U245">
        <v>230600</v>
      </c>
      <c r="V245" t="s">
        <v>2056</v>
      </c>
      <c r="W245" t="s">
        <v>2038</v>
      </c>
      <c r="X245" t="s">
        <v>2039</v>
      </c>
      <c r="Y245" t="s">
        <v>2040</v>
      </c>
      <c r="AA245" t="s">
        <v>2041</v>
      </c>
      <c r="AB245" t="s">
        <v>2042</v>
      </c>
      <c r="AC245">
        <v>99165</v>
      </c>
      <c r="AD245" t="s">
        <v>2057</v>
      </c>
      <c r="AE245">
        <v>-40.353670510000001</v>
      </c>
      <c r="AF245">
        <v>175.60444620000001</v>
      </c>
      <c r="AG245" s="175">
        <v>49</v>
      </c>
      <c r="AH245" s="175">
        <v>10</v>
      </c>
      <c r="AI245" s="175">
        <v>0</v>
      </c>
      <c r="AJ245" s="175">
        <v>2</v>
      </c>
      <c r="AK245" s="175">
        <v>6</v>
      </c>
      <c r="AL245" s="175">
        <v>18</v>
      </c>
      <c r="AM245" s="175">
        <v>15</v>
      </c>
      <c r="AN245" s="175">
        <v>1</v>
      </c>
      <c r="AO245" s="175">
        <v>42</v>
      </c>
      <c r="AP245" s="175">
        <v>30</v>
      </c>
      <c r="AQ245" s="175">
        <v>16</v>
      </c>
      <c r="AR245" s="175">
        <v>3</v>
      </c>
      <c r="AS245" s="175">
        <v>8</v>
      </c>
      <c r="AT245" s="175">
        <v>0</v>
      </c>
    </row>
    <row r="246" spans="1:46">
      <c r="A246">
        <v>5253</v>
      </c>
      <c r="B246" t="s">
        <v>2058</v>
      </c>
      <c r="C246" t="s">
        <v>2059</v>
      </c>
      <c r="D246" t="s">
        <v>2060</v>
      </c>
      <c r="E246" t="s">
        <v>2061</v>
      </c>
      <c r="F246" t="s">
        <v>2062</v>
      </c>
      <c r="G246" t="s">
        <v>2055</v>
      </c>
      <c r="H246" t="s">
        <v>452</v>
      </c>
      <c r="J246" t="s">
        <v>605</v>
      </c>
      <c r="K246" t="s">
        <v>606</v>
      </c>
      <c r="M246" t="s">
        <v>1382</v>
      </c>
      <c r="N246" t="s">
        <v>643</v>
      </c>
      <c r="O246" t="s">
        <v>2037</v>
      </c>
      <c r="P246" t="s">
        <v>670</v>
      </c>
      <c r="Q246" t="s">
        <v>553</v>
      </c>
      <c r="R246" t="s">
        <v>1841</v>
      </c>
      <c r="S246" t="s">
        <v>2055</v>
      </c>
      <c r="T246" t="s">
        <v>1568</v>
      </c>
      <c r="U246">
        <v>229100</v>
      </c>
      <c r="V246" t="s">
        <v>2063</v>
      </c>
      <c r="W246" t="s">
        <v>2038</v>
      </c>
      <c r="X246" t="s">
        <v>2039</v>
      </c>
      <c r="Y246" t="s">
        <v>2040</v>
      </c>
      <c r="AA246" t="s">
        <v>2041</v>
      </c>
      <c r="AB246" t="s">
        <v>2042</v>
      </c>
      <c r="AC246">
        <v>99165</v>
      </c>
      <c r="AD246" t="s">
        <v>2057</v>
      </c>
      <c r="AE246">
        <v>-40.345417470000001</v>
      </c>
      <c r="AF246">
        <v>175.58543653000001</v>
      </c>
      <c r="AG246" s="175">
        <v>40</v>
      </c>
      <c r="AH246" s="175">
        <v>0</v>
      </c>
      <c r="AI246" s="175">
        <v>0</v>
      </c>
      <c r="AJ246" s="175">
        <v>0</v>
      </c>
      <c r="AK246" s="175">
        <v>5</v>
      </c>
      <c r="AL246" s="175">
        <v>15</v>
      </c>
      <c r="AM246" s="175">
        <v>7</v>
      </c>
      <c r="AN246" s="175">
        <v>0</v>
      </c>
      <c r="AO246" s="175">
        <v>27</v>
      </c>
      <c r="AP246" s="175">
        <v>24</v>
      </c>
      <c r="AQ246" s="175">
        <v>8</v>
      </c>
      <c r="AR246" s="175">
        <v>3</v>
      </c>
      <c r="AS246" s="175">
        <v>2</v>
      </c>
      <c r="AT246" s="175">
        <v>0</v>
      </c>
    </row>
    <row r="247" spans="1:46">
      <c r="A247">
        <v>5254</v>
      </c>
      <c r="B247" t="s">
        <v>2064</v>
      </c>
      <c r="C247" t="s">
        <v>2065</v>
      </c>
      <c r="D247" t="s">
        <v>2066</v>
      </c>
      <c r="E247" t="s">
        <v>2067</v>
      </c>
      <c r="G247" t="s">
        <v>2068</v>
      </c>
      <c r="H247" t="s">
        <v>452</v>
      </c>
      <c r="I247" t="s">
        <v>941</v>
      </c>
      <c r="J247" t="s">
        <v>605</v>
      </c>
      <c r="K247" t="s">
        <v>606</v>
      </c>
      <c r="M247" t="s">
        <v>1382</v>
      </c>
      <c r="N247" t="s">
        <v>643</v>
      </c>
      <c r="O247" t="s">
        <v>2069</v>
      </c>
      <c r="P247" t="s">
        <v>1347</v>
      </c>
      <c r="Q247" t="s">
        <v>553</v>
      </c>
      <c r="R247" t="s">
        <v>1841</v>
      </c>
      <c r="S247" t="s">
        <v>1719</v>
      </c>
      <c r="T247" t="s">
        <v>1568</v>
      </c>
      <c r="U247">
        <v>228500</v>
      </c>
      <c r="V247" t="s">
        <v>2070</v>
      </c>
      <c r="W247" t="s">
        <v>2071</v>
      </c>
      <c r="X247" t="s">
        <v>2039</v>
      </c>
      <c r="Y247" t="s">
        <v>2040</v>
      </c>
      <c r="AA247" t="s">
        <v>2041</v>
      </c>
      <c r="AB247" t="s">
        <v>2042</v>
      </c>
      <c r="AC247">
        <v>99134</v>
      </c>
      <c r="AD247" t="s">
        <v>2072</v>
      </c>
      <c r="AE247">
        <v>-40.224646579999998</v>
      </c>
      <c r="AF247">
        <v>175.57279818000001</v>
      </c>
      <c r="AG247" s="175">
        <v>40</v>
      </c>
      <c r="AH247" s="175">
        <v>0</v>
      </c>
      <c r="AI247" s="175">
        <v>0</v>
      </c>
      <c r="AJ247" s="175">
        <v>0</v>
      </c>
      <c r="AK247" s="175">
        <v>1</v>
      </c>
      <c r="AL247" s="175">
        <v>10</v>
      </c>
      <c r="AM247" s="175">
        <v>13</v>
      </c>
      <c r="AN247" s="175">
        <v>0</v>
      </c>
      <c r="AO247" s="175">
        <v>24</v>
      </c>
      <c r="AP247" s="175">
        <v>19</v>
      </c>
      <c r="AQ247" s="175">
        <v>9</v>
      </c>
      <c r="AR247" s="175">
        <v>1</v>
      </c>
      <c r="AS247" s="175">
        <v>1</v>
      </c>
      <c r="AT247" s="175">
        <v>1</v>
      </c>
    </row>
    <row r="248" spans="1:46">
      <c r="A248">
        <v>5255</v>
      </c>
      <c r="B248" t="s">
        <v>2073</v>
      </c>
      <c r="C248" t="s">
        <v>2074</v>
      </c>
      <c r="D248" t="s">
        <v>2075</v>
      </c>
      <c r="E248" t="s">
        <v>2076</v>
      </c>
      <c r="F248" t="s">
        <v>2077</v>
      </c>
      <c r="G248" t="s">
        <v>2055</v>
      </c>
      <c r="H248" t="s">
        <v>452</v>
      </c>
      <c r="J248" t="s">
        <v>605</v>
      </c>
      <c r="K248" t="s">
        <v>606</v>
      </c>
      <c r="M248" t="s">
        <v>1382</v>
      </c>
      <c r="N248" t="s">
        <v>625</v>
      </c>
      <c r="O248" t="s">
        <v>2037</v>
      </c>
      <c r="P248" t="s">
        <v>670</v>
      </c>
      <c r="Q248" t="s">
        <v>553</v>
      </c>
      <c r="R248" t="s">
        <v>1841</v>
      </c>
      <c r="S248" t="s">
        <v>2055</v>
      </c>
      <c r="T248" t="s">
        <v>1568</v>
      </c>
      <c r="U248">
        <v>229500</v>
      </c>
      <c r="V248" t="s">
        <v>2078</v>
      </c>
      <c r="W248" t="s">
        <v>2038</v>
      </c>
      <c r="X248" t="s">
        <v>2039</v>
      </c>
      <c r="Y248" t="s">
        <v>2040</v>
      </c>
      <c r="AA248" t="s">
        <v>2041</v>
      </c>
      <c r="AB248" t="s">
        <v>2042</v>
      </c>
      <c r="AC248">
        <v>99166</v>
      </c>
      <c r="AD248" t="s">
        <v>2079</v>
      </c>
      <c r="AE248">
        <v>-40.353586610000001</v>
      </c>
      <c r="AF248">
        <v>175.58561162000001</v>
      </c>
      <c r="AG248" s="175">
        <v>40</v>
      </c>
      <c r="AH248" s="175">
        <v>0</v>
      </c>
      <c r="AI248" s="175">
        <v>0</v>
      </c>
      <c r="AJ248" s="175">
        <v>0</v>
      </c>
      <c r="AK248" s="175">
        <v>0</v>
      </c>
      <c r="AL248" s="175">
        <v>14</v>
      </c>
      <c r="AM248" s="175">
        <v>17</v>
      </c>
      <c r="AN248" s="175">
        <v>0</v>
      </c>
      <c r="AO248" s="175">
        <v>31</v>
      </c>
      <c r="AP248" s="175">
        <v>12</v>
      </c>
      <c r="AQ248" s="175">
        <v>12</v>
      </c>
      <c r="AR248" s="175">
        <v>11</v>
      </c>
      <c r="AS248" s="175">
        <v>6</v>
      </c>
      <c r="AT248" s="175">
        <v>0</v>
      </c>
    </row>
    <row r="249" spans="1:46">
      <c r="A249">
        <v>5256</v>
      </c>
      <c r="B249" t="s">
        <v>2080</v>
      </c>
      <c r="C249" t="s">
        <v>2081</v>
      </c>
      <c r="D249" t="s">
        <v>2082</v>
      </c>
      <c r="E249" t="s">
        <v>2083</v>
      </c>
      <c r="F249" t="s">
        <v>2084</v>
      </c>
      <c r="G249" t="s">
        <v>2055</v>
      </c>
      <c r="H249" t="s">
        <v>452</v>
      </c>
      <c r="J249" t="s">
        <v>605</v>
      </c>
      <c r="K249" t="s">
        <v>606</v>
      </c>
      <c r="M249" t="s">
        <v>1382</v>
      </c>
      <c r="N249" t="s">
        <v>657</v>
      </c>
      <c r="O249" t="s">
        <v>2037</v>
      </c>
      <c r="P249" t="s">
        <v>670</v>
      </c>
      <c r="Q249" t="s">
        <v>553</v>
      </c>
      <c r="R249" t="s">
        <v>1841</v>
      </c>
      <c r="S249" t="s">
        <v>2055</v>
      </c>
      <c r="T249" t="s">
        <v>1568</v>
      </c>
      <c r="U249">
        <v>231800</v>
      </c>
      <c r="V249" t="s">
        <v>2085</v>
      </c>
      <c r="W249" t="s">
        <v>2038</v>
      </c>
      <c r="X249" t="s">
        <v>2039</v>
      </c>
      <c r="Y249" t="s">
        <v>2040</v>
      </c>
      <c r="AA249" t="s">
        <v>2041</v>
      </c>
      <c r="AB249" t="s">
        <v>2042</v>
      </c>
      <c r="AC249">
        <v>99165</v>
      </c>
      <c r="AD249" t="s">
        <v>2057</v>
      </c>
      <c r="AE249">
        <v>-40.358655339999999</v>
      </c>
      <c r="AF249">
        <v>175.63626887000001</v>
      </c>
      <c r="AG249" s="175">
        <v>40</v>
      </c>
      <c r="AH249" s="175">
        <v>0</v>
      </c>
      <c r="AI249" s="175">
        <v>0</v>
      </c>
      <c r="AJ249" s="175">
        <v>0</v>
      </c>
      <c r="AK249" s="175">
        <v>0</v>
      </c>
      <c r="AL249" s="175">
        <v>26</v>
      </c>
      <c r="AM249" s="175">
        <v>29</v>
      </c>
      <c r="AN249" s="175">
        <v>0</v>
      </c>
      <c r="AO249" s="175">
        <v>55</v>
      </c>
      <c r="AP249" s="175">
        <v>44</v>
      </c>
      <c r="AQ249" s="175">
        <v>10</v>
      </c>
      <c r="AR249" s="175">
        <v>3</v>
      </c>
      <c r="AS249" s="175">
        <v>13</v>
      </c>
      <c r="AT249" s="175">
        <v>0</v>
      </c>
    </row>
    <row r="250" spans="1:46">
      <c r="A250">
        <v>5258</v>
      </c>
      <c r="B250" t="s">
        <v>2086</v>
      </c>
      <c r="C250" t="s">
        <v>2087</v>
      </c>
      <c r="D250" t="s">
        <v>2088</v>
      </c>
      <c r="E250" t="s">
        <v>2089</v>
      </c>
      <c r="G250" t="s">
        <v>2090</v>
      </c>
      <c r="H250" t="s">
        <v>452</v>
      </c>
      <c r="J250" t="s">
        <v>605</v>
      </c>
      <c r="K250" t="s">
        <v>606</v>
      </c>
      <c r="M250" t="s">
        <v>1382</v>
      </c>
      <c r="N250" t="s">
        <v>657</v>
      </c>
      <c r="O250" t="s">
        <v>1718</v>
      </c>
      <c r="P250" t="s">
        <v>626</v>
      </c>
      <c r="Q250" t="s">
        <v>553</v>
      </c>
      <c r="R250" t="s">
        <v>1841</v>
      </c>
      <c r="S250" t="s">
        <v>1719</v>
      </c>
      <c r="T250" t="s">
        <v>1568</v>
      </c>
      <c r="U250">
        <v>223200</v>
      </c>
      <c r="V250" t="s">
        <v>2091</v>
      </c>
      <c r="W250" t="s">
        <v>1721</v>
      </c>
      <c r="X250" t="s">
        <v>1970</v>
      </c>
      <c r="Y250" t="s">
        <v>1971</v>
      </c>
      <c r="AA250" t="s">
        <v>1972</v>
      </c>
      <c r="AB250" t="s">
        <v>1973</v>
      </c>
      <c r="AC250">
        <v>99079</v>
      </c>
      <c r="AD250" t="s">
        <v>2092</v>
      </c>
      <c r="AE250">
        <v>-39.467557399999997</v>
      </c>
      <c r="AF250">
        <v>175.67604875000001</v>
      </c>
      <c r="AG250" s="175">
        <v>40</v>
      </c>
      <c r="AH250" s="175">
        <v>10</v>
      </c>
      <c r="AI250" s="175">
        <v>0</v>
      </c>
      <c r="AJ250" s="175">
        <v>1</v>
      </c>
      <c r="AK250" s="175">
        <v>4</v>
      </c>
      <c r="AL250" s="175">
        <v>7</v>
      </c>
      <c r="AM250" s="175">
        <v>7</v>
      </c>
      <c r="AN250" s="175">
        <v>0</v>
      </c>
      <c r="AO250" s="175">
        <v>19</v>
      </c>
      <c r="AP250" s="175">
        <v>14</v>
      </c>
      <c r="AQ250" s="175">
        <v>9</v>
      </c>
      <c r="AR250" s="175">
        <v>1</v>
      </c>
      <c r="AS250" s="175">
        <v>1</v>
      </c>
      <c r="AT250" s="175">
        <v>0</v>
      </c>
    </row>
    <row r="251" spans="1:46">
      <c r="A251">
        <v>5259</v>
      </c>
      <c r="B251" t="s">
        <v>2093</v>
      </c>
      <c r="C251" t="s">
        <v>2094</v>
      </c>
      <c r="D251" t="s">
        <v>2095</v>
      </c>
      <c r="E251" t="s">
        <v>2096</v>
      </c>
      <c r="G251" t="s">
        <v>2097</v>
      </c>
      <c r="H251" t="s">
        <v>452</v>
      </c>
      <c r="J251" t="s">
        <v>605</v>
      </c>
      <c r="K251" t="s">
        <v>606</v>
      </c>
      <c r="M251" t="s">
        <v>1382</v>
      </c>
      <c r="N251" t="s">
        <v>657</v>
      </c>
      <c r="O251" t="s">
        <v>2037</v>
      </c>
      <c r="P251" t="s">
        <v>670</v>
      </c>
      <c r="Q251" t="s">
        <v>553</v>
      </c>
      <c r="R251" t="s">
        <v>1841</v>
      </c>
      <c r="S251" t="s">
        <v>1719</v>
      </c>
      <c r="T251" t="s">
        <v>1568</v>
      </c>
      <c r="U251">
        <v>232101</v>
      </c>
      <c r="V251" t="s">
        <v>2097</v>
      </c>
      <c r="W251" t="s">
        <v>2038</v>
      </c>
      <c r="X251" t="s">
        <v>2039</v>
      </c>
      <c r="Y251" t="s">
        <v>2040</v>
      </c>
      <c r="AA251" t="s">
        <v>2041</v>
      </c>
      <c r="AB251" t="s">
        <v>2042</v>
      </c>
      <c r="AC251">
        <v>99166</v>
      </c>
      <c r="AD251" t="s">
        <v>2079</v>
      </c>
      <c r="AE251">
        <v>-40.409356279999997</v>
      </c>
      <c r="AF251">
        <v>175.58785603000001</v>
      </c>
      <c r="AG251" s="175">
        <v>30</v>
      </c>
      <c r="AH251" s="175">
        <v>0</v>
      </c>
      <c r="AI251" s="175">
        <v>0</v>
      </c>
      <c r="AJ251" s="175">
        <v>0</v>
      </c>
      <c r="AK251" s="175">
        <v>1</v>
      </c>
      <c r="AL251" s="175">
        <v>5</v>
      </c>
      <c r="AM251" s="175">
        <v>13</v>
      </c>
      <c r="AN251" s="175">
        <v>0</v>
      </c>
      <c r="AO251" s="175">
        <v>19</v>
      </c>
      <c r="AP251" s="175">
        <v>15</v>
      </c>
      <c r="AQ251" s="175">
        <v>10</v>
      </c>
      <c r="AR251" s="175">
        <v>3</v>
      </c>
      <c r="AS251" s="175">
        <v>4</v>
      </c>
      <c r="AT251" s="175">
        <v>0</v>
      </c>
    </row>
    <row r="252" spans="1:46">
      <c r="A252">
        <v>5260</v>
      </c>
      <c r="B252" t="s">
        <v>2098</v>
      </c>
      <c r="C252" t="s">
        <v>2099</v>
      </c>
      <c r="D252" t="s">
        <v>2100</v>
      </c>
      <c r="E252" t="s">
        <v>2101</v>
      </c>
      <c r="F252" t="s">
        <v>2102</v>
      </c>
      <c r="G252" t="s">
        <v>2055</v>
      </c>
      <c r="H252" t="s">
        <v>452</v>
      </c>
      <c r="J252" t="s">
        <v>605</v>
      </c>
      <c r="K252" t="s">
        <v>606</v>
      </c>
      <c r="M252" t="s">
        <v>1382</v>
      </c>
      <c r="N252" t="s">
        <v>657</v>
      </c>
      <c r="O252" t="s">
        <v>2037</v>
      </c>
      <c r="P252" t="s">
        <v>670</v>
      </c>
      <c r="Q252" t="s">
        <v>553</v>
      </c>
      <c r="R252" t="s">
        <v>1841</v>
      </c>
      <c r="S252" t="s">
        <v>2055</v>
      </c>
      <c r="T252" t="s">
        <v>1568</v>
      </c>
      <c r="U252">
        <v>229001</v>
      </c>
      <c r="V252" t="s">
        <v>2103</v>
      </c>
      <c r="W252" t="s">
        <v>2038</v>
      </c>
      <c r="X252" t="s">
        <v>2039</v>
      </c>
      <c r="Y252" t="s">
        <v>2040</v>
      </c>
      <c r="AA252" t="s">
        <v>2041</v>
      </c>
      <c r="AB252" t="s">
        <v>2042</v>
      </c>
      <c r="AC252">
        <v>99052</v>
      </c>
      <c r="AD252" t="s">
        <v>2043</v>
      </c>
      <c r="AE252">
        <v>-40.3308654</v>
      </c>
      <c r="AF252">
        <v>175.61114778999999</v>
      </c>
      <c r="AG252" s="175">
        <v>40</v>
      </c>
      <c r="AH252" s="175">
        <v>0</v>
      </c>
      <c r="AI252" s="175">
        <v>0</v>
      </c>
      <c r="AJ252" s="175">
        <v>0</v>
      </c>
      <c r="AK252" s="175">
        <v>2</v>
      </c>
      <c r="AL252" s="175">
        <v>18</v>
      </c>
      <c r="AM252" s="175">
        <v>23</v>
      </c>
      <c r="AN252" s="175">
        <v>1</v>
      </c>
      <c r="AO252" s="175">
        <v>44</v>
      </c>
      <c r="AP252" s="175">
        <v>27</v>
      </c>
      <c r="AQ252" s="175">
        <v>8</v>
      </c>
      <c r="AR252" s="175">
        <v>1</v>
      </c>
      <c r="AS252" s="175">
        <v>13</v>
      </c>
      <c r="AT252" s="175">
        <v>4</v>
      </c>
    </row>
    <row r="253" spans="1:46">
      <c r="A253">
        <v>5261</v>
      </c>
      <c r="B253" t="s">
        <v>2104</v>
      </c>
      <c r="C253" t="s">
        <v>2105</v>
      </c>
      <c r="D253" t="s">
        <v>2106</v>
      </c>
      <c r="E253" t="s">
        <v>2107</v>
      </c>
      <c r="G253" t="s">
        <v>2068</v>
      </c>
      <c r="H253" t="s">
        <v>452</v>
      </c>
      <c r="I253" t="s">
        <v>941</v>
      </c>
      <c r="J253" t="s">
        <v>605</v>
      </c>
      <c r="K253" t="s">
        <v>606</v>
      </c>
      <c r="M253" t="s">
        <v>1382</v>
      </c>
      <c r="N253" t="s">
        <v>657</v>
      </c>
      <c r="O253" t="s">
        <v>2069</v>
      </c>
      <c r="P253" t="s">
        <v>1347</v>
      </c>
      <c r="Q253" t="s">
        <v>553</v>
      </c>
      <c r="R253" t="s">
        <v>1841</v>
      </c>
      <c r="S253" t="s">
        <v>1719</v>
      </c>
      <c r="T253" t="s">
        <v>1568</v>
      </c>
      <c r="U253">
        <v>228200</v>
      </c>
      <c r="V253" t="s">
        <v>2108</v>
      </c>
      <c r="W253" t="s">
        <v>2071</v>
      </c>
      <c r="X253" t="s">
        <v>2039</v>
      </c>
      <c r="Y253" t="s">
        <v>2040</v>
      </c>
      <c r="AA253" t="s">
        <v>2041</v>
      </c>
      <c r="AB253" t="s">
        <v>2042</v>
      </c>
      <c r="AC253">
        <v>99134</v>
      </c>
      <c r="AD253" t="s">
        <v>2072</v>
      </c>
      <c r="AE253">
        <v>-40.222821019999998</v>
      </c>
      <c r="AF253">
        <v>175.55930475</v>
      </c>
      <c r="AG253" s="175">
        <v>40</v>
      </c>
      <c r="AH253" s="175">
        <v>0</v>
      </c>
      <c r="AI253" s="175">
        <v>0</v>
      </c>
      <c r="AJ253" s="175">
        <v>0</v>
      </c>
      <c r="AK253" s="175">
        <v>0</v>
      </c>
      <c r="AL253" s="175">
        <v>17</v>
      </c>
      <c r="AM253" s="175">
        <v>35</v>
      </c>
      <c r="AN253" s="175">
        <v>0</v>
      </c>
      <c r="AO253" s="175">
        <v>52</v>
      </c>
      <c r="AP253" s="175">
        <v>46</v>
      </c>
      <c r="AQ253" s="175">
        <v>9</v>
      </c>
      <c r="AR253" s="175">
        <v>2</v>
      </c>
      <c r="AS253" s="175">
        <v>7</v>
      </c>
      <c r="AT253" s="175">
        <v>4</v>
      </c>
    </row>
    <row r="254" spans="1:46">
      <c r="A254">
        <v>5262</v>
      </c>
      <c r="B254" t="s">
        <v>2109</v>
      </c>
      <c r="C254" t="s">
        <v>2110</v>
      </c>
      <c r="E254" t="s">
        <v>2111</v>
      </c>
      <c r="G254" t="s">
        <v>2112</v>
      </c>
      <c r="H254" t="s">
        <v>452</v>
      </c>
      <c r="J254" t="s">
        <v>605</v>
      </c>
      <c r="K254" t="s">
        <v>606</v>
      </c>
      <c r="M254" t="s">
        <v>1382</v>
      </c>
      <c r="N254" t="s">
        <v>643</v>
      </c>
      <c r="O254" t="s">
        <v>2048</v>
      </c>
      <c r="P254" t="s">
        <v>610</v>
      </c>
      <c r="Q254" t="s">
        <v>553</v>
      </c>
      <c r="R254" t="s">
        <v>1841</v>
      </c>
      <c r="S254" t="s">
        <v>1719</v>
      </c>
      <c r="T254" t="s">
        <v>1568</v>
      </c>
      <c r="U254">
        <v>226900</v>
      </c>
      <c r="V254" t="s">
        <v>2113</v>
      </c>
      <c r="W254" t="s">
        <v>2114</v>
      </c>
      <c r="X254" t="s">
        <v>2039</v>
      </c>
      <c r="Y254" t="s">
        <v>2040</v>
      </c>
      <c r="AA254" t="s">
        <v>2041</v>
      </c>
      <c r="AB254" t="s">
        <v>2042</v>
      </c>
      <c r="AC254">
        <v>99078</v>
      </c>
      <c r="AD254" t="s">
        <v>2050</v>
      </c>
      <c r="AE254">
        <v>-40.077834320000001</v>
      </c>
      <c r="AF254">
        <v>175.37387426000001</v>
      </c>
      <c r="AG254" s="175">
        <v>45</v>
      </c>
      <c r="AH254" s="175">
        <v>10</v>
      </c>
      <c r="AI254" s="175">
        <v>0</v>
      </c>
      <c r="AJ254" s="175">
        <v>4</v>
      </c>
      <c r="AK254" s="175">
        <v>12</v>
      </c>
      <c r="AL254" s="175">
        <v>26</v>
      </c>
      <c r="AM254" s="175">
        <v>21</v>
      </c>
      <c r="AN254" s="175">
        <v>0</v>
      </c>
      <c r="AO254" s="175">
        <v>63</v>
      </c>
      <c r="AP254" s="175">
        <v>52</v>
      </c>
      <c r="AQ254" s="175">
        <v>21</v>
      </c>
      <c r="AR254" s="175">
        <v>7</v>
      </c>
      <c r="AS254" s="175">
        <v>3</v>
      </c>
      <c r="AT254" s="175">
        <v>3</v>
      </c>
    </row>
    <row r="255" spans="1:46">
      <c r="A255">
        <v>5263</v>
      </c>
      <c r="B255" t="s">
        <v>2115</v>
      </c>
      <c r="C255" t="s">
        <v>2116</v>
      </c>
      <c r="D255" t="s">
        <v>2117</v>
      </c>
      <c r="E255" t="s">
        <v>2118</v>
      </c>
      <c r="F255" t="s">
        <v>2119</v>
      </c>
      <c r="G255" t="s">
        <v>2055</v>
      </c>
      <c r="H255" t="s">
        <v>452</v>
      </c>
      <c r="J255" t="s">
        <v>605</v>
      </c>
      <c r="K255" t="s">
        <v>606</v>
      </c>
      <c r="M255" t="s">
        <v>1382</v>
      </c>
      <c r="N255" t="s">
        <v>657</v>
      </c>
      <c r="O255" t="s">
        <v>2037</v>
      </c>
      <c r="P255" t="s">
        <v>670</v>
      </c>
      <c r="Q255" t="s">
        <v>553</v>
      </c>
      <c r="R255" t="s">
        <v>1841</v>
      </c>
      <c r="S255" t="s">
        <v>2055</v>
      </c>
      <c r="T255" t="s">
        <v>1568</v>
      </c>
      <c r="U255">
        <v>231500</v>
      </c>
      <c r="V255" t="s">
        <v>2120</v>
      </c>
      <c r="W255" t="s">
        <v>2038</v>
      </c>
      <c r="X255" t="s">
        <v>2039</v>
      </c>
      <c r="Y255" t="s">
        <v>2040</v>
      </c>
      <c r="AA255" t="s">
        <v>2041</v>
      </c>
      <c r="AB255" t="s">
        <v>2042</v>
      </c>
      <c r="AC255">
        <v>99052</v>
      </c>
      <c r="AD255" t="s">
        <v>2043</v>
      </c>
      <c r="AE255">
        <v>-40.350547560000003</v>
      </c>
      <c r="AF255">
        <v>175.64069502000001</v>
      </c>
      <c r="AG255" s="175">
        <v>50</v>
      </c>
      <c r="AH255" s="175">
        <v>0</v>
      </c>
      <c r="AI255" s="175">
        <v>0</v>
      </c>
      <c r="AJ255" s="175">
        <v>0</v>
      </c>
      <c r="AK255" s="175">
        <v>0</v>
      </c>
      <c r="AL255" s="175">
        <v>24</v>
      </c>
      <c r="AM255" s="175">
        <v>23</v>
      </c>
      <c r="AN255" s="175">
        <v>5</v>
      </c>
      <c r="AO255" s="175">
        <v>52</v>
      </c>
      <c r="AP255" s="175">
        <v>39</v>
      </c>
      <c r="AQ255" s="175">
        <v>19</v>
      </c>
      <c r="AR255" s="175">
        <v>2</v>
      </c>
      <c r="AS255" s="175">
        <v>10</v>
      </c>
      <c r="AT255" s="175">
        <v>3</v>
      </c>
    </row>
    <row r="256" spans="1:46">
      <c r="A256">
        <v>5264</v>
      </c>
      <c r="B256" t="s">
        <v>2121</v>
      </c>
      <c r="C256" t="s">
        <v>2122</v>
      </c>
      <c r="D256" t="s">
        <v>2123</v>
      </c>
      <c r="E256" t="s">
        <v>2124</v>
      </c>
      <c r="G256" t="s">
        <v>2055</v>
      </c>
      <c r="H256" t="s">
        <v>452</v>
      </c>
      <c r="J256" t="s">
        <v>605</v>
      </c>
      <c r="K256" t="s">
        <v>606</v>
      </c>
      <c r="M256" t="s">
        <v>1382</v>
      </c>
      <c r="N256" t="s">
        <v>657</v>
      </c>
      <c r="O256" t="s">
        <v>2037</v>
      </c>
      <c r="P256" t="s">
        <v>670</v>
      </c>
      <c r="Q256" t="s">
        <v>553</v>
      </c>
      <c r="R256" t="s">
        <v>1841</v>
      </c>
      <c r="S256" t="s">
        <v>2055</v>
      </c>
      <c r="T256" t="s">
        <v>1568</v>
      </c>
      <c r="U256">
        <v>231300</v>
      </c>
      <c r="V256" t="s">
        <v>2125</v>
      </c>
      <c r="W256" t="s">
        <v>2038</v>
      </c>
      <c r="X256" t="s">
        <v>2039</v>
      </c>
      <c r="Y256" t="s">
        <v>2040</v>
      </c>
      <c r="AA256" t="s">
        <v>2041</v>
      </c>
      <c r="AB256" t="s">
        <v>2042</v>
      </c>
      <c r="AC256">
        <v>99165</v>
      </c>
      <c r="AD256" t="s">
        <v>2057</v>
      </c>
      <c r="AE256">
        <v>-40.377021259999999</v>
      </c>
      <c r="AF256">
        <v>175.59799484999999</v>
      </c>
      <c r="AG256" s="175">
        <v>40</v>
      </c>
      <c r="AH256" s="175">
        <v>0</v>
      </c>
      <c r="AI256" s="175">
        <v>0</v>
      </c>
      <c r="AJ256" s="175">
        <v>0</v>
      </c>
      <c r="AK256" s="175">
        <v>1</v>
      </c>
      <c r="AL256" s="175">
        <v>15</v>
      </c>
      <c r="AM256" s="175">
        <v>35</v>
      </c>
      <c r="AN256" s="175">
        <v>0</v>
      </c>
      <c r="AO256" s="175">
        <v>51</v>
      </c>
      <c r="AP256" s="175">
        <v>35</v>
      </c>
      <c r="AQ256" s="175">
        <v>8</v>
      </c>
      <c r="AR256" s="175">
        <v>4</v>
      </c>
      <c r="AS256" s="175">
        <v>14</v>
      </c>
      <c r="AT256" s="175">
        <v>1</v>
      </c>
    </row>
    <row r="257" spans="1:46">
      <c r="A257">
        <v>5265</v>
      </c>
      <c r="B257" t="s">
        <v>2126</v>
      </c>
      <c r="C257" t="s">
        <v>2127</v>
      </c>
      <c r="D257" t="s">
        <v>2128</v>
      </c>
      <c r="E257" t="s">
        <v>2129</v>
      </c>
      <c r="F257" t="s">
        <v>2130</v>
      </c>
      <c r="G257" t="s">
        <v>2055</v>
      </c>
      <c r="H257" t="s">
        <v>452</v>
      </c>
      <c r="J257" t="s">
        <v>605</v>
      </c>
      <c r="K257" t="s">
        <v>606</v>
      </c>
      <c r="M257" t="s">
        <v>1382</v>
      </c>
      <c r="N257" t="s">
        <v>643</v>
      </c>
      <c r="O257" t="s">
        <v>2037</v>
      </c>
      <c r="P257" t="s">
        <v>670</v>
      </c>
      <c r="Q257" t="s">
        <v>553</v>
      </c>
      <c r="R257" t="s">
        <v>1841</v>
      </c>
      <c r="S257" t="s">
        <v>2055</v>
      </c>
      <c r="T257" t="s">
        <v>1568</v>
      </c>
      <c r="U257">
        <v>230800</v>
      </c>
      <c r="V257" t="s">
        <v>2119</v>
      </c>
      <c r="W257" t="s">
        <v>2038</v>
      </c>
      <c r="X257" t="s">
        <v>2039</v>
      </c>
      <c r="Y257" t="s">
        <v>2040</v>
      </c>
      <c r="AA257" t="s">
        <v>2041</v>
      </c>
      <c r="AB257" t="s">
        <v>2042</v>
      </c>
      <c r="AC257">
        <v>99052</v>
      </c>
      <c r="AD257" t="s">
        <v>2043</v>
      </c>
      <c r="AE257">
        <v>-40.341196410000002</v>
      </c>
      <c r="AF257">
        <v>175.63152545</v>
      </c>
      <c r="AG257" s="175">
        <v>40</v>
      </c>
      <c r="AH257" s="175">
        <v>0</v>
      </c>
      <c r="AI257" s="175">
        <v>0</v>
      </c>
      <c r="AJ257" s="175">
        <v>0</v>
      </c>
      <c r="AK257" s="175">
        <v>0</v>
      </c>
      <c r="AL257" s="175">
        <v>19</v>
      </c>
      <c r="AM257" s="175">
        <v>17</v>
      </c>
      <c r="AN257" s="175">
        <v>1</v>
      </c>
      <c r="AO257" s="175">
        <v>37</v>
      </c>
      <c r="AP257" s="175">
        <v>16</v>
      </c>
      <c r="AQ257" s="175">
        <v>17</v>
      </c>
      <c r="AR257" s="175">
        <v>6</v>
      </c>
      <c r="AS257" s="175">
        <v>12</v>
      </c>
      <c r="AT257" s="175">
        <v>0</v>
      </c>
    </row>
    <row r="258" spans="1:46">
      <c r="A258">
        <v>5266</v>
      </c>
      <c r="B258" t="s">
        <v>2131</v>
      </c>
      <c r="C258" t="s">
        <v>2132</v>
      </c>
      <c r="E258" t="s">
        <v>2133</v>
      </c>
      <c r="F258" t="s">
        <v>2134</v>
      </c>
      <c r="G258" t="s">
        <v>2055</v>
      </c>
      <c r="H258" t="s">
        <v>452</v>
      </c>
      <c r="J258" t="s">
        <v>605</v>
      </c>
      <c r="K258" t="s">
        <v>606</v>
      </c>
      <c r="M258" t="s">
        <v>1382</v>
      </c>
      <c r="N258" t="s">
        <v>625</v>
      </c>
      <c r="O258" t="s">
        <v>2037</v>
      </c>
      <c r="P258" t="s">
        <v>670</v>
      </c>
      <c r="Q258" t="s">
        <v>553</v>
      </c>
      <c r="R258" t="s">
        <v>1841</v>
      </c>
      <c r="S258" t="s">
        <v>2055</v>
      </c>
      <c r="T258" t="s">
        <v>1568</v>
      </c>
      <c r="U258">
        <v>229900</v>
      </c>
      <c r="V258" t="s">
        <v>2135</v>
      </c>
      <c r="W258" t="s">
        <v>2038</v>
      </c>
      <c r="X258" t="s">
        <v>2039</v>
      </c>
      <c r="Y258" t="s">
        <v>2040</v>
      </c>
      <c r="AA258" t="s">
        <v>2041</v>
      </c>
      <c r="AB258" t="s">
        <v>2042</v>
      </c>
      <c r="AC258">
        <v>99166</v>
      </c>
      <c r="AD258" t="s">
        <v>2079</v>
      </c>
      <c r="AE258">
        <v>-40.360704849999998</v>
      </c>
      <c r="AF258">
        <v>175.58922992000001</v>
      </c>
      <c r="AG258" s="175">
        <v>35</v>
      </c>
      <c r="AH258" s="175">
        <v>0</v>
      </c>
      <c r="AI258" s="175">
        <v>0</v>
      </c>
      <c r="AJ258" s="175">
        <v>0</v>
      </c>
      <c r="AK258" s="175">
        <v>3</v>
      </c>
      <c r="AL258" s="175">
        <v>8</v>
      </c>
      <c r="AM258" s="175">
        <v>12</v>
      </c>
      <c r="AN258" s="175">
        <v>0</v>
      </c>
      <c r="AO258" s="175">
        <v>23</v>
      </c>
      <c r="AP258" s="175">
        <v>5</v>
      </c>
      <c r="AQ258" s="175">
        <v>11</v>
      </c>
      <c r="AR258" s="175">
        <v>4</v>
      </c>
      <c r="AS258" s="175">
        <v>5</v>
      </c>
      <c r="AT258" s="175">
        <v>2</v>
      </c>
    </row>
    <row r="259" spans="1:46">
      <c r="A259">
        <v>5268</v>
      </c>
      <c r="B259" t="s">
        <v>2136</v>
      </c>
      <c r="C259" t="s">
        <v>2137</v>
      </c>
      <c r="D259" t="s">
        <v>2138</v>
      </c>
      <c r="E259" t="s">
        <v>2139</v>
      </c>
      <c r="F259" t="s">
        <v>2140</v>
      </c>
      <c r="G259" t="s">
        <v>2055</v>
      </c>
      <c r="H259" t="s">
        <v>452</v>
      </c>
      <c r="J259" t="s">
        <v>605</v>
      </c>
      <c r="K259" t="s">
        <v>606</v>
      </c>
      <c r="M259" t="s">
        <v>1382</v>
      </c>
      <c r="N259" t="s">
        <v>657</v>
      </c>
      <c r="O259" t="s">
        <v>2037</v>
      </c>
      <c r="P259" t="s">
        <v>670</v>
      </c>
      <c r="Q259" t="s">
        <v>553</v>
      </c>
      <c r="R259" t="s">
        <v>1841</v>
      </c>
      <c r="S259" t="s">
        <v>2055</v>
      </c>
      <c r="T259" t="s">
        <v>1568</v>
      </c>
      <c r="U259">
        <v>230700</v>
      </c>
      <c r="V259" t="s">
        <v>2141</v>
      </c>
      <c r="W259" t="s">
        <v>2038</v>
      </c>
      <c r="X259" t="s">
        <v>2039</v>
      </c>
      <c r="Y259" t="s">
        <v>2040</v>
      </c>
      <c r="AA259" t="s">
        <v>2041</v>
      </c>
      <c r="AB259" t="s">
        <v>2042</v>
      </c>
      <c r="AC259">
        <v>99166</v>
      </c>
      <c r="AD259" t="s">
        <v>2079</v>
      </c>
      <c r="AE259">
        <v>-40.368708589999997</v>
      </c>
      <c r="AF259">
        <v>175.58910843000001</v>
      </c>
      <c r="AG259" s="175">
        <v>40</v>
      </c>
      <c r="AH259" s="175">
        <v>0</v>
      </c>
      <c r="AI259" s="175">
        <v>0</v>
      </c>
      <c r="AJ259" s="175">
        <v>0</v>
      </c>
      <c r="AK259" s="175">
        <v>0</v>
      </c>
      <c r="AL259" s="175">
        <v>14</v>
      </c>
      <c r="AM259" s="175">
        <v>20</v>
      </c>
      <c r="AN259" s="175">
        <v>5</v>
      </c>
      <c r="AO259" s="175">
        <v>39</v>
      </c>
      <c r="AP259" s="175">
        <v>25</v>
      </c>
      <c r="AQ259" s="175">
        <v>15</v>
      </c>
      <c r="AR259" s="175">
        <v>4</v>
      </c>
      <c r="AS259" s="175">
        <v>6</v>
      </c>
      <c r="AT259" s="175">
        <v>2</v>
      </c>
    </row>
    <row r="260" spans="1:46">
      <c r="A260">
        <v>5269</v>
      </c>
      <c r="B260" t="s">
        <v>2142</v>
      </c>
      <c r="C260" t="s">
        <v>2143</v>
      </c>
      <c r="D260" t="s">
        <v>2144</v>
      </c>
      <c r="E260" t="s">
        <v>2145</v>
      </c>
      <c r="G260" t="s">
        <v>2146</v>
      </c>
      <c r="H260" t="s">
        <v>452</v>
      </c>
      <c r="J260" t="s">
        <v>605</v>
      </c>
      <c r="K260" t="s">
        <v>606</v>
      </c>
      <c r="M260" t="s">
        <v>1382</v>
      </c>
      <c r="N260" t="s">
        <v>608</v>
      </c>
      <c r="O260" t="s">
        <v>2147</v>
      </c>
      <c r="P260" t="s">
        <v>610</v>
      </c>
      <c r="Q260" t="s">
        <v>553</v>
      </c>
      <c r="R260" t="s">
        <v>1841</v>
      </c>
      <c r="S260" t="s">
        <v>2148</v>
      </c>
      <c r="T260" t="s">
        <v>1568</v>
      </c>
      <c r="U260">
        <v>234301</v>
      </c>
      <c r="V260" t="s">
        <v>2149</v>
      </c>
      <c r="W260" t="s">
        <v>2150</v>
      </c>
      <c r="X260" t="s">
        <v>2039</v>
      </c>
      <c r="Y260" t="s">
        <v>2040</v>
      </c>
      <c r="AA260" t="s">
        <v>2041</v>
      </c>
      <c r="AB260" t="s">
        <v>2042</v>
      </c>
      <c r="AE260">
        <v>-40.476326460000003</v>
      </c>
      <c r="AF260">
        <v>175.29324066000001</v>
      </c>
      <c r="AG260" s="175">
        <v>40</v>
      </c>
      <c r="AH260" s="175">
        <v>0</v>
      </c>
      <c r="AI260" s="175">
        <v>0</v>
      </c>
      <c r="AJ260" s="175">
        <v>0</v>
      </c>
      <c r="AK260" s="175">
        <v>1</v>
      </c>
      <c r="AL260" s="175">
        <v>17</v>
      </c>
      <c r="AM260" s="175">
        <v>20</v>
      </c>
      <c r="AN260" s="175">
        <v>3</v>
      </c>
      <c r="AO260" s="175">
        <v>41</v>
      </c>
      <c r="AP260" s="175">
        <v>26</v>
      </c>
      <c r="AQ260" s="175">
        <v>16</v>
      </c>
      <c r="AR260" s="175">
        <v>3</v>
      </c>
      <c r="AS260" s="175">
        <v>5</v>
      </c>
      <c r="AT260" s="175">
        <v>3</v>
      </c>
    </row>
    <row r="261" spans="1:46">
      <c r="A261">
        <v>5270</v>
      </c>
      <c r="B261" t="s">
        <v>2151</v>
      </c>
      <c r="C261" t="s">
        <v>2152</v>
      </c>
      <c r="D261" t="s">
        <v>2153</v>
      </c>
      <c r="E261" t="s">
        <v>2154</v>
      </c>
      <c r="G261" t="s">
        <v>2155</v>
      </c>
      <c r="H261" t="s">
        <v>452</v>
      </c>
      <c r="J261" t="s">
        <v>605</v>
      </c>
      <c r="K261" t="s">
        <v>606</v>
      </c>
      <c r="M261" t="s">
        <v>1382</v>
      </c>
      <c r="N261" t="s">
        <v>657</v>
      </c>
      <c r="O261" t="s">
        <v>2048</v>
      </c>
      <c r="P261" t="s">
        <v>610</v>
      </c>
      <c r="Q261" t="s">
        <v>553</v>
      </c>
      <c r="R261" t="s">
        <v>1841</v>
      </c>
      <c r="S261" t="s">
        <v>1719</v>
      </c>
      <c r="T261" t="s">
        <v>1568</v>
      </c>
      <c r="U261">
        <v>226500</v>
      </c>
      <c r="V261" t="s">
        <v>2155</v>
      </c>
      <c r="W261" t="s">
        <v>2156</v>
      </c>
      <c r="X261" t="s">
        <v>1970</v>
      </c>
      <c r="Y261" t="s">
        <v>1971</v>
      </c>
      <c r="AA261" t="s">
        <v>1972</v>
      </c>
      <c r="AB261" t="s">
        <v>1973</v>
      </c>
      <c r="AE261">
        <v>-39.674187840000002</v>
      </c>
      <c r="AF261">
        <v>175.79488001000001</v>
      </c>
      <c r="AG261" s="175">
        <v>40</v>
      </c>
      <c r="AH261" s="175">
        <v>0</v>
      </c>
      <c r="AI261" s="175">
        <v>0</v>
      </c>
      <c r="AJ261" s="175">
        <v>0</v>
      </c>
      <c r="AK261" s="175">
        <v>3</v>
      </c>
      <c r="AL261" s="175">
        <v>24</v>
      </c>
      <c r="AM261" s="175">
        <v>24</v>
      </c>
      <c r="AN261" s="175">
        <v>0</v>
      </c>
      <c r="AO261" s="175">
        <v>51</v>
      </c>
      <c r="AP261" s="175">
        <v>42</v>
      </c>
      <c r="AQ261" s="175">
        <v>26</v>
      </c>
      <c r="AR261" s="175">
        <v>3</v>
      </c>
      <c r="AS261" s="175">
        <v>3</v>
      </c>
      <c r="AT261" s="175">
        <v>1</v>
      </c>
    </row>
    <row r="262" spans="1:46">
      <c r="A262">
        <v>5271</v>
      </c>
      <c r="B262" t="s">
        <v>2157</v>
      </c>
      <c r="C262" t="s">
        <v>2158</v>
      </c>
      <c r="D262" t="s">
        <v>2159</v>
      </c>
      <c r="E262" t="s">
        <v>2160</v>
      </c>
      <c r="F262" t="s">
        <v>2161</v>
      </c>
      <c r="G262" t="s">
        <v>2162</v>
      </c>
      <c r="H262" t="s">
        <v>452</v>
      </c>
      <c r="J262" t="s">
        <v>605</v>
      </c>
      <c r="K262" t="s">
        <v>606</v>
      </c>
      <c r="M262" t="s">
        <v>1382</v>
      </c>
      <c r="N262" t="s">
        <v>625</v>
      </c>
      <c r="O262" t="s">
        <v>2163</v>
      </c>
      <c r="P262" t="s">
        <v>670</v>
      </c>
      <c r="Q262" t="s">
        <v>512</v>
      </c>
      <c r="R262" t="s">
        <v>2164</v>
      </c>
      <c r="S262" t="s">
        <v>1556</v>
      </c>
      <c r="T262" t="s">
        <v>2165</v>
      </c>
      <c r="U262">
        <v>206000</v>
      </c>
      <c r="V262" t="s">
        <v>2166</v>
      </c>
      <c r="W262" t="s">
        <v>2167</v>
      </c>
      <c r="X262" t="s">
        <v>2168</v>
      </c>
      <c r="Y262" t="s">
        <v>2169</v>
      </c>
      <c r="AA262" t="s">
        <v>2170</v>
      </c>
      <c r="AB262" t="s">
        <v>2171</v>
      </c>
      <c r="AC262">
        <v>99082</v>
      </c>
      <c r="AD262" t="s">
        <v>2172</v>
      </c>
      <c r="AE262">
        <v>-38.6547524</v>
      </c>
      <c r="AF262">
        <v>177.99394939999999</v>
      </c>
      <c r="AG262" s="175">
        <v>40</v>
      </c>
      <c r="AH262" s="175">
        <v>0</v>
      </c>
      <c r="AI262" s="175">
        <v>0</v>
      </c>
      <c r="AJ262" s="175">
        <v>0</v>
      </c>
      <c r="AK262" s="175">
        <v>8</v>
      </c>
      <c r="AL262" s="175">
        <v>14</v>
      </c>
      <c r="AM262" s="175">
        <v>14</v>
      </c>
      <c r="AN262" s="175">
        <v>0</v>
      </c>
      <c r="AO262" s="175">
        <v>36</v>
      </c>
      <c r="AP262" s="175">
        <v>15</v>
      </c>
      <c r="AQ262" s="175">
        <v>21</v>
      </c>
      <c r="AR262" s="175">
        <v>6</v>
      </c>
      <c r="AS262" s="175">
        <v>0</v>
      </c>
      <c r="AT262" s="175">
        <v>0</v>
      </c>
    </row>
    <row r="263" spans="1:46">
      <c r="A263">
        <v>5272</v>
      </c>
      <c r="B263" t="s">
        <v>2173</v>
      </c>
      <c r="C263" t="s">
        <v>2174</v>
      </c>
      <c r="D263" t="s">
        <v>2175</v>
      </c>
      <c r="E263" t="s">
        <v>2176</v>
      </c>
      <c r="F263" t="s">
        <v>2177</v>
      </c>
      <c r="G263" t="s">
        <v>2162</v>
      </c>
      <c r="H263" t="s">
        <v>452</v>
      </c>
      <c r="J263" t="s">
        <v>605</v>
      </c>
      <c r="K263" t="s">
        <v>606</v>
      </c>
      <c r="M263" t="s">
        <v>1382</v>
      </c>
      <c r="N263" t="s">
        <v>625</v>
      </c>
      <c r="O263" t="s">
        <v>2163</v>
      </c>
      <c r="P263" t="s">
        <v>670</v>
      </c>
      <c r="Q263" t="s">
        <v>512</v>
      </c>
      <c r="R263" t="s">
        <v>2164</v>
      </c>
      <c r="S263" t="s">
        <v>1556</v>
      </c>
      <c r="T263" t="s">
        <v>2165</v>
      </c>
      <c r="U263">
        <v>206200</v>
      </c>
      <c r="V263" t="s">
        <v>2178</v>
      </c>
      <c r="W263" t="s">
        <v>2167</v>
      </c>
      <c r="X263" t="s">
        <v>2168</v>
      </c>
      <c r="Y263" t="s">
        <v>2169</v>
      </c>
      <c r="AA263" t="s">
        <v>2170</v>
      </c>
      <c r="AB263" t="s">
        <v>2171</v>
      </c>
      <c r="AC263">
        <v>99083</v>
      </c>
      <c r="AD263" t="s">
        <v>2179</v>
      </c>
      <c r="AE263">
        <v>-38.648135099999998</v>
      </c>
      <c r="AF263">
        <v>178.01872433</v>
      </c>
      <c r="AG263" s="175">
        <v>45</v>
      </c>
      <c r="AH263" s="175">
        <v>0</v>
      </c>
      <c r="AI263" s="175">
        <v>0</v>
      </c>
      <c r="AJ263" s="175">
        <v>0</v>
      </c>
      <c r="AK263" s="175">
        <v>3</v>
      </c>
      <c r="AL263" s="175">
        <v>7</v>
      </c>
      <c r="AM263" s="175">
        <v>12</v>
      </c>
      <c r="AN263" s="175">
        <v>1</v>
      </c>
      <c r="AO263" s="175">
        <v>23</v>
      </c>
      <c r="AP263" s="175">
        <v>16</v>
      </c>
      <c r="AQ263" s="175">
        <v>16</v>
      </c>
      <c r="AR263" s="175">
        <v>4</v>
      </c>
      <c r="AS263" s="175">
        <v>1</v>
      </c>
      <c r="AT263" s="175">
        <v>0</v>
      </c>
    </row>
    <row r="264" spans="1:46">
      <c r="A264">
        <v>5273</v>
      </c>
      <c r="B264" t="s">
        <v>2180</v>
      </c>
      <c r="C264" t="s">
        <v>2181</v>
      </c>
      <c r="D264" t="s">
        <v>2182</v>
      </c>
      <c r="E264" t="s">
        <v>2183</v>
      </c>
      <c r="F264" t="s">
        <v>2184</v>
      </c>
      <c r="G264" t="s">
        <v>2162</v>
      </c>
      <c r="H264" t="s">
        <v>452</v>
      </c>
      <c r="J264" t="s">
        <v>605</v>
      </c>
      <c r="K264" t="s">
        <v>606</v>
      </c>
      <c r="M264" t="s">
        <v>1382</v>
      </c>
      <c r="N264" t="s">
        <v>812</v>
      </c>
      <c r="O264" t="s">
        <v>2163</v>
      </c>
      <c r="P264" t="s">
        <v>670</v>
      </c>
      <c r="Q264" t="s">
        <v>512</v>
      </c>
      <c r="R264" t="s">
        <v>2164</v>
      </c>
      <c r="S264" t="s">
        <v>1556</v>
      </c>
      <c r="T264" t="s">
        <v>2165</v>
      </c>
      <c r="U264">
        <v>207100</v>
      </c>
      <c r="V264" t="s">
        <v>2185</v>
      </c>
      <c r="W264" t="s">
        <v>2167</v>
      </c>
      <c r="X264" t="s">
        <v>2168</v>
      </c>
      <c r="Y264" t="s">
        <v>2169</v>
      </c>
      <c r="AA264" t="s">
        <v>2170</v>
      </c>
      <c r="AB264" t="s">
        <v>2171</v>
      </c>
      <c r="AC264">
        <v>99050</v>
      </c>
      <c r="AD264" t="s">
        <v>2186</v>
      </c>
      <c r="AE264">
        <v>-38.674384230000001</v>
      </c>
      <c r="AF264">
        <v>178.05612521</v>
      </c>
      <c r="AG264" s="175">
        <v>40</v>
      </c>
      <c r="AH264" s="175">
        <v>0</v>
      </c>
      <c r="AI264" s="175">
        <v>0</v>
      </c>
      <c r="AJ264" s="175">
        <v>0</v>
      </c>
      <c r="AK264" s="175">
        <v>6</v>
      </c>
      <c r="AL264" s="175">
        <v>8</v>
      </c>
      <c r="AM264" s="175">
        <v>10</v>
      </c>
      <c r="AN264" s="175">
        <v>4</v>
      </c>
      <c r="AO264" s="175">
        <v>28</v>
      </c>
      <c r="AP264" s="175">
        <v>1</v>
      </c>
      <c r="AQ264" s="175">
        <v>28</v>
      </c>
      <c r="AR264" s="175">
        <v>4</v>
      </c>
      <c r="AS264" s="175">
        <v>3</v>
      </c>
      <c r="AT264" s="175">
        <v>0</v>
      </c>
    </row>
    <row r="265" spans="1:46">
      <c r="A265">
        <v>5274</v>
      </c>
      <c r="B265" t="s">
        <v>2187</v>
      </c>
      <c r="C265" t="s">
        <v>2188</v>
      </c>
      <c r="D265" t="s">
        <v>2189</v>
      </c>
      <c r="E265" t="s">
        <v>2190</v>
      </c>
      <c r="F265" t="s">
        <v>2184</v>
      </c>
      <c r="G265" t="s">
        <v>2162</v>
      </c>
      <c r="H265" t="s">
        <v>452</v>
      </c>
      <c r="J265" t="s">
        <v>605</v>
      </c>
      <c r="K265" t="s">
        <v>606</v>
      </c>
      <c r="M265" t="s">
        <v>1382</v>
      </c>
      <c r="N265" t="s">
        <v>657</v>
      </c>
      <c r="O265" t="s">
        <v>2163</v>
      </c>
      <c r="P265" t="s">
        <v>670</v>
      </c>
      <c r="Q265" t="s">
        <v>512</v>
      </c>
      <c r="R265" t="s">
        <v>2164</v>
      </c>
      <c r="S265" t="s">
        <v>1556</v>
      </c>
      <c r="T265" t="s">
        <v>2165</v>
      </c>
      <c r="U265">
        <v>206900</v>
      </c>
      <c r="V265" t="s">
        <v>2191</v>
      </c>
      <c r="W265" t="s">
        <v>2167</v>
      </c>
      <c r="X265" t="s">
        <v>2168</v>
      </c>
      <c r="Y265" t="s">
        <v>2169</v>
      </c>
      <c r="AA265" t="s">
        <v>2170</v>
      </c>
      <c r="AB265" t="s">
        <v>2171</v>
      </c>
      <c r="AC265">
        <v>99082</v>
      </c>
      <c r="AD265" t="s">
        <v>2172</v>
      </c>
      <c r="AE265">
        <v>-38.668472749999999</v>
      </c>
      <c r="AF265">
        <v>178.03649798999999</v>
      </c>
      <c r="AG265" s="175">
        <v>45</v>
      </c>
      <c r="AH265" s="175">
        <v>0</v>
      </c>
      <c r="AI265" s="175">
        <v>0</v>
      </c>
      <c r="AJ265" s="175">
        <v>0</v>
      </c>
      <c r="AK265" s="175">
        <v>2</v>
      </c>
      <c r="AL265" s="175">
        <v>19</v>
      </c>
      <c r="AM265" s="175">
        <v>16</v>
      </c>
      <c r="AN265" s="175">
        <v>5</v>
      </c>
      <c r="AO265" s="175">
        <v>42</v>
      </c>
      <c r="AP265" s="175">
        <v>36</v>
      </c>
      <c r="AQ265" s="175">
        <v>11</v>
      </c>
      <c r="AR265" s="175">
        <v>1</v>
      </c>
      <c r="AS265" s="175">
        <v>3</v>
      </c>
      <c r="AT265" s="175">
        <v>3</v>
      </c>
    </row>
    <row r="266" spans="1:46">
      <c r="A266">
        <v>5275</v>
      </c>
      <c r="B266" t="s">
        <v>2192</v>
      </c>
      <c r="C266" t="s">
        <v>2193</v>
      </c>
      <c r="D266" t="s">
        <v>2194</v>
      </c>
      <c r="E266" t="s">
        <v>2195</v>
      </c>
      <c r="G266" t="s">
        <v>2196</v>
      </c>
      <c r="H266" t="s">
        <v>452</v>
      </c>
      <c r="I266" t="s">
        <v>941</v>
      </c>
      <c r="J266" t="s">
        <v>605</v>
      </c>
      <c r="K266" t="s">
        <v>606</v>
      </c>
      <c r="M266" t="s">
        <v>1382</v>
      </c>
      <c r="N266" t="s">
        <v>608</v>
      </c>
      <c r="O266" t="s">
        <v>2197</v>
      </c>
      <c r="P266" t="s">
        <v>610</v>
      </c>
      <c r="Q266" t="s">
        <v>513</v>
      </c>
      <c r="R266" t="s">
        <v>2164</v>
      </c>
      <c r="S266" t="s">
        <v>2198</v>
      </c>
      <c r="T266" t="s">
        <v>2165</v>
      </c>
      <c r="U266">
        <v>207800</v>
      </c>
      <c r="V266" t="s">
        <v>2196</v>
      </c>
      <c r="W266" t="s">
        <v>651</v>
      </c>
      <c r="X266" t="s">
        <v>2199</v>
      </c>
      <c r="Y266" t="s">
        <v>2200</v>
      </c>
      <c r="Z266" t="s">
        <v>2201</v>
      </c>
      <c r="AA266" t="s">
        <v>2202</v>
      </c>
      <c r="AB266" t="s">
        <v>2203</v>
      </c>
      <c r="AC266">
        <v>99091</v>
      </c>
      <c r="AD266" t="s">
        <v>2204</v>
      </c>
      <c r="AE266">
        <v>-39.038770309999997</v>
      </c>
      <c r="AF266">
        <v>177.42260995999999</v>
      </c>
      <c r="AG266" s="175">
        <v>43</v>
      </c>
      <c r="AH266" s="175">
        <v>0</v>
      </c>
      <c r="AI266" s="175">
        <v>0</v>
      </c>
      <c r="AJ266" s="175">
        <v>0</v>
      </c>
      <c r="AK266" s="175">
        <v>7</v>
      </c>
      <c r="AL266" s="175">
        <v>12</v>
      </c>
      <c r="AM266" s="175">
        <v>11</v>
      </c>
      <c r="AN266" s="175">
        <v>1</v>
      </c>
      <c r="AO266" s="175">
        <v>31</v>
      </c>
      <c r="AP266" s="175">
        <v>19</v>
      </c>
      <c r="AQ266" s="175">
        <v>22</v>
      </c>
      <c r="AR266" s="175">
        <v>2</v>
      </c>
      <c r="AS266" s="175">
        <v>2</v>
      </c>
      <c r="AT266" s="175">
        <v>0</v>
      </c>
    </row>
    <row r="267" spans="1:46">
      <c r="A267">
        <v>5277</v>
      </c>
      <c r="B267" t="s">
        <v>2205</v>
      </c>
      <c r="C267" t="s">
        <v>2206</v>
      </c>
      <c r="D267" t="s">
        <v>2207</v>
      </c>
      <c r="E267" t="s">
        <v>2208</v>
      </c>
      <c r="F267" t="s">
        <v>2209</v>
      </c>
      <c r="G267" t="s">
        <v>2198</v>
      </c>
      <c r="H267" t="s">
        <v>452</v>
      </c>
      <c r="I267" t="s">
        <v>941</v>
      </c>
      <c r="J267" t="s">
        <v>605</v>
      </c>
      <c r="K267" t="s">
        <v>606</v>
      </c>
      <c r="M267" t="s">
        <v>1382</v>
      </c>
      <c r="N267" t="s">
        <v>812</v>
      </c>
      <c r="O267" t="s">
        <v>2210</v>
      </c>
      <c r="P267" t="s">
        <v>670</v>
      </c>
      <c r="Q267" t="s">
        <v>513</v>
      </c>
      <c r="R267" t="s">
        <v>2164</v>
      </c>
      <c r="S267" t="s">
        <v>2198</v>
      </c>
      <c r="T267" t="s">
        <v>2165</v>
      </c>
      <c r="U267">
        <v>215300</v>
      </c>
      <c r="V267" t="s">
        <v>2209</v>
      </c>
      <c r="W267" t="s">
        <v>2211</v>
      </c>
      <c r="X267" t="s">
        <v>2199</v>
      </c>
      <c r="Y267" t="s">
        <v>2200</v>
      </c>
      <c r="Z267" t="s">
        <v>2201</v>
      </c>
      <c r="AA267" t="s">
        <v>2202</v>
      </c>
      <c r="AB267" t="s">
        <v>2203</v>
      </c>
      <c r="AC267">
        <v>99002</v>
      </c>
      <c r="AD267" t="s">
        <v>2212</v>
      </c>
      <c r="AE267">
        <v>-39.520220729999998</v>
      </c>
      <c r="AF267">
        <v>176.90364400999999</v>
      </c>
      <c r="AG267" s="175">
        <v>42</v>
      </c>
      <c r="AH267" s="175">
        <v>0</v>
      </c>
      <c r="AI267" s="175">
        <v>0</v>
      </c>
      <c r="AJ267" s="175">
        <v>0</v>
      </c>
      <c r="AK267" s="175">
        <v>2</v>
      </c>
      <c r="AL267" s="175">
        <v>7</v>
      </c>
      <c r="AM267" s="175">
        <v>15</v>
      </c>
      <c r="AN267" s="175">
        <v>0</v>
      </c>
      <c r="AO267" s="175">
        <v>24</v>
      </c>
      <c r="AP267" s="175">
        <v>12</v>
      </c>
      <c r="AQ267" s="175">
        <v>20</v>
      </c>
      <c r="AR267" s="175">
        <v>3</v>
      </c>
      <c r="AS267" s="175">
        <v>0</v>
      </c>
      <c r="AT267" s="175">
        <v>1</v>
      </c>
    </row>
    <row r="268" spans="1:46">
      <c r="A268">
        <v>5278</v>
      </c>
      <c r="B268" t="s">
        <v>2213</v>
      </c>
      <c r="C268" t="s">
        <v>2214</v>
      </c>
      <c r="D268" t="s">
        <v>2215</v>
      </c>
      <c r="E268" t="s">
        <v>2216</v>
      </c>
      <c r="F268" t="s">
        <v>2217</v>
      </c>
      <c r="G268" t="s">
        <v>2198</v>
      </c>
      <c r="H268" t="s">
        <v>452</v>
      </c>
      <c r="I268" t="s">
        <v>941</v>
      </c>
      <c r="J268" t="s">
        <v>605</v>
      </c>
      <c r="K268" t="s">
        <v>606</v>
      </c>
      <c r="M268" t="s">
        <v>1382</v>
      </c>
      <c r="N268" t="s">
        <v>657</v>
      </c>
      <c r="O268" t="s">
        <v>2210</v>
      </c>
      <c r="P268" t="s">
        <v>670</v>
      </c>
      <c r="Q268" t="s">
        <v>513</v>
      </c>
      <c r="R268" t="s">
        <v>2164</v>
      </c>
      <c r="S268" t="s">
        <v>2198</v>
      </c>
      <c r="T268" t="s">
        <v>2165</v>
      </c>
      <c r="U268">
        <v>214000</v>
      </c>
      <c r="V268" t="s">
        <v>2218</v>
      </c>
      <c r="W268" t="s">
        <v>2219</v>
      </c>
      <c r="X268" t="s">
        <v>2199</v>
      </c>
      <c r="Y268" t="s">
        <v>2200</v>
      </c>
      <c r="Z268" t="s">
        <v>2201</v>
      </c>
      <c r="AA268" t="s">
        <v>2202</v>
      </c>
      <c r="AB268" t="s">
        <v>2203</v>
      </c>
      <c r="AC268">
        <v>99217</v>
      </c>
      <c r="AD268" t="s">
        <v>2220</v>
      </c>
      <c r="AE268">
        <v>-39.527740790000003</v>
      </c>
      <c r="AF268">
        <v>176.8576084</v>
      </c>
      <c r="AG268" s="175">
        <v>45</v>
      </c>
      <c r="AH268" s="175">
        <v>0</v>
      </c>
      <c r="AI268" s="175">
        <v>0</v>
      </c>
      <c r="AJ268" s="175">
        <v>0</v>
      </c>
      <c r="AK268" s="175">
        <v>6</v>
      </c>
      <c r="AL268" s="175">
        <v>25</v>
      </c>
      <c r="AM268" s="175">
        <v>17</v>
      </c>
      <c r="AN268" s="175">
        <v>1</v>
      </c>
      <c r="AO268" s="175">
        <v>49</v>
      </c>
      <c r="AP268" s="175">
        <v>45</v>
      </c>
      <c r="AQ268" s="175">
        <v>10</v>
      </c>
      <c r="AR268" s="175">
        <v>4</v>
      </c>
      <c r="AS268" s="175">
        <v>3</v>
      </c>
      <c r="AT268" s="175">
        <v>1</v>
      </c>
    </row>
    <row r="269" spans="1:46">
      <c r="A269">
        <v>5279</v>
      </c>
      <c r="B269" t="s">
        <v>2221</v>
      </c>
      <c r="C269" t="s">
        <v>2222</v>
      </c>
      <c r="D269" t="s">
        <v>2223</v>
      </c>
      <c r="E269" t="s">
        <v>2224</v>
      </c>
      <c r="F269" t="s">
        <v>2201</v>
      </c>
      <c r="G269" t="s">
        <v>2198</v>
      </c>
      <c r="H269" t="s">
        <v>452</v>
      </c>
      <c r="I269" t="s">
        <v>941</v>
      </c>
      <c r="J269" t="s">
        <v>605</v>
      </c>
      <c r="K269" t="s">
        <v>606</v>
      </c>
      <c r="M269" t="s">
        <v>1382</v>
      </c>
      <c r="N269" t="s">
        <v>643</v>
      </c>
      <c r="O269" t="s">
        <v>2210</v>
      </c>
      <c r="P269" t="s">
        <v>670</v>
      </c>
      <c r="Q269" t="s">
        <v>513</v>
      </c>
      <c r="R269" t="s">
        <v>2164</v>
      </c>
      <c r="S269" t="s">
        <v>2198</v>
      </c>
      <c r="T269" t="s">
        <v>2165</v>
      </c>
      <c r="U269">
        <v>215000</v>
      </c>
      <c r="V269" t="s">
        <v>2225</v>
      </c>
      <c r="W269" t="s">
        <v>2211</v>
      </c>
      <c r="X269" t="s">
        <v>2199</v>
      </c>
      <c r="Y269" t="s">
        <v>2200</v>
      </c>
      <c r="Z269" t="s">
        <v>2201</v>
      </c>
      <c r="AA269" t="s">
        <v>2202</v>
      </c>
      <c r="AB269" t="s">
        <v>2203</v>
      </c>
      <c r="AC269">
        <v>99003</v>
      </c>
      <c r="AD269" t="s">
        <v>2226</v>
      </c>
      <c r="AE269">
        <v>-39.50064441</v>
      </c>
      <c r="AF269">
        <v>176.90366186</v>
      </c>
      <c r="AG269" s="175">
        <v>46</v>
      </c>
      <c r="AH269" s="175">
        <v>0</v>
      </c>
      <c r="AI269" s="175">
        <v>0</v>
      </c>
      <c r="AJ269" s="175">
        <v>0</v>
      </c>
      <c r="AK269" s="175">
        <v>6</v>
      </c>
      <c r="AL269" s="175">
        <v>18</v>
      </c>
      <c r="AM269" s="175">
        <v>17</v>
      </c>
      <c r="AN269" s="175">
        <v>1</v>
      </c>
      <c r="AO269" s="175">
        <v>42</v>
      </c>
      <c r="AP269" s="175">
        <v>32</v>
      </c>
      <c r="AQ269" s="175">
        <v>14</v>
      </c>
      <c r="AR269" s="175">
        <v>3</v>
      </c>
      <c r="AS269" s="175">
        <v>10</v>
      </c>
      <c r="AT269" s="175">
        <v>0</v>
      </c>
    </row>
    <row r="270" spans="1:46">
      <c r="A270">
        <v>5280</v>
      </c>
      <c r="B270" t="s">
        <v>2227</v>
      </c>
      <c r="C270" t="s">
        <v>2228</v>
      </c>
      <c r="D270" t="s">
        <v>2229</v>
      </c>
      <c r="E270" t="s">
        <v>2230</v>
      </c>
      <c r="F270" t="s">
        <v>2209</v>
      </c>
      <c r="G270" t="s">
        <v>2198</v>
      </c>
      <c r="H270" t="s">
        <v>452</v>
      </c>
      <c r="I270" t="s">
        <v>941</v>
      </c>
      <c r="J270" t="s">
        <v>605</v>
      </c>
      <c r="K270" t="s">
        <v>606</v>
      </c>
      <c r="M270" t="s">
        <v>1382</v>
      </c>
      <c r="N270" t="s">
        <v>812</v>
      </c>
      <c r="O270" t="s">
        <v>2210</v>
      </c>
      <c r="P270" t="s">
        <v>670</v>
      </c>
      <c r="Q270" t="s">
        <v>513</v>
      </c>
      <c r="R270" t="s">
        <v>2164</v>
      </c>
      <c r="S270" t="s">
        <v>2198</v>
      </c>
      <c r="T270" t="s">
        <v>2165</v>
      </c>
      <c r="U270">
        <v>215300</v>
      </c>
      <c r="V270" t="s">
        <v>2209</v>
      </c>
      <c r="W270" t="s">
        <v>2211</v>
      </c>
      <c r="X270" t="s">
        <v>2199</v>
      </c>
      <c r="Y270" t="s">
        <v>2200</v>
      </c>
      <c r="Z270" t="s">
        <v>2201</v>
      </c>
      <c r="AA270" t="s">
        <v>2202</v>
      </c>
      <c r="AB270" t="s">
        <v>2203</v>
      </c>
      <c r="AE270">
        <v>-39.51299495</v>
      </c>
      <c r="AF270">
        <v>176.90620933</v>
      </c>
      <c r="AG270" s="175">
        <v>43</v>
      </c>
      <c r="AH270" s="175">
        <v>0</v>
      </c>
      <c r="AI270" s="175">
        <v>0</v>
      </c>
      <c r="AJ270" s="175">
        <v>0</v>
      </c>
      <c r="AK270" s="175">
        <v>5</v>
      </c>
      <c r="AL270" s="175">
        <v>4</v>
      </c>
      <c r="AM270" s="175">
        <v>11</v>
      </c>
      <c r="AN270" s="175">
        <v>0</v>
      </c>
      <c r="AO270" s="175">
        <v>20</v>
      </c>
      <c r="AP270" s="175">
        <v>7</v>
      </c>
      <c r="AQ270" s="175">
        <v>17</v>
      </c>
      <c r="AR270" s="175">
        <v>2</v>
      </c>
      <c r="AS270" s="175">
        <v>0</v>
      </c>
      <c r="AT270" s="175">
        <v>1</v>
      </c>
    </row>
    <row r="271" spans="1:46">
      <c r="A271">
        <v>5281</v>
      </c>
      <c r="B271" t="s">
        <v>2231</v>
      </c>
      <c r="C271" t="s">
        <v>2232</v>
      </c>
      <c r="D271" t="s">
        <v>2233</v>
      </c>
      <c r="E271" t="s">
        <v>2234</v>
      </c>
      <c r="F271" t="s">
        <v>2235</v>
      </c>
      <c r="G271" t="s">
        <v>2198</v>
      </c>
      <c r="H271" t="s">
        <v>452</v>
      </c>
      <c r="I271" t="s">
        <v>941</v>
      </c>
      <c r="J271" t="s">
        <v>605</v>
      </c>
      <c r="K271" t="s">
        <v>606</v>
      </c>
      <c r="M271" t="s">
        <v>1382</v>
      </c>
      <c r="N271" t="s">
        <v>812</v>
      </c>
      <c r="O271" t="s">
        <v>2210</v>
      </c>
      <c r="P271" t="s">
        <v>670</v>
      </c>
      <c r="Q271" t="s">
        <v>513</v>
      </c>
      <c r="R271" t="s">
        <v>2164</v>
      </c>
      <c r="S271" t="s">
        <v>2198</v>
      </c>
      <c r="T271" t="s">
        <v>2165</v>
      </c>
      <c r="U271">
        <v>214800</v>
      </c>
      <c r="V271" t="s">
        <v>2236</v>
      </c>
      <c r="W271" t="s">
        <v>2211</v>
      </c>
      <c r="X271" t="s">
        <v>2199</v>
      </c>
      <c r="Y271" t="s">
        <v>2200</v>
      </c>
      <c r="Z271" t="s">
        <v>2201</v>
      </c>
      <c r="AA271" t="s">
        <v>2202</v>
      </c>
      <c r="AB271" t="s">
        <v>2203</v>
      </c>
      <c r="AE271">
        <v>-39.512330589999998</v>
      </c>
      <c r="AF271">
        <v>176.89687520000001</v>
      </c>
      <c r="AG271" s="175">
        <v>41</v>
      </c>
      <c r="AH271" s="175">
        <v>0</v>
      </c>
      <c r="AI271" s="175">
        <v>0</v>
      </c>
      <c r="AJ271" s="175">
        <v>0</v>
      </c>
      <c r="AK271" s="175">
        <v>3</v>
      </c>
      <c r="AL271" s="175">
        <v>8</v>
      </c>
      <c r="AM271" s="175">
        <v>9</v>
      </c>
      <c r="AN271" s="175">
        <v>1</v>
      </c>
      <c r="AO271" s="175">
        <v>21</v>
      </c>
      <c r="AP271" s="175">
        <v>8</v>
      </c>
      <c r="AQ271" s="175">
        <v>18</v>
      </c>
      <c r="AR271" s="175">
        <v>3</v>
      </c>
      <c r="AS271" s="175">
        <v>1</v>
      </c>
      <c r="AT271" s="175">
        <v>1</v>
      </c>
    </row>
    <row r="272" spans="1:46">
      <c r="A272">
        <v>5282</v>
      </c>
      <c r="B272" t="s">
        <v>2237</v>
      </c>
      <c r="C272" t="s">
        <v>2238</v>
      </c>
      <c r="D272" t="s">
        <v>2239</v>
      </c>
      <c r="E272" t="s">
        <v>2240</v>
      </c>
      <c r="F272" t="s">
        <v>2235</v>
      </c>
      <c r="G272" t="s">
        <v>2198</v>
      </c>
      <c r="H272" t="s">
        <v>452</v>
      </c>
      <c r="I272" t="s">
        <v>941</v>
      </c>
      <c r="J272" t="s">
        <v>605</v>
      </c>
      <c r="K272" t="s">
        <v>606</v>
      </c>
      <c r="M272" t="s">
        <v>1382</v>
      </c>
      <c r="N272" t="s">
        <v>643</v>
      </c>
      <c r="O272" t="s">
        <v>2210</v>
      </c>
      <c r="P272" t="s">
        <v>670</v>
      </c>
      <c r="Q272" t="s">
        <v>513</v>
      </c>
      <c r="R272" t="s">
        <v>2164</v>
      </c>
      <c r="S272" t="s">
        <v>2198</v>
      </c>
      <c r="T272" t="s">
        <v>2165</v>
      </c>
      <c r="U272">
        <v>214100</v>
      </c>
      <c r="V272" t="s">
        <v>2241</v>
      </c>
      <c r="W272" t="s">
        <v>2242</v>
      </c>
      <c r="X272" t="s">
        <v>2199</v>
      </c>
      <c r="Y272" t="s">
        <v>2200</v>
      </c>
      <c r="Z272" t="s">
        <v>2201</v>
      </c>
      <c r="AA272" t="s">
        <v>2202</v>
      </c>
      <c r="AB272" t="s">
        <v>2203</v>
      </c>
      <c r="AC272">
        <v>99021</v>
      </c>
      <c r="AD272" t="s">
        <v>2243</v>
      </c>
      <c r="AE272">
        <v>-39.507940410000003</v>
      </c>
      <c r="AF272">
        <v>176.88768820000001</v>
      </c>
      <c r="AG272" s="175">
        <v>44</v>
      </c>
      <c r="AH272" s="175">
        <v>0</v>
      </c>
      <c r="AI272" s="175">
        <v>0</v>
      </c>
      <c r="AJ272" s="175">
        <v>0</v>
      </c>
      <c r="AK272" s="175">
        <v>7</v>
      </c>
      <c r="AL272" s="175">
        <v>18</v>
      </c>
      <c r="AM272" s="175">
        <v>19</v>
      </c>
      <c r="AN272" s="175">
        <v>1</v>
      </c>
      <c r="AO272" s="175">
        <v>45</v>
      </c>
      <c r="AP272" s="175">
        <v>30</v>
      </c>
      <c r="AQ272" s="175">
        <v>10</v>
      </c>
      <c r="AR272" s="175">
        <v>2</v>
      </c>
      <c r="AS272" s="175">
        <v>9</v>
      </c>
      <c r="AT272" s="175">
        <v>2</v>
      </c>
    </row>
    <row r="273" spans="1:46">
      <c r="A273">
        <v>5283</v>
      </c>
      <c r="B273" t="s">
        <v>2244</v>
      </c>
      <c r="C273" t="s">
        <v>2245</v>
      </c>
      <c r="D273" t="s">
        <v>2246</v>
      </c>
      <c r="E273" t="s">
        <v>2247</v>
      </c>
      <c r="F273" t="s">
        <v>2248</v>
      </c>
      <c r="G273" t="s">
        <v>2198</v>
      </c>
      <c r="H273" t="s">
        <v>452</v>
      </c>
      <c r="J273" t="s">
        <v>605</v>
      </c>
      <c r="K273" t="s">
        <v>606</v>
      </c>
      <c r="M273" t="s">
        <v>1382</v>
      </c>
      <c r="N273" t="s">
        <v>643</v>
      </c>
      <c r="O273" t="s">
        <v>2210</v>
      </c>
      <c r="P273" t="s">
        <v>670</v>
      </c>
      <c r="Q273" t="s">
        <v>513</v>
      </c>
      <c r="R273" t="s">
        <v>2164</v>
      </c>
      <c r="S273" t="s">
        <v>2198</v>
      </c>
      <c r="T273" t="s">
        <v>2165</v>
      </c>
      <c r="U273">
        <v>214700</v>
      </c>
      <c r="V273" t="s">
        <v>2249</v>
      </c>
      <c r="W273" t="s">
        <v>2211</v>
      </c>
      <c r="X273" t="s">
        <v>2199</v>
      </c>
      <c r="Y273" t="s">
        <v>2200</v>
      </c>
      <c r="Z273" t="s">
        <v>2201</v>
      </c>
      <c r="AA273" t="s">
        <v>2202</v>
      </c>
      <c r="AB273" t="s">
        <v>2203</v>
      </c>
      <c r="AC273">
        <v>99217</v>
      </c>
      <c r="AD273" t="s">
        <v>2220</v>
      </c>
      <c r="AE273">
        <v>-39.518250649999999</v>
      </c>
      <c r="AF273">
        <v>176.88272788</v>
      </c>
      <c r="AG273" s="175">
        <v>44</v>
      </c>
      <c r="AH273" s="175">
        <v>0</v>
      </c>
      <c r="AI273" s="175">
        <v>0</v>
      </c>
      <c r="AJ273" s="175">
        <v>0</v>
      </c>
      <c r="AK273" s="175">
        <v>10</v>
      </c>
      <c r="AL273" s="175">
        <v>14</v>
      </c>
      <c r="AM273" s="175">
        <v>14</v>
      </c>
      <c r="AN273" s="175">
        <v>1</v>
      </c>
      <c r="AO273" s="175">
        <v>39</v>
      </c>
      <c r="AP273" s="175">
        <v>30</v>
      </c>
      <c r="AQ273" s="175">
        <v>13</v>
      </c>
      <c r="AR273" s="175">
        <v>0</v>
      </c>
      <c r="AS273" s="175">
        <v>3</v>
      </c>
      <c r="AT273" s="175">
        <v>0</v>
      </c>
    </row>
    <row r="274" spans="1:46">
      <c r="A274">
        <v>5284</v>
      </c>
      <c r="B274" t="s">
        <v>2250</v>
      </c>
      <c r="C274" t="s">
        <v>2251</v>
      </c>
      <c r="D274" t="s">
        <v>2252</v>
      </c>
      <c r="E274" t="s">
        <v>2253</v>
      </c>
      <c r="F274" t="s">
        <v>2254</v>
      </c>
      <c r="G274" t="s">
        <v>2198</v>
      </c>
      <c r="H274" t="s">
        <v>452</v>
      </c>
      <c r="J274" t="s">
        <v>605</v>
      </c>
      <c r="K274" t="s">
        <v>606</v>
      </c>
      <c r="M274" t="s">
        <v>1382</v>
      </c>
      <c r="N274" t="s">
        <v>657</v>
      </c>
      <c r="O274" t="s">
        <v>2210</v>
      </c>
      <c r="P274" t="s">
        <v>670</v>
      </c>
      <c r="Q274" t="s">
        <v>513</v>
      </c>
      <c r="R274" t="s">
        <v>2164</v>
      </c>
      <c r="S274" t="s">
        <v>2198</v>
      </c>
      <c r="T274" t="s">
        <v>2165</v>
      </c>
      <c r="U274">
        <v>214900</v>
      </c>
      <c r="V274" t="s">
        <v>2255</v>
      </c>
      <c r="W274" t="s">
        <v>2219</v>
      </c>
      <c r="X274" t="s">
        <v>2199</v>
      </c>
      <c r="Y274" t="s">
        <v>2200</v>
      </c>
      <c r="Z274" t="s">
        <v>2201</v>
      </c>
      <c r="AA274" t="s">
        <v>2202</v>
      </c>
      <c r="AB274" t="s">
        <v>2203</v>
      </c>
      <c r="AC274">
        <v>99217</v>
      </c>
      <c r="AD274" t="s">
        <v>2220</v>
      </c>
      <c r="AE274">
        <v>-39.543295030000003</v>
      </c>
      <c r="AF274">
        <v>176.85026264000001</v>
      </c>
      <c r="AG274" s="175">
        <v>40</v>
      </c>
      <c r="AH274" s="175">
        <v>0</v>
      </c>
      <c r="AI274" s="175">
        <v>0</v>
      </c>
      <c r="AJ274" s="175">
        <v>0</v>
      </c>
      <c r="AK274" s="175">
        <v>7</v>
      </c>
      <c r="AL274" s="175">
        <v>13</v>
      </c>
      <c r="AM274" s="175">
        <v>20</v>
      </c>
      <c r="AN274" s="175">
        <v>2</v>
      </c>
      <c r="AO274" s="175">
        <v>42</v>
      </c>
      <c r="AP274" s="175">
        <v>22</v>
      </c>
      <c r="AQ274" s="175">
        <v>13</v>
      </c>
      <c r="AR274" s="175">
        <v>2</v>
      </c>
      <c r="AS274" s="175">
        <v>10</v>
      </c>
      <c r="AT274" s="175">
        <v>3</v>
      </c>
    </row>
    <row r="275" spans="1:46">
      <c r="A275">
        <v>5285</v>
      </c>
      <c r="B275" t="s">
        <v>2256</v>
      </c>
      <c r="C275" t="s">
        <v>2257</v>
      </c>
      <c r="D275" t="s">
        <v>2258</v>
      </c>
      <c r="E275" t="s">
        <v>2259</v>
      </c>
      <c r="F275" t="s">
        <v>2260</v>
      </c>
      <c r="G275" t="s">
        <v>2198</v>
      </c>
      <c r="H275" t="s">
        <v>452</v>
      </c>
      <c r="I275" t="s">
        <v>941</v>
      </c>
      <c r="J275" t="s">
        <v>605</v>
      </c>
      <c r="K275" t="s">
        <v>606</v>
      </c>
      <c r="M275" t="s">
        <v>1382</v>
      </c>
      <c r="N275" t="s">
        <v>657</v>
      </c>
      <c r="O275" t="s">
        <v>2210</v>
      </c>
      <c r="P275" t="s">
        <v>670</v>
      </c>
      <c r="Q275" t="s">
        <v>513</v>
      </c>
      <c r="R275" t="s">
        <v>2164</v>
      </c>
      <c r="S275" t="s">
        <v>2198</v>
      </c>
      <c r="T275" t="s">
        <v>2165</v>
      </c>
      <c r="U275">
        <v>213500</v>
      </c>
      <c r="V275" t="s">
        <v>2261</v>
      </c>
      <c r="W275" t="s">
        <v>2242</v>
      </c>
      <c r="X275" t="s">
        <v>2199</v>
      </c>
      <c r="Y275" t="s">
        <v>2200</v>
      </c>
      <c r="Z275" t="s">
        <v>2201</v>
      </c>
      <c r="AA275" t="s">
        <v>2202</v>
      </c>
      <c r="AB275" t="s">
        <v>2203</v>
      </c>
      <c r="AC275">
        <v>99021</v>
      </c>
      <c r="AD275" t="s">
        <v>2243</v>
      </c>
      <c r="AE275">
        <v>-39.509778089999998</v>
      </c>
      <c r="AF275">
        <v>176.86765389999999</v>
      </c>
      <c r="AG275" s="175">
        <v>46</v>
      </c>
      <c r="AH275" s="175">
        <v>0</v>
      </c>
      <c r="AI275" s="175">
        <v>0</v>
      </c>
      <c r="AJ275" s="175">
        <v>0</v>
      </c>
      <c r="AK275" s="175">
        <v>8</v>
      </c>
      <c r="AL275" s="175">
        <v>12</v>
      </c>
      <c r="AM275" s="175">
        <v>21</v>
      </c>
      <c r="AN275" s="175">
        <v>0</v>
      </c>
      <c r="AO275" s="175">
        <v>41</v>
      </c>
      <c r="AP275" s="175">
        <v>33</v>
      </c>
      <c r="AQ275" s="175">
        <v>16</v>
      </c>
      <c r="AR275" s="175">
        <v>1</v>
      </c>
      <c r="AS275" s="175">
        <v>10</v>
      </c>
      <c r="AT275" s="175">
        <v>1</v>
      </c>
    </row>
    <row r="276" spans="1:46">
      <c r="A276">
        <v>5286</v>
      </c>
      <c r="B276" t="s">
        <v>2262</v>
      </c>
      <c r="C276" t="s">
        <v>2263</v>
      </c>
      <c r="D276" t="s">
        <v>2264</v>
      </c>
      <c r="E276" t="s">
        <v>2265</v>
      </c>
      <c r="F276" t="s">
        <v>2254</v>
      </c>
      <c r="G276" t="s">
        <v>2198</v>
      </c>
      <c r="H276" t="s">
        <v>452</v>
      </c>
      <c r="J276" t="s">
        <v>605</v>
      </c>
      <c r="K276" t="s">
        <v>606</v>
      </c>
      <c r="M276" t="s">
        <v>1382</v>
      </c>
      <c r="N276" t="s">
        <v>657</v>
      </c>
      <c r="O276" t="s">
        <v>2210</v>
      </c>
      <c r="P276" t="s">
        <v>670</v>
      </c>
      <c r="Q276" t="s">
        <v>513</v>
      </c>
      <c r="R276" t="s">
        <v>2164</v>
      </c>
      <c r="S276" t="s">
        <v>2198</v>
      </c>
      <c r="T276" t="s">
        <v>2165</v>
      </c>
      <c r="U276">
        <v>213700</v>
      </c>
      <c r="V276" t="s">
        <v>2266</v>
      </c>
      <c r="W276" t="s">
        <v>2219</v>
      </c>
      <c r="X276" t="s">
        <v>2199</v>
      </c>
      <c r="Y276" t="s">
        <v>2200</v>
      </c>
      <c r="Z276" t="s">
        <v>2201</v>
      </c>
      <c r="AA276" t="s">
        <v>2202</v>
      </c>
      <c r="AB276" t="s">
        <v>2203</v>
      </c>
      <c r="AC276">
        <v>99217</v>
      </c>
      <c r="AD276" t="s">
        <v>2220</v>
      </c>
      <c r="AE276">
        <v>-39.536074200000002</v>
      </c>
      <c r="AF276">
        <v>176.84513858</v>
      </c>
      <c r="AG276" s="175">
        <v>43</v>
      </c>
      <c r="AH276" s="175">
        <v>0</v>
      </c>
      <c r="AI276" s="175">
        <v>0</v>
      </c>
      <c r="AJ276" s="175">
        <v>0</v>
      </c>
      <c r="AK276" s="175">
        <v>1</v>
      </c>
      <c r="AL276" s="175">
        <v>22</v>
      </c>
      <c r="AM276" s="175">
        <v>32</v>
      </c>
      <c r="AN276" s="175">
        <v>2</v>
      </c>
      <c r="AO276" s="175">
        <v>57</v>
      </c>
      <c r="AP276" s="175">
        <v>45</v>
      </c>
      <c r="AQ276" s="175">
        <v>4</v>
      </c>
      <c r="AR276" s="175">
        <v>2</v>
      </c>
      <c r="AS276" s="175">
        <v>10</v>
      </c>
      <c r="AT276" s="175">
        <v>1</v>
      </c>
    </row>
    <row r="277" spans="1:46">
      <c r="A277">
        <v>5287</v>
      </c>
      <c r="B277" t="s">
        <v>2267</v>
      </c>
      <c r="C277" t="s">
        <v>2268</v>
      </c>
      <c r="D277" t="s">
        <v>2269</v>
      </c>
      <c r="E277" t="s">
        <v>2270</v>
      </c>
      <c r="F277" t="s">
        <v>2260</v>
      </c>
      <c r="G277" t="s">
        <v>2198</v>
      </c>
      <c r="H277" t="s">
        <v>452</v>
      </c>
      <c r="J277" t="s">
        <v>605</v>
      </c>
      <c r="K277" t="s">
        <v>606</v>
      </c>
      <c r="M277" t="s">
        <v>1382</v>
      </c>
      <c r="N277" t="s">
        <v>657</v>
      </c>
      <c r="O277" t="s">
        <v>2210</v>
      </c>
      <c r="P277" t="s">
        <v>670</v>
      </c>
      <c r="Q277" t="s">
        <v>513</v>
      </c>
      <c r="R277" t="s">
        <v>2164</v>
      </c>
      <c r="S277" t="s">
        <v>2198</v>
      </c>
      <c r="T277" t="s">
        <v>2165</v>
      </c>
      <c r="U277">
        <v>213500</v>
      </c>
      <c r="V277" t="s">
        <v>2261</v>
      </c>
      <c r="W277" t="s">
        <v>2242</v>
      </c>
      <c r="X277" t="s">
        <v>2199</v>
      </c>
      <c r="Y277" t="s">
        <v>2200</v>
      </c>
      <c r="Z277" t="s">
        <v>2201</v>
      </c>
      <c r="AA277" t="s">
        <v>2202</v>
      </c>
      <c r="AB277" t="s">
        <v>2203</v>
      </c>
      <c r="AC277">
        <v>99021</v>
      </c>
      <c r="AD277" t="s">
        <v>2243</v>
      </c>
      <c r="AE277">
        <v>-39.510236829999997</v>
      </c>
      <c r="AF277">
        <v>176.86211109999999</v>
      </c>
      <c r="AG277" s="175">
        <v>41</v>
      </c>
      <c r="AH277" s="175">
        <v>0</v>
      </c>
      <c r="AI277" s="175">
        <v>0</v>
      </c>
      <c r="AJ277" s="175">
        <v>0</v>
      </c>
      <c r="AK277" s="175">
        <v>7</v>
      </c>
      <c r="AL277" s="175">
        <v>15</v>
      </c>
      <c r="AM277" s="175">
        <v>10</v>
      </c>
      <c r="AN277" s="175">
        <v>0</v>
      </c>
      <c r="AO277" s="175">
        <v>32</v>
      </c>
      <c r="AP277" s="175">
        <v>26</v>
      </c>
      <c r="AQ277" s="175">
        <v>9</v>
      </c>
      <c r="AR277" s="175">
        <v>0</v>
      </c>
      <c r="AS277" s="175">
        <v>0</v>
      </c>
      <c r="AT277" s="175">
        <v>2</v>
      </c>
    </row>
    <row r="278" spans="1:46">
      <c r="A278">
        <v>5288</v>
      </c>
      <c r="B278" t="s">
        <v>2271</v>
      </c>
      <c r="C278" t="s">
        <v>2272</v>
      </c>
      <c r="D278" t="s">
        <v>2273</v>
      </c>
      <c r="E278" t="s">
        <v>2274</v>
      </c>
      <c r="F278" t="s">
        <v>2275</v>
      </c>
      <c r="G278" t="s">
        <v>2276</v>
      </c>
      <c r="H278" t="s">
        <v>452</v>
      </c>
      <c r="J278" t="s">
        <v>605</v>
      </c>
      <c r="K278" t="s">
        <v>606</v>
      </c>
      <c r="M278" t="s">
        <v>1382</v>
      </c>
      <c r="N278" t="s">
        <v>812</v>
      </c>
      <c r="O278" t="s">
        <v>2277</v>
      </c>
      <c r="P278" t="s">
        <v>670</v>
      </c>
      <c r="Q278" t="s">
        <v>513</v>
      </c>
      <c r="R278" t="s">
        <v>2164</v>
      </c>
      <c r="S278" t="s">
        <v>2278</v>
      </c>
      <c r="T278" t="s">
        <v>2165</v>
      </c>
      <c r="U278">
        <v>209500</v>
      </c>
      <c r="V278" t="s">
        <v>2275</v>
      </c>
      <c r="W278" t="s">
        <v>2279</v>
      </c>
      <c r="X278" t="s">
        <v>2280</v>
      </c>
      <c r="Y278" t="s">
        <v>2281</v>
      </c>
      <c r="Z278" t="s">
        <v>2282</v>
      </c>
      <c r="AA278" t="s">
        <v>2283</v>
      </c>
      <c r="AB278" t="s">
        <v>2284</v>
      </c>
      <c r="AC278">
        <v>99159</v>
      </c>
      <c r="AD278" t="s">
        <v>2285</v>
      </c>
      <c r="AE278">
        <v>-39.629278100000001</v>
      </c>
      <c r="AF278">
        <v>176.82124822</v>
      </c>
      <c r="AG278" s="175">
        <v>40</v>
      </c>
      <c r="AH278" s="175">
        <v>0</v>
      </c>
      <c r="AI278" s="175">
        <v>0</v>
      </c>
      <c r="AJ278" s="175">
        <v>0</v>
      </c>
      <c r="AK278" s="175">
        <v>8</v>
      </c>
      <c r="AL278" s="175">
        <v>15</v>
      </c>
      <c r="AM278" s="175">
        <v>9</v>
      </c>
      <c r="AN278" s="175">
        <v>1</v>
      </c>
      <c r="AO278" s="175">
        <v>33</v>
      </c>
      <c r="AP278" s="175">
        <v>3</v>
      </c>
      <c r="AQ278" s="175">
        <v>28</v>
      </c>
      <c r="AR278" s="175">
        <v>7</v>
      </c>
      <c r="AS278" s="175">
        <v>1</v>
      </c>
      <c r="AT278" s="175">
        <v>0</v>
      </c>
    </row>
    <row r="279" spans="1:46">
      <c r="A279">
        <v>5289</v>
      </c>
      <c r="B279" t="s">
        <v>2286</v>
      </c>
      <c r="C279" t="s">
        <v>2287</v>
      </c>
      <c r="E279" t="s">
        <v>2288</v>
      </c>
      <c r="G279" t="s">
        <v>2276</v>
      </c>
      <c r="H279" t="s">
        <v>452</v>
      </c>
      <c r="J279" t="s">
        <v>605</v>
      </c>
      <c r="K279" t="s">
        <v>606</v>
      </c>
      <c r="M279" t="s">
        <v>1382</v>
      </c>
      <c r="N279" t="s">
        <v>643</v>
      </c>
      <c r="O279" t="s">
        <v>2277</v>
      </c>
      <c r="P279" t="s">
        <v>670</v>
      </c>
      <c r="Q279" t="s">
        <v>513</v>
      </c>
      <c r="R279" t="s">
        <v>2164</v>
      </c>
      <c r="S279" t="s">
        <v>2278</v>
      </c>
      <c r="T279" t="s">
        <v>2165</v>
      </c>
      <c r="U279">
        <v>210700</v>
      </c>
      <c r="V279" t="s">
        <v>2289</v>
      </c>
      <c r="W279" t="s">
        <v>2279</v>
      </c>
      <c r="X279" t="s">
        <v>2280</v>
      </c>
      <c r="Y279" t="s">
        <v>2281</v>
      </c>
      <c r="Z279" t="s">
        <v>2282</v>
      </c>
      <c r="AA279" t="s">
        <v>2283</v>
      </c>
      <c r="AB279" t="s">
        <v>2284</v>
      </c>
      <c r="AC279">
        <v>99158</v>
      </c>
      <c r="AD279" t="s">
        <v>2290</v>
      </c>
      <c r="AE279">
        <v>-39.647380650000002</v>
      </c>
      <c r="AF279">
        <v>176.84232861999999</v>
      </c>
      <c r="AG279" s="175">
        <v>40</v>
      </c>
      <c r="AH279" s="175">
        <v>0</v>
      </c>
      <c r="AI279" s="175">
        <v>0</v>
      </c>
      <c r="AJ279" s="175">
        <v>0</v>
      </c>
      <c r="AK279" s="175">
        <v>6</v>
      </c>
      <c r="AL279" s="175">
        <v>15</v>
      </c>
      <c r="AM279" s="175">
        <v>19</v>
      </c>
      <c r="AN279" s="175">
        <v>3</v>
      </c>
      <c r="AO279" s="175">
        <v>43</v>
      </c>
      <c r="AP279" s="175">
        <v>19</v>
      </c>
      <c r="AQ279" s="175">
        <v>15</v>
      </c>
      <c r="AR279" s="175">
        <v>5</v>
      </c>
      <c r="AS279" s="175">
        <v>12</v>
      </c>
      <c r="AT279" s="175">
        <v>4</v>
      </c>
    </row>
    <row r="280" spans="1:46">
      <c r="A280">
        <v>5290</v>
      </c>
      <c r="B280" t="s">
        <v>2291</v>
      </c>
      <c r="C280" t="s">
        <v>2292</v>
      </c>
      <c r="D280" t="s">
        <v>2293</v>
      </c>
      <c r="E280" t="s">
        <v>2294</v>
      </c>
      <c r="G280" t="s">
        <v>2295</v>
      </c>
      <c r="H280" t="s">
        <v>452</v>
      </c>
      <c r="J280" t="s">
        <v>605</v>
      </c>
      <c r="K280" t="s">
        <v>606</v>
      </c>
      <c r="M280" t="s">
        <v>1382</v>
      </c>
      <c r="N280" t="s">
        <v>657</v>
      </c>
      <c r="O280" t="s">
        <v>2277</v>
      </c>
      <c r="P280" t="s">
        <v>1347</v>
      </c>
      <c r="Q280" t="s">
        <v>513</v>
      </c>
      <c r="R280" t="s">
        <v>2164</v>
      </c>
      <c r="S280" t="s">
        <v>2278</v>
      </c>
      <c r="T280" t="s">
        <v>2165</v>
      </c>
      <c r="U280">
        <v>211500</v>
      </c>
      <c r="V280" t="s">
        <v>2296</v>
      </c>
      <c r="W280" t="s">
        <v>2279</v>
      </c>
      <c r="X280" t="s">
        <v>2280</v>
      </c>
      <c r="Y280" t="s">
        <v>2281</v>
      </c>
      <c r="Z280" t="s">
        <v>2282</v>
      </c>
      <c r="AA280" t="s">
        <v>2283</v>
      </c>
      <c r="AB280" t="s">
        <v>2284</v>
      </c>
      <c r="AC280">
        <v>99022</v>
      </c>
      <c r="AD280" t="s">
        <v>2297</v>
      </c>
      <c r="AE280">
        <v>-39.667450610000003</v>
      </c>
      <c r="AF280">
        <v>176.88056215</v>
      </c>
      <c r="AG280" s="175">
        <v>40</v>
      </c>
      <c r="AH280" s="175">
        <v>0</v>
      </c>
      <c r="AI280" s="175">
        <v>0</v>
      </c>
      <c r="AJ280" s="175">
        <v>0</v>
      </c>
      <c r="AK280" s="175">
        <v>5</v>
      </c>
      <c r="AL280" s="175">
        <v>14</v>
      </c>
      <c r="AM280" s="175">
        <v>18</v>
      </c>
      <c r="AN280" s="175">
        <v>0</v>
      </c>
      <c r="AO280" s="175">
        <v>37</v>
      </c>
      <c r="AP280" s="175">
        <v>31</v>
      </c>
      <c r="AQ280" s="175">
        <v>4</v>
      </c>
      <c r="AR280" s="175">
        <v>2</v>
      </c>
      <c r="AS280" s="175">
        <v>3</v>
      </c>
      <c r="AT280" s="175">
        <v>3</v>
      </c>
    </row>
    <row r="281" spans="1:46">
      <c r="A281">
        <v>5291</v>
      </c>
      <c r="B281" t="s">
        <v>2298</v>
      </c>
      <c r="C281" t="s">
        <v>2299</v>
      </c>
      <c r="D281" t="s">
        <v>2300</v>
      </c>
      <c r="E281" t="s">
        <v>2301</v>
      </c>
      <c r="F281" t="s">
        <v>2302</v>
      </c>
      <c r="G281" t="s">
        <v>2276</v>
      </c>
      <c r="H281" t="s">
        <v>452</v>
      </c>
      <c r="J281" t="s">
        <v>605</v>
      </c>
      <c r="K281" t="s">
        <v>606</v>
      </c>
      <c r="M281" t="s">
        <v>1382</v>
      </c>
      <c r="N281" t="s">
        <v>812</v>
      </c>
      <c r="O281" t="s">
        <v>2277</v>
      </c>
      <c r="P281" t="s">
        <v>670</v>
      </c>
      <c r="Q281" t="s">
        <v>513</v>
      </c>
      <c r="R281" t="s">
        <v>2164</v>
      </c>
      <c r="S281" t="s">
        <v>2278</v>
      </c>
      <c r="T281" t="s">
        <v>2165</v>
      </c>
      <c r="U281">
        <v>209000</v>
      </c>
      <c r="V281" t="s">
        <v>2303</v>
      </c>
      <c r="W281" t="s">
        <v>2304</v>
      </c>
      <c r="X281" t="s">
        <v>2280</v>
      </c>
      <c r="Y281" t="s">
        <v>2281</v>
      </c>
      <c r="Z281" t="s">
        <v>2282</v>
      </c>
      <c r="AA281" t="s">
        <v>2283</v>
      </c>
      <c r="AB281" t="s">
        <v>2284</v>
      </c>
      <c r="AC281">
        <v>99135</v>
      </c>
      <c r="AD281" t="s">
        <v>2305</v>
      </c>
      <c r="AE281">
        <v>-39.618884549999997</v>
      </c>
      <c r="AF281">
        <v>176.78815666</v>
      </c>
      <c r="AG281" s="175">
        <v>40</v>
      </c>
      <c r="AH281" s="175">
        <v>0</v>
      </c>
      <c r="AI281" s="175">
        <v>0</v>
      </c>
      <c r="AJ281" s="175">
        <v>0</v>
      </c>
      <c r="AK281" s="175">
        <v>10</v>
      </c>
      <c r="AL281" s="175">
        <v>11</v>
      </c>
      <c r="AM281" s="175">
        <v>20</v>
      </c>
      <c r="AN281" s="175">
        <v>3</v>
      </c>
      <c r="AO281" s="175">
        <v>44</v>
      </c>
      <c r="AP281" s="175">
        <v>8</v>
      </c>
      <c r="AQ281" s="175">
        <v>28</v>
      </c>
      <c r="AR281" s="175">
        <v>21</v>
      </c>
      <c r="AS281" s="175">
        <v>3</v>
      </c>
      <c r="AT281" s="175">
        <v>0</v>
      </c>
    </row>
    <row r="282" spans="1:46">
      <c r="A282">
        <v>5292</v>
      </c>
      <c r="B282" t="s">
        <v>2306</v>
      </c>
      <c r="C282" t="s">
        <v>2307</v>
      </c>
      <c r="D282" t="s">
        <v>2308</v>
      </c>
      <c r="E282" t="s">
        <v>2309</v>
      </c>
      <c r="F282" t="s">
        <v>2302</v>
      </c>
      <c r="G282" t="s">
        <v>2276</v>
      </c>
      <c r="H282" t="s">
        <v>452</v>
      </c>
      <c r="J282" t="s">
        <v>605</v>
      </c>
      <c r="K282" t="s">
        <v>606</v>
      </c>
      <c r="M282" t="s">
        <v>1382</v>
      </c>
      <c r="N282" t="s">
        <v>812</v>
      </c>
      <c r="O282" t="s">
        <v>2277</v>
      </c>
      <c r="P282" t="s">
        <v>670</v>
      </c>
      <c r="Q282" t="s">
        <v>513</v>
      </c>
      <c r="R282" t="s">
        <v>2164</v>
      </c>
      <c r="S282" t="s">
        <v>2278</v>
      </c>
      <c r="T282" t="s">
        <v>2165</v>
      </c>
      <c r="U282">
        <v>209201</v>
      </c>
      <c r="V282" t="s">
        <v>2310</v>
      </c>
      <c r="W282" t="s">
        <v>2304</v>
      </c>
      <c r="X282" t="s">
        <v>2280</v>
      </c>
      <c r="Y282" t="s">
        <v>2281</v>
      </c>
      <c r="Z282" t="s">
        <v>2282</v>
      </c>
      <c r="AA282" t="s">
        <v>2283</v>
      </c>
      <c r="AB282" t="s">
        <v>2284</v>
      </c>
      <c r="AC282">
        <v>99135</v>
      </c>
      <c r="AD282" t="s">
        <v>2305</v>
      </c>
      <c r="AE282">
        <v>-39.628323909999999</v>
      </c>
      <c r="AF282">
        <v>176.79065069999999</v>
      </c>
      <c r="AG282" s="175">
        <v>40</v>
      </c>
      <c r="AH282" s="175">
        <v>0</v>
      </c>
      <c r="AI282" s="175">
        <v>0</v>
      </c>
      <c r="AJ282" s="175">
        <v>0</v>
      </c>
      <c r="AK282" s="175">
        <v>3</v>
      </c>
      <c r="AL282" s="175">
        <v>18</v>
      </c>
      <c r="AM282" s="175">
        <v>19</v>
      </c>
      <c r="AN282" s="175">
        <v>1</v>
      </c>
      <c r="AO282" s="175">
        <v>41</v>
      </c>
      <c r="AP282" s="175">
        <v>5</v>
      </c>
      <c r="AQ282" s="175">
        <v>33</v>
      </c>
      <c r="AR282" s="175">
        <v>16</v>
      </c>
      <c r="AS282" s="175">
        <v>0</v>
      </c>
      <c r="AT282" s="175">
        <v>0</v>
      </c>
    </row>
    <row r="283" spans="1:46">
      <c r="A283">
        <v>5293</v>
      </c>
      <c r="B283" t="s">
        <v>2311</v>
      </c>
      <c r="C283" t="s">
        <v>2312</v>
      </c>
      <c r="E283" t="s">
        <v>2313</v>
      </c>
      <c r="F283" t="s">
        <v>2302</v>
      </c>
      <c r="G283" t="s">
        <v>2276</v>
      </c>
      <c r="H283" t="s">
        <v>452</v>
      </c>
      <c r="J283" t="s">
        <v>605</v>
      </c>
      <c r="K283" t="s">
        <v>606</v>
      </c>
      <c r="M283" t="s">
        <v>1382</v>
      </c>
      <c r="N283" t="s">
        <v>812</v>
      </c>
      <c r="O283" t="s">
        <v>2277</v>
      </c>
      <c r="P283" t="s">
        <v>670</v>
      </c>
      <c r="Q283" t="s">
        <v>513</v>
      </c>
      <c r="R283" t="s">
        <v>2164</v>
      </c>
      <c r="S283" t="s">
        <v>2278</v>
      </c>
      <c r="T283" t="s">
        <v>2165</v>
      </c>
      <c r="U283">
        <v>209100</v>
      </c>
      <c r="V283" t="s">
        <v>2314</v>
      </c>
      <c r="W283" t="s">
        <v>2304</v>
      </c>
      <c r="X283" t="s">
        <v>2280</v>
      </c>
      <c r="Y283" t="s">
        <v>2281</v>
      </c>
      <c r="Z283" t="s">
        <v>2282</v>
      </c>
      <c r="AA283" t="s">
        <v>2283</v>
      </c>
      <c r="AB283" t="s">
        <v>2284</v>
      </c>
      <c r="AC283">
        <v>99135</v>
      </c>
      <c r="AD283" t="s">
        <v>2305</v>
      </c>
      <c r="AE283">
        <v>-39.629024710000003</v>
      </c>
      <c r="AF283">
        <v>176.78359405</v>
      </c>
      <c r="AG283" s="175">
        <v>40</v>
      </c>
      <c r="AH283" s="175">
        <v>0</v>
      </c>
      <c r="AI283" s="175">
        <v>0</v>
      </c>
      <c r="AJ283" s="175">
        <v>0</v>
      </c>
      <c r="AK283" s="175">
        <v>7</v>
      </c>
      <c r="AL283" s="175">
        <v>10</v>
      </c>
      <c r="AM283" s="175">
        <v>18</v>
      </c>
      <c r="AN283" s="175">
        <v>1</v>
      </c>
      <c r="AO283" s="175">
        <v>36</v>
      </c>
      <c r="AP283" s="175">
        <v>13</v>
      </c>
      <c r="AQ283" s="175">
        <v>21</v>
      </c>
      <c r="AR283" s="175">
        <v>12</v>
      </c>
      <c r="AS283" s="175">
        <v>1</v>
      </c>
      <c r="AT283" s="175">
        <v>0</v>
      </c>
    </row>
    <row r="284" spans="1:46">
      <c r="A284">
        <v>5294</v>
      </c>
      <c r="B284" t="s">
        <v>2315</v>
      </c>
      <c r="C284" t="s">
        <v>2316</v>
      </c>
      <c r="E284" t="s">
        <v>2317</v>
      </c>
      <c r="G284" t="s">
        <v>2295</v>
      </c>
      <c r="H284" t="s">
        <v>452</v>
      </c>
      <c r="J284" t="s">
        <v>605</v>
      </c>
      <c r="K284" t="s">
        <v>606</v>
      </c>
      <c r="M284" t="s">
        <v>1382</v>
      </c>
      <c r="N284" t="s">
        <v>643</v>
      </c>
      <c r="O284" t="s">
        <v>2277</v>
      </c>
      <c r="P284" t="s">
        <v>1347</v>
      </c>
      <c r="Q284" t="s">
        <v>513</v>
      </c>
      <c r="R284" t="s">
        <v>2164</v>
      </c>
      <c r="S284" t="s">
        <v>2278</v>
      </c>
      <c r="T284" t="s">
        <v>2165</v>
      </c>
      <c r="U284">
        <v>211401</v>
      </c>
      <c r="V284" t="s">
        <v>2318</v>
      </c>
      <c r="W284" t="s">
        <v>2279</v>
      </c>
      <c r="X284" t="s">
        <v>2280</v>
      </c>
      <c r="Y284" t="s">
        <v>2281</v>
      </c>
      <c r="Z284" t="s">
        <v>2282</v>
      </c>
      <c r="AA284" t="s">
        <v>2283</v>
      </c>
      <c r="AB284" t="s">
        <v>2284</v>
      </c>
      <c r="AC284">
        <v>99022</v>
      </c>
      <c r="AD284" t="s">
        <v>2297</v>
      </c>
      <c r="AE284">
        <v>-39.67137657</v>
      </c>
      <c r="AF284">
        <v>176.86634642999999</v>
      </c>
      <c r="AG284" s="175">
        <v>40</v>
      </c>
      <c r="AH284" s="175">
        <v>0</v>
      </c>
      <c r="AI284" s="175">
        <v>0</v>
      </c>
      <c r="AJ284" s="175">
        <v>0</v>
      </c>
      <c r="AK284" s="175">
        <v>9</v>
      </c>
      <c r="AL284" s="175">
        <v>23</v>
      </c>
      <c r="AM284" s="175">
        <v>14</v>
      </c>
      <c r="AN284" s="175">
        <v>0</v>
      </c>
      <c r="AO284" s="175">
        <v>46</v>
      </c>
      <c r="AP284" s="175">
        <v>37</v>
      </c>
      <c r="AQ284" s="175">
        <v>8</v>
      </c>
      <c r="AR284" s="175">
        <v>3</v>
      </c>
      <c r="AS284" s="175">
        <v>5</v>
      </c>
      <c r="AT284" s="175">
        <v>3</v>
      </c>
    </row>
    <row r="285" spans="1:46">
      <c r="A285">
        <v>5295</v>
      </c>
      <c r="B285" t="s">
        <v>2319</v>
      </c>
      <c r="C285" t="s">
        <v>2320</v>
      </c>
      <c r="D285" t="s">
        <v>2321</v>
      </c>
      <c r="E285" t="s">
        <v>2322</v>
      </c>
      <c r="F285" t="s">
        <v>2323</v>
      </c>
      <c r="G285" t="s">
        <v>2276</v>
      </c>
      <c r="H285" t="s">
        <v>452</v>
      </c>
      <c r="J285" t="s">
        <v>605</v>
      </c>
      <c r="K285" t="s">
        <v>606</v>
      </c>
      <c r="M285" t="s">
        <v>1382</v>
      </c>
      <c r="N285" t="s">
        <v>643</v>
      </c>
      <c r="O285" t="s">
        <v>2277</v>
      </c>
      <c r="P285" t="s">
        <v>670</v>
      </c>
      <c r="Q285" t="s">
        <v>513</v>
      </c>
      <c r="R285" t="s">
        <v>2164</v>
      </c>
      <c r="S285" t="s">
        <v>2278</v>
      </c>
      <c r="T285" t="s">
        <v>2165</v>
      </c>
      <c r="U285">
        <v>209800</v>
      </c>
      <c r="V285" t="s">
        <v>2323</v>
      </c>
      <c r="W285" t="s">
        <v>2279</v>
      </c>
      <c r="X285" t="s">
        <v>2280</v>
      </c>
      <c r="Y285" t="s">
        <v>2281</v>
      </c>
      <c r="Z285" t="s">
        <v>2282</v>
      </c>
      <c r="AA285" t="s">
        <v>2283</v>
      </c>
      <c r="AB285" t="s">
        <v>2284</v>
      </c>
      <c r="AC285">
        <v>99159</v>
      </c>
      <c r="AD285" t="s">
        <v>2285</v>
      </c>
      <c r="AE285">
        <v>-39.627213910000002</v>
      </c>
      <c r="AF285">
        <v>176.84676535</v>
      </c>
      <c r="AG285" s="175">
        <v>40</v>
      </c>
      <c r="AH285" s="175">
        <v>0</v>
      </c>
      <c r="AI285" s="175">
        <v>0</v>
      </c>
      <c r="AJ285" s="175">
        <v>0</v>
      </c>
      <c r="AK285" s="175">
        <v>10</v>
      </c>
      <c r="AL285" s="175">
        <v>16</v>
      </c>
      <c r="AM285" s="175">
        <v>21</v>
      </c>
      <c r="AN285" s="175">
        <v>2</v>
      </c>
      <c r="AO285" s="175">
        <v>49</v>
      </c>
      <c r="AP285" s="175">
        <v>33</v>
      </c>
      <c r="AQ285" s="175">
        <v>17</v>
      </c>
      <c r="AR285" s="175">
        <v>4</v>
      </c>
      <c r="AS285" s="175">
        <v>11</v>
      </c>
      <c r="AT285" s="175">
        <v>2</v>
      </c>
    </row>
    <row r="286" spans="1:46">
      <c r="A286">
        <v>5296</v>
      </c>
      <c r="B286" t="s">
        <v>2324</v>
      </c>
      <c r="C286" t="s">
        <v>2325</v>
      </c>
      <c r="E286" t="s">
        <v>2326</v>
      </c>
      <c r="F286" t="s">
        <v>2282</v>
      </c>
      <c r="G286" t="s">
        <v>2276</v>
      </c>
      <c r="H286" t="s">
        <v>452</v>
      </c>
      <c r="J286" t="s">
        <v>605</v>
      </c>
      <c r="K286" t="s">
        <v>606</v>
      </c>
      <c r="M286" t="s">
        <v>1382</v>
      </c>
      <c r="N286" t="s">
        <v>608</v>
      </c>
      <c r="O286" t="s">
        <v>2277</v>
      </c>
      <c r="P286" t="s">
        <v>670</v>
      </c>
      <c r="Q286" t="s">
        <v>513</v>
      </c>
      <c r="R286" t="s">
        <v>2164</v>
      </c>
      <c r="S286" t="s">
        <v>2278</v>
      </c>
      <c r="T286" t="s">
        <v>2165</v>
      </c>
      <c r="U286">
        <v>210900</v>
      </c>
      <c r="V286" t="s">
        <v>2282</v>
      </c>
      <c r="W286" t="s">
        <v>2279</v>
      </c>
      <c r="X286" t="s">
        <v>2280</v>
      </c>
      <c r="Y286" t="s">
        <v>2281</v>
      </c>
      <c r="Z286" t="s">
        <v>2282</v>
      </c>
      <c r="AA286" t="s">
        <v>2283</v>
      </c>
      <c r="AB286" t="s">
        <v>2284</v>
      </c>
      <c r="AE286">
        <v>-39.639305139999998</v>
      </c>
      <c r="AF286">
        <v>176.86518536</v>
      </c>
      <c r="AG286" s="175">
        <v>40</v>
      </c>
      <c r="AH286" s="175">
        <v>0</v>
      </c>
      <c r="AI286" s="175">
        <v>0</v>
      </c>
      <c r="AJ286" s="175">
        <v>0</v>
      </c>
      <c r="AK286" s="175">
        <v>10</v>
      </c>
      <c r="AL286" s="175">
        <v>8</v>
      </c>
      <c r="AM286" s="175">
        <v>13</v>
      </c>
      <c r="AN286" s="175">
        <v>1</v>
      </c>
      <c r="AO286" s="175">
        <v>32</v>
      </c>
      <c r="AP286" s="175">
        <v>11</v>
      </c>
      <c r="AQ286" s="175">
        <v>26</v>
      </c>
      <c r="AR286" s="175">
        <v>3</v>
      </c>
      <c r="AS286" s="175">
        <v>2</v>
      </c>
      <c r="AT286" s="175">
        <v>0</v>
      </c>
    </row>
    <row r="287" spans="1:46">
      <c r="A287">
        <v>5297</v>
      </c>
      <c r="B287" t="s">
        <v>2327</v>
      </c>
      <c r="C287" t="s">
        <v>2328</v>
      </c>
      <c r="D287" t="s">
        <v>2329</v>
      </c>
      <c r="E287" t="s">
        <v>2330</v>
      </c>
      <c r="F287" t="s">
        <v>2331</v>
      </c>
      <c r="G287" t="s">
        <v>2276</v>
      </c>
      <c r="H287" t="s">
        <v>452</v>
      </c>
      <c r="J287" t="s">
        <v>605</v>
      </c>
      <c r="K287" t="s">
        <v>606</v>
      </c>
      <c r="M287" t="s">
        <v>1382</v>
      </c>
      <c r="N287" t="s">
        <v>643</v>
      </c>
      <c r="O287" t="s">
        <v>2277</v>
      </c>
      <c r="P287" t="s">
        <v>670</v>
      </c>
      <c r="Q287" t="s">
        <v>513</v>
      </c>
      <c r="R287" t="s">
        <v>2164</v>
      </c>
      <c r="S287" t="s">
        <v>2278</v>
      </c>
      <c r="T287" t="s">
        <v>2165</v>
      </c>
      <c r="U287">
        <v>211000</v>
      </c>
      <c r="V287" t="s">
        <v>2332</v>
      </c>
      <c r="W287" t="s">
        <v>2279</v>
      </c>
      <c r="X287" t="s">
        <v>2280</v>
      </c>
      <c r="Y287" t="s">
        <v>2281</v>
      </c>
      <c r="Z287" t="s">
        <v>2282</v>
      </c>
      <c r="AA287" t="s">
        <v>2283</v>
      </c>
      <c r="AB287" t="s">
        <v>2284</v>
      </c>
      <c r="AC287">
        <v>99158</v>
      </c>
      <c r="AD287" t="s">
        <v>2290</v>
      </c>
      <c r="AE287">
        <v>-39.651811960000003</v>
      </c>
      <c r="AF287">
        <v>176.85241306</v>
      </c>
      <c r="AG287" s="175">
        <v>40</v>
      </c>
      <c r="AH287" s="175">
        <v>0</v>
      </c>
      <c r="AI287" s="175">
        <v>0</v>
      </c>
      <c r="AJ287" s="175">
        <v>0</v>
      </c>
      <c r="AK287" s="175">
        <v>7</v>
      </c>
      <c r="AL287" s="175">
        <v>17</v>
      </c>
      <c r="AM287" s="175">
        <v>16</v>
      </c>
      <c r="AN287" s="175">
        <v>2</v>
      </c>
      <c r="AO287" s="175">
        <v>42</v>
      </c>
      <c r="AP287" s="175">
        <v>33</v>
      </c>
      <c r="AQ287" s="175">
        <v>9</v>
      </c>
      <c r="AR287" s="175">
        <v>6</v>
      </c>
      <c r="AS287" s="175">
        <v>5</v>
      </c>
      <c r="AT287" s="175">
        <v>2</v>
      </c>
    </row>
    <row r="288" spans="1:46">
      <c r="A288">
        <v>5298</v>
      </c>
      <c r="B288" t="s">
        <v>2333</v>
      </c>
      <c r="C288" t="s">
        <v>2334</v>
      </c>
      <c r="D288" t="s">
        <v>2335</v>
      </c>
      <c r="E288" t="s">
        <v>2336</v>
      </c>
      <c r="F288" t="s">
        <v>2337</v>
      </c>
      <c r="G288" t="s">
        <v>2276</v>
      </c>
      <c r="H288" t="s">
        <v>452</v>
      </c>
      <c r="J288" t="s">
        <v>605</v>
      </c>
      <c r="K288" t="s">
        <v>606</v>
      </c>
      <c r="M288" t="s">
        <v>1382</v>
      </c>
      <c r="N288" t="s">
        <v>608</v>
      </c>
      <c r="O288" t="s">
        <v>2277</v>
      </c>
      <c r="P288" t="s">
        <v>670</v>
      </c>
      <c r="Q288" t="s">
        <v>513</v>
      </c>
      <c r="R288" t="s">
        <v>2164</v>
      </c>
      <c r="S288" t="s">
        <v>2278</v>
      </c>
      <c r="T288" t="s">
        <v>2165</v>
      </c>
      <c r="U288">
        <v>209901</v>
      </c>
      <c r="V288" t="s">
        <v>2337</v>
      </c>
      <c r="W288" t="s">
        <v>2279</v>
      </c>
      <c r="X288" t="s">
        <v>2280</v>
      </c>
      <c r="Y288" t="s">
        <v>2281</v>
      </c>
      <c r="Z288" t="s">
        <v>2282</v>
      </c>
      <c r="AA288" t="s">
        <v>2283</v>
      </c>
      <c r="AB288" t="s">
        <v>2284</v>
      </c>
      <c r="AC288">
        <v>99159</v>
      </c>
      <c r="AD288" t="s">
        <v>2285</v>
      </c>
      <c r="AE288">
        <v>-39.643225800000003</v>
      </c>
      <c r="AF288">
        <v>176.8253425</v>
      </c>
      <c r="AG288" s="175">
        <v>40</v>
      </c>
      <c r="AH288" s="175">
        <v>0</v>
      </c>
      <c r="AI288" s="175">
        <v>0</v>
      </c>
      <c r="AJ288" s="175">
        <v>0</v>
      </c>
      <c r="AK288" s="175">
        <v>15</v>
      </c>
      <c r="AL288" s="175">
        <v>17</v>
      </c>
      <c r="AM288" s="175">
        <v>12</v>
      </c>
      <c r="AN288" s="175">
        <v>1</v>
      </c>
      <c r="AO288" s="175">
        <v>45</v>
      </c>
      <c r="AP288" s="175">
        <v>28</v>
      </c>
      <c r="AQ288" s="175">
        <v>26</v>
      </c>
      <c r="AR288" s="175">
        <v>8</v>
      </c>
      <c r="AS288" s="175">
        <v>5</v>
      </c>
      <c r="AT288" s="175">
        <v>1</v>
      </c>
    </row>
    <row r="289" spans="1:46">
      <c r="A289">
        <v>5299</v>
      </c>
      <c r="B289" t="s">
        <v>2338</v>
      </c>
      <c r="C289" t="s">
        <v>2339</v>
      </c>
      <c r="D289" t="s">
        <v>2340</v>
      </c>
      <c r="E289" t="s">
        <v>2341</v>
      </c>
      <c r="G289" t="s">
        <v>2295</v>
      </c>
      <c r="H289" t="s">
        <v>452</v>
      </c>
      <c r="J289" t="s">
        <v>605</v>
      </c>
      <c r="K289" t="s">
        <v>606</v>
      </c>
      <c r="M289" t="s">
        <v>1382</v>
      </c>
      <c r="N289" t="s">
        <v>657</v>
      </c>
      <c r="O289" t="s">
        <v>2277</v>
      </c>
      <c r="P289" t="s">
        <v>1347</v>
      </c>
      <c r="Q289" t="s">
        <v>513</v>
      </c>
      <c r="R289" t="s">
        <v>2164</v>
      </c>
      <c r="S289" t="s">
        <v>2278</v>
      </c>
      <c r="T289" t="s">
        <v>2165</v>
      </c>
      <c r="U289">
        <v>211500</v>
      </c>
      <c r="V289" t="s">
        <v>2296</v>
      </c>
      <c r="W289" t="s">
        <v>2279</v>
      </c>
      <c r="X289" t="s">
        <v>2280</v>
      </c>
      <c r="Y289" t="s">
        <v>2281</v>
      </c>
      <c r="Z289" t="s">
        <v>2282</v>
      </c>
      <c r="AA289" t="s">
        <v>2283</v>
      </c>
      <c r="AB289" t="s">
        <v>2284</v>
      </c>
      <c r="AC289">
        <v>99022</v>
      </c>
      <c r="AD289" t="s">
        <v>2297</v>
      </c>
      <c r="AE289">
        <v>-39.668233350000001</v>
      </c>
      <c r="AF289">
        <v>176.89773833000001</v>
      </c>
      <c r="AG289" s="175">
        <v>40</v>
      </c>
      <c r="AH289" s="175">
        <v>0</v>
      </c>
      <c r="AI289" s="175">
        <v>0</v>
      </c>
      <c r="AJ289" s="175">
        <v>0</v>
      </c>
      <c r="AK289" s="175">
        <v>0</v>
      </c>
      <c r="AL289" s="175">
        <v>15</v>
      </c>
      <c r="AM289" s="175">
        <v>24</v>
      </c>
      <c r="AN289" s="175">
        <v>0</v>
      </c>
      <c r="AO289" s="175">
        <v>39</v>
      </c>
      <c r="AP289" s="175">
        <v>39</v>
      </c>
      <c r="AQ289" s="175">
        <v>4</v>
      </c>
      <c r="AR289" s="175">
        <v>0</v>
      </c>
      <c r="AS289" s="175">
        <v>2</v>
      </c>
      <c r="AT289" s="175">
        <v>0</v>
      </c>
    </row>
    <row r="290" spans="1:46">
      <c r="A290">
        <v>5300</v>
      </c>
      <c r="B290" t="s">
        <v>2342</v>
      </c>
      <c r="C290" t="s">
        <v>2343</v>
      </c>
      <c r="D290" t="s">
        <v>2344</v>
      </c>
      <c r="E290" t="s">
        <v>2345</v>
      </c>
      <c r="G290" t="s">
        <v>2346</v>
      </c>
      <c r="H290" t="s">
        <v>452</v>
      </c>
      <c r="J290" t="s">
        <v>605</v>
      </c>
      <c r="K290" t="s">
        <v>606</v>
      </c>
      <c r="M290" t="s">
        <v>1382</v>
      </c>
      <c r="N290" t="s">
        <v>643</v>
      </c>
      <c r="O290" t="s">
        <v>2347</v>
      </c>
      <c r="P290" t="s">
        <v>610</v>
      </c>
      <c r="Q290" t="s">
        <v>513</v>
      </c>
      <c r="R290" t="s">
        <v>2164</v>
      </c>
      <c r="S290" t="s">
        <v>2348</v>
      </c>
      <c r="T290" t="s">
        <v>2165</v>
      </c>
      <c r="U290">
        <v>215801</v>
      </c>
      <c r="V290" t="s">
        <v>2349</v>
      </c>
      <c r="W290" t="s">
        <v>2350</v>
      </c>
      <c r="X290" t="s">
        <v>2280</v>
      </c>
      <c r="Y290" t="s">
        <v>2281</v>
      </c>
      <c r="Z290" t="s">
        <v>2282</v>
      </c>
      <c r="AA290" t="s">
        <v>2283</v>
      </c>
      <c r="AB290" t="s">
        <v>2284</v>
      </c>
      <c r="AC290">
        <v>99160</v>
      </c>
      <c r="AD290" t="s">
        <v>2351</v>
      </c>
      <c r="AE290">
        <v>-39.996564450000001</v>
      </c>
      <c r="AF290">
        <v>176.55118557</v>
      </c>
      <c r="AG290" s="175">
        <v>40</v>
      </c>
      <c r="AH290" s="175">
        <v>0</v>
      </c>
      <c r="AI290" s="175">
        <v>0</v>
      </c>
      <c r="AJ290" s="175">
        <v>0</v>
      </c>
      <c r="AK290" s="175">
        <v>5</v>
      </c>
      <c r="AL290" s="175">
        <v>22</v>
      </c>
      <c r="AM290" s="175">
        <v>18</v>
      </c>
      <c r="AN290" s="175">
        <v>0</v>
      </c>
      <c r="AO290" s="175">
        <v>45</v>
      </c>
      <c r="AP290" s="175">
        <v>36</v>
      </c>
      <c r="AQ290" s="175">
        <v>16</v>
      </c>
      <c r="AR290" s="175">
        <v>1</v>
      </c>
      <c r="AS290" s="175">
        <v>0</v>
      </c>
      <c r="AT290" s="175">
        <v>4</v>
      </c>
    </row>
    <row r="291" spans="1:46">
      <c r="A291">
        <v>5301</v>
      </c>
      <c r="B291" t="s">
        <v>2352</v>
      </c>
      <c r="C291" t="s">
        <v>2353</v>
      </c>
      <c r="E291" t="s">
        <v>2354</v>
      </c>
      <c r="G291" t="s">
        <v>2346</v>
      </c>
      <c r="H291" t="s">
        <v>452</v>
      </c>
      <c r="J291" t="s">
        <v>605</v>
      </c>
      <c r="K291" t="s">
        <v>606</v>
      </c>
      <c r="M291" t="s">
        <v>1382</v>
      </c>
      <c r="N291" t="s">
        <v>625</v>
      </c>
      <c r="O291" t="s">
        <v>2347</v>
      </c>
      <c r="P291" t="s">
        <v>610</v>
      </c>
      <c r="Q291" t="s">
        <v>513</v>
      </c>
      <c r="R291" t="s">
        <v>2164</v>
      </c>
      <c r="S291" t="s">
        <v>2348</v>
      </c>
      <c r="T291" t="s">
        <v>2165</v>
      </c>
      <c r="U291">
        <v>215801</v>
      </c>
      <c r="V291" t="s">
        <v>2349</v>
      </c>
      <c r="W291" t="s">
        <v>2350</v>
      </c>
      <c r="X291" t="s">
        <v>2280</v>
      </c>
      <c r="Y291" t="s">
        <v>2281</v>
      </c>
      <c r="Z291" t="s">
        <v>2282</v>
      </c>
      <c r="AA291" t="s">
        <v>2283</v>
      </c>
      <c r="AB291" t="s">
        <v>2284</v>
      </c>
      <c r="AC291">
        <v>99160</v>
      </c>
      <c r="AD291" t="s">
        <v>2351</v>
      </c>
      <c r="AE291">
        <v>-40.006774249999999</v>
      </c>
      <c r="AF291">
        <v>176.54525770000001</v>
      </c>
      <c r="AG291" s="175">
        <v>40</v>
      </c>
      <c r="AH291" s="175">
        <v>0</v>
      </c>
      <c r="AI291" s="175">
        <v>0</v>
      </c>
      <c r="AJ291" s="175">
        <v>0</v>
      </c>
      <c r="AK291" s="175">
        <v>12</v>
      </c>
      <c r="AL291" s="175">
        <v>17</v>
      </c>
      <c r="AM291" s="175">
        <v>25</v>
      </c>
      <c r="AN291" s="175">
        <v>2</v>
      </c>
      <c r="AO291" s="175">
        <v>56</v>
      </c>
      <c r="AP291" s="175">
        <v>48</v>
      </c>
      <c r="AQ291" s="175">
        <v>18</v>
      </c>
      <c r="AR291" s="175">
        <v>0</v>
      </c>
      <c r="AS291" s="175">
        <v>1</v>
      </c>
      <c r="AT291" s="175">
        <v>3</v>
      </c>
    </row>
    <row r="292" spans="1:46">
      <c r="A292">
        <v>5302</v>
      </c>
      <c r="B292" t="s">
        <v>2355</v>
      </c>
      <c r="C292" t="s">
        <v>2356</v>
      </c>
      <c r="E292" t="s">
        <v>2357</v>
      </c>
      <c r="G292" t="s">
        <v>2358</v>
      </c>
      <c r="H292" t="s">
        <v>452</v>
      </c>
      <c r="J292" t="s">
        <v>605</v>
      </c>
      <c r="K292" t="s">
        <v>606</v>
      </c>
      <c r="M292" t="s">
        <v>1382</v>
      </c>
      <c r="N292" t="s">
        <v>657</v>
      </c>
      <c r="O292" t="s">
        <v>2347</v>
      </c>
      <c r="P292" t="s">
        <v>610</v>
      </c>
      <c r="Q292" t="s">
        <v>513</v>
      </c>
      <c r="R292" t="s">
        <v>2164</v>
      </c>
      <c r="S292" t="s">
        <v>2348</v>
      </c>
      <c r="T292" t="s">
        <v>2165</v>
      </c>
      <c r="U292">
        <v>215700</v>
      </c>
      <c r="V292" t="s">
        <v>2359</v>
      </c>
      <c r="W292" t="s">
        <v>2350</v>
      </c>
      <c r="X292" t="s">
        <v>2280</v>
      </c>
      <c r="Y292" t="s">
        <v>2281</v>
      </c>
      <c r="Z292" t="s">
        <v>2282</v>
      </c>
      <c r="AA292" t="s">
        <v>2283</v>
      </c>
      <c r="AB292" t="s">
        <v>2284</v>
      </c>
      <c r="AC292">
        <v>99161</v>
      </c>
      <c r="AD292" t="s">
        <v>2360</v>
      </c>
      <c r="AE292">
        <v>-39.941963149999999</v>
      </c>
      <c r="AF292">
        <v>176.58584067000001</v>
      </c>
      <c r="AG292" s="175">
        <v>40</v>
      </c>
      <c r="AH292" s="175">
        <v>0</v>
      </c>
      <c r="AI292" s="175">
        <v>0</v>
      </c>
      <c r="AJ292" s="175">
        <v>0</v>
      </c>
      <c r="AK292" s="175">
        <v>7</v>
      </c>
      <c r="AL292" s="175">
        <v>18</v>
      </c>
      <c r="AM292" s="175">
        <v>27</v>
      </c>
      <c r="AN292" s="175">
        <v>0</v>
      </c>
      <c r="AO292" s="175">
        <v>52</v>
      </c>
      <c r="AP292" s="175">
        <v>47</v>
      </c>
      <c r="AQ292" s="175">
        <v>14</v>
      </c>
      <c r="AR292" s="175">
        <v>4</v>
      </c>
      <c r="AS292" s="175">
        <v>1</v>
      </c>
      <c r="AT292" s="175">
        <v>0</v>
      </c>
    </row>
    <row r="293" spans="1:46">
      <c r="A293">
        <v>5303</v>
      </c>
      <c r="B293" t="s">
        <v>2361</v>
      </c>
      <c r="C293" t="s">
        <v>2362</v>
      </c>
      <c r="D293" t="s">
        <v>2363</v>
      </c>
      <c r="E293" t="s">
        <v>2364</v>
      </c>
      <c r="G293" t="s">
        <v>2365</v>
      </c>
      <c r="H293" t="s">
        <v>452</v>
      </c>
      <c r="J293" t="s">
        <v>605</v>
      </c>
      <c r="K293" t="s">
        <v>606</v>
      </c>
      <c r="M293" t="s">
        <v>2366</v>
      </c>
      <c r="N293" t="s">
        <v>643</v>
      </c>
      <c r="O293" t="s">
        <v>2367</v>
      </c>
      <c r="P293" t="s">
        <v>610</v>
      </c>
      <c r="Q293" t="s">
        <v>553</v>
      </c>
      <c r="R293" t="s">
        <v>2368</v>
      </c>
      <c r="S293" t="s">
        <v>2348</v>
      </c>
      <c r="T293" t="s">
        <v>2165</v>
      </c>
      <c r="U293">
        <v>233200</v>
      </c>
      <c r="V293" t="s">
        <v>2369</v>
      </c>
      <c r="W293" t="s">
        <v>2370</v>
      </c>
      <c r="X293" t="s">
        <v>2371</v>
      </c>
      <c r="Y293" t="s">
        <v>2372</v>
      </c>
      <c r="Z293" t="s">
        <v>2365</v>
      </c>
      <c r="AA293" t="s">
        <v>2373</v>
      </c>
      <c r="AB293" t="s">
        <v>2374</v>
      </c>
      <c r="AC293">
        <v>99047</v>
      </c>
      <c r="AD293" t="s">
        <v>2375</v>
      </c>
      <c r="AE293">
        <v>-40.193246549999998</v>
      </c>
      <c r="AF293">
        <v>176.10302490999999</v>
      </c>
      <c r="AG293" s="175">
        <v>40</v>
      </c>
      <c r="AH293" s="175">
        <v>0</v>
      </c>
      <c r="AI293" s="175">
        <v>0</v>
      </c>
      <c r="AJ293" s="175">
        <v>0</v>
      </c>
      <c r="AK293" s="175">
        <v>5</v>
      </c>
      <c r="AL293" s="175">
        <v>20</v>
      </c>
      <c r="AM293" s="175">
        <v>15</v>
      </c>
      <c r="AN293" s="175">
        <v>2</v>
      </c>
      <c r="AO293" s="175">
        <v>42</v>
      </c>
      <c r="AP293" s="175">
        <v>37</v>
      </c>
      <c r="AQ293" s="175">
        <v>19</v>
      </c>
      <c r="AR293" s="175">
        <v>1</v>
      </c>
      <c r="AS293" s="175">
        <v>2</v>
      </c>
      <c r="AT293" s="175">
        <v>0</v>
      </c>
    </row>
    <row r="294" spans="1:46">
      <c r="A294">
        <v>5304</v>
      </c>
      <c r="B294" t="s">
        <v>2376</v>
      </c>
      <c r="C294" t="s">
        <v>2377</v>
      </c>
      <c r="D294" t="s">
        <v>2378</v>
      </c>
      <c r="E294" t="s">
        <v>2379</v>
      </c>
      <c r="G294" t="s">
        <v>2365</v>
      </c>
      <c r="H294" t="s">
        <v>452</v>
      </c>
      <c r="J294" t="s">
        <v>605</v>
      </c>
      <c r="K294" t="s">
        <v>606</v>
      </c>
      <c r="M294" t="s">
        <v>2366</v>
      </c>
      <c r="N294" t="s">
        <v>643</v>
      </c>
      <c r="O294" t="s">
        <v>2367</v>
      </c>
      <c r="P294" t="s">
        <v>610</v>
      </c>
      <c r="Q294" t="s">
        <v>553</v>
      </c>
      <c r="R294" t="s">
        <v>2368</v>
      </c>
      <c r="S294" t="s">
        <v>2348</v>
      </c>
      <c r="T294" t="s">
        <v>2165</v>
      </c>
      <c r="U294">
        <v>233300</v>
      </c>
      <c r="V294" t="s">
        <v>2380</v>
      </c>
      <c r="W294" t="s">
        <v>2370</v>
      </c>
      <c r="X294" t="s">
        <v>2371</v>
      </c>
      <c r="Y294" t="s">
        <v>2372</v>
      </c>
      <c r="Z294" t="s">
        <v>2365</v>
      </c>
      <c r="AA294" t="s">
        <v>2373</v>
      </c>
      <c r="AB294" t="s">
        <v>2374</v>
      </c>
      <c r="AC294">
        <v>99047</v>
      </c>
      <c r="AD294" t="s">
        <v>2375</v>
      </c>
      <c r="AE294">
        <v>-40.204260959999999</v>
      </c>
      <c r="AF294">
        <v>176.10968825</v>
      </c>
      <c r="AG294" s="175">
        <v>40</v>
      </c>
      <c r="AH294" s="175">
        <v>0</v>
      </c>
      <c r="AI294" s="175">
        <v>0</v>
      </c>
      <c r="AJ294" s="175">
        <v>0</v>
      </c>
      <c r="AK294" s="175">
        <v>5</v>
      </c>
      <c r="AL294" s="175">
        <v>12</v>
      </c>
      <c r="AM294" s="175">
        <v>26</v>
      </c>
      <c r="AN294" s="175">
        <v>0</v>
      </c>
      <c r="AO294" s="175">
        <v>43</v>
      </c>
      <c r="AP294" s="175">
        <v>31</v>
      </c>
      <c r="AQ294" s="175">
        <v>20</v>
      </c>
      <c r="AR294" s="175">
        <v>4</v>
      </c>
      <c r="AS294" s="175">
        <v>1</v>
      </c>
      <c r="AT294" s="175">
        <v>1</v>
      </c>
    </row>
    <row r="295" spans="1:46">
      <c r="A295">
        <v>5305</v>
      </c>
      <c r="B295" t="s">
        <v>2381</v>
      </c>
      <c r="C295" t="s">
        <v>2382</v>
      </c>
      <c r="D295" t="s">
        <v>2383</v>
      </c>
      <c r="E295" t="s">
        <v>2384</v>
      </c>
      <c r="G295" t="s">
        <v>2385</v>
      </c>
      <c r="H295" t="s">
        <v>452</v>
      </c>
      <c r="J295" t="s">
        <v>605</v>
      </c>
      <c r="K295" t="s">
        <v>606</v>
      </c>
      <c r="M295" t="s">
        <v>1382</v>
      </c>
      <c r="N295" t="s">
        <v>657</v>
      </c>
      <c r="O295" t="s">
        <v>2367</v>
      </c>
      <c r="P295" t="s">
        <v>610</v>
      </c>
      <c r="Q295" t="s">
        <v>553</v>
      </c>
      <c r="R295" t="s">
        <v>1841</v>
      </c>
      <c r="S295" t="s">
        <v>2348</v>
      </c>
      <c r="T295" t="s">
        <v>2165</v>
      </c>
      <c r="U295">
        <v>233600</v>
      </c>
      <c r="V295" t="s">
        <v>2385</v>
      </c>
      <c r="W295" t="s">
        <v>2386</v>
      </c>
      <c r="X295" t="s">
        <v>2039</v>
      </c>
      <c r="Y295" t="s">
        <v>2040</v>
      </c>
      <c r="AA295" t="s">
        <v>2041</v>
      </c>
      <c r="AB295" t="s">
        <v>2042</v>
      </c>
      <c r="AC295">
        <v>99071</v>
      </c>
      <c r="AD295" t="s">
        <v>2387</v>
      </c>
      <c r="AE295">
        <v>-40.451117080000003</v>
      </c>
      <c r="AF295">
        <v>175.84023081000001</v>
      </c>
      <c r="AG295" s="175">
        <v>30</v>
      </c>
      <c r="AH295" s="175">
        <v>0</v>
      </c>
      <c r="AI295" s="175">
        <v>0</v>
      </c>
      <c r="AJ295" s="175">
        <v>0</v>
      </c>
      <c r="AK295" s="175">
        <v>3</v>
      </c>
      <c r="AL295" s="175">
        <v>10</v>
      </c>
      <c r="AM295" s="175">
        <v>12</v>
      </c>
      <c r="AN295" s="175">
        <v>0</v>
      </c>
      <c r="AO295" s="175">
        <v>25</v>
      </c>
      <c r="AP295" s="175">
        <v>20</v>
      </c>
      <c r="AQ295" s="175">
        <v>10</v>
      </c>
      <c r="AR295" s="175">
        <v>1</v>
      </c>
      <c r="AS295" s="175">
        <v>0</v>
      </c>
      <c r="AT295" s="175">
        <v>1</v>
      </c>
    </row>
    <row r="296" spans="1:46">
      <c r="A296">
        <v>5306</v>
      </c>
      <c r="B296" t="s">
        <v>2388</v>
      </c>
      <c r="C296" t="s">
        <v>2389</v>
      </c>
      <c r="D296" t="s">
        <v>2390</v>
      </c>
      <c r="E296" t="s">
        <v>2391</v>
      </c>
      <c r="G296" t="s">
        <v>2385</v>
      </c>
      <c r="H296" t="s">
        <v>452</v>
      </c>
      <c r="J296" t="s">
        <v>605</v>
      </c>
      <c r="K296" t="s">
        <v>606</v>
      </c>
      <c r="M296" t="s">
        <v>1382</v>
      </c>
      <c r="N296" t="s">
        <v>643</v>
      </c>
      <c r="O296" t="s">
        <v>2367</v>
      </c>
      <c r="P296" t="s">
        <v>610</v>
      </c>
      <c r="Q296" t="s">
        <v>553</v>
      </c>
      <c r="R296" t="s">
        <v>1841</v>
      </c>
      <c r="S296" t="s">
        <v>2348</v>
      </c>
      <c r="T296" t="s">
        <v>2165</v>
      </c>
      <c r="U296">
        <v>233600</v>
      </c>
      <c r="V296" t="s">
        <v>2385</v>
      </c>
      <c r="W296" t="s">
        <v>2386</v>
      </c>
      <c r="X296" t="s">
        <v>2039</v>
      </c>
      <c r="Y296" t="s">
        <v>2040</v>
      </c>
      <c r="AA296" t="s">
        <v>2041</v>
      </c>
      <c r="AB296" t="s">
        <v>2042</v>
      </c>
      <c r="AC296">
        <v>99071</v>
      </c>
      <c r="AD296" t="s">
        <v>2387</v>
      </c>
      <c r="AE296">
        <v>-40.452132939999998</v>
      </c>
      <c r="AF296">
        <v>175.8448875</v>
      </c>
      <c r="AG296" s="175">
        <v>50</v>
      </c>
      <c r="AH296" s="175">
        <v>18</v>
      </c>
      <c r="AI296" s="175">
        <v>0</v>
      </c>
      <c r="AJ296" s="175">
        <v>7</v>
      </c>
      <c r="AK296" s="175">
        <v>13</v>
      </c>
      <c r="AL296" s="175">
        <v>23</v>
      </c>
      <c r="AM296" s="175">
        <v>20</v>
      </c>
      <c r="AN296" s="175">
        <v>0</v>
      </c>
      <c r="AO296" s="175">
        <v>63</v>
      </c>
      <c r="AP296" s="175">
        <v>59</v>
      </c>
      <c r="AQ296" s="175">
        <v>18</v>
      </c>
      <c r="AR296" s="175">
        <v>0</v>
      </c>
      <c r="AS296" s="175">
        <v>5</v>
      </c>
      <c r="AT296" s="175">
        <v>2</v>
      </c>
    </row>
    <row r="297" spans="1:46">
      <c r="A297">
        <v>5307</v>
      </c>
      <c r="B297" t="s">
        <v>2392</v>
      </c>
      <c r="C297" t="s">
        <v>2393</v>
      </c>
      <c r="D297" t="s">
        <v>2394</v>
      </c>
      <c r="E297" t="s">
        <v>2395</v>
      </c>
      <c r="G297" t="s">
        <v>2396</v>
      </c>
      <c r="H297" t="s">
        <v>452</v>
      </c>
      <c r="J297" t="s">
        <v>605</v>
      </c>
      <c r="K297" t="s">
        <v>606</v>
      </c>
      <c r="M297" t="s">
        <v>2366</v>
      </c>
      <c r="N297" t="s">
        <v>657</v>
      </c>
      <c r="O297" t="s">
        <v>2397</v>
      </c>
      <c r="P297" t="s">
        <v>1347</v>
      </c>
      <c r="Q297" t="s">
        <v>516</v>
      </c>
      <c r="R297" t="s">
        <v>2368</v>
      </c>
      <c r="S297" t="s">
        <v>2348</v>
      </c>
      <c r="T297" t="s">
        <v>2165</v>
      </c>
      <c r="U297">
        <v>256301</v>
      </c>
      <c r="V297" t="s">
        <v>2398</v>
      </c>
      <c r="W297" t="s">
        <v>2399</v>
      </c>
      <c r="X297" t="s">
        <v>1970</v>
      </c>
      <c r="Y297" t="s">
        <v>1971</v>
      </c>
      <c r="AA297" t="s">
        <v>1972</v>
      </c>
      <c r="AB297" t="s">
        <v>1973</v>
      </c>
      <c r="AC297">
        <v>99204</v>
      </c>
      <c r="AD297" t="s">
        <v>2400</v>
      </c>
      <c r="AE297">
        <v>-40.942684110000002</v>
      </c>
      <c r="AF297">
        <v>175.67556561999999</v>
      </c>
      <c r="AG297" s="175">
        <v>42</v>
      </c>
      <c r="AH297" s="175">
        <v>0</v>
      </c>
      <c r="AI297" s="175">
        <v>0</v>
      </c>
      <c r="AJ297" s="175">
        <v>0</v>
      </c>
      <c r="AK297" s="175">
        <v>1</v>
      </c>
      <c r="AL297" s="175">
        <v>15</v>
      </c>
      <c r="AM297" s="175">
        <v>24</v>
      </c>
      <c r="AN297" s="175">
        <v>3</v>
      </c>
      <c r="AO297" s="175">
        <v>43</v>
      </c>
      <c r="AP297" s="175">
        <v>34</v>
      </c>
      <c r="AQ297" s="175">
        <v>8</v>
      </c>
      <c r="AR297" s="175">
        <v>2</v>
      </c>
      <c r="AS297" s="175">
        <v>2</v>
      </c>
      <c r="AT297" s="175">
        <v>2</v>
      </c>
    </row>
    <row r="298" spans="1:46">
      <c r="A298">
        <v>5308</v>
      </c>
      <c r="B298" t="s">
        <v>2401</v>
      </c>
      <c r="C298" t="s">
        <v>2402</v>
      </c>
      <c r="D298" t="s">
        <v>2403</v>
      </c>
      <c r="E298" t="s">
        <v>2404</v>
      </c>
      <c r="G298" t="s">
        <v>2396</v>
      </c>
      <c r="H298" t="s">
        <v>452</v>
      </c>
      <c r="J298" t="s">
        <v>605</v>
      </c>
      <c r="K298" t="s">
        <v>606</v>
      </c>
      <c r="M298" t="s">
        <v>2366</v>
      </c>
      <c r="N298" t="s">
        <v>657</v>
      </c>
      <c r="O298" t="s">
        <v>2397</v>
      </c>
      <c r="P298" t="s">
        <v>1347</v>
      </c>
      <c r="Q298" t="s">
        <v>516</v>
      </c>
      <c r="R298" t="s">
        <v>2368</v>
      </c>
      <c r="S298" t="s">
        <v>2348</v>
      </c>
      <c r="T298" t="s">
        <v>2165</v>
      </c>
      <c r="U298">
        <v>256100</v>
      </c>
      <c r="V298" t="s">
        <v>2405</v>
      </c>
      <c r="W298" t="s">
        <v>2399</v>
      </c>
      <c r="X298" t="s">
        <v>1970</v>
      </c>
      <c r="Y298" t="s">
        <v>1971</v>
      </c>
      <c r="AA298" t="s">
        <v>1972</v>
      </c>
      <c r="AB298" t="s">
        <v>1973</v>
      </c>
      <c r="AC298">
        <v>99204</v>
      </c>
      <c r="AD298" t="s">
        <v>2400</v>
      </c>
      <c r="AE298">
        <v>-40.946273740000002</v>
      </c>
      <c r="AF298">
        <v>175.64408405</v>
      </c>
      <c r="AG298" s="175">
        <v>42</v>
      </c>
      <c r="AH298" s="175">
        <v>0</v>
      </c>
      <c r="AI298" s="175">
        <v>0</v>
      </c>
      <c r="AJ298" s="175">
        <v>0</v>
      </c>
      <c r="AK298" s="175">
        <v>8</v>
      </c>
      <c r="AL298" s="175">
        <v>23</v>
      </c>
      <c r="AM298" s="175">
        <v>23</v>
      </c>
      <c r="AN298" s="175">
        <v>0</v>
      </c>
      <c r="AO298" s="175">
        <v>54</v>
      </c>
      <c r="AP298" s="175">
        <v>45</v>
      </c>
      <c r="AQ298" s="175">
        <v>14</v>
      </c>
      <c r="AR298" s="175">
        <v>0</v>
      </c>
      <c r="AS298" s="175">
        <v>7</v>
      </c>
      <c r="AT298" s="175">
        <v>0</v>
      </c>
    </row>
    <row r="299" spans="1:46">
      <c r="A299">
        <v>5309</v>
      </c>
      <c r="B299" t="s">
        <v>2406</v>
      </c>
      <c r="C299" t="s">
        <v>2407</v>
      </c>
      <c r="D299" t="s">
        <v>2408</v>
      </c>
      <c r="E299" t="s">
        <v>2409</v>
      </c>
      <c r="G299" t="s">
        <v>2410</v>
      </c>
      <c r="H299" t="s">
        <v>452</v>
      </c>
      <c r="J299" t="s">
        <v>605</v>
      </c>
      <c r="K299" t="s">
        <v>606</v>
      </c>
      <c r="M299" t="s">
        <v>2366</v>
      </c>
      <c r="N299" t="s">
        <v>625</v>
      </c>
      <c r="O299" t="s">
        <v>2411</v>
      </c>
      <c r="P299" t="s">
        <v>610</v>
      </c>
      <c r="Q299" t="s">
        <v>516</v>
      </c>
      <c r="R299" t="s">
        <v>2368</v>
      </c>
      <c r="S299" t="s">
        <v>2348</v>
      </c>
      <c r="T299" t="s">
        <v>2165</v>
      </c>
      <c r="U299">
        <v>257500</v>
      </c>
      <c r="V299" t="s">
        <v>2410</v>
      </c>
      <c r="W299" t="s">
        <v>2412</v>
      </c>
      <c r="X299" t="s">
        <v>1970</v>
      </c>
      <c r="Y299" t="s">
        <v>1971</v>
      </c>
      <c r="AA299" t="s">
        <v>1972</v>
      </c>
      <c r="AB299" t="s">
        <v>1973</v>
      </c>
      <c r="AC299">
        <v>99109</v>
      </c>
      <c r="AD299" t="s">
        <v>2413</v>
      </c>
      <c r="AE299">
        <v>-41.117954949999998</v>
      </c>
      <c r="AF299">
        <v>175.32400275000001</v>
      </c>
      <c r="AG299" s="175">
        <v>40</v>
      </c>
      <c r="AH299" s="175">
        <v>0</v>
      </c>
      <c r="AI299" s="175">
        <v>0</v>
      </c>
      <c r="AJ299" s="175">
        <v>0</v>
      </c>
      <c r="AK299" s="175">
        <v>3</v>
      </c>
      <c r="AL299" s="175">
        <v>10</v>
      </c>
      <c r="AM299" s="175">
        <v>18</v>
      </c>
      <c r="AN299" s="175">
        <v>4</v>
      </c>
      <c r="AO299" s="175">
        <v>35</v>
      </c>
      <c r="AP299" s="175">
        <v>24</v>
      </c>
      <c r="AQ299" s="175">
        <v>13</v>
      </c>
      <c r="AR299" s="175">
        <v>2</v>
      </c>
      <c r="AS299" s="175">
        <v>1</v>
      </c>
      <c r="AT299" s="175">
        <v>4</v>
      </c>
    </row>
    <row r="300" spans="1:46">
      <c r="A300">
        <v>5310</v>
      </c>
      <c r="B300" t="s">
        <v>2414</v>
      </c>
      <c r="C300" t="s">
        <v>2415</v>
      </c>
      <c r="D300" t="s">
        <v>2416</v>
      </c>
      <c r="E300" t="s">
        <v>2417</v>
      </c>
      <c r="F300" t="s">
        <v>2418</v>
      </c>
      <c r="G300" t="s">
        <v>2396</v>
      </c>
      <c r="H300" t="s">
        <v>452</v>
      </c>
      <c r="J300" t="s">
        <v>605</v>
      </c>
      <c r="K300" t="s">
        <v>606</v>
      </c>
      <c r="M300" t="s">
        <v>2366</v>
      </c>
      <c r="N300" t="s">
        <v>643</v>
      </c>
      <c r="O300" t="s">
        <v>2397</v>
      </c>
      <c r="P300" t="s">
        <v>1347</v>
      </c>
      <c r="Q300" t="s">
        <v>516</v>
      </c>
      <c r="R300" t="s">
        <v>2368</v>
      </c>
      <c r="S300" t="s">
        <v>2348</v>
      </c>
      <c r="T300" t="s">
        <v>2165</v>
      </c>
      <c r="U300">
        <v>256200</v>
      </c>
      <c r="V300" t="s">
        <v>2419</v>
      </c>
      <c r="W300" t="s">
        <v>2399</v>
      </c>
      <c r="X300" t="s">
        <v>1970</v>
      </c>
      <c r="Y300" t="s">
        <v>1971</v>
      </c>
      <c r="AA300" t="s">
        <v>1972</v>
      </c>
      <c r="AB300" t="s">
        <v>1973</v>
      </c>
      <c r="AC300">
        <v>99204</v>
      </c>
      <c r="AD300" t="s">
        <v>2400</v>
      </c>
      <c r="AE300">
        <v>-40.96198854</v>
      </c>
      <c r="AF300">
        <v>175.64415937000001</v>
      </c>
      <c r="AG300" s="175">
        <v>42</v>
      </c>
      <c r="AH300" s="175">
        <v>0</v>
      </c>
      <c r="AI300" s="175">
        <v>0</v>
      </c>
      <c r="AJ300" s="175">
        <v>0</v>
      </c>
      <c r="AK300" s="175">
        <v>8</v>
      </c>
      <c r="AL300" s="175">
        <v>15</v>
      </c>
      <c r="AM300" s="175">
        <v>19</v>
      </c>
      <c r="AN300" s="175">
        <v>0</v>
      </c>
      <c r="AO300" s="175">
        <v>42</v>
      </c>
      <c r="AP300" s="175">
        <v>27</v>
      </c>
      <c r="AQ300" s="175">
        <v>7</v>
      </c>
      <c r="AR300" s="175">
        <v>8</v>
      </c>
      <c r="AS300" s="175">
        <v>7</v>
      </c>
      <c r="AT300" s="175">
        <v>0</v>
      </c>
    </row>
    <row r="301" spans="1:46">
      <c r="A301">
        <v>5311</v>
      </c>
      <c r="B301" t="s">
        <v>2420</v>
      </c>
      <c r="C301" t="s">
        <v>2421</v>
      </c>
      <c r="D301" t="s">
        <v>2422</v>
      </c>
      <c r="E301" t="s">
        <v>2423</v>
      </c>
      <c r="G301" t="s">
        <v>2396</v>
      </c>
      <c r="H301" t="s">
        <v>452</v>
      </c>
      <c r="J301" t="s">
        <v>605</v>
      </c>
      <c r="K301" t="s">
        <v>606</v>
      </c>
      <c r="M301" t="s">
        <v>2366</v>
      </c>
      <c r="N301" t="s">
        <v>625</v>
      </c>
      <c r="O301" t="s">
        <v>2397</v>
      </c>
      <c r="P301" t="s">
        <v>1347</v>
      </c>
      <c r="Q301" t="s">
        <v>516</v>
      </c>
      <c r="R301" t="s">
        <v>2368</v>
      </c>
      <c r="S301" t="s">
        <v>2348</v>
      </c>
      <c r="T301" t="s">
        <v>2165</v>
      </c>
      <c r="U301">
        <v>256400</v>
      </c>
      <c r="V301" t="s">
        <v>2424</v>
      </c>
      <c r="W301" t="s">
        <v>2399</v>
      </c>
      <c r="X301" t="s">
        <v>1970</v>
      </c>
      <c r="Y301" t="s">
        <v>1971</v>
      </c>
      <c r="AA301" t="s">
        <v>1972</v>
      </c>
      <c r="AB301" t="s">
        <v>1973</v>
      </c>
      <c r="AC301">
        <v>99204</v>
      </c>
      <c r="AD301" t="s">
        <v>2400</v>
      </c>
      <c r="AE301">
        <v>-40.956376810000002</v>
      </c>
      <c r="AF301">
        <v>175.66469659000001</v>
      </c>
      <c r="AG301" s="175">
        <v>40</v>
      </c>
      <c r="AH301" s="175">
        <v>0</v>
      </c>
      <c r="AI301" s="175">
        <v>0</v>
      </c>
      <c r="AJ301" s="175">
        <v>0</v>
      </c>
      <c r="AK301" s="175">
        <v>11</v>
      </c>
      <c r="AL301" s="175">
        <v>14</v>
      </c>
      <c r="AM301" s="175">
        <v>18</v>
      </c>
      <c r="AN301" s="175">
        <v>0</v>
      </c>
      <c r="AO301" s="175">
        <v>43</v>
      </c>
      <c r="AP301" s="175">
        <v>28</v>
      </c>
      <c r="AQ301" s="175">
        <v>24</v>
      </c>
      <c r="AR301" s="175">
        <v>5</v>
      </c>
      <c r="AS301" s="175">
        <v>0</v>
      </c>
      <c r="AT301" s="175">
        <v>0</v>
      </c>
    </row>
    <row r="302" spans="1:46">
      <c r="A302">
        <v>5312</v>
      </c>
      <c r="B302" t="s">
        <v>2425</v>
      </c>
      <c r="C302" t="s">
        <v>2426</v>
      </c>
      <c r="D302" t="s">
        <v>2427</v>
      </c>
      <c r="E302" t="s">
        <v>2428</v>
      </c>
      <c r="G302" t="s">
        <v>2429</v>
      </c>
      <c r="H302" t="s">
        <v>452</v>
      </c>
      <c r="J302" t="s">
        <v>605</v>
      </c>
      <c r="K302" t="s">
        <v>606</v>
      </c>
      <c r="M302" t="s">
        <v>2366</v>
      </c>
      <c r="N302" t="s">
        <v>657</v>
      </c>
      <c r="O302" t="s">
        <v>2397</v>
      </c>
      <c r="P302" t="s">
        <v>1347</v>
      </c>
      <c r="Q302" t="s">
        <v>516</v>
      </c>
      <c r="R302" t="s">
        <v>2368</v>
      </c>
      <c r="S302" t="s">
        <v>2348</v>
      </c>
      <c r="T302" t="s">
        <v>2165</v>
      </c>
      <c r="U302">
        <v>255700</v>
      </c>
      <c r="V302" t="s">
        <v>2430</v>
      </c>
      <c r="W302" t="s">
        <v>2399</v>
      </c>
      <c r="X302" t="s">
        <v>1970</v>
      </c>
      <c r="Y302" t="s">
        <v>1971</v>
      </c>
      <c r="AA302" t="s">
        <v>1972</v>
      </c>
      <c r="AB302" t="s">
        <v>1973</v>
      </c>
      <c r="AC302">
        <v>99204</v>
      </c>
      <c r="AD302" t="s">
        <v>2400</v>
      </c>
      <c r="AE302">
        <v>-40.955781039999998</v>
      </c>
      <c r="AF302">
        <v>175.6382753</v>
      </c>
      <c r="AG302" s="175">
        <v>42</v>
      </c>
      <c r="AH302" s="175">
        <v>0</v>
      </c>
      <c r="AI302" s="175">
        <v>0</v>
      </c>
      <c r="AJ302" s="175">
        <v>0</v>
      </c>
      <c r="AK302" s="175">
        <v>1</v>
      </c>
      <c r="AL302" s="175">
        <v>18</v>
      </c>
      <c r="AM302" s="175">
        <v>27</v>
      </c>
      <c r="AN302" s="175">
        <v>1</v>
      </c>
      <c r="AO302" s="175">
        <v>47</v>
      </c>
      <c r="AP302" s="175">
        <v>42</v>
      </c>
      <c r="AQ302" s="175">
        <v>15</v>
      </c>
      <c r="AR302" s="175">
        <v>3</v>
      </c>
      <c r="AS302" s="175">
        <v>3</v>
      </c>
      <c r="AT302" s="175">
        <v>0</v>
      </c>
    </row>
    <row r="303" spans="1:46">
      <c r="A303">
        <v>5313</v>
      </c>
      <c r="B303" t="s">
        <v>2431</v>
      </c>
      <c r="C303" t="s">
        <v>2432</v>
      </c>
      <c r="D303" t="s">
        <v>2433</v>
      </c>
      <c r="E303" t="s">
        <v>2434</v>
      </c>
      <c r="G303" t="s">
        <v>2435</v>
      </c>
      <c r="H303" t="s">
        <v>452</v>
      </c>
      <c r="J303" t="s">
        <v>605</v>
      </c>
      <c r="K303" t="s">
        <v>606</v>
      </c>
      <c r="M303" t="s">
        <v>2366</v>
      </c>
      <c r="N303" t="s">
        <v>657</v>
      </c>
      <c r="O303" t="s">
        <v>2436</v>
      </c>
      <c r="P303" t="s">
        <v>610</v>
      </c>
      <c r="Q303" t="s">
        <v>516</v>
      </c>
      <c r="R303" t="s">
        <v>2368</v>
      </c>
      <c r="S303" t="s">
        <v>2348</v>
      </c>
      <c r="T303" t="s">
        <v>2165</v>
      </c>
      <c r="U303">
        <v>257100</v>
      </c>
      <c r="V303" t="s">
        <v>2437</v>
      </c>
      <c r="W303" t="s">
        <v>1734</v>
      </c>
      <c r="X303" t="s">
        <v>1970</v>
      </c>
      <c r="Y303" t="s">
        <v>1971</v>
      </c>
      <c r="AA303" t="s">
        <v>1972</v>
      </c>
      <c r="AB303" t="s">
        <v>1973</v>
      </c>
      <c r="AC303">
        <v>99109</v>
      </c>
      <c r="AD303" t="s">
        <v>2413</v>
      </c>
      <c r="AE303">
        <v>-41.02699483</v>
      </c>
      <c r="AF303">
        <v>175.52429094999999</v>
      </c>
      <c r="AG303" s="175">
        <v>42</v>
      </c>
      <c r="AH303" s="175">
        <v>0</v>
      </c>
      <c r="AI303" s="175">
        <v>0</v>
      </c>
      <c r="AJ303" s="175">
        <v>0</v>
      </c>
      <c r="AK303" s="175">
        <v>11</v>
      </c>
      <c r="AL303" s="175">
        <v>16</v>
      </c>
      <c r="AM303" s="175">
        <v>16</v>
      </c>
      <c r="AN303" s="175">
        <v>1</v>
      </c>
      <c r="AO303" s="175">
        <v>44</v>
      </c>
      <c r="AP303" s="175">
        <v>33</v>
      </c>
      <c r="AQ303" s="175">
        <v>10</v>
      </c>
      <c r="AR303" s="175">
        <v>3</v>
      </c>
      <c r="AS303" s="175">
        <v>6</v>
      </c>
      <c r="AT303" s="175">
        <v>2</v>
      </c>
    </row>
    <row r="304" spans="1:46">
      <c r="A304">
        <v>5314</v>
      </c>
      <c r="B304" t="s">
        <v>2438</v>
      </c>
      <c r="C304" t="s">
        <v>2439</v>
      </c>
      <c r="D304" t="s">
        <v>2440</v>
      </c>
      <c r="E304" t="s">
        <v>2441</v>
      </c>
      <c r="G304" t="s">
        <v>2442</v>
      </c>
      <c r="H304" t="s">
        <v>452</v>
      </c>
      <c r="J304" t="s">
        <v>605</v>
      </c>
      <c r="K304" t="s">
        <v>606</v>
      </c>
      <c r="M304" t="s">
        <v>2366</v>
      </c>
      <c r="N304" t="s">
        <v>657</v>
      </c>
      <c r="O304" t="s">
        <v>2411</v>
      </c>
      <c r="P304" t="s">
        <v>610</v>
      </c>
      <c r="Q304" t="s">
        <v>516</v>
      </c>
      <c r="R304" t="s">
        <v>2368</v>
      </c>
      <c r="S304" t="s">
        <v>2348</v>
      </c>
      <c r="T304" t="s">
        <v>2165</v>
      </c>
      <c r="U304">
        <v>257700</v>
      </c>
      <c r="V304" t="s">
        <v>2442</v>
      </c>
      <c r="W304" t="s">
        <v>2443</v>
      </c>
      <c r="X304" t="s">
        <v>1970</v>
      </c>
      <c r="Y304" t="s">
        <v>1971</v>
      </c>
      <c r="AA304" t="s">
        <v>1972</v>
      </c>
      <c r="AB304" t="s">
        <v>1973</v>
      </c>
      <c r="AC304">
        <v>99109</v>
      </c>
      <c r="AD304" t="s">
        <v>2413</v>
      </c>
      <c r="AE304">
        <v>-41.08098236</v>
      </c>
      <c r="AF304">
        <v>175.46245726999999</v>
      </c>
      <c r="AG304" s="175">
        <v>40</v>
      </c>
      <c r="AH304" s="175">
        <v>0</v>
      </c>
      <c r="AI304" s="175">
        <v>0</v>
      </c>
      <c r="AJ304" s="175">
        <v>0</v>
      </c>
      <c r="AK304" s="175">
        <v>18</v>
      </c>
      <c r="AL304" s="175">
        <v>18</v>
      </c>
      <c r="AM304" s="175">
        <v>11</v>
      </c>
      <c r="AN304" s="175">
        <v>0</v>
      </c>
      <c r="AO304" s="175">
        <v>47</v>
      </c>
      <c r="AP304" s="175">
        <v>38</v>
      </c>
      <c r="AQ304" s="175">
        <v>6</v>
      </c>
      <c r="AR304" s="175">
        <v>2</v>
      </c>
      <c r="AS304" s="175">
        <v>4</v>
      </c>
      <c r="AT304" s="175">
        <v>2</v>
      </c>
    </row>
    <row r="305" spans="1:46">
      <c r="A305">
        <v>5315</v>
      </c>
      <c r="B305" t="s">
        <v>2444</v>
      </c>
      <c r="C305" t="s">
        <v>2445</v>
      </c>
      <c r="D305" t="s">
        <v>2446</v>
      </c>
      <c r="E305" t="s">
        <v>2447</v>
      </c>
      <c r="F305" t="s">
        <v>2448</v>
      </c>
      <c r="G305" t="s">
        <v>2449</v>
      </c>
      <c r="H305" t="s">
        <v>452</v>
      </c>
      <c r="J305" t="s">
        <v>605</v>
      </c>
      <c r="K305" t="s">
        <v>606</v>
      </c>
      <c r="M305" t="s">
        <v>2366</v>
      </c>
      <c r="N305" t="s">
        <v>657</v>
      </c>
      <c r="O305" t="s">
        <v>2450</v>
      </c>
      <c r="P305" t="s">
        <v>670</v>
      </c>
      <c r="Q305" t="s">
        <v>516</v>
      </c>
      <c r="R305" t="s">
        <v>2368</v>
      </c>
      <c r="S305" t="s">
        <v>2451</v>
      </c>
      <c r="T305" t="s">
        <v>2165</v>
      </c>
      <c r="U305">
        <v>241500</v>
      </c>
      <c r="V305" t="s">
        <v>2452</v>
      </c>
      <c r="W305" t="s">
        <v>1734</v>
      </c>
      <c r="X305" t="s">
        <v>1970</v>
      </c>
      <c r="Y305" t="s">
        <v>1971</v>
      </c>
      <c r="AA305" t="s">
        <v>1972</v>
      </c>
      <c r="AB305" t="s">
        <v>1973</v>
      </c>
      <c r="AE305">
        <v>-41.093345650000003</v>
      </c>
      <c r="AF305">
        <v>175.10040674999999</v>
      </c>
      <c r="AG305" s="175">
        <v>42</v>
      </c>
      <c r="AH305" s="175">
        <v>0</v>
      </c>
      <c r="AI305" s="175">
        <v>0</v>
      </c>
      <c r="AJ305" s="175">
        <v>0</v>
      </c>
      <c r="AK305" s="175">
        <v>4</v>
      </c>
      <c r="AL305" s="175">
        <v>21</v>
      </c>
      <c r="AM305" s="175">
        <v>24</v>
      </c>
      <c r="AN305" s="175">
        <v>0</v>
      </c>
      <c r="AO305" s="175">
        <v>49</v>
      </c>
      <c r="AP305" s="175">
        <v>41</v>
      </c>
      <c r="AQ305" s="175">
        <v>14</v>
      </c>
      <c r="AR305" s="175">
        <v>4</v>
      </c>
      <c r="AS305" s="175">
        <v>5</v>
      </c>
      <c r="AT305" s="175">
        <v>0</v>
      </c>
    </row>
    <row r="306" spans="1:46">
      <c r="A306">
        <v>5316</v>
      </c>
      <c r="B306" t="s">
        <v>2453</v>
      </c>
      <c r="C306" t="s">
        <v>2454</v>
      </c>
      <c r="D306" t="s">
        <v>2455</v>
      </c>
      <c r="E306" t="s">
        <v>2456</v>
      </c>
      <c r="F306" t="s">
        <v>2457</v>
      </c>
      <c r="G306" t="s">
        <v>2449</v>
      </c>
      <c r="H306" t="s">
        <v>452</v>
      </c>
      <c r="J306" t="s">
        <v>605</v>
      </c>
      <c r="K306" t="s">
        <v>606</v>
      </c>
      <c r="M306" t="s">
        <v>2366</v>
      </c>
      <c r="N306" t="s">
        <v>625</v>
      </c>
      <c r="O306" t="s">
        <v>2450</v>
      </c>
      <c r="P306" t="s">
        <v>670</v>
      </c>
      <c r="Q306" t="s">
        <v>516</v>
      </c>
      <c r="R306" t="s">
        <v>2368</v>
      </c>
      <c r="S306" t="s">
        <v>2451</v>
      </c>
      <c r="T306" t="s">
        <v>2165</v>
      </c>
      <c r="U306">
        <v>242600</v>
      </c>
      <c r="V306" t="s">
        <v>2458</v>
      </c>
      <c r="W306" t="s">
        <v>1734</v>
      </c>
      <c r="X306" t="s">
        <v>1970</v>
      </c>
      <c r="Y306" t="s">
        <v>1971</v>
      </c>
      <c r="AA306" t="s">
        <v>1972</v>
      </c>
      <c r="AB306" t="s">
        <v>1973</v>
      </c>
      <c r="AE306">
        <v>-41.10770101</v>
      </c>
      <c r="AF306">
        <v>175.1027407</v>
      </c>
      <c r="AG306" s="175">
        <v>41</v>
      </c>
      <c r="AH306" s="175">
        <v>0</v>
      </c>
      <c r="AI306" s="175">
        <v>0</v>
      </c>
      <c r="AJ306" s="175">
        <v>0</v>
      </c>
      <c r="AK306" s="175">
        <v>9</v>
      </c>
      <c r="AL306" s="175">
        <v>14</v>
      </c>
      <c r="AM306" s="175">
        <v>17</v>
      </c>
      <c r="AN306" s="175">
        <v>0</v>
      </c>
      <c r="AO306" s="175">
        <v>40</v>
      </c>
      <c r="AP306" s="175">
        <v>31</v>
      </c>
      <c r="AQ306" s="175">
        <v>18</v>
      </c>
      <c r="AR306" s="175">
        <v>10</v>
      </c>
      <c r="AS306" s="175">
        <v>1</v>
      </c>
      <c r="AT306" s="175">
        <v>1</v>
      </c>
    </row>
    <row r="307" spans="1:46">
      <c r="A307">
        <v>5317</v>
      </c>
      <c r="B307" t="s">
        <v>2459</v>
      </c>
      <c r="C307" t="s">
        <v>2460</v>
      </c>
      <c r="D307" t="s">
        <v>2461</v>
      </c>
      <c r="E307" t="s">
        <v>2462</v>
      </c>
      <c r="F307" t="s">
        <v>2448</v>
      </c>
      <c r="G307" t="s">
        <v>2449</v>
      </c>
      <c r="H307" t="s">
        <v>452</v>
      </c>
      <c r="J307" t="s">
        <v>605</v>
      </c>
      <c r="K307" t="s">
        <v>606</v>
      </c>
      <c r="M307" t="s">
        <v>2366</v>
      </c>
      <c r="N307" t="s">
        <v>657</v>
      </c>
      <c r="O307" t="s">
        <v>2450</v>
      </c>
      <c r="P307" t="s">
        <v>670</v>
      </c>
      <c r="Q307" t="s">
        <v>516</v>
      </c>
      <c r="R307" t="s">
        <v>2368</v>
      </c>
      <c r="S307" t="s">
        <v>2451</v>
      </c>
      <c r="T307" t="s">
        <v>2165</v>
      </c>
      <c r="U307">
        <v>241600</v>
      </c>
      <c r="V307" t="s">
        <v>2463</v>
      </c>
      <c r="W307" t="s">
        <v>1734</v>
      </c>
      <c r="X307" t="s">
        <v>1970</v>
      </c>
      <c r="Y307" t="s">
        <v>1971</v>
      </c>
      <c r="AA307" t="s">
        <v>1972</v>
      </c>
      <c r="AB307" t="s">
        <v>1973</v>
      </c>
      <c r="AE307">
        <v>-41.125423779999998</v>
      </c>
      <c r="AF307">
        <v>175.0418401</v>
      </c>
      <c r="AG307" s="175">
        <v>41</v>
      </c>
      <c r="AH307" s="175">
        <v>0</v>
      </c>
      <c r="AI307" s="175">
        <v>0</v>
      </c>
      <c r="AJ307" s="175">
        <v>0</v>
      </c>
      <c r="AK307" s="175">
        <v>4</v>
      </c>
      <c r="AL307" s="175">
        <v>17</v>
      </c>
      <c r="AM307" s="175">
        <v>23</v>
      </c>
      <c r="AN307" s="175">
        <v>1</v>
      </c>
      <c r="AO307" s="175">
        <v>45</v>
      </c>
      <c r="AP307" s="175">
        <v>41</v>
      </c>
      <c r="AQ307" s="175">
        <v>12</v>
      </c>
      <c r="AR307" s="175">
        <v>4</v>
      </c>
      <c r="AS307" s="175">
        <v>7</v>
      </c>
      <c r="AT307" s="175">
        <v>1</v>
      </c>
    </row>
    <row r="308" spans="1:46">
      <c r="A308">
        <v>5318</v>
      </c>
      <c r="B308" t="s">
        <v>2464</v>
      </c>
      <c r="C308" t="s">
        <v>2465</v>
      </c>
      <c r="D308" t="s">
        <v>2466</v>
      </c>
      <c r="E308" t="s">
        <v>2467</v>
      </c>
      <c r="F308" t="s">
        <v>2458</v>
      </c>
      <c r="G308" t="s">
        <v>2449</v>
      </c>
      <c r="H308" t="s">
        <v>452</v>
      </c>
      <c r="J308" t="s">
        <v>605</v>
      </c>
      <c r="K308" t="s">
        <v>606</v>
      </c>
      <c r="M308" t="s">
        <v>2366</v>
      </c>
      <c r="N308" t="s">
        <v>657</v>
      </c>
      <c r="O308" t="s">
        <v>2450</v>
      </c>
      <c r="P308" t="s">
        <v>670</v>
      </c>
      <c r="Q308" t="s">
        <v>516</v>
      </c>
      <c r="R308" t="s">
        <v>2368</v>
      </c>
      <c r="S308" t="s">
        <v>2451</v>
      </c>
      <c r="T308" t="s">
        <v>2165</v>
      </c>
      <c r="U308">
        <v>242900</v>
      </c>
      <c r="V308" t="s">
        <v>2468</v>
      </c>
      <c r="W308" t="s">
        <v>1734</v>
      </c>
      <c r="X308" t="s">
        <v>1970</v>
      </c>
      <c r="Y308" t="s">
        <v>1971</v>
      </c>
      <c r="AA308" t="s">
        <v>1972</v>
      </c>
      <c r="AB308" t="s">
        <v>1973</v>
      </c>
      <c r="AE308">
        <v>-41.116560010000001</v>
      </c>
      <c r="AF308">
        <v>175.09006511999999</v>
      </c>
      <c r="AG308" s="175">
        <v>40</v>
      </c>
      <c r="AH308" s="175">
        <v>0</v>
      </c>
      <c r="AI308" s="175">
        <v>0</v>
      </c>
      <c r="AJ308" s="175">
        <v>0</v>
      </c>
      <c r="AK308" s="175">
        <v>8</v>
      </c>
      <c r="AL308" s="175">
        <v>17</v>
      </c>
      <c r="AM308" s="175">
        <v>23</v>
      </c>
      <c r="AN308" s="175">
        <v>0</v>
      </c>
      <c r="AO308" s="175">
        <v>48</v>
      </c>
      <c r="AP308" s="175">
        <v>42</v>
      </c>
      <c r="AQ308" s="175">
        <v>7</v>
      </c>
      <c r="AR308" s="175">
        <v>5</v>
      </c>
      <c r="AS308" s="175">
        <v>5</v>
      </c>
      <c r="AT308" s="175">
        <v>0</v>
      </c>
    </row>
    <row r="309" spans="1:46">
      <c r="A309">
        <v>5319</v>
      </c>
      <c r="B309" t="s">
        <v>2469</v>
      </c>
      <c r="C309" t="s">
        <v>2470</v>
      </c>
      <c r="D309" t="s">
        <v>2471</v>
      </c>
      <c r="E309" t="s">
        <v>2472</v>
      </c>
      <c r="F309" t="s">
        <v>2473</v>
      </c>
      <c r="G309" t="s">
        <v>2449</v>
      </c>
      <c r="H309" t="s">
        <v>452</v>
      </c>
      <c r="J309" t="s">
        <v>605</v>
      </c>
      <c r="K309" t="s">
        <v>606</v>
      </c>
      <c r="M309" t="s">
        <v>2366</v>
      </c>
      <c r="N309" t="s">
        <v>657</v>
      </c>
      <c r="O309" t="s">
        <v>2450</v>
      </c>
      <c r="P309" t="s">
        <v>670</v>
      </c>
      <c r="Q309" t="s">
        <v>516</v>
      </c>
      <c r="R309" t="s">
        <v>2368</v>
      </c>
      <c r="S309" t="s">
        <v>2451</v>
      </c>
      <c r="T309" t="s">
        <v>2165</v>
      </c>
      <c r="U309">
        <v>241400</v>
      </c>
      <c r="V309" t="s">
        <v>2473</v>
      </c>
      <c r="W309" t="s">
        <v>1734</v>
      </c>
      <c r="X309" t="s">
        <v>1970</v>
      </c>
      <c r="Y309" t="s">
        <v>1971</v>
      </c>
      <c r="AA309" t="s">
        <v>1972</v>
      </c>
      <c r="AB309" t="s">
        <v>1973</v>
      </c>
      <c r="AE309">
        <v>-41.142807429999998</v>
      </c>
      <c r="AF309">
        <v>175.01602711000001</v>
      </c>
      <c r="AG309" s="175">
        <v>39</v>
      </c>
      <c r="AH309" s="175">
        <v>0</v>
      </c>
      <c r="AI309" s="175">
        <v>0</v>
      </c>
      <c r="AJ309" s="175">
        <v>0</v>
      </c>
      <c r="AK309" s="175">
        <v>11</v>
      </c>
      <c r="AL309" s="175">
        <v>14</v>
      </c>
      <c r="AM309" s="175">
        <v>22</v>
      </c>
      <c r="AN309" s="175">
        <v>0</v>
      </c>
      <c r="AO309" s="175">
        <v>47</v>
      </c>
      <c r="AP309" s="175">
        <v>37</v>
      </c>
      <c r="AQ309" s="175">
        <v>10</v>
      </c>
      <c r="AR309" s="175">
        <v>4</v>
      </c>
      <c r="AS309" s="175">
        <v>5</v>
      </c>
      <c r="AT309" s="175">
        <v>2</v>
      </c>
    </row>
    <row r="310" spans="1:46">
      <c r="A310">
        <v>5320</v>
      </c>
      <c r="B310" t="s">
        <v>2474</v>
      </c>
      <c r="C310" t="s">
        <v>2475</v>
      </c>
      <c r="D310" t="s">
        <v>2476</v>
      </c>
      <c r="E310" t="s">
        <v>2477</v>
      </c>
      <c r="F310" t="s">
        <v>2448</v>
      </c>
      <c r="G310" t="s">
        <v>2449</v>
      </c>
      <c r="H310" t="s">
        <v>452</v>
      </c>
      <c r="J310" t="s">
        <v>605</v>
      </c>
      <c r="K310" t="s">
        <v>606</v>
      </c>
      <c r="M310" t="s">
        <v>2366</v>
      </c>
      <c r="N310" t="s">
        <v>657</v>
      </c>
      <c r="O310" t="s">
        <v>2450</v>
      </c>
      <c r="P310" t="s">
        <v>670</v>
      </c>
      <c r="Q310" t="s">
        <v>516</v>
      </c>
      <c r="R310" t="s">
        <v>2368</v>
      </c>
      <c r="S310" t="s">
        <v>2451</v>
      </c>
      <c r="T310" t="s">
        <v>2165</v>
      </c>
      <c r="U310">
        <v>241900</v>
      </c>
      <c r="V310" t="s">
        <v>2478</v>
      </c>
      <c r="W310" t="s">
        <v>1734</v>
      </c>
      <c r="X310" t="s">
        <v>1970</v>
      </c>
      <c r="Y310" t="s">
        <v>1971</v>
      </c>
      <c r="AA310" t="s">
        <v>1972</v>
      </c>
      <c r="AB310" t="s">
        <v>1973</v>
      </c>
      <c r="AE310">
        <v>-41.117659359999998</v>
      </c>
      <c r="AF310">
        <v>175.05557983</v>
      </c>
      <c r="AG310" s="175">
        <v>42</v>
      </c>
      <c r="AH310" s="175">
        <v>0</v>
      </c>
      <c r="AI310" s="175">
        <v>0</v>
      </c>
      <c r="AJ310" s="175">
        <v>0</v>
      </c>
      <c r="AK310" s="175">
        <v>4</v>
      </c>
      <c r="AL310" s="175">
        <v>21</v>
      </c>
      <c r="AM310" s="175">
        <v>25</v>
      </c>
      <c r="AN310" s="175">
        <v>0</v>
      </c>
      <c r="AO310" s="175">
        <v>50</v>
      </c>
      <c r="AP310" s="175">
        <v>44</v>
      </c>
      <c r="AQ310" s="175">
        <v>11</v>
      </c>
      <c r="AR310" s="175">
        <v>4</v>
      </c>
      <c r="AS310" s="175">
        <v>5</v>
      </c>
      <c r="AT310" s="175">
        <v>0</v>
      </c>
    </row>
    <row r="311" spans="1:46">
      <c r="A311">
        <v>5321</v>
      </c>
      <c r="B311" t="s">
        <v>2479</v>
      </c>
      <c r="C311" t="s">
        <v>2480</v>
      </c>
      <c r="D311" t="s">
        <v>2481</v>
      </c>
      <c r="E311" t="s">
        <v>2482</v>
      </c>
      <c r="F311" t="s">
        <v>2483</v>
      </c>
      <c r="G311" t="s">
        <v>2449</v>
      </c>
      <c r="H311" t="s">
        <v>452</v>
      </c>
      <c r="J311" t="s">
        <v>605</v>
      </c>
      <c r="K311" t="s">
        <v>606</v>
      </c>
      <c r="M311" t="s">
        <v>2366</v>
      </c>
      <c r="N311" t="s">
        <v>657</v>
      </c>
      <c r="O311" t="s">
        <v>2450</v>
      </c>
      <c r="P311" t="s">
        <v>670</v>
      </c>
      <c r="Q311" t="s">
        <v>516</v>
      </c>
      <c r="R311" t="s">
        <v>2368</v>
      </c>
      <c r="S311" t="s">
        <v>2451</v>
      </c>
      <c r="T311" t="s">
        <v>2165</v>
      </c>
      <c r="U311">
        <v>241800</v>
      </c>
      <c r="V311" t="s">
        <v>2484</v>
      </c>
      <c r="W311" t="s">
        <v>1734</v>
      </c>
      <c r="X311" t="s">
        <v>1970</v>
      </c>
      <c r="Y311" t="s">
        <v>1971</v>
      </c>
      <c r="AA311" t="s">
        <v>1972</v>
      </c>
      <c r="AB311" t="s">
        <v>1973</v>
      </c>
      <c r="AE311">
        <v>-41.149501319999999</v>
      </c>
      <c r="AF311">
        <v>175.00791615</v>
      </c>
      <c r="AG311" s="175">
        <v>60</v>
      </c>
      <c r="AH311" s="175">
        <v>0</v>
      </c>
      <c r="AI311" s="175">
        <v>0</v>
      </c>
      <c r="AJ311" s="175">
        <v>0</v>
      </c>
      <c r="AK311" s="175">
        <v>11</v>
      </c>
      <c r="AL311" s="175">
        <v>29</v>
      </c>
      <c r="AM311" s="175">
        <v>23</v>
      </c>
      <c r="AN311" s="175">
        <v>2</v>
      </c>
      <c r="AO311" s="175">
        <v>65</v>
      </c>
      <c r="AP311" s="175">
        <v>51</v>
      </c>
      <c r="AQ311" s="175">
        <v>16</v>
      </c>
      <c r="AR311" s="175">
        <v>8</v>
      </c>
      <c r="AS311" s="175">
        <v>9</v>
      </c>
      <c r="AT311" s="175">
        <v>2</v>
      </c>
    </row>
    <row r="312" spans="1:46">
      <c r="A312">
        <v>5322</v>
      </c>
      <c r="B312" t="s">
        <v>2485</v>
      </c>
      <c r="C312" t="s">
        <v>2486</v>
      </c>
      <c r="D312" t="s">
        <v>2487</v>
      </c>
      <c r="E312" t="s">
        <v>2488</v>
      </c>
      <c r="F312" t="s">
        <v>2489</v>
      </c>
      <c r="G312" t="s">
        <v>2449</v>
      </c>
      <c r="H312" t="s">
        <v>452</v>
      </c>
      <c r="J312" t="s">
        <v>605</v>
      </c>
      <c r="K312" t="s">
        <v>606</v>
      </c>
      <c r="M312" t="s">
        <v>2366</v>
      </c>
      <c r="N312" t="s">
        <v>657</v>
      </c>
      <c r="O312" t="s">
        <v>2450</v>
      </c>
      <c r="P312" t="s">
        <v>670</v>
      </c>
      <c r="Q312" t="s">
        <v>516</v>
      </c>
      <c r="R312" t="s">
        <v>2368</v>
      </c>
      <c r="S312" t="s">
        <v>2451</v>
      </c>
      <c r="T312" t="s">
        <v>2165</v>
      </c>
      <c r="U312">
        <v>242100</v>
      </c>
      <c r="V312" t="s">
        <v>2489</v>
      </c>
      <c r="W312" t="s">
        <v>1734</v>
      </c>
      <c r="X312" t="s">
        <v>1970</v>
      </c>
      <c r="Y312" t="s">
        <v>1971</v>
      </c>
      <c r="AA312" t="s">
        <v>1972</v>
      </c>
      <c r="AB312" t="s">
        <v>1973</v>
      </c>
      <c r="AE312">
        <v>-41.108806710000003</v>
      </c>
      <c r="AF312">
        <v>175.08233007999999</v>
      </c>
      <c r="AG312" s="175">
        <v>41</v>
      </c>
      <c r="AH312" s="175">
        <v>0</v>
      </c>
      <c r="AI312" s="175">
        <v>0</v>
      </c>
      <c r="AJ312" s="175">
        <v>1</v>
      </c>
      <c r="AK312" s="175">
        <v>11</v>
      </c>
      <c r="AL312" s="175">
        <v>12</v>
      </c>
      <c r="AM312" s="175">
        <v>21</v>
      </c>
      <c r="AN312" s="175">
        <v>0</v>
      </c>
      <c r="AO312" s="175">
        <v>45</v>
      </c>
      <c r="AP312" s="175">
        <v>33</v>
      </c>
      <c r="AQ312" s="175">
        <v>11</v>
      </c>
      <c r="AR312" s="175">
        <v>0</v>
      </c>
      <c r="AS312" s="175">
        <v>5</v>
      </c>
      <c r="AT312" s="175">
        <v>6</v>
      </c>
    </row>
    <row r="313" spans="1:46">
      <c r="A313">
        <v>5323</v>
      </c>
      <c r="B313" t="s">
        <v>2490</v>
      </c>
      <c r="C313" t="s">
        <v>2491</v>
      </c>
      <c r="D313" t="s">
        <v>2492</v>
      </c>
      <c r="E313" t="s">
        <v>2493</v>
      </c>
      <c r="F313" t="s">
        <v>2494</v>
      </c>
      <c r="G313" t="s">
        <v>2449</v>
      </c>
      <c r="H313" t="s">
        <v>452</v>
      </c>
      <c r="J313" t="s">
        <v>605</v>
      </c>
      <c r="K313" t="s">
        <v>606</v>
      </c>
      <c r="M313" t="s">
        <v>2366</v>
      </c>
      <c r="N313" t="s">
        <v>657</v>
      </c>
      <c r="O313" t="s">
        <v>2450</v>
      </c>
      <c r="P313" t="s">
        <v>670</v>
      </c>
      <c r="Q313" t="s">
        <v>516</v>
      </c>
      <c r="R313" t="s">
        <v>2368</v>
      </c>
      <c r="S313" t="s">
        <v>2451</v>
      </c>
      <c r="T313" t="s">
        <v>2165</v>
      </c>
      <c r="U313">
        <v>242000</v>
      </c>
      <c r="V313" t="s">
        <v>2495</v>
      </c>
      <c r="W313" t="s">
        <v>1734</v>
      </c>
      <c r="X313" t="s">
        <v>1970</v>
      </c>
      <c r="Y313" t="s">
        <v>1971</v>
      </c>
      <c r="AA313" t="s">
        <v>1972</v>
      </c>
      <c r="AB313" t="s">
        <v>1973</v>
      </c>
      <c r="AE313">
        <v>-41.136525290000002</v>
      </c>
      <c r="AF313">
        <v>175.03872491000001</v>
      </c>
      <c r="AG313" s="175">
        <v>43</v>
      </c>
      <c r="AH313" s="175">
        <v>0</v>
      </c>
      <c r="AI313" s="175">
        <v>0</v>
      </c>
      <c r="AJ313" s="175">
        <v>0</v>
      </c>
      <c r="AK313" s="175">
        <v>1</v>
      </c>
      <c r="AL313" s="175">
        <v>20</v>
      </c>
      <c r="AM313" s="175">
        <v>26</v>
      </c>
      <c r="AN313" s="175">
        <v>0</v>
      </c>
      <c r="AO313" s="175">
        <v>47</v>
      </c>
      <c r="AP313" s="175">
        <v>26</v>
      </c>
      <c r="AQ313" s="175">
        <v>9</v>
      </c>
      <c r="AR313" s="175">
        <v>9</v>
      </c>
      <c r="AS313" s="175">
        <v>10</v>
      </c>
      <c r="AT313" s="175">
        <v>1</v>
      </c>
    </row>
    <row r="314" spans="1:46">
      <c r="A314">
        <v>5324</v>
      </c>
      <c r="B314" t="s">
        <v>2496</v>
      </c>
      <c r="C314" t="s">
        <v>2497</v>
      </c>
      <c r="E314" t="s">
        <v>2498</v>
      </c>
      <c r="F314" t="s">
        <v>2448</v>
      </c>
      <c r="G314" t="s">
        <v>2449</v>
      </c>
      <c r="H314" t="s">
        <v>452</v>
      </c>
      <c r="J314" t="s">
        <v>605</v>
      </c>
      <c r="K314" t="s">
        <v>606</v>
      </c>
      <c r="M314" t="s">
        <v>2366</v>
      </c>
      <c r="N314" t="s">
        <v>657</v>
      </c>
      <c r="O314" t="s">
        <v>2450</v>
      </c>
      <c r="P314" t="s">
        <v>670</v>
      </c>
      <c r="Q314" t="s">
        <v>516</v>
      </c>
      <c r="R314" t="s">
        <v>2368</v>
      </c>
      <c r="S314" t="s">
        <v>2451</v>
      </c>
      <c r="T314" t="s">
        <v>2165</v>
      </c>
      <c r="U314">
        <v>242400</v>
      </c>
      <c r="V314" t="s">
        <v>2499</v>
      </c>
      <c r="W314" t="s">
        <v>1734</v>
      </c>
      <c r="X314" t="s">
        <v>1970</v>
      </c>
      <c r="Y314" t="s">
        <v>1971</v>
      </c>
      <c r="AA314" t="s">
        <v>1972</v>
      </c>
      <c r="AB314" t="s">
        <v>1973</v>
      </c>
      <c r="AE314">
        <v>-41.121462110000003</v>
      </c>
      <c r="AF314">
        <v>175.07032773</v>
      </c>
      <c r="AG314" s="175">
        <v>42</v>
      </c>
      <c r="AH314" s="175">
        <v>0</v>
      </c>
      <c r="AI314" s="175">
        <v>0</v>
      </c>
      <c r="AJ314" s="175">
        <v>0</v>
      </c>
      <c r="AK314" s="175">
        <v>5</v>
      </c>
      <c r="AL314" s="175">
        <v>18</v>
      </c>
      <c r="AM314" s="175">
        <v>30</v>
      </c>
      <c r="AN314" s="175">
        <v>1</v>
      </c>
      <c r="AO314" s="175">
        <v>54</v>
      </c>
      <c r="AP314" s="175">
        <v>31</v>
      </c>
      <c r="AQ314" s="175">
        <v>12</v>
      </c>
      <c r="AR314" s="175">
        <v>8</v>
      </c>
      <c r="AS314" s="175">
        <v>10</v>
      </c>
      <c r="AT314" s="175">
        <v>2</v>
      </c>
    </row>
    <row r="315" spans="1:46">
      <c r="A315">
        <v>5325</v>
      </c>
      <c r="B315" t="s">
        <v>2500</v>
      </c>
      <c r="C315" t="s">
        <v>2501</v>
      </c>
      <c r="D315" t="s">
        <v>2502</v>
      </c>
      <c r="E315" t="s">
        <v>2503</v>
      </c>
      <c r="F315" t="s">
        <v>2504</v>
      </c>
      <c r="G315" t="s">
        <v>2505</v>
      </c>
      <c r="H315" t="s">
        <v>452</v>
      </c>
      <c r="J315" t="s">
        <v>605</v>
      </c>
      <c r="K315" t="s">
        <v>606</v>
      </c>
      <c r="M315" t="s">
        <v>2366</v>
      </c>
      <c r="N315" t="s">
        <v>643</v>
      </c>
      <c r="O315" t="s">
        <v>2506</v>
      </c>
      <c r="P315" t="s">
        <v>739</v>
      </c>
      <c r="Q315" t="s">
        <v>516</v>
      </c>
      <c r="R315" t="s">
        <v>2368</v>
      </c>
      <c r="S315" t="s">
        <v>2507</v>
      </c>
      <c r="T315" t="s">
        <v>2165</v>
      </c>
      <c r="U315">
        <v>246600</v>
      </c>
      <c r="V315" t="s">
        <v>2508</v>
      </c>
      <c r="W315" t="s">
        <v>2509</v>
      </c>
      <c r="X315" t="s">
        <v>2510</v>
      </c>
      <c r="Y315" t="s">
        <v>2511</v>
      </c>
      <c r="AA315" t="s">
        <v>2512</v>
      </c>
      <c r="AB315" t="s">
        <v>2513</v>
      </c>
      <c r="AC315">
        <v>99090</v>
      </c>
      <c r="AD315" t="s">
        <v>2514</v>
      </c>
      <c r="AE315">
        <v>-41.241507810000002</v>
      </c>
      <c r="AF315">
        <v>174.94564879999999</v>
      </c>
      <c r="AG315" s="175">
        <v>33</v>
      </c>
      <c r="AH315" s="175">
        <v>0</v>
      </c>
      <c r="AI315" s="175">
        <v>0</v>
      </c>
      <c r="AJ315" s="175">
        <v>0</v>
      </c>
      <c r="AK315" s="175">
        <v>0</v>
      </c>
      <c r="AL315" s="175">
        <v>11</v>
      </c>
      <c r="AM315" s="175">
        <v>22</v>
      </c>
      <c r="AN315" s="175">
        <v>0</v>
      </c>
      <c r="AO315" s="175">
        <v>33</v>
      </c>
      <c r="AP315" s="175">
        <v>17</v>
      </c>
      <c r="AQ315" s="175">
        <v>11</v>
      </c>
      <c r="AR315" s="175">
        <v>6</v>
      </c>
      <c r="AS315" s="175">
        <v>7</v>
      </c>
      <c r="AT315" s="175">
        <v>3</v>
      </c>
    </row>
    <row r="316" spans="1:46">
      <c r="A316">
        <v>5326</v>
      </c>
      <c r="B316" t="s">
        <v>2515</v>
      </c>
      <c r="C316" t="s">
        <v>2516</v>
      </c>
      <c r="D316" t="s">
        <v>2517</v>
      </c>
      <c r="E316" t="s">
        <v>2518</v>
      </c>
      <c r="F316" t="s">
        <v>2519</v>
      </c>
      <c r="G316" t="s">
        <v>2505</v>
      </c>
      <c r="H316" t="s">
        <v>452</v>
      </c>
      <c r="J316" t="s">
        <v>605</v>
      </c>
      <c r="K316" t="s">
        <v>606</v>
      </c>
      <c r="M316" t="s">
        <v>2366</v>
      </c>
      <c r="N316" t="s">
        <v>625</v>
      </c>
      <c r="O316" t="s">
        <v>2506</v>
      </c>
      <c r="P316" t="s">
        <v>739</v>
      </c>
      <c r="Q316" t="s">
        <v>516</v>
      </c>
      <c r="R316" t="s">
        <v>2368</v>
      </c>
      <c r="S316" t="s">
        <v>2451</v>
      </c>
      <c r="T316" t="s">
        <v>2165</v>
      </c>
      <c r="U316">
        <v>245200</v>
      </c>
      <c r="V316" t="s">
        <v>2520</v>
      </c>
      <c r="W316" t="s">
        <v>2521</v>
      </c>
      <c r="X316" t="s">
        <v>2510</v>
      </c>
      <c r="Y316" t="s">
        <v>2511</v>
      </c>
      <c r="AA316" t="s">
        <v>2512</v>
      </c>
      <c r="AB316" t="s">
        <v>2513</v>
      </c>
      <c r="AE316">
        <v>-41.196281970000001</v>
      </c>
      <c r="AF316">
        <v>174.9437657</v>
      </c>
      <c r="AG316" s="175">
        <v>44</v>
      </c>
      <c r="AH316" s="175">
        <v>0</v>
      </c>
      <c r="AI316" s="175">
        <v>0</v>
      </c>
      <c r="AJ316" s="175">
        <v>0</v>
      </c>
      <c r="AK316" s="175">
        <v>0</v>
      </c>
      <c r="AL316" s="175">
        <v>16</v>
      </c>
      <c r="AM316" s="175">
        <v>14</v>
      </c>
      <c r="AN316" s="175">
        <v>1</v>
      </c>
      <c r="AO316" s="175">
        <v>31</v>
      </c>
      <c r="AP316" s="175">
        <v>13</v>
      </c>
      <c r="AQ316" s="175">
        <v>9</v>
      </c>
      <c r="AR316" s="175">
        <v>8</v>
      </c>
      <c r="AS316" s="175">
        <v>12</v>
      </c>
      <c r="AT316" s="175">
        <v>2</v>
      </c>
    </row>
    <row r="317" spans="1:46">
      <c r="A317">
        <v>5327</v>
      </c>
      <c r="B317" t="s">
        <v>2522</v>
      </c>
      <c r="C317" t="s">
        <v>2523</v>
      </c>
      <c r="D317" t="s">
        <v>2524</v>
      </c>
      <c r="E317" t="s">
        <v>2525</v>
      </c>
      <c r="F317" t="s">
        <v>2519</v>
      </c>
      <c r="G317" t="s">
        <v>2505</v>
      </c>
      <c r="H317" t="s">
        <v>452</v>
      </c>
      <c r="J317" t="s">
        <v>605</v>
      </c>
      <c r="K317" t="s">
        <v>606</v>
      </c>
      <c r="M317" t="s">
        <v>2366</v>
      </c>
      <c r="N317" t="s">
        <v>657</v>
      </c>
      <c r="O317" t="s">
        <v>2506</v>
      </c>
      <c r="P317" t="s">
        <v>739</v>
      </c>
      <c r="Q317" t="s">
        <v>516</v>
      </c>
      <c r="R317" t="s">
        <v>2368</v>
      </c>
      <c r="S317" t="s">
        <v>2507</v>
      </c>
      <c r="T317" t="s">
        <v>2526</v>
      </c>
      <c r="U317">
        <v>245100</v>
      </c>
      <c r="V317" t="s">
        <v>2527</v>
      </c>
      <c r="W317" t="s">
        <v>2521</v>
      </c>
      <c r="X317" t="s">
        <v>2510</v>
      </c>
      <c r="Y317" t="s">
        <v>2511</v>
      </c>
      <c r="AA317" t="s">
        <v>2512</v>
      </c>
      <c r="AB317" t="s">
        <v>2513</v>
      </c>
      <c r="AE317">
        <v>-41.202396929999999</v>
      </c>
      <c r="AF317">
        <v>174.93789899999999</v>
      </c>
      <c r="AG317" s="175">
        <v>50</v>
      </c>
      <c r="AH317" s="175">
        <v>0</v>
      </c>
      <c r="AI317" s="175">
        <v>0</v>
      </c>
      <c r="AJ317" s="175">
        <v>0</v>
      </c>
      <c r="AK317" s="175">
        <v>0</v>
      </c>
      <c r="AL317" s="175">
        <v>22</v>
      </c>
      <c r="AM317" s="175">
        <v>28</v>
      </c>
      <c r="AN317" s="175">
        <v>1</v>
      </c>
      <c r="AO317" s="175">
        <v>51</v>
      </c>
      <c r="AP317" s="175">
        <v>40</v>
      </c>
      <c r="AQ317" s="175">
        <v>7</v>
      </c>
      <c r="AR317" s="175">
        <v>6</v>
      </c>
      <c r="AS317" s="175">
        <v>8</v>
      </c>
      <c r="AT317" s="175">
        <v>3</v>
      </c>
    </row>
    <row r="318" spans="1:46">
      <c r="A318">
        <v>5328</v>
      </c>
      <c r="B318" t="s">
        <v>2528</v>
      </c>
      <c r="C318" t="s">
        <v>2529</v>
      </c>
      <c r="D318" t="s">
        <v>2530</v>
      </c>
      <c r="E318" t="s">
        <v>2531</v>
      </c>
      <c r="F318" t="s">
        <v>2519</v>
      </c>
      <c r="G318" t="s">
        <v>2505</v>
      </c>
      <c r="H318" t="s">
        <v>452</v>
      </c>
      <c r="J318" t="s">
        <v>605</v>
      </c>
      <c r="K318" t="s">
        <v>606</v>
      </c>
      <c r="M318" t="s">
        <v>2366</v>
      </c>
      <c r="N318" t="s">
        <v>625</v>
      </c>
      <c r="O318" t="s">
        <v>2506</v>
      </c>
      <c r="P318" t="s">
        <v>739</v>
      </c>
      <c r="Q318" t="s">
        <v>516</v>
      </c>
      <c r="R318" t="s">
        <v>2368</v>
      </c>
      <c r="S318" t="s">
        <v>2507</v>
      </c>
      <c r="T318" t="s">
        <v>2526</v>
      </c>
      <c r="U318">
        <v>245600</v>
      </c>
      <c r="V318" t="s">
        <v>2532</v>
      </c>
      <c r="W318" t="s">
        <v>2533</v>
      </c>
      <c r="X318" t="s">
        <v>2510</v>
      </c>
      <c r="Y318" t="s">
        <v>2511</v>
      </c>
      <c r="AA318" t="s">
        <v>2512</v>
      </c>
      <c r="AB318" t="s">
        <v>2513</v>
      </c>
      <c r="AE318">
        <v>-41.207949200000002</v>
      </c>
      <c r="AF318">
        <v>174.93206515</v>
      </c>
      <c r="AG318" s="175">
        <v>40</v>
      </c>
      <c r="AH318" s="175">
        <v>0</v>
      </c>
      <c r="AI318" s="175">
        <v>0</v>
      </c>
      <c r="AJ318" s="175">
        <v>0</v>
      </c>
      <c r="AK318" s="175">
        <v>5</v>
      </c>
      <c r="AL318" s="175">
        <v>19</v>
      </c>
      <c r="AM318" s="175">
        <v>26</v>
      </c>
      <c r="AN318" s="175">
        <v>0</v>
      </c>
      <c r="AO318" s="175">
        <v>50</v>
      </c>
      <c r="AP318" s="175">
        <v>27</v>
      </c>
      <c r="AQ318" s="175">
        <v>8</v>
      </c>
      <c r="AR318" s="175">
        <v>10</v>
      </c>
      <c r="AS318" s="175">
        <v>14</v>
      </c>
      <c r="AT318" s="175">
        <v>7</v>
      </c>
    </row>
    <row r="319" spans="1:46">
      <c r="A319">
        <v>5329</v>
      </c>
      <c r="B319" t="s">
        <v>2534</v>
      </c>
      <c r="C319" t="s">
        <v>2535</v>
      </c>
      <c r="D319" t="s">
        <v>2536</v>
      </c>
      <c r="E319" t="s">
        <v>2537</v>
      </c>
      <c r="F319" t="s">
        <v>2538</v>
      </c>
      <c r="G319" t="s">
        <v>2505</v>
      </c>
      <c r="H319" t="s">
        <v>452</v>
      </c>
      <c r="J319" t="s">
        <v>605</v>
      </c>
      <c r="K319" t="s">
        <v>606</v>
      </c>
      <c r="M319" t="s">
        <v>2366</v>
      </c>
      <c r="N319" t="s">
        <v>657</v>
      </c>
      <c r="O319" t="s">
        <v>2506</v>
      </c>
      <c r="P319" t="s">
        <v>739</v>
      </c>
      <c r="Q319" t="s">
        <v>516</v>
      </c>
      <c r="R319" t="s">
        <v>2368</v>
      </c>
      <c r="S319" t="s">
        <v>2507</v>
      </c>
      <c r="T319" t="s">
        <v>2165</v>
      </c>
      <c r="U319">
        <v>243400</v>
      </c>
      <c r="V319" t="s">
        <v>2538</v>
      </c>
      <c r="W319" t="s">
        <v>2539</v>
      </c>
      <c r="X319" t="s">
        <v>2510</v>
      </c>
      <c r="Y319" t="s">
        <v>2511</v>
      </c>
      <c r="AA319" t="s">
        <v>2512</v>
      </c>
      <c r="AB319" t="s">
        <v>2513</v>
      </c>
      <c r="AE319">
        <v>-41.180775330000003</v>
      </c>
      <c r="AF319">
        <v>174.93271618</v>
      </c>
      <c r="AG319" s="175">
        <v>45</v>
      </c>
      <c r="AH319" s="175">
        <v>0</v>
      </c>
      <c r="AI319" s="175">
        <v>0</v>
      </c>
      <c r="AJ319" s="175">
        <v>0</v>
      </c>
      <c r="AK319" s="175">
        <v>0</v>
      </c>
      <c r="AL319" s="175">
        <v>21</v>
      </c>
      <c r="AM319" s="175">
        <v>19</v>
      </c>
      <c r="AN319" s="175">
        <v>0</v>
      </c>
      <c r="AO319" s="175">
        <v>40</v>
      </c>
      <c r="AP319" s="175">
        <v>33</v>
      </c>
      <c r="AQ319" s="175">
        <v>4</v>
      </c>
      <c r="AR319" s="175">
        <v>2</v>
      </c>
      <c r="AS319" s="175">
        <v>12</v>
      </c>
      <c r="AT319" s="175">
        <v>2</v>
      </c>
    </row>
    <row r="320" spans="1:46">
      <c r="A320">
        <v>5330</v>
      </c>
      <c r="B320" t="s">
        <v>2540</v>
      </c>
      <c r="C320" t="s">
        <v>2541</v>
      </c>
      <c r="D320" t="s">
        <v>2542</v>
      </c>
      <c r="E320" t="s">
        <v>2543</v>
      </c>
      <c r="F320" t="s">
        <v>2544</v>
      </c>
      <c r="G320" t="s">
        <v>2505</v>
      </c>
      <c r="H320" t="s">
        <v>452</v>
      </c>
      <c r="J320" t="s">
        <v>605</v>
      </c>
      <c r="K320" t="s">
        <v>606</v>
      </c>
      <c r="M320" t="s">
        <v>2366</v>
      </c>
      <c r="N320" t="s">
        <v>625</v>
      </c>
      <c r="O320" t="s">
        <v>2506</v>
      </c>
      <c r="P320" t="s">
        <v>739</v>
      </c>
      <c r="Q320" t="s">
        <v>516</v>
      </c>
      <c r="R320" t="s">
        <v>2368</v>
      </c>
      <c r="S320" t="s">
        <v>2451</v>
      </c>
      <c r="T320" t="s">
        <v>2165</v>
      </c>
      <c r="U320">
        <v>246300</v>
      </c>
      <c r="V320" t="s">
        <v>2545</v>
      </c>
      <c r="W320" t="s">
        <v>2546</v>
      </c>
      <c r="X320" t="s">
        <v>2510</v>
      </c>
      <c r="Y320" t="s">
        <v>2511</v>
      </c>
      <c r="AA320" t="s">
        <v>2512</v>
      </c>
      <c r="AB320" t="s">
        <v>2513</v>
      </c>
      <c r="AC320">
        <v>99111</v>
      </c>
      <c r="AD320" t="s">
        <v>2547</v>
      </c>
      <c r="AE320">
        <v>-41.179920060000001</v>
      </c>
      <c r="AF320">
        <v>174.98318325</v>
      </c>
      <c r="AG320" s="175">
        <v>40</v>
      </c>
      <c r="AH320" s="175">
        <v>0</v>
      </c>
      <c r="AI320" s="175">
        <v>0</v>
      </c>
      <c r="AJ320" s="175">
        <v>0</v>
      </c>
      <c r="AK320" s="175">
        <v>2</v>
      </c>
      <c r="AL320" s="175">
        <v>19</v>
      </c>
      <c r="AM320" s="175">
        <v>15</v>
      </c>
      <c r="AN320" s="175">
        <v>0</v>
      </c>
      <c r="AO320" s="175">
        <v>36</v>
      </c>
      <c r="AP320" s="175">
        <v>18</v>
      </c>
      <c r="AQ320" s="175">
        <v>16</v>
      </c>
      <c r="AR320" s="175">
        <v>6</v>
      </c>
      <c r="AS320" s="175">
        <v>12</v>
      </c>
      <c r="AT320" s="175">
        <v>0</v>
      </c>
    </row>
    <row r="321" spans="1:46">
      <c r="A321">
        <v>5331</v>
      </c>
      <c r="B321" t="s">
        <v>2548</v>
      </c>
      <c r="C321" t="s">
        <v>2549</v>
      </c>
      <c r="D321" t="s">
        <v>2550</v>
      </c>
      <c r="E321" t="s">
        <v>2551</v>
      </c>
      <c r="F321" t="s">
        <v>2552</v>
      </c>
      <c r="G321" t="s">
        <v>2505</v>
      </c>
      <c r="H321" t="s">
        <v>452</v>
      </c>
      <c r="J321" t="s">
        <v>605</v>
      </c>
      <c r="K321" t="s">
        <v>606</v>
      </c>
      <c r="M321" t="s">
        <v>2366</v>
      </c>
      <c r="N321" t="s">
        <v>657</v>
      </c>
      <c r="O321" t="s">
        <v>2506</v>
      </c>
      <c r="P321" t="s">
        <v>739</v>
      </c>
      <c r="Q321" t="s">
        <v>516</v>
      </c>
      <c r="R321" t="s">
        <v>2368</v>
      </c>
      <c r="S321" t="s">
        <v>2507</v>
      </c>
      <c r="T321" t="s">
        <v>2165</v>
      </c>
      <c r="U321">
        <v>243200</v>
      </c>
      <c r="V321" t="s">
        <v>2552</v>
      </c>
      <c r="W321" t="s">
        <v>2539</v>
      </c>
      <c r="X321" t="s">
        <v>2510</v>
      </c>
      <c r="Y321" t="s">
        <v>2511</v>
      </c>
      <c r="AA321" t="s">
        <v>2512</v>
      </c>
      <c r="AB321" t="s">
        <v>2513</v>
      </c>
      <c r="AE321">
        <v>-41.208103129999998</v>
      </c>
      <c r="AF321">
        <v>174.87772691999999</v>
      </c>
      <c r="AG321" s="175">
        <v>47</v>
      </c>
      <c r="AH321" s="175">
        <v>0</v>
      </c>
      <c r="AI321" s="175">
        <v>0</v>
      </c>
      <c r="AJ321" s="175">
        <v>0</v>
      </c>
      <c r="AK321" s="175">
        <v>0</v>
      </c>
      <c r="AL321" s="175">
        <v>12</v>
      </c>
      <c r="AM321" s="175">
        <v>33</v>
      </c>
      <c r="AN321" s="175">
        <v>1</v>
      </c>
      <c r="AO321" s="175">
        <v>46</v>
      </c>
      <c r="AP321" s="175">
        <v>32</v>
      </c>
      <c r="AQ321" s="175">
        <v>6</v>
      </c>
      <c r="AR321" s="175">
        <v>4</v>
      </c>
      <c r="AS321" s="175">
        <v>14</v>
      </c>
      <c r="AT321" s="175">
        <v>3</v>
      </c>
    </row>
    <row r="322" spans="1:46">
      <c r="A322">
        <v>5332</v>
      </c>
      <c r="B322" t="s">
        <v>2553</v>
      </c>
      <c r="C322" t="s">
        <v>2554</v>
      </c>
      <c r="D322" t="s">
        <v>2555</v>
      </c>
      <c r="E322" t="s">
        <v>2556</v>
      </c>
      <c r="F322" t="s">
        <v>2557</v>
      </c>
      <c r="G322" t="s">
        <v>2505</v>
      </c>
      <c r="H322" t="s">
        <v>452</v>
      </c>
      <c r="J322" t="s">
        <v>605</v>
      </c>
      <c r="K322" t="s">
        <v>606</v>
      </c>
      <c r="M322" t="s">
        <v>2366</v>
      </c>
      <c r="N322" t="s">
        <v>608</v>
      </c>
      <c r="O322" t="s">
        <v>2506</v>
      </c>
      <c r="P322" t="s">
        <v>739</v>
      </c>
      <c r="Q322" t="s">
        <v>516</v>
      </c>
      <c r="R322" t="s">
        <v>2368</v>
      </c>
      <c r="S322" t="s">
        <v>2451</v>
      </c>
      <c r="T322" t="s">
        <v>2165</v>
      </c>
      <c r="U322">
        <v>245400</v>
      </c>
      <c r="V322" t="s">
        <v>2558</v>
      </c>
      <c r="W322" t="s">
        <v>2533</v>
      </c>
      <c r="X322" t="s">
        <v>2510</v>
      </c>
      <c r="Y322" t="s">
        <v>2511</v>
      </c>
      <c r="AA322" t="s">
        <v>2512</v>
      </c>
      <c r="AB322" t="s">
        <v>2513</v>
      </c>
      <c r="AE322">
        <v>-41.203702999999997</v>
      </c>
      <c r="AF322">
        <v>174.95030148000001</v>
      </c>
      <c r="AG322" s="175">
        <v>41</v>
      </c>
      <c r="AH322" s="175">
        <v>0</v>
      </c>
      <c r="AI322" s="175">
        <v>0</v>
      </c>
      <c r="AJ322" s="175">
        <v>0</v>
      </c>
      <c r="AK322" s="175">
        <v>4</v>
      </c>
      <c r="AL322" s="175">
        <v>21</v>
      </c>
      <c r="AM322" s="175">
        <v>19</v>
      </c>
      <c r="AN322" s="175">
        <v>2</v>
      </c>
      <c r="AO322" s="175">
        <v>46</v>
      </c>
      <c r="AP322" s="175">
        <v>28</v>
      </c>
      <c r="AQ322" s="175">
        <v>14</v>
      </c>
      <c r="AR322" s="175">
        <v>9</v>
      </c>
      <c r="AS322" s="175">
        <v>9</v>
      </c>
      <c r="AT322" s="175">
        <v>3</v>
      </c>
    </row>
    <row r="323" spans="1:46">
      <c r="A323">
        <v>5333</v>
      </c>
      <c r="B323" t="s">
        <v>2559</v>
      </c>
      <c r="C323" t="s">
        <v>2560</v>
      </c>
      <c r="D323" t="s">
        <v>2561</v>
      </c>
      <c r="E323" t="s">
        <v>2562</v>
      </c>
      <c r="F323" t="s">
        <v>2504</v>
      </c>
      <c r="G323" t="s">
        <v>2505</v>
      </c>
      <c r="H323" t="s">
        <v>452</v>
      </c>
      <c r="J323" t="s">
        <v>605</v>
      </c>
      <c r="K323" t="s">
        <v>606</v>
      </c>
      <c r="M323" t="s">
        <v>2366</v>
      </c>
      <c r="N323" t="s">
        <v>643</v>
      </c>
      <c r="O323" t="s">
        <v>2506</v>
      </c>
      <c r="P323" t="s">
        <v>739</v>
      </c>
      <c r="Q323" t="s">
        <v>516</v>
      </c>
      <c r="R323" t="s">
        <v>2368</v>
      </c>
      <c r="S323" t="s">
        <v>2507</v>
      </c>
      <c r="T323" t="s">
        <v>2165</v>
      </c>
      <c r="U323">
        <v>246900</v>
      </c>
      <c r="V323" t="s">
        <v>2563</v>
      </c>
      <c r="W323" t="s">
        <v>2509</v>
      </c>
      <c r="X323" t="s">
        <v>2510</v>
      </c>
      <c r="Y323" t="s">
        <v>2511</v>
      </c>
      <c r="AA323" t="s">
        <v>2512</v>
      </c>
      <c r="AB323" t="s">
        <v>2513</v>
      </c>
      <c r="AC323">
        <v>99090</v>
      </c>
      <c r="AD323" t="s">
        <v>2514</v>
      </c>
      <c r="AE323">
        <v>-41.252067439999998</v>
      </c>
      <c r="AF323">
        <v>174.9322488</v>
      </c>
      <c r="AG323" s="175">
        <v>45</v>
      </c>
      <c r="AH323" s="175">
        <v>0</v>
      </c>
      <c r="AI323" s="175">
        <v>0</v>
      </c>
      <c r="AJ323" s="175">
        <v>0</v>
      </c>
      <c r="AK323" s="175">
        <v>1</v>
      </c>
      <c r="AL323" s="175">
        <v>16</v>
      </c>
      <c r="AM323" s="175">
        <v>16</v>
      </c>
      <c r="AN323" s="175">
        <v>0</v>
      </c>
      <c r="AO323" s="175">
        <v>33</v>
      </c>
      <c r="AP323" s="175">
        <v>22</v>
      </c>
      <c r="AQ323" s="175">
        <v>8</v>
      </c>
      <c r="AR323" s="175">
        <v>8</v>
      </c>
      <c r="AS323" s="175">
        <v>4</v>
      </c>
      <c r="AT323" s="175">
        <v>4</v>
      </c>
    </row>
    <row r="324" spans="1:46">
      <c r="A324">
        <v>5334</v>
      </c>
      <c r="B324" t="s">
        <v>2564</v>
      </c>
      <c r="C324" t="s">
        <v>2565</v>
      </c>
      <c r="D324" t="s">
        <v>2566</v>
      </c>
      <c r="E324" t="s">
        <v>2567</v>
      </c>
      <c r="F324" t="s">
        <v>2568</v>
      </c>
      <c r="G324" t="s">
        <v>2505</v>
      </c>
      <c r="H324" t="s">
        <v>452</v>
      </c>
      <c r="J324" t="s">
        <v>605</v>
      </c>
      <c r="K324" t="s">
        <v>606</v>
      </c>
      <c r="M324" t="s">
        <v>2366</v>
      </c>
      <c r="N324" t="s">
        <v>643</v>
      </c>
      <c r="O324" t="s">
        <v>2506</v>
      </c>
      <c r="P324" t="s">
        <v>739</v>
      </c>
      <c r="Q324" t="s">
        <v>516</v>
      </c>
      <c r="R324" t="s">
        <v>2368</v>
      </c>
      <c r="S324" t="s">
        <v>2507</v>
      </c>
      <c r="T324" t="s">
        <v>2526</v>
      </c>
      <c r="U324">
        <v>245800</v>
      </c>
      <c r="V324" t="s">
        <v>2568</v>
      </c>
      <c r="W324" t="s">
        <v>2569</v>
      </c>
      <c r="X324" t="s">
        <v>2510</v>
      </c>
      <c r="Y324" t="s">
        <v>2511</v>
      </c>
      <c r="AA324" t="s">
        <v>2512</v>
      </c>
      <c r="AB324" t="s">
        <v>2513</v>
      </c>
      <c r="AE324">
        <v>-41.223808179999999</v>
      </c>
      <c r="AF324">
        <v>174.90202357000001</v>
      </c>
      <c r="AG324" s="175">
        <v>44</v>
      </c>
      <c r="AH324" s="175">
        <v>0</v>
      </c>
      <c r="AI324" s="175">
        <v>0</v>
      </c>
      <c r="AJ324" s="175">
        <v>0</v>
      </c>
      <c r="AK324" s="175">
        <v>2</v>
      </c>
      <c r="AL324" s="175">
        <v>17</v>
      </c>
      <c r="AM324" s="175">
        <v>23</v>
      </c>
      <c r="AN324" s="175">
        <v>0</v>
      </c>
      <c r="AO324" s="175">
        <v>42</v>
      </c>
      <c r="AP324" s="175">
        <v>22</v>
      </c>
      <c r="AQ324" s="175">
        <v>12</v>
      </c>
      <c r="AR324" s="175">
        <v>5</v>
      </c>
      <c r="AS324" s="175">
        <v>14</v>
      </c>
      <c r="AT324" s="175">
        <v>2</v>
      </c>
    </row>
    <row r="325" spans="1:46">
      <c r="A325">
        <v>5335</v>
      </c>
      <c r="B325" t="s">
        <v>2570</v>
      </c>
      <c r="C325" t="s">
        <v>2571</v>
      </c>
      <c r="D325" t="s">
        <v>2572</v>
      </c>
      <c r="E325" t="s">
        <v>2573</v>
      </c>
      <c r="F325" t="s">
        <v>2544</v>
      </c>
      <c r="G325" t="s">
        <v>2505</v>
      </c>
      <c r="H325" t="s">
        <v>452</v>
      </c>
      <c r="J325" t="s">
        <v>605</v>
      </c>
      <c r="K325" t="s">
        <v>606</v>
      </c>
      <c r="M325" t="s">
        <v>2366</v>
      </c>
      <c r="N325" t="s">
        <v>643</v>
      </c>
      <c r="O325" t="s">
        <v>2506</v>
      </c>
      <c r="P325" t="s">
        <v>739</v>
      </c>
      <c r="Q325" t="s">
        <v>516</v>
      </c>
      <c r="R325" t="s">
        <v>2368</v>
      </c>
      <c r="S325" t="s">
        <v>2451</v>
      </c>
      <c r="T325" t="s">
        <v>2165</v>
      </c>
      <c r="U325">
        <v>244500</v>
      </c>
      <c r="V325" t="s">
        <v>2574</v>
      </c>
      <c r="W325" t="s">
        <v>2546</v>
      </c>
      <c r="X325" t="s">
        <v>2510</v>
      </c>
      <c r="Y325" t="s">
        <v>2511</v>
      </c>
      <c r="AA325" t="s">
        <v>2512</v>
      </c>
      <c r="AB325" t="s">
        <v>2513</v>
      </c>
      <c r="AC325">
        <v>99111</v>
      </c>
      <c r="AD325" t="s">
        <v>2547</v>
      </c>
      <c r="AE325">
        <v>-41.16587097</v>
      </c>
      <c r="AF325">
        <v>174.98444473999999</v>
      </c>
      <c r="AG325" s="175">
        <v>45</v>
      </c>
      <c r="AH325" s="175">
        <v>0</v>
      </c>
      <c r="AI325" s="175">
        <v>0</v>
      </c>
      <c r="AJ325" s="175">
        <v>0</v>
      </c>
      <c r="AK325" s="175">
        <v>11</v>
      </c>
      <c r="AL325" s="175">
        <v>14</v>
      </c>
      <c r="AM325" s="175">
        <v>9</v>
      </c>
      <c r="AN325" s="175">
        <v>0</v>
      </c>
      <c r="AO325" s="175">
        <v>34</v>
      </c>
      <c r="AP325" s="175">
        <v>30</v>
      </c>
      <c r="AQ325" s="175">
        <v>9</v>
      </c>
      <c r="AR325" s="175">
        <v>6</v>
      </c>
      <c r="AS325" s="175">
        <v>2</v>
      </c>
      <c r="AT325" s="175">
        <v>1</v>
      </c>
    </row>
    <row r="326" spans="1:46">
      <c r="A326">
        <v>5336</v>
      </c>
      <c r="B326" t="s">
        <v>2575</v>
      </c>
      <c r="C326" t="s">
        <v>2576</v>
      </c>
      <c r="D326" t="s">
        <v>2577</v>
      </c>
      <c r="E326" t="s">
        <v>2578</v>
      </c>
      <c r="F326" t="s">
        <v>2504</v>
      </c>
      <c r="G326" t="s">
        <v>2505</v>
      </c>
      <c r="H326" t="s">
        <v>452</v>
      </c>
      <c r="J326" t="s">
        <v>605</v>
      </c>
      <c r="K326" t="s">
        <v>606</v>
      </c>
      <c r="M326" t="s">
        <v>2366</v>
      </c>
      <c r="N326" t="s">
        <v>643</v>
      </c>
      <c r="O326" t="s">
        <v>2506</v>
      </c>
      <c r="P326" t="s">
        <v>739</v>
      </c>
      <c r="Q326" t="s">
        <v>516</v>
      </c>
      <c r="R326" t="s">
        <v>2368</v>
      </c>
      <c r="S326" t="s">
        <v>2507</v>
      </c>
      <c r="T326" t="s">
        <v>2165</v>
      </c>
      <c r="U326">
        <v>246900</v>
      </c>
      <c r="V326" t="s">
        <v>2563</v>
      </c>
      <c r="W326" t="s">
        <v>2509</v>
      </c>
      <c r="X326" t="s">
        <v>2510</v>
      </c>
      <c r="Y326" t="s">
        <v>2511</v>
      </c>
      <c r="AA326" t="s">
        <v>2512</v>
      </c>
      <c r="AB326" t="s">
        <v>2513</v>
      </c>
      <c r="AC326">
        <v>99090</v>
      </c>
      <c r="AD326" t="s">
        <v>2514</v>
      </c>
      <c r="AE326">
        <v>-41.245709410000003</v>
      </c>
      <c r="AF326">
        <v>174.93684576000001</v>
      </c>
      <c r="AG326" s="175">
        <v>40</v>
      </c>
      <c r="AH326" s="175">
        <v>0</v>
      </c>
      <c r="AI326" s="175">
        <v>0</v>
      </c>
      <c r="AJ326" s="175">
        <v>0</v>
      </c>
      <c r="AK326" s="175">
        <v>1</v>
      </c>
      <c r="AL326" s="175">
        <v>23</v>
      </c>
      <c r="AM326" s="175">
        <v>23</v>
      </c>
      <c r="AN326" s="175">
        <v>1</v>
      </c>
      <c r="AO326" s="175">
        <v>48</v>
      </c>
      <c r="AP326" s="175">
        <v>32</v>
      </c>
      <c r="AQ326" s="175">
        <v>12</v>
      </c>
      <c r="AR326" s="175">
        <v>4</v>
      </c>
      <c r="AS326" s="175">
        <v>13</v>
      </c>
      <c r="AT326" s="175">
        <v>0</v>
      </c>
    </row>
    <row r="327" spans="1:46">
      <c r="A327">
        <v>5337</v>
      </c>
      <c r="B327" t="s">
        <v>2579</v>
      </c>
      <c r="C327" t="s">
        <v>2580</v>
      </c>
      <c r="D327" t="s">
        <v>2581</v>
      </c>
      <c r="E327" t="s">
        <v>2582</v>
      </c>
      <c r="F327" t="s">
        <v>2583</v>
      </c>
      <c r="G327" t="s">
        <v>2505</v>
      </c>
      <c r="H327" t="s">
        <v>452</v>
      </c>
      <c r="J327" t="s">
        <v>605</v>
      </c>
      <c r="K327" t="s">
        <v>606</v>
      </c>
      <c r="M327" t="s">
        <v>2366</v>
      </c>
      <c r="N327" t="s">
        <v>608</v>
      </c>
      <c r="O327" t="s">
        <v>2506</v>
      </c>
      <c r="P327" t="s">
        <v>739</v>
      </c>
      <c r="Q327" t="s">
        <v>516</v>
      </c>
      <c r="R327" t="s">
        <v>2368</v>
      </c>
      <c r="S327" t="s">
        <v>2451</v>
      </c>
      <c r="T327" t="s">
        <v>2165</v>
      </c>
      <c r="U327">
        <v>244600</v>
      </c>
      <c r="V327" t="s">
        <v>2584</v>
      </c>
      <c r="W327" t="s">
        <v>2546</v>
      </c>
      <c r="X327" t="s">
        <v>2510</v>
      </c>
      <c r="Y327" t="s">
        <v>2511</v>
      </c>
      <c r="AA327" t="s">
        <v>2512</v>
      </c>
      <c r="AB327" t="s">
        <v>2513</v>
      </c>
      <c r="AC327">
        <v>99111</v>
      </c>
      <c r="AD327" t="s">
        <v>2547</v>
      </c>
      <c r="AE327">
        <v>-41.179895520000002</v>
      </c>
      <c r="AF327">
        <v>174.95617197999999</v>
      </c>
      <c r="AG327" s="175">
        <v>45</v>
      </c>
      <c r="AH327" s="175">
        <v>0</v>
      </c>
      <c r="AI327" s="175">
        <v>0</v>
      </c>
      <c r="AJ327" s="175">
        <v>0</v>
      </c>
      <c r="AK327" s="175">
        <v>2</v>
      </c>
      <c r="AL327" s="175">
        <v>17</v>
      </c>
      <c r="AM327" s="175">
        <v>9</v>
      </c>
      <c r="AN327" s="175">
        <v>0</v>
      </c>
      <c r="AO327" s="175">
        <v>28</v>
      </c>
      <c r="AP327" s="175">
        <v>10</v>
      </c>
      <c r="AQ327" s="175">
        <v>8</v>
      </c>
      <c r="AR327" s="175">
        <v>9</v>
      </c>
      <c r="AS327" s="175">
        <v>6</v>
      </c>
      <c r="AT327" s="175">
        <v>0</v>
      </c>
    </row>
    <row r="328" spans="1:46">
      <c r="A328">
        <v>5338</v>
      </c>
      <c r="B328" t="s">
        <v>2585</v>
      </c>
      <c r="C328" t="s">
        <v>2586</v>
      </c>
      <c r="D328" t="s">
        <v>2587</v>
      </c>
      <c r="E328" t="s">
        <v>2588</v>
      </c>
      <c r="F328" t="s">
        <v>2589</v>
      </c>
      <c r="G328" t="s">
        <v>2505</v>
      </c>
      <c r="H328" t="s">
        <v>452</v>
      </c>
      <c r="J328" t="s">
        <v>605</v>
      </c>
      <c r="K328" t="s">
        <v>606</v>
      </c>
      <c r="M328" t="s">
        <v>2366</v>
      </c>
      <c r="N328" t="s">
        <v>657</v>
      </c>
      <c r="O328" t="s">
        <v>2506</v>
      </c>
      <c r="P328" t="s">
        <v>739</v>
      </c>
      <c r="Q328" t="s">
        <v>516</v>
      </c>
      <c r="R328" t="s">
        <v>2368</v>
      </c>
      <c r="S328" t="s">
        <v>2507</v>
      </c>
      <c r="T328" t="s">
        <v>2526</v>
      </c>
      <c r="U328">
        <v>244200</v>
      </c>
      <c r="V328" t="s">
        <v>2589</v>
      </c>
      <c r="W328" t="s">
        <v>2521</v>
      </c>
      <c r="X328" t="s">
        <v>2510</v>
      </c>
      <c r="Y328" t="s">
        <v>2511</v>
      </c>
      <c r="AA328" t="s">
        <v>2512</v>
      </c>
      <c r="AB328" t="s">
        <v>2513</v>
      </c>
      <c r="AE328">
        <v>-41.20132675</v>
      </c>
      <c r="AF328">
        <v>174.92252016</v>
      </c>
      <c r="AG328" s="175">
        <v>45</v>
      </c>
      <c r="AH328" s="175">
        <v>0</v>
      </c>
      <c r="AI328" s="175">
        <v>0</v>
      </c>
      <c r="AJ328" s="175">
        <v>0</v>
      </c>
      <c r="AK328" s="175">
        <v>1</v>
      </c>
      <c r="AL328" s="175">
        <v>28</v>
      </c>
      <c r="AM328" s="175">
        <v>23</v>
      </c>
      <c r="AN328" s="175">
        <v>1</v>
      </c>
      <c r="AO328" s="175">
        <v>53</v>
      </c>
      <c r="AP328" s="175">
        <v>34</v>
      </c>
      <c r="AQ328" s="175">
        <v>6</v>
      </c>
      <c r="AR328" s="175">
        <v>2</v>
      </c>
      <c r="AS328" s="175">
        <v>19</v>
      </c>
      <c r="AT328" s="175">
        <v>3</v>
      </c>
    </row>
    <row r="329" spans="1:46">
      <c r="A329">
        <v>5339</v>
      </c>
      <c r="B329" t="s">
        <v>2590</v>
      </c>
      <c r="C329" t="s">
        <v>2591</v>
      </c>
      <c r="D329" t="s">
        <v>2592</v>
      </c>
      <c r="E329" t="s">
        <v>1767</v>
      </c>
      <c r="F329" t="s">
        <v>2504</v>
      </c>
      <c r="G329" t="s">
        <v>2505</v>
      </c>
      <c r="H329" t="s">
        <v>452</v>
      </c>
      <c r="J329" t="s">
        <v>605</v>
      </c>
      <c r="K329" t="s">
        <v>606</v>
      </c>
      <c r="M329" t="s">
        <v>2366</v>
      </c>
      <c r="N329" t="s">
        <v>625</v>
      </c>
      <c r="O329" t="s">
        <v>2506</v>
      </c>
      <c r="P329" t="s">
        <v>739</v>
      </c>
      <c r="Q329" t="s">
        <v>516</v>
      </c>
      <c r="R329" t="s">
        <v>2368</v>
      </c>
      <c r="S329" t="s">
        <v>2507</v>
      </c>
      <c r="T329" t="s">
        <v>2165</v>
      </c>
      <c r="U329">
        <v>247000</v>
      </c>
      <c r="V329" t="s">
        <v>2593</v>
      </c>
      <c r="W329" t="s">
        <v>2509</v>
      </c>
      <c r="X329" t="s">
        <v>2510</v>
      </c>
      <c r="Y329" t="s">
        <v>2511</v>
      </c>
      <c r="AA329" t="s">
        <v>2512</v>
      </c>
      <c r="AB329" t="s">
        <v>2513</v>
      </c>
      <c r="AC329">
        <v>99090</v>
      </c>
      <c r="AD329" t="s">
        <v>2514</v>
      </c>
      <c r="AE329">
        <v>-41.253586689999999</v>
      </c>
      <c r="AF329">
        <v>174.94997881</v>
      </c>
      <c r="AG329" s="175">
        <v>45</v>
      </c>
      <c r="AH329" s="175">
        <v>0</v>
      </c>
      <c r="AI329" s="175">
        <v>0</v>
      </c>
      <c r="AJ329" s="175">
        <v>0</v>
      </c>
      <c r="AK329" s="175">
        <v>1</v>
      </c>
      <c r="AL329" s="175">
        <v>20</v>
      </c>
      <c r="AM329" s="175">
        <v>19</v>
      </c>
      <c r="AN329" s="175">
        <v>0</v>
      </c>
      <c r="AO329" s="175">
        <v>40</v>
      </c>
      <c r="AP329" s="175">
        <v>11</v>
      </c>
      <c r="AQ329" s="175">
        <v>20</v>
      </c>
      <c r="AR329" s="175">
        <v>14</v>
      </c>
      <c r="AS329" s="175">
        <v>11</v>
      </c>
      <c r="AT329" s="175">
        <v>4</v>
      </c>
    </row>
    <row r="330" spans="1:46">
      <c r="A330">
        <v>5340</v>
      </c>
      <c r="B330" t="s">
        <v>2594</v>
      </c>
      <c r="C330" t="s">
        <v>2595</v>
      </c>
      <c r="D330" t="s">
        <v>2596</v>
      </c>
      <c r="E330" t="s">
        <v>2597</v>
      </c>
      <c r="F330" t="s">
        <v>2519</v>
      </c>
      <c r="G330" t="s">
        <v>2505</v>
      </c>
      <c r="H330" t="s">
        <v>452</v>
      </c>
      <c r="J330" t="s">
        <v>605</v>
      </c>
      <c r="K330" t="s">
        <v>606</v>
      </c>
      <c r="M330" t="s">
        <v>2366</v>
      </c>
      <c r="N330" t="s">
        <v>657</v>
      </c>
      <c r="O330" t="s">
        <v>2506</v>
      </c>
      <c r="P330" t="s">
        <v>739</v>
      </c>
      <c r="Q330" t="s">
        <v>516</v>
      </c>
      <c r="R330" t="s">
        <v>2368</v>
      </c>
      <c r="S330" t="s">
        <v>2507</v>
      </c>
      <c r="T330" t="s">
        <v>2526</v>
      </c>
      <c r="U330">
        <v>245500</v>
      </c>
      <c r="V330" t="s">
        <v>2598</v>
      </c>
      <c r="W330" t="s">
        <v>2533</v>
      </c>
      <c r="X330" t="s">
        <v>2510</v>
      </c>
      <c r="Y330" t="s">
        <v>2511</v>
      </c>
      <c r="AA330" t="s">
        <v>2512</v>
      </c>
      <c r="AB330" t="s">
        <v>2513</v>
      </c>
      <c r="AE330">
        <v>-41.216172729999997</v>
      </c>
      <c r="AF330">
        <v>174.92259376000001</v>
      </c>
      <c r="AG330" s="175">
        <v>44</v>
      </c>
      <c r="AH330" s="175">
        <v>0</v>
      </c>
      <c r="AI330" s="175">
        <v>0</v>
      </c>
      <c r="AJ330" s="175">
        <v>0</v>
      </c>
      <c r="AK330" s="175">
        <v>0</v>
      </c>
      <c r="AL330" s="175">
        <v>22</v>
      </c>
      <c r="AM330" s="175">
        <v>26</v>
      </c>
      <c r="AN330" s="175">
        <v>1</v>
      </c>
      <c r="AO330" s="175">
        <v>49</v>
      </c>
      <c r="AP330" s="175">
        <v>35</v>
      </c>
      <c r="AQ330" s="175">
        <v>7</v>
      </c>
      <c r="AR330" s="175">
        <v>2</v>
      </c>
      <c r="AS330" s="175">
        <v>13</v>
      </c>
      <c r="AT330" s="175">
        <v>1</v>
      </c>
    </row>
    <row r="331" spans="1:46">
      <c r="A331">
        <v>5341</v>
      </c>
      <c r="B331" t="s">
        <v>2599</v>
      </c>
      <c r="C331" t="s">
        <v>2600</v>
      </c>
      <c r="D331" t="s">
        <v>2601</v>
      </c>
      <c r="E331" t="s">
        <v>2602</v>
      </c>
      <c r="F331" t="s">
        <v>2603</v>
      </c>
      <c r="G331" t="s">
        <v>2604</v>
      </c>
      <c r="H331" t="s">
        <v>452</v>
      </c>
      <c r="J331" t="s">
        <v>605</v>
      </c>
      <c r="K331" t="s">
        <v>606</v>
      </c>
      <c r="M331" t="s">
        <v>2366</v>
      </c>
      <c r="N331" t="s">
        <v>625</v>
      </c>
      <c r="O331" t="s">
        <v>2605</v>
      </c>
      <c r="P331" t="s">
        <v>670</v>
      </c>
      <c r="Q331" t="s">
        <v>516</v>
      </c>
      <c r="R331" t="s">
        <v>2368</v>
      </c>
      <c r="S331" t="s">
        <v>2606</v>
      </c>
      <c r="T331" t="s">
        <v>1568</v>
      </c>
      <c r="U331">
        <v>240300</v>
      </c>
      <c r="V331" t="s">
        <v>2603</v>
      </c>
      <c r="W331" t="s">
        <v>2607</v>
      </c>
      <c r="X331" t="s">
        <v>1970</v>
      </c>
      <c r="Y331" t="s">
        <v>1971</v>
      </c>
      <c r="AA331" t="s">
        <v>1972</v>
      </c>
      <c r="AB331" t="s">
        <v>1973</v>
      </c>
      <c r="AC331">
        <v>99068</v>
      </c>
      <c r="AD331" t="s">
        <v>2608</v>
      </c>
      <c r="AE331">
        <v>-41.12024641</v>
      </c>
      <c r="AF331">
        <v>174.87180882000001</v>
      </c>
      <c r="AG331" s="175">
        <v>42</v>
      </c>
      <c r="AH331" s="175">
        <v>0</v>
      </c>
      <c r="AI331" s="175">
        <v>0</v>
      </c>
      <c r="AJ331" s="175">
        <v>0</v>
      </c>
      <c r="AK331" s="175">
        <v>4</v>
      </c>
      <c r="AL331" s="175">
        <v>13</v>
      </c>
      <c r="AM331" s="175">
        <v>15</v>
      </c>
      <c r="AN331" s="175">
        <v>0</v>
      </c>
      <c r="AO331" s="175">
        <v>32</v>
      </c>
      <c r="AP331" s="175">
        <v>10</v>
      </c>
      <c r="AQ331" s="175">
        <v>9</v>
      </c>
      <c r="AR331" s="175">
        <v>14</v>
      </c>
      <c r="AS331" s="175">
        <v>9</v>
      </c>
      <c r="AT331" s="175">
        <v>2</v>
      </c>
    </row>
    <row r="332" spans="1:46">
      <c r="A332">
        <v>5342</v>
      </c>
      <c r="B332" t="s">
        <v>2609</v>
      </c>
      <c r="C332" t="s">
        <v>2610</v>
      </c>
      <c r="D332" t="s">
        <v>2611</v>
      </c>
      <c r="E332" t="s">
        <v>2612</v>
      </c>
      <c r="F332" t="s">
        <v>2613</v>
      </c>
      <c r="G332" t="s">
        <v>2368</v>
      </c>
      <c r="H332" t="s">
        <v>452</v>
      </c>
      <c r="J332" t="s">
        <v>605</v>
      </c>
      <c r="K332" t="s">
        <v>606</v>
      </c>
      <c r="M332" t="s">
        <v>2366</v>
      </c>
      <c r="N332" t="s">
        <v>657</v>
      </c>
      <c r="O332" t="s">
        <v>2614</v>
      </c>
      <c r="P332" t="s">
        <v>739</v>
      </c>
      <c r="Q332" t="s">
        <v>516</v>
      </c>
      <c r="R332" t="s">
        <v>2368</v>
      </c>
      <c r="S332" t="s">
        <v>2615</v>
      </c>
      <c r="T332" t="s">
        <v>2526</v>
      </c>
      <c r="U332">
        <v>253300</v>
      </c>
      <c r="V332" t="s">
        <v>2613</v>
      </c>
      <c r="W332" t="s">
        <v>2616</v>
      </c>
      <c r="X332" t="s">
        <v>1970</v>
      </c>
      <c r="Y332" t="s">
        <v>1971</v>
      </c>
      <c r="AA332" t="s">
        <v>1972</v>
      </c>
      <c r="AB332" t="s">
        <v>1973</v>
      </c>
      <c r="AC332">
        <v>99171</v>
      </c>
      <c r="AD332" t="s">
        <v>2617</v>
      </c>
      <c r="AE332">
        <v>-41.319706099999998</v>
      </c>
      <c r="AF332">
        <v>174.77292786000001</v>
      </c>
      <c r="AG332" s="175">
        <v>40</v>
      </c>
      <c r="AH332" s="175">
        <v>0</v>
      </c>
      <c r="AI332" s="175">
        <v>0</v>
      </c>
      <c r="AJ332" s="175">
        <v>0</v>
      </c>
      <c r="AK332" s="175">
        <v>4</v>
      </c>
      <c r="AL332" s="175">
        <v>17</v>
      </c>
      <c r="AM332" s="175">
        <v>21</v>
      </c>
      <c r="AN332" s="175">
        <v>1</v>
      </c>
      <c r="AO332" s="175">
        <v>43</v>
      </c>
      <c r="AP332" s="175">
        <v>17</v>
      </c>
      <c r="AQ332" s="175">
        <v>3</v>
      </c>
      <c r="AR332" s="175">
        <v>4</v>
      </c>
      <c r="AS332" s="175">
        <v>18</v>
      </c>
      <c r="AT332" s="175">
        <v>11</v>
      </c>
    </row>
    <row r="333" spans="1:46">
      <c r="A333">
        <v>5343</v>
      </c>
      <c r="B333" t="s">
        <v>2618</v>
      </c>
      <c r="C333" t="s">
        <v>2619</v>
      </c>
      <c r="D333" t="s">
        <v>2620</v>
      </c>
      <c r="E333" t="s">
        <v>2621</v>
      </c>
      <c r="F333" t="s">
        <v>2622</v>
      </c>
      <c r="G333" t="s">
        <v>2368</v>
      </c>
      <c r="H333" t="s">
        <v>452</v>
      </c>
      <c r="J333" t="s">
        <v>605</v>
      </c>
      <c r="K333" t="s">
        <v>606</v>
      </c>
      <c r="M333" t="s">
        <v>2366</v>
      </c>
      <c r="N333" t="s">
        <v>657</v>
      </c>
      <c r="O333" t="s">
        <v>2614</v>
      </c>
      <c r="P333" t="s">
        <v>739</v>
      </c>
      <c r="Q333" t="s">
        <v>516</v>
      </c>
      <c r="R333" t="s">
        <v>2368</v>
      </c>
      <c r="S333" t="s">
        <v>2623</v>
      </c>
      <c r="T333" t="s">
        <v>1568</v>
      </c>
      <c r="U333">
        <v>247600</v>
      </c>
      <c r="V333" t="s">
        <v>2624</v>
      </c>
      <c r="W333" t="s">
        <v>2625</v>
      </c>
      <c r="X333" t="s">
        <v>1970</v>
      </c>
      <c r="Y333" t="s">
        <v>1971</v>
      </c>
      <c r="AA333" t="s">
        <v>1972</v>
      </c>
      <c r="AB333" t="s">
        <v>1973</v>
      </c>
      <c r="AE333">
        <v>-41.164439360000003</v>
      </c>
      <c r="AF333">
        <v>174.82363907999999</v>
      </c>
      <c r="AG333" s="175">
        <v>41</v>
      </c>
      <c r="AH333" s="175">
        <v>0</v>
      </c>
      <c r="AI333" s="175">
        <v>0</v>
      </c>
      <c r="AJ333" s="175">
        <v>0</v>
      </c>
      <c r="AK333" s="175">
        <v>10</v>
      </c>
      <c r="AL333" s="175">
        <v>18</v>
      </c>
      <c r="AM333" s="175">
        <v>19</v>
      </c>
      <c r="AN333" s="175">
        <v>0</v>
      </c>
      <c r="AO333" s="175">
        <v>47</v>
      </c>
      <c r="AP333" s="175">
        <v>32</v>
      </c>
      <c r="AQ333" s="175">
        <v>9</v>
      </c>
      <c r="AR333" s="175">
        <v>4</v>
      </c>
      <c r="AS333" s="175">
        <v>13</v>
      </c>
      <c r="AT333" s="175">
        <v>3</v>
      </c>
    </row>
    <row r="334" spans="1:46">
      <c r="A334">
        <v>5344</v>
      </c>
      <c r="B334" t="s">
        <v>2626</v>
      </c>
      <c r="C334" t="s">
        <v>2627</v>
      </c>
      <c r="D334" t="s">
        <v>2628</v>
      </c>
      <c r="E334" t="s">
        <v>2629</v>
      </c>
      <c r="F334" t="s">
        <v>2630</v>
      </c>
      <c r="G334" t="s">
        <v>2368</v>
      </c>
      <c r="H334" t="s">
        <v>452</v>
      </c>
      <c r="J334" t="s">
        <v>605</v>
      </c>
      <c r="K334" t="s">
        <v>606</v>
      </c>
      <c r="M334" t="s">
        <v>2366</v>
      </c>
      <c r="N334" t="s">
        <v>657</v>
      </c>
      <c r="O334" t="s">
        <v>2614</v>
      </c>
      <c r="P334" t="s">
        <v>739</v>
      </c>
      <c r="Q334" t="s">
        <v>516</v>
      </c>
      <c r="R334" t="s">
        <v>2368</v>
      </c>
      <c r="S334" t="s">
        <v>2631</v>
      </c>
      <c r="T334" t="s">
        <v>2526</v>
      </c>
      <c r="U334">
        <v>252200</v>
      </c>
      <c r="V334" t="s">
        <v>2632</v>
      </c>
      <c r="W334" t="s">
        <v>2616</v>
      </c>
      <c r="X334" t="s">
        <v>1970</v>
      </c>
      <c r="Y334" t="s">
        <v>1971</v>
      </c>
      <c r="AA334" t="s">
        <v>1972</v>
      </c>
      <c r="AB334" t="s">
        <v>1973</v>
      </c>
      <c r="AE334">
        <v>-41.30671014</v>
      </c>
      <c r="AF334">
        <v>174.76028486000001</v>
      </c>
      <c r="AG334" s="175">
        <v>40</v>
      </c>
      <c r="AH334" s="175">
        <v>0</v>
      </c>
      <c r="AI334" s="175">
        <v>0</v>
      </c>
      <c r="AJ334" s="175">
        <v>0</v>
      </c>
      <c r="AK334" s="175">
        <v>16</v>
      </c>
      <c r="AL334" s="175">
        <v>14</v>
      </c>
      <c r="AM334" s="175">
        <v>22</v>
      </c>
      <c r="AN334" s="175">
        <v>0</v>
      </c>
      <c r="AO334" s="175">
        <v>52</v>
      </c>
      <c r="AP334" s="175">
        <v>44</v>
      </c>
      <c r="AQ334" s="175">
        <v>3</v>
      </c>
      <c r="AR334" s="175">
        <v>2</v>
      </c>
      <c r="AS334" s="175">
        <v>10</v>
      </c>
      <c r="AT334" s="175">
        <v>4</v>
      </c>
    </row>
    <row r="335" spans="1:46">
      <c r="A335">
        <v>5345</v>
      </c>
      <c r="B335" t="s">
        <v>2633</v>
      </c>
      <c r="C335" t="s">
        <v>2634</v>
      </c>
      <c r="D335" t="s">
        <v>2635</v>
      </c>
      <c r="E335" t="s">
        <v>2636</v>
      </c>
      <c r="F335" t="s">
        <v>2637</v>
      </c>
      <c r="G335" t="s">
        <v>2368</v>
      </c>
      <c r="H335" t="s">
        <v>452</v>
      </c>
      <c r="J335" t="s">
        <v>605</v>
      </c>
      <c r="K335" t="s">
        <v>606</v>
      </c>
      <c r="M335" t="s">
        <v>2366</v>
      </c>
      <c r="N335" t="s">
        <v>657</v>
      </c>
      <c r="O335" t="s">
        <v>2614</v>
      </c>
      <c r="P335" t="s">
        <v>739</v>
      </c>
      <c r="Q335" t="s">
        <v>516</v>
      </c>
      <c r="R335" t="s">
        <v>2368</v>
      </c>
      <c r="S335" t="s">
        <v>2631</v>
      </c>
      <c r="T335" t="s">
        <v>2526</v>
      </c>
      <c r="U335">
        <v>250600</v>
      </c>
      <c r="V335" t="s">
        <v>2638</v>
      </c>
      <c r="W335" t="s">
        <v>2639</v>
      </c>
      <c r="X335" t="s">
        <v>1970</v>
      </c>
      <c r="Y335" t="s">
        <v>1971</v>
      </c>
      <c r="AA335" t="s">
        <v>1972</v>
      </c>
      <c r="AB335" t="s">
        <v>1973</v>
      </c>
      <c r="AE335">
        <v>-41.28595069</v>
      </c>
      <c r="AF335">
        <v>174.74005982</v>
      </c>
      <c r="AG335" s="175">
        <v>32</v>
      </c>
      <c r="AH335" s="175">
        <v>0</v>
      </c>
      <c r="AI335" s="175">
        <v>0</v>
      </c>
      <c r="AJ335" s="175">
        <v>0</v>
      </c>
      <c r="AK335" s="175">
        <v>10</v>
      </c>
      <c r="AL335" s="175">
        <v>11</v>
      </c>
      <c r="AM335" s="175">
        <v>20</v>
      </c>
      <c r="AN335" s="175">
        <v>0</v>
      </c>
      <c r="AO335" s="175">
        <v>41</v>
      </c>
      <c r="AP335" s="175">
        <v>25</v>
      </c>
      <c r="AQ335" s="175">
        <v>2</v>
      </c>
      <c r="AR335" s="175">
        <v>0</v>
      </c>
      <c r="AS335" s="175">
        <v>16</v>
      </c>
      <c r="AT335" s="175">
        <v>3</v>
      </c>
    </row>
    <row r="336" spans="1:46">
      <c r="A336">
        <v>5346</v>
      </c>
      <c r="B336" t="s">
        <v>2640</v>
      </c>
      <c r="C336" t="s">
        <v>2641</v>
      </c>
      <c r="D336" t="s">
        <v>2642</v>
      </c>
      <c r="E336" t="s">
        <v>2643</v>
      </c>
      <c r="F336" t="s">
        <v>2644</v>
      </c>
      <c r="G336" t="s">
        <v>2368</v>
      </c>
      <c r="H336" t="s">
        <v>452</v>
      </c>
      <c r="J336" t="s">
        <v>605</v>
      </c>
      <c r="K336" t="s">
        <v>606</v>
      </c>
      <c r="M336" t="s">
        <v>2366</v>
      </c>
      <c r="N336" t="s">
        <v>657</v>
      </c>
      <c r="O336" t="s">
        <v>2614</v>
      </c>
      <c r="P336" t="s">
        <v>739</v>
      </c>
      <c r="Q336" t="s">
        <v>516</v>
      </c>
      <c r="R336" t="s">
        <v>2368</v>
      </c>
      <c r="S336" t="s">
        <v>2623</v>
      </c>
      <c r="T336" t="s">
        <v>2526</v>
      </c>
      <c r="U336">
        <v>248301</v>
      </c>
      <c r="V336" t="s">
        <v>2645</v>
      </c>
      <c r="W336" t="s">
        <v>2625</v>
      </c>
      <c r="X336" t="s">
        <v>1970</v>
      </c>
      <c r="Y336" t="s">
        <v>1971</v>
      </c>
      <c r="AA336" t="s">
        <v>1972</v>
      </c>
      <c r="AB336" t="s">
        <v>1973</v>
      </c>
      <c r="AE336">
        <v>-41.208826049999999</v>
      </c>
      <c r="AF336">
        <v>174.80825100999999</v>
      </c>
      <c r="AG336" s="175">
        <v>44</v>
      </c>
      <c r="AH336" s="175">
        <v>0</v>
      </c>
      <c r="AI336" s="175">
        <v>0</v>
      </c>
      <c r="AJ336" s="175">
        <v>0</v>
      </c>
      <c r="AK336" s="175">
        <v>5</v>
      </c>
      <c r="AL336" s="175">
        <v>24</v>
      </c>
      <c r="AM336" s="175">
        <v>25</v>
      </c>
      <c r="AN336" s="175">
        <v>2</v>
      </c>
      <c r="AO336" s="175">
        <v>56</v>
      </c>
      <c r="AP336" s="175">
        <v>18</v>
      </c>
      <c r="AQ336" s="175">
        <v>7</v>
      </c>
      <c r="AR336" s="175">
        <v>3</v>
      </c>
      <c r="AS336" s="175">
        <v>27</v>
      </c>
      <c r="AT336" s="175">
        <v>21</v>
      </c>
    </row>
    <row r="337" spans="1:46">
      <c r="A337">
        <v>5347</v>
      </c>
      <c r="B337" t="s">
        <v>2646</v>
      </c>
      <c r="C337" t="s">
        <v>2647</v>
      </c>
      <c r="E337" t="s">
        <v>2648</v>
      </c>
      <c r="F337" t="s">
        <v>2649</v>
      </c>
      <c r="G337" t="s">
        <v>2368</v>
      </c>
      <c r="H337" t="s">
        <v>452</v>
      </c>
      <c r="J337" t="s">
        <v>605</v>
      </c>
      <c r="K337" t="s">
        <v>606</v>
      </c>
      <c r="M337" t="s">
        <v>2366</v>
      </c>
      <c r="N337" t="s">
        <v>657</v>
      </c>
      <c r="O337" t="s">
        <v>2614</v>
      </c>
      <c r="P337" t="s">
        <v>739</v>
      </c>
      <c r="Q337" t="s">
        <v>516</v>
      </c>
      <c r="R337" t="s">
        <v>2368</v>
      </c>
      <c r="S337" t="s">
        <v>2631</v>
      </c>
      <c r="T337" t="s">
        <v>2526</v>
      </c>
      <c r="U337">
        <v>252501</v>
      </c>
      <c r="V337" t="s">
        <v>2650</v>
      </c>
      <c r="W337" t="s">
        <v>2651</v>
      </c>
      <c r="X337" t="s">
        <v>1970</v>
      </c>
      <c r="Y337" t="s">
        <v>1971</v>
      </c>
      <c r="AA337" t="s">
        <v>1972</v>
      </c>
      <c r="AB337" t="s">
        <v>1973</v>
      </c>
      <c r="AC337">
        <v>99171</v>
      </c>
      <c r="AD337" t="s">
        <v>2617</v>
      </c>
      <c r="AE337">
        <v>-41.296207000000003</v>
      </c>
      <c r="AF337">
        <v>174.78524024999999</v>
      </c>
      <c r="AG337" s="175">
        <v>30</v>
      </c>
      <c r="AH337" s="175">
        <v>0</v>
      </c>
      <c r="AI337" s="175">
        <v>0</v>
      </c>
      <c r="AJ337" s="175">
        <v>0</v>
      </c>
      <c r="AK337" s="175">
        <v>9</v>
      </c>
      <c r="AL337" s="175">
        <v>8</v>
      </c>
      <c r="AM337" s="175">
        <v>10</v>
      </c>
      <c r="AN337" s="175">
        <v>1</v>
      </c>
      <c r="AO337" s="175">
        <v>28</v>
      </c>
      <c r="AP337" s="175">
        <v>10</v>
      </c>
      <c r="AQ337" s="175">
        <v>0</v>
      </c>
      <c r="AR337" s="175">
        <v>2</v>
      </c>
      <c r="AS337" s="175">
        <v>15</v>
      </c>
      <c r="AT337" s="175">
        <v>2</v>
      </c>
    </row>
    <row r="338" spans="1:46">
      <c r="A338">
        <v>5348</v>
      </c>
      <c r="B338" t="s">
        <v>2652</v>
      </c>
      <c r="C338" t="s">
        <v>2653</v>
      </c>
      <c r="D338" t="s">
        <v>2654</v>
      </c>
      <c r="E338" t="s">
        <v>2655</v>
      </c>
      <c r="F338" t="s">
        <v>2656</v>
      </c>
      <c r="G338" t="s">
        <v>2604</v>
      </c>
      <c r="H338" t="s">
        <v>452</v>
      </c>
      <c r="J338" t="s">
        <v>605</v>
      </c>
      <c r="K338" t="s">
        <v>606</v>
      </c>
      <c r="M338" t="s">
        <v>2366</v>
      </c>
      <c r="N338" t="s">
        <v>657</v>
      </c>
      <c r="O338" t="s">
        <v>2605</v>
      </c>
      <c r="P338" t="s">
        <v>670</v>
      </c>
      <c r="Q338" t="s">
        <v>516</v>
      </c>
      <c r="R338" t="s">
        <v>2368</v>
      </c>
      <c r="S338" t="s">
        <v>2606</v>
      </c>
      <c r="T338" t="s">
        <v>1568</v>
      </c>
      <c r="U338">
        <v>240401</v>
      </c>
      <c r="V338" t="s">
        <v>2656</v>
      </c>
      <c r="W338" t="s">
        <v>2657</v>
      </c>
      <c r="X338" t="s">
        <v>1970</v>
      </c>
      <c r="Y338" t="s">
        <v>1971</v>
      </c>
      <c r="AA338" t="s">
        <v>1972</v>
      </c>
      <c r="AB338" t="s">
        <v>1973</v>
      </c>
      <c r="AC338">
        <v>99068</v>
      </c>
      <c r="AD338" t="s">
        <v>2608</v>
      </c>
      <c r="AE338">
        <v>-41.110839759999998</v>
      </c>
      <c r="AF338">
        <v>174.88911028999999</v>
      </c>
      <c r="AG338" s="175">
        <v>42</v>
      </c>
      <c r="AH338" s="175">
        <v>0</v>
      </c>
      <c r="AI338" s="175">
        <v>0</v>
      </c>
      <c r="AJ338" s="175">
        <v>0</v>
      </c>
      <c r="AK338" s="175">
        <v>2</v>
      </c>
      <c r="AL338" s="175">
        <v>11</v>
      </c>
      <c r="AM338" s="175">
        <v>37</v>
      </c>
      <c r="AN338" s="175">
        <v>0</v>
      </c>
      <c r="AO338" s="175">
        <v>50</v>
      </c>
      <c r="AP338" s="175">
        <v>29</v>
      </c>
      <c r="AQ338" s="175">
        <v>17</v>
      </c>
      <c r="AR338" s="175">
        <v>9</v>
      </c>
      <c r="AS338" s="175">
        <v>6</v>
      </c>
      <c r="AT338" s="175">
        <v>14</v>
      </c>
    </row>
    <row r="339" spans="1:46">
      <c r="A339">
        <v>5349</v>
      </c>
      <c r="B339" t="s">
        <v>2658</v>
      </c>
      <c r="C339" t="s">
        <v>2659</v>
      </c>
      <c r="D339" t="s">
        <v>2660</v>
      </c>
      <c r="E339" t="s">
        <v>2661</v>
      </c>
      <c r="F339" t="s">
        <v>2662</v>
      </c>
      <c r="G339" t="s">
        <v>2505</v>
      </c>
      <c r="H339" t="s">
        <v>452</v>
      </c>
      <c r="J339" t="s">
        <v>605</v>
      </c>
      <c r="K339" t="s">
        <v>606</v>
      </c>
      <c r="M339" t="s">
        <v>2366</v>
      </c>
      <c r="N339" t="s">
        <v>657</v>
      </c>
      <c r="O339" t="s">
        <v>2506</v>
      </c>
      <c r="P339" t="s">
        <v>739</v>
      </c>
      <c r="Q339" t="s">
        <v>516</v>
      </c>
      <c r="R339" t="s">
        <v>2368</v>
      </c>
      <c r="S339" t="s">
        <v>2507</v>
      </c>
      <c r="T339" t="s">
        <v>2526</v>
      </c>
      <c r="U339">
        <v>247200</v>
      </c>
      <c r="V339" t="s">
        <v>2662</v>
      </c>
      <c r="W339" t="s">
        <v>2569</v>
      </c>
      <c r="X339" t="s">
        <v>1970</v>
      </c>
      <c r="Y339" t="s">
        <v>1971</v>
      </c>
      <c r="AA339" t="s">
        <v>1972</v>
      </c>
      <c r="AB339" t="s">
        <v>1973</v>
      </c>
      <c r="AE339">
        <v>-41.288453969999999</v>
      </c>
      <c r="AF339">
        <v>174.90095572999999</v>
      </c>
      <c r="AG339" s="175">
        <v>42</v>
      </c>
      <c r="AH339" s="175">
        <v>0</v>
      </c>
      <c r="AI339" s="175">
        <v>0</v>
      </c>
      <c r="AJ339" s="175">
        <v>0</v>
      </c>
      <c r="AK339" s="175">
        <v>2</v>
      </c>
      <c r="AL339" s="175">
        <v>24</v>
      </c>
      <c r="AM339" s="175">
        <v>23</v>
      </c>
      <c r="AN339" s="175">
        <v>2</v>
      </c>
      <c r="AO339" s="175">
        <v>51</v>
      </c>
      <c r="AP339" s="175">
        <v>30</v>
      </c>
      <c r="AQ339" s="175">
        <v>5</v>
      </c>
      <c r="AR339" s="175">
        <v>0</v>
      </c>
      <c r="AS339" s="175">
        <v>6</v>
      </c>
      <c r="AT339" s="175">
        <v>20</v>
      </c>
    </row>
    <row r="340" spans="1:46">
      <c r="A340">
        <v>5350</v>
      </c>
      <c r="B340" t="s">
        <v>2663</v>
      </c>
      <c r="C340" t="s">
        <v>2664</v>
      </c>
      <c r="D340" t="s">
        <v>2665</v>
      </c>
      <c r="E340" t="s">
        <v>2666</v>
      </c>
      <c r="F340" t="s">
        <v>2667</v>
      </c>
      <c r="G340" t="s">
        <v>2368</v>
      </c>
      <c r="H340" t="s">
        <v>452</v>
      </c>
      <c r="J340" t="s">
        <v>605</v>
      </c>
      <c r="K340" t="s">
        <v>606</v>
      </c>
      <c r="M340" t="s">
        <v>2366</v>
      </c>
      <c r="N340" t="s">
        <v>657</v>
      </c>
      <c r="O340" t="s">
        <v>2614</v>
      </c>
      <c r="P340" t="s">
        <v>739</v>
      </c>
      <c r="Q340" t="s">
        <v>516</v>
      </c>
      <c r="R340" t="s">
        <v>2368</v>
      </c>
      <c r="S340" t="s">
        <v>2615</v>
      </c>
      <c r="T340" t="s">
        <v>2526</v>
      </c>
      <c r="U340">
        <v>253101</v>
      </c>
      <c r="V340" t="s">
        <v>2668</v>
      </c>
      <c r="W340" t="s">
        <v>2669</v>
      </c>
      <c r="X340" t="s">
        <v>1970</v>
      </c>
      <c r="Y340" t="s">
        <v>1971</v>
      </c>
      <c r="AA340" t="s">
        <v>1972</v>
      </c>
      <c r="AB340" t="s">
        <v>1973</v>
      </c>
      <c r="AC340">
        <v>99141</v>
      </c>
      <c r="AD340" t="s">
        <v>2670</v>
      </c>
      <c r="AE340">
        <v>-41.304268960000002</v>
      </c>
      <c r="AF340">
        <v>174.79280560000001</v>
      </c>
      <c r="AG340" s="175">
        <v>42</v>
      </c>
      <c r="AH340" s="175">
        <v>0</v>
      </c>
      <c r="AI340" s="175">
        <v>0</v>
      </c>
      <c r="AJ340" s="175">
        <v>0</v>
      </c>
      <c r="AK340" s="175">
        <v>3</v>
      </c>
      <c r="AL340" s="175">
        <v>25</v>
      </c>
      <c r="AM340" s="175">
        <v>33</v>
      </c>
      <c r="AN340" s="175">
        <v>1</v>
      </c>
      <c r="AO340" s="175">
        <v>62</v>
      </c>
      <c r="AP340" s="175">
        <v>51</v>
      </c>
      <c r="AQ340" s="175">
        <v>6</v>
      </c>
      <c r="AR340" s="175">
        <v>1</v>
      </c>
      <c r="AS340" s="175">
        <v>15</v>
      </c>
      <c r="AT340" s="175">
        <v>4</v>
      </c>
    </row>
    <row r="341" spans="1:46">
      <c r="A341">
        <v>5352</v>
      </c>
      <c r="B341" t="s">
        <v>2671</v>
      </c>
      <c r="C341" t="s">
        <v>2672</v>
      </c>
      <c r="D341" t="s">
        <v>2673</v>
      </c>
      <c r="E341" t="s">
        <v>2674</v>
      </c>
      <c r="F341" t="s">
        <v>2675</v>
      </c>
      <c r="G341" t="s">
        <v>2368</v>
      </c>
      <c r="H341" t="s">
        <v>452</v>
      </c>
      <c r="J341" t="s">
        <v>605</v>
      </c>
      <c r="K341" t="s">
        <v>606</v>
      </c>
      <c r="M341" t="s">
        <v>2366</v>
      </c>
      <c r="N341" t="s">
        <v>657</v>
      </c>
      <c r="O341" t="s">
        <v>2614</v>
      </c>
      <c r="P341" t="s">
        <v>739</v>
      </c>
      <c r="Q341" t="s">
        <v>516</v>
      </c>
      <c r="R341" t="s">
        <v>2368</v>
      </c>
      <c r="S341" t="s">
        <v>2623</v>
      </c>
      <c r="T341" t="s">
        <v>2526</v>
      </c>
      <c r="U341">
        <v>248900</v>
      </c>
      <c r="V341" t="s">
        <v>2676</v>
      </c>
      <c r="W341" t="s">
        <v>2625</v>
      </c>
      <c r="X341" t="s">
        <v>1970</v>
      </c>
      <c r="Y341" t="s">
        <v>1971</v>
      </c>
      <c r="AA341" t="s">
        <v>1972</v>
      </c>
      <c r="AB341" t="s">
        <v>1973</v>
      </c>
      <c r="AE341">
        <v>-41.22288691</v>
      </c>
      <c r="AF341">
        <v>174.80478528</v>
      </c>
      <c r="AG341" s="175">
        <v>40</v>
      </c>
      <c r="AH341" s="175">
        <v>0</v>
      </c>
      <c r="AI341" s="175">
        <v>0</v>
      </c>
      <c r="AJ341" s="175">
        <v>0</v>
      </c>
      <c r="AK341" s="175">
        <v>2</v>
      </c>
      <c r="AL341" s="175">
        <v>10</v>
      </c>
      <c r="AM341" s="175">
        <v>24</v>
      </c>
      <c r="AN341" s="175">
        <v>0</v>
      </c>
      <c r="AO341" s="175">
        <v>36</v>
      </c>
      <c r="AP341" s="175">
        <v>19</v>
      </c>
      <c r="AQ341" s="175">
        <v>6</v>
      </c>
      <c r="AR341" s="175">
        <v>4</v>
      </c>
      <c r="AS341" s="175">
        <v>10</v>
      </c>
      <c r="AT341" s="175">
        <v>8</v>
      </c>
    </row>
    <row r="342" spans="1:46">
      <c r="A342">
        <v>5353</v>
      </c>
      <c r="B342" t="s">
        <v>2677</v>
      </c>
      <c r="C342" t="s">
        <v>2678</v>
      </c>
      <c r="D342" t="s">
        <v>2679</v>
      </c>
      <c r="E342" t="s">
        <v>2680</v>
      </c>
      <c r="F342" t="s">
        <v>2675</v>
      </c>
      <c r="G342" t="s">
        <v>2368</v>
      </c>
      <c r="H342" t="s">
        <v>452</v>
      </c>
      <c r="J342" t="s">
        <v>605</v>
      </c>
      <c r="K342" t="s">
        <v>606</v>
      </c>
      <c r="M342" t="s">
        <v>2366</v>
      </c>
      <c r="N342" t="s">
        <v>657</v>
      </c>
      <c r="O342" t="s">
        <v>2614</v>
      </c>
      <c r="P342" t="s">
        <v>739</v>
      </c>
      <c r="Q342" t="s">
        <v>516</v>
      </c>
      <c r="R342" t="s">
        <v>2368</v>
      </c>
      <c r="S342" t="s">
        <v>2623</v>
      </c>
      <c r="T342" t="s">
        <v>2526</v>
      </c>
      <c r="U342">
        <v>248400</v>
      </c>
      <c r="V342" t="s">
        <v>2681</v>
      </c>
      <c r="W342" t="s">
        <v>2625</v>
      </c>
      <c r="X342" t="s">
        <v>1970</v>
      </c>
      <c r="Y342" t="s">
        <v>1971</v>
      </c>
      <c r="AA342" t="s">
        <v>1972</v>
      </c>
      <c r="AB342" t="s">
        <v>1973</v>
      </c>
      <c r="AE342">
        <v>-41.226139160000002</v>
      </c>
      <c r="AF342">
        <v>174.79758973</v>
      </c>
      <c r="AG342" s="175">
        <v>40</v>
      </c>
      <c r="AH342" s="175">
        <v>0</v>
      </c>
      <c r="AI342" s="175">
        <v>0</v>
      </c>
      <c r="AJ342" s="175">
        <v>0</v>
      </c>
      <c r="AK342" s="175">
        <v>1</v>
      </c>
      <c r="AL342" s="175">
        <v>20</v>
      </c>
      <c r="AM342" s="175">
        <v>26</v>
      </c>
      <c r="AN342" s="175">
        <v>3</v>
      </c>
      <c r="AO342" s="175">
        <v>50</v>
      </c>
      <c r="AP342" s="175">
        <v>28</v>
      </c>
      <c r="AQ342" s="175">
        <v>6</v>
      </c>
      <c r="AR342" s="175">
        <v>2</v>
      </c>
      <c r="AS342" s="175">
        <v>24</v>
      </c>
      <c r="AT342" s="175">
        <v>2</v>
      </c>
    </row>
    <row r="343" spans="1:46">
      <c r="A343">
        <v>5354</v>
      </c>
      <c r="B343" t="s">
        <v>2682</v>
      </c>
      <c r="C343" t="s">
        <v>2683</v>
      </c>
      <c r="D343" t="s">
        <v>2684</v>
      </c>
      <c r="E343" t="s">
        <v>2685</v>
      </c>
      <c r="F343" t="s">
        <v>2637</v>
      </c>
      <c r="G343" t="s">
        <v>2368</v>
      </c>
      <c r="H343" t="s">
        <v>452</v>
      </c>
      <c r="J343" t="s">
        <v>605</v>
      </c>
      <c r="K343" t="s">
        <v>606</v>
      </c>
      <c r="M343" t="s">
        <v>2366</v>
      </c>
      <c r="N343" t="s">
        <v>657</v>
      </c>
      <c r="O343" t="s">
        <v>2614</v>
      </c>
      <c r="P343" t="s">
        <v>739</v>
      </c>
      <c r="Q343" t="s">
        <v>516</v>
      </c>
      <c r="R343" t="s">
        <v>2368</v>
      </c>
      <c r="S343" t="s">
        <v>2631</v>
      </c>
      <c r="T343" t="s">
        <v>2526</v>
      </c>
      <c r="U343">
        <v>249402</v>
      </c>
      <c r="V343" t="s">
        <v>2686</v>
      </c>
      <c r="W343" t="s">
        <v>2639</v>
      </c>
      <c r="X343" t="s">
        <v>1970</v>
      </c>
      <c r="Y343" t="s">
        <v>1971</v>
      </c>
      <c r="AA343" t="s">
        <v>1972</v>
      </c>
      <c r="AB343" t="s">
        <v>1973</v>
      </c>
      <c r="AE343">
        <v>-41.284177270000001</v>
      </c>
      <c r="AF343">
        <v>174.72509749</v>
      </c>
      <c r="AG343" s="175">
        <v>42</v>
      </c>
      <c r="AH343" s="175">
        <v>0</v>
      </c>
      <c r="AI343" s="175">
        <v>0</v>
      </c>
      <c r="AJ343" s="175">
        <v>0</v>
      </c>
      <c r="AK343" s="175">
        <v>4</v>
      </c>
      <c r="AL343" s="175">
        <v>18</v>
      </c>
      <c r="AM343" s="175">
        <v>22</v>
      </c>
      <c r="AN343" s="175">
        <v>0</v>
      </c>
      <c r="AO343" s="175">
        <v>44</v>
      </c>
      <c r="AP343" s="175">
        <v>19</v>
      </c>
      <c r="AQ343" s="175">
        <v>6</v>
      </c>
      <c r="AR343" s="175">
        <v>2</v>
      </c>
      <c r="AS343" s="175">
        <v>19</v>
      </c>
      <c r="AT343" s="175">
        <v>9</v>
      </c>
    </row>
    <row r="344" spans="1:46">
      <c r="A344">
        <v>5355</v>
      </c>
      <c r="B344" t="s">
        <v>2687</v>
      </c>
      <c r="C344" t="s">
        <v>2688</v>
      </c>
      <c r="D344" t="s">
        <v>2689</v>
      </c>
      <c r="E344" t="s">
        <v>2690</v>
      </c>
      <c r="F344" t="s">
        <v>2691</v>
      </c>
      <c r="G344" t="s">
        <v>2604</v>
      </c>
      <c r="H344" t="s">
        <v>452</v>
      </c>
      <c r="J344" t="s">
        <v>605</v>
      </c>
      <c r="K344" t="s">
        <v>606</v>
      </c>
      <c r="M344" t="s">
        <v>2366</v>
      </c>
      <c r="N344" t="s">
        <v>608</v>
      </c>
      <c r="O344" t="s">
        <v>2605</v>
      </c>
      <c r="P344" t="s">
        <v>670</v>
      </c>
      <c r="Q344" t="s">
        <v>516</v>
      </c>
      <c r="R344" t="s">
        <v>2368</v>
      </c>
      <c r="S344" t="s">
        <v>2606</v>
      </c>
      <c r="T344" t="s">
        <v>1568</v>
      </c>
      <c r="U344">
        <v>239300</v>
      </c>
      <c r="V344" t="s">
        <v>2692</v>
      </c>
      <c r="W344" t="s">
        <v>2607</v>
      </c>
      <c r="X344" t="s">
        <v>1970</v>
      </c>
      <c r="Y344" t="s">
        <v>1971</v>
      </c>
      <c r="AA344" t="s">
        <v>1972</v>
      </c>
      <c r="AB344" t="s">
        <v>1973</v>
      </c>
      <c r="AC344">
        <v>99094</v>
      </c>
      <c r="AD344" t="s">
        <v>2693</v>
      </c>
      <c r="AE344">
        <v>-41.124790259999997</v>
      </c>
      <c r="AF344">
        <v>174.83162741000001</v>
      </c>
      <c r="AG344" s="175">
        <v>40</v>
      </c>
      <c r="AH344" s="175">
        <v>0</v>
      </c>
      <c r="AI344" s="175">
        <v>0</v>
      </c>
      <c r="AJ344" s="175">
        <v>0</v>
      </c>
      <c r="AK344" s="175">
        <v>8</v>
      </c>
      <c r="AL344" s="175">
        <v>19</v>
      </c>
      <c r="AM344" s="175">
        <v>16</v>
      </c>
      <c r="AN344" s="175">
        <v>1</v>
      </c>
      <c r="AO344" s="175">
        <v>44</v>
      </c>
      <c r="AP344" s="175">
        <v>20</v>
      </c>
      <c r="AQ344" s="175">
        <v>32</v>
      </c>
      <c r="AR344" s="175">
        <v>18</v>
      </c>
      <c r="AS344" s="175">
        <v>7</v>
      </c>
      <c r="AT344" s="175">
        <v>1</v>
      </c>
    </row>
    <row r="345" spans="1:46">
      <c r="A345">
        <v>5356</v>
      </c>
      <c r="B345" t="s">
        <v>2694</v>
      </c>
      <c r="C345" t="s">
        <v>2695</v>
      </c>
      <c r="D345" t="s">
        <v>2696</v>
      </c>
      <c r="E345" t="s">
        <v>2697</v>
      </c>
      <c r="F345" t="s">
        <v>2698</v>
      </c>
      <c r="G345" t="s">
        <v>2368</v>
      </c>
      <c r="H345" t="s">
        <v>452</v>
      </c>
      <c r="J345" t="s">
        <v>605</v>
      </c>
      <c r="K345" t="s">
        <v>606</v>
      </c>
      <c r="M345" t="s">
        <v>2366</v>
      </c>
      <c r="N345" t="s">
        <v>657</v>
      </c>
      <c r="O345" t="s">
        <v>2614</v>
      </c>
      <c r="P345" t="s">
        <v>739</v>
      </c>
      <c r="Q345" t="s">
        <v>516</v>
      </c>
      <c r="R345" t="s">
        <v>2368</v>
      </c>
      <c r="S345" t="s">
        <v>2623</v>
      </c>
      <c r="T345" t="s">
        <v>2526</v>
      </c>
      <c r="U345">
        <v>250000</v>
      </c>
      <c r="V345" t="s">
        <v>2699</v>
      </c>
      <c r="W345" t="s">
        <v>2639</v>
      </c>
      <c r="X345" t="s">
        <v>1970</v>
      </c>
      <c r="Y345" t="s">
        <v>1971</v>
      </c>
      <c r="AA345" t="s">
        <v>1972</v>
      </c>
      <c r="AB345" t="s">
        <v>1973</v>
      </c>
      <c r="AE345">
        <v>-41.248108369999997</v>
      </c>
      <c r="AF345">
        <v>174.79348665000001</v>
      </c>
      <c r="AG345" s="175">
        <v>42</v>
      </c>
      <c r="AH345" s="175">
        <v>0</v>
      </c>
      <c r="AI345" s="175">
        <v>0</v>
      </c>
      <c r="AJ345" s="175">
        <v>0</v>
      </c>
      <c r="AK345" s="175">
        <v>9</v>
      </c>
      <c r="AL345" s="175">
        <v>21</v>
      </c>
      <c r="AM345" s="175">
        <v>21</v>
      </c>
      <c r="AN345" s="175">
        <v>0</v>
      </c>
      <c r="AO345" s="175">
        <v>51</v>
      </c>
      <c r="AP345" s="175">
        <v>46</v>
      </c>
      <c r="AQ345" s="175">
        <v>5</v>
      </c>
      <c r="AR345" s="175">
        <v>1</v>
      </c>
      <c r="AS345" s="175">
        <v>8</v>
      </c>
      <c r="AT345" s="175">
        <v>4</v>
      </c>
    </row>
    <row r="346" spans="1:46">
      <c r="A346">
        <v>5357</v>
      </c>
      <c r="B346" t="s">
        <v>2700</v>
      </c>
      <c r="C346" t="s">
        <v>2701</v>
      </c>
      <c r="D346" t="s">
        <v>2702</v>
      </c>
      <c r="E346" t="s">
        <v>2703</v>
      </c>
      <c r="F346" t="s">
        <v>2704</v>
      </c>
      <c r="G346" t="s">
        <v>2368</v>
      </c>
      <c r="H346" t="s">
        <v>452</v>
      </c>
      <c r="J346" t="s">
        <v>605</v>
      </c>
      <c r="K346" t="s">
        <v>606</v>
      </c>
      <c r="M346" t="s">
        <v>2366</v>
      </c>
      <c r="N346" t="s">
        <v>657</v>
      </c>
      <c r="O346" t="s">
        <v>2614</v>
      </c>
      <c r="P346" t="s">
        <v>739</v>
      </c>
      <c r="Q346" t="s">
        <v>516</v>
      </c>
      <c r="R346" t="s">
        <v>2368</v>
      </c>
      <c r="S346" t="s">
        <v>2615</v>
      </c>
      <c r="T346" t="s">
        <v>2526</v>
      </c>
      <c r="U346">
        <v>254300</v>
      </c>
      <c r="V346" t="s">
        <v>2704</v>
      </c>
      <c r="W346" t="s">
        <v>2669</v>
      </c>
      <c r="X346" t="s">
        <v>1970</v>
      </c>
      <c r="Y346" t="s">
        <v>1971</v>
      </c>
      <c r="AA346" t="s">
        <v>1972</v>
      </c>
      <c r="AB346" t="s">
        <v>1973</v>
      </c>
      <c r="AC346">
        <v>99141</v>
      </c>
      <c r="AD346" t="s">
        <v>2670</v>
      </c>
      <c r="AE346">
        <v>-41.327470519999999</v>
      </c>
      <c r="AF346">
        <v>174.79850488</v>
      </c>
      <c r="AG346" s="175">
        <v>43</v>
      </c>
      <c r="AH346" s="175">
        <v>0</v>
      </c>
      <c r="AI346" s="175">
        <v>0</v>
      </c>
      <c r="AJ346" s="175">
        <v>0</v>
      </c>
      <c r="AK346" s="175">
        <v>8</v>
      </c>
      <c r="AL346" s="175">
        <v>20</v>
      </c>
      <c r="AM346" s="175">
        <v>26</v>
      </c>
      <c r="AN346" s="175">
        <v>0</v>
      </c>
      <c r="AO346" s="175">
        <v>54</v>
      </c>
      <c r="AP346" s="175">
        <v>35</v>
      </c>
      <c r="AQ346" s="175">
        <v>15</v>
      </c>
      <c r="AR346" s="175">
        <v>12</v>
      </c>
      <c r="AS346" s="175">
        <v>6</v>
      </c>
      <c r="AT346" s="175">
        <v>4</v>
      </c>
    </row>
    <row r="347" spans="1:46">
      <c r="A347">
        <v>5358</v>
      </c>
      <c r="B347" t="s">
        <v>2705</v>
      </c>
      <c r="C347" t="s">
        <v>2706</v>
      </c>
      <c r="E347" t="s">
        <v>2707</v>
      </c>
      <c r="F347" t="s">
        <v>2708</v>
      </c>
      <c r="G347" t="s">
        <v>2604</v>
      </c>
      <c r="H347" t="s">
        <v>452</v>
      </c>
      <c r="J347" t="s">
        <v>605</v>
      </c>
      <c r="K347" t="s">
        <v>606</v>
      </c>
      <c r="M347" t="s">
        <v>2366</v>
      </c>
      <c r="N347" t="s">
        <v>812</v>
      </c>
      <c r="O347" t="s">
        <v>2605</v>
      </c>
      <c r="P347" t="s">
        <v>670</v>
      </c>
      <c r="Q347" t="s">
        <v>516</v>
      </c>
      <c r="R347" t="s">
        <v>2368</v>
      </c>
      <c r="S347" t="s">
        <v>2606</v>
      </c>
      <c r="T347" t="s">
        <v>1568</v>
      </c>
      <c r="U347">
        <v>241000</v>
      </c>
      <c r="V347" t="s">
        <v>2709</v>
      </c>
      <c r="W347" t="s">
        <v>2607</v>
      </c>
      <c r="X347" t="s">
        <v>1970</v>
      </c>
      <c r="Y347" t="s">
        <v>1971</v>
      </c>
      <c r="AA347" t="s">
        <v>1972</v>
      </c>
      <c r="AB347" t="s">
        <v>1973</v>
      </c>
      <c r="AC347">
        <v>99074</v>
      </c>
      <c r="AD347" t="s">
        <v>2710</v>
      </c>
      <c r="AE347">
        <v>-41.138934030000001</v>
      </c>
      <c r="AF347">
        <v>174.8717742</v>
      </c>
      <c r="AG347" s="175">
        <v>42</v>
      </c>
      <c r="AH347" s="175">
        <v>0</v>
      </c>
      <c r="AI347" s="175">
        <v>0</v>
      </c>
      <c r="AJ347" s="175">
        <v>0</v>
      </c>
      <c r="AK347" s="175">
        <v>3</v>
      </c>
      <c r="AL347" s="175">
        <v>17</v>
      </c>
      <c r="AM347" s="175">
        <v>22</v>
      </c>
      <c r="AN347" s="175">
        <v>0</v>
      </c>
      <c r="AO347" s="175">
        <v>42</v>
      </c>
      <c r="AP347" s="175">
        <v>12</v>
      </c>
      <c r="AQ347" s="175">
        <v>14</v>
      </c>
      <c r="AR347" s="175">
        <v>30</v>
      </c>
      <c r="AS347" s="175">
        <v>2</v>
      </c>
      <c r="AT347" s="175">
        <v>2</v>
      </c>
    </row>
    <row r="348" spans="1:46">
      <c r="A348">
        <v>5359</v>
      </c>
      <c r="B348" t="s">
        <v>2711</v>
      </c>
      <c r="C348" t="s">
        <v>2712</v>
      </c>
      <c r="D348" t="s">
        <v>2713</v>
      </c>
      <c r="E348" t="s">
        <v>2714</v>
      </c>
      <c r="F348" t="s">
        <v>2715</v>
      </c>
      <c r="G348" t="s">
        <v>2368</v>
      </c>
      <c r="H348" t="s">
        <v>452</v>
      </c>
      <c r="J348" t="s">
        <v>605</v>
      </c>
      <c r="K348" t="s">
        <v>606</v>
      </c>
      <c r="M348" t="s">
        <v>2366</v>
      </c>
      <c r="N348" t="s">
        <v>657</v>
      </c>
      <c r="O348" t="s">
        <v>2614</v>
      </c>
      <c r="P348" t="s">
        <v>739</v>
      </c>
      <c r="Q348" t="s">
        <v>516</v>
      </c>
      <c r="R348" t="s">
        <v>2368</v>
      </c>
      <c r="S348" t="s">
        <v>2615</v>
      </c>
      <c r="T348" t="s">
        <v>2526</v>
      </c>
      <c r="U348">
        <v>254800</v>
      </c>
      <c r="V348" t="s">
        <v>2716</v>
      </c>
      <c r="W348" t="s">
        <v>2669</v>
      </c>
      <c r="X348" t="s">
        <v>1970</v>
      </c>
      <c r="Y348" t="s">
        <v>1971</v>
      </c>
      <c r="AA348" t="s">
        <v>1972</v>
      </c>
      <c r="AB348" t="s">
        <v>1973</v>
      </c>
      <c r="AC348">
        <v>99141</v>
      </c>
      <c r="AD348" t="s">
        <v>2670</v>
      </c>
      <c r="AE348">
        <v>-41.315975119999997</v>
      </c>
      <c r="AF348">
        <v>174.82078068999999</v>
      </c>
      <c r="AG348" s="175">
        <v>42</v>
      </c>
      <c r="AH348" s="175">
        <v>0</v>
      </c>
      <c r="AI348" s="175">
        <v>0</v>
      </c>
      <c r="AJ348" s="175">
        <v>0</v>
      </c>
      <c r="AK348" s="175">
        <v>3</v>
      </c>
      <c r="AL348" s="175">
        <v>15</v>
      </c>
      <c r="AM348" s="175">
        <v>25</v>
      </c>
      <c r="AN348" s="175">
        <v>0</v>
      </c>
      <c r="AO348" s="175">
        <v>43</v>
      </c>
      <c r="AP348" s="175">
        <v>28</v>
      </c>
      <c r="AQ348" s="175">
        <v>8</v>
      </c>
      <c r="AR348" s="175">
        <v>5</v>
      </c>
      <c r="AS348" s="175">
        <v>15</v>
      </c>
      <c r="AT348" s="175">
        <v>4</v>
      </c>
    </row>
    <row r="349" spans="1:46">
      <c r="A349">
        <v>5360</v>
      </c>
      <c r="B349" t="s">
        <v>2717</v>
      </c>
      <c r="C349" t="s">
        <v>2718</v>
      </c>
      <c r="D349" t="s">
        <v>2719</v>
      </c>
      <c r="E349" t="s">
        <v>2720</v>
      </c>
      <c r="F349" t="s">
        <v>2715</v>
      </c>
      <c r="G349" t="s">
        <v>2368</v>
      </c>
      <c r="H349" t="s">
        <v>452</v>
      </c>
      <c r="J349" t="s">
        <v>605</v>
      </c>
      <c r="K349" t="s">
        <v>606</v>
      </c>
      <c r="M349" t="s">
        <v>2366</v>
      </c>
      <c r="N349" t="s">
        <v>657</v>
      </c>
      <c r="O349" t="s">
        <v>2614</v>
      </c>
      <c r="P349" t="s">
        <v>739</v>
      </c>
      <c r="Q349" t="s">
        <v>516</v>
      </c>
      <c r="R349" t="s">
        <v>2368</v>
      </c>
      <c r="S349" t="s">
        <v>2615</v>
      </c>
      <c r="T349" t="s">
        <v>2526</v>
      </c>
      <c r="U349">
        <v>254100</v>
      </c>
      <c r="V349" t="s">
        <v>2721</v>
      </c>
      <c r="W349" t="s">
        <v>2669</v>
      </c>
      <c r="X349" t="s">
        <v>1970</v>
      </c>
      <c r="Y349" t="s">
        <v>1971</v>
      </c>
      <c r="AA349" t="s">
        <v>1972</v>
      </c>
      <c r="AB349" t="s">
        <v>1973</v>
      </c>
      <c r="AC349">
        <v>99141</v>
      </c>
      <c r="AD349" t="s">
        <v>2670</v>
      </c>
      <c r="AE349">
        <v>-41.307670399999999</v>
      </c>
      <c r="AF349">
        <v>174.8230963</v>
      </c>
      <c r="AG349" s="175">
        <v>42</v>
      </c>
      <c r="AH349" s="175">
        <v>0</v>
      </c>
      <c r="AI349" s="175">
        <v>0</v>
      </c>
      <c r="AJ349" s="175">
        <v>0</v>
      </c>
      <c r="AK349" s="175">
        <v>8</v>
      </c>
      <c r="AL349" s="175">
        <v>21</v>
      </c>
      <c r="AM349" s="175">
        <v>15</v>
      </c>
      <c r="AN349" s="175">
        <v>0</v>
      </c>
      <c r="AO349" s="175">
        <v>44</v>
      </c>
      <c r="AP349" s="175">
        <v>32</v>
      </c>
      <c r="AQ349" s="175">
        <v>6</v>
      </c>
      <c r="AR349" s="175">
        <v>4</v>
      </c>
      <c r="AS349" s="175">
        <v>5</v>
      </c>
      <c r="AT349" s="175">
        <v>5</v>
      </c>
    </row>
    <row r="350" spans="1:46">
      <c r="A350">
        <v>5361</v>
      </c>
      <c r="B350" t="s">
        <v>2722</v>
      </c>
      <c r="C350" t="s">
        <v>2723</v>
      </c>
      <c r="D350" t="s">
        <v>2724</v>
      </c>
      <c r="E350" t="s">
        <v>2725</v>
      </c>
      <c r="F350" t="s">
        <v>2726</v>
      </c>
      <c r="G350" t="s">
        <v>2604</v>
      </c>
      <c r="H350" t="s">
        <v>452</v>
      </c>
      <c r="J350" t="s">
        <v>605</v>
      </c>
      <c r="K350" t="s">
        <v>606</v>
      </c>
      <c r="M350" t="s">
        <v>2366</v>
      </c>
      <c r="N350" t="s">
        <v>812</v>
      </c>
      <c r="O350" t="s">
        <v>2605</v>
      </c>
      <c r="P350" t="s">
        <v>670</v>
      </c>
      <c r="Q350" t="s">
        <v>516</v>
      </c>
      <c r="R350" t="s">
        <v>2368</v>
      </c>
      <c r="S350" t="s">
        <v>2606</v>
      </c>
      <c r="T350" t="s">
        <v>1568</v>
      </c>
      <c r="U350">
        <v>241100</v>
      </c>
      <c r="V350" t="s">
        <v>2727</v>
      </c>
      <c r="W350" t="s">
        <v>2607</v>
      </c>
      <c r="X350" t="s">
        <v>1970</v>
      </c>
      <c r="Y350" t="s">
        <v>1971</v>
      </c>
      <c r="AA350" t="s">
        <v>1972</v>
      </c>
      <c r="AB350" t="s">
        <v>1973</v>
      </c>
      <c r="AC350">
        <v>99074</v>
      </c>
      <c r="AD350" t="s">
        <v>2710</v>
      </c>
      <c r="AE350">
        <v>-41.14196312</v>
      </c>
      <c r="AF350">
        <v>174.86075511999999</v>
      </c>
      <c r="AG350" s="175">
        <v>42</v>
      </c>
      <c r="AH350" s="175">
        <v>0</v>
      </c>
      <c r="AI350" s="175">
        <v>0</v>
      </c>
      <c r="AJ350" s="175">
        <v>0</v>
      </c>
      <c r="AK350" s="175">
        <v>4</v>
      </c>
      <c r="AL350" s="175">
        <v>11</v>
      </c>
      <c r="AM350" s="175">
        <v>21</v>
      </c>
      <c r="AN350" s="175">
        <v>1</v>
      </c>
      <c r="AO350" s="175">
        <v>37</v>
      </c>
      <c r="AP350" s="175">
        <v>9</v>
      </c>
      <c r="AQ350" s="175">
        <v>21</v>
      </c>
      <c r="AR350" s="175">
        <v>26</v>
      </c>
      <c r="AS350" s="175">
        <v>4</v>
      </c>
      <c r="AT350" s="175">
        <v>0</v>
      </c>
    </row>
    <row r="351" spans="1:46">
      <c r="A351">
        <v>5362</v>
      </c>
      <c r="B351" t="s">
        <v>2728</v>
      </c>
      <c r="C351" t="s">
        <v>2729</v>
      </c>
      <c r="E351" t="s">
        <v>2730</v>
      </c>
      <c r="F351" t="s">
        <v>2726</v>
      </c>
      <c r="G351" t="s">
        <v>2604</v>
      </c>
      <c r="H351" t="s">
        <v>452</v>
      </c>
      <c r="J351" t="s">
        <v>605</v>
      </c>
      <c r="K351" t="s">
        <v>606</v>
      </c>
      <c r="M351" t="s">
        <v>2366</v>
      </c>
      <c r="N351" t="s">
        <v>608</v>
      </c>
      <c r="O351" t="s">
        <v>2605</v>
      </c>
      <c r="P351" t="s">
        <v>670</v>
      </c>
      <c r="Q351" t="s">
        <v>516</v>
      </c>
      <c r="R351" t="s">
        <v>2368</v>
      </c>
      <c r="S351" t="s">
        <v>2606</v>
      </c>
      <c r="T351" t="s">
        <v>1568</v>
      </c>
      <c r="U351">
        <v>240500</v>
      </c>
      <c r="V351" t="s">
        <v>2726</v>
      </c>
      <c r="W351" t="s">
        <v>2607</v>
      </c>
      <c r="X351" t="s">
        <v>1970</v>
      </c>
      <c r="Y351" t="s">
        <v>1971</v>
      </c>
      <c r="AA351" t="s">
        <v>1972</v>
      </c>
      <c r="AB351" t="s">
        <v>1973</v>
      </c>
      <c r="AC351">
        <v>99074</v>
      </c>
      <c r="AD351" t="s">
        <v>2710</v>
      </c>
      <c r="AE351">
        <v>-41.139666120000001</v>
      </c>
      <c r="AF351">
        <v>174.84729439</v>
      </c>
      <c r="AG351" s="175">
        <v>42</v>
      </c>
      <c r="AH351" s="175">
        <v>0</v>
      </c>
      <c r="AI351" s="175">
        <v>0</v>
      </c>
      <c r="AJ351" s="175">
        <v>0</v>
      </c>
      <c r="AK351" s="175">
        <v>5</v>
      </c>
      <c r="AL351" s="175">
        <v>18</v>
      </c>
      <c r="AM351" s="175">
        <v>21</v>
      </c>
      <c r="AN351" s="175">
        <v>1</v>
      </c>
      <c r="AO351" s="175">
        <v>45</v>
      </c>
      <c r="AP351" s="175">
        <v>14</v>
      </c>
      <c r="AQ351" s="175">
        <v>15</v>
      </c>
      <c r="AR351" s="175">
        <v>18</v>
      </c>
      <c r="AS351" s="175">
        <v>14</v>
      </c>
      <c r="AT351" s="175">
        <v>1</v>
      </c>
    </row>
    <row r="352" spans="1:46">
      <c r="A352">
        <v>5363</v>
      </c>
      <c r="B352" t="s">
        <v>2731</v>
      </c>
      <c r="C352" t="s">
        <v>2732</v>
      </c>
      <c r="D352" t="s">
        <v>2733</v>
      </c>
      <c r="E352" t="s">
        <v>2734</v>
      </c>
      <c r="F352" t="s">
        <v>2735</v>
      </c>
      <c r="G352" t="s">
        <v>2368</v>
      </c>
      <c r="H352" t="s">
        <v>452</v>
      </c>
      <c r="J352" t="s">
        <v>605</v>
      </c>
      <c r="K352" t="s">
        <v>606</v>
      </c>
      <c r="M352" t="s">
        <v>2366</v>
      </c>
      <c r="N352" t="s">
        <v>657</v>
      </c>
      <c r="O352" t="s">
        <v>2614</v>
      </c>
      <c r="P352" t="s">
        <v>739</v>
      </c>
      <c r="Q352" t="s">
        <v>516</v>
      </c>
      <c r="R352" t="s">
        <v>2368</v>
      </c>
      <c r="S352" t="s">
        <v>2623</v>
      </c>
      <c r="T352" t="s">
        <v>2526</v>
      </c>
      <c r="U352">
        <v>249501</v>
      </c>
      <c r="V352" t="s">
        <v>2736</v>
      </c>
      <c r="W352" t="s">
        <v>2625</v>
      </c>
      <c r="X352" t="s">
        <v>1970</v>
      </c>
      <c r="Y352" t="s">
        <v>1971</v>
      </c>
      <c r="AA352" t="s">
        <v>1972</v>
      </c>
      <c r="AB352" t="s">
        <v>1973</v>
      </c>
      <c r="AE352">
        <v>-41.222954970000004</v>
      </c>
      <c r="AF352">
        <v>174.82459297</v>
      </c>
      <c r="AG352" s="175">
        <v>41</v>
      </c>
      <c r="AH352" s="175">
        <v>0</v>
      </c>
      <c r="AI352" s="175">
        <v>0</v>
      </c>
      <c r="AJ352" s="175">
        <v>0</v>
      </c>
      <c r="AK352" s="175">
        <v>5</v>
      </c>
      <c r="AL352" s="175">
        <v>8</v>
      </c>
      <c r="AM352" s="175">
        <v>27</v>
      </c>
      <c r="AN352" s="175">
        <v>0</v>
      </c>
      <c r="AO352" s="175">
        <v>40</v>
      </c>
      <c r="AP352" s="175">
        <v>12</v>
      </c>
      <c r="AQ352" s="175">
        <v>8</v>
      </c>
      <c r="AR352" s="175">
        <v>7</v>
      </c>
      <c r="AS352" s="175">
        <v>17</v>
      </c>
      <c r="AT352" s="175">
        <v>7</v>
      </c>
    </row>
    <row r="353" spans="1:46">
      <c r="A353">
        <v>5364</v>
      </c>
      <c r="B353" t="s">
        <v>2737</v>
      </c>
      <c r="C353" t="s">
        <v>2738</v>
      </c>
      <c r="D353" t="s">
        <v>2739</v>
      </c>
      <c r="E353" t="s">
        <v>2740</v>
      </c>
      <c r="F353" t="s">
        <v>2735</v>
      </c>
      <c r="G353" t="s">
        <v>2368</v>
      </c>
      <c r="H353" t="s">
        <v>452</v>
      </c>
      <c r="J353" t="s">
        <v>605</v>
      </c>
      <c r="K353" t="s">
        <v>606</v>
      </c>
      <c r="M353" t="s">
        <v>2366</v>
      </c>
      <c r="N353" t="s">
        <v>657</v>
      </c>
      <c r="O353" t="s">
        <v>2614</v>
      </c>
      <c r="P353" t="s">
        <v>739</v>
      </c>
      <c r="Q353" t="s">
        <v>516</v>
      </c>
      <c r="R353" t="s">
        <v>2368</v>
      </c>
      <c r="S353" t="s">
        <v>2623</v>
      </c>
      <c r="T353" t="s">
        <v>2526</v>
      </c>
      <c r="U353">
        <v>249702</v>
      </c>
      <c r="V353" t="s">
        <v>2741</v>
      </c>
      <c r="W353" t="s">
        <v>2625</v>
      </c>
      <c r="X353" t="s">
        <v>1970</v>
      </c>
      <c r="Y353" t="s">
        <v>1971</v>
      </c>
      <c r="AA353" t="s">
        <v>1972</v>
      </c>
      <c r="AB353" t="s">
        <v>1973</v>
      </c>
      <c r="AE353">
        <v>-41.227878680000003</v>
      </c>
      <c r="AF353">
        <v>174.82407655</v>
      </c>
      <c r="AG353" s="175">
        <v>40</v>
      </c>
      <c r="AH353" s="175">
        <v>0</v>
      </c>
      <c r="AI353" s="175">
        <v>0</v>
      </c>
      <c r="AJ353" s="175">
        <v>0</v>
      </c>
      <c r="AK353" s="175">
        <v>0</v>
      </c>
      <c r="AL353" s="175">
        <v>11</v>
      </c>
      <c r="AM353" s="175">
        <v>29</v>
      </c>
      <c r="AN353" s="175">
        <v>1</v>
      </c>
      <c r="AO353" s="175">
        <v>41</v>
      </c>
      <c r="AP353" s="175">
        <v>16</v>
      </c>
      <c r="AQ353" s="175">
        <v>5</v>
      </c>
      <c r="AR353" s="175">
        <v>3</v>
      </c>
      <c r="AS353" s="175">
        <v>24</v>
      </c>
      <c r="AT353" s="175">
        <v>7</v>
      </c>
    </row>
    <row r="354" spans="1:46">
      <c r="A354">
        <v>5365</v>
      </c>
      <c r="B354" t="s">
        <v>2742</v>
      </c>
      <c r="C354" t="s">
        <v>2743</v>
      </c>
      <c r="D354" t="s">
        <v>2744</v>
      </c>
      <c r="E354" t="s">
        <v>2745</v>
      </c>
      <c r="F354" t="s">
        <v>2746</v>
      </c>
      <c r="G354" t="s">
        <v>2368</v>
      </c>
      <c r="H354" t="s">
        <v>452</v>
      </c>
      <c r="J354" t="s">
        <v>605</v>
      </c>
      <c r="K354" t="s">
        <v>606</v>
      </c>
      <c r="M354" t="s">
        <v>2366</v>
      </c>
      <c r="N354" t="s">
        <v>657</v>
      </c>
      <c r="O354" t="s">
        <v>2614</v>
      </c>
      <c r="P354" t="s">
        <v>739</v>
      </c>
      <c r="Q354" t="s">
        <v>516</v>
      </c>
      <c r="R354" t="s">
        <v>2368</v>
      </c>
      <c r="S354" t="s">
        <v>2615</v>
      </c>
      <c r="T354" t="s">
        <v>2526</v>
      </c>
      <c r="U354">
        <v>252900</v>
      </c>
      <c r="V354" t="s">
        <v>2747</v>
      </c>
      <c r="W354" t="s">
        <v>2616</v>
      </c>
      <c r="X354" t="s">
        <v>1970</v>
      </c>
      <c r="Y354" t="s">
        <v>1971</v>
      </c>
      <c r="AA354" t="s">
        <v>1972</v>
      </c>
      <c r="AB354" t="s">
        <v>1973</v>
      </c>
      <c r="AC354">
        <v>99171</v>
      </c>
      <c r="AD354" t="s">
        <v>2617</v>
      </c>
      <c r="AE354">
        <v>-41.306777670000002</v>
      </c>
      <c r="AF354">
        <v>174.77943228999999</v>
      </c>
      <c r="AG354" s="175">
        <v>42</v>
      </c>
      <c r="AH354" s="175">
        <v>0</v>
      </c>
      <c r="AI354" s="175">
        <v>0</v>
      </c>
      <c r="AJ354" s="175">
        <v>0</v>
      </c>
      <c r="AK354" s="175">
        <v>1</v>
      </c>
      <c r="AL354" s="175">
        <v>27</v>
      </c>
      <c r="AM354" s="175">
        <v>20</v>
      </c>
      <c r="AN354" s="175">
        <v>1</v>
      </c>
      <c r="AO354" s="175">
        <v>49</v>
      </c>
      <c r="AP354" s="175">
        <v>21</v>
      </c>
      <c r="AQ354" s="175">
        <v>1</v>
      </c>
      <c r="AR354" s="175">
        <v>5</v>
      </c>
      <c r="AS354" s="175">
        <v>21</v>
      </c>
      <c r="AT354" s="175">
        <v>8</v>
      </c>
    </row>
    <row r="355" spans="1:46">
      <c r="A355">
        <v>5366</v>
      </c>
      <c r="B355" t="s">
        <v>2748</v>
      </c>
      <c r="C355" t="s">
        <v>2749</v>
      </c>
      <c r="D355" t="s">
        <v>2750</v>
      </c>
      <c r="E355" t="s">
        <v>2751</v>
      </c>
      <c r="G355" t="s">
        <v>2752</v>
      </c>
      <c r="H355" t="s">
        <v>452</v>
      </c>
      <c r="J355" t="s">
        <v>605</v>
      </c>
      <c r="K355" t="s">
        <v>606</v>
      </c>
      <c r="M355" t="s">
        <v>2366</v>
      </c>
      <c r="N355" t="s">
        <v>657</v>
      </c>
      <c r="O355" t="s">
        <v>2753</v>
      </c>
      <c r="P355" t="s">
        <v>1347</v>
      </c>
      <c r="Q355" t="s">
        <v>516</v>
      </c>
      <c r="R355" t="s">
        <v>2368</v>
      </c>
      <c r="S355" t="s">
        <v>2148</v>
      </c>
      <c r="T355" t="s">
        <v>1568</v>
      </c>
      <c r="U355">
        <v>237800</v>
      </c>
      <c r="V355" t="s">
        <v>2754</v>
      </c>
      <c r="W355" t="s">
        <v>2755</v>
      </c>
      <c r="X355" t="s">
        <v>1970</v>
      </c>
      <c r="Y355" t="s">
        <v>1971</v>
      </c>
      <c r="AA355" t="s">
        <v>1972</v>
      </c>
      <c r="AB355" t="s">
        <v>1973</v>
      </c>
      <c r="AC355">
        <v>99137</v>
      </c>
      <c r="AD355" t="s">
        <v>2756</v>
      </c>
      <c r="AE355">
        <v>-40.913930819999997</v>
      </c>
      <c r="AF355">
        <v>175.0038615</v>
      </c>
      <c r="AG355" s="175">
        <v>40</v>
      </c>
      <c r="AH355" s="175">
        <v>0</v>
      </c>
      <c r="AI355" s="175">
        <v>0</v>
      </c>
      <c r="AJ355" s="175">
        <v>0</v>
      </c>
      <c r="AK355" s="175">
        <v>12</v>
      </c>
      <c r="AL355" s="175">
        <v>15</v>
      </c>
      <c r="AM355" s="175">
        <v>11</v>
      </c>
      <c r="AN355" s="175">
        <v>0</v>
      </c>
      <c r="AO355" s="175">
        <v>38</v>
      </c>
      <c r="AP355" s="175">
        <v>25</v>
      </c>
      <c r="AQ355" s="175">
        <v>13</v>
      </c>
      <c r="AR355" s="175">
        <v>9</v>
      </c>
      <c r="AS355" s="175">
        <v>6</v>
      </c>
      <c r="AT355" s="175">
        <v>3</v>
      </c>
    </row>
    <row r="356" spans="1:46">
      <c r="A356">
        <v>5367</v>
      </c>
      <c r="B356" t="s">
        <v>2757</v>
      </c>
      <c r="C356" t="s">
        <v>2758</v>
      </c>
      <c r="D356" t="s">
        <v>2759</v>
      </c>
      <c r="E356" t="s">
        <v>2760</v>
      </c>
      <c r="F356" t="s">
        <v>2761</v>
      </c>
      <c r="G356" t="s">
        <v>2368</v>
      </c>
      <c r="H356" t="s">
        <v>452</v>
      </c>
      <c r="J356" t="s">
        <v>605</v>
      </c>
      <c r="K356" t="s">
        <v>606</v>
      </c>
      <c r="M356" t="s">
        <v>2366</v>
      </c>
      <c r="N356" t="s">
        <v>657</v>
      </c>
      <c r="O356" t="s">
        <v>2614</v>
      </c>
      <c r="P356" t="s">
        <v>739</v>
      </c>
      <c r="Q356" t="s">
        <v>516</v>
      </c>
      <c r="R356" t="s">
        <v>2368</v>
      </c>
      <c r="S356" t="s">
        <v>2623</v>
      </c>
      <c r="T356" t="s">
        <v>2526</v>
      </c>
      <c r="U356">
        <v>249600</v>
      </c>
      <c r="V356" t="s">
        <v>2762</v>
      </c>
      <c r="W356" t="s">
        <v>2639</v>
      </c>
      <c r="X356" t="s">
        <v>1970</v>
      </c>
      <c r="Y356" t="s">
        <v>1971</v>
      </c>
      <c r="AA356" t="s">
        <v>1972</v>
      </c>
      <c r="AB356" t="s">
        <v>1973</v>
      </c>
      <c r="AE356">
        <v>-41.247796450000003</v>
      </c>
      <c r="AF356">
        <v>174.7743916</v>
      </c>
      <c r="AG356" s="175">
        <v>43</v>
      </c>
      <c r="AH356" s="175">
        <v>0</v>
      </c>
      <c r="AI356" s="175">
        <v>0</v>
      </c>
      <c r="AJ356" s="175">
        <v>0</v>
      </c>
      <c r="AK356" s="175">
        <v>5</v>
      </c>
      <c r="AL356" s="175">
        <v>18</v>
      </c>
      <c r="AM356" s="175">
        <v>13</v>
      </c>
      <c r="AN356" s="175">
        <v>1</v>
      </c>
      <c r="AO356" s="175">
        <v>37</v>
      </c>
      <c r="AP356" s="175">
        <v>29</v>
      </c>
      <c r="AQ356" s="175">
        <v>3</v>
      </c>
      <c r="AR356" s="175">
        <v>1</v>
      </c>
      <c r="AS356" s="175">
        <v>4</v>
      </c>
      <c r="AT356" s="175">
        <v>7</v>
      </c>
    </row>
    <row r="357" spans="1:46">
      <c r="A357">
        <v>5368</v>
      </c>
      <c r="B357" t="s">
        <v>2763</v>
      </c>
      <c r="C357" t="s">
        <v>2764</v>
      </c>
      <c r="D357" t="s">
        <v>2765</v>
      </c>
      <c r="E357" t="s">
        <v>2766</v>
      </c>
      <c r="F357" t="s">
        <v>612</v>
      </c>
      <c r="G357" t="s">
        <v>2368</v>
      </c>
      <c r="H357" t="s">
        <v>452</v>
      </c>
      <c r="J357" t="s">
        <v>605</v>
      </c>
      <c r="K357" t="s">
        <v>606</v>
      </c>
      <c r="M357" t="s">
        <v>2366</v>
      </c>
      <c r="N357" t="s">
        <v>657</v>
      </c>
      <c r="O357" t="s">
        <v>2614</v>
      </c>
      <c r="P357" t="s">
        <v>739</v>
      </c>
      <c r="Q357" t="s">
        <v>516</v>
      </c>
      <c r="R357" t="s">
        <v>2368</v>
      </c>
      <c r="S357" t="s">
        <v>2631</v>
      </c>
      <c r="T357" t="s">
        <v>2526</v>
      </c>
      <c r="U357">
        <v>250800</v>
      </c>
      <c r="V357" t="s">
        <v>2767</v>
      </c>
      <c r="W357" t="s">
        <v>2639</v>
      </c>
      <c r="X357" t="s">
        <v>1970</v>
      </c>
      <c r="Y357" t="s">
        <v>1971</v>
      </c>
      <c r="AA357" t="s">
        <v>1972</v>
      </c>
      <c r="AB357" t="s">
        <v>1973</v>
      </c>
      <c r="AE357">
        <v>-41.278260539999998</v>
      </c>
      <c r="AF357">
        <v>174.75986904999999</v>
      </c>
      <c r="AG357" s="175">
        <v>41</v>
      </c>
      <c r="AH357" s="175">
        <v>0</v>
      </c>
      <c r="AI357" s="175">
        <v>0</v>
      </c>
      <c r="AJ357" s="175">
        <v>0</v>
      </c>
      <c r="AK357" s="175">
        <v>8</v>
      </c>
      <c r="AL357" s="175">
        <v>15</v>
      </c>
      <c r="AM357" s="175">
        <v>15</v>
      </c>
      <c r="AN357" s="175">
        <v>2</v>
      </c>
      <c r="AO357" s="175">
        <v>40</v>
      </c>
      <c r="AP357" s="175">
        <v>28</v>
      </c>
      <c r="AQ357" s="175">
        <v>4</v>
      </c>
      <c r="AR357" s="175">
        <v>1</v>
      </c>
      <c r="AS357" s="175">
        <v>7</v>
      </c>
      <c r="AT357" s="175">
        <v>6</v>
      </c>
    </row>
    <row r="358" spans="1:46">
      <c r="A358">
        <v>5369</v>
      </c>
      <c r="B358" t="s">
        <v>2768</v>
      </c>
      <c r="C358" t="s">
        <v>2769</v>
      </c>
      <c r="D358" t="s">
        <v>2770</v>
      </c>
      <c r="E358" t="s">
        <v>2771</v>
      </c>
      <c r="F358" t="s">
        <v>2698</v>
      </c>
      <c r="G358" t="s">
        <v>2368</v>
      </c>
      <c r="H358" t="s">
        <v>452</v>
      </c>
      <c r="J358" t="s">
        <v>605</v>
      </c>
      <c r="K358" t="s">
        <v>606</v>
      </c>
      <c r="M358" t="s">
        <v>2366</v>
      </c>
      <c r="N358" t="s">
        <v>657</v>
      </c>
      <c r="O358" t="s">
        <v>2614</v>
      </c>
      <c r="P358" t="s">
        <v>739</v>
      </c>
      <c r="Q358" t="s">
        <v>516</v>
      </c>
      <c r="R358" t="s">
        <v>2368</v>
      </c>
      <c r="S358" t="s">
        <v>2623</v>
      </c>
      <c r="T358" t="s">
        <v>2526</v>
      </c>
      <c r="U358">
        <v>250000</v>
      </c>
      <c r="V358" t="s">
        <v>2699</v>
      </c>
      <c r="W358" t="s">
        <v>2639</v>
      </c>
      <c r="X358" t="s">
        <v>1970</v>
      </c>
      <c r="Y358" t="s">
        <v>1971</v>
      </c>
      <c r="AA358" t="s">
        <v>1972</v>
      </c>
      <c r="AB358" t="s">
        <v>1973</v>
      </c>
      <c r="AE358">
        <v>-41.243626339999999</v>
      </c>
      <c r="AF358">
        <v>174.79413593999999</v>
      </c>
      <c r="AG358" s="175">
        <v>41</v>
      </c>
      <c r="AH358" s="175">
        <v>0</v>
      </c>
      <c r="AI358" s="175">
        <v>0</v>
      </c>
      <c r="AJ358" s="175">
        <v>0</v>
      </c>
      <c r="AK358" s="175">
        <v>12</v>
      </c>
      <c r="AL358" s="175">
        <v>18</v>
      </c>
      <c r="AM358" s="175">
        <v>18</v>
      </c>
      <c r="AN358" s="175">
        <v>0</v>
      </c>
      <c r="AO358" s="175">
        <v>48</v>
      </c>
      <c r="AP358" s="175">
        <v>34</v>
      </c>
      <c r="AQ358" s="175">
        <v>2</v>
      </c>
      <c r="AR358" s="175">
        <v>2</v>
      </c>
      <c r="AS358" s="175">
        <v>15</v>
      </c>
      <c r="AT358" s="175">
        <v>4</v>
      </c>
    </row>
    <row r="359" spans="1:46">
      <c r="A359">
        <v>5370</v>
      </c>
      <c r="B359" t="s">
        <v>2772</v>
      </c>
      <c r="C359" t="s">
        <v>2773</v>
      </c>
      <c r="D359" t="s">
        <v>2774</v>
      </c>
      <c r="E359" t="s">
        <v>2775</v>
      </c>
      <c r="G359" t="s">
        <v>2148</v>
      </c>
      <c r="H359" t="s">
        <v>452</v>
      </c>
      <c r="J359" t="s">
        <v>605</v>
      </c>
      <c r="K359" t="s">
        <v>606</v>
      </c>
      <c r="M359" t="s">
        <v>2366</v>
      </c>
      <c r="N359" t="s">
        <v>643</v>
      </c>
      <c r="O359" t="s">
        <v>2753</v>
      </c>
      <c r="P359" t="s">
        <v>610</v>
      </c>
      <c r="Q359" t="s">
        <v>516</v>
      </c>
      <c r="R359" t="s">
        <v>2368</v>
      </c>
      <c r="S359" t="s">
        <v>2148</v>
      </c>
      <c r="T359" t="s">
        <v>1568</v>
      </c>
      <c r="U359">
        <v>236500</v>
      </c>
      <c r="V359" t="s">
        <v>2148</v>
      </c>
      <c r="W359" t="s">
        <v>2776</v>
      </c>
      <c r="X359" t="s">
        <v>1970</v>
      </c>
      <c r="Y359" t="s">
        <v>1971</v>
      </c>
      <c r="AA359" t="s">
        <v>1972</v>
      </c>
      <c r="AB359" t="s">
        <v>1973</v>
      </c>
      <c r="AE359">
        <v>-40.757387299999998</v>
      </c>
      <c r="AF359">
        <v>175.14369160999999</v>
      </c>
      <c r="AG359" s="175">
        <v>42</v>
      </c>
      <c r="AH359" s="175">
        <v>0</v>
      </c>
      <c r="AI359" s="175">
        <v>0</v>
      </c>
      <c r="AJ359" s="175">
        <v>0</v>
      </c>
      <c r="AK359" s="175">
        <v>11</v>
      </c>
      <c r="AL359" s="175">
        <v>17</v>
      </c>
      <c r="AM359" s="175">
        <v>27</v>
      </c>
      <c r="AN359" s="175">
        <v>1</v>
      </c>
      <c r="AO359" s="175">
        <v>56</v>
      </c>
      <c r="AP359" s="175">
        <v>42</v>
      </c>
      <c r="AQ359" s="175">
        <v>32</v>
      </c>
      <c r="AR359" s="175">
        <v>6</v>
      </c>
      <c r="AS359" s="175">
        <v>1</v>
      </c>
      <c r="AT359" s="175">
        <v>0</v>
      </c>
    </row>
    <row r="360" spans="1:46">
      <c r="A360">
        <v>5371</v>
      </c>
      <c r="B360" t="s">
        <v>2777</v>
      </c>
      <c r="C360" t="s">
        <v>2778</v>
      </c>
      <c r="D360" t="s">
        <v>2779</v>
      </c>
      <c r="E360" t="s">
        <v>2780</v>
      </c>
      <c r="F360" t="s">
        <v>2781</v>
      </c>
      <c r="G360" t="s">
        <v>2604</v>
      </c>
      <c r="H360" t="s">
        <v>452</v>
      </c>
      <c r="J360" t="s">
        <v>605</v>
      </c>
      <c r="K360" t="s">
        <v>606</v>
      </c>
      <c r="M360" t="s">
        <v>2366</v>
      </c>
      <c r="N360" t="s">
        <v>657</v>
      </c>
      <c r="O360" t="s">
        <v>2605</v>
      </c>
      <c r="P360" t="s">
        <v>670</v>
      </c>
      <c r="Q360" t="s">
        <v>516</v>
      </c>
      <c r="R360" t="s">
        <v>2368</v>
      </c>
      <c r="S360" t="s">
        <v>2606</v>
      </c>
      <c r="T360" t="s">
        <v>1568</v>
      </c>
      <c r="U360">
        <v>240000</v>
      </c>
      <c r="V360" t="s">
        <v>2782</v>
      </c>
      <c r="W360" t="s">
        <v>2657</v>
      </c>
      <c r="X360" t="s">
        <v>1970</v>
      </c>
      <c r="Y360" t="s">
        <v>1971</v>
      </c>
      <c r="AA360" t="s">
        <v>1972</v>
      </c>
      <c r="AB360" t="s">
        <v>1973</v>
      </c>
      <c r="AC360">
        <v>99068</v>
      </c>
      <c r="AD360" t="s">
        <v>2608</v>
      </c>
      <c r="AE360">
        <v>-41.114534800000001</v>
      </c>
      <c r="AF360">
        <v>174.86691587000001</v>
      </c>
      <c r="AG360" s="175">
        <v>40</v>
      </c>
      <c r="AH360" s="175">
        <v>0</v>
      </c>
      <c r="AI360" s="175">
        <v>0</v>
      </c>
      <c r="AJ360" s="175">
        <v>0</v>
      </c>
      <c r="AK360" s="175">
        <v>5</v>
      </c>
      <c r="AL360" s="175">
        <v>25</v>
      </c>
      <c r="AM360" s="175">
        <v>24</v>
      </c>
      <c r="AN360" s="175">
        <v>0</v>
      </c>
      <c r="AO360" s="175">
        <v>54</v>
      </c>
      <c r="AP360" s="175">
        <v>40</v>
      </c>
      <c r="AQ360" s="175">
        <v>6</v>
      </c>
      <c r="AR360" s="175">
        <v>4</v>
      </c>
      <c r="AS360" s="175">
        <v>12</v>
      </c>
      <c r="AT360" s="175">
        <v>3</v>
      </c>
    </row>
    <row r="361" spans="1:46">
      <c r="A361">
        <v>5372</v>
      </c>
      <c r="B361" t="s">
        <v>2783</v>
      </c>
      <c r="C361" t="s">
        <v>2784</v>
      </c>
      <c r="D361" t="s">
        <v>2785</v>
      </c>
      <c r="E361" t="s">
        <v>2786</v>
      </c>
      <c r="F361" t="s">
        <v>2787</v>
      </c>
      <c r="G361" t="s">
        <v>2368</v>
      </c>
      <c r="H361" t="s">
        <v>452</v>
      </c>
      <c r="J361" t="s">
        <v>605</v>
      </c>
      <c r="K361" t="s">
        <v>606</v>
      </c>
      <c r="M361" t="s">
        <v>2366</v>
      </c>
      <c r="N361" t="s">
        <v>657</v>
      </c>
      <c r="O361" t="s">
        <v>2614</v>
      </c>
      <c r="P361" t="s">
        <v>739</v>
      </c>
      <c r="Q361" t="s">
        <v>516</v>
      </c>
      <c r="R361" t="s">
        <v>2368</v>
      </c>
      <c r="S361" t="s">
        <v>2623</v>
      </c>
      <c r="T361" t="s">
        <v>2526</v>
      </c>
      <c r="U361">
        <v>248701</v>
      </c>
      <c r="V361" t="s">
        <v>2787</v>
      </c>
      <c r="W361" t="s">
        <v>2625</v>
      </c>
      <c r="X361" t="s">
        <v>1970</v>
      </c>
      <c r="Y361" t="s">
        <v>1971</v>
      </c>
      <c r="AA361" t="s">
        <v>1972</v>
      </c>
      <c r="AB361" t="s">
        <v>1973</v>
      </c>
      <c r="AE361">
        <v>-41.213649629999999</v>
      </c>
      <c r="AF361">
        <v>174.818093</v>
      </c>
      <c r="AG361" s="175">
        <v>41</v>
      </c>
      <c r="AH361" s="175">
        <v>0</v>
      </c>
      <c r="AI361" s="175">
        <v>0</v>
      </c>
      <c r="AJ361" s="175">
        <v>0</v>
      </c>
      <c r="AK361" s="175">
        <v>4</v>
      </c>
      <c r="AL361" s="175">
        <v>18</v>
      </c>
      <c r="AM361" s="175">
        <v>28</v>
      </c>
      <c r="AN361" s="175">
        <v>2</v>
      </c>
      <c r="AO361" s="175">
        <v>52</v>
      </c>
      <c r="AP361" s="175">
        <v>44</v>
      </c>
      <c r="AQ361" s="175">
        <v>6</v>
      </c>
      <c r="AR361" s="175">
        <v>4</v>
      </c>
      <c r="AS361" s="175">
        <v>9</v>
      </c>
      <c r="AT361" s="175">
        <v>1</v>
      </c>
    </row>
    <row r="362" spans="1:46">
      <c r="A362">
        <v>5373</v>
      </c>
      <c r="B362" t="s">
        <v>2788</v>
      </c>
      <c r="C362" t="s">
        <v>2789</v>
      </c>
      <c r="D362" t="s">
        <v>2790</v>
      </c>
      <c r="E362" t="s">
        <v>2791</v>
      </c>
      <c r="G362" t="s">
        <v>2792</v>
      </c>
      <c r="H362" t="s">
        <v>452</v>
      </c>
      <c r="J362" t="s">
        <v>605</v>
      </c>
      <c r="K362" t="s">
        <v>606</v>
      </c>
      <c r="M362" t="s">
        <v>2366</v>
      </c>
      <c r="N362" t="s">
        <v>657</v>
      </c>
      <c r="O362" t="s">
        <v>2753</v>
      </c>
      <c r="P362" t="s">
        <v>1347</v>
      </c>
      <c r="Q362" t="s">
        <v>516</v>
      </c>
      <c r="R362" t="s">
        <v>2368</v>
      </c>
      <c r="S362" t="s">
        <v>2148</v>
      </c>
      <c r="T362" t="s">
        <v>1568</v>
      </c>
      <c r="U362">
        <v>237001</v>
      </c>
      <c r="V362" t="s">
        <v>2793</v>
      </c>
      <c r="W362" t="s">
        <v>2755</v>
      </c>
      <c r="X362" t="s">
        <v>1970</v>
      </c>
      <c r="Y362" t="s">
        <v>1971</v>
      </c>
      <c r="AA362" t="s">
        <v>1972</v>
      </c>
      <c r="AB362" t="s">
        <v>1973</v>
      </c>
      <c r="AE362">
        <v>-40.882860620000002</v>
      </c>
      <c r="AF362">
        <v>174.99464452999999</v>
      </c>
      <c r="AG362" s="175">
        <v>43</v>
      </c>
      <c r="AH362" s="175">
        <v>0</v>
      </c>
      <c r="AI362" s="175">
        <v>0</v>
      </c>
      <c r="AJ362" s="175">
        <v>0</v>
      </c>
      <c r="AK362" s="175">
        <v>10</v>
      </c>
      <c r="AL362" s="175">
        <v>19</v>
      </c>
      <c r="AM362" s="175">
        <v>22</v>
      </c>
      <c r="AN362" s="175">
        <v>2</v>
      </c>
      <c r="AO362" s="175">
        <v>53</v>
      </c>
      <c r="AP362" s="175">
        <v>46</v>
      </c>
      <c r="AQ362" s="175">
        <v>6</v>
      </c>
      <c r="AR362" s="175">
        <v>3</v>
      </c>
      <c r="AS362" s="175">
        <v>2</v>
      </c>
      <c r="AT362" s="175">
        <v>0</v>
      </c>
    </row>
    <row r="363" spans="1:46">
      <c r="A363">
        <v>5374</v>
      </c>
      <c r="B363" t="s">
        <v>2794</v>
      </c>
      <c r="C363" t="s">
        <v>2795</v>
      </c>
      <c r="D363" t="s">
        <v>2796</v>
      </c>
      <c r="E363" t="s">
        <v>2797</v>
      </c>
      <c r="F363" t="s">
        <v>2798</v>
      </c>
      <c r="G363" t="s">
        <v>2604</v>
      </c>
      <c r="H363" t="s">
        <v>452</v>
      </c>
      <c r="J363" t="s">
        <v>605</v>
      </c>
      <c r="K363" t="s">
        <v>606</v>
      </c>
      <c r="M363" t="s">
        <v>2366</v>
      </c>
      <c r="N363" t="s">
        <v>657</v>
      </c>
      <c r="O363" t="s">
        <v>2605</v>
      </c>
      <c r="P363" t="s">
        <v>670</v>
      </c>
      <c r="Q363" t="s">
        <v>516</v>
      </c>
      <c r="R363" t="s">
        <v>2368</v>
      </c>
      <c r="S363" t="s">
        <v>2606</v>
      </c>
      <c r="T363" t="s">
        <v>1568</v>
      </c>
      <c r="U363">
        <v>239801</v>
      </c>
      <c r="V363" t="s">
        <v>2798</v>
      </c>
      <c r="W363" t="s">
        <v>2657</v>
      </c>
      <c r="X363" t="s">
        <v>1970</v>
      </c>
      <c r="Y363" t="s">
        <v>1971</v>
      </c>
      <c r="AA363" t="s">
        <v>1972</v>
      </c>
      <c r="AB363" t="s">
        <v>1973</v>
      </c>
      <c r="AC363">
        <v>99068</v>
      </c>
      <c r="AD363" t="s">
        <v>2608</v>
      </c>
      <c r="AE363">
        <v>-41.104301450000001</v>
      </c>
      <c r="AF363">
        <v>174.87462009999999</v>
      </c>
      <c r="AG363" s="175">
        <v>40</v>
      </c>
      <c r="AH363" s="175">
        <v>0</v>
      </c>
      <c r="AI363" s="175">
        <v>0</v>
      </c>
      <c r="AJ363" s="175">
        <v>0</v>
      </c>
      <c r="AK363" s="175">
        <v>8</v>
      </c>
      <c r="AL363" s="175">
        <v>11</v>
      </c>
      <c r="AM363" s="175">
        <v>31</v>
      </c>
      <c r="AN363" s="175">
        <v>0</v>
      </c>
      <c r="AO363" s="175">
        <v>50</v>
      </c>
      <c r="AP363" s="175">
        <v>46</v>
      </c>
      <c r="AQ363" s="175">
        <v>7</v>
      </c>
      <c r="AR363" s="175">
        <v>5</v>
      </c>
      <c r="AS363" s="175">
        <v>1</v>
      </c>
      <c r="AT363" s="175">
        <v>0</v>
      </c>
    </row>
    <row r="364" spans="1:46">
      <c r="A364">
        <v>5375</v>
      </c>
      <c r="B364" t="s">
        <v>2799</v>
      </c>
      <c r="C364" t="s">
        <v>2800</v>
      </c>
      <c r="D364" t="s">
        <v>2801</v>
      </c>
      <c r="E364" t="s">
        <v>2802</v>
      </c>
      <c r="G364" t="s">
        <v>2803</v>
      </c>
      <c r="H364" t="s">
        <v>452</v>
      </c>
      <c r="J364" t="s">
        <v>605</v>
      </c>
      <c r="K364" t="s">
        <v>606</v>
      </c>
      <c r="M364" t="s">
        <v>2366</v>
      </c>
      <c r="N364" t="s">
        <v>643</v>
      </c>
      <c r="O364" t="s">
        <v>2147</v>
      </c>
      <c r="P364" t="s">
        <v>1347</v>
      </c>
      <c r="Q364" t="s">
        <v>553</v>
      </c>
      <c r="R364" t="s">
        <v>2368</v>
      </c>
      <c r="S364" t="s">
        <v>2148</v>
      </c>
      <c r="T364" t="s">
        <v>1568</v>
      </c>
      <c r="U364">
        <v>235900</v>
      </c>
      <c r="V364" t="s">
        <v>2804</v>
      </c>
      <c r="W364" t="s">
        <v>2805</v>
      </c>
      <c r="X364" t="s">
        <v>1970</v>
      </c>
      <c r="Y364" t="s">
        <v>1971</v>
      </c>
      <c r="AA364" t="s">
        <v>1972</v>
      </c>
      <c r="AB364" t="s">
        <v>1973</v>
      </c>
      <c r="AC364">
        <v>99058</v>
      </c>
      <c r="AD364" t="s">
        <v>2806</v>
      </c>
      <c r="AE364">
        <v>-40.628799999999998</v>
      </c>
      <c r="AF364">
        <v>175.29934284999999</v>
      </c>
      <c r="AG364" s="175">
        <v>42</v>
      </c>
      <c r="AH364" s="175">
        <v>0</v>
      </c>
      <c r="AI364" s="175">
        <v>0</v>
      </c>
      <c r="AJ364" s="175">
        <v>0</v>
      </c>
      <c r="AK364" s="175">
        <v>15</v>
      </c>
      <c r="AL364" s="175">
        <v>17</v>
      </c>
      <c r="AM364" s="175">
        <v>25</v>
      </c>
      <c r="AN364" s="175">
        <v>0</v>
      </c>
      <c r="AO364" s="175">
        <v>57</v>
      </c>
      <c r="AP364" s="175">
        <v>43</v>
      </c>
      <c r="AQ364" s="175">
        <v>21</v>
      </c>
      <c r="AR364" s="175">
        <v>7</v>
      </c>
      <c r="AS364" s="175">
        <v>2</v>
      </c>
      <c r="AT364" s="175">
        <v>4</v>
      </c>
    </row>
    <row r="365" spans="1:46">
      <c r="A365">
        <v>5376</v>
      </c>
      <c r="B365" t="s">
        <v>2807</v>
      </c>
      <c r="C365" t="s">
        <v>2808</v>
      </c>
      <c r="D365" t="s">
        <v>2809</v>
      </c>
      <c r="E365" t="s">
        <v>2810</v>
      </c>
      <c r="F365" t="s">
        <v>2811</v>
      </c>
      <c r="G365" t="s">
        <v>2505</v>
      </c>
      <c r="H365" t="s">
        <v>452</v>
      </c>
      <c r="J365" t="s">
        <v>605</v>
      </c>
      <c r="K365" t="s">
        <v>606</v>
      </c>
      <c r="M365" t="s">
        <v>2366</v>
      </c>
      <c r="N365" t="s">
        <v>657</v>
      </c>
      <c r="O365" t="s">
        <v>2506</v>
      </c>
      <c r="P365" t="s">
        <v>739</v>
      </c>
      <c r="Q365" t="s">
        <v>516</v>
      </c>
      <c r="R365" t="s">
        <v>2368</v>
      </c>
      <c r="S365" t="s">
        <v>2507</v>
      </c>
      <c r="T365" t="s">
        <v>2526</v>
      </c>
      <c r="U365">
        <v>244700</v>
      </c>
      <c r="V365" t="s">
        <v>2812</v>
      </c>
      <c r="W365" t="s">
        <v>2569</v>
      </c>
      <c r="X365" t="s">
        <v>1970</v>
      </c>
      <c r="Y365" t="s">
        <v>1971</v>
      </c>
      <c r="AA365" t="s">
        <v>1972</v>
      </c>
      <c r="AB365" t="s">
        <v>1973</v>
      </c>
      <c r="AE365">
        <v>-41.226740530000001</v>
      </c>
      <c r="AF365">
        <v>174.89037819999999</v>
      </c>
      <c r="AG365" s="175">
        <v>42</v>
      </c>
      <c r="AH365" s="175">
        <v>0</v>
      </c>
      <c r="AI365" s="175">
        <v>0</v>
      </c>
      <c r="AJ365" s="175">
        <v>0</v>
      </c>
      <c r="AK365" s="175">
        <v>12</v>
      </c>
      <c r="AL365" s="175">
        <v>18</v>
      </c>
      <c r="AM365" s="175">
        <v>17</v>
      </c>
      <c r="AN365" s="175">
        <v>1</v>
      </c>
      <c r="AO365" s="175">
        <v>48</v>
      </c>
      <c r="AP365" s="175">
        <v>41</v>
      </c>
      <c r="AQ365" s="175">
        <v>12</v>
      </c>
      <c r="AR365" s="175">
        <v>6</v>
      </c>
      <c r="AS365" s="175">
        <v>3</v>
      </c>
      <c r="AT365" s="175">
        <v>3</v>
      </c>
    </row>
    <row r="366" spans="1:46">
      <c r="A366">
        <v>5377</v>
      </c>
      <c r="B366" t="s">
        <v>2813</v>
      </c>
      <c r="C366" t="s">
        <v>2814</v>
      </c>
      <c r="D366" t="s">
        <v>2815</v>
      </c>
      <c r="E366" t="s">
        <v>2816</v>
      </c>
      <c r="F366" t="s">
        <v>2817</v>
      </c>
      <c r="G366" t="s">
        <v>2604</v>
      </c>
      <c r="H366" t="s">
        <v>452</v>
      </c>
      <c r="J366" t="s">
        <v>605</v>
      </c>
      <c r="K366" t="s">
        <v>606</v>
      </c>
      <c r="M366" t="s">
        <v>2366</v>
      </c>
      <c r="N366" t="s">
        <v>657</v>
      </c>
      <c r="O366" t="s">
        <v>2605</v>
      </c>
      <c r="P366" t="s">
        <v>670</v>
      </c>
      <c r="Q366" t="s">
        <v>516</v>
      </c>
      <c r="R366" t="s">
        <v>2368</v>
      </c>
      <c r="S366" t="s">
        <v>2606</v>
      </c>
      <c r="T366" t="s">
        <v>1568</v>
      </c>
      <c r="U366">
        <v>239000</v>
      </c>
      <c r="V366" t="s">
        <v>2817</v>
      </c>
      <c r="W366" t="s">
        <v>2657</v>
      </c>
      <c r="X366" t="s">
        <v>1970</v>
      </c>
      <c r="Y366" t="s">
        <v>1971</v>
      </c>
      <c r="AA366" t="s">
        <v>1972</v>
      </c>
      <c r="AB366" t="s">
        <v>1973</v>
      </c>
      <c r="AC366">
        <v>99068</v>
      </c>
      <c r="AD366" t="s">
        <v>2608</v>
      </c>
      <c r="AE366">
        <v>-41.081733190000001</v>
      </c>
      <c r="AF366">
        <v>174.86478120999999</v>
      </c>
      <c r="AG366" s="175">
        <v>45</v>
      </c>
      <c r="AH366" s="175">
        <v>0</v>
      </c>
      <c r="AI366" s="175">
        <v>0</v>
      </c>
      <c r="AJ366" s="175">
        <v>0</v>
      </c>
      <c r="AK366" s="175">
        <v>6</v>
      </c>
      <c r="AL366" s="175">
        <v>13</v>
      </c>
      <c r="AM366" s="175">
        <v>29</v>
      </c>
      <c r="AN366" s="175">
        <v>0</v>
      </c>
      <c r="AO366" s="175">
        <v>48</v>
      </c>
      <c r="AP366" s="175">
        <v>43</v>
      </c>
      <c r="AQ366" s="175">
        <v>9</v>
      </c>
      <c r="AR366" s="175">
        <v>1</v>
      </c>
      <c r="AS366" s="175">
        <v>4</v>
      </c>
      <c r="AT366" s="175">
        <v>1</v>
      </c>
    </row>
    <row r="367" spans="1:46">
      <c r="A367">
        <v>5378</v>
      </c>
      <c r="B367" t="s">
        <v>2818</v>
      </c>
      <c r="C367" t="s">
        <v>2819</v>
      </c>
      <c r="D367" t="s">
        <v>2820</v>
      </c>
      <c r="E367" t="s">
        <v>2821</v>
      </c>
      <c r="F367" t="s">
        <v>2822</v>
      </c>
      <c r="G367" t="s">
        <v>2604</v>
      </c>
      <c r="H367" t="s">
        <v>452</v>
      </c>
      <c r="J367" t="s">
        <v>605</v>
      </c>
      <c r="K367" t="s">
        <v>606</v>
      </c>
      <c r="M367" t="s">
        <v>2366</v>
      </c>
      <c r="N367" t="s">
        <v>657</v>
      </c>
      <c r="O367" t="s">
        <v>2605</v>
      </c>
      <c r="P367" t="s">
        <v>670</v>
      </c>
      <c r="Q367" t="s">
        <v>516</v>
      </c>
      <c r="R367" t="s">
        <v>2368</v>
      </c>
      <c r="S367" t="s">
        <v>2606</v>
      </c>
      <c r="T367" t="s">
        <v>1568</v>
      </c>
      <c r="U367">
        <v>238800</v>
      </c>
      <c r="V367" t="s">
        <v>2822</v>
      </c>
      <c r="W367" t="s">
        <v>2657</v>
      </c>
      <c r="X367" t="s">
        <v>1970</v>
      </c>
      <c r="Y367" t="s">
        <v>1971</v>
      </c>
      <c r="AA367" t="s">
        <v>1972</v>
      </c>
      <c r="AB367" t="s">
        <v>1973</v>
      </c>
      <c r="AC367">
        <v>99068</v>
      </c>
      <c r="AD367" t="s">
        <v>2608</v>
      </c>
      <c r="AE367">
        <v>-41.03448642</v>
      </c>
      <c r="AF367">
        <v>174.88706941000001</v>
      </c>
      <c r="AG367" s="175">
        <v>42</v>
      </c>
      <c r="AH367" s="175">
        <v>0</v>
      </c>
      <c r="AI367" s="175">
        <v>0</v>
      </c>
      <c r="AJ367" s="175">
        <v>0</v>
      </c>
      <c r="AK367" s="175">
        <v>16</v>
      </c>
      <c r="AL367" s="175">
        <v>16</v>
      </c>
      <c r="AM367" s="175">
        <v>12</v>
      </c>
      <c r="AN367" s="175">
        <v>3</v>
      </c>
      <c r="AO367" s="175">
        <v>47</v>
      </c>
      <c r="AP367" s="175">
        <v>43</v>
      </c>
      <c r="AQ367" s="175">
        <v>9</v>
      </c>
      <c r="AR367" s="175">
        <v>3</v>
      </c>
      <c r="AS367" s="175">
        <v>6</v>
      </c>
      <c r="AT367" s="175">
        <v>4</v>
      </c>
    </row>
    <row r="368" spans="1:46">
      <c r="A368">
        <v>5379</v>
      </c>
      <c r="B368" t="s">
        <v>2823</v>
      </c>
      <c r="C368" t="s">
        <v>2824</v>
      </c>
      <c r="D368" t="s">
        <v>2825</v>
      </c>
      <c r="E368" t="s">
        <v>2826</v>
      </c>
      <c r="G368" t="s">
        <v>2827</v>
      </c>
      <c r="H368" t="s">
        <v>452</v>
      </c>
      <c r="J368" t="s">
        <v>605</v>
      </c>
      <c r="K368" t="s">
        <v>606</v>
      </c>
      <c r="M368" t="s">
        <v>2366</v>
      </c>
      <c r="N368" t="s">
        <v>657</v>
      </c>
      <c r="O368" t="s">
        <v>2753</v>
      </c>
      <c r="P368" t="s">
        <v>1347</v>
      </c>
      <c r="Q368" t="s">
        <v>516</v>
      </c>
      <c r="R368" t="s">
        <v>2368</v>
      </c>
      <c r="S368" t="s">
        <v>2606</v>
      </c>
      <c r="T368" t="s">
        <v>1568</v>
      </c>
      <c r="U368">
        <v>238000</v>
      </c>
      <c r="V368" t="s">
        <v>2828</v>
      </c>
      <c r="W368" t="s">
        <v>2829</v>
      </c>
      <c r="X368" t="s">
        <v>1970</v>
      </c>
      <c r="Y368" t="s">
        <v>1971</v>
      </c>
      <c r="AA368" t="s">
        <v>1972</v>
      </c>
      <c r="AB368" t="s">
        <v>1973</v>
      </c>
      <c r="AE368">
        <v>-40.920408960000003</v>
      </c>
      <c r="AF368">
        <v>174.98430572000001</v>
      </c>
      <c r="AG368" s="175">
        <v>42</v>
      </c>
      <c r="AH368" s="175">
        <v>0</v>
      </c>
      <c r="AI368" s="175">
        <v>0</v>
      </c>
      <c r="AJ368" s="175">
        <v>0</v>
      </c>
      <c r="AK368" s="175">
        <v>2</v>
      </c>
      <c r="AL368" s="175">
        <v>13</v>
      </c>
      <c r="AM368" s="175">
        <v>29</v>
      </c>
      <c r="AN368" s="175">
        <v>2</v>
      </c>
      <c r="AO368" s="175">
        <v>46</v>
      </c>
      <c r="AP368" s="175">
        <v>41</v>
      </c>
      <c r="AQ368" s="175">
        <v>8</v>
      </c>
      <c r="AR368" s="175">
        <v>0</v>
      </c>
      <c r="AS368" s="175">
        <v>6</v>
      </c>
      <c r="AT368" s="175">
        <v>0</v>
      </c>
    </row>
    <row r="369" spans="1:46">
      <c r="A369">
        <v>5380</v>
      </c>
      <c r="B369" t="s">
        <v>2830</v>
      </c>
      <c r="C369" t="s">
        <v>2831</v>
      </c>
      <c r="D369" t="s">
        <v>2832</v>
      </c>
      <c r="E369" t="s">
        <v>2833</v>
      </c>
      <c r="F369" t="s">
        <v>2834</v>
      </c>
      <c r="G369" t="s">
        <v>2368</v>
      </c>
      <c r="H369" t="s">
        <v>452</v>
      </c>
      <c r="J369" t="s">
        <v>605</v>
      </c>
      <c r="K369" t="s">
        <v>606</v>
      </c>
      <c r="M369" t="s">
        <v>2366</v>
      </c>
      <c r="N369" t="s">
        <v>657</v>
      </c>
      <c r="O369" t="s">
        <v>2614</v>
      </c>
      <c r="P369" t="s">
        <v>739</v>
      </c>
      <c r="Q369" t="s">
        <v>516</v>
      </c>
      <c r="R369" t="s">
        <v>2368</v>
      </c>
      <c r="S369" t="s">
        <v>2615</v>
      </c>
      <c r="T369" t="s">
        <v>2526</v>
      </c>
      <c r="U369">
        <v>255200</v>
      </c>
      <c r="V369" t="s">
        <v>2834</v>
      </c>
      <c r="W369" t="s">
        <v>2669</v>
      </c>
      <c r="X369" t="s">
        <v>1970</v>
      </c>
      <c r="Y369" t="s">
        <v>1971</v>
      </c>
      <c r="AA369" t="s">
        <v>1972</v>
      </c>
      <c r="AB369" t="s">
        <v>1973</v>
      </c>
      <c r="AC369">
        <v>99141</v>
      </c>
      <c r="AD369" t="s">
        <v>2670</v>
      </c>
      <c r="AE369">
        <v>-41.325958550000003</v>
      </c>
      <c r="AF369">
        <v>174.83651280000001</v>
      </c>
      <c r="AG369" s="175">
        <v>42</v>
      </c>
      <c r="AH369" s="175">
        <v>0</v>
      </c>
      <c r="AI369" s="175">
        <v>0</v>
      </c>
      <c r="AJ369" s="175">
        <v>0</v>
      </c>
      <c r="AK369" s="175">
        <v>9</v>
      </c>
      <c r="AL369" s="175">
        <v>21</v>
      </c>
      <c r="AM369" s="175">
        <v>17</v>
      </c>
      <c r="AN369" s="175">
        <v>0</v>
      </c>
      <c r="AO369" s="175">
        <v>47</v>
      </c>
      <c r="AP369" s="175">
        <v>35</v>
      </c>
      <c r="AQ369" s="175">
        <v>3</v>
      </c>
      <c r="AR369" s="175">
        <v>5</v>
      </c>
      <c r="AS369" s="175">
        <v>3</v>
      </c>
      <c r="AT369" s="175">
        <v>8</v>
      </c>
    </row>
    <row r="370" spans="1:46">
      <c r="A370">
        <v>5381</v>
      </c>
      <c r="B370" t="s">
        <v>2835</v>
      </c>
      <c r="C370" t="s">
        <v>2836</v>
      </c>
      <c r="D370" t="s">
        <v>2837</v>
      </c>
      <c r="E370" t="s">
        <v>2838</v>
      </c>
      <c r="F370" t="s">
        <v>2839</v>
      </c>
      <c r="G370" t="s">
        <v>2368</v>
      </c>
      <c r="H370" t="s">
        <v>452</v>
      </c>
      <c r="J370" t="s">
        <v>605</v>
      </c>
      <c r="K370" t="s">
        <v>606</v>
      </c>
      <c r="M370" t="s">
        <v>2366</v>
      </c>
      <c r="N370" t="s">
        <v>657</v>
      </c>
      <c r="O370" t="s">
        <v>2614</v>
      </c>
      <c r="P370" t="s">
        <v>739</v>
      </c>
      <c r="Q370" t="s">
        <v>516</v>
      </c>
      <c r="R370" t="s">
        <v>2368</v>
      </c>
      <c r="S370" t="s">
        <v>2615</v>
      </c>
      <c r="T370" t="s">
        <v>2526</v>
      </c>
      <c r="U370">
        <v>255100</v>
      </c>
      <c r="V370" t="s">
        <v>2840</v>
      </c>
      <c r="W370" t="s">
        <v>2669</v>
      </c>
      <c r="X370" t="s">
        <v>1970</v>
      </c>
      <c r="Y370" t="s">
        <v>1971</v>
      </c>
      <c r="AA370" t="s">
        <v>1972</v>
      </c>
      <c r="AB370" t="s">
        <v>1973</v>
      </c>
      <c r="AC370">
        <v>99141</v>
      </c>
      <c r="AD370" t="s">
        <v>2670</v>
      </c>
      <c r="AE370">
        <v>-41.32714953</v>
      </c>
      <c r="AF370">
        <v>174.82004133000001</v>
      </c>
      <c r="AG370" s="175">
        <v>42</v>
      </c>
      <c r="AH370" s="175">
        <v>0</v>
      </c>
      <c r="AI370" s="175">
        <v>0</v>
      </c>
      <c r="AJ370" s="175">
        <v>0</v>
      </c>
      <c r="AK370" s="175">
        <v>0</v>
      </c>
      <c r="AL370" s="175">
        <v>16</v>
      </c>
      <c r="AM370" s="175">
        <v>25</v>
      </c>
      <c r="AN370" s="175">
        <v>1</v>
      </c>
      <c r="AO370" s="175">
        <v>42</v>
      </c>
      <c r="AP370" s="175">
        <v>15</v>
      </c>
      <c r="AQ370" s="175">
        <v>13</v>
      </c>
      <c r="AR370" s="175">
        <v>17</v>
      </c>
      <c r="AS370" s="175">
        <v>4</v>
      </c>
      <c r="AT370" s="175">
        <v>6</v>
      </c>
    </row>
    <row r="371" spans="1:46">
      <c r="A371">
        <v>5382</v>
      </c>
      <c r="B371" t="s">
        <v>2841</v>
      </c>
      <c r="C371" t="s">
        <v>2842</v>
      </c>
      <c r="D371" t="s">
        <v>2843</v>
      </c>
      <c r="E371" t="s">
        <v>2844</v>
      </c>
      <c r="F371" t="s">
        <v>2845</v>
      </c>
      <c r="G371" t="s">
        <v>2604</v>
      </c>
      <c r="H371" t="s">
        <v>452</v>
      </c>
      <c r="J371" t="s">
        <v>605</v>
      </c>
      <c r="K371" t="s">
        <v>606</v>
      </c>
      <c r="M371" t="s">
        <v>2366</v>
      </c>
      <c r="N371" t="s">
        <v>625</v>
      </c>
      <c r="O371" t="s">
        <v>2605</v>
      </c>
      <c r="P371" t="s">
        <v>670</v>
      </c>
      <c r="Q371" t="s">
        <v>516</v>
      </c>
      <c r="R371" t="s">
        <v>2368</v>
      </c>
      <c r="S371" t="s">
        <v>2606</v>
      </c>
      <c r="T371" t="s">
        <v>1568</v>
      </c>
      <c r="U371">
        <v>240801</v>
      </c>
      <c r="V371" t="s">
        <v>2846</v>
      </c>
      <c r="W371" t="s">
        <v>2607</v>
      </c>
      <c r="X371" t="s">
        <v>1970</v>
      </c>
      <c r="Y371" t="s">
        <v>1971</v>
      </c>
      <c r="AA371" t="s">
        <v>1972</v>
      </c>
      <c r="AB371" t="s">
        <v>1973</v>
      </c>
      <c r="AC371">
        <v>99074</v>
      </c>
      <c r="AD371" t="s">
        <v>2710</v>
      </c>
      <c r="AE371">
        <v>-41.122793739999999</v>
      </c>
      <c r="AF371">
        <v>174.88063571999999</v>
      </c>
      <c r="AG371" s="175">
        <v>32</v>
      </c>
      <c r="AH371" s="175">
        <v>0</v>
      </c>
      <c r="AI371" s="175">
        <v>0</v>
      </c>
      <c r="AJ371" s="175">
        <v>0</v>
      </c>
      <c r="AK371" s="175">
        <v>5</v>
      </c>
      <c r="AL371" s="175">
        <v>12</v>
      </c>
      <c r="AM371" s="175">
        <v>16</v>
      </c>
      <c r="AN371" s="175">
        <v>0</v>
      </c>
      <c r="AO371" s="175">
        <v>33</v>
      </c>
      <c r="AP371" s="175">
        <v>9</v>
      </c>
      <c r="AQ371" s="175">
        <v>17</v>
      </c>
      <c r="AR371" s="175">
        <v>22</v>
      </c>
      <c r="AS371" s="175">
        <v>2</v>
      </c>
      <c r="AT371" s="175">
        <v>3</v>
      </c>
    </row>
    <row r="372" spans="1:46">
      <c r="A372">
        <v>5383</v>
      </c>
      <c r="B372" t="s">
        <v>2847</v>
      </c>
      <c r="C372" t="s">
        <v>2848</v>
      </c>
      <c r="D372" t="s">
        <v>2849</v>
      </c>
      <c r="E372" t="s">
        <v>2850</v>
      </c>
      <c r="G372" t="s">
        <v>2803</v>
      </c>
      <c r="H372" t="s">
        <v>452</v>
      </c>
      <c r="J372" t="s">
        <v>605</v>
      </c>
      <c r="K372" t="s">
        <v>606</v>
      </c>
      <c r="M372" t="s">
        <v>2366</v>
      </c>
      <c r="N372" t="s">
        <v>812</v>
      </c>
      <c r="O372" t="s">
        <v>2147</v>
      </c>
      <c r="P372" t="s">
        <v>1347</v>
      </c>
      <c r="Q372" t="s">
        <v>553</v>
      </c>
      <c r="R372" t="s">
        <v>2368</v>
      </c>
      <c r="S372" t="s">
        <v>2148</v>
      </c>
      <c r="T372" t="s">
        <v>1568</v>
      </c>
      <c r="U372">
        <v>235800</v>
      </c>
      <c r="V372" t="s">
        <v>2851</v>
      </c>
      <c r="W372" t="s">
        <v>2805</v>
      </c>
      <c r="X372" t="s">
        <v>1970</v>
      </c>
      <c r="Y372" t="s">
        <v>1971</v>
      </c>
      <c r="AA372" t="s">
        <v>1972</v>
      </c>
      <c r="AB372" t="s">
        <v>1973</v>
      </c>
      <c r="AC372">
        <v>99058</v>
      </c>
      <c r="AD372" t="s">
        <v>2806</v>
      </c>
      <c r="AE372">
        <v>-40.637965960000002</v>
      </c>
      <c r="AF372">
        <v>175.28909110999999</v>
      </c>
      <c r="AG372" s="175">
        <v>49</v>
      </c>
      <c r="AH372" s="175">
        <v>9</v>
      </c>
      <c r="AI372" s="175">
        <v>0</v>
      </c>
      <c r="AJ372" s="175">
        <v>5</v>
      </c>
      <c r="AK372" s="175">
        <v>12</v>
      </c>
      <c r="AL372" s="175">
        <v>14</v>
      </c>
      <c r="AM372" s="175">
        <v>18</v>
      </c>
      <c r="AN372" s="175">
        <v>0</v>
      </c>
      <c r="AO372" s="175">
        <v>49</v>
      </c>
      <c r="AP372" s="175">
        <v>19</v>
      </c>
      <c r="AQ372" s="175">
        <v>30</v>
      </c>
      <c r="AR372" s="175">
        <v>12</v>
      </c>
      <c r="AS372" s="175">
        <v>0</v>
      </c>
      <c r="AT372" s="175">
        <v>0</v>
      </c>
    </row>
    <row r="373" spans="1:46">
      <c r="A373">
        <v>5384</v>
      </c>
      <c r="B373" t="s">
        <v>2852</v>
      </c>
      <c r="C373" t="s">
        <v>2853</v>
      </c>
      <c r="D373" t="s">
        <v>2854</v>
      </c>
      <c r="E373" t="s">
        <v>2855</v>
      </c>
      <c r="F373" t="s">
        <v>2622</v>
      </c>
      <c r="G373" t="s">
        <v>2368</v>
      </c>
      <c r="H373" t="s">
        <v>452</v>
      </c>
      <c r="J373" t="s">
        <v>605</v>
      </c>
      <c r="K373" t="s">
        <v>606</v>
      </c>
      <c r="M373" t="s">
        <v>2366</v>
      </c>
      <c r="N373" t="s">
        <v>657</v>
      </c>
      <c r="O373" t="s">
        <v>2614</v>
      </c>
      <c r="P373" t="s">
        <v>739</v>
      </c>
      <c r="Q373" t="s">
        <v>516</v>
      </c>
      <c r="R373" t="s">
        <v>2368</v>
      </c>
      <c r="S373" t="s">
        <v>2623</v>
      </c>
      <c r="T373" t="s">
        <v>1568</v>
      </c>
      <c r="U373">
        <v>247900</v>
      </c>
      <c r="V373" t="s">
        <v>2856</v>
      </c>
      <c r="W373" t="s">
        <v>2625</v>
      </c>
      <c r="X373" t="s">
        <v>1970</v>
      </c>
      <c r="Y373" t="s">
        <v>1971</v>
      </c>
      <c r="AA373" t="s">
        <v>1972</v>
      </c>
      <c r="AB373" t="s">
        <v>1973</v>
      </c>
      <c r="AE373">
        <v>-41.17193391</v>
      </c>
      <c r="AF373">
        <v>174.82637394</v>
      </c>
      <c r="AG373" s="175">
        <v>42</v>
      </c>
      <c r="AH373" s="175">
        <v>0</v>
      </c>
      <c r="AI373" s="175">
        <v>0</v>
      </c>
      <c r="AJ373" s="175">
        <v>0</v>
      </c>
      <c r="AK373" s="175">
        <v>2</v>
      </c>
      <c r="AL373" s="175">
        <v>19</v>
      </c>
      <c r="AM373" s="175">
        <v>26</v>
      </c>
      <c r="AN373" s="175">
        <v>1</v>
      </c>
      <c r="AO373" s="175">
        <v>48</v>
      </c>
      <c r="AP373" s="175">
        <v>37</v>
      </c>
      <c r="AQ373" s="175">
        <v>11</v>
      </c>
      <c r="AR373" s="175">
        <v>7</v>
      </c>
      <c r="AS373" s="175">
        <v>7</v>
      </c>
      <c r="AT373" s="175">
        <v>2</v>
      </c>
    </row>
    <row r="374" spans="1:46">
      <c r="A374">
        <v>5385</v>
      </c>
      <c r="B374" t="s">
        <v>2857</v>
      </c>
      <c r="C374" t="s">
        <v>2858</v>
      </c>
      <c r="D374" t="s">
        <v>2859</v>
      </c>
      <c r="E374" t="s">
        <v>2860</v>
      </c>
      <c r="F374" t="s">
        <v>2861</v>
      </c>
      <c r="G374" t="s">
        <v>2604</v>
      </c>
      <c r="H374" t="s">
        <v>452</v>
      </c>
      <c r="J374" t="s">
        <v>605</v>
      </c>
      <c r="K374" t="s">
        <v>606</v>
      </c>
      <c r="M374" t="s">
        <v>2366</v>
      </c>
      <c r="N374" t="s">
        <v>643</v>
      </c>
      <c r="O374" t="s">
        <v>2605</v>
      </c>
      <c r="P374" t="s">
        <v>670</v>
      </c>
      <c r="Q374" t="s">
        <v>516</v>
      </c>
      <c r="R374" t="s">
        <v>2368</v>
      </c>
      <c r="S374" t="s">
        <v>2606</v>
      </c>
      <c r="T374" t="s">
        <v>1568</v>
      </c>
      <c r="U374">
        <v>239100</v>
      </c>
      <c r="V374" t="s">
        <v>2862</v>
      </c>
      <c r="W374" t="s">
        <v>2607</v>
      </c>
      <c r="X374" t="s">
        <v>1970</v>
      </c>
      <c r="Y374" t="s">
        <v>1971</v>
      </c>
      <c r="AA374" t="s">
        <v>1972</v>
      </c>
      <c r="AB374" t="s">
        <v>1973</v>
      </c>
      <c r="AC374">
        <v>99094</v>
      </c>
      <c r="AD374" t="s">
        <v>2693</v>
      </c>
      <c r="AE374">
        <v>-41.100105169999999</v>
      </c>
      <c r="AF374">
        <v>174.84221625000001</v>
      </c>
      <c r="AG374" s="175">
        <v>41</v>
      </c>
      <c r="AH374" s="175">
        <v>0</v>
      </c>
      <c r="AI374" s="175">
        <v>0</v>
      </c>
      <c r="AJ374" s="175">
        <v>0</v>
      </c>
      <c r="AK374" s="175">
        <v>11</v>
      </c>
      <c r="AL374" s="175">
        <v>17</v>
      </c>
      <c r="AM374" s="175">
        <v>27</v>
      </c>
      <c r="AN374" s="175">
        <v>0</v>
      </c>
      <c r="AO374" s="175">
        <v>55</v>
      </c>
      <c r="AP374" s="175">
        <v>42</v>
      </c>
      <c r="AQ374" s="175">
        <v>17</v>
      </c>
      <c r="AR374" s="175">
        <v>5</v>
      </c>
      <c r="AS374" s="175">
        <v>5</v>
      </c>
      <c r="AT374" s="175">
        <v>6</v>
      </c>
    </row>
    <row r="375" spans="1:46">
      <c r="A375">
        <v>5386</v>
      </c>
      <c r="B375" t="s">
        <v>2863</v>
      </c>
      <c r="C375" t="s">
        <v>2864</v>
      </c>
      <c r="D375" t="s">
        <v>2865</v>
      </c>
      <c r="E375" t="s">
        <v>2866</v>
      </c>
      <c r="F375" t="s">
        <v>2867</v>
      </c>
      <c r="G375" t="s">
        <v>2368</v>
      </c>
      <c r="H375" t="s">
        <v>452</v>
      </c>
      <c r="J375" t="s">
        <v>605</v>
      </c>
      <c r="K375" t="s">
        <v>606</v>
      </c>
      <c r="M375" t="s">
        <v>2366</v>
      </c>
      <c r="N375" t="s">
        <v>625</v>
      </c>
      <c r="O375" t="s">
        <v>2614</v>
      </c>
      <c r="P375" t="s">
        <v>739</v>
      </c>
      <c r="Q375" t="s">
        <v>516</v>
      </c>
      <c r="R375" t="s">
        <v>2368</v>
      </c>
      <c r="S375" t="s">
        <v>2606</v>
      </c>
      <c r="T375" t="s">
        <v>1568</v>
      </c>
      <c r="U375">
        <v>247700</v>
      </c>
      <c r="V375" t="s">
        <v>2867</v>
      </c>
      <c r="W375" t="s">
        <v>2625</v>
      </c>
      <c r="X375" t="s">
        <v>1970</v>
      </c>
      <c r="Y375" t="s">
        <v>1971</v>
      </c>
      <c r="AA375" t="s">
        <v>1972</v>
      </c>
      <c r="AB375" t="s">
        <v>1973</v>
      </c>
      <c r="AE375">
        <v>-41.156194390000003</v>
      </c>
      <c r="AF375">
        <v>174.83480402000001</v>
      </c>
      <c r="AG375" s="175">
        <v>42</v>
      </c>
      <c r="AH375" s="175">
        <v>0</v>
      </c>
      <c r="AI375" s="175">
        <v>0</v>
      </c>
      <c r="AJ375" s="175">
        <v>0</v>
      </c>
      <c r="AK375" s="175">
        <v>9</v>
      </c>
      <c r="AL375" s="175">
        <v>11</v>
      </c>
      <c r="AM375" s="175">
        <v>15</v>
      </c>
      <c r="AN375" s="175">
        <v>1</v>
      </c>
      <c r="AO375" s="175">
        <v>36</v>
      </c>
      <c r="AP375" s="175">
        <v>15</v>
      </c>
      <c r="AQ375" s="175">
        <v>15</v>
      </c>
      <c r="AR375" s="175">
        <v>12</v>
      </c>
      <c r="AS375" s="175">
        <v>7</v>
      </c>
      <c r="AT375" s="175">
        <v>1</v>
      </c>
    </row>
    <row r="376" spans="1:46">
      <c r="A376">
        <v>5387</v>
      </c>
      <c r="B376" t="s">
        <v>2868</v>
      </c>
      <c r="C376" t="s">
        <v>2869</v>
      </c>
      <c r="D376" t="s">
        <v>2870</v>
      </c>
      <c r="E376" t="s">
        <v>2871</v>
      </c>
      <c r="F376" t="s">
        <v>2872</v>
      </c>
      <c r="G376" t="s">
        <v>2368</v>
      </c>
      <c r="H376" t="s">
        <v>452</v>
      </c>
      <c r="J376" t="s">
        <v>605</v>
      </c>
      <c r="K376" t="s">
        <v>606</v>
      </c>
      <c r="M376" t="s">
        <v>2366</v>
      </c>
      <c r="N376" t="s">
        <v>657</v>
      </c>
      <c r="O376" t="s">
        <v>2614</v>
      </c>
      <c r="P376" t="s">
        <v>739</v>
      </c>
      <c r="Q376" t="s">
        <v>516</v>
      </c>
      <c r="R376" t="s">
        <v>2368</v>
      </c>
      <c r="S376" t="s">
        <v>2623</v>
      </c>
      <c r="T376" t="s">
        <v>2526</v>
      </c>
      <c r="U376">
        <v>250300</v>
      </c>
      <c r="V376" t="s">
        <v>2872</v>
      </c>
      <c r="W376" t="s">
        <v>2639</v>
      </c>
      <c r="X376" t="s">
        <v>1970</v>
      </c>
      <c r="Y376" t="s">
        <v>1971</v>
      </c>
      <c r="AA376" t="s">
        <v>1972</v>
      </c>
      <c r="AB376" t="s">
        <v>1973</v>
      </c>
      <c r="AE376">
        <v>-41.260908110000003</v>
      </c>
      <c r="AF376">
        <v>174.77820062999999</v>
      </c>
      <c r="AG376" s="175">
        <v>32</v>
      </c>
      <c r="AH376" s="175">
        <v>0</v>
      </c>
      <c r="AI376" s="175">
        <v>0</v>
      </c>
      <c r="AJ376" s="175">
        <v>0</v>
      </c>
      <c r="AK376" s="175">
        <v>6</v>
      </c>
      <c r="AL376" s="175">
        <v>9</v>
      </c>
      <c r="AM376" s="175">
        <v>7</v>
      </c>
      <c r="AN376" s="175">
        <v>0</v>
      </c>
      <c r="AO376" s="175">
        <v>22</v>
      </c>
      <c r="AP376" s="175">
        <v>17</v>
      </c>
      <c r="AQ376" s="175">
        <v>2</v>
      </c>
      <c r="AR376" s="175">
        <v>1</v>
      </c>
      <c r="AS376" s="175">
        <v>6</v>
      </c>
      <c r="AT376" s="175">
        <v>1</v>
      </c>
    </row>
    <row r="377" spans="1:46">
      <c r="A377">
        <v>5388</v>
      </c>
      <c r="B377" t="s">
        <v>2873</v>
      </c>
      <c r="C377" t="s">
        <v>2874</v>
      </c>
      <c r="D377" t="s">
        <v>2875</v>
      </c>
      <c r="E377" t="s">
        <v>2876</v>
      </c>
      <c r="G377" t="s">
        <v>2877</v>
      </c>
      <c r="H377" t="s">
        <v>452</v>
      </c>
      <c r="J377" t="s">
        <v>605</v>
      </c>
      <c r="K377" t="s">
        <v>606</v>
      </c>
      <c r="M377" t="s">
        <v>2366</v>
      </c>
      <c r="N377" t="s">
        <v>657</v>
      </c>
      <c r="O377" t="s">
        <v>2753</v>
      </c>
      <c r="P377" t="s">
        <v>1347</v>
      </c>
      <c r="Q377" t="s">
        <v>516</v>
      </c>
      <c r="R377" t="s">
        <v>2368</v>
      </c>
      <c r="S377" t="s">
        <v>2148</v>
      </c>
      <c r="T377" t="s">
        <v>1568</v>
      </c>
      <c r="U377">
        <v>237600</v>
      </c>
      <c r="V377" t="s">
        <v>2878</v>
      </c>
      <c r="W377" t="s">
        <v>2879</v>
      </c>
      <c r="X377" t="s">
        <v>1970</v>
      </c>
      <c r="Y377" t="s">
        <v>1971</v>
      </c>
      <c r="AA377" t="s">
        <v>1972</v>
      </c>
      <c r="AB377" t="s">
        <v>1973</v>
      </c>
      <c r="AC377">
        <v>99137</v>
      </c>
      <c r="AD377" t="s">
        <v>2756</v>
      </c>
      <c r="AE377">
        <v>-40.875060859999998</v>
      </c>
      <c r="AF377">
        <v>175.05400710999999</v>
      </c>
      <c r="AG377" s="175">
        <v>42</v>
      </c>
      <c r="AH377" s="175">
        <v>0</v>
      </c>
      <c r="AI377" s="175">
        <v>0</v>
      </c>
      <c r="AJ377" s="175">
        <v>0</v>
      </c>
      <c r="AK377" s="175">
        <v>8</v>
      </c>
      <c r="AL377" s="175">
        <v>17</v>
      </c>
      <c r="AM377" s="175">
        <v>31</v>
      </c>
      <c r="AN377" s="175">
        <v>2</v>
      </c>
      <c r="AO377" s="175">
        <v>58</v>
      </c>
      <c r="AP377" s="175">
        <v>55</v>
      </c>
      <c r="AQ377" s="175">
        <v>10</v>
      </c>
      <c r="AR377" s="175">
        <v>5</v>
      </c>
      <c r="AS377" s="175">
        <v>5</v>
      </c>
      <c r="AT377" s="175">
        <v>0</v>
      </c>
    </row>
    <row r="378" spans="1:46">
      <c r="A378">
        <v>5389</v>
      </c>
      <c r="B378" t="s">
        <v>2880</v>
      </c>
      <c r="C378" t="s">
        <v>2881</v>
      </c>
      <c r="D378" t="s">
        <v>2882</v>
      </c>
      <c r="E378" t="s">
        <v>2883</v>
      </c>
      <c r="F378" t="s">
        <v>2845</v>
      </c>
      <c r="G378" t="s">
        <v>2604</v>
      </c>
      <c r="H378" t="s">
        <v>452</v>
      </c>
      <c r="J378" t="s">
        <v>605</v>
      </c>
      <c r="K378" t="s">
        <v>606</v>
      </c>
      <c r="M378" t="s">
        <v>2366</v>
      </c>
      <c r="N378" t="s">
        <v>812</v>
      </c>
      <c r="O378" t="s">
        <v>2605</v>
      </c>
      <c r="P378" t="s">
        <v>670</v>
      </c>
      <c r="Q378" t="s">
        <v>516</v>
      </c>
      <c r="R378" t="s">
        <v>2368</v>
      </c>
      <c r="S378" t="s">
        <v>2606</v>
      </c>
      <c r="T378" t="s">
        <v>1568</v>
      </c>
      <c r="U378">
        <v>240802</v>
      </c>
      <c r="V378" t="s">
        <v>2884</v>
      </c>
      <c r="W378" t="s">
        <v>2607</v>
      </c>
      <c r="X378" t="s">
        <v>1970</v>
      </c>
      <c r="Y378" t="s">
        <v>1971</v>
      </c>
      <c r="AA378" t="s">
        <v>1972</v>
      </c>
      <c r="AB378" t="s">
        <v>1973</v>
      </c>
      <c r="AC378">
        <v>99074</v>
      </c>
      <c r="AD378" t="s">
        <v>2710</v>
      </c>
      <c r="AE378">
        <v>-41.131950269999997</v>
      </c>
      <c r="AF378">
        <v>174.88084186</v>
      </c>
      <c r="AG378" s="175">
        <v>41</v>
      </c>
      <c r="AH378" s="175">
        <v>0</v>
      </c>
      <c r="AI378" s="175">
        <v>0</v>
      </c>
      <c r="AJ378" s="175">
        <v>0</v>
      </c>
      <c r="AK378" s="175">
        <v>6</v>
      </c>
      <c r="AL378" s="175">
        <v>12</v>
      </c>
      <c r="AM378" s="175">
        <v>17</v>
      </c>
      <c r="AN378" s="175">
        <v>0</v>
      </c>
      <c r="AO378" s="175">
        <v>35</v>
      </c>
      <c r="AP378" s="175">
        <v>4</v>
      </c>
      <c r="AQ378" s="175">
        <v>11</v>
      </c>
      <c r="AR378" s="175">
        <v>25</v>
      </c>
      <c r="AS378" s="175">
        <v>7</v>
      </c>
      <c r="AT378" s="175">
        <v>0</v>
      </c>
    </row>
    <row r="379" spans="1:46">
      <c r="A379">
        <v>5390</v>
      </c>
      <c r="B379" t="s">
        <v>2885</v>
      </c>
      <c r="C379" t="s">
        <v>2886</v>
      </c>
      <c r="D379" t="s">
        <v>2887</v>
      </c>
      <c r="E379" t="s">
        <v>2888</v>
      </c>
      <c r="F379" t="s">
        <v>2746</v>
      </c>
      <c r="G379" t="s">
        <v>2368</v>
      </c>
      <c r="H379" t="s">
        <v>452</v>
      </c>
      <c r="J379" t="s">
        <v>605</v>
      </c>
      <c r="K379" t="s">
        <v>606</v>
      </c>
      <c r="M379" t="s">
        <v>2366</v>
      </c>
      <c r="N379" t="s">
        <v>625</v>
      </c>
      <c r="O379" t="s">
        <v>2614</v>
      </c>
      <c r="P379" t="s">
        <v>739</v>
      </c>
      <c r="Q379" t="s">
        <v>516</v>
      </c>
      <c r="R379" t="s">
        <v>2368</v>
      </c>
      <c r="S379" t="s">
        <v>2615</v>
      </c>
      <c r="T379" t="s">
        <v>2526</v>
      </c>
      <c r="U379">
        <v>253600</v>
      </c>
      <c r="V379" t="s">
        <v>2889</v>
      </c>
      <c r="W379" t="s">
        <v>2616</v>
      </c>
      <c r="X379" t="s">
        <v>1970</v>
      </c>
      <c r="Y379" t="s">
        <v>1971</v>
      </c>
      <c r="AA379" t="s">
        <v>1972</v>
      </c>
      <c r="AB379" t="s">
        <v>1973</v>
      </c>
      <c r="AC379">
        <v>99171</v>
      </c>
      <c r="AD379" t="s">
        <v>2617</v>
      </c>
      <c r="AE379">
        <v>-41.314547230000002</v>
      </c>
      <c r="AF379">
        <v>174.78515822</v>
      </c>
      <c r="AG379" s="175">
        <v>30</v>
      </c>
      <c r="AH379" s="175">
        <v>0</v>
      </c>
      <c r="AI379" s="175">
        <v>0</v>
      </c>
      <c r="AJ379" s="175">
        <v>0</v>
      </c>
      <c r="AK379" s="175">
        <v>0</v>
      </c>
      <c r="AL379" s="175">
        <v>15</v>
      </c>
      <c r="AM379" s="175">
        <v>12</v>
      </c>
      <c r="AN379" s="175">
        <v>1</v>
      </c>
      <c r="AO379" s="175">
        <v>28</v>
      </c>
      <c r="AP379" s="175">
        <v>0</v>
      </c>
      <c r="AQ379" s="175">
        <v>1</v>
      </c>
      <c r="AR379" s="175">
        <v>3</v>
      </c>
      <c r="AS379" s="175">
        <v>21</v>
      </c>
      <c r="AT379" s="175">
        <v>3</v>
      </c>
    </row>
    <row r="380" spans="1:46">
      <c r="A380">
        <v>5391</v>
      </c>
      <c r="B380" t="s">
        <v>2890</v>
      </c>
      <c r="C380" t="s">
        <v>2891</v>
      </c>
      <c r="E380" t="s">
        <v>2892</v>
      </c>
      <c r="F380" t="s">
        <v>2811</v>
      </c>
      <c r="G380" t="s">
        <v>2505</v>
      </c>
      <c r="H380" t="s">
        <v>452</v>
      </c>
      <c r="J380" t="s">
        <v>605</v>
      </c>
      <c r="K380" t="s">
        <v>606</v>
      </c>
      <c r="M380" t="s">
        <v>2366</v>
      </c>
      <c r="N380" t="s">
        <v>657</v>
      </c>
      <c r="O380" t="s">
        <v>2506</v>
      </c>
      <c r="P380" t="s">
        <v>739</v>
      </c>
      <c r="Q380" t="s">
        <v>516</v>
      </c>
      <c r="R380" t="s">
        <v>2368</v>
      </c>
      <c r="S380" t="s">
        <v>2507</v>
      </c>
      <c r="T380" t="s">
        <v>2526</v>
      </c>
      <c r="U380">
        <v>245000</v>
      </c>
      <c r="V380" t="s">
        <v>2893</v>
      </c>
      <c r="W380" t="s">
        <v>2569</v>
      </c>
      <c r="X380" t="s">
        <v>1970</v>
      </c>
      <c r="Y380" t="s">
        <v>1971</v>
      </c>
      <c r="AA380" t="s">
        <v>1972</v>
      </c>
      <c r="AB380" t="s">
        <v>1973</v>
      </c>
      <c r="AE380">
        <v>-41.227241849999999</v>
      </c>
      <c r="AF380">
        <v>174.87885585999999</v>
      </c>
      <c r="AG380" s="175">
        <v>35</v>
      </c>
      <c r="AH380" s="175">
        <v>0</v>
      </c>
      <c r="AI380" s="175">
        <v>0</v>
      </c>
      <c r="AJ380" s="175">
        <v>0</v>
      </c>
      <c r="AK380" s="175">
        <v>5</v>
      </c>
      <c r="AL380" s="175">
        <v>13</v>
      </c>
      <c r="AM380" s="175">
        <v>26</v>
      </c>
      <c r="AN380" s="175">
        <v>0</v>
      </c>
      <c r="AO380" s="175">
        <v>44</v>
      </c>
      <c r="AP380" s="175">
        <v>34</v>
      </c>
      <c r="AQ380" s="175">
        <v>11</v>
      </c>
      <c r="AR380" s="175">
        <v>3</v>
      </c>
      <c r="AS380" s="175">
        <v>5</v>
      </c>
      <c r="AT380" s="175">
        <v>1</v>
      </c>
    </row>
    <row r="381" spans="1:46">
      <c r="A381">
        <v>5392</v>
      </c>
      <c r="B381" t="s">
        <v>2894</v>
      </c>
      <c r="C381" t="s">
        <v>2895</v>
      </c>
      <c r="D381" t="s">
        <v>2896</v>
      </c>
      <c r="E381" t="s">
        <v>2897</v>
      </c>
      <c r="F381" t="s">
        <v>2898</v>
      </c>
      <c r="G381" t="s">
        <v>2899</v>
      </c>
      <c r="H381" t="s">
        <v>452</v>
      </c>
      <c r="J381" t="s">
        <v>605</v>
      </c>
      <c r="K381" t="s">
        <v>606</v>
      </c>
      <c r="M381" t="s">
        <v>2366</v>
      </c>
      <c r="N381" t="s">
        <v>625</v>
      </c>
      <c r="O381" t="s">
        <v>2900</v>
      </c>
      <c r="P381" t="s">
        <v>1347</v>
      </c>
      <c r="Q381" t="s">
        <v>519</v>
      </c>
      <c r="R381" t="s">
        <v>2901</v>
      </c>
      <c r="S381" t="s">
        <v>2902</v>
      </c>
      <c r="T381" t="s">
        <v>2526</v>
      </c>
      <c r="U381">
        <v>307700</v>
      </c>
      <c r="V381" t="s">
        <v>2898</v>
      </c>
      <c r="W381" t="s">
        <v>2903</v>
      </c>
      <c r="X381" t="s">
        <v>2904</v>
      </c>
      <c r="Y381" t="s">
        <v>2905</v>
      </c>
      <c r="AA381" t="s">
        <v>2906</v>
      </c>
      <c r="AB381" t="s">
        <v>2907</v>
      </c>
      <c r="AC381">
        <v>99006</v>
      </c>
      <c r="AD381" t="s">
        <v>2908</v>
      </c>
      <c r="AE381">
        <v>-41.503681800000003</v>
      </c>
      <c r="AF381">
        <v>173.95435197</v>
      </c>
      <c r="AG381" s="175">
        <v>44</v>
      </c>
      <c r="AH381" s="175">
        <v>0</v>
      </c>
      <c r="AI381" s="175">
        <v>0</v>
      </c>
      <c r="AJ381" s="175">
        <v>0</v>
      </c>
      <c r="AK381" s="175">
        <v>4</v>
      </c>
      <c r="AL381" s="175">
        <v>17</v>
      </c>
      <c r="AM381" s="175">
        <v>26</v>
      </c>
      <c r="AN381" s="175">
        <v>0</v>
      </c>
      <c r="AO381" s="175">
        <v>47</v>
      </c>
      <c r="AP381" s="175">
        <v>32</v>
      </c>
      <c r="AQ381" s="175">
        <v>15</v>
      </c>
      <c r="AR381" s="175">
        <v>8</v>
      </c>
      <c r="AS381" s="175">
        <v>3</v>
      </c>
      <c r="AT381" s="175">
        <v>3</v>
      </c>
    </row>
    <row r="382" spans="1:46">
      <c r="A382">
        <v>5394</v>
      </c>
      <c r="B382" t="s">
        <v>2909</v>
      </c>
      <c r="C382" t="s">
        <v>2910</v>
      </c>
      <c r="D382" t="s">
        <v>2911</v>
      </c>
      <c r="E382" t="s">
        <v>2912</v>
      </c>
      <c r="F382" t="s">
        <v>2913</v>
      </c>
      <c r="G382" t="s">
        <v>2899</v>
      </c>
      <c r="H382" t="s">
        <v>452</v>
      </c>
      <c r="J382" t="s">
        <v>605</v>
      </c>
      <c r="K382" t="s">
        <v>606</v>
      </c>
      <c r="M382" t="s">
        <v>2366</v>
      </c>
      <c r="N382" t="s">
        <v>643</v>
      </c>
      <c r="O382" t="s">
        <v>2900</v>
      </c>
      <c r="P382" t="s">
        <v>1347</v>
      </c>
      <c r="Q382" t="s">
        <v>519</v>
      </c>
      <c r="R382" t="s">
        <v>2901</v>
      </c>
      <c r="S382" t="s">
        <v>2902</v>
      </c>
      <c r="T382" t="s">
        <v>2526</v>
      </c>
      <c r="U382">
        <v>308400</v>
      </c>
      <c r="V382" t="s">
        <v>2914</v>
      </c>
      <c r="W382" t="s">
        <v>2903</v>
      </c>
      <c r="X382" t="s">
        <v>2904</v>
      </c>
      <c r="Y382" t="s">
        <v>2905</v>
      </c>
      <c r="AA382" t="s">
        <v>2906</v>
      </c>
      <c r="AB382" t="s">
        <v>2907</v>
      </c>
      <c r="AC382">
        <v>99006</v>
      </c>
      <c r="AD382" t="s">
        <v>2908</v>
      </c>
      <c r="AE382">
        <v>-41.530694570000001</v>
      </c>
      <c r="AF382">
        <v>173.95454100000001</v>
      </c>
      <c r="AG382" s="175">
        <v>40</v>
      </c>
      <c r="AH382" s="175">
        <v>0</v>
      </c>
      <c r="AI382" s="175">
        <v>0</v>
      </c>
      <c r="AJ382" s="175">
        <v>0</v>
      </c>
      <c r="AK382" s="175">
        <v>4</v>
      </c>
      <c r="AL382" s="175">
        <v>10</v>
      </c>
      <c r="AM382" s="175">
        <v>28</v>
      </c>
      <c r="AN382" s="175">
        <v>0</v>
      </c>
      <c r="AO382" s="175">
        <v>42</v>
      </c>
      <c r="AP382" s="175">
        <v>27</v>
      </c>
      <c r="AQ382" s="175">
        <v>9</v>
      </c>
      <c r="AR382" s="175">
        <v>5</v>
      </c>
      <c r="AS382" s="175">
        <v>6</v>
      </c>
      <c r="AT382" s="175">
        <v>5</v>
      </c>
    </row>
    <row r="383" spans="1:46">
      <c r="A383">
        <v>5395</v>
      </c>
      <c r="B383" t="s">
        <v>2915</v>
      </c>
      <c r="C383" t="s">
        <v>2916</v>
      </c>
      <c r="D383" t="s">
        <v>2917</v>
      </c>
      <c r="E383" t="s">
        <v>2918</v>
      </c>
      <c r="F383" t="s">
        <v>2899</v>
      </c>
      <c r="G383" t="s">
        <v>2899</v>
      </c>
      <c r="H383" t="s">
        <v>452</v>
      </c>
      <c r="J383" t="s">
        <v>605</v>
      </c>
      <c r="K383" t="s">
        <v>606</v>
      </c>
      <c r="M383" t="s">
        <v>2366</v>
      </c>
      <c r="N383" t="s">
        <v>657</v>
      </c>
      <c r="O383" t="s">
        <v>2900</v>
      </c>
      <c r="P383" t="s">
        <v>1347</v>
      </c>
      <c r="Q383" t="s">
        <v>519</v>
      </c>
      <c r="R383" t="s">
        <v>2901</v>
      </c>
      <c r="S383" t="s">
        <v>2902</v>
      </c>
      <c r="T383" t="s">
        <v>2526</v>
      </c>
      <c r="U383">
        <v>308100</v>
      </c>
      <c r="V383" t="s">
        <v>2919</v>
      </c>
      <c r="W383" t="s">
        <v>2903</v>
      </c>
      <c r="X383" t="s">
        <v>2904</v>
      </c>
      <c r="Y383" t="s">
        <v>2905</v>
      </c>
      <c r="AA383" t="s">
        <v>2906</v>
      </c>
      <c r="AB383" t="s">
        <v>2907</v>
      </c>
      <c r="AC383">
        <v>99006</v>
      </c>
      <c r="AD383" t="s">
        <v>2908</v>
      </c>
      <c r="AE383">
        <v>-41.520389350000002</v>
      </c>
      <c r="AF383">
        <v>173.9605162</v>
      </c>
      <c r="AG383" s="175">
        <v>43</v>
      </c>
      <c r="AH383" s="175">
        <v>0</v>
      </c>
      <c r="AI383" s="175">
        <v>0</v>
      </c>
      <c r="AJ383" s="175">
        <v>0</v>
      </c>
      <c r="AK383" s="175">
        <v>2</v>
      </c>
      <c r="AL383" s="175">
        <v>18</v>
      </c>
      <c r="AM383" s="175">
        <v>19</v>
      </c>
      <c r="AN383" s="175">
        <v>2</v>
      </c>
      <c r="AO383" s="175">
        <v>41</v>
      </c>
      <c r="AP383" s="175">
        <v>37</v>
      </c>
      <c r="AQ383" s="175">
        <v>4</v>
      </c>
      <c r="AR383" s="175">
        <v>1</v>
      </c>
      <c r="AS383" s="175">
        <v>5</v>
      </c>
      <c r="AT383" s="175">
        <v>1</v>
      </c>
    </row>
    <row r="384" spans="1:46">
      <c r="A384">
        <v>5396</v>
      </c>
      <c r="B384" t="s">
        <v>2920</v>
      </c>
      <c r="C384" t="s">
        <v>2921</v>
      </c>
      <c r="D384" t="s">
        <v>2922</v>
      </c>
      <c r="E384" t="s">
        <v>2923</v>
      </c>
      <c r="F384" t="s">
        <v>2924</v>
      </c>
      <c r="G384" t="s">
        <v>2899</v>
      </c>
      <c r="H384" t="s">
        <v>452</v>
      </c>
      <c r="J384" t="s">
        <v>605</v>
      </c>
      <c r="K384" t="s">
        <v>606</v>
      </c>
      <c r="M384" t="s">
        <v>2366</v>
      </c>
      <c r="N384" t="s">
        <v>657</v>
      </c>
      <c r="O384" t="s">
        <v>2900</v>
      </c>
      <c r="P384" t="s">
        <v>1347</v>
      </c>
      <c r="Q384" t="s">
        <v>519</v>
      </c>
      <c r="R384" t="s">
        <v>2901</v>
      </c>
      <c r="S384" t="s">
        <v>2902</v>
      </c>
      <c r="T384" t="s">
        <v>2526</v>
      </c>
      <c r="U384">
        <v>308600</v>
      </c>
      <c r="V384" t="s">
        <v>2925</v>
      </c>
      <c r="W384" t="s">
        <v>2903</v>
      </c>
      <c r="X384" t="s">
        <v>2904</v>
      </c>
      <c r="Y384" t="s">
        <v>2905</v>
      </c>
      <c r="AA384" t="s">
        <v>2906</v>
      </c>
      <c r="AB384" t="s">
        <v>2907</v>
      </c>
      <c r="AC384">
        <v>99006</v>
      </c>
      <c r="AD384" t="s">
        <v>2908</v>
      </c>
      <c r="AE384">
        <v>-41.537822490000003</v>
      </c>
      <c r="AF384">
        <v>173.95460116000001</v>
      </c>
      <c r="AG384" s="175">
        <v>42</v>
      </c>
      <c r="AH384" s="175">
        <v>0</v>
      </c>
      <c r="AI384" s="175">
        <v>0</v>
      </c>
      <c r="AJ384" s="175">
        <v>0</v>
      </c>
      <c r="AK384" s="175">
        <v>3</v>
      </c>
      <c r="AL384" s="175">
        <v>22</v>
      </c>
      <c r="AM384" s="175">
        <v>23</v>
      </c>
      <c r="AN384" s="175">
        <v>0</v>
      </c>
      <c r="AO384" s="175">
        <v>48</v>
      </c>
      <c r="AP384" s="175">
        <v>43</v>
      </c>
      <c r="AQ384" s="175">
        <v>11</v>
      </c>
      <c r="AR384" s="175">
        <v>3</v>
      </c>
      <c r="AS384" s="175">
        <v>3</v>
      </c>
      <c r="AT384" s="175">
        <v>2</v>
      </c>
    </row>
    <row r="385" spans="1:46">
      <c r="A385">
        <v>5397</v>
      </c>
      <c r="B385" t="s">
        <v>2926</v>
      </c>
      <c r="C385" t="s">
        <v>2927</v>
      </c>
      <c r="E385" t="s">
        <v>2928</v>
      </c>
      <c r="F385" t="s">
        <v>2929</v>
      </c>
      <c r="G385" t="s">
        <v>2930</v>
      </c>
      <c r="H385" t="s">
        <v>452</v>
      </c>
      <c r="J385" t="s">
        <v>605</v>
      </c>
      <c r="K385" t="s">
        <v>606</v>
      </c>
      <c r="M385" t="s">
        <v>2366</v>
      </c>
      <c r="N385" t="s">
        <v>657</v>
      </c>
      <c r="O385" t="s">
        <v>2931</v>
      </c>
      <c r="P385" t="s">
        <v>670</v>
      </c>
      <c r="Q385" t="s">
        <v>518</v>
      </c>
      <c r="R385" t="s">
        <v>2901</v>
      </c>
      <c r="S385" t="s">
        <v>2930</v>
      </c>
      <c r="T385" t="s">
        <v>2526</v>
      </c>
      <c r="U385">
        <v>304400</v>
      </c>
      <c r="V385" t="s">
        <v>2932</v>
      </c>
      <c r="W385" t="s">
        <v>2933</v>
      </c>
      <c r="X385" t="s">
        <v>2934</v>
      </c>
      <c r="Y385" t="s">
        <v>2935</v>
      </c>
      <c r="Z385" t="s">
        <v>2930</v>
      </c>
      <c r="AA385" t="s">
        <v>2936</v>
      </c>
      <c r="AB385" t="s">
        <v>2937</v>
      </c>
      <c r="AC385">
        <v>99042</v>
      </c>
      <c r="AD385" t="s">
        <v>2938</v>
      </c>
      <c r="AE385">
        <v>-41.306913360000003</v>
      </c>
      <c r="AF385">
        <v>173.22380150999999</v>
      </c>
      <c r="AG385" s="175">
        <v>43</v>
      </c>
      <c r="AH385" s="175">
        <v>0</v>
      </c>
      <c r="AI385" s="175">
        <v>0</v>
      </c>
      <c r="AJ385" s="175">
        <v>0</v>
      </c>
      <c r="AK385" s="175">
        <v>2</v>
      </c>
      <c r="AL385" s="175">
        <v>12</v>
      </c>
      <c r="AM385" s="175">
        <v>30</v>
      </c>
      <c r="AN385" s="175">
        <v>1</v>
      </c>
      <c r="AO385" s="175">
        <v>45</v>
      </c>
      <c r="AP385" s="175">
        <v>39</v>
      </c>
      <c r="AQ385" s="175">
        <v>7</v>
      </c>
      <c r="AR385" s="175">
        <v>3</v>
      </c>
      <c r="AS385" s="175">
        <v>2</v>
      </c>
      <c r="AT385" s="175">
        <v>0</v>
      </c>
    </row>
    <row r="386" spans="1:46">
      <c r="A386">
        <v>5398</v>
      </c>
      <c r="B386" t="s">
        <v>2939</v>
      </c>
      <c r="C386" t="s">
        <v>2940</v>
      </c>
      <c r="D386" t="s">
        <v>2941</v>
      </c>
      <c r="E386" t="s">
        <v>2942</v>
      </c>
      <c r="G386" t="s">
        <v>2943</v>
      </c>
      <c r="H386" t="s">
        <v>452</v>
      </c>
      <c r="J386" t="s">
        <v>605</v>
      </c>
      <c r="K386" t="s">
        <v>606</v>
      </c>
      <c r="M386" t="s">
        <v>2366</v>
      </c>
      <c r="N386" t="s">
        <v>625</v>
      </c>
      <c r="O386" t="s">
        <v>2944</v>
      </c>
      <c r="P386" t="s">
        <v>610</v>
      </c>
      <c r="Q386" t="s">
        <v>517</v>
      </c>
      <c r="R386" t="s">
        <v>2901</v>
      </c>
      <c r="S386" t="s">
        <v>2945</v>
      </c>
      <c r="T386" t="s">
        <v>2526</v>
      </c>
      <c r="U386">
        <v>301301</v>
      </c>
      <c r="V386" t="s">
        <v>2946</v>
      </c>
      <c r="W386" t="s">
        <v>2947</v>
      </c>
      <c r="X386" t="s">
        <v>2934</v>
      </c>
      <c r="Y386" t="s">
        <v>2935</v>
      </c>
      <c r="Z386" t="s">
        <v>2930</v>
      </c>
      <c r="AA386" t="s">
        <v>2936</v>
      </c>
      <c r="AB386" t="s">
        <v>2937</v>
      </c>
      <c r="AC386">
        <v>99115</v>
      </c>
      <c r="AD386" t="s">
        <v>2948</v>
      </c>
      <c r="AE386">
        <v>-41.11030504</v>
      </c>
      <c r="AF386">
        <v>173.01584602</v>
      </c>
      <c r="AG386" s="175">
        <v>45</v>
      </c>
      <c r="AH386" s="175">
        <v>0</v>
      </c>
      <c r="AI386" s="175">
        <v>0</v>
      </c>
      <c r="AJ386" s="175">
        <v>0</v>
      </c>
      <c r="AK386" s="175">
        <v>6</v>
      </c>
      <c r="AL386" s="175">
        <v>13</v>
      </c>
      <c r="AM386" s="175">
        <v>4</v>
      </c>
      <c r="AN386" s="175">
        <v>1</v>
      </c>
      <c r="AO386" s="175">
        <v>24</v>
      </c>
      <c r="AP386" s="175">
        <v>23</v>
      </c>
      <c r="AQ386" s="175">
        <v>7</v>
      </c>
      <c r="AR386" s="175">
        <v>3</v>
      </c>
      <c r="AS386" s="175">
        <v>1</v>
      </c>
      <c r="AT386" s="175">
        <v>1</v>
      </c>
    </row>
    <row r="387" spans="1:46">
      <c r="A387">
        <v>5399</v>
      </c>
      <c r="B387" t="s">
        <v>2949</v>
      </c>
      <c r="C387" t="s">
        <v>2950</v>
      </c>
      <c r="D387" t="s">
        <v>2941</v>
      </c>
      <c r="E387" t="s">
        <v>2951</v>
      </c>
      <c r="F387" t="s">
        <v>2930</v>
      </c>
      <c r="G387" t="s">
        <v>2930</v>
      </c>
      <c r="H387" t="s">
        <v>452</v>
      </c>
      <c r="J387" t="s">
        <v>605</v>
      </c>
      <c r="K387" t="s">
        <v>606</v>
      </c>
      <c r="M387" t="s">
        <v>2366</v>
      </c>
      <c r="N387" t="s">
        <v>657</v>
      </c>
      <c r="O387" t="s">
        <v>2931</v>
      </c>
      <c r="P387" t="s">
        <v>670</v>
      </c>
      <c r="Q387" t="s">
        <v>518</v>
      </c>
      <c r="R387" t="s">
        <v>2901</v>
      </c>
      <c r="S387" t="s">
        <v>2930</v>
      </c>
      <c r="T387" t="s">
        <v>2526</v>
      </c>
      <c r="U387">
        <v>304800</v>
      </c>
      <c r="V387" t="s">
        <v>2952</v>
      </c>
      <c r="W387" t="s">
        <v>2114</v>
      </c>
      <c r="X387" t="s">
        <v>2934</v>
      </c>
      <c r="Y387" t="s">
        <v>2935</v>
      </c>
      <c r="Z387" t="s">
        <v>2930</v>
      </c>
      <c r="AA387" t="s">
        <v>2936</v>
      </c>
      <c r="AB387" t="s">
        <v>2937</v>
      </c>
      <c r="AC387">
        <v>99005</v>
      </c>
      <c r="AD387" t="s">
        <v>2953</v>
      </c>
      <c r="AE387">
        <v>-41.269782200000002</v>
      </c>
      <c r="AF387">
        <v>173.28974830000001</v>
      </c>
      <c r="AG387" s="175">
        <v>42</v>
      </c>
      <c r="AH387" s="175">
        <v>0</v>
      </c>
      <c r="AI387" s="175">
        <v>0</v>
      </c>
      <c r="AJ387" s="175">
        <v>0</v>
      </c>
      <c r="AK387" s="175">
        <v>4</v>
      </c>
      <c r="AL387" s="175">
        <v>25</v>
      </c>
      <c r="AM387" s="175">
        <v>18</v>
      </c>
      <c r="AN387" s="175">
        <v>0</v>
      </c>
      <c r="AO387" s="175">
        <v>47</v>
      </c>
      <c r="AP387" s="175">
        <v>38</v>
      </c>
      <c r="AQ387" s="175">
        <v>6</v>
      </c>
      <c r="AR387" s="175">
        <v>0</v>
      </c>
      <c r="AS387" s="175">
        <v>8</v>
      </c>
      <c r="AT387" s="175">
        <v>1</v>
      </c>
    </row>
    <row r="388" spans="1:46">
      <c r="A388">
        <v>5400</v>
      </c>
      <c r="B388" t="s">
        <v>2954</v>
      </c>
      <c r="C388" t="s">
        <v>2937</v>
      </c>
      <c r="D388" t="s">
        <v>2955</v>
      </c>
      <c r="E388" t="s">
        <v>2956</v>
      </c>
      <c r="G388" t="s">
        <v>2957</v>
      </c>
      <c r="H388" t="s">
        <v>452</v>
      </c>
      <c r="J388" t="s">
        <v>605</v>
      </c>
      <c r="K388" t="s">
        <v>606</v>
      </c>
      <c r="M388" t="s">
        <v>2366</v>
      </c>
      <c r="N388" t="s">
        <v>657</v>
      </c>
      <c r="O388" t="s">
        <v>2944</v>
      </c>
      <c r="P388" t="s">
        <v>1347</v>
      </c>
      <c r="Q388" t="s">
        <v>517</v>
      </c>
      <c r="R388" t="s">
        <v>2901</v>
      </c>
      <c r="S388" t="s">
        <v>2930</v>
      </c>
      <c r="T388" t="s">
        <v>2526</v>
      </c>
      <c r="U388">
        <v>303200</v>
      </c>
      <c r="V388" t="s">
        <v>2958</v>
      </c>
      <c r="W388" t="s">
        <v>2959</v>
      </c>
      <c r="X388" t="s">
        <v>2934</v>
      </c>
      <c r="Y388" t="s">
        <v>2935</v>
      </c>
      <c r="Z388" t="s">
        <v>2930</v>
      </c>
      <c r="AA388" t="s">
        <v>2936</v>
      </c>
      <c r="AB388" t="s">
        <v>2937</v>
      </c>
      <c r="AC388">
        <v>99142</v>
      </c>
      <c r="AD388" t="s">
        <v>2960</v>
      </c>
      <c r="AE388">
        <v>-41.342235940000002</v>
      </c>
      <c r="AF388">
        <v>173.19623426999999</v>
      </c>
      <c r="AG388" s="175">
        <v>75</v>
      </c>
      <c r="AH388" s="175">
        <v>0</v>
      </c>
      <c r="AI388" s="175">
        <v>0</v>
      </c>
      <c r="AJ388" s="175">
        <v>0</v>
      </c>
      <c r="AK388" s="175">
        <v>13</v>
      </c>
      <c r="AL388" s="175">
        <v>29</v>
      </c>
      <c r="AM388" s="175">
        <v>35</v>
      </c>
      <c r="AN388" s="175">
        <v>2</v>
      </c>
      <c r="AO388" s="175">
        <v>79</v>
      </c>
      <c r="AP388" s="175">
        <v>66</v>
      </c>
      <c r="AQ388" s="175">
        <v>15</v>
      </c>
      <c r="AR388" s="175">
        <v>3</v>
      </c>
      <c r="AS388" s="175">
        <v>4</v>
      </c>
      <c r="AT388" s="175">
        <v>0</v>
      </c>
    </row>
    <row r="389" spans="1:46">
      <c r="A389">
        <v>5401</v>
      </c>
      <c r="B389" t="s">
        <v>2961</v>
      </c>
      <c r="C389" t="s">
        <v>2962</v>
      </c>
      <c r="D389" t="s">
        <v>2963</v>
      </c>
      <c r="E389" t="s">
        <v>2964</v>
      </c>
      <c r="G389" t="s">
        <v>2943</v>
      </c>
      <c r="H389" t="s">
        <v>452</v>
      </c>
      <c r="J389" t="s">
        <v>605</v>
      </c>
      <c r="K389" t="s">
        <v>606</v>
      </c>
      <c r="M389" t="s">
        <v>2366</v>
      </c>
      <c r="N389" t="s">
        <v>643</v>
      </c>
      <c r="O389" t="s">
        <v>2944</v>
      </c>
      <c r="P389" t="s">
        <v>610</v>
      </c>
      <c r="Q389" t="s">
        <v>517</v>
      </c>
      <c r="R389" t="s">
        <v>2901</v>
      </c>
      <c r="S389" t="s">
        <v>2945</v>
      </c>
      <c r="T389" t="s">
        <v>2526</v>
      </c>
      <c r="U389">
        <v>301200</v>
      </c>
      <c r="V389" t="s">
        <v>2965</v>
      </c>
      <c r="W389" t="s">
        <v>2947</v>
      </c>
      <c r="X389" t="s">
        <v>2934</v>
      </c>
      <c r="Y389" t="s">
        <v>2935</v>
      </c>
      <c r="Z389" t="s">
        <v>2930</v>
      </c>
      <c r="AA389" t="s">
        <v>2936</v>
      </c>
      <c r="AB389" t="s">
        <v>2937</v>
      </c>
      <c r="AC389">
        <v>99115</v>
      </c>
      <c r="AD389" t="s">
        <v>2948</v>
      </c>
      <c r="AE389">
        <v>-41.128750779999997</v>
      </c>
      <c r="AF389">
        <v>173.00841980000001</v>
      </c>
      <c r="AG389" s="175">
        <v>40</v>
      </c>
      <c r="AH389" s="175">
        <v>0</v>
      </c>
      <c r="AI389" s="175">
        <v>0</v>
      </c>
      <c r="AJ389" s="175">
        <v>0</v>
      </c>
      <c r="AK389" s="175">
        <v>5</v>
      </c>
      <c r="AL389" s="175">
        <v>13</v>
      </c>
      <c r="AM389" s="175">
        <v>7</v>
      </c>
      <c r="AN389" s="175">
        <v>0</v>
      </c>
      <c r="AO389" s="175">
        <v>25</v>
      </c>
      <c r="AP389" s="175">
        <v>19</v>
      </c>
      <c r="AQ389" s="175">
        <v>6</v>
      </c>
      <c r="AR389" s="175">
        <v>1</v>
      </c>
      <c r="AS389" s="175">
        <v>4</v>
      </c>
      <c r="AT389" s="175">
        <v>0</v>
      </c>
    </row>
    <row r="390" spans="1:46">
      <c r="A390">
        <v>5402</v>
      </c>
      <c r="B390" t="s">
        <v>2966</v>
      </c>
      <c r="C390" t="s">
        <v>2967</v>
      </c>
      <c r="D390" t="s">
        <v>2968</v>
      </c>
      <c r="E390" t="s">
        <v>2969</v>
      </c>
      <c r="F390" t="s">
        <v>2929</v>
      </c>
      <c r="G390" t="s">
        <v>2930</v>
      </c>
      <c r="H390" t="s">
        <v>452</v>
      </c>
      <c r="J390" t="s">
        <v>605</v>
      </c>
      <c r="K390" t="s">
        <v>606</v>
      </c>
      <c r="M390" t="s">
        <v>2366</v>
      </c>
      <c r="N390" t="s">
        <v>657</v>
      </c>
      <c r="O390" t="s">
        <v>2931</v>
      </c>
      <c r="P390" t="s">
        <v>670</v>
      </c>
      <c r="Q390" t="s">
        <v>518</v>
      </c>
      <c r="R390" t="s">
        <v>2901</v>
      </c>
      <c r="S390" t="s">
        <v>2930</v>
      </c>
      <c r="T390" t="s">
        <v>2526</v>
      </c>
      <c r="U390">
        <v>305000</v>
      </c>
      <c r="V390" t="s">
        <v>2970</v>
      </c>
      <c r="W390" t="s">
        <v>2933</v>
      </c>
      <c r="X390" t="s">
        <v>2934</v>
      </c>
      <c r="Y390" t="s">
        <v>2935</v>
      </c>
      <c r="Z390" t="s">
        <v>2930</v>
      </c>
      <c r="AA390" t="s">
        <v>2936</v>
      </c>
      <c r="AB390" t="s">
        <v>2937</v>
      </c>
      <c r="AC390">
        <v>99042</v>
      </c>
      <c r="AD390" t="s">
        <v>2938</v>
      </c>
      <c r="AE390">
        <v>-41.305882769999997</v>
      </c>
      <c r="AF390">
        <v>173.23299481999999</v>
      </c>
      <c r="AG390" s="175">
        <v>44</v>
      </c>
      <c r="AH390" s="175">
        <v>0</v>
      </c>
      <c r="AI390" s="175">
        <v>0</v>
      </c>
      <c r="AJ390" s="175">
        <v>0</v>
      </c>
      <c r="AK390" s="175">
        <v>2</v>
      </c>
      <c r="AL390" s="175">
        <v>16</v>
      </c>
      <c r="AM390" s="175">
        <v>28</v>
      </c>
      <c r="AN390" s="175">
        <v>0</v>
      </c>
      <c r="AO390" s="175">
        <v>46</v>
      </c>
      <c r="AP390" s="175">
        <v>33</v>
      </c>
      <c r="AQ390" s="175">
        <v>11</v>
      </c>
      <c r="AR390" s="175">
        <v>2</v>
      </c>
      <c r="AS390" s="175">
        <v>5</v>
      </c>
      <c r="AT390" s="175">
        <v>2</v>
      </c>
    </row>
    <row r="391" spans="1:46">
      <c r="A391">
        <v>5403</v>
      </c>
      <c r="B391" t="s">
        <v>2971</v>
      </c>
      <c r="C391" t="s">
        <v>2972</v>
      </c>
      <c r="D391" t="s">
        <v>2973</v>
      </c>
      <c r="E391" t="s">
        <v>2974</v>
      </c>
      <c r="F391" t="s">
        <v>2930</v>
      </c>
      <c r="G391" t="s">
        <v>2930</v>
      </c>
      <c r="H391" t="s">
        <v>452</v>
      </c>
      <c r="J391" t="s">
        <v>605</v>
      </c>
      <c r="K391" t="s">
        <v>606</v>
      </c>
      <c r="M391" t="s">
        <v>2366</v>
      </c>
      <c r="N391" t="s">
        <v>643</v>
      </c>
      <c r="O391" t="s">
        <v>2931</v>
      </c>
      <c r="P391" t="s">
        <v>670</v>
      </c>
      <c r="Q391" t="s">
        <v>518</v>
      </c>
      <c r="R391" t="s">
        <v>2901</v>
      </c>
      <c r="S391" t="s">
        <v>2930</v>
      </c>
      <c r="T391" t="s">
        <v>2526</v>
      </c>
      <c r="U391">
        <v>305600</v>
      </c>
      <c r="V391" t="s">
        <v>2975</v>
      </c>
      <c r="W391" t="s">
        <v>2114</v>
      </c>
      <c r="X391" t="s">
        <v>2934</v>
      </c>
      <c r="Y391" t="s">
        <v>2935</v>
      </c>
      <c r="Z391" t="s">
        <v>2930</v>
      </c>
      <c r="AA391" t="s">
        <v>2936</v>
      </c>
      <c r="AB391" t="s">
        <v>2937</v>
      </c>
      <c r="AC391">
        <v>99005</v>
      </c>
      <c r="AD391" t="s">
        <v>2953</v>
      </c>
      <c r="AE391">
        <v>-41.292022590000002</v>
      </c>
      <c r="AF391">
        <v>173.26891796000001</v>
      </c>
      <c r="AG391" s="175">
        <v>45</v>
      </c>
      <c r="AH391" s="175">
        <v>0</v>
      </c>
      <c r="AI391" s="175">
        <v>0</v>
      </c>
      <c r="AJ391" s="175">
        <v>0</v>
      </c>
      <c r="AK391" s="175">
        <v>9</v>
      </c>
      <c r="AL391" s="175">
        <v>14</v>
      </c>
      <c r="AM391" s="175">
        <v>17</v>
      </c>
      <c r="AN391" s="175">
        <v>1</v>
      </c>
      <c r="AO391" s="175">
        <v>41</v>
      </c>
      <c r="AP391" s="175">
        <v>19</v>
      </c>
      <c r="AQ391" s="175">
        <v>7</v>
      </c>
      <c r="AR391" s="175">
        <v>4</v>
      </c>
      <c r="AS391" s="175">
        <v>14</v>
      </c>
      <c r="AT391" s="175">
        <v>1</v>
      </c>
    </row>
    <row r="392" spans="1:46">
      <c r="A392">
        <v>5404</v>
      </c>
      <c r="B392" t="s">
        <v>2976</v>
      </c>
      <c r="C392" t="s">
        <v>2977</v>
      </c>
      <c r="D392" t="s">
        <v>2978</v>
      </c>
      <c r="E392" t="s">
        <v>2979</v>
      </c>
      <c r="F392" t="s">
        <v>2930</v>
      </c>
      <c r="G392" t="s">
        <v>2930</v>
      </c>
      <c r="H392" t="s">
        <v>452</v>
      </c>
      <c r="J392" t="s">
        <v>605</v>
      </c>
      <c r="K392" t="s">
        <v>606</v>
      </c>
      <c r="M392" t="s">
        <v>2366</v>
      </c>
      <c r="N392" t="s">
        <v>657</v>
      </c>
      <c r="O392" t="s">
        <v>2931</v>
      </c>
      <c r="P392" t="s">
        <v>670</v>
      </c>
      <c r="Q392" t="s">
        <v>518</v>
      </c>
      <c r="R392" t="s">
        <v>2901</v>
      </c>
      <c r="S392" t="s">
        <v>2930</v>
      </c>
      <c r="T392" t="s">
        <v>2526</v>
      </c>
      <c r="U392">
        <v>306200</v>
      </c>
      <c r="V392" t="s">
        <v>2980</v>
      </c>
      <c r="W392" t="s">
        <v>2114</v>
      </c>
      <c r="X392" t="s">
        <v>2934</v>
      </c>
      <c r="Y392" t="s">
        <v>2935</v>
      </c>
      <c r="Z392" t="s">
        <v>2930</v>
      </c>
      <c r="AA392" t="s">
        <v>2936</v>
      </c>
      <c r="AB392" t="s">
        <v>2937</v>
      </c>
      <c r="AC392">
        <v>99005</v>
      </c>
      <c r="AD392" t="s">
        <v>2953</v>
      </c>
      <c r="AE392">
        <v>-41.284029230000002</v>
      </c>
      <c r="AF392">
        <v>173.29129692999999</v>
      </c>
      <c r="AG392" s="175">
        <v>44</v>
      </c>
      <c r="AH392" s="175">
        <v>0</v>
      </c>
      <c r="AI392" s="175">
        <v>0</v>
      </c>
      <c r="AJ392" s="175">
        <v>0</v>
      </c>
      <c r="AK392" s="175">
        <v>9</v>
      </c>
      <c r="AL392" s="175">
        <v>14</v>
      </c>
      <c r="AM392" s="175">
        <v>19</v>
      </c>
      <c r="AN392" s="175">
        <v>2</v>
      </c>
      <c r="AO392" s="175">
        <v>44</v>
      </c>
      <c r="AP392" s="175">
        <v>39</v>
      </c>
      <c r="AQ392" s="175">
        <v>7</v>
      </c>
      <c r="AR392" s="175">
        <v>2</v>
      </c>
      <c r="AS392" s="175">
        <v>4</v>
      </c>
      <c r="AT392" s="175">
        <v>1</v>
      </c>
    </row>
    <row r="393" spans="1:46">
      <c r="A393">
        <v>5405</v>
      </c>
      <c r="B393" t="s">
        <v>2981</v>
      </c>
      <c r="C393" t="s">
        <v>2982</v>
      </c>
      <c r="D393" t="s">
        <v>2983</v>
      </c>
      <c r="E393" t="s">
        <v>2984</v>
      </c>
      <c r="G393" t="s">
        <v>2957</v>
      </c>
      <c r="H393" t="s">
        <v>452</v>
      </c>
      <c r="J393" t="s">
        <v>605</v>
      </c>
      <c r="K393" t="s">
        <v>606</v>
      </c>
      <c r="M393" t="s">
        <v>2366</v>
      </c>
      <c r="N393" t="s">
        <v>657</v>
      </c>
      <c r="O393" t="s">
        <v>2944</v>
      </c>
      <c r="P393" t="s">
        <v>1347</v>
      </c>
      <c r="Q393" t="s">
        <v>517</v>
      </c>
      <c r="R393" t="s">
        <v>2901</v>
      </c>
      <c r="S393" t="s">
        <v>2930</v>
      </c>
      <c r="T393" t="s">
        <v>2526</v>
      </c>
      <c r="U393">
        <v>302800</v>
      </c>
      <c r="V393" t="s">
        <v>2985</v>
      </c>
      <c r="W393" t="s">
        <v>2959</v>
      </c>
      <c r="X393" t="s">
        <v>2934</v>
      </c>
      <c r="Y393" t="s">
        <v>2935</v>
      </c>
      <c r="Z393" t="s">
        <v>2930</v>
      </c>
      <c r="AA393" t="s">
        <v>2936</v>
      </c>
      <c r="AB393" t="s">
        <v>2937</v>
      </c>
      <c r="AC393">
        <v>99142</v>
      </c>
      <c r="AD393" t="s">
        <v>2960</v>
      </c>
      <c r="AE393">
        <v>-41.338000289999997</v>
      </c>
      <c r="AF393">
        <v>173.18903212999999</v>
      </c>
      <c r="AG393" s="175">
        <v>43</v>
      </c>
      <c r="AH393" s="175">
        <v>0</v>
      </c>
      <c r="AI393" s="175">
        <v>0</v>
      </c>
      <c r="AJ393" s="175">
        <v>0</v>
      </c>
      <c r="AK393" s="175">
        <v>10</v>
      </c>
      <c r="AL393" s="175">
        <v>15</v>
      </c>
      <c r="AM393" s="175">
        <v>23</v>
      </c>
      <c r="AN393" s="175">
        <v>1</v>
      </c>
      <c r="AO393" s="175">
        <v>49</v>
      </c>
      <c r="AP393" s="175">
        <v>41</v>
      </c>
      <c r="AQ393" s="175">
        <v>5</v>
      </c>
      <c r="AR393" s="175">
        <v>1</v>
      </c>
      <c r="AS393" s="175">
        <v>5</v>
      </c>
      <c r="AT393" s="175">
        <v>3</v>
      </c>
    </row>
    <row r="394" spans="1:46">
      <c r="A394">
        <v>5406</v>
      </c>
      <c r="B394" t="s">
        <v>2986</v>
      </c>
      <c r="C394" t="s">
        <v>2987</v>
      </c>
      <c r="D394" t="s">
        <v>2988</v>
      </c>
      <c r="E394" t="s">
        <v>2989</v>
      </c>
      <c r="F394" t="s">
        <v>2929</v>
      </c>
      <c r="G394" t="s">
        <v>2930</v>
      </c>
      <c r="H394" t="s">
        <v>452</v>
      </c>
      <c r="J394" t="s">
        <v>605</v>
      </c>
      <c r="K394" t="s">
        <v>606</v>
      </c>
      <c r="M394" t="s">
        <v>2366</v>
      </c>
      <c r="N394" t="s">
        <v>657</v>
      </c>
      <c r="O394" t="s">
        <v>2931</v>
      </c>
      <c r="P394" t="s">
        <v>670</v>
      </c>
      <c r="Q394" t="s">
        <v>518</v>
      </c>
      <c r="R394" t="s">
        <v>2901</v>
      </c>
      <c r="S394" t="s">
        <v>2930</v>
      </c>
      <c r="T394" t="s">
        <v>2526</v>
      </c>
      <c r="U394">
        <v>305900</v>
      </c>
      <c r="V394" t="s">
        <v>2990</v>
      </c>
      <c r="W394" t="s">
        <v>2933</v>
      </c>
      <c r="X394" t="s">
        <v>2934</v>
      </c>
      <c r="Y394" t="s">
        <v>2935</v>
      </c>
      <c r="Z394" t="s">
        <v>2930</v>
      </c>
      <c r="AA394" t="s">
        <v>2936</v>
      </c>
      <c r="AB394" t="s">
        <v>2937</v>
      </c>
      <c r="AC394">
        <v>99042</v>
      </c>
      <c r="AD394" t="s">
        <v>2938</v>
      </c>
      <c r="AE394">
        <v>-41.316596400000002</v>
      </c>
      <c r="AF394">
        <v>173.23400455999999</v>
      </c>
      <c r="AG394" s="175">
        <v>40</v>
      </c>
      <c r="AH394" s="175">
        <v>0</v>
      </c>
      <c r="AI394" s="175">
        <v>0</v>
      </c>
      <c r="AJ394" s="175">
        <v>0</v>
      </c>
      <c r="AK394" s="175">
        <v>5</v>
      </c>
      <c r="AL394" s="175">
        <v>18</v>
      </c>
      <c r="AM394" s="175">
        <v>22</v>
      </c>
      <c r="AN394" s="175">
        <v>1</v>
      </c>
      <c r="AO394" s="175">
        <v>46</v>
      </c>
      <c r="AP394" s="175">
        <v>24</v>
      </c>
      <c r="AQ394" s="175">
        <v>9</v>
      </c>
      <c r="AR394" s="175">
        <v>4</v>
      </c>
      <c r="AS394" s="175">
        <v>10</v>
      </c>
      <c r="AT394" s="175">
        <v>2</v>
      </c>
    </row>
    <row r="395" spans="1:46">
      <c r="A395">
        <v>5407</v>
      </c>
      <c r="B395" t="s">
        <v>2991</v>
      </c>
      <c r="C395" t="s">
        <v>2992</v>
      </c>
      <c r="D395" t="s">
        <v>2993</v>
      </c>
      <c r="E395" t="s">
        <v>2994</v>
      </c>
      <c r="F395" t="s">
        <v>2995</v>
      </c>
      <c r="G395" t="s">
        <v>2930</v>
      </c>
      <c r="H395" t="s">
        <v>452</v>
      </c>
      <c r="J395" t="s">
        <v>605</v>
      </c>
      <c r="K395" t="s">
        <v>606</v>
      </c>
      <c r="M395" t="s">
        <v>2366</v>
      </c>
      <c r="N395" t="s">
        <v>657</v>
      </c>
      <c r="O395" t="s">
        <v>2931</v>
      </c>
      <c r="P395" t="s">
        <v>670</v>
      </c>
      <c r="Q395" t="s">
        <v>518</v>
      </c>
      <c r="R395" t="s">
        <v>2901</v>
      </c>
      <c r="S395" t="s">
        <v>2930</v>
      </c>
      <c r="T395" t="s">
        <v>2526</v>
      </c>
      <c r="U395">
        <v>304100</v>
      </c>
      <c r="V395" t="s">
        <v>2996</v>
      </c>
      <c r="W395" t="s">
        <v>2933</v>
      </c>
      <c r="X395" t="s">
        <v>2934</v>
      </c>
      <c r="Y395" t="s">
        <v>2935</v>
      </c>
      <c r="Z395" t="s">
        <v>2930</v>
      </c>
      <c r="AA395" t="s">
        <v>2936</v>
      </c>
      <c r="AB395" t="s">
        <v>2937</v>
      </c>
      <c r="AC395">
        <v>99042</v>
      </c>
      <c r="AD395" t="s">
        <v>2938</v>
      </c>
      <c r="AE395">
        <v>-41.285723070000003</v>
      </c>
      <c r="AF395">
        <v>173.24497122</v>
      </c>
      <c r="AG395" s="175">
        <v>80</v>
      </c>
      <c r="AH395" s="175">
        <v>10</v>
      </c>
      <c r="AI395" s="175">
        <v>0</v>
      </c>
      <c r="AJ395" s="175">
        <v>0</v>
      </c>
      <c r="AK395" s="175">
        <v>9</v>
      </c>
      <c r="AL395" s="175">
        <v>25</v>
      </c>
      <c r="AM395" s="175">
        <v>30</v>
      </c>
      <c r="AN395" s="175">
        <v>8</v>
      </c>
      <c r="AO395" s="175">
        <v>72</v>
      </c>
      <c r="AP395" s="175">
        <v>49</v>
      </c>
      <c r="AQ395" s="175">
        <v>21</v>
      </c>
      <c r="AR395" s="175">
        <v>9</v>
      </c>
      <c r="AS395" s="175">
        <v>6</v>
      </c>
      <c r="AT395" s="175">
        <v>2</v>
      </c>
    </row>
    <row r="396" spans="1:46">
      <c r="A396">
        <v>5408</v>
      </c>
      <c r="B396" t="s">
        <v>2997</v>
      </c>
      <c r="C396" t="s">
        <v>2998</v>
      </c>
      <c r="D396" t="s">
        <v>2999</v>
      </c>
      <c r="E396" t="s">
        <v>3000</v>
      </c>
      <c r="G396" t="s">
        <v>3001</v>
      </c>
      <c r="H396" t="s">
        <v>452</v>
      </c>
      <c r="J396" t="s">
        <v>605</v>
      </c>
      <c r="K396" t="s">
        <v>606</v>
      </c>
      <c r="M396" t="s">
        <v>2366</v>
      </c>
      <c r="N396" t="s">
        <v>643</v>
      </c>
      <c r="O396" t="s">
        <v>3002</v>
      </c>
      <c r="P396" t="s">
        <v>610</v>
      </c>
      <c r="Q396" t="s">
        <v>520</v>
      </c>
      <c r="R396" t="s">
        <v>2901</v>
      </c>
      <c r="S396" t="s">
        <v>2945</v>
      </c>
      <c r="T396" t="s">
        <v>2526</v>
      </c>
      <c r="U396">
        <v>309201</v>
      </c>
      <c r="V396" t="s">
        <v>3003</v>
      </c>
      <c r="W396" t="s">
        <v>3004</v>
      </c>
      <c r="X396" t="s">
        <v>3005</v>
      </c>
      <c r="Y396" t="s">
        <v>3006</v>
      </c>
      <c r="AA396" t="s">
        <v>3007</v>
      </c>
      <c r="AB396" t="s">
        <v>3008</v>
      </c>
      <c r="AC396">
        <v>99007</v>
      </c>
      <c r="AD396" t="s">
        <v>3009</v>
      </c>
      <c r="AE396">
        <v>-41.751411400000002</v>
      </c>
      <c r="AF396">
        <v>171.5988864</v>
      </c>
      <c r="AG396" s="175">
        <v>96</v>
      </c>
      <c r="AH396" s="175">
        <v>12</v>
      </c>
      <c r="AI396" s="175">
        <v>5</v>
      </c>
      <c r="AJ396" s="175">
        <v>12</v>
      </c>
      <c r="AK396" s="175">
        <v>19</v>
      </c>
      <c r="AL396" s="175">
        <v>26</v>
      </c>
      <c r="AM396" s="175">
        <v>22</v>
      </c>
      <c r="AN396" s="175">
        <v>2</v>
      </c>
      <c r="AO396" s="175">
        <v>86</v>
      </c>
      <c r="AP396" s="175">
        <v>71</v>
      </c>
      <c r="AQ396" s="175">
        <v>28</v>
      </c>
      <c r="AR396" s="175">
        <v>7</v>
      </c>
      <c r="AS396" s="175">
        <v>7</v>
      </c>
      <c r="AT396" s="175">
        <v>1</v>
      </c>
    </row>
    <row r="397" spans="1:46">
      <c r="A397">
        <v>5409</v>
      </c>
      <c r="B397" t="s">
        <v>3010</v>
      </c>
      <c r="C397" t="s">
        <v>3011</v>
      </c>
      <c r="D397" t="s">
        <v>3012</v>
      </c>
      <c r="E397" t="s">
        <v>3013</v>
      </c>
      <c r="F397" t="s">
        <v>3014</v>
      </c>
      <c r="G397" t="s">
        <v>3015</v>
      </c>
      <c r="H397" t="s">
        <v>452</v>
      </c>
      <c r="J397" t="s">
        <v>605</v>
      </c>
      <c r="K397" t="s">
        <v>606</v>
      </c>
      <c r="M397" t="s">
        <v>2366</v>
      </c>
      <c r="N397" t="s">
        <v>657</v>
      </c>
      <c r="O397" t="s">
        <v>3016</v>
      </c>
      <c r="P397" t="s">
        <v>739</v>
      </c>
      <c r="Q397" t="s">
        <v>521</v>
      </c>
      <c r="R397" t="s">
        <v>3017</v>
      </c>
      <c r="S397" t="s">
        <v>3018</v>
      </c>
      <c r="T397" t="s">
        <v>2526</v>
      </c>
      <c r="U397">
        <v>319700</v>
      </c>
      <c r="V397" t="s">
        <v>3019</v>
      </c>
      <c r="W397" t="s">
        <v>3020</v>
      </c>
      <c r="X397" t="s">
        <v>3021</v>
      </c>
      <c r="Y397" t="s">
        <v>3022</v>
      </c>
      <c r="Z397" t="s">
        <v>3023</v>
      </c>
      <c r="AA397" t="s">
        <v>3024</v>
      </c>
      <c r="AB397" t="s">
        <v>3025</v>
      </c>
      <c r="AE397">
        <v>-43.519964369999997</v>
      </c>
      <c r="AF397">
        <v>172.55623806</v>
      </c>
      <c r="AG397" s="175">
        <v>40</v>
      </c>
      <c r="AH397" s="175">
        <v>0</v>
      </c>
      <c r="AI397" s="175">
        <v>0</v>
      </c>
      <c r="AJ397" s="175">
        <v>0</v>
      </c>
      <c r="AK397" s="175">
        <v>5</v>
      </c>
      <c r="AL397" s="175">
        <v>7</v>
      </c>
      <c r="AM397" s="175">
        <v>13</v>
      </c>
      <c r="AN397" s="175">
        <v>0</v>
      </c>
      <c r="AO397" s="175">
        <v>25</v>
      </c>
      <c r="AP397" s="175">
        <v>15</v>
      </c>
      <c r="AQ397" s="175">
        <v>2</v>
      </c>
      <c r="AR397" s="175">
        <v>0</v>
      </c>
      <c r="AS397" s="175">
        <v>11</v>
      </c>
      <c r="AT397" s="175">
        <v>3</v>
      </c>
    </row>
    <row r="398" spans="1:46">
      <c r="A398">
        <v>5411</v>
      </c>
      <c r="B398" t="s">
        <v>3026</v>
      </c>
      <c r="C398" t="s">
        <v>3027</v>
      </c>
      <c r="D398" t="s">
        <v>3012</v>
      </c>
      <c r="E398" t="s">
        <v>3028</v>
      </c>
      <c r="F398" t="s">
        <v>3029</v>
      </c>
      <c r="G398" t="s">
        <v>3015</v>
      </c>
      <c r="H398" t="s">
        <v>452</v>
      </c>
      <c r="J398" t="s">
        <v>605</v>
      </c>
      <c r="K398" t="s">
        <v>606</v>
      </c>
      <c r="M398" t="s">
        <v>2366</v>
      </c>
      <c r="N398" t="s">
        <v>657</v>
      </c>
      <c r="O398" t="s">
        <v>3016</v>
      </c>
      <c r="P398" t="s">
        <v>739</v>
      </c>
      <c r="Q398" t="s">
        <v>521</v>
      </c>
      <c r="R398" t="s">
        <v>3017</v>
      </c>
      <c r="S398" t="s">
        <v>3030</v>
      </c>
      <c r="T398" t="s">
        <v>2526</v>
      </c>
      <c r="U398">
        <v>330600</v>
      </c>
      <c r="V398" t="s">
        <v>3029</v>
      </c>
      <c r="W398" t="s">
        <v>3031</v>
      </c>
      <c r="X398" t="s">
        <v>3021</v>
      </c>
      <c r="Y398" t="s">
        <v>3022</v>
      </c>
      <c r="Z398" t="s">
        <v>3023</v>
      </c>
      <c r="AA398" t="s">
        <v>3024</v>
      </c>
      <c r="AB398" t="s">
        <v>3025</v>
      </c>
      <c r="AC398">
        <v>99177</v>
      </c>
      <c r="AD398" t="s">
        <v>3032</v>
      </c>
      <c r="AE398">
        <v>-43.559259079999997</v>
      </c>
      <c r="AF398">
        <v>172.64510387999999</v>
      </c>
      <c r="AG398" s="175">
        <v>40</v>
      </c>
      <c r="AH398" s="175">
        <v>0</v>
      </c>
      <c r="AI398" s="175">
        <v>0</v>
      </c>
      <c r="AJ398" s="175">
        <v>0</v>
      </c>
      <c r="AK398" s="175">
        <v>7</v>
      </c>
      <c r="AL398" s="175">
        <v>16</v>
      </c>
      <c r="AM398" s="175">
        <v>21</v>
      </c>
      <c r="AN398" s="175">
        <v>2</v>
      </c>
      <c r="AO398" s="175">
        <v>46</v>
      </c>
      <c r="AP398" s="175">
        <v>42</v>
      </c>
      <c r="AQ398" s="175">
        <v>8</v>
      </c>
      <c r="AR398" s="175">
        <v>0</v>
      </c>
      <c r="AS398" s="175">
        <v>4</v>
      </c>
      <c r="AT398" s="175">
        <v>1</v>
      </c>
    </row>
    <row r="399" spans="1:46">
      <c r="A399">
        <v>5413</v>
      </c>
      <c r="B399" t="s">
        <v>3033</v>
      </c>
      <c r="C399" t="s">
        <v>3034</v>
      </c>
      <c r="D399" t="s">
        <v>3012</v>
      </c>
      <c r="E399" t="s">
        <v>3035</v>
      </c>
      <c r="G399" t="s">
        <v>3036</v>
      </c>
      <c r="H399" t="s">
        <v>452</v>
      </c>
      <c r="J399" t="s">
        <v>605</v>
      </c>
      <c r="K399" t="s">
        <v>606</v>
      </c>
      <c r="M399" t="s">
        <v>2366</v>
      </c>
      <c r="N399" t="s">
        <v>657</v>
      </c>
      <c r="O399" t="s">
        <v>3037</v>
      </c>
      <c r="P399" t="s">
        <v>1347</v>
      </c>
      <c r="Q399" t="s">
        <v>521</v>
      </c>
      <c r="R399" t="s">
        <v>3017</v>
      </c>
      <c r="S399" t="s">
        <v>3038</v>
      </c>
      <c r="T399" t="s">
        <v>2526</v>
      </c>
      <c r="U399">
        <v>314501</v>
      </c>
      <c r="V399" t="s">
        <v>3039</v>
      </c>
      <c r="W399" t="s">
        <v>3040</v>
      </c>
      <c r="X399" t="s">
        <v>3021</v>
      </c>
      <c r="Y399" t="s">
        <v>3022</v>
      </c>
      <c r="Z399" t="s">
        <v>3023</v>
      </c>
      <c r="AA399" t="s">
        <v>3024</v>
      </c>
      <c r="AB399" t="s">
        <v>3025</v>
      </c>
      <c r="AC399">
        <v>99077</v>
      </c>
      <c r="AD399" t="s">
        <v>3041</v>
      </c>
      <c r="AE399">
        <v>-43.316244259999998</v>
      </c>
      <c r="AF399">
        <v>172.59047355999999</v>
      </c>
      <c r="AG399" s="175">
        <v>30</v>
      </c>
      <c r="AH399" s="175">
        <v>0</v>
      </c>
      <c r="AI399" s="175">
        <v>0</v>
      </c>
      <c r="AJ399" s="175">
        <v>0</v>
      </c>
      <c r="AK399" s="175">
        <v>7</v>
      </c>
      <c r="AL399" s="175">
        <v>9</v>
      </c>
      <c r="AM399" s="175">
        <v>16</v>
      </c>
      <c r="AN399" s="175">
        <v>0</v>
      </c>
      <c r="AO399" s="175">
        <v>32</v>
      </c>
      <c r="AP399" s="175">
        <v>30</v>
      </c>
      <c r="AQ399" s="175">
        <v>10</v>
      </c>
      <c r="AR399" s="175">
        <v>3</v>
      </c>
      <c r="AS399" s="175">
        <v>2</v>
      </c>
      <c r="AT399" s="175">
        <v>0</v>
      </c>
    </row>
    <row r="400" spans="1:46">
      <c r="A400">
        <v>5414</v>
      </c>
      <c r="B400" t="s">
        <v>3042</v>
      </c>
      <c r="C400" t="s">
        <v>3043</v>
      </c>
      <c r="D400" t="s">
        <v>3012</v>
      </c>
      <c r="E400" t="s">
        <v>3044</v>
      </c>
      <c r="F400" t="s">
        <v>3045</v>
      </c>
      <c r="G400" t="s">
        <v>3015</v>
      </c>
      <c r="H400" t="s">
        <v>452</v>
      </c>
      <c r="J400" t="s">
        <v>605</v>
      </c>
      <c r="K400" t="s">
        <v>606</v>
      </c>
      <c r="M400" t="s">
        <v>2366</v>
      </c>
      <c r="N400" t="s">
        <v>657</v>
      </c>
      <c r="O400" t="s">
        <v>3016</v>
      </c>
      <c r="P400" t="s">
        <v>739</v>
      </c>
      <c r="Q400" t="s">
        <v>521</v>
      </c>
      <c r="R400" t="s">
        <v>3017</v>
      </c>
      <c r="S400" t="s">
        <v>3046</v>
      </c>
      <c r="T400" t="s">
        <v>2526</v>
      </c>
      <c r="U400">
        <v>325100</v>
      </c>
      <c r="V400" t="s">
        <v>3045</v>
      </c>
      <c r="W400" t="s">
        <v>3047</v>
      </c>
      <c r="X400" t="s">
        <v>3021</v>
      </c>
      <c r="Y400" t="s">
        <v>3022</v>
      </c>
      <c r="Z400" t="s">
        <v>3023</v>
      </c>
      <c r="AA400" t="s">
        <v>3024</v>
      </c>
      <c r="AB400" t="s">
        <v>3025</v>
      </c>
      <c r="AE400">
        <v>-43.479881210000002</v>
      </c>
      <c r="AF400">
        <v>172.70569538000001</v>
      </c>
      <c r="AG400" s="175">
        <v>40</v>
      </c>
      <c r="AH400" s="175">
        <v>0</v>
      </c>
      <c r="AI400" s="175">
        <v>0</v>
      </c>
      <c r="AJ400" s="175">
        <v>0</v>
      </c>
      <c r="AK400" s="175">
        <v>12</v>
      </c>
      <c r="AL400" s="175">
        <v>10</v>
      </c>
      <c r="AM400" s="175">
        <v>8</v>
      </c>
      <c r="AN400" s="175">
        <v>0</v>
      </c>
      <c r="AO400" s="175">
        <v>30</v>
      </c>
      <c r="AP400" s="175">
        <v>21</v>
      </c>
      <c r="AQ400" s="175">
        <v>7</v>
      </c>
      <c r="AR400" s="175">
        <v>5</v>
      </c>
      <c r="AS400" s="175">
        <v>1</v>
      </c>
      <c r="AT400" s="175">
        <v>0</v>
      </c>
    </row>
    <row r="401" spans="1:46">
      <c r="A401">
        <v>5415</v>
      </c>
      <c r="B401" t="s">
        <v>3048</v>
      </c>
      <c r="C401" t="s">
        <v>3049</v>
      </c>
      <c r="D401" t="s">
        <v>3012</v>
      </c>
      <c r="E401" t="s">
        <v>3050</v>
      </c>
      <c r="F401" t="s">
        <v>3051</v>
      </c>
      <c r="G401" t="s">
        <v>3015</v>
      </c>
      <c r="H401" t="s">
        <v>452</v>
      </c>
      <c r="J401" t="s">
        <v>605</v>
      </c>
      <c r="K401" t="s">
        <v>606</v>
      </c>
      <c r="M401" t="s">
        <v>2366</v>
      </c>
      <c r="N401" t="s">
        <v>657</v>
      </c>
      <c r="O401" t="s">
        <v>3016</v>
      </c>
      <c r="P401" t="s">
        <v>739</v>
      </c>
      <c r="Q401" t="s">
        <v>521</v>
      </c>
      <c r="R401" t="s">
        <v>3017</v>
      </c>
      <c r="S401" t="s">
        <v>3052</v>
      </c>
      <c r="T401" t="s">
        <v>2526</v>
      </c>
      <c r="U401">
        <v>330300</v>
      </c>
      <c r="V401" t="s">
        <v>3053</v>
      </c>
      <c r="W401" t="s">
        <v>3031</v>
      </c>
      <c r="X401" t="s">
        <v>3021</v>
      </c>
      <c r="Y401" t="s">
        <v>3022</v>
      </c>
      <c r="Z401" t="s">
        <v>3023</v>
      </c>
      <c r="AA401" t="s">
        <v>3024</v>
      </c>
      <c r="AB401" t="s">
        <v>3025</v>
      </c>
      <c r="AC401">
        <v>99177</v>
      </c>
      <c r="AD401" t="s">
        <v>3032</v>
      </c>
      <c r="AE401">
        <v>-43.57858513</v>
      </c>
      <c r="AF401">
        <v>172.62769279</v>
      </c>
      <c r="AG401" s="175">
        <v>40</v>
      </c>
      <c r="AH401" s="175">
        <v>0</v>
      </c>
      <c r="AI401" s="175">
        <v>0</v>
      </c>
      <c r="AJ401" s="175">
        <v>0</v>
      </c>
      <c r="AK401" s="175">
        <v>13</v>
      </c>
      <c r="AL401" s="175">
        <v>21</v>
      </c>
      <c r="AM401" s="175">
        <v>21</v>
      </c>
      <c r="AN401" s="175">
        <v>4</v>
      </c>
      <c r="AO401" s="175">
        <v>59</v>
      </c>
      <c r="AP401" s="175">
        <v>52</v>
      </c>
      <c r="AQ401" s="175">
        <v>6</v>
      </c>
      <c r="AR401" s="175">
        <v>2</v>
      </c>
      <c r="AS401" s="175">
        <v>7</v>
      </c>
      <c r="AT401" s="175">
        <v>3</v>
      </c>
    </row>
    <row r="402" spans="1:46">
      <c r="A402">
        <v>5417</v>
      </c>
      <c r="B402" t="s">
        <v>3054</v>
      </c>
      <c r="C402" t="s">
        <v>3055</v>
      </c>
      <c r="D402" t="s">
        <v>3012</v>
      </c>
      <c r="E402" t="s">
        <v>3056</v>
      </c>
      <c r="F402" t="s">
        <v>3057</v>
      </c>
      <c r="G402" t="s">
        <v>3015</v>
      </c>
      <c r="H402" t="s">
        <v>452</v>
      </c>
      <c r="J402" t="s">
        <v>605</v>
      </c>
      <c r="K402" t="s">
        <v>606</v>
      </c>
      <c r="M402" t="s">
        <v>2366</v>
      </c>
      <c r="N402" t="s">
        <v>657</v>
      </c>
      <c r="O402" t="s">
        <v>3016</v>
      </c>
      <c r="P402" t="s">
        <v>739</v>
      </c>
      <c r="Q402" t="s">
        <v>521</v>
      </c>
      <c r="R402" t="s">
        <v>3017</v>
      </c>
      <c r="S402" t="s">
        <v>3018</v>
      </c>
      <c r="T402" t="s">
        <v>2526</v>
      </c>
      <c r="U402">
        <v>317800</v>
      </c>
      <c r="V402" t="s">
        <v>3058</v>
      </c>
      <c r="W402" t="s">
        <v>3059</v>
      </c>
      <c r="X402" t="s">
        <v>3021</v>
      </c>
      <c r="Y402" t="s">
        <v>3022</v>
      </c>
      <c r="Z402" t="s">
        <v>3023</v>
      </c>
      <c r="AA402" t="s">
        <v>3024</v>
      </c>
      <c r="AB402" t="s">
        <v>3025</v>
      </c>
      <c r="AC402">
        <v>99039</v>
      </c>
      <c r="AD402" t="s">
        <v>3060</v>
      </c>
      <c r="AE402">
        <v>-43.482083189999997</v>
      </c>
      <c r="AF402">
        <v>172.58703495</v>
      </c>
      <c r="AG402" s="175">
        <v>40</v>
      </c>
      <c r="AH402" s="175">
        <v>0</v>
      </c>
      <c r="AI402" s="175">
        <v>0</v>
      </c>
      <c r="AJ402" s="175">
        <v>0</v>
      </c>
      <c r="AK402" s="175">
        <v>6</v>
      </c>
      <c r="AL402" s="175">
        <v>14</v>
      </c>
      <c r="AM402" s="175">
        <v>18</v>
      </c>
      <c r="AN402" s="175">
        <v>3</v>
      </c>
      <c r="AO402" s="175">
        <v>41</v>
      </c>
      <c r="AP402" s="175">
        <v>30</v>
      </c>
      <c r="AQ402" s="175">
        <v>5</v>
      </c>
      <c r="AR402" s="175">
        <v>0</v>
      </c>
      <c r="AS402" s="175">
        <v>8</v>
      </c>
      <c r="AT402" s="175">
        <v>2</v>
      </c>
    </row>
    <row r="403" spans="1:46">
      <c r="A403">
        <v>5418</v>
      </c>
      <c r="B403" t="s">
        <v>3061</v>
      </c>
      <c r="C403" t="s">
        <v>3062</v>
      </c>
      <c r="D403" t="s">
        <v>3012</v>
      </c>
      <c r="E403" t="s">
        <v>3063</v>
      </c>
      <c r="F403" t="s">
        <v>3064</v>
      </c>
      <c r="G403" t="s">
        <v>3015</v>
      </c>
      <c r="H403" t="s">
        <v>452</v>
      </c>
      <c r="J403" t="s">
        <v>605</v>
      </c>
      <c r="K403" t="s">
        <v>606</v>
      </c>
      <c r="M403" t="s">
        <v>2366</v>
      </c>
      <c r="N403" t="s">
        <v>608</v>
      </c>
      <c r="O403" t="s">
        <v>3016</v>
      </c>
      <c r="P403" t="s">
        <v>739</v>
      </c>
      <c r="Q403" t="s">
        <v>521</v>
      </c>
      <c r="R403" t="s">
        <v>3017</v>
      </c>
      <c r="S403" t="s">
        <v>3052</v>
      </c>
      <c r="T403" t="s">
        <v>2526</v>
      </c>
      <c r="U403">
        <v>330100</v>
      </c>
      <c r="V403" t="s">
        <v>3065</v>
      </c>
      <c r="W403" t="s">
        <v>3066</v>
      </c>
      <c r="X403" t="s">
        <v>3021</v>
      </c>
      <c r="Y403" t="s">
        <v>3022</v>
      </c>
      <c r="Z403" t="s">
        <v>3023</v>
      </c>
      <c r="AA403" t="s">
        <v>3024</v>
      </c>
      <c r="AB403" t="s">
        <v>3025</v>
      </c>
      <c r="AC403">
        <v>99063</v>
      </c>
      <c r="AD403" t="s">
        <v>3067</v>
      </c>
      <c r="AE403">
        <v>-43.543377749999998</v>
      </c>
      <c r="AF403">
        <v>172.67197540999999</v>
      </c>
      <c r="AG403" s="175">
        <v>40</v>
      </c>
      <c r="AH403" s="175">
        <v>0</v>
      </c>
      <c r="AI403" s="175">
        <v>0</v>
      </c>
      <c r="AJ403" s="175">
        <v>0</v>
      </c>
      <c r="AK403" s="175">
        <v>9</v>
      </c>
      <c r="AL403" s="175">
        <v>12</v>
      </c>
      <c r="AM403" s="175">
        <v>13</v>
      </c>
      <c r="AN403" s="175">
        <v>0</v>
      </c>
      <c r="AO403" s="175">
        <v>34</v>
      </c>
      <c r="AP403" s="175">
        <v>25</v>
      </c>
      <c r="AQ403" s="175">
        <v>12</v>
      </c>
      <c r="AR403" s="175">
        <v>2</v>
      </c>
      <c r="AS403" s="175">
        <v>10</v>
      </c>
      <c r="AT403" s="175">
        <v>0</v>
      </c>
    </row>
    <row r="404" spans="1:46">
      <c r="A404">
        <v>5419</v>
      </c>
      <c r="B404" t="s">
        <v>3068</v>
      </c>
      <c r="C404" t="s">
        <v>3069</v>
      </c>
      <c r="D404" t="s">
        <v>3012</v>
      </c>
      <c r="E404" t="s">
        <v>3070</v>
      </c>
      <c r="F404" t="s">
        <v>3018</v>
      </c>
      <c r="G404" t="s">
        <v>3015</v>
      </c>
      <c r="H404" t="s">
        <v>452</v>
      </c>
      <c r="J404" t="s">
        <v>605</v>
      </c>
      <c r="K404" t="s">
        <v>606</v>
      </c>
      <c r="M404" t="s">
        <v>2366</v>
      </c>
      <c r="N404" t="s">
        <v>657</v>
      </c>
      <c r="O404" t="s">
        <v>3016</v>
      </c>
      <c r="P404" t="s">
        <v>739</v>
      </c>
      <c r="Q404" t="s">
        <v>521</v>
      </c>
      <c r="R404" t="s">
        <v>3017</v>
      </c>
      <c r="S404" t="s">
        <v>3018</v>
      </c>
      <c r="T404" t="s">
        <v>2526</v>
      </c>
      <c r="U404">
        <v>320600</v>
      </c>
      <c r="V404" t="s">
        <v>3071</v>
      </c>
      <c r="W404" t="s">
        <v>3072</v>
      </c>
      <c r="X404" t="s">
        <v>3021</v>
      </c>
      <c r="Y404" t="s">
        <v>3022</v>
      </c>
      <c r="Z404" t="s">
        <v>3023</v>
      </c>
      <c r="AA404" t="s">
        <v>3024</v>
      </c>
      <c r="AB404" t="s">
        <v>3025</v>
      </c>
      <c r="AC404">
        <v>99027</v>
      </c>
      <c r="AD404" t="s">
        <v>3073</v>
      </c>
      <c r="AE404">
        <v>-43.513499240000002</v>
      </c>
      <c r="AF404">
        <v>172.57854560999999</v>
      </c>
      <c r="AG404" s="175">
        <v>40</v>
      </c>
      <c r="AH404" s="175">
        <v>0</v>
      </c>
      <c r="AI404" s="175">
        <v>0</v>
      </c>
      <c r="AJ404" s="175">
        <v>0</v>
      </c>
      <c r="AK404" s="175">
        <v>6</v>
      </c>
      <c r="AL404" s="175">
        <v>18</v>
      </c>
      <c r="AM404" s="175">
        <v>14</v>
      </c>
      <c r="AN404" s="175">
        <v>1</v>
      </c>
      <c r="AO404" s="175">
        <v>39</v>
      </c>
      <c r="AP404" s="175">
        <v>21</v>
      </c>
      <c r="AQ404" s="175">
        <v>7</v>
      </c>
      <c r="AR404" s="175">
        <v>5</v>
      </c>
      <c r="AS404" s="175">
        <v>13</v>
      </c>
      <c r="AT404" s="175">
        <v>1</v>
      </c>
    </row>
    <row r="405" spans="1:46">
      <c r="A405">
        <v>5420</v>
      </c>
      <c r="B405" t="s">
        <v>3074</v>
      </c>
      <c r="C405" t="s">
        <v>3075</v>
      </c>
      <c r="D405" t="s">
        <v>3076</v>
      </c>
      <c r="E405" t="s">
        <v>3077</v>
      </c>
      <c r="G405" t="s">
        <v>3078</v>
      </c>
      <c r="H405" t="s">
        <v>452</v>
      </c>
      <c r="J405" t="s">
        <v>605</v>
      </c>
      <c r="K405" t="s">
        <v>606</v>
      </c>
      <c r="M405" t="s">
        <v>2366</v>
      </c>
      <c r="N405" t="s">
        <v>657</v>
      </c>
      <c r="O405" t="s">
        <v>3079</v>
      </c>
      <c r="P405" t="s">
        <v>610</v>
      </c>
      <c r="Q405" t="s">
        <v>520</v>
      </c>
      <c r="R405" t="s">
        <v>2901</v>
      </c>
      <c r="S405" t="s">
        <v>2945</v>
      </c>
      <c r="T405" t="s">
        <v>2526</v>
      </c>
      <c r="U405">
        <v>310400</v>
      </c>
      <c r="V405" t="s">
        <v>3080</v>
      </c>
      <c r="W405" t="s">
        <v>2521</v>
      </c>
      <c r="X405" t="s">
        <v>3021</v>
      </c>
      <c r="Y405" t="s">
        <v>3022</v>
      </c>
      <c r="Z405" t="s">
        <v>3023</v>
      </c>
      <c r="AA405" t="s">
        <v>3024</v>
      </c>
      <c r="AB405" t="s">
        <v>3025</v>
      </c>
      <c r="AC405">
        <v>99026</v>
      </c>
      <c r="AD405" t="s">
        <v>3081</v>
      </c>
      <c r="AE405">
        <v>-42.461901390000001</v>
      </c>
      <c r="AF405">
        <v>171.20165112999999</v>
      </c>
      <c r="AG405" s="175">
        <v>40</v>
      </c>
      <c r="AH405" s="175">
        <v>0</v>
      </c>
      <c r="AI405" s="175">
        <v>0</v>
      </c>
      <c r="AJ405" s="175">
        <v>0</v>
      </c>
      <c r="AK405" s="175">
        <v>1</v>
      </c>
      <c r="AL405" s="175">
        <v>15</v>
      </c>
      <c r="AM405" s="175">
        <v>22</v>
      </c>
      <c r="AN405" s="175">
        <v>1</v>
      </c>
      <c r="AO405" s="175">
        <v>39</v>
      </c>
      <c r="AP405" s="175">
        <v>27</v>
      </c>
      <c r="AQ405" s="175">
        <v>10</v>
      </c>
      <c r="AR405" s="175">
        <v>0</v>
      </c>
      <c r="AS405" s="175">
        <v>7</v>
      </c>
      <c r="AT405" s="175">
        <v>1</v>
      </c>
    </row>
    <row r="406" spans="1:46">
      <c r="A406">
        <v>5421</v>
      </c>
      <c r="B406" t="s">
        <v>3082</v>
      </c>
      <c r="C406" t="s">
        <v>3083</v>
      </c>
      <c r="D406" t="s">
        <v>3012</v>
      </c>
      <c r="E406" t="s">
        <v>3084</v>
      </c>
      <c r="F406" t="s">
        <v>3085</v>
      </c>
      <c r="G406" t="s">
        <v>3015</v>
      </c>
      <c r="H406" t="s">
        <v>452</v>
      </c>
      <c r="J406" t="s">
        <v>605</v>
      </c>
      <c r="K406" t="s">
        <v>606</v>
      </c>
      <c r="M406" t="s">
        <v>2366</v>
      </c>
      <c r="N406" t="s">
        <v>643</v>
      </c>
      <c r="O406" t="s">
        <v>3016</v>
      </c>
      <c r="P406" t="s">
        <v>739</v>
      </c>
      <c r="Q406" t="s">
        <v>521</v>
      </c>
      <c r="R406" t="s">
        <v>3017</v>
      </c>
      <c r="S406" t="s">
        <v>3030</v>
      </c>
      <c r="T406" t="s">
        <v>2526</v>
      </c>
      <c r="U406">
        <v>329400</v>
      </c>
      <c r="V406" t="s">
        <v>3086</v>
      </c>
      <c r="W406" t="s">
        <v>3087</v>
      </c>
      <c r="X406" t="s">
        <v>3021</v>
      </c>
      <c r="Y406" t="s">
        <v>3022</v>
      </c>
      <c r="Z406" t="s">
        <v>3023</v>
      </c>
      <c r="AA406" t="s">
        <v>3024</v>
      </c>
      <c r="AB406" t="s">
        <v>3025</v>
      </c>
      <c r="AC406">
        <v>99177</v>
      </c>
      <c r="AD406" t="s">
        <v>3032</v>
      </c>
      <c r="AE406">
        <v>-43.549284640000003</v>
      </c>
      <c r="AF406">
        <v>172.64589187000001</v>
      </c>
      <c r="AG406" s="175">
        <v>40</v>
      </c>
      <c r="AH406" s="175">
        <v>0</v>
      </c>
      <c r="AI406" s="175">
        <v>0</v>
      </c>
      <c r="AJ406" s="175">
        <v>0</v>
      </c>
      <c r="AK406" s="175">
        <v>14</v>
      </c>
      <c r="AL406" s="175">
        <v>8</v>
      </c>
      <c r="AM406" s="175">
        <v>16</v>
      </c>
      <c r="AN406" s="175">
        <v>3</v>
      </c>
      <c r="AO406" s="175">
        <v>41</v>
      </c>
      <c r="AP406" s="175">
        <v>24</v>
      </c>
      <c r="AQ406" s="175">
        <v>8</v>
      </c>
      <c r="AR406" s="175">
        <v>1</v>
      </c>
      <c r="AS406" s="175">
        <v>9</v>
      </c>
      <c r="AT406" s="175">
        <v>2</v>
      </c>
    </row>
    <row r="407" spans="1:46">
      <c r="A407">
        <v>5422</v>
      </c>
      <c r="B407" t="s">
        <v>3088</v>
      </c>
      <c r="C407" t="s">
        <v>3089</v>
      </c>
      <c r="D407" t="s">
        <v>3012</v>
      </c>
      <c r="E407" t="s">
        <v>3090</v>
      </c>
      <c r="F407" t="s">
        <v>3091</v>
      </c>
      <c r="G407" t="s">
        <v>3015</v>
      </c>
      <c r="H407" t="s">
        <v>452</v>
      </c>
      <c r="J407" t="s">
        <v>605</v>
      </c>
      <c r="K407" t="s">
        <v>606</v>
      </c>
      <c r="M407" t="s">
        <v>2366</v>
      </c>
      <c r="N407" t="s">
        <v>643</v>
      </c>
      <c r="O407" t="s">
        <v>3016</v>
      </c>
      <c r="P407" t="s">
        <v>739</v>
      </c>
      <c r="Q407" t="s">
        <v>521</v>
      </c>
      <c r="R407" t="s">
        <v>3017</v>
      </c>
      <c r="S407" t="s">
        <v>3092</v>
      </c>
      <c r="T407" t="s">
        <v>2526</v>
      </c>
      <c r="U407">
        <v>319300</v>
      </c>
      <c r="V407" t="s">
        <v>3091</v>
      </c>
      <c r="W407" t="s">
        <v>3093</v>
      </c>
      <c r="X407" t="s">
        <v>3021</v>
      </c>
      <c r="Y407" t="s">
        <v>3022</v>
      </c>
      <c r="Z407" t="s">
        <v>3023</v>
      </c>
      <c r="AA407" t="s">
        <v>3024</v>
      </c>
      <c r="AB407" t="s">
        <v>3025</v>
      </c>
      <c r="AC407">
        <v>99045</v>
      </c>
      <c r="AD407" t="s">
        <v>3094</v>
      </c>
      <c r="AE407">
        <v>-43.535969299999998</v>
      </c>
      <c r="AF407">
        <v>172.52191467</v>
      </c>
      <c r="AG407" s="175">
        <v>39</v>
      </c>
      <c r="AH407" s="175">
        <v>0</v>
      </c>
      <c r="AI407" s="175">
        <v>0</v>
      </c>
      <c r="AJ407" s="175">
        <v>0</v>
      </c>
      <c r="AK407" s="175">
        <v>6</v>
      </c>
      <c r="AL407" s="175">
        <v>14</v>
      </c>
      <c r="AM407" s="175">
        <v>13</v>
      </c>
      <c r="AN407" s="175">
        <v>0</v>
      </c>
      <c r="AO407" s="175">
        <v>33</v>
      </c>
      <c r="AP407" s="175">
        <v>9</v>
      </c>
      <c r="AQ407" s="175">
        <v>6</v>
      </c>
      <c r="AR407" s="175">
        <v>11</v>
      </c>
      <c r="AS407" s="175">
        <v>11</v>
      </c>
      <c r="AT407" s="175">
        <v>1</v>
      </c>
    </row>
    <row r="408" spans="1:46">
      <c r="A408">
        <v>5424</v>
      </c>
      <c r="B408" t="s">
        <v>3095</v>
      </c>
      <c r="C408" t="s">
        <v>3096</v>
      </c>
      <c r="D408" t="s">
        <v>3097</v>
      </c>
      <c r="E408" t="s">
        <v>3098</v>
      </c>
      <c r="G408" t="s">
        <v>3099</v>
      </c>
      <c r="H408" t="s">
        <v>452</v>
      </c>
      <c r="J408" t="s">
        <v>605</v>
      </c>
      <c r="K408" t="s">
        <v>606</v>
      </c>
      <c r="M408" t="s">
        <v>2366</v>
      </c>
      <c r="N408" t="s">
        <v>657</v>
      </c>
      <c r="O408" t="s">
        <v>3100</v>
      </c>
      <c r="P408" t="s">
        <v>610</v>
      </c>
      <c r="Q408" t="s">
        <v>520</v>
      </c>
      <c r="R408" t="s">
        <v>2901</v>
      </c>
      <c r="S408" t="s">
        <v>2945</v>
      </c>
      <c r="T408" t="s">
        <v>2526</v>
      </c>
      <c r="U408">
        <v>311501</v>
      </c>
      <c r="V408" t="s">
        <v>3099</v>
      </c>
      <c r="W408" t="s">
        <v>3101</v>
      </c>
      <c r="X408" t="s">
        <v>3021</v>
      </c>
      <c r="Y408" t="s">
        <v>3022</v>
      </c>
      <c r="Z408" t="s">
        <v>3023</v>
      </c>
      <c r="AA408" t="s">
        <v>3024</v>
      </c>
      <c r="AB408" t="s">
        <v>3025</v>
      </c>
      <c r="AC408">
        <v>99024</v>
      </c>
      <c r="AD408" t="s">
        <v>3102</v>
      </c>
      <c r="AE408">
        <v>-42.718052749999998</v>
      </c>
      <c r="AF408">
        <v>170.96923985000001</v>
      </c>
      <c r="AG408" s="175">
        <v>40</v>
      </c>
      <c r="AH408" s="175">
        <v>0</v>
      </c>
      <c r="AI408" s="175">
        <v>0</v>
      </c>
      <c r="AJ408" s="175">
        <v>0</v>
      </c>
      <c r="AK408" s="175">
        <v>0</v>
      </c>
      <c r="AL408" s="175">
        <v>17</v>
      </c>
      <c r="AM408" s="175">
        <v>16</v>
      </c>
      <c r="AN408" s="175">
        <v>2</v>
      </c>
      <c r="AO408" s="175">
        <v>35</v>
      </c>
      <c r="AP408" s="175">
        <v>27</v>
      </c>
      <c r="AQ408" s="175">
        <v>9</v>
      </c>
      <c r="AR408" s="175">
        <v>3</v>
      </c>
      <c r="AS408" s="175">
        <v>4</v>
      </c>
      <c r="AT408" s="175">
        <v>0</v>
      </c>
    </row>
    <row r="409" spans="1:46">
      <c r="A409">
        <v>5425</v>
      </c>
      <c r="B409" t="s">
        <v>3103</v>
      </c>
      <c r="C409" t="s">
        <v>3104</v>
      </c>
      <c r="D409" t="s">
        <v>3012</v>
      </c>
      <c r="E409" t="s">
        <v>3105</v>
      </c>
      <c r="F409" t="s">
        <v>3106</v>
      </c>
      <c r="G409" t="s">
        <v>3015</v>
      </c>
      <c r="H409" t="s">
        <v>452</v>
      </c>
      <c r="J409" t="s">
        <v>605</v>
      </c>
      <c r="K409" t="s">
        <v>606</v>
      </c>
      <c r="M409" t="s">
        <v>2366</v>
      </c>
      <c r="N409" t="s">
        <v>643</v>
      </c>
      <c r="O409" t="s">
        <v>3016</v>
      </c>
      <c r="P409" t="s">
        <v>739</v>
      </c>
      <c r="Q409" t="s">
        <v>521</v>
      </c>
      <c r="R409" t="s">
        <v>3017</v>
      </c>
      <c r="S409" t="s">
        <v>3092</v>
      </c>
      <c r="T409" t="s">
        <v>2526</v>
      </c>
      <c r="U409">
        <v>321101</v>
      </c>
      <c r="V409" t="s">
        <v>3107</v>
      </c>
      <c r="W409" t="s">
        <v>3093</v>
      </c>
      <c r="X409" t="s">
        <v>3021</v>
      </c>
      <c r="Y409" t="s">
        <v>3022</v>
      </c>
      <c r="Z409" t="s">
        <v>3023</v>
      </c>
      <c r="AA409" t="s">
        <v>3024</v>
      </c>
      <c r="AB409" t="s">
        <v>3025</v>
      </c>
      <c r="AC409">
        <v>99045</v>
      </c>
      <c r="AD409" t="s">
        <v>3094</v>
      </c>
      <c r="AE409">
        <v>-43.544522139999998</v>
      </c>
      <c r="AF409">
        <v>172.52888225999999</v>
      </c>
      <c r="AG409" s="175">
        <v>40</v>
      </c>
      <c r="AH409" s="175">
        <v>0</v>
      </c>
      <c r="AI409" s="175">
        <v>0</v>
      </c>
      <c r="AJ409" s="175">
        <v>0</v>
      </c>
      <c r="AK409" s="175">
        <v>5</v>
      </c>
      <c r="AL409" s="175">
        <v>11</v>
      </c>
      <c r="AM409" s="175">
        <v>13</v>
      </c>
      <c r="AN409" s="175">
        <v>0</v>
      </c>
      <c r="AO409" s="175">
        <v>29</v>
      </c>
      <c r="AP409" s="175">
        <v>11</v>
      </c>
      <c r="AQ409" s="175">
        <v>4</v>
      </c>
      <c r="AR409" s="175">
        <v>4</v>
      </c>
      <c r="AS409" s="175">
        <v>13</v>
      </c>
      <c r="AT409" s="175">
        <v>2</v>
      </c>
    </row>
    <row r="410" spans="1:46">
      <c r="A410">
        <v>5427</v>
      </c>
      <c r="B410" t="s">
        <v>3108</v>
      </c>
      <c r="C410" t="s">
        <v>3109</v>
      </c>
      <c r="D410" t="s">
        <v>3110</v>
      </c>
      <c r="E410" t="s">
        <v>3111</v>
      </c>
      <c r="G410" t="s">
        <v>3078</v>
      </c>
      <c r="H410" t="s">
        <v>452</v>
      </c>
      <c r="J410" t="s">
        <v>605</v>
      </c>
      <c r="K410" t="s">
        <v>606</v>
      </c>
      <c r="M410" t="s">
        <v>2366</v>
      </c>
      <c r="N410" t="s">
        <v>657</v>
      </c>
      <c r="O410" t="s">
        <v>3079</v>
      </c>
      <c r="P410" t="s">
        <v>610</v>
      </c>
      <c r="Q410" t="s">
        <v>520</v>
      </c>
      <c r="R410" t="s">
        <v>2901</v>
      </c>
      <c r="S410" t="s">
        <v>2945</v>
      </c>
      <c r="T410" t="s">
        <v>2526</v>
      </c>
      <c r="U410">
        <v>310600</v>
      </c>
      <c r="V410" t="s">
        <v>3112</v>
      </c>
      <c r="W410" t="s">
        <v>3113</v>
      </c>
      <c r="X410" t="s">
        <v>3021</v>
      </c>
      <c r="Y410" t="s">
        <v>3022</v>
      </c>
      <c r="Z410" t="s">
        <v>3023</v>
      </c>
      <c r="AA410" t="s">
        <v>3024</v>
      </c>
      <c r="AB410" t="s">
        <v>3025</v>
      </c>
      <c r="AC410">
        <v>99026</v>
      </c>
      <c r="AD410" t="s">
        <v>3081</v>
      </c>
      <c r="AE410">
        <v>-42.484858559999999</v>
      </c>
      <c r="AF410">
        <v>171.18364357999999</v>
      </c>
      <c r="AG410" s="175">
        <v>30</v>
      </c>
      <c r="AH410" s="175">
        <v>0</v>
      </c>
      <c r="AI410" s="175">
        <v>0</v>
      </c>
      <c r="AJ410" s="175">
        <v>0</v>
      </c>
      <c r="AK410" s="175">
        <v>2</v>
      </c>
      <c r="AL410" s="175">
        <v>8</v>
      </c>
      <c r="AM410" s="175">
        <v>26</v>
      </c>
      <c r="AN410" s="175">
        <v>1</v>
      </c>
      <c r="AO410" s="175">
        <v>37</v>
      </c>
      <c r="AP410" s="175">
        <v>34</v>
      </c>
      <c r="AQ410" s="175">
        <v>5</v>
      </c>
      <c r="AR410" s="175">
        <v>1</v>
      </c>
      <c r="AS410" s="175">
        <v>4</v>
      </c>
      <c r="AT410" s="175">
        <v>2</v>
      </c>
    </row>
    <row r="411" spans="1:46">
      <c r="A411">
        <v>5428</v>
      </c>
      <c r="B411" t="s">
        <v>3114</v>
      </c>
      <c r="C411" t="s">
        <v>3115</v>
      </c>
      <c r="D411" t="s">
        <v>3012</v>
      </c>
      <c r="E411" t="s">
        <v>3116</v>
      </c>
      <c r="F411" t="s">
        <v>3117</v>
      </c>
      <c r="G411" t="s">
        <v>3015</v>
      </c>
      <c r="H411" t="s">
        <v>452</v>
      </c>
      <c r="J411" t="s">
        <v>605</v>
      </c>
      <c r="K411" t="s">
        <v>606</v>
      </c>
      <c r="M411" t="s">
        <v>2366</v>
      </c>
      <c r="N411" t="s">
        <v>625</v>
      </c>
      <c r="O411" t="s">
        <v>3016</v>
      </c>
      <c r="P411" t="s">
        <v>739</v>
      </c>
      <c r="Q411" t="s">
        <v>521</v>
      </c>
      <c r="R411" t="s">
        <v>3017</v>
      </c>
      <c r="S411" t="s">
        <v>3046</v>
      </c>
      <c r="T411" t="s">
        <v>2526</v>
      </c>
      <c r="U411">
        <v>330400</v>
      </c>
      <c r="V411" t="s">
        <v>3118</v>
      </c>
      <c r="W411" t="s">
        <v>3066</v>
      </c>
      <c r="X411" t="s">
        <v>3021</v>
      </c>
      <c r="Y411" t="s">
        <v>3022</v>
      </c>
      <c r="Z411" t="s">
        <v>3023</v>
      </c>
      <c r="AA411" t="s">
        <v>3024</v>
      </c>
      <c r="AB411" t="s">
        <v>3025</v>
      </c>
      <c r="AC411">
        <v>99063</v>
      </c>
      <c r="AD411" t="s">
        <v>3067</v>
      </c>
      <c r="AE411">
        <v>-43.536623929999998</v>
      </c>
      <c r="AF411">
        <v>172.68705560999999</v>
      </c>
      <c r="AG411" s="175">
        <v>40</v>
      </c>
      <c r="AH411" s="175">
        <v>0</v>
      </c>
      <c r="AI411" s="175">
        <v>0</v>
      </c>
      <c r="AJ411" s="175">
        <v>0</v>
      </c>
      <c r="AK411" s="175">
        <v>1</v>
      </c>
      <c r="AL411" s="175">
        <v>17</v>
      </c>
      <c r="AM411" s="175">
        <v>13</v>
      </c>
      <c r="AN411" s="175">
        <v>0</v>
      </c>
      <c r="AO411" s="175">
        <v>31</v>
      </c>
      <c r="AP411" s="175">
        <v>18</v>
      </c>
      <c r="AQ411" s="175">
        <v>13</v>
      </c>
      <c r="AR411" s="175">
        <v>7</v>
      </c>
      <c r="AS411" s="175">
        <v>4</v>
      </c>
      <c r="AT411" s="175">
        <v>2</v>
      </c>
    </row>
    <row r="412" spans="1:46">
      <c r="A412">
        <v>5429</v>
      </c>
      <c r="B412" t="s">
        <v>3119</v>
      </c>
      <c r="C412" t="s">
        <v>3120</v>
      </c>
      <c r="D412" t="s">
        <v>3012</v>
      </c>
      <c r="E412" t="s">
        <v>3121</v>
      </c>
      <c r="F412" t="s">
        <v>3122</v>
      </c>
      <c r="G412" t="s">
        <v>3015</v>
      </c>
      <c r="H412" t="s">
        <v>452</v>
      </c>
      <c r="J412" t="s">
        <v>605</v>
      </c>
      <c r="K412" t="s">
        <v>606</v>
      </c>
      <c r="M412" t="s">
        <v>2366</v>
      </c>
      <c r="N412" t="s">
        <v>643</v>
      </c>
      <c r="O412" t="s">
        <v>3016</v>
      </c>
      <c r="P412" t="s">
        <v>739</v>
      </c>
      <c r="Q412" t="s">
        <v>521</v>
      </c>
      <c r="R412" t="s">
        <v>3017</v>
      </c>
      <c r="S412" t="s">
        <v>3018</v>
      </c>
      <c r="T412" t="s">
        <v>2526</v>
      </c>
      <c r="U412">
        <v>319200</v>
      </c>
      <c r="V412" t="s">
        <v>3122</v>
      </c>
      <c r="W412" t="s">
        <v>3020</v>
      </c>
      <c r="X412" t="s">
        <v>3021</v>
      </c>
      <c r="Y412" t="s">
        <v>3022</v>
      </c>
      <c r="Z412" t="s">
        <v>3023</v>
      </c>
      <c r="AA412" t="s">
        <v>3024</v>
      </c>
      <c r="AB412" t="s">
        <v>3025</v>
      </c>
      <c r="AC412">
        <v>99027</v>
      </c>
      <c r="AD412" t="s">
        <v>3073</v>
      </c>
      <c r="AE412">
        <v>-43.498015770000002</v>
      </c>
      <c r="AF412">
        <v>172.57386371999999</v>
      </c>
      <c r="AG412" s="175">
        <v>30</v>
      </c>
      <c r="AH412" s="175">
        <v>0</v>
      </c>
      <c r="AI412" s="175">
        <v>0</v>
      </c>
      <c r="AJ412" s="175">
        <v>0</v>
      </c>
      <c r="AK412" s="175">
        <v>5</v>
      </c>
      <c r="AL412" s="175">
        <v>12</v>
      </c>
      <c r="AM412" s="175">
        <v>11</v>
      </c>
      <c r="AN412" s="175">
        <v>1</v>
      </c>
      <c r="AO412" s="175">
        <v>29</v>
      </c>
      <c r="AP412" s="175">
        <v>17</v>
      </c>
      <c r="AQ412" s="175">
        <v>4</v>
      </c>
      <c r="AR412" s="175">
        <v>1</v>
      </c>
      <c r="AS412" s="175">
        <v>9</v>
      </c>
      <c r="AT412" s="175">
        <v>2</v>
      </c>
    </row>
    <row r="413" spans="1:46">
      <c r="A413">
        <v>5430</v>
      </c>
      <c r="B413" t="s">
        <v>3123</v>
      </c>
      <c r="C413" t="s">
        <v>3124</v>
      </c>
      <c r="D413" t="s">
        <v>3012</v>
      </c>
      <c r="E413" t="s">
        <v>3125</v>
      </c>
      <c r="G413" t="s">
        <v>3036</v>
      </c>
      <c r="H413" t="s">
        <v>452</v>
      </c>
      <c r="J413" t="s">
        <v>605</v>
      </c>
      <c r="K413" t="s">
        <v>606</v>
      </c>
      <c r="M413" t="s">
        <v>2366</v>
      </c>
      <c r="N413" t="s">
        <v>657</v>
      </c>
      <c r="O413" t="s">
        <v>3037</v>
      </c>
      <c r="P413" t="s">
        <v>1347</v>
      </c>
      <c r="Q413" t="s">
        <v>521</v>
      </c>
      <c r="R413" t="s">
        <v>3017</v>
      </c>
      <c r="S413" t="s">
        <v>3038</v>
      </c>
      <c r="T413" t="s">
        <v>2526</v>
      </c>
      <c r="U413">
        <v>314200</v>
      </c>
      <c r="V413" t="s">
        <v>3126</v>
      </c>
      <c r="W413" t="s">
        <v>3040</v>
      </c>
      <c r="X413" t="s">
        <v>3021</v>
      </c>
      <c r="Y413" t="s">
        <v>3022</v>
      </c>
      <c r="Z413" t="s">
        <v>3023</v>
      </c>
      <c r="AA413" t="s">
        <v>3024</v>
      </c>
      <c r="AB413" t="s">
        <v>3025</v>
      </c>
      <c r="AC413">
        <v>99077</v>
      </c>
      <c r="AD413" t="s">
        <v>3041</v>
      </c>
      <c r="AE413">
        <v>-43.302929390000003</v>
      </c>
      <c r="AF413">
        <v>172.58942400000001</v>
      </c>
      <c r="AG413" s="175">
        <v>40</v>
      </c>
      <c r="AH413" s="175">
        <v>0</v>
      </c>
      <c r="AI413" s="175">
        <v>0</v>
      </c>
      <c r="AJ413" s="175">
        <v>0</v>
      </c>
      <c r="AK413" s="175">
        <v>9</v>
      </c>
      <c r="AL413" s="175">
        <v>9</v>
      </c>
      <c r="AM413" s="175">
        <v>16</v>
      </c>
      <c r="AN413" s="175">
        <v>1</v>
      </c>
      <c r="AO413" s="175">
        <v>35</v>
      </c>
      <c r="AP413" s="175">
        <v>30</v>
      </c>
      <c r="AQ413" s="175">
        <v>7</v>
      </c>
      <c r="AR413" s="175">
        <v>0</v>
      </c>
      <c r="AS413" s="175">
        <v>3</v>
      </c>
      <c r="AT413" s="175">
        <v>0</v>
      </c>
    </row>
    <row r="414" spans="1:46">
      <c r="A414">
        <v>5432</v>
      </c>
      <c r="B414" t="s">
        <v>3127</v>
      </c>
      <c r="C414" t="s">
        <v>3128</v>
      </c>
      <c r="D414" t="s">
        <v>3012</v>
      </c>
      <c r="E414" t="s">
        <v>3129</v>
      </c>
      <c r="F414" t="s">
        <v>3130</v>
      </c>
      <c r="G414" t="s">
        <v>3015</v>
      </c>
      <c r="H414" t="s">
        <v>452</v>
      </c>
      <c r="J414" t="s">
        <v>605</v>
      </c>
      <c r="K414" t="s">
        <v>606</v>
      </c>
      <c r="M414" t="s">
        <v>2366</v>
      </c>
      <c r="N414" t="s">
        <v>625</v>
      </c>
      <c r="O414" t="s">
        <v>3016</v>
      </c>
      <c r="P414" t="s">
        <v>739</v>
      </c>
      <c r="Q414" t="s">
        <v>521</v>
      </c>
      <c r="R414" t="s">
        <v>3017</v>
      </c>
      <c r="S414" t="s">
        <v>3046</v>
      </c>
      <c r="T414" t="s">
        <v>2526</v>
      </c>
      <c r="U414">
        <v>328500</v>
      </c>
      <c r="V414" t="s">
        <v>3131</v>
      </c>
      <c r="W414" t="s">
        <v>3066</v>
      </c>
      <c r="X414" t="s">
        <v>3021</v>
      </c>
      <c r="Y414" t="s">
        <v>3022</v>
      </c>
      <c r="Z414" t="s">
        <v>3023</v>
      </c>
      <c r="AA414" t="s">
        <v>3024</v>
      </c>
      <c r="AB414" t="s">
        <v>3025</v>
      </c>
      <c r="AC414">
        <v>99063</v>
      </c>
      <c r="AD414" t="s">
        <v>3067</v>
      </c>
      <c r="AE414">
        <v>-43.528785859999999</v>
      </c>
      <c r="AF414">
        <v>172.66780351</v>
      </c>
      <c r="AG414" s="175">
        <v>40</v>
      </c>
      <c r="AH414" s="175">
        <v>0</v>
      </c>
      <c r="AI414" s="175">
        <v>0</v>
      </c>
      <c r="AJ414" s="175">
        <v>0</v>
      </c>
      <c r="AK414" s="175">
        <v>11</v>
      </c>
      <c r="AL414" s="175">
        <v>5</v>
      </c>
      <c r="AM414" s="175">
        <v>13</v>
      </c>
      <c r="AN414" s="175">
        <v>0</v>
      </c>
      <c r="AO414" s="175">
        <v>29</v>
      </c>
      <c r="AP414" s="175">
        <v>13</v>
      </c>
      <c r="AQ414" s="175">
        <v>6</v>
      </c>
      <c r="AR414" s="175">
        <v>6</v>
      </c>
      <c r="AS414" s="175">
        <v>7</v>
      </c>
      <c r="AT414" s="175">
        <v>2</v>
      </c>
    </row>
    <row r="415" spans="1:46">
      <c r="A415">
        <v>5433</v>
      </c>
      <c r="B415" t="s">
        <v>3132</v>
      </c>
      <c r="C415" t="s">
        <v>3133</v>
      </c>
      <c r="D415" t="s">
        <v>3012</v>
      </c>
      <c r="E415" t="s">
        <v>3134</v>
      </c>
      <c r="G415" t="s">
        <v>3135</v>
      </c>
      <c r="H415" t="s">
        <v>452</v>
      </c>
      <c r="J415" t="s">
        <v>605</v>
      </c>
      <c r="K415" t="s">
        <v>606</v>
      </c>
      <c r="M415" t="s">
        <v>2366</v>
      </c>
      <c r="N415" t="s">
        <v>657</v>
      </c>
      <c r="O415" t="s">
        <v>3016</v>
      </c>
      <c r="P415" t="s">
        <v>610</v>
      </c>
      <c r="Q415" t="s">
        <v>521</v>
      </c>
      <c r="R415" t="s">
        <v>3017</v>
      </c>
      <c r="S415" t="s">
        <v>3052</v>
      </c>
      <c r="T415" t="s">
        <v>2526</v>
      </c>
      <c r="U415">
        <v>332501</v>
      </c>
      <c r="V415" t="s">
        <v>3135</v>
      </c>
      <c r="W415" t="s">
        <v>3136</v>
      </c>
      <c r="X415" t="s">
        <v>3021</v>
      </c>
      <c r="Y415" t="s">
        <v>3022</v>
      </c>
      <c r="Z415" t="s">
        <v>3023</v>
      </c>
      <c r="AA415" t="s">
        <v>3024</v>
      </c>
      <c r="AB415" t="s">
        <v>3025</v>
      </c>
      <c r="AC415">
        <v>99196</v>
      </c>
      <c r="AD415" t="s">
        <v>3137</v>
      </c>
      <c r="AE415">
        <v>-43.601264010000001</v>
      </c>
      <c r="AF415">
        <v>172.71979256</v>
      </c>
      <c r="AG415" s="175">
        <v>30</v>
      </c>
      <c r="AH415" s="175">
        <v>0</v>
      </c>
      <c r="AI415" s="175">
        <v>0</v>
      </c>
      <c r="AJ415" s="175">
        <v>0</v>
      </c>
      <c r="AK415" s="175">
        <v>10</v>
      </c>
      <c r="AL415" s="175">
        <v>14</v>
      </c>
      <c r="AM415" s="175">
        <v>11</v>
      </c>
      <c r="AN415" s="175">
        <v>1</v>
      </c>
      <c r="AO415" s="175">
        <v>36</v>
      </c>
      <c r="AP415" s="175">
        <v>31</v>
      </c>
      <c r="AQ415" s="175">
        <v>6</v>
      </c>
      <c r="AR415" s="175">
        <v>2</v>
      </c>
      <c r="AS415" s="175">
        <v>1</v>
      </c>
      <c r="AT415" s="175">
        <v>2</v>
      </c>
    </row>
    <row r="416" spans="1:46">
      <c r="A416">
        <v>5434</v>
      </c>
      <c r="B416" t="s">
        <v>3138</v>
      </c>
      <c r="C416" t="s">
        <v>3139</v>
      </c>
      <c r="D416" t="s">
        <v>3012</v>
      </c>
      <c r="E416" t="s">
        <v>3140</v>
      </c>
      <c r="F416" t="s">
        <v>3141</v>
      </c>
      <c r="G416" t="s">
        <v>3015</v>
      </c>
      <c r="H416" t="s">
        <v>452</v>
      </c>
      <c r="J416" t="s">
        <v>605</v>
      </c>
      <c r="K416" t="s">
        <v>606</v>
      </c>
      <c r="M416" t="s">
        <v>2366</v>
      </c>
      <c r="N416" t="s">
        <v>608</v>
      </c>
      <c r="O416" t="s">
        <v>3016</v>
      </c>
      <c r="P416" t="s">
        <v>739</v>
      </c>
      <c r="Q416" t="s">
        <v>521</v>
      </c>
      <c r="R416" t="s">
        <v>3017</v>
      </c>
      <c r="S416" t="s">
        <v>3046</v>
      </c>
      <c r="T416" t="s">
        <v>2526</v>
      </c>
      <c r="U416">
        <v>323400</v>
      </c>
      <c r="V416" t="s">
        <v>3142</v>
      </c>
      <c r="W416" t="s">
        <v>3143</v>
      </c>
      <c r="X416" t="s">
        <v>3021</v>
      </c>
      <c r="Y416" t="s">
        <v>3022</v>
      </c>
      <c r="Z416" t="s">
        <v>3023</v>
      </c>
      <c r="AA416" t="s">
        <v>3024</v>
      </c>
      <c r="AB416" t="s">
        <v>3025</v>
      </c>
      <c r="AC416">
        <v>99175</v>
      </c>
      <c r="AD416" t="s">
        <v>3144</v>
      </c>
      <c r="AE416">
        <v>-43.50081471</v>
      </c>
      <c r="AF416">
        <v>172.65445352</v>
      </c>
      <c r="AG416" s="175">
        <v>30</v>
      </c>
      <c r="AH416" s="175">
        <v>0</v>
      </c>
      <c r="AI416" s="175">
        <v>0</v>
      </c>
      <c r="AJ416" s="175">
        <v>0</v>
      </c>
      <c r="AK416" s="175">
        <v>1</v>
      </c>
      <c r="AL416" s="175">
        <v>7</v>
      </c>
      <c r="AM416" s="175">
        <v>8</v>
      </c>
      <c r="AN416" s="175">
        <v>0</v>
      </c>
      <c r="AO416" s="175">
        <v>16</v>
      </c>
      <c r="AP416" s="175">
        <v>6</v>
      </c>
      <c r="AQ416" s="175">
        <v>7</v>
      </c>
      <c r="AR416" s="175">
        <v>0</v>
      </c>
      <c r="AS416" s="175">
        <v>3</v>
      </c>
      <c r="AT416" s="175">
        <v>2</v>
      </c>
    </row>
    <row r="417" spans="1:46">
      <c r="A417">
        <v>5435</v>
      </c>
      <c r="B417" t="s">
        <v>3145</v>
      </c>
      <c r="C417" t="s">
        <v>3146</v>
      </c>
      <c r="D417" t="s">
        <v>3012</v>
      </c>
      <c r="E417" t="s">
        <v>3147</v>
      </c>
      <c r="F417" t="s">
        <v>3023</v>
      </c>
      <c r="G417" t="s">
        <v>3015</v>
      </c>
      <c r="H417" t="s">
        <v>452</v>
      </c>
      <c r="J417" t="s">
        <v>605</v>
      </c>
      <c r="K417" t="s">
        <v>606</v>
      </c>
      <c r="M417" t="s">
        <v>2366</v>
      </c>
      <c r="N417" t="s">
        <v>643</v>
      </c>
      <c r="O417" t="s">
        <v>3016</v>
      </c>
      <c r="P417" t="s">
        <v>739</v>
      </c>
      <c r="Q417" t="s">
        <v>521</v>
      </c>
      <c r="R417" t="s">
        <v>3017</v>
      </c>
      <c r="S417" t="s">
        <v>3092</v>
      </c>
      <c r="T417" t="s">
        <v>2526</v>
      </c>
      <c r="U417">
        <v>323300</v>
      </c>
      <c r="V417" t="s">
        <v>3148</v>
      </c>
      <c r="W417" t="s">
        <v>3149</v>
      </c>
      <c r="X417" t="s">
        <v>3021</v>
      </c>
      <c r="Y417" t="s">
        <v>3022</v>
      </c>
      <c r="Z417" t="s">
        <v>3023</v>
      </c>
      <c r="AA417" t="s">
        <v>3024</v>
      </c>
      <c r="AB417" t="s">
        <v>3025</v>
      </c>
      <c r="AC417">
        <v>99176</v>
      </c>
      <c r="AD417" t="s">
        <v>3150</v>
      </c>
      <c r="AE417">
        <v>-43.531187510000002</v>
      </c>
      <c r="AF417">
        <v>172.5915325</v>
      </c>
      <c r="AG417" s="175">
        <v>40</v>
      </c>
      <c r="AH417" s="175">
        <v>0</v>
      </c>
      <c r="AI417" s="175">
        <v>0</v>
      </c>
      <c r="AJ417" s="175">
        <v>0</v>
      </c>
      <c r="AK417" s="175">
        <v>11</v>
      </c>
      <c r="AL417" s="175">
        <v>10</v>
      </c>
      <c r="AM417" s="175">
        <v>12</v>
      </c>
      <c r="AN417" s="175">
        <v>0</v>
      </c>
      <c r="AO417" s="175">
        <v>33</v>
      </c>
      <c r="AP417" s="175">
        <v>7</v>
      </c>
      <c r="AQ417" s="175">
        <v>4</v>
      </c>
      <c r="AR417" s="175">
        <v>2</v>
      </c>
      <c r="AS417" s="175">
        <v>24</v>
      </c>
      <c r="AT417" s="175">
        <v>2</v>
      </c>
    </row>
    <row r="418" spans="1:46">
      <c r="A418">
        <v>5436</v>
      </c>
      <c r="B418" t="s">
        <v>3151</v>
      </c>
      <c r="C418" t="s">
        <v>3152</v>
      </c>
      <c r="D418" t="s">
        <v>3012</v>
      </c>
      <c r="E418" t="s">
        <v>3153</v>
      </c>
      <c r="F418" t="s">
        <v>3154</v>
      </c>
      <c r="G418" t="s">
        <v>3015</v>
      </c>
      <c r="H418" t="s">
        <v>452</v>
      </c>
      <c r="J418" t="s">
        <v>605</v>
      </c>
      <c r="K418" t="s">
        <v>606</v>
      </c>
      <c r="M418" t="s">
        <v>2366</v>
      </c>
      <c r="N418" t="s">
        <v>657</v>
      </c>
      <c r="O418" t="s">
        <v>3016</v>
      </c>
      <c r="P418" t="s">
        <v>739</v>
      </c>
      <c r="Q418" t="s">
        <v>521</v>
      </c>
      <c r="R418" t="s">
        <v>3017</v>
      </c>
      <c r="S418" t="s">
        <v>3030</v>
      </c>
      <c r="T418" t="s">
        <v>2526</v>
      </c>
      <c r="U418">
        <v>323100</v>
      </c>
      <c r="V418" t="s">
        <v>3155</v>
      </c>
      <c r="W418" t="s">
        <v>3143</v>
      </c>
      <c r="X418" t="s">
        <v>3021</v>
      </c>
      <c r="Y418" t="s">
        <v>3022</v>
      </c>
      <c r="Z418" t="s">
        <v>3023</v>
      </c>
      <c r="AA418" t="s">
        <v>3024</v>
      </c>
      <c r="AB418" t="s">
        <v>3025</v>
      </c>
      <c r="AE418">
        <v>-43.50098646</v>
      </c>
      <c r="AF418">
        <v>172.64310535000001</v>
      </c>
      <c r="AG418" s="175">
        <v>40</v>
      </c>
      <c r="AH418" s="175">
        <v>0</v>
      </c>
      <c r="AI418" s="175">
        <v>0</v>
      </c>
      <c r="AJ418" s="175">
        <v>0</v>
      </c>
      <c r="AK418" s="175">
        <v>11</v>
      </c>
      <c r="AL418" s="175">
        <v>6</v>
      </c>
      <c r="AM418" s="175">
        <v>17</v>
      </c>
      <c r="AN418" s="175">
        <v>0</v>
      </c>
      <c r="AO418" s="175">
        <v>34</v>
      </c>
      <c r="AP418" s="175">
        <v>28</v>
      </c>
      <c r="AQ418" s="175">
        <v>5</v>
      </c>
      <c r="AR418" s="175">
        <v>1</v>
      </c>
      <c r="AS418" s="175">
        <v>5</v>
      </c>
      <c r="AT418" s="175">
        <v>1</v>
      </c>
    </row>
    <row r="419" spans="1:46">
      <c r="A419">
        <v>5437</v>
      </c>
      <c r="B419" t="s">
        <v>3156</v>
      </c>
      <c r="C419" t="s">
        <v>3157</v>
      </c>
      <c r="D419" t="s">
        <v>3012</v>
      </c>
      <c r="E419" t="s">
        <v>3158</v>
      </c>
      <c r="F419" t="s">
        <v>3159</v>
      </c>
      <c r="G419" t="s">
        <v>3015</v>
      </c>
      <c r="H419" t="s">
        <v>452</v>
      </c>
      <c r="J419" t="s">
        <v>605</v>
      </c>
      <c r="K419" t="s">
        <v>606</v>
      </c>
      <c r="M419" t="s">
        <v>2366</v>
      </c>
      <c r="N419" t="s">
        <v>657</v>
      </c>
      <c r="O419" t="s">
        <v>3016</v>
      </c>
      <c r="P419" t="s">
        <v>739</v>
      </c>
      <c r="Q419" t="s">
        <v>521</v>
      </c>
      <c r="R419" t="s">
        <v>3017</v>
      </c>
      <c r="S419" t="s">
        <v>3092</v>
      </c>
      <c r="T419" t="s">
        <v>2526</v>
      </c>
      <c r="U419">
        <v>326701</v>
      </c>
      <c r="V419" t="s">
        <v>3160</v>
      </c>
      <c r="W419" t="s">
        <v>3161</v>
      </c>
      <c r="X419" t="s">
        <v>3021</v>
      </c>
      <c r="Y419" t="s">
        <v>3022</v>
      </c>
      <c r="Z419" t="s">
        <v>3023</v>
      </c>
      <c r="AA419" t="s">
        <v>3024</v>
      </c>
      <c r="AB419" t="s">
        <v>3025</v>
      </c>
      <c r="AE419">
        <v>-43.563518719999998</v>
      </c>
      <c r="AF419">
        <v>172.59079184000001</v>
      </c>
      <c r="AG419" s="175">
        <v>40</v>
      </c>
      <c r="AH419" s="175">
        <v>0</v>
      </c>
      <c r="AI419" s="175">
        <v>0</v>
      </c>
      <c r="AJ419" s="175">
        <v>0</v>
      </c>
      <c r="AK419" s="175">
        <v>8</v>
      </c>
      <c r="AL419" s="175">
        <v>7</v>
      </c>
      <c r="AM419" s="175">
        <v>15</v>
      </c>
      <c r="AN419" s="175">
        <v>0</v>
      </c>
      <c r="AO419" s="175">
        <v>30</v>
      </c>
      <c r="AP419" s="175">
        <v>21</v>
      </c>
      <c r="AQ419" s="175">
        <v>4</v>
      </c>
      <c r="AR419" s="175">
        <v>3</v>
      </c>
      <c r="AS419" s="175">
        <v>8</v>
      </c>
      <c r="AT419" s="175">
        <v>1</v>
      </c>
    </row>
    <row r="420" spans="1:46">
      <c r="A420">
        <v>5438</v>
      </c>
      <c r="B420" t="s">
        <v>3162</v>
      </c>
      <c r="C420" t="s">
        <v>3163</v>
      </c>
      <c r="D420" t="s">
        <v>3012</v>
      </c>
      <c r="E420" t="s">
        <v>3164</v>
      </c>
      <c r="F420" t="s">
        <v>3165</v>
      </c>
      <c r="G420" t="s">
        <v>3015</v>
      </c>
      <c r="H420" t="s">
        <v>452</v>
      </c>
      <c r="J420" t="s">
        <v>605</v>
      </c>
      <c r="K420" t="s">
        <v>606</v>
      </c>
      <c r="M420" t="s">
        <v>2366</v>
      </c>
      <c r="N420" t="s">
        <v>657</v>
      </c>
      <c r="O420" t="s">
        <v>3016</v>
      </c>
      <c r="P420" t="s">
        <v>739</v>
      </c>
      <c r="Q420" t="s">
        <v>521</v>
      </c>
      <c r="R420" t="s">
        <v>3017</v>
      </c>
      <c r="S420" t="s">
        <v>3052</v>
      </c>
      <c r="T420" t="s">
        <v>2526</v>
      </c>
      <c r="U420">
        <v>332000</v>
      </c>
      <c r="V420" t="s">
        <v>3166</v>
      </c>
      <c r="W420" t="s">
        <v>3087</v>
      </c>
      <c r="X420" t="s">
        <v>3021</v>
      </c>
      <c r="Y420" t="s">
        <v>3022</v>
      </c>
      <c r="Z420" t="s">
        <v>3023</v>
      </c>
      <c r="AA420" t="s">
        <v>3024</v>
      </c>
      <c r="AB420" t="s">
        <v>3025</v>
      </c>
      <c r="AC420">
        <v>99196</v>
      </c>
      <c r="AD420" t="s">
        <v>3137</v>
      </c>
      <c r="AE420">
        <v>-43.55603129</v>
      </c>
      <c r="AF420">
        <v>172.72063194</v>
      </c>
      <c r="AG420" s="175">
        <v>40</v>
      </c>
      <c r="AH420" s="175">
        <v>0</v>
      </c>
      <c r="AI420" s="175">
        <v>0</v>
      </c>
      <c r="AJ420" s="175">
        <v>0</v>
      </c>
      <c r="AK420" s="175">
        <v>9</v>
      </c>
      <c r="AL420" s="175">
        <v>21</v>
      </c>
      <c r="AM420" s="175">
        <v>14</v>
      </c>
      <c r="AN420" s="175">
        <v>0</v>
      </c>
      <c r="AO420" s="175">
        <v>44</v>
      </c>
      <c r="AP420" s="175">
        <v>39</v>
      </c>
      <c r="AQ420" s="175">
        <v>3</v>
      </c>
      <c r="AR420" s="175">
        <v>0</v>
      </c>
      <c r="AS420" s="175">
        <v>4</v>
      </c>
      <c r="AT420" s="175">
        <v>2</v>
      </c>
    </row>
    <row r="421" spans="1:46">
      <c r="A421">
        <v>5440</v>
      </c>
      <c r="B421" t="s">
        <v>3167</v>
      </c>
      <c r="C421" t="s">
        <v>3168</v>
      </c>
      <c r="E421" t="s">
        <v>3169</v>
      </c>
      <c r="F421" t="s">
        <v>3057</v>
      </c>
      <c r="G421" t="s">
        <v>3015</v>
      </c>
      <c r="H421" t="s">
        <v>452</v>
      </c>
      <c r="J421" t="s">
        <v>605</v>
      </c>
      <c r="K421" t="s">
        <v>606</v>
      </c>
      <c r="M421" t="s">
        <v>2366</v>
      </c>
      <c r="N421" t="s">
        <v>643</v>
      </c>
      <c r="O421" t="s">
        <v>3016</v>
      </c>
      <c r="P421" t="s">
        <v>739</v>
      </c>
      <c r="Q421" t="s">
        <v>521</v>
      </c>
      <c r="R421" t="s">
        <v>3017</v>
      </c>
      <c r="S421" t="s">
        <v>3030</v>
      </c>
      <c r="T421" t="s">
        <v>2526</v>
      </c>
      <c r="U421">
        <v>319400</v>
      </c>
      <c r="V421" t="s">
        <v>3170</v>
      </c>
      <c r="W421" t="s">
        <v>3171</v>
      </c>
      <c r="X421" t="s">
        <v>3021</v>
      </c>
      <c r="Y421" t="s">
        <v>3022</v>
      </c>
      <c r="Z421" t="s">
        <v>3023</v>
      </c>
      <c r="AA421" t="s">
        <v>3024</v>
      </c>
      <c r="AB421" t="s">
        <v>3025</v>
      </c>
      <c r="AC421">
        <v>99039</v>
      </c>
      <c r="AD421" t="s">
        <v>3060</v>
      </c>
      <c r="AE421">
        <v>-43.48445564</v>
      </c>
      <c r="AF421">
        <v>172.6053197</v>
      </c>
      <c r="AG421" s="175">
        <v>30</v>
      </c>
      <c r="AH421" s="175">
        <v>0</v>
      </c>
      <c r="AI421" s="175">
        <v>0</v>
      </c>
      <c r="AJ421" s="175">
        <v>0</v>
      </c>
      <c r="AK421" s="175">
        <v>7</v>
      </c>
      <c r="AL421" s="175">
        <v>8</v>
      </c>
      <c r="AM421" s="175">
        <v>13</v>
      </c>
      <c r="AN421" s="175">
        <v>1</v>
      </c>
      <c r="AO421" s="175">
        <v>29</v>
      </c>
      <c r="AP421" s="175">
        <v>14</v>
      </c>
      <c r="AQ421" s="175">
        <v>2</v>
      </c>
      <c r="AR421" s="175">
        <v>7</v>
      </c>
      <c r="AS421" s="175">
        <v>7</v>
      </c>
      <c r="AT421" s="175">
        <v>3</v>
      </c>
    </row>
    <row r="422" spans="1:46">
      <c r="A422">
        <v>5441</v>
      </c>
      <c r="B422" t="s">
        <v>3172</v>
      </c>
      <c r="C422" t="s">
        <v>3173</v>
      </c>
      <c r="D422" t="s">
        <v>3012</v>
      </c>
      <c r="E422" t="s">
        <v>3174</v>
      </c>
      <c r="F422" t="s">
        <v>3175</v>
      </c>
      <c r="G422" t="s">
        <v>3015</v>
      </c>
      <c r="H422" t="s">
        <v>452</v>
      </c>
      <c r="J422" t="s">
        <v>605</v>
      </c>
      <c r="K422" t="s">
        <v>606</v>
      </c>
      <c r="M422" t="s">
        <v>2366</v>
      </c>
      <c r="N422" t="s">
        <v>657</v>
      </c>
      <c r="O422" t="s">
        <v>3016</v>
      </c>
      <c r="P422" t="s">
        <v>739</v>
      </c>
      <c r="Q422" t="s">
        <v>521</v>
      </c>
      <c r="R422" t="s">
        <v>3017</v>
      </c>
      <c r="S422" t="s">
        <v>3046</v>
      </c>
      <c r="T422" t="s">
        <v>2526</v>
      </c>
      <c r="U422">
        <v>328300</v>
      </c>
      <c r="V422" t="s">
        <v>3176</v>
      </c>
      <c r="W422" t="s">
        <v>3047</v>
      </c>
      <c r="X422" t="s">
        <v>3021</v>
      </c>
      <c r="Y422" t="s">
        <v>3022</v>
      </c>
      <c r="Z422" t="s">
        <v>3023</v>
      </c>
      <c r="AA422" t="s">
        <v>3024</v>
      </c>
      <c r="AB422" t="s">
        <v>3025</v>
      </c>
      <c r="AE422">
        <v>-43.498119629999998</v>
      </c>
      <c r="AF422">
        <v>172.7150158</v>
      </c>
      <c r="AG422" s="175">
        <v>40</v>
      </c>
      <c r="AH422" s="175">
        <v>0</v>
      </c>
      <c r="AI422" s="175">
        <v>0</v>
      </c>
      <c r="AJ422" s="175">
        <v>0</v>
      </c>
      <c r="AK422" s="175">
        <v>6</v>
      </c>
      <c r="AL422" s="175">
        <v>16</v>
      </c>
      <c r="AM422" s="175">
        <v>18</v>
      </c>
      <c r="AN422" s="175">
        <v>1</v>
      </c>
      <c r="AO422" s="175">
        <v>41</v>
      </c>
      <c r="AP422" s="175">
        <v>33</v>
      </c>
      <c r="AQ422" s="175">
        <v>15</v>
      </c>
      <c r="AR422" s="175">
        <v>5</v>
      </c>
      <c r="AS422" s="175">
        <v>5</v>
      </c>
      <c r="AT422" s="175">
        <v>3</v>
      </c>
    </row>
    <row r="423" spans="1:46">
      <c r="A423">
        <v>5442</v>
      </c>
      <c r="B423" t="s">
        <v>3177</v>
      </c>
      <c r="C423" t="s">
        <v>3178</v>
      </c>
      <c r="D423" t="s">
        <v>3012</v>
      </c>
      <c r="E423" t="s">
        <v>3179</v>
      </c>
      <c r="F423" t="s">
        <v>3180</v>
      </c>
      <c r="G423" t="s">
        <v>3015</v>
      </c>
      <c r="H423" t="s">
        <v>452</v>
      </c>
      <c r="J423" t="s">
        <v>605</v>
      </c>
      <c r="K423" t="s">
        <v>606</v>
      </c>
      <c r="M423" t="s">
        <v>2366</v>
      </c>
      <c r="N423" t="s">
        <v>643</v>
      </c>
      <c r="O423" t="s">
        <v>3016</v>
      </c>
      <c r="P423" t="s">
        <v>739</v>
      </c>
      <c r="Q423" t="s">
        <v>521</v>
      </c>
      <c r="R423" t="s">
        <v>3017</v>
      </c>
      <c r="S423" t="s">
        <v>3046</v>
      </c>
      <c r="T423" t="s">
        <v>2526</v>
      </c>
      <c r="U423">
        <v>330200</v>
      </c>
      <c r="V423" t="s">
        <v>3180</v>
      </c>
      <c r="W423" t="s">
        <v>3047</v>
      </c>
      <c r="X423" t="s">
        <v>3021</v>
      </c>
      <c r="Y423" t="s">
        <v>3022</v>
      </c>
      <c r="Z423" t="s">
        <v>3023</v>
      </c>
      <c r="AA423" t="s">
        <v>3024</v>
      </c>
      <c r="AB423" t="s">
        <v>3025</v>
      </c>
      <c r="AE423">
        <v>-43.509116069999997</v>
      </c>
      <c r="AF423">
        <v>172.72279011000001</v>
      </c>
      <c r="AG423" s="175">
        <v>30</v>
      </c>
      <c r="AH423" s="175">
        <v>0</v>
      </c>
      <c r="AI423" s="175">
        <v>0</v>
      </c>
      <c r="AJ423" s="175">
        <v>0</v>
      </c>
      <c r="AK423" s="175">
        <v>8</v>
      </c>
      <c r="AL423" s="175">
        <v>13</v>
      </c>
      <c r="AM423" s="175">
        <v>7</v>
      </c>
      <c r="AN423" s="175">
        <v>5</v>
      </c>
      <c r="AO423" s="175">
        <v>33</v>
      </c>
      <c r="AP423" s="175">
        <v>29</v>
      </c>
      <c r="AQ423" s="175">
        <v>9</v>
      </c>
      <c r="AR423" s="175">
        <v>5</v>
      </c>
      <c r="AS423" s="175">
        <v>1</v>
      </c>
      <c r="AT423" s="175">
        <v>1</v>
      </c>
    </row>
    <row r="424" spans="1:46">
      <c r="A424">
        <v>5443</v>
      </c>
      <c r="B424" t="s">
        <v>3181</v>
      </c>
      <c r="C424" t="s">
        <v>3182</v>
      </c>
      <c r="D424" t="s">
        <v>3012</v>
      </c>
      <c r="E424" t="s">
        <v>3183</v>
      </c>
      <c r="F424" t="s">
        <v>3184</v>
      </c>
      <c r="G424" t="s">
        <v>3015</v>
      </c>
      <c r="H424" t="s">
        <v>452</v>
      </c>
      <c r="J424" t="s">
        <v>605</v>
      </c>
      <c r="K424" t="s">
        <v>606</v>
      </c>
      <c r="M424" t="s">
        <v>2366</v>
      </c>
      <c r="N424" t="s">
        <v>657</v>
      </c>
      <c r="O424" t="s">
        <v>3016</v>
      </c>
      <c r="P424" t="s">
        <v>739</v>
      </c>
      <c r="Q424" t="s">
        <v>521</v>
      </c>
      <c r="R424" t="s">
        <v>3017</v>
      </c>
      <c r="S424" t="s">
        <v>3030</v>
      </c>
      <c r="T424" t="s">
        <v>2526</v>
      </c>
      <c r="U424">
        <v>330900</v>
      </c>
      <c r="V424" t="s">
        <v>3184</v>
      </c>
      <c r="W424" t="s">
        <v>3087</v>
      </c>
      <c r="X424" t="s">
        <v>3021</v>
      </c>
      <c r="Y424" t="s">
        <v>3022</v>
      </c>
      <c r="Z424" t="s">
        <v>3023</v>
      </c>
      <c r="AA424" t="s">
        <v>3024</v>
      </c>
      <c r="AB424" t="s">
        <v>3025</v>
      </c>
      <c r="AC424">
        <v>99177</v>
      </c>
      <c r="AD424" t="s">
        <v>3032</v>
      </c>
      <c r="AE424">
        <v>-43.559635219999997</v>
      </c>
      <c r="AF424">
        <v>172.66137695</v>
      </c>
      <c r="AG424" s="175">
        <v>40</v>
      </c>
      <c r="AH424" s="175">
        <v>0</v>
      </c>
      <c r="AI424" s="175"/>
      <c r="AJ424" s="175"/>
      <c r="AK424" s="175"/>
      <c r="AL424" s="175"/>
      <c r="AM424" s="175"/>
      <c r="AN424" s="175"/>
      <c r="AO424" s="175"/>
      <c r="AP424" s="175"/>
      <c r="AQ424" s="175"/>
      <c r="AR424" s="175"/>
      <c r="AS424" s="175"/>
    </row>
    <row r="425" spans="1:46">
      <c r="A425">
        <v>5444</v>
      </c>
      <c r="B425" t="s">
        <v>3185</v>
      </c>
      <c r="C425" t="s">
        <v>3186</v>
      </c>
      <c r="D425" t="s">
        <v>3012</v>
      </c>
      <c r="E425" t="s">
        <v>3187</v>
      </c>
      <c r="F425" t="s">
        <v>3188</v>
      </c>
      <c r="G425" t="s">
        <v>3015</v>
      </c>
      <c r="H425" t="s">
        <v>452</v>
      </c>
      <c r="J425" t="s">
        <v>605</v>
      </c>
      <c r="K425" t="s">
        <v>606</v>
      </c>
      <c r="M425" t="s">
        <v>2366</v>
      </c>
      <c r="N425" t="s">
        <v>657</v>
      </c>
      <c r="O425" t="s">
        <v>3016</v>
      </c>
      <c r="P425" t="s">
        <v>739</v>
      </c>
      <c r="Q425" t="s">
        <v>521</v>
      </c>
      <c r="R425" t="s">
        <v>3017</v>
      </c>
      <c r="S425" t="s">
        <v>3018</v>
      </c>
      <c r="T425" t="s">
        <v>2526</v>
      </c>
      <c r="U425">
        <v>320000</v>
      </c>
      <c r="V425" t="s">
        <v>3189</v>
      </c>
      <c r="W425" t="s">
        <v>3171</v>
      </c>
      <c r="X425" t="s">
        <v>3021</v>
      </c>
      <c r="Y425" t="s">
        <v>3022</v>
      </c>
      <c r="Z425" t="s">
        <v>3023</v>
      </c>
      <c r="AA425" t="s">
        <v>3024</v>
      </c>
      <c r="AB425" t="s">
        <v>3025</v>
      </c>
      <c r="AE425">
        <v>-43.498374480000003</v>
      </c>
      <c r="AF425">
        <v>172.60792137999999</v>
      </c>
      <c r="AG425" s="175">
        <v>40</v>
      </c>
      <c r="AH425" s="175">
        <v>0</v>
      </c>
      <c r="AI425" s="175">
        <v>0</v>
      </c>
      <c r="AJ425" s="175">
        <v>0</v>
      </c>
      <c r="AK425" s="175">
        <v>12</v>
      </c>
      <c r="AL425" s="175">
        <v>14</v>
      </c>
      <c r="AM425" s="175">
        <v>8</v>
      </c>
      <c r="AN425" s="175">
        <v>1</v>
      </c>
      <c r="AO425" s="175">
        <v>35</v>
      </c>
      <c r="AP425" s="175">
        <v>25</v>
      </c>
      <c r="AQ425" s="175">
        <v>6</v>
      </c>
      <c r="AR425" s="175">
        <v>4</v>
      </c>
      <c r="AS425" s="175">
        <v>4</v>
      </c>
      <c r="AT425" s="175">
        <v>1</v>
      </c>
    </row>
    <row r="426" spans="1:46">
      <c r="A426">
        <v>5445</v>
      </c>
      <c r="B426" t="s">
        <v>3190</v>
      </c>
      <c r="C426" t="s">
        <v>3191</v>
      </c>
      <c r="D426" t="s">
        <v>3012</v>
      </c>
      <c r="E426" t="s">
        <v>3192</v>
      </c>
      <c r="F426" t="s">
        <v>3193</v>
      </c>
      <c r="G426" t="s">
        <v>3015</v>
      </c>
      <c r="H426" t="s">
        <v>452</v>
      </c>
      <c r="J426" t="s">
        <v>605</v>
      </c>
      <c r="K426" t="s">
        <v>606</v>
      </c>
      <c r="M426" t="s">
        <v>2366</v>
      </c>
      <c r="N426" t="s">
        <v>608</v>
      </c>
      <c r="O426" t="s">
        <v>3016</v>
      </c>
      <c r="P426" t="s">
        <v>739</v>
      </c>
      <c r="Q426" t="s">
        <v>521</v>
      </c>
      <c r="R426" t="s">
        <v>3017</v>
      </c>
      <c r="S426" t="s">
        <v>3030</v>
      </c>
      <c r="T426" t="s">
        <v>2526</v>
      </c>
      <c r="U426">
        <v>328900</v>
      </c>
      <c r="V426" t="s">
        <v>3193</v>
      </c>
      <c r="W426" t="s">
        <v>2521</v>
      </c>
      <c r="X426" t="s">
        <v>3021</v>
      </c>
      <c r="Y426" t="s">
        <v>3022</v>
      </c>
      <c r="Z426" t="s">
        <v>3023</v>
      </c>
      <c r="AA426" t="s">
        <v>3024</v>
      </c>
      <c r="AB426" t="s">
        <v>3025</v>
      </c>
      <c r="AC426">
        <v>99063</v>
      </c>
      <c r="AD426" t="s">
        <v>3067</v>
      </c>
      <c r="AE426">
        <v>-43.53665247</v>
      </c>
      <c r="AF426">
        <v>172.65933808</v>
      </c>
      <c r="AG426" s="175">
        <v>40</v>
      </c>
      <c r="AH426" s="175">
        <v>0</v>
      </c>
      <c r="AI426" s="175">
        <v>0</v>
      </c>
      <c r="AJ426" s="175">
        <v>0</v>
      </c>
      <c r="AK426" s="175">
        <v>9</v>
      </c>
      <c r="AL426" s="175">
        <v>10</v>
      </c>
      <c r="AM426" s="175">
        <v>10</v>
      </c>
      <c r="AN426" s="175">
        <v>1</v>
      </c>
      <c r="AO426" s="175">
        <v>30</v>
      </c>
      <c r="AP426" s="175">
        <v>6</v>
      </c>
      <c r="AQ426" s="175">
        <v>6</v>
      </c>
      <c r="AR426" s="175">
        <v>11</v>
      </c>
      <c r="AS426" s="175">
        <v>12</v>
      </c>
      <c r="AT426" s="175">
        <v>1</v>
      </c>
    </row>
    <row r="427" spans="1:46">
      <c r="A427">
        <v>5447</v>
      </c>
      <c r="B427" t="s">
        <v>3194</v>
      </c>
      <c r="C427" t="s">
        <v>3195</v>
      </c>
      <c r="D427" t="s">
        <v>3012</v>
      </c>
      <c r="E427" t="s">
        <v>3196</v>
      </c>
      <c r="F427" t="s">
        <v>3197</v>
      </c>
      <c r="G427" t="s">
        <v>3015</v>
      </c>
      <c r="H427" t="s">
        <v>452</v>
      </c>
      <c r="J427" t="s">
        <v>605</v>
      </c>
      <c r="K427" t="s">
        <v>606</v>
      </c>
      <c r="M427" t="s">
        <v>2366</v>
      </c>
      <c r="N427" t="s">
        <v>812</v>
      </c>
      <c r="O427" t="s">
        <v>3016</v>
      </c>
      <c r="P427" t="s">
        <v>739</v>
      </c>
      <c r="Q427" t="s">
        <v>521</v>
      </c>
      <c r="R427" t="s">
        <v>3017</v>
      </c>
      <c r="S427" t="s">
        <v>3046</v>
      </c>
      <c r="T427" t="s">
        <v>2526</v>
      </c>
      <c r="U427">
        <v>328600</v>
      </c>
      <c r="V427" t="s">
        <v>3198</v>
      </c>
      <c r="W427" t="s">
        <v>3199</v>
      </c>
      <c r="X427" t="s">
        <v>3021</v>
      </c>
      <c r="Y427" t="s">
        <v>3022</v>
      </c>
      <c r="Z427" t="s">
        <v>3023</v>
      </c>
      <c r="AA427" t="s">
        <v>3024</v>
      </c>
      <c r="AB427" t="s">
        <v>3025</v>
      </c>
      <c r="AE427">
        <v>-43.510306300000003</v>
      </c>
      <c r="AF427">
        <v>172.70094810000001</v>
      </c>
      <c r="AG427" s="175">
        <v>40</v>
      </c>
      <c r="AH427" s="175">
        <v>0</v>
      </c>
      <c r="AI427" s="175">
        <v>0</v>
      </c>
      <c r="AJ427" s="175">
        <v>0</v>
      </c>
      <c r="AK427" s="175">
        <v>10</v>
      </c>
      <c r="AL427" s="175">
        <v>8</v>
      </c>
      <c r="AM427" s="175">
        <v>14</v>
      </c>
      <c r="AN427" s="175">
        <v>3</v>
      </c>
      <c r="AO427" s="175">
        <v>35</v>
      </c>
      <c r="AP427" s="175">
        <v>19</v>
      </c>
      <c r="AQ427" s="175">
        <v>19</v>
      </c>
      <c r="AR427" s="175">
        <v>3</v>
      </c>
      <c r="AS427" s="175">
        <v>1</v>
      </c>
      <c r="AT427" s="175">
        <v>0</v>
      </c>
    </row>
    <row r="428" spans="1:46">
      <c r="A428">
        <v>5448</v>
      </c>
      <c r="B428" t="s">
        <v>3200</v>
      </c>
      <c r="C428" t="s">
        <v>3201</v>
      </c>
      <c r="D428" t="s">
        <v>3012</v>
      </c>
      <c r="E428" t="s">
        <v>3202</v>
      </c>
      <c r="F428" t="s">
        <v>3203</v>
      </c>
      <c r="G428" t="s">
        <v>3015</v>
      </c>
      <c r="H428" t="s">
        <v>452</v>
      </c>
      <c r="J428" t="s">
        <v>605</v>
      </c>
      <c r="K428" t="s">
        <v>606</v>
      </c>
      <c r="M428" t="s">
        <v>2366</v>
      </c>
      <c r="N428" t="s">
        <v>657</v>
      </c>
      <c r="O428" t="s">
        <v>3016</v>
      </c>
      <c r="P428" t="s">
        <v>739</v>
      </c>
      <c r="Q428" t="s">
        <v>521</v>
      </c>
      <c r="R428" t="s">
        <v>3017</v>
      </c>
      <c r="S428" t="s">
        <v>3046</v>
      </c>
      <c r="T428" t="s">
        <v>2526</v>
      </c>
      <c r="U428">
        <v>323700</v>
      </c>
      <c r="V428" t="s">
        <v>3204</v>
      </c>
      <c r="W428" t="s">
        <v>3047</v>
      </c>
      <c r="X428" t="s">
        <v>3021</v>
      </c>
      <c r="Y428" t="s">
        <v>3022</v>
      </c>
      <c r="Z428" t="s">
        <v>3023</v>
      </c>
      <c r="AA428" t="s">
        <v>3024</v>
      </c>
      <c r="AB428" t="s">
        <v>3025</v>
      </c>
      <c r="AE428">
        <v>-43.473144779999998</v>
      </c>
      <c r="AF428">
        <v>172.69607755999999</v>
      </c>
      <c r="AG428" s="175">
        <v>40</v>
      </c>
      <c r="AH428" s="175">
        <v>0</v>
      </c>
      <c r="AI428" s="175">
        <v>0</v>
      </c>
      <c r="AJ428" s="175">
        <v>0</v>
      </c>
      <c r="AK428" s="175">
        <v>8</v>
      </c>
      <c r="AL428" s="175">
        <v>18</v>
      </c>
      <c r="AM428" s="175">
        <v>12</v>
      </c>
      <c r="AN428" s="175">
        <v>1</v>
      </c>
      <c r="AO428" s="175">
        <v>39</v>
      </c>
      <c r="AP428" s="175">
        <v>36</v>
      </c>
      <c r="AQ428" s="175">
        <v>6</v>
      </c>
      <c r="AR428" s="175">
        <v>3</v>
      </c>
      <c r="AS428" s="175">
        <v>0</v>
      </c>
      <c r="AT428" s="175">
        <v>1</v>
      </c>
    </row>
    <row r="429" spans="1:46">
      <c r="A429">
        <v>5449</v>
      </c>
      <c r="B429" t="s">
        <v>3205</v>
      </c>
      <c r="C429" t="s">
        <v>3206</v>
      </c>
      <c r="D429" t="s">
        <v>3012</v>
      </c>
      <c r="E429" t="s">
        <v>3207</v>
      </c>
      <c r="F429" t="s">
        <v>3208</v>
      </c>
      <c r="G429" t="s">
        <v>3015</v>
      </c>
      <c r="H429" t="s">
        <v>452</v>
      </c>
      <c r="J429" t="s">
        <v>605</v>
      </c>
      <c r="K429" t="s">
        <v>606</v>
      </c>
      <c r="M429" t="s">
        <v>2366</v>
      </c>
      <c r="N429" t="s">
        <v>657</v>
      </c>
      <c r="O429" t="s">
        <v>3016</v>
      </c>
      <c r="P429" t="s">
        <v>739</v>
      </c>
      <c r="Q429" t="s">
        <v>521</v>
      </c>
      <c r="R429" t="s">
        <v>3017</v>
      </c>
      <c r="S429" t="s">
        <v>3030</v>
      </c>
      <c r="T429" t="s">
        <v>2526</v>
      </c>
      <c r="U429">
        <v>318800</v>
      </c>
      <c r="V429" t="s">
        <v>3209</v>
      </c>
      <c r="W429" t="s">
        <v>3171</v>
      </c>
      <c r="X429" t="s">
        <v>3021</v>
      </c>
      <c r="Y429" t="s">
        <v>3022</v>
      </c>
      <c r="Z429" t="s">
        <v>3023</v>
      </c>
      <c r="AA429" t="s">
        <v>3024</v>
      </c>
      <c r="AB429" t="s">
        <v>3025</v>
      </c>
      <c r="AC429">
        <v>99039</v>
      </c>
      <c r="AD429" t="s">
        <v>3060</v>
      </c>
      <c r="AE429">
        <v>-43.476958740000001</v>
      </c>
      <c r="AF429">
        <v>172.61667550000001</v>
      </c>
      <c r="AG429" s="175">
        <v>40</v>
      </c>
      <c r="AH429" s="175">
        <v>0</v>
      </c>
      <c r="AI429" s="175">
        <v>0</v>
      </c>
      <c r="AJ429" s="175">
        <v>0</v>
      </c>
      <c r="AK429" s="175">
        <v>10</v>
      </c>
      <c r="AL429" s="175">
        <v>14</v>
      </c>
      <c r="AM429" s="175">
        <v>18</v>
      </c>
      <c r="AN429" s="175">
        <v>2</v>
      </c>
      <c r="AO429" s="175">
        <v>44</v>
      </c>
      <c r="AP429" s="175">
        <v>30</v>
      </c>
      <c r="AQ429" s="175">
        <v>12</v>
      </c>
      <c r="AR429" s="175">
        <v>6</v>
      </c>
      <c r="AS429" s="175">
        <v>11</v>
      </c>
      <c r="AT429" s="175">
        <v>1</v>
      </c>
    </row>
    <row r="430" spans="1:46">
      <c r="A430">
        <v>5450</v>
      </c>
      <c r="B430" t="s">
        <v>3210</v>
      </c>
      <c r="C430" t="s">
        <v>3211</v>
      </c>
      <c r="D430" t="s">
        <v>3012</v>
      </c>
      <c r="E430" t="s">
        <v>3212</v>
      </c>
      <c r="F430" t="s">
        <v>3023</v>
      </c>
      <c r="G430" t="s">
        <v>3015</v>
      </c>
      <c r="H430" t="s">
        <v>452</v>
      </c>
      <c r="J430" t="s">
        <v>605</v>
      </c>
      <c r="K430" t="s">
        <v>606</v>
      </c>
      <c r="M430" t="s">
        <v>2366</v>
      </c>
      <c r="N430" t="s">
        <v>657</v>
      </c>
      <c r="O430" t="s">
        <v>3016</v>
      </c>
      <c r="P430" t="s">
        <v>739</v>
      </c>
      <c r="Q430" t="s">
        <v>521</v>
      </c>
      <c r="R430" t="s">
        <v>3017</v>
      </c>
      <c r="S430" t="s">
        <v>3018</v>
      </c>
      <c r="T430" t="s">
        <v>2526</v>
      </c>
      <c r="U430">
        <v>323200</v>
      </c>
      <c r="V430" t="s">
        <v>3213</v>
      </c>
      <c r="W430" t="s">
        <v>3149</v>
      </c>
      <c r="X430" t="s">
        <v>3021</v>
      </c>
      <c r="Y430" t="s">
        <v>3022</v>
      </c>
      <c r="Z430" t="s">
        <v>3023</v>
      </c>
      <c r="AA430" t="s">
        <v>3024</v>
      </c>
      <c r="AB430" t="s">
        <v>3025</v>
      </c>
      <c r="AC430">
        <v>99176</v>
      </c>
      <c r="AD430" t="s">
        <v>3150</v>
      </c>
      <c r="AE430">
        <v>-43.52768949</v>
      </c>
      <c r="AF430">
        <v>172.60525699999999</v>
      </c>
      <c r="AG430" s="175">
        <v>30</v>
      </c>
      <c r="AH430" s="175">
        <v>0</v>
      </c>
      <c r="AI430" s="175">
        <v>0</v>
      </c>
      <c r="AJ430" s="175">
        <v>0</v>
      </c>
      <c r="AK430" s="175">
        <v>7</v>
      </c>
      <c r="AL430" s="175">
        <v>4</v>
      </c>
      <c r="AM430" s="175">
        <v>12</v>
      </c>
      <c r="AN430" s="175">
        <v>0</v>
      </c>
      <c r="AO430" s="175">
        <v>23</v>
      </c>
      <c r="AP430" s="175">
        <v>4</v>
      </c>
      <c r="AQ430" s="175">
        <v>2</v>
      </c>
      <c r="AR430" s="175">
        <v>1</v>
      </c>
      <c r="AS430" s="175">
        <v>17</v>
      </c>
      <c r="AT430" s="175">
        <v>4</v>
      </c>
    </row>
    <row r="431" spans="1:46">
      <c r="A431">
        <v>5451</v>
      </c>
      <c r="B431" t="s">
        <v>3214</v>
      </c>
      <c r="C431" t="s">
        <v>3215</v>
      </c>
      <c r="E431" t="s">
        <v>3216</v>
      </c>
      <c r="F431" t="s">
        <v>2957</v>
      </c>
      <c r="G431" t="s">
        <v>3015</v>
      </c>
      <c r="H431" t="s">
        <v>452</v>
      </c>
      <c r="J431" t="s">
        <v>605</v>
      </c>
      <c r="K431" t="s">
        <v>606</v>
      </c>
      <c r="M431" t="s">
        <v>2366</v>
      </c>
      <c r="N431" t="s">
        <v>3217</v>
      </c>
      <c r="O431" t="s">
        <v>3016</v>
      </c>
      <c r="P431" t="s">
        <v>739</v>
      </c>
      <c r="Q431" t="s">
        <v>521</v>
      </c>
      <c r="R431" t="s">
        <v>3017</v>
      </c>
      <c r="S431" t="s">
        <v>3046</v>
      </c>
      <c r="T431" t="s">
        <v>2526</v>
      </c>
      <c r="U431">
        <v>325900</v>
      </c>
      <c r="V431" t="s">
        <v>3218</v>
      </c>
      <c r="W431" t="s">
        <v>2521</v>
      </c>
      <c r="Y431" t="s">
        <v>3022</v>
      </c>
      <c r="Z431" t="s">
        <v>3023</v>
      </c>
      <c r="AA431" t="s">
        <v>3024</v>
      </c>
      <c r="AC431">
        <v>99175</v>
      </c>
      <c r="AD431" t="s">
        <v>3144</v>
      </c>
      <c r="AE431">
        <v>-43.517392450000003</v>
      </c>
      <c r="AF431">
        <v>172.65401072</v>
      </c>
      <c r="AG431" s="175">
        <v>0</v>
      </c>
      <c r="AH431" s="175">
        <v>0</v>
      </c>
      <c r="AI431" s="175">
        <v>0</v>
      </c>
      <c r="AJ431" s="175">
        <v>0</v>
      </c>
      <c r="AK431" s="175">
        <v>5</v>
      </c>
      <c r="AL431" s="175">
        <v>7</v>
      </c>
      <c r="AM431" s="175">
        <v>5</v>
      </c>
      <c r="AN431" s="175">
        <v>0</v>
      </c>
      <c r="AO431" s="175">
        <v>17</v>
      </c>
      <c r="AP431" s="175">
        <v>10</v>
      </c>
      <c r="AQ431" s="175">
        <v>3</v>
      </c>
      <c r="AR431" s="175">
        <v>1</v>
      </c>
      <c r="AS431" s="175">
        <v>5</v>
      </c>
      <c r="AT431" s="175">
        <v>1</v>
      </c>
    </row>
    <row r="432" spans="1:46">
      <c r="A432">
        <v>5452</v>
      </c>
      <c r="B432" t="s">
        <v>3219</v>
      </c>
      <c r="C432" t="s">
        <v>3220</v>
      </c>
      <c r="D432" t="s">
        <v>3012</v>
      </c>
      <c r="E432" t="s">
        <v>3221</v>
      </c>
      <c r="F432" t="s">
        <v>3159</v>
      </c>
      <c r="G432" t="s">
        <v>3015</v>
      </c>
      <c r="H432" t="s">
        <v>452</v>
      </c>
      <c r="J432" t="s">
        <v>605</v>
      </c>
      <c r="K432" t="s">
        <v>606</v>
      </c>
      <c r="M432" t="s">
        <v>2366</v>
      </c>
      <c r="N432" t="s">
        <v>625</v>
      </c>
      <c r="O432" t="s">
        <v>3016</v>
      </c>
      <c r="P432" t="s">
        <v>739</v>
      </c>
      <c r="Q432" t="s">
        <v>521</v>
      </c>
      <c r="R432" t="s">
        <v>3017</v>
      </c>
      <c r="S432" t="s">
        <v>3092</v>
      </c>
      <c r="T432" t="s">
        <v>2526</v>
      </c>
      <c r="U432">
        <v>326701</v>
      </c>
      <c r="V432" t="s">
        <v>3160</v>
      </c>
      <c r="W432" t="s">
        <v>3161</v>
      </c>
      <c r="X432" t="s">
        <v>3021</v>
      </c>
      <c r="Y432" t="s">
        <v>3022</v>
      </c>
      <c r="Z432" t="s">
        <v>3023</v>
      </c>
      <c r="AA432" t="s">
        <v>3024</v>
      </c>
      <c r="AB432" t="s">
        <v>3025</v>
      </c>
      <c r="AE432">
        <v>-43.562828879999998</v>
      </c>
      <c r="AF432">
        <v>172.58743835999999</v>
      </c>
      <c r="AG432" s="175">
        <v>30</v>
      </c>
      <c r="AH432" s="175">
        <v>0</v>
      </c>
      <c r="AI432" s="175">
        <v>0</v>
      </c>
      <c r="AJ432" s="175">
        <v>0</v>
      </c>
      <c r="AK432" s="175">
        <v>5</v>
      </c>
      <c r="AL432" s="175">
        <v>10</v>
      </c>
      <c r="AM432" s="175">
        <v>13</v>
      </c>
      <c r="AN432" s="175">
        <v>3</v>
      </c>
      <c r="AO432" s="175">
        <v>31</v>
      </c>
      <c r="AP432" s="175">
        <v>14</v>
      </c>
      <c r="AQ432" s="175">
        <v>12</v>
      </c>
      <c r="AR432" s="175">
        <v>12</v>
      </c>
      <c r="AS432" s="175">
        <v>2</v>
      </c>
      <c r="AT432" s="175">
        <v>0</v>
      </c>
    </row>
    <row r="433" spans="1:46">
      <c r="A433">
        <v>5453</v>
      </c>
      <c r="B433" t="s">
        <v>3222</v>
      </c>
      <c r="C433" t="s">
        <v>3223</v>
      </c>
      <c r="D433" t="s">
        <v>3012</v>
      </c>
      <c r="E433" t="s">
        <v>3224</v>
      </c>
      <c r="F433" t="s">
        <v>3015</v>
      </c>
      <c r="G433" t="s">
        <v>3015</v>
      </c>
      <c r="H433" t="s">
        <v>452</v>
      </c>
      <c r="J433" t="s">
        <v>605</v>
      </c>
      <c r="K433" t="s">
        <v>606</v>
      </c>
      <c r="M433" t="s">
        <v>2366</v>
      </c>
      <c r="N433" t="s">
        <v>657</v>
      </c>
      <c r="O433" t="s">
        <v>3016</v>
      </c>
      <c r="P433" t="s">
        <v>739</v>
      </c>
      <c r="Q433" t="s">
        <v>521</v>
      </c>
      <c r="R433" t="s">
        <v>3017</v>
      </c>
      <c r="S433" t="s">
        <v>3030</v>
      </c>
      <c r="T433" t="s">
        <v>2526</v>
      </c>
      <c r="U433">
        <v>322100</v>
      </c>
      <c r="V433" t="s">
        <v>3225</v>
      </c>
      <c r="W433" t="s">
        <v>3171</v>
      </c>
      <c r="X433" t="s">
        <v>3021</v>
      </c>
      <c r="Y433" t="s">
        <v>3022</v>
      </c>
      <c r="Z433" t="s">
        <v>3023</v>
      </c>
      <c r="AA433" t="s">
        <v>3024</v>
      </c>
      <c r="AB433" t="s">
        <v>3025</v>
      </c>
      <c r="AE433">
        <v>-43.500482050000002</v>
      </c>
      <c r="AF433">
        <v>172.62414193000001</v>
      </c>
      <c r="AG433" s="175">
        <v>40</v>
      </c>
      <c r="AH433" s="175">
        <v>0</v>
      </c>
      <c r="AI433" s="175">
        <v>0</v>
      </c>
      <c r="AJ433" s="175">
        <v>0</v>
      </c>
      <c r="AK433" s="175">
        <v>10</v>
      </c>
      <c r="AL433" s="175">
        <v>6</v>
      </c>
      <c r="AM433" s="175">
        <v>14</v>
      </c>
      <c r="AN433" s="175">
        <v>0</v>
      </c>
      <c r="AO433" s="175">
        <v>30</v>
      </c>
      <c r="AP433" s="175">
        <v>25</v>
      </c>
      <c r="AQ433" s="175">
        <v>5</v>
      </c>
      <c r="AR433" s="175">
        <v>2</v>
      </c>
      <c r="AS433" s="175">
        <v>1</v>
      </c>
      <c r="AT433" s="175">
        <v>1</v>
      </c>
    </row>
    <row r="434" spans="1:46">
      <c r="A434">
        <v>5454</v>
      </c>
      <c r="B434" t="s">
        <v>3226</v>
      </c>
      <c r="C434" t="s">
        <v>3227</v>
      </c>
      <c r="D434" t="s">
        <v>3012</v>
      </c>
      <c r="E434" t="s">
        <v>3228</v>
      </c>
      <c r="F434" t="s">
        <v>3229</v>
      </c>
      <c r="G434" t="s">
        <v>3015</v>
      </c>
      <c r="H434" t="s">
        <v>452</v>
      </c>
      <c r="J434" t="s">
        <v>605</v>
      </c>
      <c r="K434" t="s">
        <v>606</v>
      </c>
      <c r="M434" t="s">
        <v>2366</v>
      </c>
      <c r="N434" t="s">
        <v>643</v>
      </c>
      <c r="O434" t="s">
        <v>3016</v>
      </c>
      <c r="P434" t="s">
        <v>739</v>
      </c>
      <c r="Q434" t="s">
        <v>521</v>
      </c>
      <c r="R434" t="s">
        <v>3017</v>
      </c>
      <c r="S434" t="s">
        <v>3030</v>
      </c>
      <c r="T434" t="s">
        <v>2526</v>
      </c>
      <c r="U434">
        <v>327400</v>
      </c>
      <c r="V434" t="s">
        <v>3230</v>
      </c>
      <c r="W434" t="s">
        <v>3161</v>
      </c>
      <c r="X434" t="s">
        <v>3021</v>
      </c>
      <c r="Y434" t="s">
        <v>3022</v>
      </c>
      <c r="Z434" t="s">
        <v>3023</v>
      </c>
      <c r="AA434" t="s">
        <v>3024</v>
      </c>
      <c r="AB434" t="s">
        <v>3025</v>
      </c>
      <c r="AC434">
        <v>99177</v>
      </c>
      <c r="AD434" t="s">
        <v>3032</v>
      </c>
      <c r="AE434">
        <v>-43.545585500000001</v>
      </c>
      <c r="AF434">
        <v>172.62208339</v>
      </c>
      <c r="AG434" s="175">
        <v>40</v>
      </c>
      <c r="AH434" s="175">
        <v>0</v>
      </c>
      <c r="AI434" s="175">
        <v>0</v>
      </c>
      <c r="AJ434" s="175">
        <v>0</v>
      </c>
      <c r="AK434" s="175">
        <v>7</v>
      </c>
      <c r="AL434" s="175">
        <v>13</v>
      </c>
      <c r="AM434" s="175">
        <v>21</v>
      </c>
      <c r="AN434" s="175">
        <v>1</v>
      </c>
      <c r="AO434" s="175">
        <v>42</v>
      </c>
      <c r="AP434" s="175">
        <v>26</v>
      </c>
      <c r="AQ434" s="175">
        <v>11</v>
      </c>
      <c r="AR434" s="175">
        <v>4</v>
      </c>
      <c r="AS434" s="175">
        <v>8</v>
      </c>
      <c r="AT434" s="175">
        <v>1</v>
      </c>
    </row>
    <row r="435" spans="1:46">
      <c r="A435">
        <v>5455</v>
      </c>
      <c r="B435" t="s">
        <v>3231</v>
      </c>
      <c r="C435" t="s">
        <v>3232</v>
      </c>
      <c r="D435" t="s">
        <v>3012</v>
      </c>
      <c r="E435" t="s">
        <v>3233</v>
      </c>
      <c r="F435" t="s">
        <v>3141</v>
      </c>
      <c r="G435" t="s">
        <v>3015</v>
      </c>
      <c r="H435" t="s">
        <v>452</v>
      </c>
      <c r="J435" t="s">
        <v>605</v>
      </c>
      <c r="K435" t="s">
        <v>606</v>
      </c>
      <c r="M435" t="s">
        <v>2366</v>
      </c>
      <c r="N435" t="s">
        <v>657</v>
      </c>
      <c r="O435" t="s">
        <v>3016</v>
      </c>
      <c r="P435" t="s">
        <v>739</v>
      </c>
      <c r="Q435" t="s">
        <v>521</v>
      </c>
      <c r="R435" t="s">
        <v>3017</v>
      </c>
      <c r="S435" t="s">
        <v>3046</v>
      </c>
      <c r="T435" t="s">
        <v>2526</v>
      </c>
      <c r="U435">
        <v>326500</v>
      </c>
      <c r="V435" t="s">
        <v>3234</v>
      </c>
      <c r="W435" t="s">
        <v>3199</v>
      </c>
      <c r="X435" t="s">
        <v>3021</v>
      </c>
      <c r="Y435" t="s">
        <v>3022</v>
      </c>
      <c r="Z435" t="s">
        <v>3023</v>
      </c>
      <c r="AA435" t="s">
        <v>3024</v>
      </c>
      <c r="AB435" t="s">
        <v>3025</v>
      </c>
      <c r="AC435">
        <v>99175</v>
      </c>
      <c r="AD435" t="s">
        <v>3144</v>
      </c>
      <c r="AE435">
        <v>-43.509596850000001</v>
      </c>
      <c r="AF435">
        <v>172.66454185000001</v>
      </c>
      <c r="AG435" s="175">
        <v>30</v>
      </c>
      <c r="AH435" s="175">
        <v>0</v>
      </c>
      <c r="AI435" s="175">
        <v>0</v>
      </c>
      <c r="AJ435" s="175">
        <v>0</v>
      </c>
      <c r="AK435" s="175">
        <v>10</v>
      </c>
      <c r="AL435" s="175">
        <v>9</v>
      </c>
      <c r="AM435" s="175">
        <v>11</v>
      </c>
      <c r="AN435" s="175">
        <v>0</v>
      </c>
      <c r="AO435" s="175">
        <v>30</v>
      </c>
      <c r="AP435" s="175">
        <v>27</v>
      </c>
      <c r="AQ435" s="175">
        <v>4</v>
      </c>
      <c r="AR435" s="175">
        <v>4</v>
      </c>
      <c r="AS435" s="175">
        <v>1</v>
      </c>
      <c r="AT435" s="175">
        <v>0</v>
      </c>
    </row>
    <row r="436" spans="1:46">
      <c r="A436">
        <v>5456</v>
      </c>
      <c r="B436" t="s">
        <v>3235</v>
      </c>
      <c r="C436" t="s">
        <v>3236</v>
      </c>
      <c r="D436" t="s">
        <v>3012</v>
      </c>
      <c r="E436" t="s">
        <v>3237</v>
      </c>
      <c r="F436" t="s">
        <v>3238</v>
      </c>
      <c r="G436" t="s">
        <v>3015</v>
      </c>
      <c r="H436" t="s">
        <v>452</v>
      </c>
      <c r="J436" t="s">
        <v>605</v>
      </c>
      <c r="K436" t="s">
        <v>606</v>
      </c>
      <c r="M436" t="s">
        <v>2366</v>
      </c>
      <c r="N436" t="s">
        <v>657</v>
      </c>
      <c r="O436" t="s">
        <v>3016</v>
      </c>
      <c r="P436" t="s">
        <v>739</v>
      </c>
      <c r="Q436" t="s">
        <v>521</v>
      </c>
      <c r="R436" t="s">
        <v>3017</v>
      </c>
      <c r="S436" t="s">
        <v>3046</v>
      </c>
      <c r="T436" t="s">
        <v>2526</v>
      </c>
      <c r="U436">
        <v>331700</v>
      </c>
      <c r="V436" t="s">
        <v>3238</v>
      </c>
      <c r="W436" t="s">
        <v>3047</v>
      </c>
      <c r="X436" t="s">
        <v>3021</v>
      </c>
      <c r="Y436" t="s">
        <v>3022</v>
      </c>
      <c r="Z436" t="s">
        <v>3023</v>
      </c>
      <c r="AA436" t="s">
        <v>3024</v>
      </c>
      <c r="AB436" t="s">
        <v>3025</v>
      </c>
      <c r="AE436">
        <v>-43.523234430000002</v>
      </c>
      <c r="AF436">
        <v>172.73347512999999</v>
      </c>
      <c r="AG436" s="175">
        <v>40</v>
      </c>
      <c r="AH436" s="175">
        <v>0</v>
      </c>
      <c r="AI436" s="175">
        <v>0</v>
      </c>
      <c r="AJ436" s="175">
        <v>0</v>
      </c>
      <c r="AK436" s="175">
        <v>10</v>
      </c>
      <c r="AL436" s="175">
        <v>18</v>
      </c>
      <c r="AM436" s="175">
        <v>7</v>
      </c>
      <c r="AN436" s="175">
        <v>0</v>
      </c>
      <c r="AO436" s="175">
        <v>35</v>
      </c>
      <c r="AP436" s="175">
        <v>33</v>
      </c>
      <c r="AQ436" s="175">
        <v>10</v>
      </c>
      <c r="AR436" s="175">
        <v>4</v>
      </c>
      <c r="AS436" s="175">
        <v>1</v>
      </c>
      <c r="AT436" s="175">
        <v>0</v>
      </c>
    </row>
    <row r="437" spans="1:46">
      <c r="A437">
        <v>5457</v>
      </c>
      <c r="B437" t="s">
        <v>3239</v>
      </c>
      <c r="C437" t="s">
        <v>3240</v>
      </c>
      <c r="D437" t="s">
        <v>3012</v>
      </c>
      <c r="E437" t="s">
        <v>3241</v>
      </c>
      <c r="F437" t="s">
        <v>3242</v>
      </c>
      <c r="G437" t="s">
        <v>3015</v>
      </c>
      <c r="H437" t="s">
        <v>452</v>
      </c>
      <c r="J437" t="s">
        <v>605</v>
      </c>
      <c r="K437" t="s">
        <v>606</v>
      </c>
      <c r="M437" t="s">
        <v>2366</v>
      </c>
      <c r="N437" t="s">
        <v>657</v>
      </c>
      <c r="O437" t="s">
        <v>3016</v>
      </c>
      <c r="P437" t="s">
        <v>739</v>
      </c>
      <c r="Q437" t="s">
        <v>521</v>
      </c>
      <c r="R437" t="s">
        <v>3017</v>
      </c>
      <c r="S437" t="s">
        <v>3052</v>
      </c>
      <c r="T437" t="s">
        <v>2526</v>
      </c>
      <c r="U437">
        <v>332700</v>
      </c>
      <c r="V437" t="s">
        <v>3242</v>
      </c>
      <c r="W437" t="s">
        <v>3087</v>
      </c>
      <c r="X437" t="s">
        <v>3021</v>
      </c>
      <c r="Y437" t="s">
        <v>3022</v>
      </c>
      <c r="Z437" t="s">
        <v>3023</v>
      </c>
      <c r="AA437" t="s">
        <v>3024</v>
      </c>
      <c r="AB437" t="s">
        <v>3025</v>
      </c>
      <c r="AC437">
        <v>99196</v>
      </c>
      <c r="AD437" t="s">
        <v>3137</v>
      </c>
      <c r="AE437">
        <v>-43.572868059999998</v>
      </c>
      <c r="AF437">
        <v>172.76124125000001</v>
      </c>
      <c r="AG437" s="175">
        <v>36</v>
      </c>
      <c r="AH437" s="175">
        <v>0</v>
      </c>
      <c r="AI437" s="175">
        <v>0</v>
      </c>
      <c r="AJ437" s="175">
        <v>0</v>
      </c>
      <c r="AK437" s="175">
        <v>10</v>
      </c>
      <c r="AL437" s="175">
        <v>12</v>
      </c>
      <c r="AM437" s="175">
        <v>12</v>
      </c>
      <c r="AN437" s="175">
        <v>2</v>
      </c>
      <c r="AO437" s="175">
        <v>36</v>
      </c>
      <c r="AP437" s="175">
        <v>35</v>
      </c>
      <c r="AQ437" s="175">
        <v>3</v>
      </c>
      <c r="AR437" s="175">
        <v>0</v>
      </c>
      <c r="AS437" s="175">
        <v>3</v>
      </c>
      <c r="AT437" s="175">
        <v>1</v>
      </c>
    </row>
    <row r="438" spans="1:46">
      <c r="A438">
        <v>5458</v>
      </c>
      <c r="B438" t="s">
        <v>3243</v>
      </c>
      <c r="C438" t="s">
        <v>3244</v>
      </c>
      <c r="D438" t="s">
        <v>3012</v>
      </c>
      <c r="E438" t="s">
        <v>3245</v>
      </c>
      <c r="F438" t="s">
        <v>3246</v>
      </c>
      <c r="G438" t="s">
        <v>3015</v>
      </c>
      <c r="H438" t="s">
        <v>452</v>
      </c>
      <c r="J438" t="s">
        <v>605</v>
      </c>
      <c r="K438" t="s">
        <v>606</v>
      </c>
      <c r="M438" t="s">
        <v>2366</v>
      </c>
      <c r="N438" t="s">
        <v>657</v>
      </c>
      <c r="O438" t="s">
        <v>3016</v>
      </c>
      <c r="P438" t="s">
        <v>739</v>
      </c>
      <c r="Q438" t="s">
        <v>521</v>
      </c>
      <c r="R438" t="s">
        <v>3017</v>
      </c>
      <c r="S438" t="s">
        <v>3030</v>
      </c>
      <c r="T438" t="s">
        <v>2526</v>
      </c>
      <c r="U438">
        <v>323800</v>
      </c>
      <c r="V438" t="s">
        <v>3247</v>
      </c>
      <c r="W438" t="s">
        <v>3143</v>
      </c>
      <c r="X438" t="s">
        <v>3021</v>
      </c>
      <c r="Y438" t="s">
        <v>3022</v>
      </c>
      <c r="Z438" t="s">
        <v>3023</v>
      </c>
      <c r="AA438" t="s">
        <v>3024</v>
      </c>
      <c r="AB438" t="s">
        <v>3025</v>
      </c>
      <c r="AE438">
        <v>-43.512745760000001</v>
      </c>
      <c r="AF438">
        <v>172.63702404</v>
      </c>
      <c r="AG438" s="175">
        <v>40</v>
      </c>
      <c r="AH438" s="175">
        <v>0</v>
      </c>
      <c r="AI438" s="175">
        <v>0</v>
      </c>
      <c r="AJ438" s="175">
        <v>0</v>
      </c>
      <c r="AK438" s="175">
        <v>15</v>
      </c>
      <c r="AL438" s="175">
        <v>17</v>
      </c>
      <c r="AM438" s="175">
        <v>15</v>
      </c>
      <c r="AN438" s="175">
        <v>3</v>
      </c>
      <c r="AO438" s="175">
        <v>50</v>
      </c>
      <c r="AP438" s="175">
        <v>28</v>
      </c>
      <c r="AQ438" s="175">
        <v>14</v>
      </c>
      <c r="AR438" s="175">
        <v>6</v>
      </c>
      <c r="AS438" s="175">
        <v>13</v>
      </c>
      <c r="AT438" s="175">
        <v>6</v>
      </c>
    </row>
    <row r="439" spans="1:46">
      <c r="A439">
        <v>5459</v>
      </c>
      <c r="B439" t="s">
        <v>3248</v>
      </c>
      <c r="C439" t="s">
        <v>3249</v>
      </c>
      <c r="D439" t="s">
        <v>3012</v>
      </c>
      <c r="E439" t="s">
        <v>3250</v>
      </c>
      <c r="G439" t="s">
        <v>3251</v>
      </c>
      <c r="H439" t="s">
        <v>452</v>
      </c>
      <c r="J439" t="s">
        <v>605</v>
      </c>
      <c r="K439" t="s">
        <v>606</v>
      </c>
      <c r="M439" t="s">
        <v>2366</v>
      </c>
      <c r="N439" t="s">
        <v>657</v>
      </c>
      <c r="O439" t="s">
        <v>3016</v>
      </c>
      <c r="P439" t="s">
        <v>739</v>
      </c>
      <c r="Q439" t="s">
        <v>521</v>
      </c>
      <c r="R439" t="s">
        <v>3017</v>
      </c>
      <c r="S439" t="s">
        <v>3252</v>
      </c>
      <c r="T439" t="s">
        <v>2526</v>
      </c>
      <c r="U439">
        <v>318100</v>
      </c>
      <c r="V439" t="s">
        <v>3251</v>
      </c>
      <c r="W439" t="s">
        <v>3093</v>
      </c>
      <c r="X439" t="s">
        <v>3021</v>
      </c>
      <c r="Y439" t="s">
        <v>3022</v>
      </c>
      <c r="Z439" t="s">
        <v>3023</v>
      </c>
      <c r="AA439" t="s">
        <v>3024</v>
      </c>
      <c r="AB439" t="s">
        <v>3025</v>
      </c>
      <c r="AC439">
        <v>99045</v>
      </c>
      <c r="AD439" t="s">
        <v>3094</v>
      </c>
      <c r="AE439">
        <v>-43.550771830000002</v>
      </c>
      <c r="AF439">
        <v>172.47384611000001</v>
      </c>
      <c r="AG439" s="175">
        <v>40</v>
      </c>
      <c r="AH439" s="175">
        <v>0</v>
      </c>
      <c r="AI439" s="175">
        <v>0</v>
      </c>
      <c r="AJ439" s="175">
        <v>0</v>
      </c>
      <c r="AK439" s="175">
        <v>6</v>
      </c>
      <c r="AL439" s="175">
        <v>10</v>
      </c>
      <c r="AM439" s="175">
        <v>18</v>
      </c>
      <c r="AN439" s="175">
        <v>2</v>
      </c>
      <c r="AO439" s="175">
        <v>36</v>
      </c>
      <c r="AP439" s="175">
        <v>21</v>
      </c>
      <c r="AQ439" s="175">
        <v>2</v>
      </c>
      <c r="AR439" s="175">
        <v>4</v>
      </c>
      <c r="AS439" s="175">
        <v>14</v>
      </c>
      <c r="AT439" s="175">
        <v>0</v>
      </c>
    </row>
    <row r="440" spans="1:46">
      <c r="A440">
        <v>5460</v>
      </c>
      <c r="B440" t="s">
        <v>3253</v>
      </c>
      <c r="C440" t="s">
        <v>3254</v>
      </c>
      <c r="D440" t="s">
        <v>3012</v>
      </c>
      <c r="E440" t="s">
        <v>3255</v>
      </c>
      <c r="F440" t="s">
        <v>3256</v>
      </c>
      <c r="G440" t="s">
        <v>3015</v>
      </c>
      <c r="H440" t="s">
        <v>452</v>
      </c>
      <c r="J440" t="s">
        <v>605</v>
      </c>
      <c r="K440" t="s">
        <v>606</v>
      </c>
      <c r="M440" t="s">
        <v>2366</v>
      </c>
      <c r="N440" t="s">
        <v>657</v>
      </c>
      <c r="O440" t="s">
        <v>3016</v>
      </c>
      <c r="P440" t="s">
        <v>739</v>
      </c>
      <c r="Q440" t="s">
        <v>521</v>
      </c>
      <c r="R440" t="s">
        <v>3017</v>
      </c>
      <c r="S440" t="s">
        <v>3018</v>
      </c>
      <c r="T440" t="s">
        <v>2526</v>
      </c>
      <c r="U440">
        <v>320600</v>
      </c>
      <c r="V440" t="s">
        <v>3071</v>
      </c>
      <c r="W440" t="s">
        <v>3072</v>
      </c>
      <c r="X440" t="s">
        <v>3021</v>
      </c>
      <c r="Y440" t="s">
        <v>3022</v>
      </c>
      <c r="Z440" t="s">
        <v>3023</v>
      </c>
      <c r="AA440" t="s">
        <v>3024</v>
      </c>
      <c r="AB440" t="s">
        <v>3025</v>
      </c>
      <c r="AC440">
        <v>99027</v>
      </c>
      <c r="AD440" t="s">
        <v>3073</v>
      </c>
      <c r="AE440">
        <v>-43.509881999999998</v>
      </c>
      <c r="AF440">
        <v>172.58866354</v>
      </c>
      <c r="AG440" s="175">
        <v>40</v>
      </c>
      <c r="AH440" s="175">
        <v>0</v>
      </c>
      <c r="AI440" s="175">
        <v>0</v>
      </c>
      <c r="AJ440" s="175">
        <v>0</v>
      </c>
      <c r="AK440" s="175">
        <v>9</v>
      </c>
      <c r="AL440" s="175">
        <v>11</v>
      </c>
      <c r="AM440" s="175">
        <v>19</v>
      </c>
      <c r="AN440" s="175">
        <v>0</v>
      </c>
      <c r="AO440" s="175">
        <v>39</v>
      </c>
      <c r="AP440" s="175">
        <v>13</v>
      </c>
      <c r="AQ440" s="175">
        <v>9</v>
      </c>
      <c r="AR440" s="175">
        <v>5</v>
      </c>
      <c r="AS440" s="175">
        <v>14</v>
      </c>
      <c r="AT440" s="175">
        <v>1</v>
      </c>
    </row>
    <row r="441" spans="1:46">
      <c r="A441">
        <v>5461</v>
      </c>
      <c r="B441" t="s">
        <v>3257</v>
      </c>
      <c r="C441" t="s">
        <v>3258</v>
      </c>
      <c r="D441" t="s">
        <v>3012</v>
      </c>
      <c r="E441" t="s">
        <v>3259</v>
      </c>
      <c r="G441" t="s">
        <v>3260</v>
      </c>
      <c r="H441" t="s">
        <v>452</v>
      </c>
      <c r="J441" t="s">
        <v>605</v>
      </c>
      <c r="K441" t="s">
        <v>606</v>
      </c>
      <c r="M441" t="s">
        <v>2366</v>
      </c>
      <c r="N441" t="s">
        <v>657</v>
      </c>
      <c r="O441" t="s">
        <v>3037</v>
      </c>
      <c r="P441" t="s">
        <v>1347</v>
      </c>
      <c r="Q441" t="s">
        <v>521</v>
      </c>
      <c r="R441" t="s">
        <v>3017</v>
      </c>
      <c r="S441" t="s">
        <v>3038</v>
      </c>
      <c r="T441" t="s">
        <v>2526</v>
      </c>
      <c r="U441">
        <v>316200</v>
      </c>
      <c r="V441" t="s">
        <v>3261</v>
      </c>
      <c r="W441" t="s">
        <v>3262</v>
      </c>
      <c r="X441" t="s">
        <v>3021</v>
      </c>
      <c r="Y441" t="s">
        <v>3022</v>
      </c>
      <c r="Z441" t="s">
        <v>3023</v>
      </c>
      <c r="AA441" t="s">
        <v>3024</v>
      </c>
      <c r="AB441" t="s">
        <v>3025</v>
      </c>
      <c r="AC441">
        <v>99061</v>
      </c>
      <c r="AD441" t="s">
        <v>3263</v>
      </c>
      <c r="AE441">
        <v>-43.388824900000003</v>
      </c>
      <c r="AF441">
        <v>172.65080040999999</v>
      </c>
      <c r="AG441" s="175">
        <v>40</v>
      </c>
      <c r="AH441" s="175">
        <v>0</v>
      </c>
      <c r="AI441" s="175">
        <v>0</v>
      </c>
      <c r="AJ441" s="175">
        <v>0</v>
      </c>
      <c r="AK441" s="175">
        <v>4</v>
      </c>
      <c r="AL441" s="175">
        <v>14</v>
      </c>
      <c r="AM441" s="175">
        <v>18</v>
      </c>
      <c r="AN441" s="175">
        <v>2</v>
      </c>
      <c r="AO441" s="175">
        <v>38</v>
      </c>
      <c r="AP441" s="175">
        <v>36</v>
      </c>
      <c r="AQ441" s="175">
        <v>6</v>
      </c>
      <c r="AR441" s="175">
        <v>1</v>
      </c>
      <c r="AS441" s="175">
        <v>3</v>
      </c>
      <c r="AT441" s="175">
        <v>0</v>
      </c>
    </row>
    <row r="442" spans="1:46">
      <c r="A442">
        <v>5462</v>
      </c>
      <c r="B442" t="s">
        <v>3264</v>
      </c>
      <c r="C442" t="s">
        <v>3265</v>
      </c>
      <c r="D442" t="s">
        <v>3012</v>
      </c>
      <c r="E442" t="s">
        <v>3266</v>
      </c>
      <c r="F442" t="s">
        <v>3267</v>
      </c>
      <c r="G442" t="s">
        <v>3015</v>
      </c>
      <c r="H442" t="s">
        <v>452</v>
      </c>
      <c r="J442" t="s">
        <v>605</v>
      </c>
      <c r="K442" t="s">
        <v>606</v>
      </c>
      <c r="M442" t="s">
        <v>2366</v>
      </c>
      <c r="N442" t="s">
        <v>657</v>
      </c>
      <c r="O442" t="s">
        <v>3016</v>
      </c>
      <c r="P442" t="s">
        <v>739</v>
      </c>
      <c r="Q442" t="s">
        <v>521</v>
      </c>
      <c r="R442" t="s">
        <v>3017</v>
      </c>
      <c r="S442" t="s">
        <v>3052</v>
      </c>
      <c r="T442" t="s">
        <v>2526</v>
      </c>
      <c r="U442">
        <v>326301</v>
      </c>
      <c r="V442" t="s">
        <v>3268</v>
      </c>
      <c r="W442" t="s">
        <v>3269</v>
      </c>
      <c r="X442" t="s">
        <v>3021</v>
      </c>
      <c r="Y442" t="s">
        <v>3022</v>
      </c>
      <c r="Z442" t="s">
        <v>3023</v>
      </c>
      <c r="AA442" t="s">
        <v>3024</v>
      </c>
      <c r="AB442" t="s">
        <v>3025</v>
      </c>
      <c r="AE442">
        <v>-43.576283029999999</v>
      </c>
      <c r="AF442">
        <v>172.55727436000001</v>
      </c>
      <c r="AG442" s="175">
        <v>40</v>
      </c>
      <c r="AH442" s="175">
        <v>0</v>
      </c>
      <c r="AI442" s="175">
        <v>0</v>
      </c>
      <c r="AJ442" s="175">
        <v>0</v>
      </c>
      <c r="AK442" s="175">
        <v>13</v>
      </c>
      <c r="AL442" s="175">
        <v>22</v>
      </c>
      <c r="AM442" s="175">
        <v>23</v>
      </c>
      <c r="AN442" s="175">
        <v>1</v>
      </c>
      <c r="AO442" s="175">
        <v>59</v>
      </c>
      <c r="AP442" s="175">
        <v>47</v>
      </c>
      <c r="AQ442" s="175">
        <v>8</v>
      </c>
      <c r="AR442" s="175">
        <v>2</v>
      </c>
      <c r="AS442" s="175">
        <v>10</v>
      </c>
      <c r="AT442" s="175">
        <v>2</v>
      </c>
    </row>
    <row r="443" spans="1:46">
      <c r="A443">
        <v>5463</v>
      </c>
      <c r="B443" t="s">
        <v>3270</v>
      </c>
      <c r="C443" t="s">
        <v>3271</v>
      </c>
      <c r="D443" t="s">
        <v>3012</v>
      </c>
      <c r="E443" t="s">
        <v>3272</v>
      </c>
      <c r="F443" t="s">
        <v>3106</v>
      </c>
      <c r="G443" t="s">
        <v>3015</v>
      </c>
      <c r="H443" t="s">
        <v>452</v>
      </c>
      <c r="J443" t="s">
        <v>605</v>
      </c>
      <c r="K443" t="s">
        <v>606</v>
      </c>
      <c r="M443" t="s">
        <v>2366</v>
      </c>
      <c r="N443" t="s">
        <v>625</v>
      </c>
      <c r="O443" t="s">
        <v>3016</v>
      </c>
      <c r="P443" t="s">
        <v>739</v>
      </c>
      <c r="Q443" t="s">
        <v>521</v>
      </c>
      <c r="R443" t="s">
        <v>3017</v>
      </c>
      <c r="S443" t="s">
        <v>3092</v>
      </c>
      <c r="T443" t="s">
        <v>2526</v>
      </c>
      <c r="U443">
        <v>321101</v>
      </c>
      <c r="V443" t="s">
        <v>3107</v>
      </c>
      <c r="W443" t="s">
        <v>3093</v>
      </c>
      <c r="X443" t="s">
        <v>3021</v>
      </c>
      <c r="Y443" t="s">
        <v>3022</v>
      </c>
      <c r="Z443" t="s">
        <v>3023</v>
      </c>
      <c r="AA443" t="s">
        <v>3024</v>
      </c>
      <c r="AB443" t="s">
        <v>3025</v>
      </c>
      <c r="AE443">
        <v>-43.54774038</v>
      </c>
      <c r="AF443">
        <v>172.54096268999999</v>
      </c>
      <c r="AG443" s="175">
        <v>40</v>
      </c>
      <c r="AH443" s="175">
        <v>0</v>
      </c>
      <c r="AI443" s="175">
        <v>0</v>
      </c>
      <c r="AJ443" s="175">
        <v>0</v>
      </c>
      <c r="AK443" s="175">
        <v>7</v>
      </c>
      <c r="AL443" s="175">
        <v>12</v>
      </c>
      <c r="AM443" s="175">
        <v>12</v>
      </c>
      <c r="AN443" s="175">
        <v>1</v>
      </c>
      <c r="AO443" s="175">
        <v>32</v>
      </c>
      <c r="AP443" s="175">
        <v>13</v>
      </c>
      <c r="AQ443" s="175">
        <v>9</v>
      </c>
      <c r="AR443" s="175">
        <v>7</v>
      </c>
      <c r="AS443" s="175">
        <v>9</v>
      </c>
      <c r="AT443" s="175">
        <v>1</v>
      </c>
    </row>
    <row r="444" spans="1:46">
      <c r="A444">
        <v>5464</v>
      </c>
      <c r="B444" t="s">
        <v>3273</v>
      </c>
      <c r="C444" t="s">
        <v>3274</v>
      </c>
      <c r="D444" t="s">
        <v>3012</v>
      </c>
      <c r="E444" t="s">
        <v>3275</v>
      </c>
      <c r="F444" t="s">
        <v>802</v>
      </c>
      <c r="G444" t="s">
        <v>3015</v>
      </c>
      <c r="H444" t="s">
        <v>452</v>
      </c>
      <c r="J444" t="s">
        <v>605</v>
      </c>
      <c r="K444" t="s">
        <v>606</v>
      </c>
      <c r="M444" t="s">
        <v>2366</v>
      </c>
      <c r="N444" t="s">
        <v>643</v>
      </c>
      <c r="O444" t="s">
        <v>3016</v>
      </c>
      <c r="P444" t="s">
        <v>739</v>
      </c>
      <c r="Q444" t="s">
        <v>521</v>
      </c>
      <c r="R444" t="s">
        <v>3017</v>
      </c>
      <c r="S444" t="s">
        <v>3046</v>
      </c>
      <c r="T444" t="s">
        <v>2526</v>
      </c>
      <c r="U444">
        <v>327500</v>
      </c>
      <c r="V444" t="s">
        <v>3276</v>
      </c>
      <c r="W444" t="s">
        <v>3199</v>
      </c>
      <c r="X444" t="s">
        <v>3021</v>
      </c>
      <c r="Y444" t="s">
        <v>3022</v>
      </c>
      <c r="Z444" t="s">
        <v>3023</v>
      </c>
      <c r="AA444" t="s">
        <v>3024</v>
      </c>
      <c r="AB444" t="s">
        <v>3025</v>
      </c>
      <c r="AE444">
        <v>-43.505663779999999</v>
      </c>
      <c r="AF444">
        <v>172.68999912999999</v>
      </c>
      <c r="AG444" s="175">
        <v>40</v>
      </c>
      <c r="AH444" s="175">
        <v>0</v>
      </c>
      <c r="AI444" s="175">
        <v>0</v>
      </c>
      <c r="AJ444" s="175">
        <v>0</v>
      </c>
      <c r="AK444" s="175">
        <v>8</v>
      </c>
      <c r="AL444" s="175">
        <v>5</v>
      </c>
      <c r="AM444" s="175">
        <v>6</v>
      </c>
      <c r="AN444" s="175">
        <v>1</v>
      </c>
      <c r="AO444" s="175">
        <v>20</v>
      </c>
      <c r="AP444" s="175">
        <v>14</v>
      </c>
      <c r="AQ444" s="175">
        <v>6</v>
      </c>
      <c r="AR444" s="175">
        <v>1</v>
      </c>
      <c r="AS444" s="175">
        <v>4</v>
      </c>
      <c r="AT444" s="175">
        <v>0</v>
      </c>
    </row>
    <row r="445" spans="1:46">
      <c r="A445">
        <v>5465</v>
      </c>
      <c r="B445" t="s">
        <v>3277</v>
      </c>
      <c r="C445" t="s">
        <v>3278</v>
      </c>
      <c r="D445" t="s">
        <v>3012</v>
      </c>
      <c r="E445" t="s">
        <v>3279</v>
      </c>
      <c r="G445" t="s">
        <v>3280</v>
      </c>
      <c r="H445" t="s">
        <v>452</v>
      </c>
      <c r="J445" t="s">
        <v>605</v>
      </c>
      <c r="K445" t="s">
        <v>606</v>
      </c>
      <c r="M445" t="s">
        <v>2366</v>
      </c>
      <c r="N445" t="s">
        <v>657</v>
      </c>
      <c r="O445" t="s">
        <v>3281</v>
      </c>
      <c r="P445" t="s">
        <v>610</v>
      </c>
      <c r="Q445" t="s">
        <v>521</v>
      </c>
      <c r="R445" t="s">
        <v>3017</v>
      </c>
      <c r="S445" t="s">
        <v>3252</v>
      </c>
      <c r="T445" t="s">
        <v>2526</v>
      </c>
      <c r="U445">
        <v>334700</v>
      </c>
      <c r="V445" t="s">
        <v>3282</v>
      </c>
      <c r="W445" t="s">
        <v>3283</v>
      </c>
      <c r="X445" t="s">
        <v>3021</v>
      </c>
      <c r="Y445" t="s">
        <v>3022</v>
      </c>
      <c r="Z445" t="s">
        <v>3023</v>
      </c>
      <c r="AA445" t="s">
        <v>3024</v>
      </c>
      <c r="AB445" t="s">
        <v>3025</v>
      </c>
      <c r="AC445">
        <v>99206</v>
      </c>
      <c r="AD445" t="s">
        <v>3284</v>
      </c>
      <c r="AE445">
        <v>-43.619428550000002</v>
      </c>
      <c r="AF445">
        <v>172.29820867999999</v>
      </c>
      <c r="AG445" s="175">
        <v>40</v>
      </c>
      <c r="AH445" s="175">
        <v>0</v>
      </c>
      <c r="AI445" s="175">
        <v>0</v>
      </c>
      <c r="AJ445" s="175">
        <v>0</v>
      </c>
      <c r="AK445" s="175">
        <v>8</v>
      </c>
      <c r="AL445" s="175">
        <v>19</v>
      </c>
      <c r="AM445" s="175">
        <v>23</v>
      </c>
      <c r="AN445" s="175">
        <v>0</v>
      </c>
      <c r="AO445" s="175">
        <v>50</v>
      </c>
      <c r="AP445" s="175">
        <v>45</v>
      </c>
      <c r="AQ445" s="175">
        <v>12</v>
      </c>
      <c r="AR445" s="175">
        <v>3</v>
      </c>
      <c r="AS445" s="175">
        <v>1</v>
      </c>
      <c r="AT445" s="175">
        <v>0</v>
      </c>
    </row>
    <row r="446" spans="1:46">
      <c r="A446">
        <v>5466</v>
      </c>
      <c r="B446" t="s">
        <v>3285</v>
      </c>
      <c r="C446" t="s">
        <v>3286</v>
      </c>
      <c r="D446" t="s">
        <v>3287</v>
      </c>
      <c r="E446" t="s">
        <v>3288</v>
      </c>
      <c r="F446" t="s">
        <v>3289</v>
      </c>
      <c r="G446" t="s">
        <v>3290</v>
      </c>
      <c r="H446" t="s">
        <v>452</v>
      </c>
      <c r="J446" t="s">
        <v>605</v>
      </c>
      <c r="K446" t="s">
        <v>606</v>
      </c>
      <c r="M446" t="s">
        <v>2366</v>
      </c>
      <c r="N446" t="s">
        <v>657</v>
      </c>
      <c r="O446" t="s">
        <v>3291</v>
      </c>
      <c r="P446" t="s">
        <v>1347</v>
      </c>
      <c r="Q446" t="s">
        <v>521</v>
      </c>
      <c r="R446" t="s">
        <v>3017</v>
      </c>
      <c r="S446" t="s">
        <v>3292</v>
      </c>
      <c r="T446" t="s">
        <v>2526</v>
      </c>
      <c r="U446">
        <v>337500</v>
      </c>
      <c r="V446" t="s">
        <v>3293</v>
      </c>
      <c r="W446" t="s">
        <v>3294</v>
      </c>
      <c r="X446" t="s">
        <v>3295</v>
      </c>
      <c r="Y446" t="s">
        <v>3296</v>
      </c>
      <c r="Z446" t="s">
        <v>3290</v>
      </c>
      <c r="AA446" t="s">
        <v>3297</v>
      </c>
      <c r="AB446" t="s">
        <v>3298</v>
      </c>
      <c r="AC446">
        <v>99043</v>
      </c>
      <c r="AD446" t="s">
        <v>3299</v>
      </c>
      <c r="AE446">
        <v>-43.887623169999998</v>
      </c>
      <c r="AF446">
        <v>171.74135688999999</v>
      </c>
      <c r="AG446" s="175">
        <v>40</v>
      </c>
      <c r="AH446" s="175">
        <v>0</v>
      </c>
      <c r="AI446" s="175">
        <v>0</v>
      </c>
      <c r="AJ446" s="175">
        <v>0</v>
      </c>
      <c r="AK446" s="175">
        <v>0</v>
      </c>
      <c r="AL446" s="175">
        <v>16</v>
      </c>
      <c r="AM446" s="175">
        <v>25</v>
      </c>
      <c r="AN446" s="175">
        <v>0</v>
      </c>
      <c r="AO446" s="175">
        <v>41</v>
      </c>
      <c r="AP446" s="175">
        <v>24</v>
      </c>
      <c r="AQ446" s="175">
        <v>6</v>
      </c>
      <c r="AR446" s="175">
        <v>15</v>
      </c>
      <c r="AS446" s="175">
        <v>7</v>
      </c>
      <c r="AT446" s="175">
        <v>2</v>
      </c>
    </row>
    <row r="447" spans="1:46">
      <c r="A447">
        <v>5467</v>
      </c>
      <c r="B447" t="s">
        <v>3300</v>
      </c>
      <c r="C447" t="s">
        <v>3301</v>
      </c>
      <c r="D447" t="s">
        <v>3287</v>
      </c>
      <c r="E447" t="s">
        <v>3302</v>
      </c>
      <c r="F447" t="s">
        <v>3303</v>
      </c>
      <c r="G447" t="s">
        <v>3290</v>
      </c>
      <c r="H447" t="s">
        <v>452</v>
      </c>
      <c r="J447" t="s">
        <v>605</v>
      </c>
      <c r="K447" t="s">
        <v>606</v>
      </c>
      <c r="M447" t="s">
        <v>2366</v>
      </c>
      <c r="N447" t="s">
        <v>657</v>
      </c>
      <c r="O447" t="s">
        <v>3291</v>
      </c>
      <c r="P447" t="s">
        <v>1347</v>
      </c>
      <c r="Q447" t="s">
        <v>521</v>
      </c>
      <c r="R447" t="s">
        <v>3017</v>
      </c>
      <c r="S447" t="s">
        <v>3292</v>
      </c>
      <c r="T447" t="s">
        <v>2526</v>
      </c>
      <c r="U447">
        <v>338200</v>
      </c>
      <c r="V447" t="s">
        <v>3304</v>
      </c>
      <c r="W447" t="s">
        <v>3294</v>
      </c>
      <c r="X447" t="s">
        <v>3295</v>
      </c>
      <c r="Y447" t="s">
        <v>3296</v>
      </c>
      <c r="Z447" t="s">
        <v>3290</v>
      </c>
      <c r="AA447" t="s">
        <v>3297</v>
      </c>
      <c r="AB447" t="s">
        <v>3298</v>
      </c>
      <c r="AC447">
        <v>99043</v>
      </c>
      <c r="AD447" t="s">
        <v>3299</v>
      </c>
      <c r="AE447">
        <v>-43.922948099999999</v>
      </c>
      <c r="AF447">
        <v>171.71902097</v>
      </c>
      <c r="AG447" s="175">
        <v>42</v>
      </c>
      <c r="AH447" s="175">
        <v>0</v>
      </c>
      <c r="AI447" s="175">
        <v>0</v>
      </c>
      <c r="AJ447" s="175">
        <v>0</v>
      </c>
      <c r="AK447" s="175">
        <v>4</v>
      </c>
      <c r="AL447" s="175">
        <v>15</v>
      </c>
      <c r="AM447" s="175">
        <v>21</v>
      </c>
      <c r="AN447" s="175">
        <v>0</v>
      </c>
      <c r="AO447" s="175">
        <v>40</v>
      </c>
      <c r="AP447" s="175">
        <v>23</v>
      </c>
      <c r="AQ447" s="175">
        <v>6</v>
      </c>
      <c r="AR447" s="175">
        <v>6</v>
      </c>
      <c r="AS447" s="175">
        <v>4</v>
      </c>
      <c r="AT447" s="175">
        <v>5</v>
      </c>
    </row>
    <row r="448" spans="1:46">
      <c r="A448">
        <v>5468</v>
      </c>
      <c r="B448" t="s">
        <v>3305</v>
      </c>
      <c r="C448" t="s">
        <v>3306</v>
      </c>
      <c r="D448" t="s">
        <v>3287</v>
      </c>
      <c r="E448" t="s">
        <v>3307</v>
      </c>
      <c r="G448" t="s">
        <v>3290</v>
      </c>
      <c r="H448" t="s">
        <v>452</v>
      </c>
      <c r="J448" t="s">
        <v>605</v>
      </c>
      <c r="K448" t="s">
        <v>606</v>
      </c>
      <c r="M448" t="s">
        <v>2366</v>
      </c>
      <c r="N448" t="s">
        <v>625</v>
      </c>
      <c r="O448" t="s">
        <v>3291</v>
      </c>
      <c r="P448" t="s">
        <v>1347</v>
      </c>
      <c r="Q448" t="s">
        <v>521</v>
      </c>
      <c r="R448" t="s">
        <v>3017</v>
      </c>
      <c r="S448" t="s">
        <v>3292</v>
      </c>
      <c r="T448" t="s">
        <v>2526</v>
      </c>
      <c r="U448">
        <v>338501</v>
      </c>
      <c r="V448" t="s">
        <v>3308</v>
      </c>
      <c r="W448" t="s">
        <v>3294</v>
      </c>
      <c r="X448" t="s">
        <v>3295</v>
      </c>
      <c r="Y448" t="s">
        <v>3296</v>
      </c>
      <c r="Z448" t="s">
        <v>3290</v>
      </c>
      <c r="AA448" t="s">
        <v>3297</v>
      </c>
      <c r="AB448" t="s">
        <v>3298</v>
      </c>
      <c r="AC448">
        <v>99043</v>
      </c>
      <c r="AD448" t="s">
        <v>3299</v>
      </c>
      <c r="AE448">
        <v>-43.909943140000003</v>
      </c>
      <c r="AF448">
        <v>171.75849091000001</v>
      </c>
      <c r="AG448" s="175">
        <v>44</v>
      </c>
      <c r="AH448" s="175">
        <v>0</v>
      </c>
      <c r="AI448" s="175">
        <v>0</v>
      </c>
      <c r="AJ448" s="175">
        <v>0</v>
      </c>
      <c r="AK448" s="175">
        <v>6</v>
      </c>
      <c r="AL448" s="175">
        <v>7</v>
      </c>
      <c r="AM448" s="175">
        <v>21</v>
      </c>
      <c r="AN448" s="175">
        <v>0</v>
      </c>
      <c r="AO448" s="175">
        <v>34</v>
      </c>
      <c r="AP448" s="175">
        <v>19</v>
      </c>
      <c r="AQ448" s="175">
        <v>9</v>
      </c>
      <c r="AR448" s="175">
        <v>14</v>
      </c>
      <c r="AS448" s="175">
        <v>0</v>
      </c>
      <c r="AT448" s="175">
        <v>1</v>
      </c>
    </row>
    <row r="449" spans="1:46">
      <c r="A449">
        <v>5469</v>
      </c>
      <c r="B449" t="s">
        <v>3309</v>
      </c>
      <c r="C449" t="s">
        <v>3310</v>
      </c>
      <c r="D449" t="s">
        <v>3287</v>
      </c>
      <c r="E449" t="s">
        <v>3311</v>
      </c>
      <c r="G449" t="s">
        <v>3290</v>
      </c>
      <c r="H449" t="s">
        <v>452</v>
      </c>
      <c r="J449" t="s">
        <v>605</v>
      </c>
      <c r="K449" t="s">
        <v>606</v>
      </c>
      <c r="M449" t="s">
        <v>2366</v>
      </c>
      <c r="N449" t="s">
        <v>608</v>
      </c>
      <c r="O449" t="s">
        <v>3291</v>
      </c>
      <c r="P449" t="s">
        <v>1347</v>
      </c>
      <c r="Q449" t="s">
        <v>521</v>
      </c>
      <c r="R449" t="s">
        <v>3017</v>
      </c>
      <c r="S449" t="s">
        <v>3292</v>
      </c>
      <c r="T449" t="s">
        <v>2526</v>
      </c>
      <c r="U449">
        <v>338401</v>
      </c>
      <c r="V449" t="s">
        <v>3312</v>
      </c>
      <c r="W449" t="s">
        <v>3294</v>
      </c>
      <c r="X449" t="s">
        <v>3295</v>
      </c>
      <c r="Y449" t="s">
        <v>3296</v>
      </c>
      <c r="Z449" t="s">
        <v>3290</v>
      </c>
      <c r="AA449" t="s">
        <v>3297</v>
      </c>
      <c r="AB449" t="s">
        <v>3298</v>
      </c>
      <c r="AC449">
        <v>99043</v>
      </c>
      <c r="AD449" t="s">
        <v>3299</v>
      </c>
      <c r="AE449">
        <v>-43.897736309999999</v>
      </c>
      <c r="AF449">
        <v>171.76770285000001</v>
      </c>
      <c r="AG449" s="175">
        <v>30</v>
      </c>
      <c r="AH449" s="175">
        <v>0</v>
      </c>
      <c r="AI449" s="175">
        <v>0</v>
      </c>
      <c r="AJ449" s="175">
        <v>0</v>
      </c>
      <c r="AK449" s="175">
        <v>3</v>
      </c>
      <c r="AL449" s="175">
        <v>14</v>
      </c>
      <c r="AM449" s="175">
        <v>8</v>
      </c>
      <c r="AN449" s="175">
        <v>1</v>
      </c>
      <c r="AO449" s="175">
        <v>26</v>
      </c>
      <c r="AP449" s="175">
        <v>4</v>
      </c>
      <c r="AQ449" s="175">
        <v>14</v>
      </c>
      <c r="AR449" s="175">
        <v>13</v>
      </c>
      <c r="AS449" s="175">
        <v>5</v>
      </c>
      <c r="AT449" s="175">
        <v>0</v>
      </c>
    </row>
    <row r="450" spans="1:46">
      <c r="A450">
        <v>5470</v>
      </c>
      <c r="B450" t="s">
        <v>3313</v>
      </c>
      <c r="C450" t="s">
        <v>3314</v>
      </c>
      <c r="D450" t="s">
        <v>3287</v>
      </c>
      <c r="E450" t="s">
        <v>3315</v>
      </c>
      <c r="G450" t="s">
        <v>3290</v>
      </c>
      <c r="H450" t="s">
        <v>452</v>
      </c>
      <c r="J450" t="s">
        <v>605</v>
      </c>
      <c r="K450" t="s">
        <v>606</v>
      </c>
      <c r="M450" t="s">
        <v>2366</v>
      </c>
      <c r="N450" t="s">
        <v>643</v>
      </c>
      <c r="O450" t="s">
        <v>3291</v>
      </c>
      <c r="P450" t="s">
        <v>1347</v>
      </c>
      <c r="Q450" t="s">
        <v>521</v>
      </c>
      <c r="R450" t="s">
        <v>3017</v>
      </c>
      <c r="S450" t="s">
        <v>3292</v>
      </c>
      <c r="T450" t="s">
        <v>2526</v>
      </c>
      <c r="U450">
        <v>337800</v>
      </c>
      <c r="V450" t="s">
        <v>3316</v>
      </c>
      <c r="W450" t="s">
        <v>3294</v>
      </c>
      <c r="X450" t="s">
        <v>3295</v>
      </c>
      <c r="Y450" t="s">
        <v>3296</v>
      </c>
      <c r="Z450" t="s">
        <v>3290</v>
      </c>
      <c r="AA450" t="s">
        <v>3297</v>
      </c>
      <c r="AB450" t="s">
        <v>3298</v>
      </c>
      <c r="AC450">
        <v>99043</v>
      </c>
      <c r="AD450" t="s">
        <v>3299</v>
      </c>
      <c r="AE450">
        <v>-43.888593739999997</v>
      </c>
      <c r="AF450">
        <v>171.75707930999999</v>
      </c>
      <c r="AG450" s="175">
        <v>40</v>
      </c>
      <c r="AH450" s="175">
        <v>0</v>
      </c>
      <c r="AI450" s="175">
        <v>0</v>
      </c>
      <c r="AJ450" s="175">
        <v>0</v>
      </c>
      <c r="AK450" s="175">
        <v>0</v>
      </c>
      <c r="AL450" s="175">
        <v>14</v>
      </c>
      <c r="AM450" s="175">
        <v>16</v>
      </c>
      <c r="AN450" s="175">
        <v>1</v>
      </c>
      <c r="AO450" s="175">
        <v>31</v>
      </c>
      <c r="AP450" s="175">
        <v>22</v>
      </c>
      <c r="AQ450" s="175">
        <v>5</v>
      </c>
      <c r="AR450" s="175">
        <v>3</v>
      </c>
      <c r="AS450" s="175">
        <v>5</v>
      </c>
      <c r="AT450" s="175">
        <v>2</v>
      </c>
    </row>
    <row r="451" spans="1:46">
      <c r="A451">
        <v>5471</v>
      </c>
      <c r="B451" t="s">
        <v>3317</v>
      </c>
      <c r="C451" t="s">
        <v>3318</v>
      </c>
      <c r="D451" t="s">
        <v>3319</v>
      </c>
      <c r="E451" t="s">
        <v>3320</v>
      </c>
      <c r="G451" t="s">
        <v>3321</v>
      </c>
      <c r="H451" t="s">
        <v>452</v>
      </c>
      <c r="J451" t="s">
        <v>605</v>
      </c>
      <c r="K451" t="s">
        <v>606</v>
      </c>
      <c r="M451" t="s">
        <v>2366</v>
      </c>
      <c r="N451" t="s">
        <v>657</v>
      </c>
      <c r="O451" t="s">
        <v>3322</v>
      </c>
      <c r="P451" t="s">
        <v>610</v>
      </c>
      <c r="Q451" t="s">
        <v>521</v>
      </c>
      <c r="R451" t="s">
        <v>3017</v>
      </c>
      <c r="S451" t="s">
        <v>3323</v>
      </c>
      <c r="T451" t="s">
        <v>2526</v>
      </c>
      <c r="U451">
        <v>338901</v>
      </c>
      <c r="V451" t="s">
        <v>3321</v>
      </c>
      <c r="W451" t="s">
        <v>3324</v>
      </c>
      <c r="X451" t="s">
        <v>3325</v>
      </c>
      <c r="Y451" t="s">
        <v>3326</v>
      </c>
      <c r="Z451" t="s">
        <v>3321</v>
      </c>
      <c r="AA451" t="s">
        <v>3327</v>
      </c>
      <c r="AB451" t="s">
        <v>3328</v>
      </c>
      <c r="AC451">
        <v>99053</v>
      </c>
      <c r="AD451" t="s">
        <v>3329</v>
      </c>
      <c r="AE451">
        <v>-44.092091279999998</v>
      </c>
      <c r="AF451">
        <v>171.24286667000001</v>
      </c>
      <c r="AG451" s="175">
        <v>50</v>
      </c>
      <c r="AH451" s="175">
        <v>0</v>
      </c>
      <c r="AI451" s="175">
        <v>0</v>
      </c>
      <c r="AJ451" s="175">
        <v>0</v>
      </c>
      <c r="AK451" s="175">
        <v>11</v>
      </c>
      <c r="AL451" s="175">
        <v>23</v>
      </c>
      <c r="AM451" s="175">
        <v>16</v>
      </c>
      <c r="AN451" s="175">
        <v>1</v>
      </c>
      <c r="AO451" s="175">
        <v>51</v>
      </c>
      <c r="AP451" s="175">
        <v>43</v>
      </c>
      <c r="AQ451" s="175">
        <v>7</v>
      </c>
      <c r="AR451" s="175">
        <v>5</v>
      </c>
      <c r="AS451" s="175">
        <v>7</v>
      </c>
      <c r="AT451" s="175">
        <v>4</v>
      </c>
    </row>
    <row r="452" spans="1:46">
      <c r="A452">
        <v>5472</v>
      </c>
      <c r="B452" t="s">
        <v>3330</v>
      </c>
      <c r="C452" t="s">
        <v>3331</v>
      </c>
      <c r="D452" t="s">
        <v>3332</v>
      </c>
      <c r="E452" t="s">
        <v>3333</v>
      </c>
      <c r="G452" t="s">
        <v>3334</v>
      </c>
      <c r="H452" t="s">
        <v>452</v>
      </c>
      <c r="J452" t="s">
        <v>605</v>
      </c>
      <c r="K452" t="s">
        <v>606</v>
      </c>
      <c r="M452" t="s">
        <v>2366</v>
      </c>
      <c r="N452" t="s">
        <v>657</v>
      </c>
      <c r="O452" t="s">
        <v>3322</v>
      </c>
      <c r="P452" t="s">
        <v>1347</v>
      </c>
      <c r="Q452" t="s">
        <v>521</v>
      </c>
      <c r="R452" t="s">
        <v>3017</v>
      </c>
      <c r="S452" t="s">
        <v>3292</v>
      </c>
      <c r="T452" t="s">
        <v>2526</v>
      </c>
      <c r="U452">
        <v>340000</v>
      </c>
      <c r="V452" t="s">
        <v>3335</v>
      </c>
      <c r="W452" t="s">
        <v>3336</v>
      </c>
      <c r="X452" t="s">
        <v>3337</v>
      </c>
      <c r="Y452" t="s">
        <v>3338</v>
      </c>
      <c r="AA452" t="s">
        <v>3339</v>
      </c>
      <c r="AB452" t="s">
        <v>3340</v>
      </c>
      <c r="AC452">
        <v>99174</v>
      </c>
      <c r="AD452" t="s">
        <v>3341</v>
      </c>
      <c r="AE452">
        <v>-44.384098790000003</v>
      </c>
      <c r="AF452">
        <v>171.19181795</v>
      </c>
      <c r="AG452" s="175">
        <v>40</v>
      </c>
      <c r="AH452" s="175">
        <v>0</v>
      </c>
      <c r="AI452" s="175">
        <v>0</v>
      </c>
      <c r="AJ452" s="175">
        <v>0</v>
      </c>
      <c r="AK452" s="175">
        <v>13</v>
      </c>
      <c r="AL452" s="175">
        <v>12</v>
      </c>
      <c r="AM452" s="175">
        <v>15</v>
      </c>
      <c r="AN452" s="175">
        <v>0</v>
      </c>
      <c r="AO452" s="175">
        <v>40</v>
      </c>
      <c r="AP452" s="175">
        <v>36</v>
      </c>
      <c r="AQ452" s="175">
        <v>7</v>
      </c>
      <c r="AR452" s="175">
        <v>3</v>
      </c>
      <c r="AS452" s="175">
        <v>3</v>
      </c>
      <c r="AT452" s="175">
        <v>3</v>
      </c>
    </row>
    <row r="453" spans="1:46">
      <c r="A453">
        <v>5473</v>
      </c>
      <c r="B453" t="s">
        <v>3342</v>
      </c>
      <c r="C453" t="s">
        <v>3343</v>
      </c>
      <c r="E453" t="s">
        <v>3344</v>
      </c>
      <c r="G453" t="s">
        <v>3334</v>
      </c>
      <c r="H453" t="s">
        <v>452</v>
      </c>
      <c r="J453" t="s">
        <v>605</v>
      </c>
      <c r="K453" t="s">
        <v>606</v>
      </c>
      <c r="M453" t="s">
        <v>2366</v>
      </c>
      <c r="N453" t="s">
        <v>643</v>
      </c>
      <c r="O453" t="s">
        <v>3322</v>
      </c>
      <c r="P453" t="s">
        <v>1347</v>
      </c>
      <c r="Q453" t="s">
        <v>521</v>
      </c>
      <c r="R453" t="s">
        <v>3017</v>
      </c>
      <c r="S453" t="s">
        <v>3292</v>
      </c>
      <c r="T453" t="s">
        <v>2526</v>
      </c>
      <c r="U453">
        <v>341400</v>
      </c>
      <c r="V453" t="s">
        <v>3345</v>
      </c>
      <c r="W453" t="s">
        <v>3336</v>
      </c>
      <c r="X453" t="s">
        <v>3337</v>
      </c>
      <c r="Y453" t="s">
        <v>3338</v>
      </c>
      <c r="AA453" t="s">
        <v>3339</v>
      </c>
      <c r="AB453" t="s">
        <v>3340</v>
      </c>
      <c r="AC453">
        <v>99178</v>
      </c>
      <c r="AD453" t="s">
        <v>3346</v>
      </c>
      <c r="AE453">
        <v>-44.408160770000002</v>
      </c>
      <c r="AF453">
        <v>171.24193606</v>
      </c>
      <c r="AG453" s="175">
        <v>42</v>
      </c>
      <c r="AH453" s="175">
        <v>0</v>
      </c>
      <c r="AI453" s="175">
        <v>0</v>
      </c>
      <c r="AJ453" s="175">
        <v>0</v>
      </c>
      <c r="AK453" s="175">
        <v>0</v>
      </c>
      <c r="AL453" s="175">
        <v>13</v>
      </c>
      <c r="AM453" s="175">
        <v>16</v>
      </c>
      <c r="AN453" s="175">
        <v>2</v>
      </c>
      <c r="AO453" s="175">
        <v>31</v>
      </c>
      <c r="AP453" s="175">
        <v>18</v>
      </c>
      <c r="AQ453" s="175">
        <v>7</v>
      </c>
      <c r="AR453" s="175">
        <v>2</v>
      </c>
      <c r="AS453" s="175">
        <v>4</v>
      </c>
      <c r="AT453" s="175">
        <v>10</v>
      </c>
    </row>
    <row r="454" spans="1:46">
      <c r="A454">
        <v>5474</v>
      </c>
      <c r="B454" t="s">
        <v>3347</v>
      </c>
      <c r="C454" t="s">
        <v>3348</v>
      </c>
      <c r="D454" t="s">
        <v>3349</v>
      </c>
      <c r="E454" t="s">
        <v>3350</v>
      </c>
      <c r="G454" t="s">
        <v>3334</v>
      </c>
      <c r="H454" t="s">
        <v>452</v>
      </c>
      <c r="J454" t="s">
        <v>605</v>
      </c>
      <c r="K454" t="s">
        <v>606</v>
      </c>
      <c r="M454" t="s">
        <v>2366</v>
      </c>
      <c r="N454" t="s">
        <v>643</v>
      </c>
      <c r="O454" t="s">
        <v>3322</v>
      </c>
      <c r="P454" t="s">
        <v>1347</v>
      </c>
      <c r="Q454" t="s">
        <v>521</v>
      </c>
      <c r="R454" t="s">
        <v>3017</v>
      </c>
      <c r="S454" t="s">
        <v>3292</v>
      </c>
      <c r="T454" t="s">
        <v>2526</v>
      </c>
      <c r="U454">
        <v>341000</v>
      </c>
      <c r="V454" t="s">
        <v>3351</v>
      </c>
      <c r="W454" t="s">
        <v>3336</v>
      </c>
      <c r="X454" t="s">
        <v>3337</v>
      </c>
      <c r="Y454" t="s">
        <v>3338</v>
      </c>
      <c r="AA454" t="s">
        <v>3339</v>
      </c>
      <c r="AB454" t="s">
        <v>3340</v>
      </c>
      <c r="AC454">
        <v>99178</v>
      </c>
      <c r="AD454" t="s">
        <v>3346</v>
      </c>
      <c r="AE454">
        <v>-44.405865110000001</v>
      </c>
      <c r="AF454">
        <v>171.23207386000001</v>
      </c>
      <c r="AG454" s="175">
        <v>40</v>
      </c>
      <c r="AH454" s="175">
        <v>0</v>
      </c>
      <c r="AI454" s="175">
        <v>0</v>
      </c>
      <c r="AJ454" s="175">
        <v>0</v>
      </c>
      <c r="AK454" s="175">
        <v>2</v>
      </c>
      <c r="AL454" s="175">
        <v>9</v>
      </c>
      <c r="AM454" s="175">
        <v>14</v>
      </c>
      <c r="AN454" s="175">
        <v>2</v>
      </c>
      <c r="AO454" s="175">
        <v>27</v>
      </c>
      <c r="AP454" s="175">
        <v>13</v>
      </c>
      <c r="AQ454" s="175">
        <v>6</v>
      </c>
      <c r="AR454" s="175">
        <v>9</v>
      </c>
      <c r="AS454" s="175">
        <v>3</v>
      </c>
      <c r="AT454" s="175">
        <v>1</v>
      </c>
    </row>
    <row r="455" spans="1:46">
      <c r="A455">
        <v>5475</v>
      </c>
      <c r="B455" t="s">
        <v>3352</v>
      </c>
      <c r="C455" t="s">
        <v>3353</v>
      </c>
      <c r="D455" t="s">
        <v>3354</v>
      </c>
      <c r="E455" t="s">
        <v>3355</v>
      </c>
      <c r="G455" t="s">
        <v>3356</v>
      </c>
      <c r="H455" t="s">
        <v>452</v>
      </c>
      <c r="J455" t="s">
        <v>605</v>
      </c>
      <c r="K455" t="s">
        <v>606</v>
      </c>
      <c r="M455" t="s">
        <v>2366</v>
      </c>
      <c r="N455" t="s">
        <v>657</v>
      </c>
      <c r="O455" t="s">
        <v>3357</v>
      </c>
      <c r="P455" t="s">
        <v>626</v>
      </c>
      <c r="Q455" t="s">
        <v>521</v>
      </c>
      <c r="R455" t="s">
        <v>3017</v>
      </c>
      <c r="S455" t="s">
        <v>3323</v>
      </c>
      <c r="T455" t="s">
        <v>2526</v>
      </c>
      <c r="U455">
        <v>342000</v>
      </c>
      <c r="V455" t="s">
        <v>3356</v>
      </c>
      <c r="W455" t="s">
        <v>3358</v>
      </c>
      <c r="X455" t="s">
        <v>3337</v>
      </c>
      <c r="Y455" t="s">
        <v>3338</v>
      </c>
      <c r="AA455" t="s">
        <v>3339</v>
      </c>
      <c r="AB455" t="s">
        <v>3340</v>
      </c>
      <c r="AC455">
        <v>99143</v>
      </c>
      <c r="AD455" t="s">
        <v>3359</v>
      </c>
      <c r="AE455">
        <v>-44.096784100000001</v>
      </c>
      <c r="AF455">
        <v>170.82339639</v>
      </c>
      <c r="AG455" s="175">
        <v>40</v>
      </c>
      <c r="AH455" s="175">
        <v>0</v>
      </c>
      <c r="AI455" s="175">
        <v>0</v>
      </c>
      <c r="AJ455" s="175">
        <v>0</v>
      </c>
      <c r="AK455" s="175">
        <v>3</v>
      </c>
      <c r="AL455" s="175">
        <v>11</v>
      </c>
      <c r="AM455" s="175">
        <v>17</v>
      </c>
      <c r="AN455" s="175">
        <v>0</v>
      </c>
      <c r="AO455" s="175">
        <v>31</v>
      </c>
      <c r="AP455" s="175">
        <v>30</v>
      </c>
      <c r="AQ455" s="175">
        <v>3</v>
      </c>
      <c r="AR455" s="175">
        <v>0</v>
      </c>
      <c r="AS455" s="175">
        <v>1</v>
      </c>
      <c r="AT455" s="175">
        <v>1</v>
      </c>
    </row>
    <row r="456" spans="1:46">
      <c r="A456">
        <v>5476</v>
      </c>
      <c r="B456" t="s">
        <v>3360</v>
      </c>
      <c r="C456" t="s">
        <v>3361</v>
      </c>
      <c r="D456" t="s">
        <v>3362</v>
      </c>
      <c r="E456" t="s">
        <v>3363</v>
      </c>
      <c r="G456" t="s">
        <v>3334</v>
      </c>
      <c r="H456" t="s">
        <v>452</v>
      </c>
      <c r="J456" t="s">
        <v>605</v>
      </c>
      <c r="K456" t="s">
        <v>606</v>
      </c>
      <c r="M456" t="s">
        <v>2366</v>
      </c>
      <c r="N456" t="s">
        <v>643</v>
      </c>
      <c r="O456" t="s">
        <v>3322</v>
      </c>
      <c r="P456" t="s">
        <v>1347</v>
      </c>
      <c r="Q456" t="s">
        <v>521</v>
      </c>
      <c r="R456" t="s">
        <v>3017</v>
      </c>
      <c r="S456" t="s">
        <v>3292</v>
      </c>
      <c r="T456" t="s">
        <v>2526</v>
      </c>
      <c r="U456">
        <v>340300</v>
      </c>
      <c r="V456" t="s">
        <v>3364</v>
      </c>
      <c r="W456" t="s">
        <v>3336</v>
      </c>
      <c r="X456" t="s">
        <v>3337</v>
      </c>
      <c r="Y456" t="s">
        <v>3338</v>
      </c>
      <c r="AA456" t="s">
        <v>3339</v>
      </c>
      <c r="AB456" t="s">
        <v>3340</v>
      </c>
      <c r="AC456">
        <v>99174</v>
      </c>
      <c r="AD456" t="s">
        <v>3341</v>
      </c>
      <c r="AE456">
        <v>-44.378824369999997</v>
      </c>
      <c r="AF456">
        <v>171.22971709999999</v>
      </c>
      <c r="AG456" s="175">
        <v>37</v>
      </c>
      <c r="AH456" s="175">
        <v>6</v>
      </c>
      <c r="AI456" s="175">
        <v>0</v>
      </c>
      <c r="AJ456" s="175">
        <v>8</v>
      </c>
      <c r="AK456" s="175">
        <v>7</v>
      </c>
      <c r="AL456" s="175">
        <v>16</v>
      </c>
      <c r="AM456" s="175">
        <v>9</v>
      </c>
      <c r="AN456" s="175">
        <v>0</v>
      </c>
      <c r="AO456" s="175">
        <v>40</v>
      </c>
      <c r="AP456" s="175">
        <v>36</v>
      </c>
      <c r="AQ456" s="175">
        <v>8</v>
      </c>
      <c r="AR456" s="175">
        <v>5</v>
      </c>
      <c r="AS456" s="175">
        <v>1</v>
      </c>
      <c r="AT456" s="175">
        <v>1</v>
      </c>
    </row>
    <row r="457" spans="1:46">
      <c r="A457">
        <v>5477</v>
      </c>
      <c r="B457" t="s">
        <v>3365</v>
      </c>
      <c r="C457" t="s">
        <v>3366</v>
      </c>
      <c r="D457" t="s">
        <v>3367</v>
      </c>
      <c r="E457" t="s">
        <v>3368</v>
      </c>
      <c r="G457" t="s">
        <v>3369</v>
      </c>
      <c r="H457" t="s">
        <v>452</v>
      </c>
      <c r="J457" t="s">
        <v>605</v>
      </c>
      <c r="K457" t="s">
        <v>606</v>
      </c>
      <c r="M457" t="s">
        <v>2366</v>
      </c>
      <c r="N457" t="s">
        <v>657</v>
      </c>
      <c r="O457" t="s">
        <v>3322</v>
      </c>
      <c r="P457" t="s">
        <v>610</v>
      </c>
      <c r="Q457" t="s">
        <v>521</v>
      </c>
      <c r="R457" t="s">
        <v>3017</v>
      </c>
      <c r="S457" t="s">
        <v>3292</v>
      </c>
      <c r="T457" t="s">
        <v>2526</v>
      </c>
      <c r="U457">
        <v>339300</v>
      </c>
      <c r="V457" t="s">
        <v>3370</v>
      </c>
      <c r="W457" t="s">
        <v>3371</v>
      </c>
      <c r="X457" t="s">
        <v>3337</v>
      </c>
      <c r="Y457" t="s">
        <v>3338</v>
      </c>
      <c r="AA457" t="s">
        <v>3339</v>
      </c>
      <c r="AB457" t="s">
        <v>3340</v>
      </c>
      <c r="AC457">
        <v>99174</v>
      </c>
      <c r="AD457" t="s">
        <v>3341</v>
      </c>
      <c r="AE457">
        <v>-44.234365660000002</v>
      </c>
      <c r="AF457">
        <v>171.27744810999999</v>
      </c>
      <c r="AG457" s="175">
        <v>33</v>
      </c>
      <c r="AH457" s="175">
        <v>0</v>
      </c>
      <c r="AI457" s="175">
        <v>0</v>
      </c>
      <c r="AJ457" s="175">
        <v>0</v>
      </c>
      <c r="AK457" s="175">
        <v>4</v>
      </c>
      <c r="AL457" s="175">
        <v>5</v>
      </c>
      <c r="AM457" s="175">
        <v>8</v>
      </c>
      <c r="AN457" s="175">
        <v>0</v>
      </c>
      <c r="AO457" s="175">
        <v>17</v>
      </c>
      <c r="AP457" s="175">
        <v>11</v>
      </c>
      <c r="AQ457" s="175">
        <v>2</v>
      </c>
      <c r="AR457" s="175">
        <v>0</v>
      </c>
      <c r="AS457" s="175">
        <v>2</v>
      </c>
      <c r="AT457" s="175">
        <v>3</v>
      </c>
    </row>
    <row r="458" spans="1:46">
      <c r="A458">
        <v>5478</v>
      </c>
      <c r="B458" t="s">
        <v>3372</v>
      </c>
      <c r="C458" t="s">
        <v>3373</v>
      </c>
      <c r="E458" t="s">
        <v>3374</v>
      </c>
      <c r="G458" t="s">
        <v>3369</v>
      </c>
      <c r="H458" t="s">
        <v>452</v>
      </c>
      <c r="J458" t="s">
        <v>605</v>
      </c>
      <c r="K458" t="s">
        <v>606</v>
      </c>
      <c r="M458" t="s">
        <v>2366</v>
      </c>
      <c r="N458" t="s">
        <v>657</v>
      </c>
      <c r="O458" t="s">
        <v>3322</v>
      </c>
      <c r="P458" t="s">
        <v>610</v>
      </c>
      <c r="Q458" t="s">
        <v>521</v>
      </c>
      <c r="R458" t="s">
        <v>3017</v>
      </c>
      <c r="S458" t="s">
        <v>3292</v>
      </c>
      <c r="T458" t="s">
        <v>2526</v>
      </c>
      <c r="U458">
        <v>339300</v>
      </c>
      <c r="V458" t="s">
        <v>3370</v>
      </c>
      <c r="W458" t="s">
        <v>3371</v>
      </c>
      <c r="X458" t="s">
        <v>3337</v>
      </c>
      <c r="Y458" t="s">
        <v>3338</v>
      </c>
      <c r="AA458" t="s">
        <v>3339</v>
      </c>
      <c r="AB458" t="s">
        <v>3340</v>
      </c>
      <c r="AC458">
        <v>99174</v>
      </c>
      <c r="AD458" t="s">
        <v>3341</v>
      </c>
      <c r="AE458">
        <v>-44.24369617</v>
      </c>
      <c r="AF458">
        <v>171.28235867999999</v>
      </c>
      <c r="AG458" s="175">
        <v>30</v>
      </c>
      <c r="AH458" s="175">
        <v>0</v>
      </c>
      <c r="AI458" s="175">
        <v>0</v>
      </c>
      <c r="AJ458" s="175">
        <v>0</v>
      </c>
      <c r="AK458" s="175">
        <v>6</v>
      </c>
      <c r="AL458" s="175">
        <v>9</v>
      </c>
      <c r="AM458" s="175">
        <v>18</v>
      </c>
      <c r="AN458" s="175">
        <v>0</v>
      </c>
      <c r="AO458" s="175">
        <v>33</v>
      </c>
      <c r="AP458" s="175">
        <v>24</v>
      </c>
      <c r="AQ458" s="175">
        <v>8</v>
      </c>
      <c r="AR458" s="175">
        <v>4</v>
      </c>
      <c r="AS458" s="175">
        <v>3</v>
      </c>
      <c r="AT458" s="175">
        <v>1</v>
      </c>
    </row>
    <row r="459" spans="1:46">
      <c r="A459">
        <v>5479</v>
      </c>
      <c r="B459" t="s">
        <v>3375</v>
      </c>
      <c r="C459" t="s">
        <v>3376</v>
      </c>
      <c r="D459" t="s">
        <v>3377</v>
      </c>
      <c r="E459" t="s">
        <v>3378</v>
      </c>
      <c r="G459" t="s">
        <v>3379</v>
      </c>
      <c r="H459" t="s">
        <v>452</v>
      </c>
      <c r="J459" t="s">
        <v>605</v>
      </c>
      <c r="K459" t="s">
        <v>606</v>
      </c>
      <c r="M459" t="s">
        <v>2366</v>
      </c>
      <c r="N459" t="s">
        <v>657</v>
      </c>
      <c r="O459" t="s">
        <v>3357</v>
      </c>
      <c r="P459" t="s">
        <v>610</v>
      </c>
      <c r="Q459" t="s">
        <v>521</v>
      </c>
      <c r="R459" t="s">
        <v>3017</v>
      </c>
      <c r="S459" t="s">
        <v>3323</v>
      </c>
      <c r="T459" t="s">
        <v>2526</v>
      </c>
      <c r="U459">
        <v>341801</v>
      </c>
      <c r="V459" t="s">
        <v>3379</v>
      </c>
      <c r="W459" t="s">
        <v>3380</v>
      </c>
      <c r="X459" t="s">
        <v>3337</v>
      </c>
      <c r="Y459" t="s">
        <v>3338</v>
      </c>
      <c r="AA459" t="s">
        <v>3339</v>
      </c>
      <c r="AB459" t="s">
        <v>3340</v>
      </c>
      <c r="AE459">
        <v>-44.252961489999997</v>
      </c>
      <c r="AF459">
        <v>170.09757193999999</v>
      </c>
      <c r="AG459" s="175">
        <v>35</v>
      </c>
      <c r="AH459" s="175">
        <v>0</v>
      </c>
      <c r="AI459" s="175">
        <v>0</v>
      </c>
      <c r="AJ459" s="175">
        <v>0</v>
      </c>
      <c r="AK459" s="175">
        <v>3</v>
      </c>
      <c r="AL459" s="175">
        <v>6</v>
      </c>
      <c r="AM459" s="175">
        <v>12</v>
      </c>
      <c r="AN459" s="175">
        <v>2</v>
      </c>
      <c r="AO459" s="175">
        <v>23</v>
      </c>
      <c r="AP459" s="175">
        <v>22</v>
      </c>
      <c r="AQ459" s="175">
        <v>4</v>
      </c>
      <c r="AR459" s="175">
        <v>0</v>
      </c>
      <c r="AS459" s="175">
        <v>1</v>
      </c>
      <c r="AT459" s="175">
        <v>1</v>
      </c>
    </row>
    <row r="460" spans="1:46">
      <c r="A460">
        <v>5480</v>
      </c>
      <c r="B460" t="s">
        <v>3381</v>
      </c>
      <c r="C460" t="s">
        <v>3382</v>
      </c>
      <c r="D460" t="s">
        <v>3383</v>
      </c>
      <c r="E460" t="s">
        <v>3384</v>
      </c>
      <c r="G460" t="s">
        <v>3334</v>
      </c>
      <c r="H460" t="s">
        <v>452</v>
      </c>
      <c r="J460" t="s">
        <v>605</v>
      </c>
      <c r="K460" t="s">
        <v>606</v>
      </c>
      <c r="M460" t="s">
        <v>2366</v>
      </c>
      <c r="N460" t="s">
        <v>657</v>
      </c>
      <c r="O460" t="s">
        <v>3322</v>
      </c>
      <c r="P460" t="s">
        <v>1347</v>
      </c>
      <c r="Q460" t="s">
        <v>521</v>
      </c>
      <c r="R460" t="s">
        <v>3017</v>
      </c>
      <c r="S460" t="s">
        <v>3292</v>
      </c>
      <c r="T460" t="s">
        <v>2526</v>
      </c>
      <c r="U460">
        <v>340601</v>
      </c>
      <c r="V460" t="s">
        <v>3385</v>
      </c>
      <c r="W460" t="s">
        <v>3336</v>
      </c>
      <c r="X460" t="s">
        <v>3337</v>
      </c>
      <c r="Y460" t="s">
        <v>3338</v>
      </c>
      <c r="AA460" t="s">
        <v>3339</v>
      </c>
      <c r="AB460" t="s">
        <v>3340</v>
      </c>
      <c r="AC460">
        <v>99174</v>
      </c>
      <c r="AD460" t="s">
        <v>3341</v>
      </c>
      <c r="AE460">
        <v>-44.384946069999998</v>
      </c>
      <c r="AF460">
        <v>171.24009136000001</v>
      </c>
      <c r="AG460" s="175">
        <v>38</v>
      </c>
      <c r="AH460" s="175">
        <v>0</v>
      </c>
      <c r="AI460" s="175">
        <v>0</v>
      </c>
      <c r="AJ460" s="175">
        <v>0</v>
      </c>
      <c r="AK460" s="175">
        <v>2</v>
      </c>
      <c r="AL460" s="175">
        <v>11</v>
      </c>
      <c r="AM460" s="175">
        <v>18</v>
      </c>
      <c r="AN460" s="175">
        <v>1</v>
      </c>
      <c r="AO460" s="175">
        <v>32</v>
      </c>
      <c r="AP460" s="175">
        <v>22</v>
      </c>
      <c r="AQ460" s="175">
        <v>10</v>
      </c>
      <c r="AR460" s="175">
        <v>2</v>
      </c>
      <c r="AS460" s="175">
        <v>7</v>
      </c>
      <c r="AT460" s="175">
        <v>0</v>
      </c>
    </row>
    <row r="461" spans="1:46">
      <c r="A461">
        <v>5481</v>
      </c>
      <c r="B461" t="s">
        <v>3386</v>
      </c>
      <c r="C461" t="s">
        <v>3387</v>
      </c>
      <c r="D461" t="s">
        <v>3388</v>
      </c>
      <c r="E461" t="s">
        <v>3389</v>
      </c>
      <c r="G461" t="s">
        <v>3334</v>
      </c>
      <c r="H461" t="s">
        <v>452</v>
      </c>
      <c r="J461" t="s">
        <v>605</v>
      </c>
      <c r="K461" t="s">
        <v>606</v>
      </c>
      <c r="M461" t="s">
        <v>2366</v>
      </c>
      <c r="N461" t="s">
        <v>657</v>
      </c>
      <c r="O461" t="s">
        <v>3322</v>
      </c>
      <c r="P461" t="s">
        <v>1347</v>
      </c>
      <c r="Q461" t="s">
        <v>521</v>
      </c>
      <c r="R461" t="s">
        <v>3017</v>
      </c>
      <c r="S461" t="s">
        <v>3292</v>
      </c>
      <c r="T461" t="s">
        <v>2526</v>
      </c>
      <c r="U461">
        <v>340500</v>
      </c>
      <c r="V461" t="s">
        <v>3390</v>
      </c>
      <c r="W461" t="s">
        <v>3336</v>
      </c>
      <c r="X461" t="s">
        <v>3337</v>
      </c>
      <c r="Y461" t="s">
        <v>3338</v>
      </c>
      <c r="AA461" t="s">
        <v>3339</v>
      </c>
      <c r="AB461" t="s">
        <v>3340</v>
      </c>
      <c r="AC461">
        <v>99174</v>
      </c>
      <c r="AD461" t="s">
        <v>3341</v>
      </c>
      <c r="AE461">
        <v>-44.391075989999997</v>
      </c>
      <c r="AF461">
        <v>171.22484381999999</v>
      </c>
      <c r="AG461" s="175">
        <v>52</v>
      </c>
      <c r="AH461" s="175">
        <v>12</v>
      </c>
      <c r="AI461" s="175">
        <v>2</v>
      </c>
      <c r="AJ461" s="175">
        <v>12</v>
      </c>
      <c r="AK461" s="175">
        <v>18</v>
      </c>
      <c r="AL461" s="175">
        <v>18</v>
      </c>
      <c r="AM461" s="175">
        <v>14</v>
      </c>
      <c r="AN461" s="175">
        <v>0</v>
      </c>
      <c r="AO461" s="175">
        <v>64</v>
      </c>
      <c r="AP461" s="175">
        <v>59</v>
      </c>
      <c r="AQ461" s="175">
        <v>14</v>
      </c>
      <c r="AR461" s="175">
        <v>1</v>
      </c>
      <c r="AS461" s="175">
        <v>2</v>
      </c>
      <c r="AT461" s="175">
        <v>0</v>
      </c>
    </row>
    <row r="462" spans="1:46">
      <c r="A462">
        <v>5482</v>
      </c>
      <c r="B462" t="s">
        <v>3391</v>
      </c>
      <c r="C462" t="s">
        <v>3392</v>
      </c>
      <c r="D462" t="s">
        <v>3393</v>
      </c>
      <c r="E462" t="s">
        <v>3394</v>
      </c>
      <c r="G462" t="s">
        <v>3395</v>
      </c>
      <c r="H462" t="s">
        <v>452</v>
      </c>
      <c r="J462" t="s">
        <v>605</v>
      </c>
      <c r="K462" t="s">
        <v>606</v>
      </c>
      <c r="M462" t="s">
        <v>2366</v>
      </c>
      <c r="N462" t="s">
        <v>657</v>
      </c>
      <c r="O462" t="s">
        <v>3396</v>
      </c>
      <c r="P462" t="s">
        <v>658</v>
      </c>
      <c r="Q462" t="s">
        <v>521</v>
      </c>
      <c r="R462" t="s">
        <v>3017</v>
      </c>
      <c r="S462" t="s">
        <v>3323</v>
      </c>
      <c r="T462" t="s">
        <v>2526</v>
      </c>
      <c r="U462">
        <v>342200</v>
      </c>
      <c r="V462" t="s">
        <v>3397</v>
      </c>
      <c r="W462" t="s">
        <v>3398</v>
      </c>
      <c r="X462" t="s">
        <v>3399</v>
      </c>
      <c r="Y462" t="s">
        <v>3400</v>
      </c>
      <c r="AA462" t="s">
        <v>3401</v>
      </c>
      <c r="AB462" t="s">
        <v>3402</v>
      </c>
      <c r="AC462">
        <v>99040</v>
      </c>
      <c r="AD462" t="s">
        <v>3403</v>
      </c>
      <c r="AE462">
        <v>-44.527002899999999</v>
      </c>
      <c r="AF462">
        <v>171.08157739000001</v>
      </c>
      <c r="AG462" s="175">
        <v>22</v>
      </c>
      <c r="AH462" s="175">
        <v>0</v>
      </c>
      <c r="AI462" s="175">
        <v>0</v>
      </c>
      <c r="AJ462" s="175">
        <v>0</v>
      </c>
      <c r="AK462" s="175">
        <v>9</v>
      </c>
      <c r="AL462" s="175">
        <v>6</v>
      </c>
      <c r="AM462" s="175">
        <v>10</v>
      </c>
      <c r="AN462" s="175">
        <v>1</v>
      </c>
      <c r="AO462" s="175">
        <v>26</v>
      </c>
      <c r="AP462" s="175">
        <v>25</v>
      </c>
      <c r="AQ462" s="175">
        <v>3</v>
      </c>
      <c r="AR462" s="175">
        <v>0</v>
      </c>
      <c r="AS462" s="175">
        <v>1</v>
      </c>
      <c r="AT462" s="175">
        <v>1</v>
      </c>
    </row>
    <row r="463" spans="1:46">
      <c r="A463">
        <v>5483</v>
      </c>
      <c r="B463" t="s">
        <v>3404</v>
      </c>
      <c r="C463" t="s">
        <v>3405</v>
      </c>
      <c r="D463" t="s">
        <v>3406</v>
      </c>
      <c r="E463" t="s">
        <v>3407</v>
      </c>
      <c r="G463" t="s">
        <v>3408</v>
      </c>
      <c r="H463" t="s">
        <v>452</v>
      </c>
      <c r="J463" t="s">
        <v>605</v>
      </c>
      <c r="K463" t="s">
        <v>606</v>
      </c>
      <c r="M463" t="s">
        <v>2366</v>
      </c>
      <c r="N463" t="s">
        <v>625</v>
      </c>
      <c r="O463" t="s">
        <v>3409</v>
      </c>
      <c r="P463" t="s">
        <v>1347</v>
      </c>
      <c r="Q463" t="s">
        <v>522</v>
      </c>
      <c r="R463" t="s">
        <v>3410</v>
      </c>
      <c r="S463" t="s">
        <v>3323</v>
      </c>
      <c r="T463" t="s">
        <v>2526</v>
      </c>
      <c r="U463">
        <v>344000</v>
      </c>
      <c r="V463" t="s">
        <v>3411</v>
      </c>
      <c r="W463" t="s">
        <v>3412</v>
      </c>
      <c r="X463" t="s">
        <v>3413</v>
      </c>
      <c r="Y463" t="s">
        <v>3414</v>
      </c>
      <c r="AA463" t="s">
        <v>3415</v>
      </c>
      <c r="AB463" t="s">
        <v>3416</v>
      </c>
      <c r="AE463">
        <v>-45.077913610000003</v>
      </c>
      <c r="AF463">
        <v>170.98387665000001</v>
      </c>
      <c r="AG463" s="175">
        <v>30</v>
      </c>
      <c r="AH463" s="175">
        <v>0</v>
      </c>
      <c r="AI463" s="175">
        <v>0</v>
      </c>
      <c r="AJ463" s="175">
        <v>0</v>
      </c>
      <c r="AK463" s="175">
        <v>0</v>
      </c>
      <c r="AL463" s="175">
        <v>16</v>
      </c>
      <c r="AM463" s="175">
        <v>25</v>
      </c>
      <c r="AN463" s="175">
        <v>2</v>
      </c>
      <c r="AO463" s="175">
        <v>43</v>
      </c>
      <c r="AP463" s="175">
        <v>21</v>
      </c>
      <c r="AQ463" s="175">
        <v>4</v>
      </c>
      <c r="AR463" s="175">
        <v>16</v>
      </c>
      <c r="AS463" s="175">
        <v>5</v>
      </c>
      <c r="AT463" s="175">
        <v>2</v>
      </c>
    </row>
    <row r="464" spans="1:46">
      <c r="A464">
        <v>5484</v>
      </c>
      <c r="B464" t="s">
        <v>3417</v>
      </c>
      <c r="C464" t="s">
        <v>3418</v>
      </c>
      <c r="D464" t="s">
        <v>3419</v>
      </c>
      <c r="E464" t="s">
        <v>3420</v>
      </c>
      <c r="G464" t="s">
        <v>3408</v>
      </c>
      <c r="H464" t="s">
        <v>452</v>
      </c>
      <c r="J464" t="s">
        <v>605</v>
      </c>
      <c r="K464" t="s">
        <v>606</v>
      </c>
      <c r="M464" t="s">
        <v>2366</v>
      </c>
      <c r="N464" t="s">
        <v>657</v>
      </c>
      <c r="O464" t="s">
        <v>3409</v>
      </c>
      <c r="P464" t="s">
        <v>1347</v>
      </c>
      <c r="Q464" t="s">
        <v>522</v>
      </c>
      <c r="R464" t="s">
        <v>3410</v>
      </c>
      <c r="S464" t="s">
        <v>3323</v>
      </c>
      <c r="T464" t="s">
        <v>2526</v>
      </c>
      <c r="U464">
        <v>344300</v>
      </c>
      <c r="V464" t="s">
        <v>3421</v>
      </c>
      <c r="W464" t="s">
        <v>3412</v>
      </c>
      <c r="X464" t="s">
        <v>3413</v>
      </c>
      <c r="Y464" t="s">
        <v>3414</v>
      </c>
      <c r="AA464" t="s">
        <v>3415</v>
      </c>
      <c r="AB464" t="s">
        <v>3416</v>
      </c>
      <c r="AE464">
        <v>-45.105576540000001</v>
      </c>
      <c r="AF464">
        <v>170.94556213000001</v>
      </c>
      <c r="AG464" s="175">
        <v>39</v>
      </c>
      <c r="AH464" s="175">
        <v>0</v>
      </c>
      <c r="AI464" s="175">
        <v>0</v>
      </c>
      <c r="AJ464" s="175">
        <v>0</v>
      </c>
      <c r="AK464" s="175">
        <v>8</v>
      </c>
      <c r="AL464" s="175">
        <v>14</v>
      </c>
      <c r="AM464" s="175">
        <v>28</v>
      </c>
      <c r="AN464" s="175">
        <v>3</v>
      </c>
      <c r="AO464" s="175">
        <v>53</v>
      </c>
      <c r="AP464" s="175">
        <v>46</v>
      </c>
      <c r="AQ464" s="175">
        <v>10</v>
      </c>
      <c r="AR464" s="175">
        <v>5</v>
      </c>
      <c r="AS464" s="175">
        <v>3</v>
      </c>
      <c r="AT464" s="175">
        <v>0</v>
      </c>
    </row>
    <row r="465" spans="1:46">
      <c r="A465">
        <v>5485</v>
      </c>
      <c r="B465" t="s">
        <v>3422</v>
      </c>
      <c r="C465" t="s">
        <v>3423</v>
      </c>
      <c r="D465" t="s">
        <v>3424</v>
      </c>
      <c r="E465" t="s">
        <v>3425</v>
      </c>
      <c r="G465" t="s">
        <v>3408</v>
      </c>
      <c r="H465" t="s">
        <v>452</v>
      </c>
      <c r="J465" t="s">
        <v>605</v>
      </c>
      <c r="K465" t="s">
        <v>606</v>
      </c>
      <c r="M465" t="s">
        <v>2366</v>
      </c>
      <c r="N465" t="s">
        <v>625</v>
      </c>
      <c r="O465" t="s">
        <v>3409</v>
      </c>
      <c r="P465" t="s">
        <v>1347</v>
      </c>
      <c r="Q465" t="s">
        <v>522</v>
      </c>
      <c r="R465" t="s">
        <v>3410</v>
      </c>
      <c r="S465" t="s">
        <v>3323</v>
      </c>
      <c r="T465" t="s">
        <v>2526</v>
      </c>
      <c r="U465">
        <v>344500</v>
      </c>
      <c r="V465" t="s">
        <v>3426</v>
      </c>
      <c r="W465" t="s">
        <v>3412</v>
      </c>
      <c r="X465" t="s">
        <v>3413</v>
      </c>
      <c r="Y465" t="s">
        <v>3414</v>
      </c>
      <c r="AA465" t="s">
        <v>3415</v>
      </c>
      <c r="AB465" t="s">
        <v>3416</v>
      </c>
      <c r="AE465">
        <v>-45.105914470000002</v>
      </c>
      <c r="AF465">
        <v>170.96557308000001</v>
      </c>
      <c r="AG465" s="175">
        <v>40</v>
      </c>
      <c r="AH465" s="175">
        <v>0</v>
      </c>
      <c r="AI465" s="175">
        <v>0</v>
      </c>
      <c r="AJ465" s="175">
        <v>0</v>
      </c>
      <c r="AK465" s="175">
        <v>8</v>
      </c>
      <c r="AL465" s="175">
        <v>18</v>
      </c>
      <c r="AM465" s="175">
        <v>24</v>
      </c>
      <c r="AN465" s="175">
        <v>0</v>
      </c>
      <c r="AO465" s="175">
        <v>50</v>
      </c>
      <c r="AP465" s="175">
        <v>42</v>
      </c>
      <c r="AQ465" s="175">
        <v>13</v>
      </c>
      <c r="AR465" s="175">
        <v>1</v>
      </c>
      <c r="AS465" s="175">
        <v>2</v>
      </c>
      <c r="AT465" s="175">
        <v>1</v>
      </c>
    </row>
    <row r="466" spans="1:46">
      <c r="A466">
        <v>5486</v>
      </c>
      <c r="B466" t="s">
        <v>3427</v>
      </c>
      <c r="C466" t="s">
        <v>3428</v>
      </c>
      <c r="D466" t="s">
        <v>3429</v>
      </c>
      <c r="E466" t="s">
        <v>3430</v>
      </c>
      <c r="G466" t="s">
        <v>3431</v>
      </c>
      <c r="H466" t="s">
        <v>452</v>
      </c>
      <c r="J466" t="s">
        <v>605</v>
      </c>
      <c r="K466" t="s">
        <v>606</v>
      </c>
      <c r="M466" t="s">
        <v>2366</v>
      </c>
      <c r="N466" t="s">
        <v>657</v>
      </c>
      <c r="O466" t="s">
        <v>3432</v>
      </c>
      <c r="P466" t="s">
        <v>610</v>
      </c>
      <c r="Q466" t="s">
        <v>522</v>
      </c>
      <c r="R466" t="s">
        <v>3410</v>
      </c>
      <c r="S466" t="s">
        <v>3433</v>
      </c>
      <c r="T466" t="s">
        <v>2526</v>
      </c>
      <c r="U466">
        <v>345600</v>
      </c>
      <c r="V466" t="s">
        <v>3434</v>
      </c>
      <c r="W466" t="s">
        <v>3435</v>
      </c>
      <c r="X466" t="s">
        <v>3021</v>
      </c>
      <c r="Y466" t="s">
        <v>3022</v>
      </c>
      <c r="Z466" t="s">
        <v>3023</v>
      </c>
      <c r="AA466" t="s">
        <v>3024</v>
      </c>
      <c r="AB466" t="s">
        <v>3025</v>
      </c>
      <c r="AC466">
        <v>99049</v>
      </c>
      <c r="AD466" t="s">
        <v>3436</v>
      </c>
      <c r="AE466">
        <v>-45.255102129999997</v>
      </c>
      <c r="AF466">
        <v>169.39053168000001</v>
      </c>
      <c r="AG466" s="175">
        <v>40</v>
      </c>
      <c r="AH466" s="175">
        <v>0</v>
      </c>
      <c r="AI466" s="175">
        <v>0</v>
      </c>
      <c r="AJ466" s="175">
        <v>0</v>
      </c>
      <c r="AK466" s="175">
        <v>14</v>
      </c>
      <c r="AL466" s="175">
        <v>17</v>
      </c>
      <c r="AM466" s="175">
        <v>22</v>
      </c>
      <c r="AN466" s="175">
        <v>0</v>
      </c>
      <c r="AO466" s="175">
        <v>53</v>
      </c>
      <c r="AP466" s="175">
        <v>49</v>
      </c>
      <c r="AQ466" s="175">
        <v>4</v>
      </c>
      <c r="AR466" s="175">
        <v>2</v>
      </c>
      <c r="AS466" s="175">
        <v>3</v>
      </c>
      <c r="AT466" s="175">
        <v>4</v>
      </c>
    </row>
    <row r="467" spans="1:46">
      <c r="A467">
        <v>5487</v>
      </c>
      <c r="B467" t="s">
        <v>3437</v>
      </c>
      <c r="C467" t="s">
        <v>3438</v>
      </c>
      <c r="D467" t="s">
        <v>3439</v>
      </c>
      <c r="E467" t="s">
        <v>3440</v>
      </c>
      <c r="G467" t="s">
        <v>3441</v>
      </c>
      <c r="H467" t="s">
        <v>452</v>
      </c>
      <c r="J467" t="s">
        <v>605</v>
      </c>
      <c r="K467" t="s">
        <v>606</v>
      </c>
      <c r="M467" t="s">
        <v>2366</v>
      </c>
      <c r="N467" t="s">
        <v>657</v>
      </c>
      <c r="O467" t="s">
        <v>3432</v>
      </c>
      <c r="P467" t="s">
        <v>610</v>
      </c>
      <c r="Q467" t="s">
        <v>522</v>
      </c>
      <c r="R467" t="s">
        <v>3410</v>
      </c>
      <c r="S467" t="s">
        <v>3323</v>
      </c>
      <c r="T467" t="s">
        <v>2526</v>
      </c>
      <c r="U467">
        <v>344900</v>
      </c>
      <c r="V467" t="s">
        <v>3442</v>
      </c>
      <c r="W467" t="s">
        <v>3443</v>
      </c>
      <c r="X467" t="s">
        <v>3021</v>
      </c>
      <c r="Y467" t="s">
        <v>3022</v>
      </c>
      <c r="Z467" t="s">
        <v>3023</v>
      </c>
      <c r="AA467" t="s">
        <v>3024</v>
      </c>
      <c r="AB467" t="s">
        <v>3025</v>
      </c>
      <c r="AC467">
        <v>99046</v>
      </c>
      <c r="AD467" t="s">
        <v>3444</v>
      </c>
      <c r="AE467">
        <v>-45.043609709999998</v>
      </c>
      <c r="AF467">
        <v>169.18643818999999</v>
      </c>
      <c r="AG467" s="175">
        <v>30</v>
      </c>
      <c r="AH467" s="175">
        <v>0</v>
      </c>
      <c r="AI467" s="175">
        <v>0</v>
      </c>
      <c r="AJ467" s="175">
        <v>0</v>
      </c>
      <c r="AK467" s="175">
        <v>6</v>
      </c>
      <c r="AL467" s="175">
        <v>12</v>
      </c>
      <c r="AM467" s="175">
        <v>12</v>
      </c>
      <c r="AN467" s="175">
        <v>1</v>
      </c>
      <c r="AO467" s="175">
        <v>31</v>
      </c>
      <c r="AP467" s="175">
        <v>21</v>
      </c>
      <c r="AQ467" s="175">
        <v>5</v>
      </c>
      <c r="AR467" s="175">
        <v>1</v>
      </c>
      <c r="AS467" s="175">
        <v>7</v>
      </c>
      <c r="AT467" s="175">
        <v>1</v>
      </c>
    </row>
    <row r="468" spans="1:46">
      <c r="A468">
        <v>5488</v>
      </c>
      <c r="B468" t="s">
        <v>3445</v>
      </c>
      <c r="C468" t="s">
        <v>3446</v>
      </c>
      <c r="D468" t="s">
        <v>3447</v>
      </c>
      <c r="E468" t="s">
        <v>3448</v>
      </c>
      <c r="G468" t="s">
        <v>3431</v>
      </c>
      <c r="H468" t="s">
        <v>452</v>
      </c>
      <c r="J468" t="s">
        <v>605</v>
      </c>
      <c r="K468" t="s">
        <v>606</v>
      </c>
      <c r="M468" t="s">
        <v>2366</v>
      </c>
      <c r="N468" t="s">
        <v>657</v>
      </c>
      <c r="O468" t="s">
        <v>3432</v>
      </c>
      <c r="P468" t="s">
        <v>610</v>
      </c>
      <c r="Q468" t="s">
        <v>522</v>
      </c>
      <c r="R468" t="s">
        <v>3410</v>
      </c>
      <c r="S468" t="s">
        <v>3433</v>
      </c>
      <c r="T468" t="s">
        <v>2526</v>
      </c>
      <c r="U468">
        <v>345500</v>
      </c>
      <c r="V468" t="s">
        <v>3449</v>
      </c>
      <c r="W468" t="s">
        <v>3435</v>
      </c>
      <c r="X468" t="s">
        <v>3021</v>
      </c>
      <c r="Y468" t="s">
        <v>3022</v>
      </c>
      <c r="Z468" t="s">
        <v>3023</v>
      </c>
      <c r="AA468" t="s">
        <v>3024</v>
      </c>
      <c r="AB468" t="s">
        <v>3025</v>
      </c>
      <c r="AC468">
        <v>99049</v>
      </c>
      <c r="AD468" t="s">
        <v>3436</v>
      </c>
      <c r="AE468">
        <v>-45.243429599999999</v>
      </c>
      <c r="AF468">
        <v>169.39034401000001</v>
      </c>
      <c r="AG468" s="175">
        <v>40</v>
      </c>
      <c r="AH468" s="175">
        <v>0</v>
      </c>
      <c r="AI468" s="175">
        <v>0</v>
      </c>
      <c r="AJ468" s="175">
        <v>0</v>
      </c>
      <c r="AK468" s="175">
        <v>13</v>
      </c>
      <c r="AL468" s="175">
        <v>12</v>
      </c>
      <c r="AM468" s="175">
        <v>11</v>
      </c>
      <c r="AN468" s="175">
        <v>0</v>
      </c>
      <c r="AO468" s="175">
        <v>36</v>
      </c>
      <c r="AP468" s="175">
        <v>24</v>
      </c>
      <c r="AQ468" s="175">
        <v>10</v>
      </c>
      <c r="AR468" s="175">
        <v>0</v>
      </c>
      <c r="AS468" s="175">
        <v>4</v>
      </c>
      <c r="AT468" s="175">
        <v>4</v>
      </c>
    </row>
    <row r="469" spans="1:46">
      <c r="A469">
        <v>5489</v>
      </c>
      <c r="B469" t="s">
        <v>3450</v>
      </c>
      <c r="C469" t="s">
        <v>3451</v>
      </c>
      <c r="E469" t="s">
        <v>3452</v>
      </c>
      <c r="F469" t="s">
        <v>3453</v>
      </c>
      <c r="G469" t="s">
        <v>3454</v>
      </c>
      <c r="H469" t="s">
        <v>452</v>
      </c>
      <c r="J469" t="s">
        <v>605</v>
      </c>
      <c r="K469" t="s">
        <v>606</v>
      </c>
      <c r="M469" t="s">
        <v>2366</v>
      </c>
      <c r="N469" t="s">
        <v>657</v>
      </c>
      <c r="O469" t="s">
        <v>3455</v>
      </c>
      <c r="P469" t="s">
        <v>739</v>
      </c>
      <c r="Q469" t="s">
        <v>522</v>
      </c>
      <c r="R469" t="s">
        <v>3410</v>
      </c>
      <c r="S469" t="s">
        <v>3456</v>
      </c>
      <c r="T469" t="s">
        <v>2526</v>
      </c>
      <c r="U469">
        <v>351100</v>
      </c>
      <c r="V469" t="s">
        <v>3453</v>
      </c>
      <c r="W469" t="s">
        <v>1734</v>
      </c>
      <c r="X469" t="s">
        <v>3457</v>
      </c>
      <c r="Y469" t="s">
        <v>3458</v>
      </c>
      <c r="Z469" t="s">
        <v>3459</v>
      </c>
      <c r="AA469" t="s">
        <v>3460</v>
      </c>
      <c r="AB469" t="s">
        <v>3461</v>
      </c>
      <c r="AE469">
        <v>-45.90090301</v>
      </c>
      <c r="AF469">
        <v>170.42654254999999</v>
      </c>
      <c r="AG469" s="175">
        <v>43</v>
      </c>
      <c r="AH469" s="175">
        <v>0</v>
      </c>
      <c r="AI469" s="175">
        <v>0</v>
      </c>
      <c r="AJ469" s="175">
        <v>0</v>
      </c>
      <c r="AK469" s="175">
        <v>12</v>
      </c>
      <c r="AL469" s="175">
        <v>16</v>
      </c>
      <c r="AM469" s="175">
        <v>20</v>
      </c>
      <c r="AN469" s="175">
        <v>0</v>
      </c>
      <c r="AO469" s="175">
        <v>48</v>
      </c>
      <c r="AP469" s="175">
        <v>42</v>
      </c>
      <c r="AQ469" s="175">
        <v>6</v>
      </c>
      <c r="AR469" s="175">
        <v>2</v>
      </c>
      <c r="AS469" s="175">
        <v>6</v>
      </c>
      <c r="AT469" s="175">
        <v>0</v>
      </c>
    </row>
    <row r="470" spans="1:46">
      <c r="A470">
        <v>5490</v>
      </c>
      <c r="B470" t="s">
        <v>3462</v>
      </c>
      <c r="C470" t="s">
        <v>3463</v>
      </c>
      <c r="E470" t="s">
        <v>3464</v>
      </c>
      <c r="F470" t="s">
        <v>3465</v>
      </c>
      <c r="G470" t="s">
        <v>3454</v>
      </c>
      <c r="H470" t="s">
        <v>452</v>
      </c>
      <c r="J470" t="s">
        <v>605</v>
      </c>
      <c r="K470" t="s">
        <v>606</v>
      </c>
      <c r="M470" t="s">
        <v>2366</v>
      </c>
      <c r="N470" t="s">
        <v>657</v>
      </c>
      <c r="O470" t="s">
        <v>3455</v>
      </c>
      <c r="P470" t="s">
        <v>739</v>
      </c>
      <c r="Q470" t="s">
        <v>522</v>
      </c>
      <c r="R470" t="s">
        <v>3410</v>
      </c>
      <c r="S470" t="s">
        <v>3456</v>
      </c>
      <c r="T470" t="s">
        <v>2526</v>
      </c>
      <c r="U470">
        <v>355300</v>
      </c>
      <c r="V470" t="s">
        <v>3466</v>
      </c>
      <c r="W470" t="s">
        <v>1734</v>
      </c>
      <c r="X470" t="s">
        <v>3457</v>
      </c>
      <c r="Y470" t="s">
        <v>3458</v>
      </c>
      <c r="Z470" t="s">
        <v>3459</v>
      </c>
      <c r="AA470" t="s">
        <v>3460</v>
      </c>
      <c r="AB470" t="s">
        <v>3461</v>
      </c>
      <c r="AE470">
        <v>-45.896767599999997</v>
      </c>
      <c r="AF470">
        <v>170.52462269</v>
      </c>
      <c r="AG470" s="175">
        <v>42</v>
      </c>
      <c r="AH470" s="175">
        <v>0</v>
      </c>
      <c r="AI470" s="175">
        <v>0</v>
      </c>
      <c r="AJ470" s="175">
        <v>0</v>
      </c>
      <c r="AK470" s="175">
        <v>9</v>
      </c>
      <c r="AL470" s="175">
        <v>14</v>
      </c>
      <c r="AM470" s="175">
        <v>18</v>
      </c>
      <c r="AN470" s="175">
        <v>1</v>
      </c>
      <c r="AO470" s="175">
        <v>42</v>
      </c>
      <c r="AP470" s="175">
        <v>38</v>
      </c>
      <c r="AQ470" s="175">
        <v>6</v>
      </c>
      <c r="AR470" s="175">
        <v>3</v>
      </c>
      <c r="AS470" s="175">
        <v>2</v>
      </c>
      <c r="AT470" s="175">
        <v>0</v>
      </c>
    </row>
    <row r="471" spans="1:46">
      <c r="A471">
        <v>5491</v>
      </c>
      <c r="B471" t="s">
        <v>3467</v>
      </c>
      <c r="C471" t="s">
        <v>3468</v>
      </c>
      <c r="E471" t="s">
        <v>3469</v>
      </c>
      <c r="F471" t="s">
        <v>3470</v>
      </c>
      <c r="G471" t="s">
        <v>3454</v>
      </c>
      <c r="H471" t="s">
        <v>452</v>
      </c>
      <c r="J471" t="s">
        <v>605</v>
      </c>
      <c r="K471" t="s">
        <v>606</v>
      </c>
      <c r="M471" t="s">
        <v>2366</v>
      </c>
      <c r="N471" t="s">
        <v>625</v>
      </c>
      <c r="O471" t="s">
        <v>3455</v>
      </c>
      <c r="P471" t="s">
        <v>739</v>
      </c>
      <c r="Q471" t="s">
        <v>522</v>
      </c>
      <c r="R471" t="s">
        <v>3410</v>
      </c>
      <c r="S471" t="s">
        <v>3454</v>
      </c>
      <c r="T471" t="s">
        <v>2526</v>
      </c>
      <c r="U471">
        <v>350900</v>
      </c>
      <c r="V471" t="s">
        <v>3470</v>
      </c>
      <c r="W471" t="s">
        <v>1734</v>
      </c>
      <c r="X471" t="s">
        <v>3457</v>
      </c>
      <c r="Y471" t="s">
        <v>3458</v>
      </c>
      <c r="Z471" t="s">
        <v>3459</v>
      </c>
      <c r="AA471" t="s">
        <v>3460</v>
      </c>
      <c r="AB471" t="s">
        <v>3461</v>
      </c>
      <c r="AE471">
        <v>-45.86699436</v>
      </c>
      <c r="AF471">
        <v>170.46097044000001</v>
      </c>
      <c r="AG471" s="175">
        <v>40</v>
      </c>
      <c r="AH471" s="175">
        <v>0</v>
      </c>
      <c r="AI471" s="175">
        <v>0</v>
      </c>
      <c r="AJ471" s="175">
        <v>0</v>
      </c>
      <c r="AK471" s="175">
        <v>5</v>
      </c>
      <c r="AL471" s="175">
        <v>16</v>
      </c>
      <c r="AM471" s="175">
        <v>11</v>
      </c>
      <c r="AN471" s="175">
        <v>0</v>
      </c>
      <c r="AO471" s="175">
        <v>32</v>
      </c>
      <c r="AP471" s="175">
        <v>19</v>
      </c>
      <c r="AQ471" s="175">
        <v>10</v>
      </c>
      <c r="AR471" s="175">
        <v>0</v>
      </c>
      <c r="AS471" s="175">
        <v>5</v>
      </c>
      <c r="AT471" s="175">
        <v>4</v>
      </c>
    </row>
    <row r="472" spans="1:46">
      <c r="A472">
        <v>5492</v>
      </c>
      <c r="B472" t="s">
        <v>3471</v>
      </c>
      <c r="C472" t="s">
        <v>3472</v>
      </c>
      <c r="E472" t="s">
        <v>3473</v>
      </c>
      <c r="F472" t="s">
        <v>3474</v>
      </c>
      <c r="G472" t="s">
        <v>3454</v>
      </c>
      <c r="H472" t="s">
        <v>452</v>
      </c>
      <c r="J472" t="s">
        <v>605</v>
      </c>
      <c r="K472" t="s">
        <v>606</v>
      </c>
      <c r="M472" t="s">
        <v>2366</v>
      </c>
      <c r="N472" t="s">
        <v>643</v>
      </c>
      <c r="O472" t="s">
        <v>3455</v>
      </c>
      <c r="P472" t="s">
        <v>739</v>
      </c>
      <c r="Q472" t="s">
        <v>522</v>
      </c>
      <c r="R472" t="s">
        <v>3410</v>
      </c>
      <c r="S472" t="s">
        <v>3456</v>
      </c>
      <c r="T472" t="s">
        <v>2526</v>
      </c>
      <c r="U472">
        <v>354000</v>
      </c>
      <c r="V472" t="s">
        <v>3474</v>
      </c>
      <c r="W472" t="s">
        <v>1734</v>
      </c>
      <c r="X472" t="s">
        <v>3457</v>
      </c>
      <c r="Y472" t="s">
        <v>3458</v>
      </c>
      <c r="Z472" t="s">
        <v>3459</v>
      </c>
      <c r="AA472" t="s">
        <v>3460</v>
      </c>
      <c r="AB472" t="s">
        <v>3461</v>
      </c>
      <c r="AE472">
        <v>-45.905914989999999</v>
      </c>
      <c r="AF472">
        <v>170.46265697000001</v>
      </c>
      <c r="AG472" s="175">
        <v>40</v>
      </c>
      <c r="AH472" s="175">
        <v>0</v>
      </c>
      <c r="AI472" s="175">
        <v>0</v>
      </c>
      <c r="AJ472" s="175">
        <v>0</v>
      </c>
      <c r="AK472" s="175">
        <v>2</v>
      </c>
      <c r="AL472" s="175">
        <v>6</v>
      </c>
      <c r="AM472" s="175">
        <v>11</v>
      </c>
      <c r="AN472" s="175">
        <v>0</v>
      </c>
      <c r="AO472" s="175">
        <v>19</v>
      </c>
      <c r="AP472" s="175">
        <v>11</v>
      </c>
      <c r="AQ472" s="175">
        <v>3</v>
      </c>
      <c r="AR472" s="175">
        <v>0</v>
      </c>
      <c r="AS472" s="175">
        <v>8</v>
      </c>
      <c r="AT472" s="175">
        <v>0</v>
      </c>
    </row>
    <row r="473" spans="1:46">
      <c r="A473">
        <v>5493</v>
      </c>
      <c r="B473" t="s">
        <v>3475</v>
      </c>
      <c r="C473" t="s">
        <v>3476</v>
      </c>
      <c r="E473" t="s">
        <v>3477</v>
      </c>
      <c r="G473" t="s">
        <v>3454</v>
      </c>
      <c r="H473" t="s">
        <v>452</v>
      </c>
      <c r="J473" t="s">
        <v>605</v>
      </c>
      <c r="K473" t="s">
        <v>606</v>
      </c>
      <c r="M473" t="s">
        <v>2366</v>
      </c>
      <c r="N473" t="s">
        <v>608</v>
      </c>
      <c r="O473" t="s">
        <v>3455</v>
      </c>
      <c r="P473" t="s">
        <v>739</v>
      </c>
      <c r="Q473" t="s">
        <v>522</v>
      </c>
      <c r="R473" t="s">
        <v>3410</v>
      </c>
      <c r="S473" t="s">
        <v>3456</v>
      </c>
      <c r="T473" t="s">
        <v>2526</v>
      </c>
      <c r="U473">
        <v>354500</v>
      </c>
      <c r="V473" t="s">
        <v>3478</v>
      </c>
      <c r="W473" t="s">
        <v>1734</v>
      </c>
      <c r="X473" t="s">
        <v>3457</v>
      </c>
      <c r="Y473" t="s">
        <v>3458</v>
      </c>
      <c r="Z473" t="s">
        <v>3459</v>
      </c>
      <c r="AA473" t="s">
        <v>3460</v>
      </c>
      <c r="AB473" t="s">
        <v>3461</v>
      </c>
      <c r="AE473">
        <v>-45.905096110000002</v>
      </c>
      <c r="AF473">
        <v>170.47818169999999</v>
      </c>
      <c r="AG473" s="175">
        <v>90</v>
      </c>
      <c r="AH473" s="175">
        <v>0</v>
      </c>
      <c r="AI473" s="175">
        <v>0</v>
      </c>
      <c r="AJ473" s="175">
        <v>0</v>
      </c>
      <c r="AK473" s="175">
        <v>9</v>
      </c>
      <c r="AL473" s="175">
        <v>10</v>
      </c>
      <c r="AM473" s="175">
        <v>7</v>
      </c>
      <c r="AN473" s="175">
        <v>1</v>
      </c>
      <c r="AO473" s="175">
        <v>27</v>
      </c>
      <c r="AP473" s="175">
        <v>19</v>
      </c>
      <c r="AQ473" s="175">
        <v>15</v>
      </c>
      <c r="AR473" s="175">
        <v>4</v>
      </c>
      <c r="AS473" s="175">
        <v>0</v>
      </c>
      <c r="AT473" s="175">
        <v>1</v>
      </c>
    </row>
    <row r="474" spans="1:46">
      <c r="A474">
        <v>5494</v>
      </c>
      <c r="B474" t="s">
        <v>3479</v>
      </c>
      <c r="C474" t="s">
        <v>3480</v>
      </c>
      <c r="E474" t="s">
        <v>3481</v>
      </c>
      <c r="G474" t="s">
        <v>3454</v>
      </c>
      <c r="H474" t="s">
        <v>452</v>
      </c>
      <c r="J474" t="s">
        <v>605</v>
      </c>
      <c r="K474" t="s">
        <v>606</v>
      </c>
      <c r="M474" t="s">
        <v>2366</v>
      </c>
      <c r="N474" t="s">
        <v>657</v>
      </c>
      <c r="O474" t="s">
        <v>3455</v>
      </c>
      <c r="P474" t="s">
        <v>739</v>
      </c>
      <c r="Q474" t="s">
        <v>522</v>
      </c>
      <c r="R474" t="s">
        <v>3410</v>
      </c>
      <c r="S474" t="s">
        <v>3454</v>
      </c>
      <c r="T474" t="s">
        <v>2526</v>
      </c>
      <c r="U474">
        <v>354901</v>
      </c>
      <c r="V474" t="s">
        <v>3482</v>
      </c>
      <c r="W474" t="s">
        <v>1734</v>
      </c>
      <c r="X474" t="s">
        <v>3457</v>
      </c>
      <c r="Y474" t="s">
        <v>3458</v>
      </c>
      <c r="Z474" t="s">
        <v>3459</v>
      </c>
      <c r="AA474" t="s">
        <v>3460</v>
      </c>
      <c r="AB474" t="s">
        <v>3461</v>
      </c>
      <c r="AE474">
        <v>-45.886350579999998</v>
      </c>
      <c r="AF474">
        <v>170.53253856000001</v>
      </c>
      <c r="AG474" s="175">
        <v>43</v>
      </c>
      <c r="AH474" s="175">
        <v>0</v>
      </c>
      <c r="AI474" s="175">
        <v>0</v>
      </c>
      <c r="AJ474" s="175">
        <v>0</v>
      </c>
      <c r="AK474" s="175">
        <v>14</v>
      </c>
      <c r="AL474" s="175">
        <v>11</v>
      </c>
      <c r="AM474" s="175">
        <v>24</v>
      </c>
      <c r="AN474" s="175">
        <v>0</v>
      </c>
      <c r="AO474" s="175">
        <v>49</v>
      </c>
      <c r="AP474" s="175">
        <v>36</v>
      </c>
      <c r="AQ474" s="175">
        <v>5</v>
      </c>
      <c r="AR474" s="175">
        <v>1</v>
      </c>
      <c r="AS474" s="175">
        <v>15</v>
      </c>
      <c r="AT474" s="175">
        <v>1</v>
      </c>
    </row>
    <row r="475" spans="1:46">
      <c r="A475">
        <v>5495</v>
      </c>
      <c r="B475" t="s">
        <v>3483</v>
      </c>
      <c r="C475" t="s">
        <v>3484</v>
      </c>
      <c r="E475" t="s">
        <v>3485</v>
      </c>
      <c r="F475" t="s">
        <v>3486</v>
      </c>
      <c r="G475" t="s">
        <v>3454</v>
      </c>
      <c r="H475" t="s">
        <v>452</v>
      </c>
      <c r="J475" t="s">
        <v>605</v>
      </c>
      <c r="K475" t="s">
        <v>606</v>
      </c>
      <c r="M475" t="s">
        <v>2366</v>
      </c>
      <c r="N475" t="s">
        <v>657</v>
      </c>
      <c r="O475" t="s">
        <v>3455</v>
      </c>
      <c r="P475" t="s">
        <v>739</v>
      </c>
      <c r="Q475" t="s">
        <v>522</v>
      </c>
      <c r="R475" t="s">
        <v>3410</v>
      </c>
      <c r="S475" t="s">
        <v>3456</v>
      </c>
      <c r="T475" t="s">
        <v>2526</v>
      </c>
      <c r="U475">
        <v>352600</v>
      </c>
      <c r="V475" t="s">
        <v>3486</v>
      </c>
      <c r="W475" t="s">
        <v>1734</v>
      </c>
      <c r="X475" t="s">
        <v>3457</v>
      </c>
      <c r="Y475" t="s">
        <v>3458</v>
      </c>
      <c r="Z475" t="s">
        <v>3459</v>
      </c>
      <c r="AA475" t="s">
        <v>3460</v>
      </c>
      <c r="AB475" t="s">
        <v>3461</v>
      </c>
      <c r="AE475">
        <v>-45.904559259999999</v>
      </c>
      <c r="AF475">
        <v>170.42995822</v>
      </c>
      <c r="AG475" s="175">
        <v>44</v>
      </c>
      <c r="AH475" s="175">
        <v>0</v>
      </c>
      <c r="AI475" s="175">
        <v>0</v>
      </c>
      <c r="AJ475" s="175">
        <v>0</v>
      </c>
      <c r="AK475" s="175">
        <v>6</v>
      </c>
      <c r="AL475" s="175">
        <v>23</v>
      </c>
      <c r="AM475" s="175">
        <v>14</v>
      </c>
      <c r="AN475" s="175">
        <v>0</v>
      </c>
      <c r="AO475" s="175">
        <v>43</v>
      </c>
      <c r="AP475" s="175">
        <v>42</v>
      </c>
      <c r="AQ475" s="175">
        <v>9</v>
      </c>
      <c r="AR475" s="175">
        <v>2</v>
      </c>
      <c r="AS475" s="175">
        <v>1</v>
      </c>
      <c r="AT475" s="175">
        <v>1</v>
      </c>
    </row>
    <row r="476" spans="1:46">
      <c r="A476">
        <v>5496</v>
      </c>
      <c r="B476" t="s">
        <v>3487</v>
      </c>
      <c r="C476" t="s">
        <v>3488</v>
      </c>
      <c r="E476" t="s">
        <v>3489</v>
      </c>
      <c r="F476" t="s">
        <v>3490</v>
      </c>
      <c r="G476" t="s">
        <v>3454</v>
      </c>
      <c r="H476" t="s">
        <v>452</v>
      </c>
      <c r="J476" t="s">
        <v>605</v>
      </c>
      <c r="K476" t="s">
        <v>606</v>
      </c>
      <c r="M476" t="s">
        <v>2366</v>
      </c>
      <c r="N476" t="s">
        <v>657</v>
      </c>
      <c r="O476" t="s">
        <v>3455</v>
      </c>
      <c r="P476" t="s">
        <v>739</v>
      </c>
      <c r="Q476" t="s">
        <v>522</v>
      </c>
      <c r="R476" t="s">
        <v>3410</v>
      </c>
      <c r="S476" t="s">
        <v>3454</v>
      </c>
      <c r="T476" t="s">
        <v>2526</v>
      </c>
      <c r="U476">
        <v>350401</v>
      </c>
      <c r="V476" t="s">
        <v>3490</v>
      </c>
      <c r="W476" t="s">
        <v>1734</v>
      </c>
      <c r="X476" t="s">
        <v>3457</v>
      </c>
      <c r="Y476" t="s">
        <v>3458</v>
      </c>
      <c r="Z476" t="s">
        <v>3459</v>
      </c>
      <c r="AA476" t="s">
        <v>3460</v>
      </c>
      <c r="AB476" t="s">
        <v>3461</v>
      </c>
      <c r="AE476">
        <v>-45.85473605</v>
      </c>
      <c r="AF476">
        <v>170.47056147000001</v>
      </c>
      <c r="AG476" s="175">
        <v>45</v>
      </c>
      <c r="AH476" s="175">
        <v>0</v>
      </c>
      <c r="AI476" s="175">
        <v>0</v>
      </c>
      <c r="AJ476" s="175">
        <v>0</v>
      </c>
      <c r="AK476" s="175">
        <v>6</v>
      </c>
      <c r="AL476" s="175">
        <v>18</v>
      </c>
      <c r="AM476" s="175">
        <v>10</v>
      </c>
      <c r="AN476" s="175">
        <v>0</v>
      </c>
      <c r="AO476" s="175">
        <v>34</v>
      </c>
      <c r="AP476" s="175">
        <v>23</v>
      </c>
      <c r="AQ476" s="175">
        <v>4</v>
      </c>
      <c r="AR476" s="175">
        <v>2</v>
      </c>
      <c r="AS476" s="175">
        <v>6</v>
      </c>
      <c r="AT476" s="175">
        <v>3</v>
      </c>
    </row>
    <row r="477" spans="1:46">
      <c r="A477">
        <v>5497</v>
      </c>
      <c r="B477" t="s">
        <v>3491</v>
      </c>
      <c r="C477" t="s">
        <v>3492</v>
      </c>
      <c r="E477" t="s">
        <v>3458</v>
      </c>
      <c r="F477" t="s">
        <v>3493</v>
      </c>
      <c r="G477" t="s">
        <v>3454</v>
      </c>
      <c r="H477" t="s">
        <v>452</v>
      </c>
      <c r="J477" t="s">
        <v>605</v>
      </c>
      <c r="K477" t="s">
        <v>606</v>
      </c>
      <c r="M477" t="s">
        <v>2366</v>
      </c>
      <c r="N477" t="s">
        <v>657</v>
      </c>
      <c r="O477" t="s">
        <v>3455</v>
      </c>
      <c r="P477" t="s">
        <v>739</v>
      </c>
      <c r="Q477" t="s">
        <v>522</v>
      </c>
      <c r="R477" t="s">
        <v>3410</v>
      </c>
      <c r="S477" t="s">
        <v>3456</v>
      </c>
      <c r="T477" t="s">
        <v>2526</v>
      </c>
      <c r="U477">
        <v>354600</v>
      </c>
      <c r="V477" t="s">
        <v>3494</v>
      </c>
      <c r="W477" t="s">
        <v>1734</v>
      </c>
      <c r="X477" t="s">
        <v>3457</v>
      </c>
      <c r="Y477" t="s">
        <v>3458</v>
      </c>
      <c r="Z477" t="s">
        <v>3459</v>
      </c>
      <c r="AA477" t="s">
        <v>3460</v>
      </c>
      <c r="AB477" t="s">
        <v>3461</v>
      </c>
      <c r="AE477">
        <v>-45.902924560000002</v>
      </c>
      <c r="AF477">
        <v>170.48723189</v>
      </c>
      <c r="AG477" s="175">
        <v>43</v>
      </c>
      <c r="AH477" s="175">
        <v>0</v>
      </c>
      <c r="AI477" s="175">
        <v>0</v>
      </c>
      <c r="AJ477" s="175">
        <v>0</v>
      </c>
      <c r="AK477" s="175">
        <v>11</v>
      </c>
      <c r="AL477" s="175">
        <v>12</v>
      </c>
      <c r="AM477" s="175">
        <v>17</v>
      </c>
      <c r="AN477" s="175">
        <v>1</v>
      </c>
      <c r="AO477" s="175">
        <v>41</v>
      </c>
      <c r="AP477" s="175">
        <v>28</v>
      </c>
      <c r="AQ477" s="175">
        <v>7</v>
      </c>
      <c r="AR477" s="175">
        <v>1</v>
      </c>
      <c r="AS477" s="175">
        <v>9</v>
      </c>
      <c r="AT477" s="175">
        <v>8</v>
      </c>
    </row>
    <row r="478" spans="1:46">
      <c r="A478">
        <v>5498</v>
      </c>
      <c r="B478" t="s">
        <v>3495</v>
      </c>
      <c r="C478" t="s">
        <v>3496</v>
      </c>
      <c r="E478" t="s">
        <v>3497</v>
      </c>
      <c r="F478" t="s">
        <v>3498</v>
      </c>
      <c r="G478" t="s">
        <v>3454</v>
      </c>
      <c r="H478" t="s">
        <v>452</v>
      </c>
      <c r="J478" t="s">
        <v>605</v>
      </c>
      <c r="K478" t="s">
        <v>606</v>
      </c>
      <c r="M478" t="s">
        <v>2366</v>
      </c>
      <c r="N478" t="s">
        <v>657</v>
      </c>
      <c r="O478" t="s">
        <v>3455</v>
      </c>
      <c r="P478" t="s">
        <v>739</v>
      </c>
      <c r="Q478" t="s">
        <v>522</v>
      </c>
      <c r="R478" t="s">
        <v>3410</v>
      </c>
      <c r="S478" t="s">
        <v>3454</v>
      </c>
      <c r="T478" t="s">
        <v>2526</v>
      </c>
      <c r="U478">
        <v>351700</v>
      </c>
      <c r="V478" t="s">
        <v>3499</v>
      </c>
      <c r="W478" t="s">
        <v>1734</v>
      </c>
      <c r="X478" t="s">
        <v>3457</v>
      </c>
      <c r="Y478" t="s">
        <v>3458</v>
      </c>
      <c r="Z478" t="s">
        <v>3459</v>
      </c>
      <c r="AA478" t="s">
        <v>3460</v>
      </c>
      <c r="AB478" t="s">
        <v>3461</v>
      </c>
      <c r="AC478">
        <v>99208</v>
      </c>
      <c r="AD478" t="s">
        <v>3500</v>
      </c>
      <c r="AE478">
        <v>-45.847241140000001</v>
      </c>
      <c r="AF478">
        <v>170.53513810999999</v>
      </c>
      <c r="AG478" s="175">
        <v>45</v>
      </c>
      <c r="AH478" s="175">
        <v>0</v>
      </c>
      <c r="AI478" s="175">
        <v>0</v>
      </c>
      <c r="AJ478" s="175">
        <v>0</v>
      </c>
      <c r="AK478" s="175">
        <v>10</v>
      </c>
      <c r="AL478" s="175">
        <v>15</v>
      </c>
      <c r="AM478" s="175">
        <v>17</v>
      </c>
      <c r="AN478" s="175">
        <v>0</v>
      </c>
      <c r="AO478" s="175">
        <v>42</v>
      </c>
      <c r="AP478" s="175">
        <v>28</v>
      </c>
      <c r="AQ478" s="175">
        <v>14</v>
      </c>
      <c r="AR478" s="175">
        <v>6</v>
      </c>
      <c r="AS478" s="175">
        <v>3</v>
      </c>
      <c r="AT478" s="175">
        <v>5</v>
      </c>
    </row>
    <row r="479" spans="1:46">
      <c r="A479">
        <v>5499</v>
      </c>
      <c r="B479" t="s">
        <v>3501</v>
      </c>
      <c r="C479" t="s">
        <v>3502</v>
      </c>
      <c r="E479" t="s">
        <v>3503</v>
      </c>
      <c r="F479" t="s">
        <v>3504</v>
      </c>
      <c r="G479" t="s">
        <v>3454</v>
      </c>
      <c r="H479" t="s">
        <v>452</v>
      </c>
      <c r="J479" t="s">
        <v>605</v>
      </c>
      <c r="K479" t="s">
        <v>606</v>
      </c>
      <c r="M479" t="s">
        <v>2366</v>
      </c>
      <c r="N479" t="s">
        <v>657</v>
      </c>
      <c r="O479" t="s">
        <v>3455</v>
      </c>
      <c r="P479" t="s">
        <v>739</v>
      </c>
      <c r="Q479" t="s">
        <v>522</v>
      </c>
      <c r="R479" t="s">
        <v>3410</v>
      </c>
      <c r="S479" t="s">
        <v>3454</v>
      </c>
      <c r="T479" t="s">
        <v>2526</v>
      </c>
      <c r="U479">
        <v>351000</v>
      </c>
      <c r="V479" t="s">
        <v>3505</v>
      </c>
      <c r="W479" t="s">
        <v>1734</v>
      </c>
      <c r="X479" t="s">
        <v>3457</v>
      </c>
      <c r="Y479" t="s">
        <v>3458</v>
      </c>
      <c r="Z479" t="s">
        <v>3459</v>
      </c>
      <c r="AA479" t="s">
        <v>3460</v>
      </c>
      <c r="AB479" t="s">
        <v>3461</v>
      </c>
      <c r="AE479">
        <v>-45.866550250000003</v>
      </c>
      <c r="AF479">
        <v>170.48096572</v>
      </c>
      <c r="AG479" s="175">
        <v>40</v>
      </c>
      <c r="AH479" s="175">
        <v>0</v>
      </c>
      <c r="AI479" s="175">
        <v>0</v>
      </c>
      <c r="AJ479" s="175">
        <v>0</v>
      </c>
      <c r="AK479" s="175">
        <v>2</v>
      </c>
      <c r="AL479" s="175">
        <v>13</v>
      </c>
      <c r="AM479" s="175">
        <v>12</v>
      </c>
      <c r="AN479" s="175">
        <v>0</v>
      </c>
      <c r="AO479" s="175">
        <v>27</v>
      </c>
      <c r="AP479" s="175">
        <v>21</v>
      </c>
      <c r="AQ479" s="175">
        <v>7</v>
      </c>
      <c r="AR479" s="175">
        <v>4</v>
      </c>
      <c r="AS479" s="175">
        <v>3</v>
      </c>
      <c r="AT479" s="175">
        <v>1</v>
      </c>
    </row>
    <row r="480" spans="1:46">
      <c r="A480">
        <v>5500</v>
      </c>
      <c r="B480" t="s">
        <v>3506</v>
      </c>
      <c r="C480" t="s">
        <v>3507</v>
      </c>
      <c r="E480" t="s">
        <v>3508</v>
      </c>
      <c r="F480" t="s">
        <v>3509</v>
      </c>
      <c r="G480" t="s">
        <v>3454</v>
      </c>
      <c r="H480" t="s">
        <v>452</v>
      </c>
      <c r="J480" t="s">
        <v>605</v>
      </c>
      <c r="K480" t="s">
        <v>606</v>
      </c>
      <c r="M480" t="s">
        <v>2366</v>
      </c>
      <c r="N480" t="s">
        <v>657</v>
      </c>
      <c r="O480" t="s">
        <v>3455</v>
      </c>
      <c r="P480" t="s">
        <v>739</v>
      </c>
      <c r="Q480" t="s">
        <v>522</v>
      </c>
      <c r="R480" t="s">
        <v>3410</v>
      </c>
      <c r="S480" t="s">
        <v>3454</v>
      </c>
      <c r="T480" t="s">
        <v>2526</v>
      </c>
      <c r="U480">
        <v>353200</v>
      </c>
      <c r="V480" t="s">
        <v>3510</v>
      </c>
      <c r="W480" t="s">
        <v>1734</v>
      </c>
      <c r="X480" t="s">
        <v>3457</v>
      </c>
      <c r="Y480" t="s">
        <v>3458</v>
      </c>
      <c r="Z480" t="s">
        <v>3459</v>
      </c>
      <c r="AA480" t="s">
        <v>3460</v>
      </c>
      <c r="AB480" t="s">
        <v>3461</v>
      </c>
      <c r="AC480">
        <v>99208</v>
      </c>
      <c r="AD480" t="s">
        <v>3500</v>
      </c>
      <c r="AE480">
        <v>-45.867328110000003</v>
      </c>
      <c r="AF480">
        <v>170.51485393999999</v>
      </c>
      <c r="AG480" s="175">
        <v>45</v>
      </c>
      <c r="AH480" s="175">
        <v>0</v>
      </c>
      <c r="AI480" s="175">
        <v>0</v>
      </c>
      <c r="AJ480" s="175">
        <v>0</v>
      </c>
      <c r="AK480" s="175">
        <v>8</v>
      </c>
      <c r="AL480" s="175">
        <v>12</v>
      </c>
      <c r="AM480" s="175">
        <v>12</v>
      </c>
      <c r="AN480" s="175">
        <v>0</v>
      </c>
      <c r="AO480" s="175">
        <v>32</v>
      </c>
      <c r="AP480" s="175">
        <v>22</v>
      </c>
      <c r="AQ480" s="175">
        <v>6</v>
      </c>
      <c r="AR480" s="175">
        <v>1</v>
      </c>
      <c r="AS480" s="175">
        <v>10</v>
      </c>
      <c r="AT480" s="175">
        <v>0</v>
      </c>
    </row>
    <row r="481" spans="1:46">
      <c r="A481">
        <v>5502</v>
      </c>
      <c r="B481" t="s">
        <v>3511</v>
      </c>
      <c r="C481" t="s">
        <v>3512</v>
      </c>
      <c r="E481" t="s">
        <v>3513</v>
      </c>
      <c r="G481" t="s">
        <v>3514</v>
      </c>
      <c r="H481" t="s">
        <v>452</v>
      </c>
      <c r="J481" t="s">
        <v>605</v>
      </c>
      <c r="K481" t="s">
        <v>606</v>
      </c>
      <c r="M481" t="s">
        <v>2366</v>
      </c>
      <c r="N481" t="s">
        <v>657</v>
      </c>
      <c r="O481" t="s">
        <v>3455</v>
      </c>
      <c r="P481" t="s">
        <v>739</v>
      </c>
      <c r="Q481" t="s">
        <v>522</v>
      </c>
      <c r="R481" t="s">
        <v>3410</v>
      </c>
      <c r="S481" t="s">
        <v>3454</v>
      </c>
      <c r="T481" t="s">
        <v>2526</v>
      </c>
      <c r="U481">
        <v>352701</v>
      </c>
      <c r="V481" t="s">
        <v>3514</v>
      </c>
      <c r="W481" t="s">
        <v>1734</v>
      </c>
      <c r="X481" t="s">
        <v>3457</v>
      </c>
      <c r="Y481" t="s">
        <v>3458</v>
      </c>
      <c r="Z481" t="s">
        <v>3459</v>
      </c>
      <c r="AA481" t="s">
        <v>3460</v>
      </c>
      <c r="AB481" t="s">
        <v>3461</v>
      </c>
      <c r="AC481">
        <v>99208</v>
      </c>
      <c r="AD481" t="s">
        <v>3500</v>
      </c>
      <c r="AE481">
        <v>-45.820710859999998</v>
      </c>
      <c r="AF481">
        <v>170.61821122999999</v>
      </c>
      <c r="AG481" s="175">
        <v>43</v>
      </c>
      <c r="AH481" s="175">
        <v>0</v>
      </c>
      <c r="AI481" s="175">
        <v>0</v>
      </c>
      <c r="AJ481" s="175">
        <v>0</v>
      </c>
      <c r="AK481" s="175">
        <v>6</v>
      </c>
      <c r="AL481" s="175">
        <v>10</v>
      </c>
      <c r="AM481" s="175">
        <v>11</v>
      </c>
      <c r="AN481" s="175">
        <v>0</v>
      </c>
      <c r="AO481" s="175">
        <v>27</v>
      </c>
      <c r="AP481" s="175">
        <v>26</v>
      </c>
      <c r="AQ481" s="175">
        <v>1</v>
      </c>
      <c r="AR481" s="175">
        <v>1</v>
      </c>
      <c r="AS481" s="175">
        <v>0</v>
      </c>
      <c r="AT481" s="175">
        <v>0</v>
      </c>
    </row>
    <row r="482" spans="1:46">
      <c r="A482">
        <v>5503</v>
      </c>
      <c r="B482" t="s">
        <v>3515</v>
      </c>
      <c r="C482" t="s">
        <v>3516</v>
      </c>
      <c r="E482" t="s">
        <v>3517</v>
      </c>
      <c r="G482" t="s">
        <v>3454</v>
      </c>
      <c r="H482" t="s">
        <v>452</v>
      </c>
      <c r="J482" t="s">
        <v>605</v>
      </c>
      <c r="K482" t="s">
        <v>606</v>
      </c>
      <c r="M482" t="s">
        <v>2366</v>
      </c>
      <c r="N482" t="s">
        <v>625</v>
      </c>
      <c r="O482" t="s">
        <v>3455</v>
      </c>
      <c r="P482" t="s">
        <v>739</v>
      </c>
      <c r="Q482" t="s">
        <v>522</v>
      </c>
      <c r="R482" t="s">
        <v>3410</v>
      </c>
      <c r="S482" t="s">
        <v>3456</v>
      </c>
      <c r="T482" t="s">
        <v>2526</v>
      </c>
      <c r="U482">
        <v>354701</v>
      </c>
      <c r="V482" t="s">
        <v>3518</v>
      </c>
      <c r="W482" t="s">
        <v>1734</v>
      </c>
      <c r="X482" t="s">
        <v>3457</v>
      </c>
      <c r="Y482" t="s">
        <v>3458</v>
      </c>
      <c r="Z482" t="s">
        <v>3459</v>
      </c>
      <c r="AA482" t="s">
        <v>3460</v>
      </c>
      <c r="AB482" t="s">
        <v>3461</v>
      </c>
      <c r="AE482">
        <v>-45.898925259999999</v>
      </c>
      <c r="AF482">
        <v>170.49533893</v>
      </c>
      <c r="AG482" s="175">
        <v>45</v>
      </c>
      <c r="AH482" s="175">
        <v>0</v>
      </c>
      <c r="AI482" s="175">
        <v>0</v>
      </c>
      <c r="AJ482" s="175">
        <v>0</v>
      </c>
      <c r="AK482" s="175">
        <v>3</v>
      </c>
      <c r="AL482" s="175">
        <v>11</v>
      </c>
      <c r="AM482" s="175">
        <v>12</v>
      </c>
      <c r="AN482" s="175">
        <v>1</v>
      </c>
      <c r="AO482" s="175">
        <v>27</v>
      </c>
      <c r="AP482" s="175">
        <v>15</v>
      </c>
      <c r="AQ482" s="175">
        <v>13</v>
      </c>
      <c r="AR482" s="175">
        <v>7</v>
      </c>
      <c r="AS482" s="175">
        <v>2</v>
      </c>
      <c r="AT482" s="175">
        <v>0</v>
      </c>
    </row>
    <row r="483" spans="1:46">
      <c r="A483">
        <v>5504</v>
      </c>
      <c r="B483" t="s">
        <v>3519</v>
      </c>
      <c r="C483" t="s">
        <v>3520</v>
      </c>
      <c r="E483" t="s">
        <v>3521</v>
      </c>
      <c r="F483" t="s">
        <v>3522</v>
      </c>
      <c r="G483" t="s">
        <v>3454</v>
      </c>
      <c r="H483" t="s">
        <v>452</v>
      </c>
      <c r="J483" t="s">
        <v>605</v>
      </c>
      <c r="K483" t="s">
        <v>606</v>
      </c>
      <c r="M483" t="s">
        <v>2366</v>
      </c>
      <c r="N483" t="s">
        <v>643</v>
      </c>
      <c r="O483" t="s">
        <v>3455</v>
      </c>
      <c r="P483" t="s">
        <v>739</v>
      </c>
      <c r="Q483" t="s">
        <v>522</v>
      </c>
      <c r="R483" t="s">
        <v>3410</v>
      </c>
      <c r="S483" t="s">
        <v>3456</v>
      </c>
      <c r="T483" t="s">
        <v>2526</v>
      </c>
      <c r="U483">
        <v>354200</v>
      </c>
      <c r="V483" t="s">
        <v>3522</v>
      </c>
      <c r="W483" t="s">
        <v>1734</v>
      </c>
      <c r="X483" t="s">
        <v>3457</v>
      </c>
      <c r="Y483" t="s">
        <v>3458</v>
      </c>
      <c r="Z483" t="s">
        <v>3459</v>
      </c>
      <c r="AA483" t="s">
        <v>3460</v>
      </c>
      <c r="AB483" t="s">
        <v>3461</v>
      </c>
      <c r="AE483">
        <v>-45.898469609999999</v>
      </c>
      <c r="AF483">
        <v>170.48250704</v>
      </c>
      <c r="AG483" s="175">
        <v>45</v>
      </c>
      <c r="AH483" s="175">
        <v>0</v>
      </c>
      <c r="AI483" s="175">
        <v>0</v>
      </c>
      <c r="AJ483" s="175">
        <v>0</v>
      </c>
      <c r="AK483" s="175">
        <v>5</v>
      </c>
      <c r="AL483" s="175">
        <v>13</v>
      </c>
      <c r="AM483" s="175">
        <v>12</v>
      </c>
      <c r="AN483" s="175">
        <v>0</v>
      </c>
      <c r="AO483" s="175">
        <v>30</v>
      </c>
      <c r="AP483" s="175">
        <v>21</v>
      </c>
      <c r="AQ483" s="175">
        <v>6</v>
      </c>
      <c r="AR483" s="175">
        <v>1</v>
      </c>
      <c r="AS483" s="175">
        <v>5</v>
      </c>
      <c r="AT483" s="175">
        <v>5</v>
      </c>
    </row>
    <row r="484" spans="1:46">
      <c r="A484">
        <v>5505</v>
      </c>
      <c r="B484" t="s">
        <v>3523</v>
      </c>
      <c r="C484" t="s">
        <v>3524</v>
      </c>
      <c r="E484" t="s">
        <v>3525</v>
      </c>
      <c r="G484" t="s">
        <v>3454</v>
      </c>
      <c r="H484" t="s">
        <v>452</v>
      </c>
      <c r="J484" t="s">
        <v>605</v>
      </c>
      <c r="K484" t="s">
        <v>606</v>
      </c>
      <c r="M484" t="s">
        <v>2366</v>
      </c>
      <c r="N484" t="s">
        <v>657</v>
      </c>
      <c r="O484" t="s">
        <v>3455</v>
      </c>
      <c r="P484" t="s">
        <v>739</v>
      </c>
      <c r="Q484" t="s">
        <v>522</v>
      </c>
      <c r="R484" t="s">
        <v>3410</v>
      </c>
      <c r="S484" t="s">
        <v>3454</v>
      </c>
      <c r="T484" t="s">
        <v>2526</v>
      </c>
      <c r="U484">
        <v>352100</v>
      </c>
      <c r="V484" t="s">
        <v>3526</v>
      </c>
      <c r="W484" t="s">
        <v>1734</v>
      </c>
      <c r="X484" t="s">
        <v>3457</v>
      </c>
      <c r="Y484" t="s">
        <v>3458</v>
      </c>
      <c r="Z484" t="s">
        <v>3459</v>
      </c>
      <c r="AA484" t="s">
        <v>3460</v>
      </c>
      <c r="AB484" t="s">
        <v>3461</v>
      </c>
      <c r="AE484">
        <v>-45.871143859999997</v>
      </c>
      <c r="AF484">
        <v>170.48223077</v>
      </c>
      <c r="AG484" s="175">
        <v>44</v>
      </c>
      <c r="AH484" s="175">
        <v>0</v>
      </c>
      <c r="AI484" s="175">
        <v>0</v>
      </c>
      <c r="AJ484" s="175">
        <v>0</v>
      </c>
      <c r="AK484" s="175">
        <v>4</v>
      </c>
      <c r="AL484" s="175">
        <v>25</v>
      </c>
      <c r="AM484" s="175">
        <v>14</v>
      </c>
      <c r="AN484" s="175">
        <v>0</v>
      </c>
      <c r="AO484" s="175">
        <v>43</v>
      </c>
      <c r="AP484" s="175">
        <v>40</v>
      </c>
      <c r="AQ484" s="175">
        <v>9</v>
      </c>
      <c r="AR484" s="175">
        <v>3</v>
      </c>
      <c r="AS484" s="175">
        <v>4</v>
      </c>
      <c r="AT484" s="175">
        <v>3</v>
      </c>
    </row>
    <row r="485" spans="1:46">
      <c r="A485">
        <v>5506</v>
      </c>
      <c r="B485" t="s">
        <v>3527</v>
      </c>
      <c r="C485" t="s">
        <v>3528</v>
      </c>
      <c r="E485" t="s">
        <v>3529</v>
      </c>
      <c r="G485" t="s">
        <v>3454</v>
      </c>
      <c r="H485" t="s">
        <v>452</v>
      </c>
      <c r="J485" t="s">
        <v>605</v>
      </c>
      <c r="K485" t="s">
        <v>606</v>
      </c>
      <c r="M485" t="s">
        <v>2366</v>
      </c>
      <c r="N485" t="s">
        <v>657</v>
      </c>
      <c r="O485" t="s">
        <v>3455</v>
      </c>
      <c r="P485" t="s">
        <v>739</v>
      </c>
      <c r="Q485" t="s">
        <v>522</v>
      </c>
      <c r="R485" t="s">
        <v>3410</v>
      </c>
      <c r="S485" t="s">
        <v>3454</v>
      </c>
      <c r="T485" t="s">
        <v>2526</v>
      </c>
      <c r="U485">
        <v>355400</v>
      </c>
      <c r="V485" t="s">
        <v>3530</v>
      </c>
      <c r="W485" t="s">
        <v>1734</v>
      </c>
      <c r="X485" t="s">
        <v>3457</v>
      </c>
      <c r="Y485" t="s">
        <v>3458</v>
      </c>
      <c r="Z485" t="s">
        <v>3459</v>
      </c>
      <c r="AA485" t="s">
        <v>3460</v>
      </c>
      <c r="AB485" t="s">
        <v>3461</v>
      </c>
      <c r="AE485">
        <v>-45.885077189999997</v>
      </c>
      <c r="AF485">
        <v>170.54572089000001</v>
      </c>
      <c r="AG485" s="175">
        <v>41</v>
      </c>
      <c r="AH485" s="175">
        <v>0</v>
      </c>
      <c r="AI485" s="175">
        <v>0</v>
      </c>
      <c r="AJ485" s="175">
        <v>0</v>
      </c>
      <c r="AK485" s="175">
        <v>6</v>
      </c>
      <c r="AL485" s="175">
        <v>10</v>
      </c>
      <c r="AM485" s="175">
        <v>13</v>
      </c>
      <c r="AN485" s="175">
        <v>0</v>
      </c>
      <c r="AO485" s="175">
        <v>29</v>
      </c>
      <c r="AP485" s="175">
        <v>23</v>
      </c>
      <c r="AQ485" s="175">
        <v>7</v>
      </c>
      <c r="AR485" s="175">
        <v>2</v>
      </c>
      <c r="AS485" s="175">
        <v>1</v>
      </c>
      <c r="AT485" s="175">
        <v>0</v>
      </c>
    </row>
    <row r="486" spans="1:46">
      <c r="A486">
        <v>5507</v>
      </c>
      <c r="B486" t="s">
        <v>3531</v>
      </c>
      <c r="C486" t="s">
        <v>3532</v>
      </c>
      <c r="E486" t="s">
        <v>3533</v>
      </c>
      <c r="F486" t="s">
        <v>3534</v>
      </c>
      <c r="G486" t="s">
        <v>3454</v>
      </c>
      <c r="H486" t="s">
        <v>452</v>
      </c>
      <c r="J486" t="s">
        <v>605</v>
      </c>
      <c r="K486" t="s">
        <v>606</v>
      </c>
      <c r="M486" t="s">
        <v>2366</v>
      </c>
      <c r="N486" t="s">
        <v>643</v>
      </c>
      <c r="O486" t="s">
        <v>3455</v>
      </c>
      <c r="P486" t="s">
        <v>739</v>
      </c>
      <c r="Q486" t="s">
        <v>522</v>
      </c>
      <c r="R486" t="s">
        <v>3410</v>
      </c>
      <c r="S486" t="s">
        <v>3456</v>
      </c>
      <c r="T486" t="s">
        <v>2526</v>
      </c>
      <c r="U486">
        <v>355500</v>
      </c>
      <c r="V486" t="s">
        <v>3535</v>
      </c>
      <c r="W486" t="s">
        <v>1734</v>
      </c>
      <c r="X486" t="s">
        <v>3457</v>
      </c>
      <c r="Y486" t="s">
        <v>3458</v>
      </c>
      <c r="Z486" t="s">
        <v>3459</v>
      </c>
      <c r="AA486" t="s">
        <v>3460</v>
      </c>
      <c r="AB486" t="s">
        <v>3461</v>
      </c>
      <c r="AE486">
        <v>-45.905426159999998</v>
      </c>
      <c r="AF486">
        <v>170.51375113</v>
      </c>
      <c r="AG486" s="175">
        <v>40</v>
      </c>
      <c r="AH486" s="175">
        <v>0</v>
      </c>
      <c r="AI486" s="175">
        <v>0</v>
      </c>
      <c r="AJ486" s="175">
        <v>0</v>
      </c>
      <c r="AK486" s="175">
        <v>8</v>
      </c>
      <c r="AL486" s="175">
        <v>16</v>
      </c>
      <c r="AM486" s="175">
        <v>8</v>
      </c>
      <c r="AN486" s="175">
        <v>0</v>
      </c>
      <c r="AO486" s="175">
        <v>32</v>
      </c>
      <c r="AP486" s="175">
        <v>24</v>
      </c>
      <c r="AQ486" s="175">
        <v>2</v>
      </c>
      <c r="AR486" s="175">
        <v>5</v>
      </c>
      <c r="AS486" s="175">
        <v>4</v>
      </c>
      <c r="AT486" s="175">
        <v>3</v>
      </c>
    </row>
    <row r="487" spans="1:46">
      <c r="A487">
        <v>5508</v>
      </c>
      <c r="B487" t="s">
        <v>3536</v>
      </c>
      <c r="C487" t="s">
        <v>3537</v>
      </c>
      <c r="E487" t="s">
        <v>3538</v>
      </c>
      <c r="G487" t="s">
        <v>3454</v>
      </c>
      <c r="H487" t="s">
        <v>452</v>
      </c>
      <c r="J487" t="s">
        <v>605</v>
      </c>
      <c r="K487" t="s">
        <v>606</v>
      </c>
      <c r="M487" t="s">
        <v>2366</v>
      </c>
      <c r="N487" t="s">
        <v>657</v>
      </c>
      <c r="O487" t="s">
        <v>3455</v>
      </c>
      <c r="P487" t="s">
        <v>739</v>
      </c>
      <c r="Q487" t="s">
        <v>522</v>
      </c>
      <c r="R487" t="s">
        <v>3410</v>
      </c>
      <c r="S487" t="s">
        <v>3454</v>
      </c>
      <c r="T487" t="s">
        <v>2526</v>
      </c>
      <c r="U487">
        <v>351000</v>
      </c>
      <c r="V487" t="s">
        <v>3505</v>
      </c>
      <c r="W487" t="s">
        <v>1734</v>
      </c>
      <c r="X487" t="s">
        <v>3457</v>
      </c>
      <c r="Y487" t="s">
        <v>3458</v>
      </c>
      <c r="Z487" t="s">
        <v>3459</v>
      </c>
      <c r="AA487" t="s">
        <v>3460</v>
      </c>
      <c r="AB487" t="s">
        <v>3461</v>
      </c>
      <c r="AE487">
        <v>-45.854876900000001</v>
      </c>
      <c r="AF487">
        <v>170.48789217999999</v>
      </c>
      <c r="AG487" s="175">
        <v>45</v>
      </c>
      <c r="AH487" s="175">
        <v>0</v>
      </c>
      <c r="AI487" s="175">
        <v>0</v>
      </c>
      <c r="AJ487" s="175">
        <v>0</v>
      </c>
      <c r="AK487" s="175">
        <v>6</v>
      </c>
      <c r="AL487" s="175">
        <v>15</v>
      </c>
      <c r="AM487" s="175">
        <v>23</v>
      </c>
      <c r="AN487" s="175">
        <v>0</v>
      </c>
      <c r="AO487" s="175">
        <v>44</v>
      </c>
      <c r="AP487" s="175">
        <v>38</v>
      </c>
      <c r="AQ487" s="175">
        <v>5</v>
      </c>
      <c r="AR487" s="175">
        <v>3</v>
      </c>
      <c r="AS487" s="175">
        <v>5</v>
      </c>
      <c r="AT487" s="175">
        <v>2</v>
      </c>
    </row>
    <row r="488" spans="1:46">
      <c r="A488">
        <v>5509</v>
      </c>
      <c r="B488" t="s">
        <v>3539</v>
      </c>
      <c r="C488" t="s">
        <v>3540</v>
      </c>
      <c r="E488" t="s">
        <v>3541</v>
      </c>
      <c r="G488" t="s">
        <v>3542</v>
      </c>
      <c r="H488" t="s">
        <v>452</v>
      </c>
      <c r="J488" t="s">
        <v>605</v>
      </c>
      <c r="K488" t="s">
        <v>606</v>
      </c>
      <c r="M488" t="s">
        <v>2366</v>
      </c>
      <c r="N488" t="s">
        <v>657</v>
      </c>
      <c r="O488" t="s">
        <v>3455</v>
      </c>
      <c r="P488" t="s">
        <v>1347</v>
      </c>
      <c r="Q488" t="s">
        <v>522</v>
      </c>
      <c r="R488" t="s">
        <v>3410</v>
      </c>
      <c r="S488" t="s">
        <v>3456</v>
      </c>
      <c r="T488" t="s">
        <v>2526</v>
      </c>
      <c r="U488">
        <v>349900</v>
      </c>
      <c r="V488" t="s">
        <v>3543</v>
      </c>
      <c r="W488" t="s">
        <v>1734</v>
      </c>
      <c r="X488" t="s">
        <v>3457</v>
      </c>
      <c r="Y488" t="s">
        <v>3458</v>
      </c>
      <c r="Z488" t="s">
        <v>3459</v>
      </c>
      <c r="AA488" t="s">
        <v>3460</v>
      </c>
      <c r="AB488" t="s">
        <v>3461</v>
      </c>
      <c r="AE488">
        <v>-45.875307679999999</v>
      </c>
      <c r="AF488">
        <v>170.34733442999999</v>
      </c>
      <c r="AG488" s="175">
        <v>43</v>
      </c>
      <c r="AH488" s="175">
        <v>0</v>
      </c>
      <c r="AI488" s="175">
        <v>0</v>
      </c>
      <c r="AJ488" s="175">
        <v>0</v>
      </c>
      <c r="AK488" s="175">
        <v>12</v>
      </c>
      <c r="AL488" s="175">
        <v>15</v>
      </c>
      <c r="AM488" s="175">
        <v>24</v>
      </c>
      <c r="AN488" s="175">
        <v>0</v>
      </c>
      <c r="AO488" s="175">
        <v>51</v>
      </c>
      <c r="AP488" s="175">
        <v>47</v>
      </c>
      <c r="AQ488" s="175">
        <v>5</v>
      </c>
      <c r="AR488" s="175">
        <v>3</v>
      </c>
      <c r="AS488" s="175">
        <v>4</v>
      </c>
      <c r="AT488" s="175">
        <v>0</v>
      </c>
    </row>
    <row r="489" spans="1:46">
      <c r="A489">
        <v>5510</v>
      </c>
      <c r="B489" t="s">
        <v>3544</v>
      </c>
      <c r="C489" t="s">
        <v>3545</v>
      </c>
      <c r="E489" t="s">
        <v>3546</v>
      </c>
      <c r="G489" t="s">
        <v>3542</v>
      </c>
      <c r="H489" t="s">
        <v>452</v>
      </c>
      <c r="J489" t="s">
        <v>605</v>
      </c>
      <c r="K489" t="s">
        <v>606</v>
      </c>
      <c r="M489" t="s">
        <v>2366</v>
      </c>
      <c r="N489" t="s">
        <v>643</v>
      </c>
      <c r="O489" t="s">
        <v>3455</v>
      </c>
      <c r="P489" t="s">
        <v>1347</v>
      </c>
      <c r="Q489" t="s">
        <v>522</v>
      </c>
      <c r="R489" t="s">
        <v>3410</v>
      </c>
      <c r="S489" t="s">
        <v>3456</v>
      </c>
      <c r="T489" t="s">
        <v>2526</v>
      </c>
      <c r="U489">
        <v>350000</v>
      </c>
      <c r="V489" t="s">
        <v>3547</v>
      </c>
      <c r="W489" t="s">
        <v>1734</v>
      </c>
      <c r="X489" t="s">
        <v>3457</v>
      </c>
      <c r="Y489" t="s">
        <v>3458</v>
      </c>
      <c r="Z489" t="s">
        <v>3459</v>
      </c>
      <c r="AA489" t="s">
        <v>3460</v>
      </c>
      <c r="AB489" t="s">
        <v>3461</v>
      </c>
      <c r="AE489">
        <v>-45.867426899999998</v>
      </c>
      <c r="AF489">
        <v>170.35525672</v>
      </c>
      <c r="AG489" s="175">
        <v>45</v>
      </c>
      <c r="AH489" s="175">
        <v>0</v>
      </c>
      <c r="AI489" s="175">
        <v>0</v>
      </c>
      <c r="AJ489" s="175">
        <v>0</v>
      </c>
      <c r="AK489" s="175">
        <v>13</v>
      </c>
      <c r="AL489" s="175">
        <v>14</v>
      </c>
      <c r="AM489" s="175">
        <v>17</v>
      </c>
      <c r="AN489" s="175">
        <v>1</v>
      </c>
      <c r="AO489" s="175">
        <v>45</v>
      </c>
      <c r="AP489" s="175">
        <v>36</v>
      </c>
      <c r="AQ489" s="175">
        <v>11</v>
      </c>
      <c r="AR489" s="175">
        <v>5</v>
      </c>
      <c r="AS489" s="175">
        <v>0</v>
      </c>
      <c r="AT489" s="175">
        <v>3</v>
      </c>
    </row>
    <row r="490" spans="1:46">
      <c r="A490">
        <v>5511</v>
      </c>
      <c r="B490" t="s">
        <v>3548</v>
      </c>
      <c r="C490" t="s">
        <v>3549</v>
      </c>
      <c r="D490" t="s">
        <v>3550</v>
      </c>
      <c r="E490" t="s">
        <v>3551</v>
      </c>
      <c r="G490" t="s">
        <v>3552</v>
      </c>
      <c r="H490" t="s">
        <v>452</v>
      </c>
      <c r="J490" t="s">
        <v>605</v>
      </c>
      <c r="K490" t="s">
        <v>606</v>
      </c>
      <c r="M490" t="s">
        <v>2366</v>
      </c>
      <c r="N490" t="s">
        <v>657</v>
      </c>
      <c r="O490" t="s">
        <v>3553</v>
      </c>
      <c r="P490" t="s">
        <v>610</v>
      </c>
      <c r="Q490" t="s">
        <v>522</v>
      </c>
      <c r="R490" t="s">
        <v>3410</v>
      </c>
      <c r="S490" t="s">
        <v>3456</v>
      </c>
      <c r="T490" t="s">
        <v>2526</v>
      </c>
      <c r="U490">
        <v>356500</v>
      </c>
      <c r="V490" t="s">
        <v>3554</v>
      </c>
      <c r="W490" t="s">
        <v>3555</v>
      </c>
      <c r="X490" t="s">
        <v>3556</v>
      </c>
      <c r="Y490" t="s">
        <v>1971</v>
      </c>
      <c r="AA490" t="s">
        <v>1972</v>
      </c>
      <c r="AB490" t="s">
        <v>3557</v>
      </c>
      <c r="AC490">
        <v>99080</v>
      </c>
      <c r="AD490" t="s">
        <v>3558</v>
      </c>
      <c r="AE490">
        <v>-46.237544409999998</v>
      </c>
      <c r="AF490">
        <v>169.74358255000001</v>
      </c>
      <c r="AG490" s="175">
        <v>40</v>
      </c>
      <c r="AH490" s="175">
        <v>0</v>
      </c>
      <c r="AI490" s="175">
        <v>0</v>
      </c>
      <c r="AJ490" s="175">
        <v>0</v>
      </c>
      <c r="AK490" s="175">
        <v>7</v>
      </c>
      <c r="AL490" s="175">
        <v>6</v>
      </c>
      <c r="AM490" s="175">
        <v>13</v>
      </c>
      <c r="AN490" s="175">
        <v>0</v>
      </c>
      <c r="AO490" s="175">
        <v>26</v>
      </c>
      <c r="AP490" s="175">
        <v>13</v>
      </c>
      <c r="AQ490" s="175">
        <v>6</v>
      </c>
      <c r="AR490" s="175">
        <v>3</v>
      </c>
      <c r="AS490" s="175">
        <v>4</v>
      </c>
      <c r="AT490" s="175">
        <v>3</v>
      </c>
    </row>
    <row r="491" spans="1:46">
      <c r="A491">
        <v>5512</v>
      </c>
      <c r="B491" t="s">
        <v>3559</v>
      </c>
      <c r="C491" t="s">
        <v>3560</v>
      </c>
      <c r="D491" t="s">
        <v>3561</v>
      </c>
      <c r="E491" t="s">
        <v>3562</v>
      </c>
      <c r="G491" t="s">
        <v>3552</v>
      </c>
      <c r="H491" t="s">
        <v>452</v>
      </c>
      <c r="J491" t="s">
        <v>605</v>
      </c>
      <c r="K491" t="s">
        <v>606</v>
      </c>
      <c r="M491" t="s">
        <v>2366</v>
      </c>
      <c r="N491" t="s">
        <v>657</v>
      </c>
      <c r="O491" t="s">
        <v>3553</v>
      </c>
      <c r="P491" t="s">
        <v>610</v>
      </c>
      <c r="Q491" t="s">
        <v>522</v>
      </c>
      <c r="R491" t="s">
        <v>3410</v>
      </c>
      <c r="S491" t="s">
        <v>3456</v>
      </c>
      <c r="T491" t="s">
        <v>2526</v>
      </c>
      <c r="U491">
        <v>356500</v>
      </c>
      <c r="V491" t="s">
        <v>3554</v>
      </c>
      <c r="W491" t="s">
        <v>3555</v>
      </c>
      <c r="X491" t="s">
        <v>3556</v>
      </c>
      <c r="Y491" t="s">
        <v>1971</v>
      </c>
      <c r="AA491" t="s">
        <v>1972</v>
      </c>
      <c r="AB491" t="s">
        <v>3557</v>
      </c>
      <c r="AC491">
        <v>99080</v>
      </c>
      <c r="AD491" t="s">
        <v>3558</v>
      </c>
      <c r="AE491">
        <v>-46.245009830000001</v>
      </c>
      <c r="AF491">
        <v>169.72527131000001</v>
      </c>
      <c r="AG491" s="175">
        <v>40</v>
      </c>
      <c r="AH491" s="175">
        <v>0</v>
      </c>
      <c r="AI491" s="175">
        <v>0</v>
      </c>
      <c r="AJ491" s="175">
        <v>0</v>
      </c>
      <c r="AK491" s="175">
        <v>5</v>
      </c>
      <c r="AL491" s="175">
        <v>15</v>
      </c>
      <c r="AM491" s="175">
        <v>15</v>
      </c>
      <c r="AN491" s="175">
        <v>0</v>
      </c>
      <c r="AO491" s="175">
        <v>35</v>
      </c>
      <c r="AP491" s="175">
        <v>27</v>
      </c>
      <c r="AQ491" s="175">
        <v>12</v>
      </c>
      <c r="AR491" s="175">
        <v>2</v>
      </c>
      <c r="AS491" s="175">
        <v>2</v>
      </c>
      <c r="AT491" s="175">
        <v>4</v>
      </c>
    </row>
    <row r="492" spans="1:46">
      <c r="A492">
        <v>5513</v>
      </c>
      <c r="B492" t="s">
        <v>3563</v>
      </c>
      <c r="C492" t="s">
        <v>3564</v>
      </c>
      <c r="D492" t="s">
        <v>3565</v>
      </c>
      <c r="E492" t="s">
        <v>3566</v>
      </c>
      <c r="G492" t="s">
        <v>3567</v>
      </c>
      <c r="H492" t="s">
        <v>452</v>
      </c>
      <c r="J492" t="s">
        <v>605</v>
      </c>
      <c r="K492" t="s">
        <v>606</v>
      </c>
      <c r="M492" t="s">
        <v>2366</v>
      </c>
      <c r="N492" t="s">
        <v>608</v>
      </c>
      <c r="O492" t="s">
        <v>3568</v>
      </c>
      <c r="P492" t="s">
        <v>610</v>
      </c>
      <c r="Q492" t="s">
        <v>523</v>
      </c>
      <c r="R492" t="s">
        <v>3410</v>
      </c>
      <c r="S492" t="s">
        <v>3569</v>
      </c>
      <c r="T492" t="s">
        <v>2526</v>
      </c>
      <c r="U492">
        <v>363301</v>
      </c>
      <c r="V492" t="s">
        <v>3567</v>
      </c>
      <c r="W492" t="s">
        <v>1734</v>
      </c>
      <c r="X492" t="s">
        <v>3570</v>
      </c>
      <c r="Y492" t="s">
        <v>3571</v>
      </c>
      <c r="Z492" t="s">
        <v>3569</v>
      </c>
      <c r="AA492" t="s">
        <v>3572</v>
      </c>
      <c r="AB492" t="s">
        <v>3573</v>
      </c>
      <c r="AE492">
        <v>-46.600644789999997</v>
      </c>
      <c r="AF492">
        <v>168.33716720999999</v>
      </c>
      <c r="AG492" s="175">
        <v>30</v>
      </c>
      <c r="AH492" s="175">
        <v>0</v>
      </c>
      <c r="AI492" s="175">
        <v>0</v>
      </c>
      <c r="AJ492" s="175">
        <v>0</v>
      </c>
      <c r="AK492" s="175">
        <v>3</v>
      </c>
      <c r="AL492" s="175">
        <v>1</v>
      </c>
      <c r="AM492" s="175">
        <v>4</v>
      </c>
      <c r="AN492" s="175">
        <v>0</v>
      </c>
      <c r="AO492" s="175">
        <v>8</v>
      </c>
      <c r="AP492" s="175">
        <v>5</v>
      </c>
      <c r="AQ492" s="175">
        <v>6</v>
      </c>
      <c r="AR492" s="175">
        <v>1</v>
      </c>
      <c r="AS492" s="175">
        <v>0</v>
      </c>
      <c r="AT492" s="175">
        <v>0</v>
      </c>
    </row>
    <row r="493" spans="1:46">
      <c r="A493">
        <v>5514</v>
      </c>
      <c r="B493" t="s">
        <v>3574</v>
      </c>
      <c r="C493" t="s">
        <v>3575</v>
      </c>
      <c r="D493" t="s">
        <v>3576</v>
      </c>
      <c r="E493" t="s">
        <v>3577</v>
      </c>
      <c r="G493" t="s">
        <v>3569</v>
      </c>
      <c r="H493" t="s">
        <v>452</v>
      </c>
      <c r="J493" t="s">
        <v>605</v>
      </c>
      <c r="K493" t="s">
        <v>606</v>
      </c>
      <c r="M493" t="s">
        <v>2366</v>
      </c>
      <c r="N493" t="s">
        <v>608</v>
      </c>
      <c r="O493" t="s">
        <v>3568</v>
      </c>
      <c r="P493" t="s">
        <v>670</v>
      </c>
      <c r="Q493" t="s">
        <v>523</v>
      </c>
      <c r="R493" t="s">
        <v>3410</v>
      </c>
      <c r="S493" t="s">
        <v>3569</v>
      </c>
      <c r="T493" t="s">
        <v>2526</v>
      </c>
      <c r="U493">
        <v>362901</v>
      </c>
      <c r="V493" t="s">
        <v>3578</v>
      </c>
      <c r="W493" t="s">
        <v>1734</v>
      </c>
      <c r="X493" t="s">
        <v>3570</v>
      </c>
      <c r="Y493" t="s">
        <v>3571</v>
      </c>
      <c r="Z493" t="s">
        <v>3569</v>
      </c>
      <c r="AA493" t="s">
        <v>3572</v>
      </c>
      <c r="AB493" t="s">
        <v>3573</v>
      </c>
      <c r="AC493">
        <v>99146</v>
      </c>
      <c r="AD493" t="s">
        <v>3579</v>
      </c>
      <c r="AE493">
        <v>-46.445080920000002</v>
      </c>
      <c r="AF493">
        <v>168.37247181999999</v>
      </c>
      <c r="AG493" s="175">
        <v>40</v>
      </c>
      <c r="AH493" s="175">
        <v>0</v>
      </c>
      <c r="AI493" s="175">
        <v>0</v>
      </c>
      <c r="AJ493" s="175">
        <v>0</v>
      </c>
      <c r="AK493" s="175">
        <v>5</v>
      </c>
      <c r="AL493" s="175">
        <v>10</v>
      </c>
      <c r="AM493" s="175">
        <v>13</v>
      </c>
      <c r="AN493" s="175">
        <v>0</v>
      </c>
      <c r="AO493" s="175">
        <v>28</v>
      </c>
      <c r="AP493" s="175">
        <v>23</v>
      </c>
      <c r="AQ493" s="175">
        <v>6</v>
      </c>
      <c r="AR493" s="175">
        <v>0</v>
      </c>
      <c r="AS493" s="175">
        <v>1</v>
      </c>
      <c r="AT493" s="175">
        <v>2</v>
      </c>
    </row>
    <row r="494" spans="1:46">
      <c r="A494">
        <v>5515</v>
      </c>
      <c r="B494" t="s">
        <v>3580</v>
      </c>
      <c r="C494" t="s">
        <v>3581</v>
      </c>
      <c r="D494" t="s">
        <v>3582</v>
      </c>
      <c r="E494" t="s">
        <v>3583</v>
      </c>
      <c r="G494" t="s">
        <v>3584</v>
      </c>
      <c r="H494" t="s">
        <v>452</v>
      </c>
      <c r="J494" t="s">
        <v>605</v>
      </c>
      <c r="K494" t="s">
        <v>606</v>
      </c>
      <c r="M494" t="s">
        <v>2366</v>
      </c>
      <c r="N494" t="s">
        <v>657</v>
      </c>
      <c r="O494" t="s">
        <v>3585</v>
      </c>
      <c r="P494" t="s">
        <v>610</v>
      </c>
      <c r="Q494" t="s">
        <v>523</v>
      </c>
      <c r="R494" t="s">
        <v>3410</v>
      </c>
      <c r="S494" t="s">
        <v>3433</v>
      </c>
      <c r="T494" t="s">
        <v>2526</v>
      </c>
      <c r="U494">
        <v>360200</v>
      </c>
      <c r="V494" t="s">
        <v>3586</v>
      </c>
      <c r="W494" t="s">
        <v>3587</v>
      </c>
      <c r="X494" t="s">
        <v>3570</v>
      </c>
      <c r="Y494" t="s">
        <v>3571</v>
      </c>
      <c r="Z494" t="s">
        <v>3569</v>
      </c>
      <c r="AA494" t="s">
        <v>3572</v>
      </c>
      <c r="AB494" t="s">
        <v>3573</v>
      </c>
      <c r="AC494">
        <v>99055</v>
      </c>
      <c r="AD494" t="s">
        <v>3588</v>
      </c>
      <c r="AE494">
        <v>-46.104627030000003</v>
      </c>
      <c r="AF494">
        <v>168.93737467</v>
      </c>
      <c r="AG494" s="175">
        <v>45</v>
      </c>
      <c r="AH494" s="175">
        <v>0</v>
      </c>
      <c r="AI494" s="175">
        <v>0</v>
      </c>
      <c r="AJ494" s="175">
        <v>0</v>
      </c>
      <c r="AK494" s="175">
        <v>0</v>
      </c>
      <c r="AL494" s="175">
        <v>23</v>
      </c>
      <c r="AM494" s="175">
        <v>20</v>
      </c>
      <c r="AN494" s="175">
        <v>0</v>
      </c>
      <c r="AO494" s="175">
        <v>43</v>
      </c>
      <c r="AP494" s="175">
        <v>39</v>
      </c>
      <c r="AQ494" s="175">
        <v>8</v>
      </c>
      <c r="AR494" s="175">
        <v>0</v>
      </c>
      <c r="AS494" s="175">
        <v>2</v>
      </c>
      <c r="AT494" s="175">
        <v>1</v>
      </c>
    </row>
    <row r="495" spans="1:46">
      <c r="A495">
        <v>5516</v>
      </c>
      <c r="B495" t="s">
        <v>3589</v>
      </c>
      <c r="C495" t="s">
        <v>3590</v>
      </c>
      <c r="D495" t="s">
        <v>3591</v>
      </c>
      <c r="E495" t="s">
        <v>3592</v>
      </c>
      <c r="G495" t="s">
        <v>3569</v>
      </c>
      <c r="H495" t="s">
        <v>452</v>
      </c>
      <c r="J495" t="s">
        <v>605</v>
      </c>
      <c r="K495" t="s">
        <v>606</v>
      </c>
      <c r="M495" t="s">
        <v>2366</v>
      </c>
      <c r="N495" t="s">
        <v>625</v>
      </c>
      <c r="O495" t="s">
        <v>3568</v>
      </c>
      <c r="P495" t="s">
        <v>670</v>
      </c>
      <c r="Q495" t="s">
        <v>523</v>
      </c>
      <c r="R495" t="s">
        <v>3410</v>
      </c>
      <c r="S495" t="s">
        <v>3569</v>
      </c>
      <c r="T495" t="s">
        <v>2526</v>
      </c>
      <c r="U495">
        <v>362501</v>
      </c>
      <c r="V495" t="s">
        <v>3593</v>
      </c>
      <c r="W495" t="s">
        <v>1734</v>
      </c>
      <c r="X495" t="s">
        <v>3570</v>
      </c>
      <c r="Y495" t="s">
        <v>3571</v>
      </c>
      <c r="Z495" t="s">
        <v>3569</v>
      </c>
      <c r="AA495" t="s">
        <v>3572</v>
      </c>
      <c r="AB495" t="s">
        <v>3573</v>
      </c>
      <c r="AC495">
        <v>99146</v>
      </c>
      <c r="AD495" t="s">
        <v>3579</v>
      </c>
      <c r="AE495">
        <v>-46.434045349999998</v>
      </c>
      <c r="AF495">
        <v>168.37718131</v>
      </c>
      <c r="AG495" s="175">
        <v>40</v>
      </c>
      <c r="AH495" s="175">
        <v>0</v>
      </c>
      <c r="AI495" s="175">
        <v>0</v>
      </c>
      <c r="AJ495" s="175">
        <v>0</v>
      </c>
      <c r="AK495" s="175">
        <v>6</v>
      </c>
      <c r="AL495" s="175">
        <v>7</v>
      </c>
      <c r="AM495" s="175">
        <v>7</v>
      </c>
      <c r="AN495" s="175">
        <v>0</v>
      </c>
      <c r="AO495" s="175">
        <v>20</v>
      </c>
      <c r="AP495" s="175">
        <v>16</v>
      </c>
      <c r="AQ495" s="175">
        <v>8</v>
      </c>
      <c r="AR495" s="175">
        <v>0</v>
      </c>
      <c r="AS495" s="175">
        <v>0</v>
      </c>
      <c r="AT495" s="175">
        <v>0</v>
      </c>
    </row>
    <row r="496" spans="1:46">
      <c r="A496">
        <v>5517</v>
      </c>
      <c r="B496" t="s">
        <v>3594</v>
      </c>
      <c r="C496" t="s">
        <v>3595</v>
      </c>
      <c r="E496" t="s">
        <v>3596</v>
      </c>
      <c r="G496" t="s">
        <v>3597</v>
      </c>
      <c r="H496" t="s">
        <v>452</v>
      </c>
      <c r="J496" t="s">
        <v>605</v>
      </c>
      <c r="K496" t="s">
        <v>606</v>
      </c>
      <c r="M496" t="s">
        <v>2366</v>
      </c>
      <c r="N496" t="s">
        <v>657</v>
      </c>
      <c r="O496" t="s">
        <v>3598</v>
      </c>
      <c r="P496" t="s">
        <v>610</v>
      </c>
      <c r="Q496" t="s">
        <v>523</v>
      </c>
      <c r="R496" t="s">
        <v>3410</v>
      </c>
      <c r="S496" t="s">
        <v>3433</v>
      </c>
      <c r="T496" t="s">
        <v>2526</v>
      </c>
      <c r="U496">
        <v>357501</v>
      </c>
      <c r="V496" t="s">
        <v>3599</v>
      </c>
      <c r="W496" t="s">
        <v>3600</v>
      </c>
      <c r="X496" t="s">
        <v>3570</v>
      </c>
      <c r="Y496" t="s">
        <v>3571</v>
      </c>
      <c r="Z496" t="s">
        <v>3569</v>
      </c>
      <c r="AA496" t="s">
        <v>3572</v>
      </c>
      <c r="AB496" t="s">
        <v>3573</v>
      </c>
      <c r="AC496">
        <v>99041</v>
      </c>
      <c r="AD496" t="s">
        <v>3601</v>
      </c>
      <c r="AE496">
        <v>-45.41226623</v>
      </c>
      <c r="AF496">
        <v>167.71949083999999</v>
      </c>
      <c r="AG496" s="175">
        <v>40</v>
      </c>
      <c r="AH496" s="175">
        <v>0</v>
      </c>
      <c r="AI496" s="175">
        <v>0</v>
      </c>
      <c r="AJ496" s="175">
        <v>0</v>
      </c>
      <c r="AK496" s="175">
        <v>5</v>
      </c>
      <c r="AL496" s="175">
        <v>12</v>
      </c>
      <c r="AM496" s="175">
        <v>13</v>
      </c>
      <c r="AN496" s="175">
        <v>1</v>
      </c>
      <c r="AO496" s="175">
        <v>31</v>
      </c>
      <c r="AP496" s="175">
        <v>25</v>
      </c>
      <c r="AQ496" s="175">
        <v>7</v>
      </c>
      <c r="AR496" s="175">
        <v>1</v>
      </c>
      <c r="AS496" s="175">
        <v>1</v>
      </c>
      <c r="AT496" s="175">
        <v>3</v>
      </c>
    </row>
    <row r="497" spans="1:46">
      <c r="A497">
        <v>5518</v>
      </c>
      <c r="B497" t="s">
        <v>3602</v>
      </c>
      <c r="C497" t="s">
        <v>3603</v>
      </c>
      <c r="D497" t="s">
        <v>3604</v>
      </c>
      <c r="E497" t="s">
        <v>3605</v>
      </c>
      <c r="G497" t="s">
        <v>3569</v>
      </c>
      <c r="H497" t="s">
        <v>452</v>
      </c>
      <c r="J497" t="s">
        <v>605</v>
      </c>
      <c r="K497" t="s">
        <v>606</v>
      </c>
      <c r="M497" t="s">
        <v>2366</v>
      </c>
      <c r="N497" t="s">
        <v>643</v>
      </c>
      <c r="O497" t="s">
        <v>3568</v>
      </c>
      <c r="P497" t="s">
        <v>670</v>
      </c>
      <c r="Q497" t="s">
        <v>523</v>
      </c>
      <c r="R497" t="s">
        <v>3410</v>
      </c>
      <c r="S497" t="s">
        <v>3569</v>
      </c>
      <c r="T497" t="s">
        <v>2526</v>
      </c>
      <c r="U497">
        <v>361701</v>
      </c>
      <c r="V497" t="s">
        <v>3606</v>
      </c>
      <c r="W497" t="s">
        <v>1734</v>
      </c>
      <c r="X497" t="s">
        <v>3570</v>
      </c>
      <c r="Y497" t="s">
        <v>3571</v>
      </c>
      <c r="Z497" t="s">
        <v>3569</v>
      </c>
      <c r="AA497" t="s">
        <v>3572</v>
      </c>
      <c r="AB497" t="s">
        <v>3573</v>
      </c>
      <c r="AC497">
        <v>99146</v>
      </c>
      <c r="AD497" t="s">
        <v>3579</v>
      </c>
      <c r="AE497">
        <v>-46.401400889999998</v>
      </c>
      <c r="AF497">
        <v>168.38733757</v>
      </c>
      <c r="AG497" s="175">
        <v>40</v>
      </c>
      <c r="AH497" s="175">
        <v>0</v>
      </c>
      <c r="AI497" s="175">
        <v>0</v>
      </c>
      <c r="AJ497" s="175">
        <v>0</v>
      </c>
      <c r="AK497" s="175">
        <v>8</v>
      </c>
      <c r="AL497" s="175">
        <v>8</v>
      </c>
      <c r="AM497" s="175">
        <v>10</v>
      </c>
      <c r="AN497" s="175">
        <v>0</v>
      </c>
      <c r="AO497" s="175">
        <v>26</v>
      </c>
      <c r="AP497" s="175">
        <v>25</v>
      </c>
      <c r="AQ497" s="175">
        <v>9</v>
      </c>
      <c r="AR497" s="175">
        <v>1</v>
      </c>
      <c r="AS497" s="175">
        <v>0</v>
      </c>
      <c r="AT497" s="175">
        <v>0</v>
      </c>
    </row>
    <row r="498" spans="1:46">
      <c r="A498">
        <v>5519</v>
      </c>
      <c r="B498" t="s">
        <v>3607</v>
      </c>
      <c r="C498" t="s">
        <v>3608</v>
      </c>
      <c r="D498" t="s">
        <v>3609</v>
      </c>
      <c r="E498" t="s">
        <v>3610</v>
      </c>
      <c r="G498" t="s">
        <v>3569</v>
      </c>
      <c r="H498" t="s">
        <v>452</v>
      </c>
      <c r="J498" t="s">
        <v>605</v>
      </c>
      <c r="K498" t="s">
        <v>606</v>
      </c>
      <c r="M498" t="s">
        <v>2366</v>
      </c>
      <c r="N498" t="s">
        <v>657</v>
      </c>
      <c r="O498" t="s">
        <v>3568</v>
      </c>
      <c r="P498" t="s">
        <v>670</v>
      </c>
      <c r="Q498" t="s">
        <v>523</v>
      </c>
      <c r="R498" t="s">
        <v>3410</v>
      </c>
      <c r="S498" t="s">
        <v>3569</v>
      </c>
      <c r="T498" t="s">
        <v>2526</v>
      </c>
      <c r="U498">
        <v>360601</v>
      </c>
      <c r="V498" t="s">
        <v>3611</v>
      </c>
      <c r="W498" t="s">
        <v>1734</v>
      </c>
      <c r="X498" t="s">
        <v>3570</v>
      </c>
      <c r="Y498" t="s">
        <v>3571</v>
      </c>
      <c r="Z498" t="s">
        <v>3569</v>
      </c>
      <c r="AA498" t="s">
        <v>3572</v>
      </c>
      <c r="AB498" t="s">
        <v>3573</v>
      </c>
      <c r="AC498">
        <v>99146</v>
      </c>
      <c r="AD498" t="s">
        <v>3579</v>
      </c>
      <c r="AE498">
        <v>-46.383432880000001</v>
      </c>
      <c r="AF498">
        <v>168.33658273</v>
      </c>
      <c r="AG498" s="175">
        <v>39</v>
      </c>
      <c r="AH498" s="175">
        <v>0</v>
      </c>
      <c r="AI498" s="175">
        <v>0</v>
      </c>
      <c r="AJ498" s="175">
        <v>0</v>
      </c>
      <c r="AK498" s="175">
        <v>8</v>
      </c>
      <c r="AL498" s="175">
        <v>8</v>
      </c>
      <c r="AM498" s="175">
        <v>14</v>
      </c>
      <c r="AN498" s="175">
        <v>0</v>
      </c>
      <c r="AO498" s="175">
        <v>30</v>
      </c>
      <c r="AP498" s="175">
        <v>19</v>
      </c>
      <c r="AQ498" s="175">
        <v>9</v>
      </c>
      <c r="AR498" s="175">
        <v>1</v>
      </c>
      <c r="AS498" s="175">
        <v>4</v>
      </c>
      <c r="AT498" s="175">
        <v>2</v>
      </c>
    </row>
    <row r="499" spans="1:46">
      <c r="A499">
        <v>5520</v>
      </c>
      <c r="B499" t="s">
        <v>3612</v>
      </c>
      <c r="C499" t="s">
        <v>3613</v>
      </c>
      <c r="D499" t="s">
        <v>3614</v>
      </c>
      <c r="E499" t="s">
        <v>3615</v>
      </c>
      <c r="G499" t="s">
        <v>3569</v>
      </c>
      <c r="H499" t="s">
        <v>452</v>
      </c>
      <c r="J499" t="s">
        <v>605</v>
      </c>
      <c r="K499" t="s">
        <v>606</v>
      </c>
      <c r="M499" t="s">
        <v>2366</v>
      </c>
      <c r="N499" t="s">
        <v>608</v>
      </c>
      <c r="O499" t="s">
        <v>3568</v>
      </c>
      <c r="P499" t="s">
        <v>670</v>
      </c>
      <c r="Q499" t="s">
        <v>523</v>
      </c>
      <c r="R499" t="s">
        <v>3410</v>
      </c>
      <c r="S499" t="s">
        <v>3569</v>
      </c>
      <c r="T499" t="s">
        <v>2526</v>
      </c>
      <c r="U499">
        <v>362201</v>
      </c>
      <c r="V499" t="s">
        <v>3616</v>
      </c>
      <c r="W499" t="s">
        <v>1734</v>
      </c>
      <c r="X499" t="s">
        <v>3570</v>
      </c>
      <c r="Y499" t="s">
        <v>3571</v>
      </c>
      <c r="Z499" t="s">
        <v>3569</v>
      </c>
      <c r="AA499" t="s">
        <v>3572</v>
      </c>
      <c r="AB499" t="s">
        <v>3573</v>
      </c>
      <c r="AC499">
        <v>99146</v>
      </c>
      <c r="AD499" t="s">
        <v>3579</v>
      </c>
      <c r="AE499">
        <v>-46.429159050000003</v>
      </c>
      <c r="AF499">
        <v>168.35421776999999</v>
      </c>
      <c r="AG499" s="175">
        <v>40</v>
      </c>
      <c r="AH499" s="175">
        <v>0</v>
      </c>
      <c r="AI499" s="175">
        <v>0</v>
      </c>
      <c r="AJ499" s="175">
        <v>0</v>
      </c>
      <c r="AK499" s="175">
        <v>3</v>
      </c>
      <c r="AL499" s="175">
        <v>3</v>
      </c>
      <c r="AM499" s="175">
        <v>11</v>
      </c>
      <c r="AN499" s="175">
        <v>2</v>
      </c>
      <c r="AO499" s="175">
        <v>19</v>
      </c>
      <c r="AP499" s="175">
        <v>6</v>
      </c>
      <c r="AQ499" s="175">
        <v>8</v>
      </c>
      <c r="AR499" s="175">
        <v>1</v>
      </c>
      <c r="AS499" s="175">
        <v>5</v>
      </c>
      <c r="AT499" s="175">
        <v>4</v>
      </c>
    </row>
    <row r="500" spans="1:46">
      <c r="A500">
        <v>5521</v>
      </c>
      <c r="B500" t="s">
        <v>3617</v>
      </c>
      <c r="C500" t="s">
        <v>3618</v>
      </c>
      <c r="D500" t="s">
        <v>3619</v>
      </c>
      <c r="E500" t="s">
        <v>3620</v>
      </c>
      <c r="G500" t="s">
        <v>3569</v>
      </c>
      <c r="H500" t="s">
        <v>452</v>
      </c>
      <c r="J500" t="s">
        <v>605</v>
      </c>
      <c r="K500" t="s">
        <v>606</v>
      </c>
      <c r="M500" t="s">
        <v>2366</v>
      </c>
      <c r="N500" t="s">
        <v>643</v>
      </c>
      <c r="O500" t="s">
        <v>3568</v>
      </c>
      <c r="P500" t="s">
        <v>670</v>
      </c>
      <c r="Q500" t="s">
        <v>523</v>
      </c>
      <c r="R500" t="s">
        <v>3410</v>
      </c>
      <c r="S500" t="s">
        <v>3569</v>
      </c>
      <c r="T500" t="s">
        <v>2526</v>
      </c>
      <c r="U500">
        <v>361601</v>
      </c>
      <c r="V500" t="s">
        <v>3621</v>
      </c>
      <c r="W500" t="s">
        <v>1734</v>
      </c>
      <c r="X500" t="s">
        <v>3570</v>
      </c>
      <c r="Y500" t="s">
        <v>3571</v>
      </c>
      <c r="Z500" t="s">
        <v>3569</v>
      </c>
      <c r="AA500" t="s">
        <v>3572</v>
      </c>
      <c r="AB500" t="s">
        <v>3573</v>
      </c>
      <c r="AC500">
        <v>99146</v>
      </c>
      <c r="AD500" t="s">
        <v>3579</v>
      </c>
      <c r="AE500">
        <v>-46.406559180000002</v>
      </c>
      <c r="AF500">
        <v>168.3677332</v>
      </c>
      <c r="AG500" s="175">
        <v>40</v>
      </c>
      <c r="AH500" s="175">
        <v>0</v>
      </c>
      <c r="AI500" s="175">
        <v>0</v>
      </c>
      <c r="AJ500" s="175">
        <v>0</v>
      </c>
      <c r="AK500" s="175">
        <v>4</v>
      </c>
      <c r="AL500" s="175">
        <v>8</v>
      </c>
      <c r="AM500" s="175">
        <v>16</v>
      </c>
      <c r="AN500" s="175">
        <v>0</v>
      </c>
      <c r="AO500" s="175">
        <v>28</v>
      </c>
      <c r="AP500" s="175">
        <v>23</v>
      </c>
      <c r="AQ500" s="175">
        <v>11</v>
      </c>
      <c r="AR500" s="175">
        <v>2</v>
      </c>
      <c r="AS500" s="175">
        <v>5</v>
      </c>
      <c r="AT500" s="175">
        <v>0</v>
      </c>
    </row>
    <row r="501" spans="1:46">
      <c r="A501">
        <v>5522</v>
      </c>
      <c r="B501" t="s">
        <v>3622</v>
      </c>
      <c r="C501" t="s">
        <v>3623</v>
      </c>
      <c r="D501" t="s">
        <v>3624</v>
      </c>
      <c r="E501" t="s">
        <v>3625</v>
      </c>
      <c r="G501" t="s">
        <v>3569</v>
      </c>
      <c r="H501" t="s">
        <v>452</v>
      </c>
      <c r="J501" t="s">
        <v>605</v>
      </c>
      <c r="K501" t="s">
        <v>606</v>
      </c>
      <c r="M501" t="s">
        <v>2366</v>
      </c>
      <c r="N501" t="s">
        <v>625</v>
      </c>
      <c r="O501" t="s">
        <v>3568</v>
      </c>
      <c r="P501" t="s">
        <v>670</v>
      </c>
      <c r="Q501" t="s">
        <v>523</v>
      </c>
      <c r="R501" t="s">
        <v>3410</v>
      </c>
      <c r="S501" t="s">
        <v>3569</v>
      </c>
      <c r="T501" t="s">
        <v>2526</v>
      </c>
      <c r="U501">
        <v>362401</v>
      </c>
      <c r="V501" t="s">
        <v>3626</v>
      </c>
      <c r="W501" t="s">
        <v>1734</v>
      </c>
      <c r="X501" t="s">
        <v>3570</v>
      </c>
      <c r="Y501" t="s">
        <v>3571</v>
      </c>
      <c r="Z501" t="s">
        <v>3569</v>
      </c>
      <c r="AA501" t="s">
        <v>3572</v>
      </c>
      <c r="AB501" t="s">
        <v>3573</v>
      </c>
      <c r="AC501">
        <v>99146</v>
      </c>
      <c r="AD501" t="s">
        <v>3579</v>
      </c>
      <c r="AE501">
        <v>-46.421966769999997</v>
      </c>
      <c r="AF501">
        <v>168.37972600000001</v>
      </c>
      <c r="AG501" s="175">
        <v>40</v>
      </c>
      <c r="AH501" s="175">
        <v>0</v>
      </c>
      <c r="AI501" s="175">
        <v>0</v>
      </c>
      <c r="AJ501" s="175">
        <v>0</v>
      </c>
      <c r="AK501" s="175">
        <v>6</v>
      </c>
      <c r="AL501" s="175">
        <v>6</v>
      </c>
      <c r="AM501" s="175">
        <v>11</v>
      </c>
      <c r="AN501" s="175">
        <v>1</v>
      </c>
      <c r="AO501" s="175">
        <v>24</v>
      </c>
      <c r="AP501" s="175">
        <v>15</v>
      </c>
      <c r="AQ501" s="175">
        <v>9</v>
      </c>
      <c r="AR501" s="175">
        <v>2</v>
      </c>
      <c r="AS501" s="175">
        <v>4</v>
      </c>
      <c r="AT501" s="175">
        <v>0</v>
      </c>
    </row>
    <row r="502" spans="1:46">
      <c r="A502">
        <v>5523</v>
      </c>
      <c r="B502" t="s">
        <v>3627</v>
      </c>
      <c r="C502" t="s">
        <v>3628</v>
      </c>
      <c r="D502" t="s">
        <v>3629</v>
      </c>
      <c r="E502" t="s">
        <v>3630</v>
      </c>
      <c r="G502" t="s">
        <v>3569</v>
      </c>
      <c r="H502" t="s">
        <v>452</v>
      </c>
      <c r="J502" t="s">
        <v>605</v>
      </c>
      <c r="K502" t="s">
        <v>606</v>
      </c>
      <c r="M502" t="s">
        <v>2366</v>
      </c>
      <c r="N502" t="s">
        <v>657</v>
      </c>
      <c r="O502" t="s">
        <v>3568</v>
      </c>
      <c r="P502" t="s">
        <v>670</v>
      </c>
      <c r="Q502" t="s">
        <v>523</v>
      </c>
      <c r="R502" t="s">
        <v>3410</v>
      </c>
      <c r="S502" t="s">
        <v>3569</v>
      </c>
      <c r="T502" t="s">
        <v>2526</v>
      </c>
      <c r="U502">
        <v>360900</v>
      </c>
      <c r="V502" t="s">
        <v>3631</v>
      </c>
      <c r="W502" t="s">
        <v>1734</v>
      </c>
      <c r="X502" t="s">
        <v>3570</v>
      </c>
      <c r="Y502" t="s">
        <v>3571</v>
      </c>
      <c r="Z502" t="s">
        <v>3569</v>
      </c>
      <c r="AA502" t="s">
        <v>3572</v>
      </c>
      <c r="AB502" t="s">
        <v>3573</v>
      </c>
      <c r="AC502">
        <v>99146</v>
      </c>
      <c r="AD502" t="s">
        <v>3579</v>
      </c>
      <c r="AE502">
        <v>-46.4315231</v>
      </c>
      <c r="AF502">
        <v>168.29106501999999</v>
      </c>
      <c r="AG502" s="175">
        <v>40</v>
      </c>
      <c r="AH502" s="175">
        <v>0</v>
      </c>
      <c r="AI502" s="175">
        <v>0</v>
      </c>
      <c r="AJ502" s="175">
        <v>0</v>
      </c>
      <c r="AK502" s="175">
        <v>1</v>
      </c>
      <c r="AL502" s="175">
        <v>15</v>
      </c>
      <c r="AM502" s="175">
        <v>17</v>
      </c>
      <c r="AN502" s="175">
        <v>1</v>
      </c>
      <c r="AO502" s="175">
        <v>34</v>
      </c>
      <c r="AP502" s="175">
        <v>31</v>
      </c>
      <c r="AQ502" s="175">
        <v>11</v>
      </c>
      <c r="AR502" s="175">
        <v>1</v>
      </c>
      <c r="AS502" s="175">
        <v>1</v>
      </c>
      <c r="AT502" s="175">
        <v>0</v>
      </c>
    </row>
    <row r="503" spans="1:46">
      <c r="A503">
        <v>5524</v>
      </c>
      <c r="B503" t="s">
        <v>3632</v>
      </c>
      <c r="C503" t="s">
        <v>3633</v>
      </c>
      <c r="D503" t="s">
        <v>3634</v>
      </c>
      <c r="E503" t="s">
        <v>3635</v>
      </c>
      <c r="G503" t="s">
        <v>3584</v>
      </c>
      <c r="H503" t="s">
        <v>452</v>
      </c>
      <c r="J503" t="s">
        <v>605</v>
      </c>
      <c r="K503" t="s">
        <v>606</v>
      </c>
      <c r="M503" t="s">
        <v>2366</v>
      </c>
      <c r="N503" t="s">
        <v>657</v>
      </c>
      <c r="O503" t="s">
        <v>3585</v>
      </c>
      <c r="P503" t="s">
        <v>610</v>
      </c>
      <c r="Q503" t="s">
        <v>523</v>
      </c>
      <c r="R503" t="s">
        <v>3410</v>
      </c>
      <c r="S503" t="s">
        <v>3433</v>
      </c>
      <c r="T503" t="s">
        <v>2526</v>
      </c>
      <c r="U503">
        <v>360000</v>
      </c>
      <c r="V503" t="s">
        <v>3636</v>
      </c>
      <c r="W503" t="s">
        <v>3587</v>
      </c>
      <c r="X503" t="s">
        <v>3570</v>
      </c>
      <c r="Y503" t="s">
        <v>3571</v>
      </c>
      <c r="Z503" t="s">
        <v>3569</v>
      </c>
      <c r="AA503" t="s">
        <v>3572</v>
      </c>
      <c r="AB503" t="s">
        <v>3573</v>
      </c>
      <c r="AC503">
        <v>99055</v>
      </c>
      <c r="AD503" t="s">
        <v>3588</v>
      </c>
      <c r="AE503">
        <v>-46.092690060000002</v>
      </c>
      <c r="AF503">
        <v>168.95830652000001</v>
      </c>
      <c r="AG503" s="175">
        <v>40</v>
      </c>
      <c r="AH503" s="175">
        <v>0</v>
      </c>
      <c r="AI503" s="175">
        <v>0</v>
      </c>
      <c r="AJ503" s="175">
        <v>0</v>
      </c>
      <c r="AK503" s="175">
        <v>0</v>
      </c>
      <c r="AL503" s="175">
        <v>14</v>
      </c>
      <c r="AM503" s="175">
        <v>19</v>
      </c>
      <c r="AN503" s="175">
        <v>0</v>
      </c>
      <c r="AO503" s="175">
        <v>33</v>
      </c>
      <c r="AP503" s="175">
        <v>29</v>
      </c>
      <c r="AQ503" s="175">
        <v>8</v>
      </c>
      <c r="AR503" s="175">
        <v>3</v>
      </c>
      <c r="AS503" s="175">
        <v>0</v>
      </c>
      <c r="AT503" s="175">
        <v>0</v>
      </c>
    </row>
    <row r="504" spans="1:46">
      <c r="A504">
        <v>5525</v>
      </c>
      <c r="B504" t="s">
        <v>3637</v>
      </c>
      <c r="C504" t="s">
        <v>3638</v>
      </c>
      <c r="D504" t="s">
        <v>3639</v>
      </c>
      <c r="E504" t="s">
        <v>3640</v>
      </c>
      <c r="G504" t="s">
        <v>3569</v>
      </c>
      <c r="H504" t="s">
        <v>452</v>
      </c>
      <c r="J504" t="s">
        <v>605</v>
      </c>
      <c r="K504" t="s">
        <v>606</v>
      </c>
      <c r="M504" t="s">
        <v>2366</v>
      </c>
      <c r="N504" t="s">
        <v>608</v>
      </c>
      <c r="O504" t="s">
        <v>3568</v>
      </c>
      <c r="P504" t="s">
        <v>670</v>
      </c>
      <c r="Q504" t="s">
        <v>523</v>
      </c>
      <c r="R504" t="s">
        <v>3410</v>
      </c>
      <c r="S504" t="s">
        <v>3569</v>
      </c>
      <c r="T504" t="s">
        <v>2526</v>
      </c>
      <c r="U504">
        <v>362501</v>
      </c>
      <c r="V504" t="s">
        <v>3593</v>
      </c>
      <c r="W504" t="s">
        <v>1734</v>
      </c>
      <c r="X504" t="s">
        <v>3570</v>
      </c>
      <c r="Y504" t="s">
        <v>3571</v>
      </c>
      <c r="Z504" t="s">
        <v>3569</v>
      </c>
      <c r="AA504" t="s">
        <v>3572</v>
      </c>
      <c r="AB504" t="s">
        <v>3573</v>
      </c>
      <c r="AC504">
        <v>99146</v>
      </c>
      <c r="AD504" t="s">
        <v>3579</v>
      </c>
      <c r="AE504">
        <v>-46.431255610000001</v>
      </c>
      <c r="AF504">
        <v>168.36729803</v>
      </c>
      <c r="AG504" s="175">
        <v>40</v>
      </c>
      <c r="AH504" s="175">
        <v>0</v>
      </c>
      <c r="AI504" s="175">
        <v>0</v>
      </c>
      <c r="AJ504" s="175">
        <v>0</v>
      </c>
      <c r="AK504" s="175">
        <v>9</v>
      </c>
      <c r="AL504" s="175">
        <v>5</v>
      </c>
      <c r="AM504" s="175">
        <v>11</v>
      </c>
      <c r="AN504" s="175">
        <v>2</v>
      </c>
      <c r="AO504" s="175">
        <v>27</v>
      </c>
      <c r="AP504" s="175">
        <v>19</v>
      </c>
      <c r="AQ504" s="175">
        <v>6</v>
      </c>
      <c r="AR504" s="175">
        <v>4</v>
      </c>
      <c r="AS504" s="175">
        <v>2</v>
      </c>
      <c r="AT504" s="175">
        <v>4</v>
      </c>
    </row>
    <row r="505" spans="1:46">
      <c r="A505">
        <v>5526</v>
      </c>
      <c r="B505" t="s">
        <v>3641</v>
      </c>
      <c r="C505" t="s">
        <v>3642</v>
      </c>
      <c r="D505" t="s">
        <v>3643</v>
      </c>
      <c r="E505" t="s">
        <v>3644</v>
      </c>
      <c r="G505" t="s">
        <v>3645</v>
      </c>
      <c r="H505" t="s">
        <v>452</v>
      </c>
      <c r="J505" t="s">
        <v>605</v>
      </c>
      <c r="K505" t="s">
        <v>606</v>
      </c>
      <c r="M505" t="s">
        <v>2366</v>
      </c>
      <c r="N505" t="s">
        <v>657</v>
      </c>
      <c r="O505" t="s">
        <v>3598</v>
      </c>
      <c r="P505" t="s">
        <v>610</v>
      </c>
      <c r="Q505" t="s">
        <v>523</v>
      </c>
      <c r="R505" t="s">
        <v>3410</v>
      </c>
      <c r="S505" t="s">
        <v>3569</v>
      </c>
      <c r="T505" t="s">
        <v>2526</v>
      </c>
      <c r="U505">
        <v>358801</v>
      </c>
      <c r="V505" t="s">
        <v>3645</v>
      </c>
      <c r="W505" t="s">
        <v>3646</v>
      </c>
      <c r="X505" t="s">
        <v>3570</v>
      </c>
      <c r="Y505" t="s">
        <v>3571</v>
      </c>
      <c r="Z505" t="s">
        <v>3569</v>
      </c>
      <c r="AA505" t="s">
        <v>3572</v>
      </c>
      <c r="AB505" t="s">
        <v>3573</v>
      </c>
      <c r="AE505">
        <v>-46.35145893</v>
      </c>
      <c r="AF505">
        <v>168.01643157000001</v>
      </c>
      <c r="AG505" s="175">
        <v>20</v>
      </c>
      <c r="AH505" s="175">
        <v>0</v>
      </c>
      <c r="AI505" s="175">
        <v>0</v>
      </c>
      <c r="AJ505" s="175">
        <v>0</v>
      </c>
      <c r="AK505" s="175">
        <v>4</v>
      </c>
      <c r="AL505" s="175">
        <v>12</v>
      </c>
      <c r="AM505" s="175">
        <v>14</v>
      </c>
      <c r="AN505" s="175">
        <v>0</v>
      </c>
      <c r="AO505" s="175">
        <v>30</v>
      </c>
      <c r="AP505" s="175">
        <v>26</v>
      </c>
      <c r="AQ505" s="175">
        <v>12</v>
      </c>
      <c r="AR505" s="175">
        <v>0</v>
      </c>
      <c r="AS505" s="175">
        <v>1</v>
      </c>
      <c r="AT505" s="175">
        <v>1</v>
      </c>
    </row>
    <row r="506" spans="1:46">
      <c r="A506">
        <v>5528</v>
      </c>
      <c r="B506" t="s">
        <v>3647</v>
      </c>
      <c r="C506" t="s">
        <v>3648</v>
      </c>
      <c r="D506" t="s">
        <v>3649</v>
      </c>
      <c r="E506" t="s">
        <v>3650</v>
      </c>
      <c r="G506" t="s">
        <v>3569</v>
      </c>
      <c r="H506" t="s">
        <v>452</v>
      </c>
      <c r="J506" t="s">
        <v>605</v>
      </c>
      <c r="K506" t="s">
        <v>606</v>
      </c>
      <c r="M506" t="s">
        <v>2366</v>
      </c>
      <c r="N506" t="s">
        <v>657</v>
      </c>
      <c r="O506" t="s">
        <v>3568</v>
      </c>
      <c r="P506" t="s">
        <v>670</v>
      </c>
      <c r="Q506" t="s">
        <v>523</v>
      </c>
      <c r="R506" t="s">
        <v>3410</v>
      </c>
      <c r="S506" t="s">
        <v>3569</v>
      </c>
      <c r="T506" t="s">
        <v>2526</v>
      </c>
      <c r="U506">
        <v>360701</v>
      </c>
      <c r="V506" t="s">
        <v>3651</v>
      </c>
      <c r="W506" t="s">
        <v>1734</v>
      </c>
      <c r="X506" t="s">
        <v>3570</v>
      </c>
      <c r="Y506" t="s">
        <v>3571</v>
      </c>
      <c r="Z506" t="s">
        <v>3569</v>
      </c>
      <c r="AA506" t="s">
        <v>3572</v>
      </c>
      <c r="AB506" t="s">
        <v>3573</v>
      </c>
      <c r="AC506">
        <v>99146</v>
      </c>
      <c r="AD506" t="s">
        <v>3579</v>
      </c>
      <c r="AE506">
        <v>-46.375377090000001</v>
      </c>
      <c r="AF506">
        <v>168.34490435000001</v>
      </c>
      <c r="AG506" s="175">
        <v>45</v>
      </c>
      <c r="AH506" s="175">
        <v>0</v>
      </c>
      <c r="AI506" s="175">
        <v>0</v>
      </c>
      <c r="AJ506" s="175">
        <v>0</v>
      </c>
      <c r="AK506" s="175">
        <v>3</v>
      </c>
      <c r="AL506" s="175">
        <v>8</v>
      </c>
      <c r="AM506" s="175">
        <v>27</v>
      </c>
      <c r="AN506" s="175">
        <v>3</v>
      </c>
      <c r="AO506" s="175">
        <v>41</v>
      </c>
      <c r="AP506" s="175">
        <v>38</v>
      </c>
      <c r="AQ506" s="175">
        <v>13</v>
      </c>
      <c r="AR506" s="175">
        <v>0</v>
      </c>
      <c r="AS506" s="175">
        <v>4</v>
      </c>
      <c r="AT506" s="175">
        <v>1</v>
      </c>
    </row>
    <row r="507" spans="1:46">
      <c r="A507">
        <v>5529</v>
      </c>
      <c r="B507" t="s">
        <v>3652</v>
      </c>
      <c r="C507" t="s">
        <v>3653</v>
      </c>
      <c r="D507" t="s">
        <v>3654</v>
      </c>
      <c r="E507" t="s">
        <v>3655</v>
      </c>
      <c r="G507" t="s">
        <v>3569</v>
      </c>
      <c r="H507" t="s">
        <v>452</v>
      </c>
      <c r="J507" t="s">
        <v>605</v>
      </c>
      <c r="K507" t="s">
        <v>606</v>
      </c>
      <c r="M507" t="s">
        <v>2366</v>
      </c>
      <c r="N507" t="s">
        <v>657</v>
      </c>
      <c r="O507" t="s">
        <v>3568</v>
      </c>
      <c r="P507" t="s">
        <v>670</v>
      </c>
      <c r="Q507" t="s">
        <v>523</v>
      </c>
      <c r="R507" t="s">
        <v>3410</v>
      </c>
      <c r="S507" t="s">
        <v>3569</v>
      </c>
      <c r="T507" t="s">
        <v>2526</v>
      </c>
      <c r="U507">
        <v>361501</v>
      </c>
      <c r="V507" t="s">
        <v>3656</v>
      </c>
      <c r="W507" t="s">
        <v>1734</v>
      </c>
      <c r="X507" t="s">
        <v>3570</v>
      </c>
      <c r="Y507" t="s">
        <v>3571</v>
      </c>
      <c r="Z507" t="s">
        <v>3569</v>
      </c>
      <c r="AA507" t="s">
        <v>3572</v>
      </c>
      <c r="AB507" t="s">
        <v>3573</v>
      </c>
      <c r="AC507">
        <v>99146</v>
      </c>
      <c r="AD507" t="s">
        <v>3579</v>
      </c>
      <c r="AE507">
        <v>-46.396693910000003</v>
      </c>
      <c r="AF507">
        <v>168.37472964</v>
      </c>
      <c r="AG507" s="175">
        <v>45</v>
      </c>
      <c r="AH507" s="175">
        <v>0</v>
      </c>
      <c r="AI507" s="175">
        <v>0</v>
      </c>
      <c r="AJ507" s="175">
        <v>0</v>
      </c>
      <c r="AK507" s="175">
        <v>0</v>
      </c>
      <c r="AL507" s="175">
        <v>20</v>
      </c>
      <c r="AM507" s="175">
        <v>25</v>
      </c>
      <c r="AN507" s="175">
        <v>0</v>
      </c>
      <c r="AO507" s="175">
        <v>45</v>
      </c>
      <c r="AP507" s="175">
        <v>36</v>
      </c>
      <c r="AQ507" s="175">
        <v>9</v>
      </c>
      <c r="AR507" s="175">
        <v>3</v>
      </c>
      <c r="AS507" s="175">
        <v>9</v>
      </c>
      <c r="AT507" s="175">
        <v>2</v>
      </c>
    </row>
    <row r="508" spans="1:46">
      <c r="A508">
        <v>5531</v>
      </c>
      <c r="B508" t="s">
        <v>3657</v>
      </c>
      <c r="C508" t="s">
        <v>3658</v>
      </c>
      <c r="D508" t="s">
        <v>3659</v>
      </c>
      <c r="E508" t="s">
        <v>3660</v>
      </c>
      <c r="G508" t="s">
        <v>3661</v>
      </c>
      <c r="H508" t="s">
        <v>452</v>
      </c>
      <c r="J508" t="s">
        <v>605</v>
      </c>
      <c r="K508" t="s">
        <v>606</v>
      </c>
      <c r="M508" t="s">
        <v>2366</v>
      </c>
      <c r="N508" t="s">
        <v>657</v>
      </c>
      <c r="O508" t="s">
        <v>3598</v>
      </c>
      <c r="P508" t="s">
        <v>610</v>
      </c>
      <c r="Q508" t="s">
        <v>523</v>
      </c>
      <c r="R508" t="s">
        <v>3410</v>
      </c>
      <c r="S508" t="s">
        <v>3433</v>
      </c>
      <c r="T508" t="s">
        <v>2526</v>
      </c>
      <c r="U508">
        <v>358600</v>
      </c>
      <c r="V508" t="s">
        <v>3661</v>
      </c>
      <c r="W508" t="s">
        <v>3662</v>
      </c>
      <c r="X508" t="s">
        <v>3570</v>
      </c>
      <c r="Y508" t="s">
        <v>3571</v>
      </c>
      <c r="Z508" t="s">
        <v>3569</v>
      </c>
      <c r="AA508" t="s">
        <v>3572</v>
      </c>
      <c r="AB508" t="s">
        <v>3573</v>
      </c>
      <c r="AE508">
        <v>-46.143401279999999</v>
      </c>
      <c r="AF508">
        <v>168.32400754</v>
      </c>
      <c r="AG508" s="175">
        <v>45</v>
      </c>
      <c r="AH508" s="175">
        <v>0</v>
      </c>
      <c r="AI508" s="175">
        <v>0</v>
      </c>
      <c r="AJ508" s="175">
        <v>0</v>
      </c>
      <c r="AK508" s="175">
        <v>0</v>
      </c>
      <c r="AL508" s="175">
        <v>15</v>
      </c>
      <c r="AM508" s="175">
        <v>31</v>
      </c>
      <c r="AN508" s="175">
        <v>0</v>
      </c>
      <c r="AO508" s="175">
        <v>46</v>
      </c>
      <c r="AP508" s="175">
        <v>41</v>
      </c>
      <c r="AQ508" s="175">
        <v>10</v>
      </c>
      <c r="AR508" s="175">
        <v>0</v>
      </c>
      <c r="AS508" s="175">
        <v>2</v>
      </c>
      <c r="AT508" s="175">
        <v>0</v>
      </c>
    </row>
    <row r="509" spans="1:46">
      <c r="A509">
        <v>5532</v>
      </c>
      <c r="B509" t="s">
        <v>3663</v>
      </c>
      <c r="C509" t="s">
        <v>3664</v>
      </c>
      <c r="E509" t="s">
        <v>3665</v>
      </c>
      <c r="G509" t="s">
        <v>2435</v>
      </c>
      <c r="H509" t="s">
        <v>452</v>
      </c>
      <c r="J509" t="s">
        <v>605</v>
      </c>
      <c r="K509" t="s">
        <v>606</v>
      </c>
      <c r="M509" t="s">
        <v>2366</v>
      </c>
      <c r="N509" t="s">
        <v>643</v>
      </c>
      <c r="O509" t="s">
        <v>2436</v>
      </c>
      <c r="P509" t="s">
        <v>610</v>
      </c>
      <c r="Q509" t="s">
        <v>516</v>
      </c>
      <c r="R509" t="s">
        <v>2368</v>
      </c>
      <c r="S509" t="s">
        <v>2348</v>
      </c>
      <c r="T509" t="s">
        <v>2165</v>
      </c>
      <c r="U509">
        <v>257100</v>
      </c>
      <c r="V509" t="s">
        <v>2437</v>
      </c>
      <c r="W509" t="s">
        <v>1734</v>
      </c>
      <c r="X509" t="s">
        <v>1970</v>
      </c>
      <c r="Y509" t="s">
        <v>1971</v>
      </c>
      <c r="AA509" t="s">
        <v>1972</v>
      </c>
      <c r="AB509" t="s">
        <v>1973</v>
      </c>
      <c r="AC509">
        <v>99109</v>
      </c>
      <c r="AD509" t="s">
        <v>2413</v>
      </c>
      <c r="AE509">
        <v>-41.033678530000003</v>
      </c>
      <c r="AF509">
        <v>175.51957780999999</v>
      </c>
      <c r="AG509" s="175">
        <v>32</v>
      </c>
      <c r="AH509" s="175">
        <v>0</v>
      </c>
      <c r="AI509" s="175">
        <v>0</v>
      </c>
      <c r="AJ509" s="175">
        <v>0</v>
      </c>
      <c r="AK509" s="175">
        <v>9</v>
      </c>
      <c r="AL509" s="175">
        <v>14</v>
      </c>
      <c r="AM509" s="175">
        <v>13</v>
      </c>
      <c r="AN509" s="175">
        <v>1</v>
      </c>
      <c r="AO509" s="175">
        <v>37</v>
      </c>
      <c r="AP509" s="175">
        <v>32</v>
      </c>
      <c r="AQ509" s="175">
        <v>10</v>
      </c>
      <c r="AR509" s="175">
        <v>3</v>
      </c>
      <c r="AS509" s="175">
        <v>2</v>
      </c>
      <c r="AT509" s="175">
        <v>0</v>
      </c>
    </row>
    <row r="510" spans="1:46">
      <c r="A510">
        <v>5533</v>
      </c>
      <c r="B510" t="s">
        <v>3666</v>
      </c>
      <c r="C510" t="s">
        <v>3667</v>
      </c>
      <c r="D510" t="s">
        <v>3668</v>
      </c>
      <c r="E510" t="s">
        <v>3669</v>
      </c>
      <c r="G510" t="s">
        <v>2112</v>
      </c>
      <c r="H510" t="s">
        <v>452</v>
      </c>
      <c r="J510" t="s">
        <v>605</v>
      </c>
      <c r="K510" t="s">
        <v>606</v>
      </c>
      <c r="M510" t="s">
        <v>1382</v>
      </c>
      <c r="N510" t="s">
        <v>657</v>
      </c>
      <c r="O510" t="s">
        <v>2048</v>
      </c>
      <c r="P510" t="s">
        <v>610</v>
      </c>
      <c r="Q510" t="s">
        <v>553</v>
      </c>
      <c r="R510" t="s">
        <v>1841</v>
      </c>
      <c r="S510" t="s">
        <v>1719</v>
      </c>
      <c r="T510" t="s">
        <v>1568</v>
      </c>
      <c r="U510">
        <v>226701</v>
      </c>
      <c r="V510" t="s">
        <v>3670</v>
      </c>
      <c r="W510" t="s">
        <v>2114</v>
      </c>
      <c r="X510" t="s">
        <v>2039</v>
      </c>
      <c r="Y510" t="s">
        <v>2040</v>
      </c>
      <c r="AA510" t="s">
        <v>2041</v>
      </c>
      <c r="AB510" t="s">
        <v>2042</v>
      </c>
      <c r="AC510">
        <v>99078</v>
      </c>
      <c r="AD510" t="s">
        <v>2050</v>
      </c>
      <c r="AE510">
        <v>-40.066534179999998</v>
      </c>
      <c r="AF510">
        <v>175.37542980000001</v>
      </c>
      <c r="AG510" s="175">
        <v>40</v>
      </c>
      <c r="AH510" s="175">
        <v>0</v>
      </c>
      <c r="AI510" s="175">
        <v>0</v>
      </c>
      <c r="AJ510" s="175">
        <v>0</v>
      </c>
      <c r="AK510" s="175">
        <v>4</v>
      </c>
      <c r="AL510" s="175">
        <v>15</v>
      </c>
      <c r="AM510" s="175">
        <v>30</v>
      </c>
      <c r="AN510" s="175">
        <v>1</v>
      </c>
      <c r="AO510" s="175">
        <v>50</v>
      </c>
      <c r="AP510" s="175">
        <v>32</v>
      </c>
      <c r="AQ510" s="175">
        <v>23</v>
      </c>
      <c r="AR510" s="175">
        <v>8</v>
      </c>
      <c r="AS510" s="175">
        <v>6</v>
      </c>
      <c r="AT510" s="175">
        <v>1</v>
      </c>
    </row>
    <row r="511" spans="1:46">
      <c r="A511">
        <v>5534</v>
      </c>
      <c r="B511" t="s">
        <v>3671</v>
      </c>
      <c r="C511" t="s">
        <v>3672</v>
      </c>
      <c r="D511" t="s">
        <v>3673</v>
      </c>
      <c r="E511" t="s">
        <v>3674</v>
      </c>
      <c r="G511" t="s">
        <v>2055</v>
      </c>
      <c r="H511" t="s">
        <v>452</v>
      </c>
      <c r="J511" t="s">
        <v>605</v>
      </c>
      <c r="K511" t="s">
        <v>606</v>
      </c>
      <c r="M511" t="s">
        <v>1382</v>
      </c>
      <c r="N511" t="s">
        <v>657</v>
      </c>
      <c r="O511" t="s">
        <v>2037</v>
      </c>
      <c r="P511" t="s">
        <v>670</v>
      </c>
      <c r="Q511" t="s">
        <v>553</v>
      </c>
      <c r="R511" t="s">
        <v>1841</v>
      </c>
      <c r="S511" t="s">
        <v>2055</v>
      </c>
      <c r="T511" t="s">
        <v>1568</v>
      </c>
      <c r="U511">
        <v>231400</v>
      </c>
      <c r="V511" t="s">
        <v>3675</v>
      </c>
      <c r="W511" t="s">
        <v>2038</v>
      </c>
      <c r="X511" t="s">
        <v>2039</v>
      </c>
      <c r="Y511" t="s">
        <v>2040</v>
      </c>
      <c r="AA511" t="s">
        <v>2041</v>
      </c>
      <c r="AB511" t="s">
        <v>2042</v>
      </c>
      <c r="AC511">
        <v>99165</v>
      </c>
      <c r="AD511" t="s">
        <v>2057</v>
      </c>
      <c r="AE511">
        <v>-40.357321280000001</v>
      </c>
      <c r="AF511">
        <v>175.62269645000001</v>
      </c>
      <c r="AG511" s="175">
        <v>40</v>
      </c>
      <c r="AH511" s="175">
        <v>0</v>
      </c>
      <c r="AI511" s="175">
        <v>0</v>
      </c>
      <c r="AJ511" s="175">
        <v>0</v>
      </c>
      <c r="AK511" s="175">
        <v>2</v>
      </c>
      <c r="AL511" s="175">
        <v>18</v>
      </c>
      <c r="AM511" s="175">
        <v>29</v>
      </c>
      <c r="AN511" s="175">
        <v>1</v>
      </c>
      <c r="AO511" s="175">
        <v>50</v>
      </c>
      <c r="AP511" s="175">
        <v>30</v>
      </c>
      <c r="AQ511" s="175">
        <v>7</v>
      </c>
      <c r="AR511" s="175">
        <v>7</v>
      </c>
      <c r="AS511" s="175">
        <v>15</v>
      </c>
      <c r="AT511" s="175">
        <v>2</v>
      </c>
    </row>
    <row r="512" spans="1:46">
      <c r="A512">
        <v>5535</v>
      </c>
      <c r="B512" t="s">
        <v>3676</v>
      </c>
      <c r="C512" t="s">
        <v>3677</v>
      </c>
      <c r="D512" t="s">
        <v>3012</v>
      </c>
      <c r="E512" t="s">
        <v>3678</v>
      </c>
      <c r="G512" t="s">
        <v>3679</v>
      </c>
      <c r="H512" t="s">
        <v>452</v>
      </c>
      <c r="J512" t="s">
        <v>605</v>
      </c>
      <c r="K512" t="s">
        <v>606</v>
      </c>
      <c r="M512" t="s">
        <v>2366</v>
      </c>
      <c r="N512" t="s">
        <v>657</v>
      </c>
      <c r="O512" t="s">
        <v>3016</v>
      </c>
      <c r="P512" t="s">
        <v>739</v>
      </c>
      <c r="Q512" t="s">
        <v>521</v>
      </c>
      <c r="R512" t="s">
        <v>3017</v>
      </c>
      <c r="S512" t="s">
        <v>3038</v>
      </c>
      <c r="T512" t="s">
        <v>2526</v>
      </c>
      <c r="U512">
        <v>317301</v>
      </c>
      <c r="V512" t="s">
        <v>3680</v>
      </c>
      <c r="W512" t="s">
        <v>3059</v>
      </c>
      <c r="X512" t="s">
        <v>3021</v>
      </c>
      <c r="Y512" t="s">
        <v>3022</v>
      </c>
      <c r="Z512" t="s">
        <v>3023</v>
      </c>
      <c r="AA512" t="s">
        <v>3024</v>
      </c>
      <c r="AB512" t="s">
        <v>3025</v>
      </c>
      <c r="AE512">
        <v>-43.454814659999997</v>
      </c>
      <c r="AF512">
        <v>172.62780427000001</v>
      </c>
      <c r="AG512" s="175">
        <v>40</v>
      </c>
      <c r="AH512" s="175">
        <v>0</v>
      </c>
      <c r="AI512" s="175">
        <v>0</v>
      </c>
      <c r="AJ512" s="175">
        <v>0</v>
      </c>
      <c r="AK512" s="175">
        <v>6</v>
      </c>
      <c r="AL512" s="175">
        <v>20</v>
      </c>
      <c r="AM512" s="175">
        <v>13</v>
      </c>
      <c r="AN512" s="175">
        <v>1</v>
      </c>
      <c r="AO512" s="175">
        <v>40</v>
      </c>
      <c r="AP512" s="175">
        <v>30</v>
      </c>
      <c r="AQ512" s="175">
        <v>7</v>
      </c>
      <c r="AR512" s="175">
        <v>2</v>
      </c>
      <c r="AS512" s="175">
        <v>6</v>
      </c>
      <c r="AT512" s="175">
        <v>2</v>
      </c>
    </row>
    <row r="513" spans="1:46">
      <c r="A513">
        <v>5536</v>
      </c>
      <c r="B513" t="s">
        <v>3681</v>
      </c>
      <c r="C513" t="s">
        <v>3682</v>
      </c>
      <c r="D513" t="s">
        <v>3683</v>
      </c>
      <c r="E513" t="s">
        <v>3684</v>
      </c>
      <c r="G513" t="s">
        <v>3569</v>
      </c>
      <c r="H513" t="s">
        <v>452</v>
      </c>
      <c r="J513" t="s">
        <v>605</v>
      </c>
      <c r="K513" t="s">
        <v>606</v>
      </c>
      <c r="M513" t="s">
        <v>2366</v>
      </c>
      <c r="N513" t="s">
        <v>657</v>
      </c>
      <c r="O513" t="s">
        <v>3568</v>
      </c>
      <c r="P513" t="s">
        <v>670</v>
      </c>
      <c r="Q513" t="s">
        <v>523</v>
      </c>
      <c r="R513" t="s">
        <v>3410</v>
      </c>
      <c r="S513" t="s">
        <v>3569</v>
      </c>
      <c r="T513" t="s">
        <v>2526</v>
      </c>
      <c r="U513">
        <v>361100</v>
      </c>
      <c r="V513" t="s">
        <v>3685</v>
      </c>
      <c r="W513" t="s">
        <v>1734</v>
      </c>
      <c r="X513" t="s">
        <v>3570</v>
      </c>
      <c r="Y513" t="s">
        <v>3571</v>
      </c>
      <c r="Z513" t="s">
        <v>3569</v>
      </c>
      <c r="AA513" t="s">
        <v>3572</v>
      </c>
      <c r="AB513" t="s">
        <v>3573</v>
      </c>
      <c r="AC513">
        <v>99146</v>
      </c>
      <c r="AD513" t="s">
        <v>3579</v>
      </c>
      <c r="AE513">
        <v>-46.391006249999997</v>
      </c>
      <c r="AF513">
        <v>168.36012162</v>
      </c>
      <c r="AG513" s="175">
        <v>40</v>
      </c>
      <c r="AH513" s="175">
        <v>0</v>
      </c>
      <c r="AI513" s="175">
        <v>0</v>
      </c>
      <c r="AJ513" s="175">
        <v>0</v>
      </c>
      <c r="AK513" s="175">
        <v>0</v>
      </c>
      <c r="AL513" s="175">
        <v>13</v>
      </c>
      <c r="AM513" s="175">
        <v>22</v>
      </c>
      <c r="AN513" s="175">
        <v>0</v>
      </c>
      <c r="AO513" s="175">
        <v>35</v>
      </c>
      <c r="AP513" s="175">
        <v>30</v>
      </c>
      <c r="AQ513" s="175">
        <v>8</v>
      </c>
      <c r="AR513" s="175">
        <v>2</v>
      </c>
      <c r="AS513" s="175">
        <v>2</v>
      </c>
      <c r="AT513" s="175">
        <v>2</v>
      </c>
    </row>
    <row r="514" spans="1:46">
      <c r="A514">
        <v>5537</v>
      </c>
      <c r="B514" t="s">
        <v>3686</v>
      </c>
      <c r="C514" t="s">
        <v>3687</v>
      </c>
      <c r="D514" t="s">
        <v>3688</v>
      </c>
      <c r="E514" t="s">
        <v>3689</v>
      </c>
      <c r="F514" t="s">
        <v>2656</v>
      </c>
      <c r="G514" t="s">
        <v>2604</v>
      </c>
      <c r="H514" t="s">
        <v>452</v>
      </c>
      <c r="J514" t="s">
        <v>605</v>
      </c>
      <c r="K514" t="s">
        <v>606</v>
      </c>
      <c r="M514" t="s">
        <v>2366</v>
      </c>
      <c r="N514" t="s">
        <v>657</v>
      </c>
      <c r="O514" t="s">
        <v>2605</v>
      </c>
      <c r="P514" t="s">
        <v>670</v>
      </c>
      <c r="Q514" t="s">
        <v>516</v>
      </c>
      <c r="R514" t="s">
        <v>2368</v>
      </c>
      <c r="S514" t="s">
        <v>2606</v>
      </c>
      <c r="T514" t="s">
        <v>1568</v>
      </c>
      <c r="U514">
        <v>240401</v>
      </c>
      <c r="V514" t="s">
        <v>2656</v>
      </c>
      <c r="W514" t="s">
        <v>2657</v>
      </c>
      <c r="X514" t="s">
        <v>1970</v>
      </c>
      <c r="Y514" t="s">
        <v>1971</v>
      </c>
      <c r="AA514" t="s">
        <v>1972</v>
      </c>
      <c r="AB514" t="s">
        <v>1973</v>
      </c>
      <c r="AC514">
        <v>99068</v>
      </c>
      <c r="AD514" t="s">
        <v>2608</v>
      </c>
      <c r="AE514">
        <v>-41.119627399999999</v>
      </c>
      <c r="AF514">
        <v>174.8902726</v>
      </c>
      <c r="AG514" s="175">
        <v>43</v>
      </c>
      <c r="AH514" s="175">
        <v>0</v>
      </c>
      <c r="AI514" s="175">
        <v>0</v>
      </c>
      <c r="AJ514" s="175">
        <v>0</v>
      </c>
      <c r="AK514" s="175">
        <v>13</v>
      </c>
      <c r="AL514" s="175">
        <v>12</v>
      </c>
      <c r="AM514" s="175">
        <v>18</v>
      </c>
      <c r="AN514" s="175">
        <v>0</v>
      </c>
      <c r="AO514" s="175">
        <v>43</v>
      </c>
      <c r="AP514" s="175">
        <v>29</v>
      </c>
      <c r="AQ514" s="175">
        <v>5</v>
      </c>
      <c r="AR514" s="175">
        <v>7</v>
      </c>
      <c r="AS514" s="175">
        <v>4</v>
      </c>
      <c r="AT514" s="175">
        <v>8</v>
      </c>
    </row>
    <row r="515" spans="1:46">
      <c r="A515">
        <v>5538</v>
      </c>
      <c r="B515" t="s">
        <v>3690</v>
      </c>
      <c r="C515" t="s">
        <v>3691</v>
      </c>
      <c r="D515" t="s">
        <v>3692</v>
      </c>
      <c r="E515" t="s">
        <v>3693</v>
      </c>
      <c r="G515" t="s">
        <v>3694</v>
      </c>
      <c r="H515" t="s">
        <v>452</v>
      </c>
      <c r="J515" t="s">
        <v>605</v>
      </c>
      <c r="K515" t="s">
        <v>606</v>
      </c>
      <c r="M515" t="s">
        <v>607</v>
      </c>
      <c r="N515" t="s">
        <v>657</v>
      </c>
      <c r="O515" t="s">
        <v>738</v>
      </c>
      <c r="P515" t="s">
        <v>670</v>
      </c>
      <c r="Q515" t="s">
        <v>467</v>
      </c>
      <c r="R515" t="s">
        <v>724</v>
      </c>
      <c r="S515" t="s">
        <v>753</v>
      </c>
      <c r="T515" t="s">
        <v>613</v>
      </c>
      <c r="U515">
        <v>115800</v>
      </c>
      <c r="V515" t="s">
        <v>3695</v>
      </c>
      <c r="W515" t="s">
        <v>742</v>
      </c>
      <c r="X515" t="s">
        <v>743</v>
      </c>
      <c r="Y515" t="s">
        <v>744</v>
      </c>
      <c r="Z515" t="s">
        <v>745</v>
      </c>
      <c r="AA515" t="s">
        <v>746</v>
      </c>
      <c r="AC515">
        <v>99095</v>
      </c>
      <c r="AD515" t="s">
        <v>786</v>
      </c>
      <c r="AE515">
        <v>-36.636909369999998</v>
      </c>
      <c r="AF515">
        <v>174.755436</v>
      </c>
      <c r="AG515" s="175">
        <v>40</v>
      </c>
      <c r="AH515" s="175">
        <v>0</v>
      </c>
      <c r="AI515" s="175">
        <v>0</v>
      </c>
      <c r="AJ515" s="175">
        <v>0</v>
      </c>
      <c r="AK515" s="175">
        <v>0</v>
      </c>
      <c r="AL515" s="175">
        <v>18</v>
      </c>
      <c r="AM515" s="175">
        <v>27</v>
      </c>
      <c r="AN515" s="175">
        <v>5</v>
      </c>
      <c r="AO515" s="175">
        <v>50</v>
      </c>
      <c r="AP515" s="175">
        <v>49</v>
      </c>
      <c r="AQ515" s="175">
        <v>8</v>
      </c>
      <c r="AR515" s="175">
        <v>5</v>
      </c>
      <c r="AS515" s="175">
        <v>6</v>
      </c>
      <c r="AT515" s="175">
        <v>1</v>
      </c>
    </row>
    <row r="516" spans="1:46">
      <c r="A516">
        <v>5539</v>
      </c>
      <c r="B516" t="s">
        <v>3696</v>
      </c>
      <c r="C516" t="s">
        <v>3697</v>
      </c>
      <c r="D516" t="s">
        <v>3698</v>
      </c>
      <c r="E516" t="s">
        <v>3699</v>
      </c>
      <c r="F516" t="s">
        <v>3700</v>
      </c>
      <c r="G516" t="s">
        <v>2198</v>
      </c>
      <c r="H516" t="s">
        <v>452</v>
      </c>
      <c r="J516" t="s">
        <v>605</v>
      </c>
      <c r="K516" t="s">
        <v>606</v>
      </c>
      <c r="M516" t="s">
        <v>1382</v>
      </c>
      <c r="N516" t="s">
        <v>657</v>
      </c>
      <c r="O516" t="s">
        <v>2210</v>
      </c>
      <c r="P516" t="s">
        <v>670</v>
      </c>
      <c r="Q516" t="s">
        <v>513</v>
      </c>
      <c r="R516" t="s">
        <v>2164</v>
      </c>
      <c r="S516" t="s">
        <v>2198</v>
      </c>
      <c r="T516" t="s">
        <v>2165</v>
      </c>
      <c r="U516">
        <v>214500</v>
      </c>
      <c r="V516" t="s">
        <v>3701</v>
      </c>
      <c r="W516" t="s">
        <v>2211</v>
      </c>
      <c r="X516" t="s">
        <v>2199</v>
      </c>
      <c r="Y516" t="s">
        <v>2200</v>
      </c>
      <c r="Z516" t="s">
        <v>2201</v>
      </c>
      <c r="AA516" t="s">
        <v>2202</v>
      </c>
      <c r="AB516" t="s">
        <v>2203</v>
      </c>
      <c r="AC516">
        <v>99003</v>
      </c>
      <c r="AD516" t="s">
        <v>2226</v>
      </c>
      <c r="AE516">
        <v>-39.494764969999999</v>
      </c>
      <c r="AF516">
        <v>176.902523</v>
      </c>
      <c r="AG516" s="175">
        <v>43</v>
      </c>
      <c r="AH516" s="175">
        <v>0</v>
      </c>
      <c r="AI516" s="175">
        <v>0</v>
      </c>
      <c r="AJ516" s="175">
        <v>0</v>
      </c>
      <c r="AK516" s="175">
        <v>9</v>
      </c>
      <c r="AL516" s="175">
        <v>16</v>
      </c>
      <c r="AM516" s="175">
        <v>18</v>
      </c>
      <c r="AN516" s="175">
        <v>1</v>
      </c>
      <c r="AO516" s="175">
        <v>44</v>
      </c>
      <c r="AP516" s="175">
        <v>41</v>
      </c>
      <c r="AQ516" s="175">
        <v>7</v>
      </c>
      <c r="AR516" s="175">
        <v>1</v>
      </c>
      <c r="AS516" s="175">
        <v>2</v>
      </c>
      <c r="AT516" s="175">
        <v>3</v>
      </c>
    </row>
    <row r="517" spans="1:46">
      <c r="A517">
        <v>5541</v>
      </c>
      <c r="B517" t="s">
        <v>3702</v>
      </c>
      <c r="C517" t="s">
        <v>3703</v>
      </c>
      <c r="D517" t="s">
        <v>3704</v>
      </c>
      <c r="E517" t="s">
        <v>3705</v>
      </c>
      <c r="F517" t="s">
        <v>3706</v>
      </c>
      <c r="G517" t="s">
        <v>1839</v>
      </c>
      <c r="H517" t="s">
        <v>452</v>
      </c>
      <c r="J517" t="s">
        <v>605</v>
      </c>
      <c r="K517" t="s">
        <v>606</v>
      </c>
      <c r="M517" t="s">
        <v>1382</v>
      </c>
      <c r="N517" t="s">
        <v>657</v>
      </c>
      <c r="O517" t="s">
        <v>1840</v>
      </c>
      <c r="P517" t="s">
        <v>670</v>
      </c>
      <c r="Q517" t="s">
        <v>514</v>
      </c>
      <c r="R517" t="s">
        <v>1841</v>
      </c>
      <c r="S517" t="s">
        <v>1839</v>
      </c>
      <c r="T517" t="s">
        <v>1568</v>
      </c>
      <c r="U517">
        <v>218001</v>
      </c>
      <c r="V517" t="s">
        <v>3706</v>
      </c>
      <c r="W517" t="s">
        <v>1843</v>
      </c>
      <c r="X517" t="s">
        <v>1844</v>
      </c>
      <c r="Y517" t="s">
        <v>1845</v>
      </c>
      <c r="AA517" t="s">
        <v>1846</v>
      </c>
      <c r="AB517" t="s">
        <v>1847</v>
      </c>
      <c r="AE517">
        <v>-39.087876530000003</v>
      </c>
      <c r="AF517">
        <v>174.07016045</v>
      </c>
      <c r="AG517" s="175">
        <v>45</v>
      </c>
      <c r="AH517" s="175">
        <v>0</v>
      </c>
      <c r="AI517" s="175">
        <v>0</v>
      </c>
      <c r="AJ517" s="175">
        <v>0</v>
      </c>
      <c r="AK517" s="175">
        <v>6</v>
      </c>
      <c r="AL517" s="175">
        <v>27</v>
      </c>
      <c r="AM517" s="175">
        <v>21</v>
      </c>
      <c r="AN517" s="175">
        <v>1</v>
      </c>
      <c r="AO517" s="175">
        <v>55</v>
      </c>
      <c r="AP517" s="175">
        <v>47</v>
      </c>
      <c r="AQ517" s="175">
        <v>13</v>
      </c>
      <c r="AR517" s="175">
        <v>1</v>
      </c>
      <c r="AS517" s="175">
        <v>8</v>
      </c>
      <c r="AT517" s="175">
        <v>1</v>
      </c>
    </row>
    <row r="518" spans="1:46">
      <c r="A518">
        <v>5542</v>
      </c>
      <c r="B518" t="s">
        <v>3707</v>
      </c>
      <c r="C518" t="s">
        <v>3402</v>
      </c>
      <c r="D518" t="s">
        <v>3393</v>
      </c>
      <c r="E518" t="s">
        <v>3400</v>
      </c>
      <c r="G518" t="s">
        <v>3708</v>
      </c>
      <c r="H518" t="s">
        <v>452</v>
      </c>
      <c r="J518" t="s">
        <v>605</v>
      </c>
      <c r="K518" t="s">
        <v>606</v>
      </c>
      <c r="M518" t="s">
        <v>2366</v>
      </c>
      <c r="N518" t="s">
        <v>643</v>
      </c>
      <c r="O518" t="s">
        <v>3396</v>
      </c>
      <c r="P518" t="s">
        <v>610</v>
      </c>
      <c r="Q518" t="s">
        <v>521</v>
      </c>
      <c r="R518" t="s">
        <v>3017</v>
      </c>
      <c r="S518" t="s">
        <v>3323</v>
      </c>
      <c r="T518" t="s">
        <v>2526</v>
      </c>
      <c r="U518">
        <v>342800</v>
      </c>
      <c r="V518" t="s">
        <v>3709</v>
      </c>
      <c r="W518" t="s">
        <v>3710</v>
      </c>
      <c r="X518" t="s">
        <v>3399</v>
      </c>
      <c r="Y518" t="s">
        <v>3400</v>
      </c>
      <c r="AA518" t="s">
        <v>3401</v>
      </c>
      <c r="AB518" t="s">
        <v>3402</v>
      </c>
      <c r="AC518">
        <v>99040</v>
      </c>
      <c r="AD518" t="s">
        <v>3403</v>
      </c>
      <c r="AE518">
        <v>-44.734276209999997</v>
      </c>
      <c r="AF518">
        <v>171.04854857999999</v>
      </c>
      <c r="AG518" s="175">
        <v>30</v>
      </c>
      <c r="AH518" s="175">
        <v>0</v>
      </c>
      <c r="AI518" s="175">
        <v>0</v>
      </c>
      <c r="AJ518" s="175">
        <v>0</v>
      </c>
      <c r="AK518" s="175">
        <v>4</v>
      </c>
      <c r="AL518" s="175">
        <v>10</v>
      </c>
      <c r="AM518" s="175">
        <v>19</v>
      </c>
      <c r="AN518" s="175">
        <v>0</v>
      </c>
      <c r="AO518" s="175">
        <v>33</v>
      </c>
      <c r="AP518" s="175">
        <v>22</v>
      </c>
      <c r="AQ518" s="175">
        <v>3</v>
      </c>
      <c r="AR518" s="175">
        <v>0</v>
      </c>
      <c r="AS518" s="175">
        <v>10</v>
      </c>
      <c r="AT518" s="175">
        <v>0</v>
      </c>
    </row>
    <row r="519" spans="1:46">
      <c r="A519">
        <v>5544</v>
      </c>
      <c r="B519" t="s">
        <v>3711</v>
      </c>
      <c r="C519" t="s">
        <v>3712</v>
      </c>
      <c r="D519" t="s">
        <v>3713</v>
      </c>
      <c r="E519" t="s">
        <v>3714</v>
      </c>
      <c r="G519" t="s">
        <v>2803</v>
      </c>
      <c r="H519" t="s">
        <v>452</v>
      </c>
      <c r="I519" t="s">
        <v>3715</v>
      </c>
      <c r="J519" t="s">
        <v>605</v>
      </c>
      <c r="K519" t="s">
        <v>606</v>
      </c>
      <c r="M519" t="s">
        <v>2366</v>
      </c>
      <c r="N519" t="s">
        <v>608</v>
      </c>
      <c r="O519" t="s">
        <v>2147</v>
      </c>
      <c r="P519" t="s">
        <v>1347</v>
      </c>
      <c r="Q519" t="s">
        <v>553</v>
      </c>
      <c r="R519" t="s">
        <v>2368</v>
      </c>
      <c r="S519" t="s">
        <v>2148</v>
      </c>
      <c r="T519" t="s">
        <v>1568</v>
      </c>
      <c r="U519">
        <v>235200</v>
      </c>
      <c r="V519" t="s">
        <v>3716</v>
      </c>
      <c r="W519" t="s">
        <v>2805</v>
      </c>
      <c r="X519" t="s">
        <v>1970</v>
      </c>
      <c r="Y519" t="s">
        <v>1971</v>
      </c>
      <c r="AA519" t="s">
        <v>1972</v>
      </c>
      <c r="AB519" t="s">
        <v>1973</v>
      </c>
      <c r="AC519">
        <v>99058</v>
      </c>
      <c r="AD519" t="s">
        <v>2806</v>
      </c>
      <c r="AE519">
        <v>-40.624824529999998</v>
      </c>
      <c r="AF519">
        <v>175.28608553999999</v>
      </c>
      <c r="AG519" s="175">
        <v>45</v>
      </c>
      <c r="AH519" s="175">
        <v>12</v>
      </c>
      <c r="AI519" s="175">
        <v>0</v>
      </c>
      <c r="AJ519" s="175">
        <v>6</v>
      </c>
      <c r="AK519" s="175">
        <v>19</v>
      </c>
      <c r="AL519" s="175">
        <v>10</v>
      </c>
      <c r="AM519" s="175">
        <v>16</v>
      </c>
      <c r="AN519" s="175">
        <v>0</v>
      </c>
      <c r="AO519" s="175">
        <v>51</v>
      </c>
      <c r="AP519" s="175">
        <v>21</v>
      </c>
      <c r="AQ519" s="175">
        <v>20</v>
      </c>
      <c r="AR519" s="175">
        <v>35</v>
      </c>
      <c r="AS519" s="175">
        <v>0</v>
      </c>
      <c r="AT519" s="175">
        <v>1</v>
      </c>
    </row>
    <row r="520" spans="1:46">
      <c r="A520">
        <v>5545</v>
      </c>
      <c r="B520" t="s">
        <v>3717</v>
      </c>
      <c r="C520" t="s">
        <v>3718</v>
      </c>
      <c r="D520" t="s">
        <v>3012</v>
      </c>
      <c r="E520" t="s">
        <v>3719</v>
      </c>
      <c r="F520" t="s">
        <v>3267</v>
      </c>
      <c r="G520" t="s">
        <v>3015</v>
      </c>
      <c r="H520" t="s">
        <v>452</v>
      </c>
      <c r="J520" t="s">
        <v>605</v>
      </c>
      <c r="K520" t="s">
        <v>606</v>
      </c>
      <c r="M520" t="s">
        <v>2366</v>
      </c>
      <c r="N520" t="s">
        <v>657</v>
      </c>
      <c r="O520" t="s">
        <v>3016</v>
      </c>
      <c r="P520" t="s">
        <v>739</v>
      </c>
      <c r="Q520" t="s">
        <v>521</v>
      </c>
      <c r="R520" t="s">
        <v>3017</v>
      </c>
      <c r="S520" t="s">
        <v>3052</v>
      </c>
      <c r="T520" t="s">
        <v>2526</v>
      </c>
      <c r="U520">
        <v>327301</v>
      </c>
      <c r="V520" t="s">
        <v>3720</v>
      </c>
      <c r="W520" t="s">
        <v>3269</v>
      </c>
      <c r="X520" t="s">
        <v>3021</v>
      </c>
      <c r="Y520" t="s">
        <v>3022</v>
      </c>
      <c r="Z520" t="s">
        <v>3023</v>
      </c>
      <c r="AA520" t="s">
        <v>3024</v>
      </c>
      <c r="AB520" t="s">
        <v>3025</v>
      </c>
      <c r="AE520">
        <v>-43.579403370000001</v>
      </c>
      <c r="AF520">
        <v>172.56985284999999</v>
      </c>
      <c r="AG520" s="175">
        <v>40</v>
      </c>
      <c r="AH520" s="175">
        <v>0</v>
      </c>
      <c r="AI520" s="175">
        <v>0</v>
      </c>
      <c r="AJ520" s="175">
        <v>0</v>
      </c>
      <c r="AK520" s="175">
        <v>7</v>
      </c>
      <c r="AL520" s="175">
        <v>16</v>
      </c>
      <c r="AM520" s="175">
        <v>19</v>
      </c>
      <c r="AN520" s="175">
        <v>0</v>
      </c>
      <c r="AO520" s="175">
        <v>42</v>
      </c>
      <c r="AP520" s="175">
        <v>33</v>
      </c>
      <c r="AQ520" s="175">
        <v>3</v>
      </c>
      <c r="AR520" s="175">
        <v>1</v>
      </c>
      <c r="AS520" s="175">
        <v>9</v>
      </c>
      <c r="AT520" s="175">
        <v>2</v>
      </c>
    </row>
    <row r="521" spans="1:46">
      <c r="A521">
        <v>5546</v>
      </c>
      <c r="B521" t="s">
        <v>3721</v>
      </c>
      <c r="C521" t="s">
        <v>3722</v>
      </c>
      <c r="D521" t="s">
        <v>3723</v>
      </c>
      <c r="E521" t="s">
        <v>3724</v>
      </c>
      <c r="F521" t="s">
        <v>2544</v>
      </c>
      <c r="G521" t="s">
        <v>2505</v>
      </c>
      <c r="H521" t="s">
        <v>452</v>
      </c>
      <c r="J521" t="s">
        <v>605</v>
      </c>
      <c r="K521" t="s">
        <v>606</v>
      </c>
      <c r="M521" t="s">
        <v>2366</v>
      </c>
      <c r="N521" t="s">
        <v>657</v>
      </c>
      <c r="O521" t="s">
        <v>2506</v>
      </c>
      <c r="P521" t="s">
        <v>739</v>
      </c>
      <c r="Q521" t="s">
        <v>516</v>
      </c>
      <c r="R521" t="s">
        <v>2368</v>
      </c>
      <c r="S521" t="s">
        <v>2451</v>
      </c>
      <c r="T521" t="s">
        <v>2165</v>
      </c>
      <c r="U521">
        <v>244500</v>
      </c>
      <c r="V521" t="s">
        <v>2574</v>
      </c>
      <c r="W521" t="s">
        <v>2546</v>
      </c>
      <c r="X521" t="s">
        <v>2510</v>
      </c>
      <c r="Y521" t="s">
        <v>2511</v>
      </c>
      <c r="AA521" t="s">
        <v>2512</v>
      </c>
      <c r="AB521" t="s">
        <v>2513</v>
      </c>
      <c r="AC521">
        <v>99111</v>
      </c>
      <c r="AD521" t="s">
        <v>2547</v>
      </c>
      <c r="AE521">
        <v>-41.16904487</v>
      </c>
      <c r="AF521">
        <v>174.97527799</v>
      </c>
      <c r="AG521" s="175">
        <v>40</v>
      </c>
      <c r="AH521" s="175">
        <v>0</v>
      </c>
      <c r="AI521" s="175">
        <v>0</v>
      </c>
      <c r="AJ521" s="175">
        <v>0</v>
      </c>
      <c r="AK521" s="175">
        <v>9</v>
      </c>
      <c r="AL521" s="175">
        <v>14</v>
      </c>
      <c r="AM521" s="175">
        <v>7</v>
      </c>
      <c r="AN521" s="175">
        <v>0</v>
      </c>
      <c r="AO521" s="175">
        <v>30</v>
      </c>
      <c r="AP521" s="175">
        <v>26</v>
      </c>
      <c r="AQ521" s="175">
        <v>4</v>
      </c>
      <c r="AR521" s="175">
        <v>5</v>
      </c>
      <c r="AS521" s="175">
        <v>6</v>
      </c>
      <c r="AT521" s="175">
        <v>0</v>
      </c>
    </row>
    <row r="522" spans="1:46">
      <c r="A522">
        <v>5547</v>
      </c>
      <c r="B522" t="s">
        <v>3725</v>
      </c>
      <c r="C522" t="s">
        <v>3726</v>
      </c>
      <c r="D522" t="s">
        <v>3727</v>
      </c>
      <c r="E522" t="s">
        <v>3728</v>
      </c>
      <c r="F522" t="s">
        <v>745</v>
      </c>
      <c r="G522" t="s">
        <v>737</v>
      </c>
      <c r="H522" t="s">
        <v>452</v>
      </c>
      <c r="J522" t="s">
        <v>605</v>
      </c>
      <c r="K522" t="s">
        <v>606</v>
      </c>
      <c r="M522" t="s">
        <v>607</v>
      </c>
      <c r="N522" t="s">
        <v>657</v>
      </c>
      <c r="O522" t="s">
        <v>738</v>
      </c>
      <c r="P522" t="s">
        <v>739</v>
      </c>
      <c r="Q522" t="s">
        <v>467</v>
      </c>
      <c r="R522" t="s">
        <v>724</v>
      </c>
      <c r="S522" t="s">
        <v>740</v>
      </c>
      <c r="T522" t="s">
        <v>613</v>
      </c>
      <c r="U522">
        <v>118200</v>
      </c>
      <c r="V522" t="s">
        <v>3729</v>
      </c>
      <c r="W522" t="s">
        <v>742</v>
      </c>
      <c r="X522" t="s">
        <v>743</v>
      </c>
      <c r="Y522" t="s">
        <v>744</v>
      </c>
      <c r="Z522" t="s">
        <v>745</v>
      </c>
      <c r="AA522" t="s">
        <v>746</v>
      </c>
      <c r="AC522">
        <v>99121</v>
      </c>
      <c r="AD522" t="s">
        <v>747</v>
      </c>
      <c r="AE522">
        <v>-36.724273859999997</v>
      </c>
      <c r="AF522">
        <v>174.72904242000001</v>
      </c>
      <c r="AG522" s="175">
        <v>40</v>
      </c>
      <c r="AH522" s="175">
        <v>0</v>
      </c>
      <c r="AI522" s="175">
        <v>0</v>
      </c>
      <c r="AJ522" s="175">
        <v>0</v>
      </c>
      <c r="AK522" s="175">
        <v>2</v>
      </c>
      <c r="AL522" s="175">
        <v>21</v>
      </c>
      <c r="AM522" s="175">
        <v>21</v>
      </c>
      <c r="AN522" s="175">
        <v>0</v>
      </c>
      <c r="AO522" s="175">
        <v>44</v>
      </c>
      <c r="AP522" s="175">
        <v>21</v>
      </c>
      <c r="AQ522" s="175">
        <v>5</v>
      </c>
      <c r="AR522" s="175">
        <v>1</v>
      </c>
      <c r="AS522" s="175">
        <v>28</v>
      </c>
      <c r="AT522" s="175">
        <v>2</v>
      </c>
    </row>
    <row r="523" spans="1:46">
      <c r="A523">
        <v>5548</v>
      </c>
      <c r="B523" t="s">
        <v>3730</v>
      </c>
      <c r="C523" t="s">
        <v>3731</v>
      </c>
      <c r="D523" t="s">
        <v>3012</v>
      </c>
      <c r="E523" t="s">
        <v>3732</v>
      </c>
      <c r="G523" t="s">
        <v>3733</v>
      </c>
      <c r="H523" t="s">
        <v>452</v>
      </c>
      <c r="J523" t="s">
        <v>605</v>
      </c>
      <c r="K523" t="s">
        <v>606</v>
      </c>
      <c r="M523" t="s">
        <v>2366</v>
      </c>
      <c r="N523" t="s">
        <v>657</v>
      </c>
      <c r="O523" t="s">
        <v>3281</v>
      </c>
      <c r="P523" t="s">
        <v>610</v>
      </c>
      <c r="Q523" t="s">
        <v>521</v>
      </c>
      <c r="R523" t="s">
        <v>3017</v>
      </c>
      <c r="S523" t="s">
        <v>3252</v>
      </c>
      <c r="T523" t="s">
        <v>2526</v>
      </c>
      <c r="U523">
        <v>336001</v>
      </c>
      <c r="V523" t="s">
        <v>3734</v>
      </c>
      <c r="W523" t="s">
        <v>3735</v>
      </c>
      <c r="X523" t="s">
        <v>3021</v>
      </c>
      <c r="Y523" t="s">
        <v>3022</v>
      </c>
      <c r="Z523" t="s">
        <v>3023</v>
      </c>
      <c r="AA523" t="s">
        <v>3024</v>
      </c>
      <c r="AB523" t="s">
        <v>3025</v>
      </c>
      <c r="AC523">
        <v>99113</v>
      </c>
      <c r="AD523" t="s">
        <v>3736</v>
      </c>
      <c r="AE523">
        <v>-43.635685109999997</v>
      </c>
      <c r="AF523">
        <v>172.48775483</v>
      </c>
      <c r="AG523" s="175">
        <v>40</v>
      </c>
      <c r="AH523" s="175">
        <v>0</v>
      </c>
      <c r="AI523" s="175">
        <v>0</v>
      </c>
      <c r="AJ523" s="175">
        <v>0</v>
      </c>
      <c r="AK523" s="175">
        <v>11</v>
      </c>
      <c r="AL523" s="175">
        <v>20</v>
      </c>
      <c r="AM523" s="175">
        <v>26</v>
      </c>
      <c r="AN523" s="175">
        <v>1</v>
      </c>
      <c r="AO523" s="175">
        <v>58</v>
      </c>
      <c r="AP523" s="175">
        <v>54</v>
      </c>
      <c r="AQ523" s="175">
        <v>6</v>
      </c>
      <c r="AR523" s="175">
        <v>0</v>
      </c>
      <c r="AS523" s="175">
        <v>3</v>
      </c>
      <c r="AT523" s="175">
        <v>2</v>
      </c>
    </row>
    <row r="524" spans="1:46">
      <c r="A524">
        <v>5549</v>
      </c>
      <c r="B524" t="s">
        <v>3737</v>
      </c>
      <c r="C524" t="s">
        <v>3738</v>
      </c>
      <c r="D524" t="s">
        <v>3012</v>
      </c>
      <c r="E524" t="s">
        <v>3739</v>
      </c>
      <c r="F524" t="s">
        <v>3740</v>
      </c>
      <c r="G524" t="s">
        <v>3015</v>
      </c>
      <c r="H524" t="s">
        <v>452</v>
      </c>
      <c r="J524" t="s">
        <v>605</v>
      </c>
      <c r="K524" t="s">
        <v>606</v>
      </c>
      <c r="M524" t="s">
        <v>2366</v>
      </c>
      <c r="N524" t="s">
        <v>625</v>
      </c>
      <c r="O524" t="s">
        <v>3016</v>
      </c>
      <c r="P524" t="s">
        <v>739</v>
      </c>
      <c r="Q524" t="s">
        <v>521</v>
      </c>
      <c r="R524" t="s">
        <v>3017</v>
      </c>
      <c r="S524" t="s">
        <v>3092</v>
      </c>
      <c r="T524" t="s">
        <v>2526</v>
      </c>
      <c r="U524">
        <v>318700</v>
      </c>
      <c r="V524" t="s">
        <v>3740</v>
      </c>
      <c r="W524" t="s">
        <v>3093</v>
      </c>
      <c r="X524" t="s">
        <v>3021</v>
      </c>
      <c r="Y524" t="s">
        <v>3022</v>
      </c>
      <c r="Z524" t="s">
        <v>3023</v>
      </c>
      <c r="AA524" t="s">
        <v>3024</v>
      </c>
      <c r="AB524" t="s">
        <v>3025</v>
      </c>
      <c r="AE524">
        <v>-43.529389610000003</v>
      </c>
      <c r="AF524">
        <v>172.53238084</v>
      </c>
      <c r="AG524" s="175">
        <v>40</v>
      </c>
      <c r="AH524" s="175">
        <v>0</v>
      </c>
      <c r="AI524" s="175">
        <v>0</v>
      </c>
      <c r="AJ524" s="175">
        <v>0</v>
      </c>
      <c r="AK524" s="175">
        <v>5</v>
      </c>
      <c r="AL524" s="175">
        <v>10</v>
      </c>
      <c r="AM524" s="175">
        <v>8</v>
      </c>
      <c r="AN524" s="175">
        <v>4</v>
      </c>
      <c r="AO524" s="175">
        <v>27</v>
      </c>
      <c r="AP524" s="175">
        <v>18</v>
      </c>
      <c r="AQ524" s="175">
        <v>10</v>
      </c>
      <c r="AR524" s="175">
        <v>8</v>
      </c>
      <c r="AS524" s="175">
        <v>5</v>
      </c>
      <c r="AT524" s="175">
        <v>1</v>
      </c>
    </row>
    <row r="525" spans="1:46">
      <c r="A525">
        <v>5550</v>
      </c>
      <c r="B525" t="s">
        <v>3741</v>
      </c>
      <c r="C525" t="s">
        <v>3742</v>
      </c>
      <c r="D525" t="s">
        <v>602</v>
      </c>
      <c r="E525" t="s">
        <v>3743</v>
      </c>
      <c r="G525" t="s">
        <v>3744</v>
      </c>
      <c r="H525" t="s">
        <v>452</v>
      </c>
      <c r="J525" t="s">
        <v>605</v>
      </c>
      <c r="K525" t="s">
        <v>606</v>
      </c>
      <c r="M525" t="s">
        <v>607</v>
      </c>
      <c r="N525" t="s">
        <v>657</v>
      </c>
      <c r="O525" t="s">
        <v>609</v>
      </c>
      <c r="P525" t="s">
        <v>610</v>
      </c>
      <c r="Q525" t="s">
        <v>509</v>
      </c>
      <c r="R525" t="s">
        <v>611</v>
      </c>
      <c r="S525" t="s">
        <v>612</v>
      </c>
      <c r="T525" t="s">
        <v>613</v>
      </c>
      <c r="U525">
        <v>103000</v>
      </c>
      <c r="V525" t="s">
        <v>3745</v>
      </c>
      <c r="W525" t="s">
        <v>644</v>
      </c>
      <c r="X525" t="s">
        <v>616</v>
      </c>
      <c r="Y525" t="s">
        <v>617</v>
      </c>
      <c r="Z525" t="s">
        <v>618</v>
      </c>
      <c r="AA525" t="s">
        <v>619</v>
      </c>
      <c r="AB525" t="s">
        <v>620</v>
      </c>
      <c r="AE525">
        <v>-35.224103820000003</v>
      </c>
      <c r="AF525">
        <v>173.95650420000001</v>
      </c>
      <c r="AG525" s="175">
        <v>40</v>
      </c>
      <c r="AH525" s="175">
        <v>0</v>
      </c>
      <c r="AI525" s="175">
        <v>0</v>
      </c>
      <c r="AJ525" s="175">
        <v>0</v>
      </c>
      <c r="AK525" s="175">
        <v>8</v>
      </c>
      <c r="AL525" s="175">
        <v>14</v>
      </c>
      <c r="AM525" s="175">
        <v>21</v>
      </c>
      <c r="AN525" s="175">
        <v>8</v>
      </c>
      <c r="AO525" s="175">
        <v>51</v>
      </c>
      <c r="AP525" s="175">
        <v>40</v>
      </c>
      <c r="AQ525" s="175">
        <v>21</v>
      </c>
      <c r="AR525" s="175">
        <v>5</v>
      </c>
      <c r="AS525" s="175">
        <v>5</v>
      </c>
      <c r="AT525" s="175">
        <v>1</v>
      </c>
    </row>
    <row r="526" spans="1:46">
      <c r="A526">
        <v>5551</v>
      </c>
      <c r="B526" t="s">
        <v>3746</v>
      </c>
      <c r="C526" t="s">
        <v>3747</v>
      </c>
      <c r="D526" t="s">
        <v>1378</v>
      </c>
      <c r="E526" t="s">
        <v>3748</v>
      </c>
      <c r="F526" t="s">
        <v>1380</v>
      </c>
      <c r="G526" t="s">
        <v>1381</v>
      </c>
      <c r="H526" t="s">
        <v>452</v>
      </c>
      <c r="J526" t="s">
        <v>605</v>
      </c>
      <c r="K526" t="s">
        <v>606</v>
      </c>
      <c r="M526" t="s">
        <v>1382</v>
      </c>
      <c r="N526" t="s">
        <v>643</v>
      </c>
      <c r="O526" t="s">
        <v>1383</v>
      </c>
      <c r="P526" t="s">
        <v>739</v>
      </c>
      <c r="Q526" t="s">
        <v>510</v>
      </c>
      <c r="R526" t="s">
        <v>1384</v>
      </c>
      <c r="S526" t="s">
        <v>1385</v>
      </c>
      <c r="T526" t="s">
        <v>1320</v>
      </c>
      <c r="U526">
        <v>178800</v>
      </c>
      <c r="V526" t="s">
        <v>3749</v>
      </c>
      <c r="W526" t="s">
        <v>1387</v>
      </c>
      <c r="X526" t="s">
        <v>1388</v>
      </c>
      <c r="Y526" t="s">
        <v>1389</v>
      </c>
      <c r="AA526" t="s">
        <v>1390</v>
      </c>
      <c r="AB526" t="s">
        <v>1391</v>
      </c>
      <c r="AC526">
        <v>99035</v>
      </c>
      <c r="AD526" t="s">
        <v>1392</v>
      </c>
      <c r="AE526">
        <v>-37.800750749999999</v>
      </c>
      <c r="AF526">
        <v>175.24959254999999</v>
      </c>
      <c r="AG526" s="175">
        <v>44</v>
      </c>
      <c r="AH526" s="175">
        <v>0</v>
      </c>
      <c r="AI526" s="175">
        <v>0</v>
      </c>
      <c r="AJ526" s="175">
        <v>0</v>
      </c>
      <c r="AK526" s="175">
        <v>7</v>
      </c>
      <c r="AL526" s="175">
        <v>18</v>
      </c>
      <c r="AM526" s="175">
        <v>19</v>
      </c>
      <c r="AN526" s="175">
        <v>1</v>
      </c>
      <c r="AO526" s="175">
        <v>45</v>
      </c>
      <c r="AP526" s="175">
        <v>19</v>
      </c>
      <c r="AQ526" s="175">
        <v>20</v>
      </c>
      <c r="AR526" s="175">
        <v>6</v>
      </c>
      <c r="AS526" s="175">
        <v>16</v>
      </c>
      <c r="AT526" s="175">
        <v>1</v>
      </c>
    </row>
    <row r="527" spans="1:46">
      <c r="A527">
        <v>5552</v>
      </c>
      <c r="B527" t="s">
        <v>3750</v>
      </c>
      <c r="C527" t="s">
        <v>3751</v>
      </c>
      <c r="D527" t="s">
        <v>3752</v>
      </c>
      <c r="E527" t="s">
        <v>3753</v>
      </c>
      <c r="G527" t="s">
        <v>3754</v>
      </c>
      <c r="H527" t="s">
        <v>452</v>
      </c>
      <c r="J527" t="s">
        <v>605</v>
      </c>
      <c r="K527" t="s">
        <v>606</v>
      </c>
      <c r="M527" t="s">
        <v>1382</v>
      </c>
      <c r="N527" t="s">
        <v>643</v>
      </c>
      <c r="O527" t="s">
        <v>1521</v>
      </c>
      <c r="P527" t="s">
        <v>610</v>
      </c>
      <c r="Q527" t="s">
        <v>510</v>
      </c>
      <c r="R527" t="s">
        <v>1384</v>
      </c>
      <c r="S527" t="s">
        <v>1522</v>
      </c>
      <c r="T527" t="s">
        <v>1320</v>
      </c>
      <c r="U527">
        <v>169500</v>
      </c>
      <c r="V527" t="s">
        <v>3755</v>
      </c>
      <c r="W527" t="s">
        <v>3756</v>
      </c>
      <c r="X527" t="s">
        <v>1679</v>
      </c>
      <c r="Y527" t="s">
        <v>1680</v>
      </c>
      <c r="Z527" t="s">
        <v>1681</v>
      </c>
      <c r="AA527" t="s">
        <v>1682</v>
      </c>
      <c r="AB527" t="s">
        <v>1683</v>
      </c>
      <c r="AC527">
        <v>99089</v>
      </c>
      <c r="AD527" t="s">
        <v>3757</v>
      </c>
      <c r="AE527">
        <v>-37.382214249999997</v>
      </c>
      <c r="AF527">
        <v>175.85524387000001</v>
      </c>
      <c r="AG527" s="175">
        <v>35</v>
      </c>
      <c r="AH527" s="175">
        <v>0</v>
      </c>
      <c r="AI527" s="175">
        <v>0</v>
      </c>
      <c r="AJ527" s="175">
        <v>0</v>
      </c>
      <c r="AK527" s="175">
        <v>3</v>
      </c>
      <c r="AL527" s="175">
        <v>11</v>
      </c>
      <c r="AM527" s="175">
        <v>17</v>
      </c>
      <c r="AN527" s="175">
        <v>3</v>
      </c>
      <c r="AO527" s="175">
        <v>34</v>
      </c>
      <c r="AP527" s="175">
        <v>34</v>
      </c>
      <c r="AQ527" s="175">
        <v>5</v>
      </c>
      <c r="AR527" s="175">
        <v>1</v>
      </c>
      <c r="AS527" s="175">
        <v>0</v>
      </c>
      <c r="AT527" s="175">
        <v>0</v>
      </c>
    </row>
    <row r="528" spans="1:46">
      <c r="A528">
        <v>5553</v>
      </c>
      <c r="B528" t="s">
        <v>3758</v>
      </c>
      <c r="C528" t="s">
        <v>3759</v>
      </c>
      <c r="D528" t="s">
        <v>3760</v>
      </c>
      <c r="E528" t="s">
        <v>3761</v>
      </c>
      <c r="G528" t="s">
        <v>2803</v>
      </c>
      <c r="H528" t="s">
        <v>452</v>
      </c>
      <c r="J528" t="s">
        <v>605</v>
      </c>
      <c r="K528" t="s">
        <v>606</v>
      </c>
      <c r="M528" t="s">
        <v>2366</v>
      </c>
      <c r="N528" t="s">
        <v>643</v>
      </c>
      <c r="O528" t="s">
        <v>2147</v>
      </c>
      <c r="P528" t="s">
        <v>1347</v>
      </c>
      <c r="Q528" t="s">
        <v>553</v>
      </c>
      <c r="R528" t="s">
        <v>2368</v>
      </c>
      <c r="S528" t="s">
        <v>2148</v>
      </c>
      <c r="T528" t="s">
        <v>1568</v>
      </c>
      <c r="U528">
        <v>234900</v>
      </c>
      <c r="V528" t="s">
        <v>3762</v>
      </c>
      <c r="W528" t="s">
        <v>2805</v>
      </c>
      <c r="X528" t="s">
        <v>1970</v>
      </c>
      <c r="Y528" t="s">
        <v>1971</v>
      </c>
      <c r="AA528" t="s">
        <v>1972</v>
      </c>
      <c r="AB528" t="s">
        <v>1973</v>
      </c>
      <c r="AC528">
        <v>99058</v>
      </c>
      <c r="AD528" t="s">
        <v>2806</v>
      </c>
      <c r="AE528">
        <v>-40.615299690000001</v>
      </c>
      <c r="AF528">
        <v>175.28635516</v>
      </c>
      <c r="AG528" s="175">
        <v>42</v>
      </c>
      <c r="AH528" s="175">
        <v>0</v>
      </c>
      <c r="AI528" s="175">
        <v>0</v>
      </c>
      <c r="AJ528" s="175">
        <v>0</v>
      </c>
      <c r="AK528" s="175">
        <v>6</v>
      </c>
      <c r="AL528" s="175">
        <v>24</v>
      </c>
      <c r="AM528" s="175">
        <v>27</v>
      </c>
      <c r="AN528" s="175">
        <v>0</v>
      </c>
      <c r="AO528" s="175">
        <v>57</v>
      </c>
      <c r="AP528" s="175">
        <v>44</v>
      </c>
      <c r="AQ528" s="175">
        <v>27</v>
      </c>
      <c r="AR528" s="175">
        <v>4</v>
      </c>
      <c r="AS528" s="175">
        <v>3</v>
      </c>
      <c r="AT528" s="175">
        <v>2</v>
      </c>
    </row>
    <row r="529" spans="1:46">
      <c r="A529">
        <v>5554</v>
      </c>
      <c r="B529" t="s">
        <v>3763</v>
      </c>
      <c r="C529" t="s">
        <v>3764</v>
      </c>
      <c r="D529" t="s">
        <v>3765</v>
      </c>
      <c r="E529" t="s">
        <v>3766</v>
      </c>
      <c r="F529" t="s">
        <v>913</v>
      </c>
      <c r="G529" t="s">
        <v>737</v>
      </c>
      <c r="H529" t="s">
        <v>452</v>
      </c>
      <c r="J529" t="s">
        <v>605</v>
      </c>
      <c r="K529" t="s">
        <v>606</v>
      </c>
      <c r="M529" t="s">
        <v>607</v>
      </c>
      <c r="N529" t="s">
        <v>643</v>
      </c>
      <c r="O529" t="s">
        <v>914</v>
      </c>
      <c r="P529" t="s">
        <v>739</v>
      </c>
      <c r="Q529" t="s">
        <v>467</v>
      </c>
      <c r="R529" t="s">
        <v>793</v>
      </c>
      <c r="S529" t="s">
        <v>890</v>
      </c>
      <c r="T529" t="s">
        <v>794</v>
      </c>
      <c r="U529">
        <v>145200</v>
      </c>
      <c r="V529" t="s">
        <v>3767</v>
      </c>
      <c r="W529" t="s">
        <v>892</v>
      </c>
      <c r="X529" t="s">
        <v>727</v>
      </c>
      <c r="Y529" t="s">
        <v>728</v>
      </c>
      <c r="Z529" t="s">
        <v>729</v>
      </c>
      <c r="AA529" t="s">
        <v>730</v>
      </c>
      <c r="AB529" t="s">
        <v>731</v>
      </c>
      <c r="AC529">
        <v>99190</v>
      </c>
      <c r="AD529" t="s">
        <v>916</v>
      </c>
      <c r="AE529">
        <v>-36.911475199999998</v>
      </c>
      <c r="AF529">
        <v>174.80009043999999</v>
      </c>
      <c r="AG529" s="175">
        <v>40</v>
      </c>
      <c r="AH529" s="175">
        <v>0</v>
      </c>
      <c r="AI529" s="175">
        <v>0</v>
      </c>
      <c r="AJ529" s="175">
        <v>0</v>
      </c>
      <c r="AK529" s="175">
        <v>4</v>
      </c>
      <c r="AL529" s="175">
        <v>9</v>
      </c>
      <c r="AM529" s="175">
        <v>19</v>
      </c>
      <c r="AN529" s="175">
        <v>3</v>
      </c>
      <c r="AO529" s="175">
        <v>35</v>
      </c>
      <c r="AP529" s="175">
        <v>11</v>
      </c>
      <c r="AQ529" s="175">
        <v>5</v>
      </c>
      <c r="AR529" s="175">
        <v>14</v>
      </c>
      <c r="AS529" s="175">
        <v>7</v>
      </c>
      <c r="AT529" s="175">
        <v>5</v>
      </c>
    </row>
    <row r="530" spans="1:46">
      <c r="A530">
        <v>5555</v>
      </c>
      <c r="B530" t="s">
        <v>3768</v>
      </c>
      <c r="C530" t="s">
        <v>3769</v>
      </c>
      <c r="D530" t="s">
        <v>3770</v>
      </c>
      <c r="E530" t="s">
        <v>3771</v>
      </c>
      <c r="F530" t="s">
        <v>3772</v>
      </c>
      <c r="G530" t="s">
        <v>2899</v>
      </c>
      <c r="H530" t="s">
        <v>452</v>
      </c>
      <c r="J530" t="s">
        <v>605</v>
      </c>
      <c r="K530" t="s">
        <v>606</v>
      </c>
      <c r="M530" t="s">
        <v>2366</v>
      </c>
      <c r="N530" t="s">
        <v>657</v>
      </c>
      <c r="O530" t="s">
        <v>2900</v>
      </c>
      <c r="P530" t="s">
        <v>1347</v>
      </c>
      <c r="Q530" t="s">
        <v>519</v>
      </c>
      <c r="R530" t="s">
        <v>2901</v>
      </c>
      <c r="S530" t="s">
        <v>2902</v>
      </c>
      <c r="T530" t="s">
        <v>2526</v>
      </c>
      <c r="U530">
        <v>307501</v>
      </c>
      <c r="V530" t="s">
        <v>3772</v>
      </c>
      <c r="W530" t="s">
        <v>2903</v>
      </c>
      <c r="X530" t="s">
        <v>2904</v>
      </c>
      <c r="Y530" t="s">
        <v>2905</v>
      </c>
      <c r="AA530" t="s">
        <v>2906</v>
      </c>
      <c r="AB530" t="s">
        <v>2907</v>
      </c>
      <c r="AC530">
        <v>99006</v>
      </c>
      <c r="AD530" t="s">
        <v>2908</v>
      </c>
      <c r="AE530">
        <v>-41.5076824</v>
      </c>
      <c r="AF530">
        <v>173.93286108000001</v>
      </c>
      <c r="AG530" s="175">
        <v>43</v>
      </c>
      <c r="AH530" s="175">
        <v>0</v>
      </c>
      <c r="AI530" s="175">
        <v>0</v>
      </c>
      <c r="AJ530" s="175">
        <v>0</v>
      </c>
      <c r="AK530" s="175">
        <v>2</v>
      </c>
      <c r="AL530" s="175">
        <v>19</v>
      </c>
      <c r="AM530" s="175">
        <v>19</v>
      </c>
      <c r="AN530" s="175">
        <v>0</v>
      </c>
      <c r="AO530" s="175">
        <v>40</v>
      </c>
      <c r="AP530" s="175">
        <v>36</v>
      </c>
      <c r="AQ530" s="175">
        <v>4</v>
      </c>
      <c r="AR530" s="175">
        <v>0</v>
      </c>
      <c r="AS530" s="175">
        <v>1</v>
      </c>
      <c r="AT530" s="175">
        <v>0</v>
      </c>
    </row>
    <row r="531" spans="1:46">
      <c r="A531">
        <v>5557</v>
      </c>
      <c r="B531" t="s">
        <v>3773</v>
      </c>
      <c r="C531" t="s">
        <v>3774</v>
      </c>
      <c r="D531" t="s">
        <v>3775</v>
      </c>
      <c r="E531" t="s">
        <v>3776</v>
      </c>
      <c r="F531" t="s">
        <v>3777</v>
      </c>
      <c r="G531" t="s">
        <v>737</v>
      </c>
      <c r="H531" t="s">
        <v>452</v>
      </c>
      <c r="J531" t="s">
        <v>605</v>
      </c>
      <c r="K531" t="s">
        <v>606</v>
      </c>
      <c r="M531" t="s">
        <v>607</v>
      </c>
      <c r="N531" t="s">
        <v>657</v>
      </c>
      <c r="O531" t="s">
        <v>1253</v>
      </c>
      <c r="P531" t="s">
        <v>739</v>
      </c>
      <c r="Q531" t="s">
        <v>467</v>
      </c>
      <c r="R531" t="s">
        <v>724</v>
      </c>
      <c r="S531" t="s">
        <v>740</v>
      </c>
      <c r="T531" t="s">
        <v>613</v>
      </c>
      <c r="U531">
        <v>117400</v>
      </c>
      <c r="V531" t="s">
        <v>3778</v>
      </c>
      <c r="W531" t="s">
        <v>742</v>
      </c>
      <c r="X531" t="s">
        <v>743</v>
      </c>
      <c r="Y531" t="s">
        <v>744</v>
      </c>
      <c r="Z531" t="s">
        <v>745</v>
      </c>
      <c r="AA531" t="s">
        <v>746</v>
      </c>
      <c r="AE531">
        <v>-36.736805789999998</v>
      </c>
      <c r="AF531">
        <v>174.69097022</v>
      </c>
      <c r="AG531" s="175">
        <v>40</v>
      </c>
      <c r="AH531" s="175">
        <v>0</v>
      </c>
      <c r="AI531" s="175">
        <v>0</v>
      </c>
      <c r="AJ531" s="175">
        <v>0</v>
      </c>
      <c r="AK531" s="175">
        <v>6</v>
      </c>
      <c r="AL531" s="175">
        <v>18</v>
      </c>
      <c r="AM531" s="175">
        <v>25</v>
      </c>
      <c r="AN531" s="175">
        <v>1</v>
      </c>
      <c r="AO531" s="175">
        <v>50</v>
      </c>
      <c r="AP531" s="175">
        <v>20</v>
      </c>
      <c r="AQ531" s="175">
        <v>5</v>
      </c>
      <c r="AR531" s="175">
        <v>4</v>
      </c>
      <c r="AS531" s="175">
        <v>30</v>
      </c>
      <c r="AT531" s="175">
        <v>1</v>
      </c>
    </row>
    <row r="532" spans="1:46">
      <c r="A532">
        <v>5558</v>
      </c>
      <c r="B532" t="s">
        <v>3779</v>
      </c>
      <c r="C532" t="s">
        <v>3780</v>
      </c>
      <c r="D532" t="s">
        <v>3781</v>
      </c>
      <c r="E532" t="s">
        <v>3782</v>
      </c>
      <c r="G532" t="s">
        <v>3783</v>
      </c>
      <c r="H532" t="s">
        <v>452</v>
      </c>
      <c r="J532" t="s">
        <v>605</v>
      </c>
      <c r="K532" t="s">
        <v>606</v>
      </c>
      <c r="M532" t="s">
        <v>607</v>
      </c>
      <c r="N532" t="s">
        <v>657</v>
      </c>
      <c r="O532" t="s">
        <v>958</v>
      </c>
      <c r="P532" t="s">
        <v>739</v>
      </c>
      <c r="Q532" t="s">
        <v>467</v>
      </c>
      <c r="R532" t="s">
        <v>724</v>
      </c>
      <c r="S532" t="s">
        <v>855</v>
      </c>
      <c r="T532" t="s">
        <v>794</v>
      </c>
      <c r="U532">
        <v>137500</v>
      </c>
      <c r="V532" t="s">
        <v>3783</v>
      </c>
      <c r="W532" t="s">
        <v>900</v>
      </c>
      <c r="X532" t="s">
        <v>727</v>
      </c>
      <c r="Y532" t="s">
        <v>728</v>
      </c>
      <c r="Z532" t="s">
        <v>729</v>
      </c>
      <c r="AA532" t="s">
        <v>730</v>
      </c>
      <c r="AB532" t="s">
        <v>731</v>
      </c>
      <c r="AC532">
        <v>99062</v>
      </c>
      <c r="AD532" t="s">
        <v>978</v>
      </c>
      <c r="AE532">
        <v>-36.955776890000003</v>
      </c>
      <c r="AF532">
        <v>174.62598611999999</v>
      </c>
      <c r="AG532" s="175">
        <v>40</v>
      </c>
      <c r="AH532" s="175">
        <v>0</v>
      </c>
      <c r="AI532" s="175">
        <v>0</v>
      </c>
      <c r="AJ532" s="175">
        <v>0</v>
      </c>
      <c r="AK532" s="175">
        <v>14</v>
      </c>
      <c r="AL532" s="175">
        <v>22</v>
      </c>
      <c r="AM532" s="175">
        <v>19</v>
      </c>
      <c r="AN532" s="175">
        <v>0</v>
      </c>
      <c r="AO532" s="175">
        <v>55</v>
      </c>
      <c r="AP532" s="175">
        <v>53</v>
      </c>
      <c r="AQ532" s="175">
        <v>7</v>
      </c>
      <c r="AR532" s="175">
        <v>5</v>
      </c>
      <c r="AS532" s="175">
        <v>5</v>
      </c>
      <c r="AT532" s="175">
        <v>0</v>
      </c>
    </row>
    <row r="533" spans="1:46">
      <c r="A533">
        <v>5559</v>
      </c>
      <c r="B533" t="s">
        <v>3784</v>
      </c>
      <c r="C533" t="s">
        <v>3785</v>
      </c>
      <c r="D533" t="s">
        <v>3786</v>
      </c>
      <c r="E533" t="s">
        <v>3787</v>
      </c>
      <c r="G533" t="s">
        <v>3788</v>
      </c>
      <c r="H533" t="s">
        <v>452</v>
      </c>
      <c r="J533" t="s">
        <v>605</v>
      </c>
      <c r="K533" t="s">
        <v>606</v>
      </c>
      <c r="M533" t="s">
        <v>607</v>
      </c>
      <c r="N533" t="s">
        <v>657</v>
      </c>
      <c r="O533" t="s">
        <v>723</v>
      </c>
      <c r="P533" t="s">
        <v>658</v>
      </c>
      <c r="Q533" t="s">
        <v>467</v>
      </c>
      <c r="R533" t="s">
        <v>724</v>
      </c>
      <c r="S533" t="s">
        <v>725</v>
      </c>
      <c r="T533" t="s">
        <v>613</v>
      </c>
      <c r="U533">
        <v>116401</v>
      </c>
      <c r="V533" t="s">
        <v>3788</v>
      </c>
      <c r="W533" t="s">
        <v>726</v>
      </c>
      <c r="X533" t="s">
        <v>727</v>
      </c>
      <c r="Y533" t="s">
        <v>728</v>
      </c>
      <c r="Z533" t="s">
        <v>729</v>
      </c>
      <c r="AA533" t="s">
        <v>730</v>
      </c>
      <c r="AB533" t="s">
        <v>731</v>
      </c>
      <c r="AE533">
        <v>-36.820568989999998</v>
      </c>
      <c r="AF533">
        <v>174.54419998</v>
      </c>
      <c r="AG533" s="175">
        <v>40</v>
      </c>
      <c r="AH533" s="175">
        <v>0</v>
      </c>
      <c r="AI533" s="175">
        <v>0</v>
      </c>
      <c r="AJ533" s="175">
        <v>0</v>
      </c>
      <c r="AK533" s="175">
        <v>9</v>
      </c>
      <c r="AL533" s="175">
        <v>15</v>
      </c>
      <c r="AM533" s="175">
        <v>15</v>
      </c>
      <c r="AN533" s="175">
        <v>2</v>
      </c>
      <c r="AO533" s="175">
        <v>41</v>
      </c>
      <c r="AP533" s="175">
        <v>38</v>
      </c>
      <c r="AQ533" s="175">
        <v>7</v>
      </c>
      <c r="AR533" s="175">
        <v>0</v>
      </c>
      <c r="AS533" s="175">
        <v>5</v>
      </c>
      <c r="AT533" s="175">
        <v>0</v>
      </c>
    </row>
    <row r="534" spans="1:46">
      <c r="A534">
        <v>5560</v>
      </c>
      <c r="B534" t="s">
        <v>3789</v>
      </c>
      <c r="C534" t="s">
        <v>3790</v>
      </c>
      <c r="D534" t="s">
        <v>3791</v>
      </c>
      <c r="E534" t="s">
        <v>3792</v>
      </c>
      <c r="F534" t="s">
        <v>3793</v>
      </c>
      <c r="G534" t="s">
        <v>1681</v>
      </c>
      <c r="H534" t="s">
        <v>452</v>
      </c>
      <c r="J534" t="s">
        <v>605</v>
      </c>
      <c r="K534" t="s">
        <v>606</v>
      </c>
      <c r="M534" t="s">
        <v>1382</v>
      </c>
      <c r="N534" t="s">
        <v>657</v>
      </c>
      <c r="O534" t="s">
        <v>1780</v>
      </c>
      <c r="P534" t="s">
        <v>739</v>
      </c>
      <c r="Q534" t="s">
        <v>511</v>
      </c>
      <c r="R534" t="s">
        <v>1555</v>
      </c>
      <c r="S534" t="s">
        <v>1681</v>
      </c>
      <c r="T534" t="s">
        <v>1557</v>
      </c>
      <c r="U534">
        <v>194802</v>
      </c>
      <c r="V534" t="s">
        <v>3794</v>
      </c>
      <c r="W534" t="s">
        <v>3795</v>
      </c>
      <c r="X534" t="s">
        <v>1679</v>
      </c>
      <c r="Y534" t="s">
        <v>1680</v>
      </c>
      <c r="Z534" t="s">
        <v>1681</v>
      </c>
      <c r="AA534" t="s">
        <v>1682</v>
      </c>
      <c r="AB534" t="s">
        <v>1683</v>
      </c>
      <c r="AC534">
        <v>99085</v>
      </c>
      <c r="AD534" t="s">
        <v>1800</v>
      </c>
      <c r="AE534">
        <v>-37.710530749999997</v>
      </c>
      <c r="AF534">
        <v>176.14964322</v>
      </c>
      <c r="AG534" s="175">
        <v>42</v>
      </c>
      <c r="AH534" s="175">
        <v>0</v>
      </c>
      <c r="AI534" s="175">
        <v>0</v>
      </c>
      <c r="AJ534" s="175">
        <v>0</v>
      </c>
      <c r="AK534" s="175">
        <v>7</v>
      </c>
      <c r="AL534" s="175">
        <v>23</v>
      </c>
      <c r="AM534" s="175">
        <v>23</v>
      </c>
      <c r="AN534" s="175">
        <v>1</v>
      </c>
      <c r="AO534" s="175">
        <v>54</v>
      </c>
      <c r="AP534" s="175">
        <v>46</v>
      </c>
      <c r="AQ534" s="175">
        <v>7</v>
      </c>
      <c r="AR534" s="175">
        <v>5</v>
      </c>
      <c r="AS534" s="175">
        <v>9</v>
      </c>
      <c r="AT534" s="175">
        <v>2</v>
      </c>
    </row>
    <row r="535" spans="1:46">
      <c r="A535">
        <v>5561</v>
      </c>
      <c r="B535" t="s">
        <v>3796</v>
      </c>
      <c r="C535" t="s">
        <v>3797</v>
      </c>
      <c r="D535" t="s">
        <v>3798</v>
      </c>
      <c r="E535" t="s">
        <v>3799</v>
      </c>
      <c r="F535" t="s">
        <v>3800</v>
      </c>
      <c r="G535" t="s">
        <v>2162</v>
      </c>
      <c r="H535" t="s">
        <v>452</v>
      </c>
      <c r="J535" t="s">
        <v>605</v>
      </c>
      <c r="K535" t="s">
        <v>606</v>
      </c>
      <c r="M535" t="s">
        <v>1382</v>
      </c>
      <c r="N535" t="s">
        <v>625</v>
      </c>
      <c r="O535" t="s">
        <v>2163</v>
      </c>
      <c r="P535" t="s">
        <v>670</v>
      </c>
      <c r="Q535" t="s">
        <v>512</v>
      </c>
      <c r="R535" t="s">
        <v>2164</v>
      </c>
      <c r="S535" t="s">
        <v>1556</v>
      </c>
      <c r="T535" t="s">
        <v>2165</v>
      </c>
      <c r="U535">
        <v>205700</v>
      </c>
      <c r="V535" t="s">
        <v>3800</v>
      </c>
      <c r="W535" t="s">
        <v>2167</v>
      </c>
      <c r="X535" t="s">
        <v>2168</v>
      </c>
      <c r="Y535" t="s">
        <v>2169</v>
      </c>
      <c r="AA535" t="s">
        <v>2170</v>
      </c>
      <c r="AB535" t="s">
        <v>2171</v>
      </c>
      <c r="AC535">
        <v>99083</v>
      </c>
      <c r="AD535" t="s">
        <v>2179</v>
      </c>
      <c r="AE535">
        <v>-38.644523820000003</v>
      </c>
      <c r="AF535">
        <v>178.00351229</v>
      </c>
      <c r="AG535" s="175">
        <v>40</v>
      </c>
      <c r="AH535" s="175">
        <v>0</v>
      </c>
      <c r="AI535" s="175">
        <v>0</v>
      </c>
      <c r="AJ535" s="175">
        <v>0</v>
      </c>
      <c r="AK535" s="175">
        <v>6</v>
      </c>
      <c r="AL535" s="175">
        <v>5</v>
      </c>
      <c r="AM535" s="175">
        <v>17</v>
      </c>
      <c r="AN535" s="175">
        <v>1</v>
      </c>
      <c r="AO535" s="175">
        <v>29</v>
      </c>
      <c r="AP535" s="175">
        <v>12</v>
      </c>
      <c r="AQ535" s="175">
        <v>17</v>
      </c>
      <c r="AR535" s="175">
        <v>4</v>
      </c>
      <c r="AS535" s="175">
        <v>1</v>
      </c>
      <c r="AT535" s="175">
        <v>2</v>
      </c>
    </row>
    <row r="536" spans="1:46">
      <c r="A536">
        <v>5562</v>
      </c>
      <c r="B536" t="s">
        <v>3801</v>
      </c>
      <c r="C536" t="s">
        <v>3802</v>
      </c>
      <c r="D536" t="s">
        <v>3803</v>
      </c>
      <c r="E536" t="s">
        <v>3804</v>
      </c>
      <c r="G536" t="s">
        <v>3805</v>
      </c>
      <c r="H536" t="s">
        <v>452</v>
      </c>
      <c r="I536" t="s">
        <v>941</v>
      </c>
      <c r="J536" t="s">
        <v>605</v>
      </c>
      <c r="K536" t="s">
        <v>606</v>
      </c>
      <c r="M536" t="s">
        <v>1382</v>
      </c>
      <c r="N536" t="s">
        <v>657</v>
      </c>
      <c r="O536" t="s">
        <v>2210</v>
      </c>
      <c r="P536" t="s">
        <v>670</v>
      </c>
      <c r="Q536" t="s">
        <v>513</v>
      </c>
      <c r="R536" t="s">
        <v>2164</v>
      </c>
      <c r="S536" t="s">
        <v>2198</v>
      </c>
      <c r="T536" t="s">
        <v>2165</v>
      </c>
      <c r="U536">
        <v>212301</v>
      </c>
      <c r="V536" t="s">
        <v>3806</v>
      </c>
      <c r="W536" t="s">
        <v>3807</v>
      </c>
      <c r="X536" t="s">
        <v>2199</v>
      </c>
      <c r="Y536" t="s">
        <v>2200</v>
      </c>
      <c r="Z536" t="s">
        <v>2201</v>
      </c>
      <c r="AA536" t="s">
        <v>2202</v>
      </c>
      <c r="AB536" t="s">
        <v>2203</v>
      </c>
      <c r="AC536">
        <v>99003</v>
      </c>
      <c r="AD536" t="s">
        <v>2226</v>
      </c>
      <c r="AE536">
        <v>-39.421603689999998</v>
      </c>
      <c r="AF536">
        <v>176.86674226</v>
      </c>
      <c r="AG536" s="175">
        <v>31</v>
      </c>
      <c r="AH536" s="175">
        <v>0</v>
      </c>
      <c r="AI536" s="175">
        <v>0</v>
      </c>
      <c r="AJ536" s="175">
        <v>0</v>
      </c>
      <c r="AK536" s="175">
        <v>9</v>
      </c>
      <c r="AL536" s="175">
        <v>21</v>
      </c>
      <c r="AM536" s="175">
        <v>19</v>
      </c>
      <c r="AN536" s="175">
        <v>0</v>
      </c>
      <c r="AO536" s="175">
        <v>49</v>
      </c>
      <c r="AP536" s="175">
        <v>46</v>
      </c>
      <c r="AQ536" s="175">
        <v>10</v>
      </c>
      <c r="AR536" s="175">
        <v>0</v>
      </c>
      <c r="AS536" s="175">
        <v>1</v>
      </c>
      <c r="AT536" s="175">
        <v>0</v>
      </c>
    </row>
    <row r="537" spans="1:46">
      <c r="A537">
        <v>5563</v>
      </c>
      <c r="B537" t="s">
        <v>3808</v>
      </c>
      <c r="C537" t="s">
        <v>3809</v>
      </c>
      <c r="D537" t="s">
        <v>602</v>
      </c>
      <c r="E537" t="s">
        <v>3810</v>
      </c>
      <c r="G537" t="s">
        <v>3811</v>
      </c>
      <c r="H537" t="s">
        <v>452</v>
      </c>
      <c r="J537" t="s">
        <v>605</v>
      </c>
      <c r="K537" t="s">
        <v>606</v>
      </c>
      <c r="M537" t="s">
        <v>607</v>
      </c>
      <c r="N537" t="s">
        <v>643</v>
      </c>
      <c r="O537" t="s">
        <v>669</v>
      </c>
      <c r="P537" t="s">
        <v>610</v>
      </c>
      <c r="Q537" t="s">
        <v>509</v>
      </c>
      <c r="R537" t="s">
        <v>611</v>
      </c>
      <c r="S537" t="s">
        <v>671</v>
      </c>
      <c r="T537" t="s">
        <v>613</v>
      </c>
      <c r="U537">
        <v>108800</v>
      </c>
      <c r="V537" t="s">
        <v>3812</v>
      </c>
      <c r="W537" t="s">
        <v>704</v>
      </c>
      <c r="X537" t="s">
        <v>616</v>
      </c>
      <c r="Y537" t="s">
        <v>617</v>
      </c>
      <c r="Z537" t="s">
        <v>618</v>
      </c>
      <c r="AA537" t="s">
        <v>619</v>
      </c>
      <c r="AB537" t="s">
        <v>620</v>
      </c>
      <c r="AC537">
        <v>99184</v>
      </c>
      <c r="AD537" t="s">
        <v>3813</v>
      </c>
      <c r="AE537">
        <v>-35.876057529999997</v>
      </c>
      <c r="AF537">
        <v>174.45777931000001</v>
      </c>
      <c r="AG537" s="175">
        <v>40</v>
      </c>
      <c r="AH537" s="175">
        <v>0</v>
      </c>
      <c r="AI537" s="175">
        <v>0</v>
      </c>
      <c r="AJ537" s="175">
        <v>0</v>
      </c>
      <c r="AK537" s="175">
        <v>10</v>
      </c>
      <c r="AL537" s="175">
        <v>13</v>
      </c>
      <c r="AM537" s="175">
        <v>23</v>
      </c>
      <c r="AN537" s="175">
        <v>0</v>
      </c>
      <c r="AO537" s="175">
        <v>46</v>
      </c>
      <c r="AP537" s="175">
        <v>39</v>
      </c>
      <c r="AQ537" s="175">
        <v>20</v>
      </c>
      <c r="AR537" s="175">
        <v>2</v>
      </c>
      <c r="AS537" s="175">
        <v>2</v>
      </c>
      <c r="AT537" s="175">
        <v>0</v>
      </c>
    </row>
    <row r="538" spans="1:46">
      <c r="A538">
        <v>5564</v>
      </c>
      <c r="B538" t="s">
        <v>3814</v>
      </c>
      <c r="C538" t="s">
        <v>3815</v>
      </c>
      <c r="D538" t="s">
        <v>3816</v>
      </c>
      <c r="E538" t="s">
        <v>3817</v>
      </c>
      <c r="F538" t="s">
        <v>2930</v>
      </c>
      <c r="G538" t="s">
        <v>2930</v>
      </c>
      <c r="H538" t="s">
        <v>452</v>
      </c>
      <c r="J538" t="s">
        <v>605</v>
      </c>
      <c r="K538" t="s">
        <v>606</v>
      </c>
      <c r="M538" t="s">
        <v>2366</v>
      </c>
      <c r="N538" t="s">
        <v>625</v>
      </c>
      <c r="O538" t="s">
        <v>2931</v>
      </c>
      <c r="P538" t="s">
        <v>670</v>
      </c>
      <c r="Q538" t="s">
        <v>518</v>
      </c>
      <c r="R538" t="s">
        <v>2901</v>
      </c>
      <c r="S538" t="s">
        <v>2930</v>
      </c>
      <c r="T538" t="s">
        <v>2526</v>
      </c>
      <c r="U538">
        <v>304500</v>
      </c>
      <c r="V538" t="s">
        <v>3818</v>
      </c>
      <c r="W538" t="s">
        <v>2114</v>
      </c>
      <c r="X538" t="s">
        <v>2934</v>
      </c>
      <c r="Y538" t="s">
        <v>2935</v>
      </c>
      <c r="Z538" t="s">
        <v>2930</v>
      </c>
      <c r="AA538" t="s">
        <v>2936</v>
      </c>
      <c r="AB538" t="s">
        <v>2937</v>
      </c>
      <c r="AC538">
        <v>99005</v>
      </c>
      <c r="AD538" t="s">
        <v>2953</v>
      </c>
      <c r="AE538">
        <v>-41.280250199999998</v>
      </c>
      <c r="AF538">
        <v>173.26996041999999</v>
      </c>
      <c r="AG538" s="175">
        <v>49</v>
      </c>
      <c r="AH538" s="175">
        <v>0</v>
      </c>
      <c r="AI538" s="175">
        <v>0</v>
      </c>
      <c r="AJ538" s="175">
        <v>0</v>
      </c>
      <c r="AK538" s="175">
        <v>10</v>
      </c>
      <c r="AL538" s="175">
        <v>10</v>
      </c>
      <c r="AM538" s="175">
        <v>21</v>
      </c>
      <c r="AN538" s="175">
        <v>1</v>
      </c>
      <c r="AO538" s="175">
        <v>42</v>
      </c>
      <c r="AP538" s="175">
        <v>16</v>
      </c>
      <c r="AQ538" s="175">
        <v>10</v>
      </c>
      <c r="AR538" s="175">
        <v>5</v>
      </c>
      <c r="AS538" s="175">
        <v>12</v>
      </c>
      <c r="AT538" s="175">
        <v>3</v>
      </c>
    </row>
    <row r="539" spans="1:46">
      <c r="A539">
        <v>5565</v>
      </c>
      <c r="B539" t="s">
        <v>3819</v>
      </c>
      <c r="C539" t="s">
        <v>3820</v>
      </c>
      <c r="D539" t="s">
        <v>3821</v>
      </c>
      <c r="E539" t="s">
        <v>3822</v>
      </c>
      <c r="F539" t="s">
        <v>1199</v>
      </c>
      <c r="G539" t="s">
        <v>737</v>
      </c>
      <c r="H539" t="s">
        <v>452</v>
      </c>
      <c r="J539" t="s">
        <v>605</v>
      </c>
      <c r="K539" t="s">
        <v>606</v>
      </c>
      <c r="M539" t="s">
        <v>607</v>
      </c>
      <c r="N539" t="s">
        <v>625</v>
      </c>
      <c r="O539" t="s">
        <v>898</v>
      </c>
      <c r="P539" t="s">
        <v>739</v>
      </c>
      <c r="Q539" t="s">
        <v>467</v>
      </c>
      <c r="R539" t="s">
        <v>724</v>
      </c>
      <c r="S539" t="s">
        <v>984</v>
      </c>
      <c r="T539" t="s">
        <v>613</v>
      </c>
      <c r="U539">
        <v>123000</v>
      </c>
      <c r="V539" t="s">
        <v>3823</v>
      </c>
      <c r="W539" t="s">
        <v>900</v>
      </c>
      <c r="X539" t="s">
        <v>727</v>
      </c>
      <c r="Y539" t="s">
        <v>728</v>
      </c>
      <c r="Z539" t="s">
        <v>729</v>
      </c>
      <c r="AA539" t="s">
        <v>730</v>
      </c>
      <c r="AB539" t="s">
        <v>731</v>
      </c>
      <c r="AE539">
        <v>-36.856146469999999</v>
      </c>
      <c r="AF539">
        <v>174.60194736</v>
      </c>
      <c r="AG539" s="175">
        <v>30</v>
      </c>
      <c r="AH539" s="175">
        <v>0</v>
      </c>
      <c r="AI539" s="175">
        <v>0</v>
      </c>
      <c r="AJ539" s="175">
        <v>0</v>
      </c>
      <c r="AK539" s="175">
        <v>7</v>
      </c>
      <c r="AL539" s="175">
        <v>11</v>
      </c>
      <c r="AM539" s="175">
        <v>20</v>
      </c>
      <c r="AN539" s="175">
        <v>1</v>
      </c>
      <c r="AO539" s="175">
        <v>39</v>
      </c>
      <c r="AP539" s="175">
        <v>13</v>
      </c>
      <c r="AQ539" s="175">
        <v>8</v>
      </c>
      <c r="AR539" s="175">
        <v>20</v>
      </c>
      <c r="AS539" s="175">
        <v>6</v>
      </c>
      <c r="AT539" s="175">
        <v>4</v>
      </c>
    </row>
    <row r="540" spans="1:46">
      <c r="A540">
        <v>5566</v>
      </c>
      <c r="B540" t="s">
        <v>3824</v>
      </c>
      <c r="C540" t="s">
        <v>3825</v>
      </c>
      <c r="D540" t="s">
        <v>3826</v>
      </c>
      <c r="E540" t="s">
        <v>3827</v>
      </c>
      <c r="F540" t="s">
        <v>848</v>
      </c>
      <c r="G540" t="s">
        <v>737</v>
      </c>
      <c r="H540" t="s">
        <v>452</v>
      </c>
      <c r="J540" t="s">
        <v>605</v>
      </c>
      <c r="K540" t="s">
        <v>606</v>
      </c>
      <c r="M540" t="s">
        <v>607</v>
      </c>
      <c r="N540" t="s">
        <v>657</v>
      </c>
      <c r="O540" t="s">
        <v>823</v>
      </c>
      <c r="P540" t="s">
        <v>739</v>
      </c>
      <c r="Q540" t="s">
        <v>467</v>
      </c>
      <c r="R540" t="s">
        <v>724</v>
      </c>
      <c r="S540" t="s">
        <v>841</v>
      </c>
      <c r="T540" t="s">
        <v>613</v>
      </c>
      <c r="U540">
        <v>126300</v>
      </c>
      <c r="V540" t="s">
        <v>3828</v>
      </c>
      <c r="W540" t="s">
        <v>826</v>
      </c>
      <c r="X540" t="s">
        <v>727</v>
      </c>
      <c r="Y540" t="s">
        <v>728</v>
      </c>
      <c r="Z540" t="s">
        <v>729</v>
      </c>
      <c r="AA540" t="s">
        <v>730</v>
      </c>
      <c r="AB540" t="s">
        <v>731</v>
      </c>
      <c r="AC540">
        <v>99214</v>
      </c>
      <c r="AD540" t="s">
        <v>843</v>
      </c>
      <c r="AE540">
        <v>-36.815063100000003</v>
      </c>
      <c r="AF540">
        <v>174.70840652999999</v>
      </c>
      <c r="AG540" s="175">
        <v>30</v>
      </c>
      <c r="AH540" s="175">
        <v>0</v>
      </c>
      <c r="AI540" s="175">
        <v>0</v>
      </c>
      <c r="AJ540" s="175">
        <v>0</v>
      </c>
      <c r="AK540" s="175">
        <v>0</v>
      </c>
      <c r="AL540" s="175">
        <v>8</v>
      </c>
      <c r="AM540" s="175">
        <v>29</v>
      </c>
      <c r="AN540" s="175">
        <v>2</v>
      </c>
      <c r="AO540" s="175">
        <v>39</v>
      </c>
      <c r="AP540" s="175">
        <v>30</v>
      </c>
      <c r="AQ540" s="175">
        <v>3</v>
      </c>
      <c r="AR540" s="175">
        <v>2</v>
      </c>
      <c r="AS540" s="175">
        <v>9</v>
      </c>
      <c r="AT540" s="175">
        <v>0</v>
      </c>
    </row>
    <row r="541" spans="1:46">
      <c r="A541">
        <v>5567</v>
      </c>
      <c r="B541" t="s">
        <v>3829</v>
      </c>
      <c r="C541" t="s">
        <v>3830</v>
      </c>
      <c r="D541" t="s">
        <v>3831</v>
      </c>
      <c r="E541" t="s">
        <v>3832</v>
      </c>
      <c r="F541" t="s">
        <v>3833</v>
      </c>
      <c r="G541" t="s">
        <v>3834</v>
      </c>
      <c r="H541" t="s">
        <v>452</v>
      </c>
      <c r="J541" t="s">
        <v>605</v>
      </c>
      <c r="K541" t="s">
        <v>606</v>
      </c>
      <c r="M541" t="s">
        <v>607</v>
      </c>
      <c r="N541" t="s">
        <v>657</v>
      </c>
      <c r="O541" t="s">
        <v>3835</v>
      </c>
      <c r="P541" t="s">
        <v>610</v>
      </c>
      <c r="Q541" t="s">
        <v>467</v>
      </c>
      <c r="R541" t="s">
        <v>793</v>
      </c>
      <c r="S541" t="s">
        <v>1043</v>
      </c>
      <c r="T541" t="s">
        <v>794</v>
      </c>
      <c r="U541">
        <v>147600</v>
      </c>
      <c r="V541" t="s">
        <v>3833</v>
      </c>
      <c r="W541" t="s">
        <v>1044</v>
      </c>
      <c r="X541" t="s">
        <v>727</v>
      </c>
      <c r="Y541" t="s">
        <v>728</v>
      </c>
      <c r="Z541" t="s">
        <v>729</v>
      </c>
      <c r="AA541" t="s">
        <v>730</v>
      </c>
      <c r="AB541" t="s">
        <v>731</v>
      </c>
      <c r="AC541">
        <v>99088</v>
      </c>
      <c r="AD541" t="s">
        <v>3836</v>
      </c>
      <c r="AE541">
        <v>-36.796733590000002</v>
      </c>
      <c r="AF541">
        <v>175.03119975000001</v>
      </c>
      <c r="AG541" s="175">
        <v>30</v>
      </c>
      <c r="AH541" s="175">
        <v>0</v>
      </c>
      <c r="AI541" s="175">
        <v>0</v>
      </c>
      <c r="AJ541" s="175">
        <v>0</v>
      </c>
      <c r="AK541" s="175">
        <v>0</v>
      </c>
      <c r="AL541" s="175">
        <v>0</v>
      </c>
      <c r="AM541" s="175">
        <v>42</v>
      </c>
      <c r="AN541" s="175">
        <v>0</v>
      </c>
      <c r="AO541" s="175">
        <v>42</v>
      </c>
      <c r="AP541" s="175">
        <v>35</v>
      </c>
      <c r="AQ541" s="175">
        <v>9</v>
      </c>
      <c r="AR541" s="175">
        <v>2</v>
      </c>
      <c r="AS541" s="175">
        <v>3</v>
      </c>
      <c r="AT541" s="175">
        <v>1</v>
      </c>
    </row>
    <row r="542" spans="1:46">
      <c r="A542">
        <v>5569</v>
      </c>
      <c r="B542" t="s">
        <v>3837</v>
      </c>
      <c r="C542" t="s">
        <v>3838</v>
      </c>
      <c r="D542" t="s">
        <v>3839</v>
      </c>
      <c r="E542" t="s">
        <v>3840</v>
      </c>
      <c r="F542" t="s">
        <v>3841</v>
      </c>
      <c r="G542" t="s">
        <v>1681</v>
      </c>
      <c r="H542" t="s">
        <v>452</v>
      </c>
      <c r="J542" t="s">
        <v>605</v>
      </c>
      <c r="K542" t="s">
        <v>606</v>
      </c>
      <c r="M542" t="s">
        <v>1382</v>
      </c>
      <c r="N542" t="s">
        <v>657</v>
      </c>
      <c r="O542" t="s">
        <v>1780</v>
      </c>
      <c r="P542" t="s">
        <v>739</v>
      </c>
      <c r="Q542" t="s">
        <v>511</v>
      </c>
      <c r="R542" t="s">
        <v>1555</v>
      </c>
      <c r="S542" t="s">
        <v>1781</v>
      </c>
      <c r="T542" t="s">
        <v>1557</v>
      </c>
      <c r="U542">
        <v>197300</v>
      </c>
      <c r="V542" t="s">
        <v>3842</v>
      </c>
      <c r="W542" t="s">
        <v>3843</v>
      </c>
      <c r="X542" t="s">
        <v>1679</v>
      </c>
      <c r="Y542" t="s">
        <v>1680</v>
      </c>
      <c r="Z542" t="s">
        <v>1681</v>
      </c>
      <c r="AA542" t="s">
        <v>1682</v>
      </c>
      <c r="AB542" t="s">
        <v>1683</v>
      </c>
      <c r="AC542">
        <v>99073</v>
      </c>
      <c r="AD542" t="s">
        <v>3844</v>
      </c>
      <c r="AE542">
        <v>-37.706504080000002</v>
      </c>
      <c r="AF542">
        <v>176.2879217</v>
      </c>
      <c r="AG542" s="175">
        <v>45</v>
      </c>
      <c r="AH542" s="175">
        <v>0</v>
      </c>
      <c r="AI542" s="175">
        <v>0</v>
      </c>
      <c r="AJ542" s="175">
        <v>0</v>
      </c>
      <c r="AK542" s="175">
        <v>1</v>
      </c>
      <c r="AL542" s="175">
        <v>13</v>
      </c>
      <c r="AM542" s="175">
        <v>17</v>
      </c>
      <c r="AN542" s="175">
        <v>3</v>
      </c>
      <c r="AO542" s="175">
        <v>34</v>
      </c>
      <c r="AP542" s="175">
        <v>25</v>
      </c>
      <c r="AQ542" s="175">
        <v>15</v>
      </c>
      <c r="AR542" s="175">
        <v>3</v>
      </c>
      <c r="AS542" s="175">
        <v>7</v>
      </c>
      <c r="AT542" s="175">
        <v>0</v>
      </c>
    </row>
    <row r="543" spans="1:46">
      <c r="A543">
        <v>5596</v>
      </c>
      <c r="B543" t="s">
        <v>3845</v>
      </c>
      <c r="C543" t="s">
        <v>3846</v>
      </c>
      <c r="D543" t="s">
        <v>3847</v>
      </c>
      <c r="E543" t="s">
        <v>3848</v>
      </c>
      <c r="G543" t="s">
        <v>1152</v>
      </c>
      <c r="H543" t="s">
        <v>452</v>
      </c>
      <c r="J543" t="s">
        <v>605</v>
      </c>
      <c r="K543" t="s">
        <v>606</v>
      </c>
      <c r="M543" t="s">
        <v>607</v>
      </c>
      <c r="N543" t="s">
        <v>657</v>
      </c>
      <c r="O543" t="s">
        <v>958</v>
      </c>
      <c r="P543" t="s">
        <v>626</v>
      </c>
      <c r="Q543" t="s">
        <v>467</v>
      </c>
      <c r="R543" t="s">
        <v>724</v>
      </c>
      <c r="S543" t="s">
        <v>855</v>
      </c>
      <c r="T543" t="s">
        <v>613</v>
      </c>
      <c r="U543">
        <v>118001</v>
      </c>
      <c r="V543" t="s">
        <v>3849</v>
      </c>
      <c r="W543" t="s">
        <v>900</v>
      </c>
      <c r="X543" t="s">
        <v>727</v>
      </c>
      <c r="Y543" t="s">
        <v>728</v>
      </c>
      <c r="Z543" t="s">
        <v>729</v>
      </c>
      <c r="AA543" t="s">
        <v>730</v>
      </c>
      <c r="AB543" t="s">
        <v>731</v>
      </c>
      <c r="AE543">
        <v>-36.848350789999998</v>
      </c>
      <c r="AF543">
        <v>174.5444119</v>
      </c>
      <c r="AG543" s="175">
        <v>40</v>
      </c>
      <c r="AH543" s="175">
        <v>0</v>
      </c>
      <c r="AI543" s="175">
        <v>0</v>
      </c>
      <c r="AJ543" s="175">
        <v>0</v>
      </c>
      <c r="AK543" s="175">
        <v>12</v>
      </c>
      <c r="AL543" s="175">
        <v>11</v>
      </c>
      <c r="AM543" s="175">
        <v>20</v>
      </c>
      <c r="AN543" s="175">
        <v>1</v>
      </c>
      <c r="AO543" s="175">
        <v>44</v>
      </c>
      <c r="AP543" s="175">
        <v>42</v>
      </c>
      <c r="AQ543" s="175">
        <v>5</v>
      </c>
      <c r="AR543" s="175">
        <v>3</v>
      </c>
      <c r="AS543" s="175">
        <v>3</v>
      </c>
      <c r="AT543" s="175">
        <v>1</v>
      </c>
    </row>
    <row r="544" spans="1:46">
      <c r="A544">
        <v>5613</v>
      </c>
      <c r="B544" t="s">
        <v>3850</v>
      </c>
      <c r="C544" t="s">
        <v>3851</v>
      </c>
      <c r="D544" t="s">
        <v>1378</v>
      </c>
      <c r="E544" t="s">
        <v>3852</v>
      </c>
      <c r="F544" t="s">
        <v>1380</v>
      </c>
      <c r="G544" t="s">
        <v>1381</v>
      </c>
      <c r="H544" t="s">
        <v>452</v>
      </c>
      <c r="J544" t="s">
        <v>605</v>
      </c>
      <c r="K544" t="s">
        <v>606</v>
      </c>
      <c r="M544" t="s">
        <v>1382</v>
      </c>
      <c r="N544" t="s">
        <v>608</v>
      </c>
      <c r="O544" t="s">
        <v>1383</v>
      </c>
      <c r="P544" t="s">
        <v>739</v>
      </c>
      <c r="Q544" t="s">
        <v>510</v>
      </c>
      <c r="R544" t="s">
        <v>1384</v>
      </c>
      <c r="S544" t="s">
        <v>1385</v>
      </c>
      <c r="T544" t="s">
        <v>1320</v>
      </c>
      <c r="U544">
        <v>176800</v>
      </c>
      <c r="V544" t="s">
        <v>3853</v>
      </c>
      <c r="W544" t="s">
        <v>1387</v>
      </c>
      <c r="X544" t="s">
        <v>1388</v>
      </c>
      <c r="Y544" t="s">
        <v>1389</v>
      </c>
      <c r="AA544" t="s">
        <v>1390</v>
      </c>
      <c r="AB544" t="s">
        <v>1391</v>
      </c>
      <c r="AE544">
        <v>-37.773781339999999</v>
      </c>
      <c r="AF544">
        <v>175.23240489</v>
      </c>
      <c r="AG544" s="175">
        <v>40</v>
      </c>
      <c r="AH544" s="175">
        <v>0</v>
      </c>
      <c r="AI544" s="175">
        <v>0</v>
      </c>
      <c r="AJ544" s="175">
        <v>0</v>
      </c>
      <c r="AK544" s="175">
        <v>10</v>
      </c>
      <c r="AL544" s="175">
        <v>17</v>
      </c>
      <c r="AM544" s="175">
        <v>17</v>
      </c>
      <c r="AN544" s="175">
        <v>0</v>
      </c>
      <c r="AO544" s="175">
        <v>44</v>
      </c>
      <c r="AP544" s="175">
        <v>13</v>
      </c>
      <c r="AQ544" s="175">
        <v>30</v>
      </c>
      <c r="AR544" s="175">
        <v>9</v>
      </c>
      <c r="AS544" s="175">
        <v>5</v>
      </c>
      <c r="AT544" s="175">
        <v>1</v>
      </c>
    </row>
    <row r="545" spans="1:46">
      <c r="A545">
        <v>5614</v>
      </c>
      <c r="B545" t="s">
        <v>3854</v>
      </c>
      <c r="C545" t="s">
        <v>3855</v>
      </c>
      <c r="D545" t="s">
        <v>3856</v>
      </c>
      <c r="E545" t="s">
        <v>3857</v>
      </c>
      <c r="G545" t="s">
        <v>3858</v>
      </c>
      <c r="H545" t="s">
        <v>452</v>
      </c>
      <c r="J545" t="s">
        <v>605</v>
      </c>
      <c r="K545" t="s">
        <v>606</v>
      </c>
      <c r="M545" t="s">
        <v>1382</v>
      </c>
      <c r="N545" t="s">
        <v>608</v>
      </c>
      <c r="O545" t="s">
        <v>1825</v>
      </c>
      <c r="P545" t="s">
        <v>610</v>
      </c>
      <c r="Q545" t="s">
        <v>511</v>
      </c>
      <c r="R545" t="s">
        <v>1555</v>
      </c>
      <c r="S545" t="s">
        <v>1522</v>
      </c>
      <c r="T545" t="s">
        <v>1557</v>
      </c>
      <c r="U545">
        <v>190602</v>
      </c>
      <c r="V545" t="s">
        <v>3859</v>
      </c>
      <c r="W545" t="s">
        <v>3860</v>
      </c>
      <c r="X545" t="s">
        <v>1679</v>
      </c>
      <c r="Y545" t="s">
        <v>1680</v>
      </c>
      <c r="Z545" t="s">
        <v>1681</v>
      </c>
      <c r="AA545" t="s">
        <v>1682</v>
      </c>
      <c r="AB545" t="s">
        <v>1683</v>
      </c>
      <c r="AE545">
        <v>-37.557311890000001</v>
      </c>
      <c r="AF545">
        <v>175.92247028</v>
      </c>
      <c r="AG545" s="175">
        <v>30</v>
      </c>
      <c r="AH545" s="175">
        <v>0</v>
      </c>
      <c r="AI545" s="175">
        <v>0</v>
      </c>
      <c r="AJ545" s="175">
        <v>0</v>
      </c>
      <c r="AK545" s="175">
        <v>0</v>
      </c>
      <c r="AL545" s="175">
        <v>15</v>
      </c>
      <c r="AM545" s="175">
        <v>20</v>
      </c>
      <c r="AN545" s="175">
        <v>0</v>
      </c>
      <c r="AO545" s="175">
        <v>35</v>
      </c>
      <c r="AP545" s="175">
        <v>30</v>
      </c>
      <c r="AQ545" s="175">
        <v>6</v>
      </c>
      <c r="AR545" s="175">
        <v>4</v>
      </c>
      <c r="AS545" s="175">
        <v>3</v>
      </c>
      <c r="AT545" s="175">
        <v>0</v>
      </c>
    </row>
    <row r="546" spans="1:46">
      <c r="A546">
        <v>5615</v>
      </c>
      <c r="B546" t="s">
        <v>3861</v>
      </c>
      <c r="C546" t="s">
        <v>3862</v>
      </c>
      <c r="E546" t="s">
        <v>3863</v>
      </c>
      <c r="F546" t="s">
        <v>3864</v>
      </c>
      <c r="G546" t="s">
        <v>737</v>
      </c>
      <c r="H546" t="s">
        <v>452</v>
      </c>
      <c r="J546" t="s">
        <v>605</v>
      </c>
      <c r="K546" t="s">
        <v>606</v>
      </c>
      <c r="M546" t="s">
        <v>607</v>
      </c>
      <c r="N546" t="s">
        <v>812</v>
      </c>
      <c r="O546" t="s">
        <v>1301</v>
      </c>
      <c r="P546" t="s">
        <v>739</v>
      </c>
      <c r="Q546" t="s">
        <v>467</v>
      </c>
      <c r="R546" t="s">
        <v>814</v>
      </c>
      <c r="S546" t="s">
        <v>1121</v>
      </c>
      <c r="T546" t="s">
        <v>794</v>
      </c>
      <c r="U546">
        <v>158401</v>
      </c>
      <c r="V546" t="s">
        <v>3865</v>
      </c>
      <c r="W546" t="s">
        <v>1304</v>
      </c>
      <c r="X546" t="s">
        <v>1305</v>
      </c>
      <c r="Y546" t="s">
        <v>1306</v>
      </c>
      <c r="Z546" t="s">
        <v>1302</v>
      </c>
      <c r="AA546" t="s">
        <v>1307</v>
      </c>
      <c r="AB546" t="s">
        <v>1308</v>
      </c>
      <c r="AC546">
        <v>99187</v>
      </c>
      <c r="AD546" t="s">
        <v>1342</v>
      </c>
      <c r="AE546">
        <v>-37.000711789999997</v>
      </c>
      <c r="AF546">
        <v>174.88493224999999</v>
      </c>
      <c r="AG546" s="175">
        <v>40</v>
      </c>
      <c r="AH546" s="175">
        <v>0</v>
      </c>
      <c r="AI546" s="175">
        <v>0</v>
      </c>
      <c r="AJ546" s="175">
        <v>0</v>
      </c>
      <c r="AK546" s="175">
        <v>2</v>
      </c>
      <c r="AL546" s="175">
        <v>14</v>
      </c>
      <c r="AM546" s="175">
        <v>11</v>
      </c>
      <c r="AN546" s="175">
        <v>1</v>
      </c>
      <c r="AO546" s="175">
        <v>28</v>
      </c>
      <c r="AP546" s="175">
        <v>4</v>
      </c>
      <c r="AQ546" s="175">
        <v>10</v>
      </c>
      <c r="AR546" s="175">
        <v>20</v>
      </c>
      <c r="AS546" s="175">
        <v>2</v>
      </c>
      <c r="AT546" s="175">
        <v>0</v>
      </c>
    </row>
    <row r="547" spans="1:46">
      <c r="A547">
        <v>5616</v>
      </c>
      <c r="B547" t="s">
        <v>3866</v>
      </c>
      <c r="C547" t="s">
        <v>3867</v>
      </c>
      <c r="D547" t="s">
        <v>3868</v>
      </c>
      <c r="E547" t="s">
        <v>3869</v>
      </c>
      <c r="F547" t="s">
        <v>2504</v>
      </c>
      <c r="G547" t="s">
        <v>2505</v>
      </c>
      <c r="H547" t="s">
        <v>452</v>
      </c>
      <c r="J547" t="s">
        <v>605</v>
      </c>
      <c r="K547" t="s">
        <v>606</v>
      </c>
      <c r="M547" t="s">
        <v>2366</v>
      </c>
      <c r="N547" t="s">
        <v>643</v>
      </c>
      <c r="O547" t="s">
        <v>2506</v>
      </c>
      <c r="P547" t="s">
        <v>739</v>
      </c>
      <c r="Q547" t="s">
        <v>516</v>
      </c>
      <c r="R547" t="s">
        <v>2368</v>
      </c>
      <c r="S547" t="s">
        <v>2507</v>
      </c>
      <c r="T547" t="s">
        <v>2165</v>
      </c>
      <c r="U547">
        <v>247000</v>
      </c>
      <c r="V547" t="s">
        <v>2593</v>
      </c>
      <c r="W547" t="s">
        <v>2509</v>
      </c>
      <c r="X547" t="s">
        <v>2510</v>
      </c>
      <c r="Y547" t="s">
        <v>2511</v>
      </c>
      <c r="AA547" t="s">
        <v>2512</v>
      </c>
      <c r="AB547" t="s">
        <v>2513</v>
      </c>
      <c r="AC547">
        <v>99090</v>
      </c>
      <c r="AD547" t="s">
        <v>2514</v>
      </c>
      <c r="AE547">
        <v>-41.24680232</v>
      </c>
      <c r="AF547">
        <v>174.95465788999999</v>
      </c>
      <c r="AG547" s="175">
        <v>42</v>
      </c>
      <c r="AH547" s="175">
        <v>0</v>
      </c>
      <c r="AI547" s="175">
        <v>0</v>
      </c>
      <c r="AJ547" s="175">
        <v>0</v>
      </c>
      <c r="AK547" s="175">
        <v>10</v>
      </c>
      <c r="AL547" s="175">
        <v>13</v>
      </c>
      <c r="AM547" s="175">
        <v>11</v>
      </c>
      <c r="AN547" s="175">
        <v>0</v>
      </c>
      <c r="AO547" s="175">
        <v>34</v>
      </c>
      <c r="AP547" s="175">
        <v>26</v>
      </c>
      <c r="AQ547" s="175">
        <v>9</v>
      </c>
      <c r="AR547" s="175">
        <v>6</v>
      </c>
      <c r="AS547" s="175">
        <v>5</v>
      </c>
      <c r="AT547" s="175">
        <v>1</v>
      </c>
    </row>
    <row r="548" spans="1:46">
      <c r="A548">
        <v>5619</v>
      </c>
      <c r="B548" t="s">
        <v>3870</v>
      </c>
      <c r="C548" t="s">
        <v>3871</v>
      </c>
      <c r="D548" t="s">
        <v>3872</v>
      </c>
      <c r="E548" t="s">
        <v>3873</v>
      </c>
      <c r="G548" t="s">
        <v>2068</v>
      </c>
      <c r="H548" t="s">
        <v>452</v>
      </c>
      <c r="I548" t="s">
        <v>941</v>
      </c>
      <c r="J548" t="s">
        <v>605</v>
      </c>
      <c r="K548" t="s">
        <v>606</v>
      </c>
      <c r="M548" t="s">
        <v>1382</v>
      </c>
      <c r="N548" t="s">
        <v>625</v>
      </c>
      <c r="O548" t="s">
        <v>2069</v>
      </c>
      <c r="P548" t="s">
        <v>1347</v>
      </c>
      <c r="Q548" t="s">
        <v>553</v>
      </c>
      <c r="R548" t="s">
        <v>1841</v>
      </c>
      <c r="S548" t="s">
        <v>1719</v>
      </c>
      <c r="T548" t="s">
        <v>1568</v>
      </c>
      <c r="U548">
        <v>227900</v>
      </c>
      <c r="V548" t="s">
        <v>3874</v>
      </c>
      <c r="W548" t="s">
        <v>2071</v>
      </c>
      <c r="X548" t="s">
        <v>2039</v>
      </c>
      <c r="Y548" t="s">
        <v>2040</v>
      </c>
      <c r="AA548" t="s">
        <v>2041</v>
      </c>
      <c r="AB548" t="s">
        <v>2042</v>
      </c>
      <c r="AC548">
        <v>99134</v>
      </c>
      <c r="AD548" t="s">
        <v>2072</v>
      </c>
      <c r="AE548">
        <v>-40.209955039999997</v>
      </c>
      <c r="AF548">
        <v>175.5625598</v>
      </c>
      <c r="AG548" s="175">
        <v>40</v>
      </c>
      <c r="AH548" s="175">
        <v>0</v>
      </c>
      <c r="AI548" s="175">
        <v>0</v>
      </c>
      <c r="AJ548" s="175">
        <v>0</v>
      </c>
      <c r="AK548" s="175">
        <v>1</v>
      </c>
      <c r="AL548" s="175">
        <v>13</v>
      </c>
      <c r="AM548" s="175">
        <v>17</v>
      </c>
      <c r="AN548" s="175">
        <v>1</v>
      </c>
      <c r="AO548" s="175">
        <v>32</v>
      </c>
      <c r="AP548" s="175">
        <v>30</v>
      </c>
      <c r="AQ548" s="175">
        <v>11</v>
      </c>
      <c r="AR548" s="175">
        <v>0</v>
      </c>
      <c r="AS548" s="175">
        <v>3</v>
      </c>
      <c r="AT548" s="175">
        <v>1</v>
      </c>
    </row>
    <row r="549" spans="1:46">
      <c r="A549">
        <v>5620</v>
      </c>
      <c r="B549" t="s">
        <v>3875</v>
      </c>
      <c r="C549" t="s">
        <v>3876</v>
      </c>
      <c r="D549" t="s">
        <v>3877</v>
      </c>
      <c r="E549" t="s">
        <v>3878</v>
      </c>
      <c r="F549" t="s">
        <v>2519</v>
      </c>
      <c r="G549" t="s">
        <v>2505</v>
      </c>
      <c r="H549" t="s">
        <v>452</v>
      </c>
      <c r="J549" t="s">
        <v>605</v>
      </c>
      <c r="K549" t="s">
        <v>606</v>
      </c>
      <c r="M549" t="s">
        <v>2366</v>
      </c>
      <c r="N549" t="s">
        <v>657</v>
      </c>
      <c r="O549" t="s">
        <v>2506</v>
      </c>
      <c r="P549" t="s">
        <v>739</v>
      </c>
      <c r="Q549" t="s">
        <v>516</v>
      </c>
      <c r="R549" t="s">
        <v>2368</v>
      </c>
      <c r="S549" t="s">
        <v>2507</v>
      </c>
      <c r="T549" t="s">
        <v>2526</v>
      </c>
      <c r="U549">
        <v>246001</v>
      </c>
      <c r="V549" t="s">
        <v>3879</v>
      </c>
      <c r="W549" t="s">
        <v>2533</v>
      </c>
      <c r="X549" t="s">
        <v>2510</v>
      </c>
      <c r="Y549" t="s">
        <v>2511</v>
      </c>
      <c r="AA549" t="s">
        <v>2512</v>
      </c>
      <c r="AB549" t="s">
        <v>2513</v>
      </c>
      <c r="AE549">
        <v>-41.221517650000003</v>
      </c>
      <c r="AF549">
        <v>174.91489773999999</v>
      </c>
      <c r="AG549" s="175">
        <v>43</v>
      </c>
      <c r="AH549" s="175">
        <v>0</v>
      </c>
      <c r="AI549" s="175">
        <v>0</v>
      </c>
      <c r="AJ549" s="175">
        <v>0</v>
      </c>
      <c r="AK549" s="175">
        <v>2</v>
      </c>
      <c r="AL549" s="175">
        <v>24</v>
      </c>
      <c r="AM549" s="175">
        <v>25</v>
      </c>
      <c r="AN549" s="175">
        <v>2</v>
      </c>
      <c r="AO549" s="175">
        <v>53</v>
      </c>
      <c r="AP549" s="175">
        <v>28</v>
      </c>
      <c r="AQ549" s="175">
        <v>14</v>
      </c>
      <c r="AR549" s="175">
        <v>10</v>
      </c>
      <c r="AS549" s="175">
        <v>18</v>
      </c>
      <c r="AT549" s="175">
        <v>4</v>
      </c>
    </row>
    <row r="550" spans="1:46">
      <c r="A550">
        <v>5621</v>
      </c>
      <c r="B550" t="s">
        <v>3880</v>
      </c>
      <c r="C550" t="s">
        <v>1308</v>
      </c>
      <c r="E550" t="s">
        <v>3881</v>
      </c>
      <c r="G550" t="s">
        <v>3882</v>
      </c>
      <c r="H550" t="s">
        <v>452</v>
      </c>
      <c r="J550" t="s">
        <v>605</v>
      </c>
      <c r="K550" t="s">
        <v>606</v>
      </c>
      <c r="M550" t="s">
        <v>607</v>
      </c>
      <c r="N550" t="s">
        <v>643</v>
      </c>
      <c r="O550" t="s">
        <v>1435</v>
      </c>
      <c r="P550" t="s">
        <v>610</v>
      </c>
      <c r="Q550" t="s">
        <v>510</v>
      </c>
      <c r="R550" t="s">
        <v>814</v>
      </c>
      <c r="S550" t="s">
        <v>1331</v>
      </c>
      <c r="T550" t="s">
        <v>1320</v>
      </c>
      <c r="U550">
        <v>170300</v>
      </c>
      <c r="V550" t="s">
        <v>3883</v>
      </c>
      <c r="W550" t="s">
        <v>3884</v>
      </c>
      <c r="X550" t="s">
        <v>1305</v>
      </c>
      <c r="Y550" t="s">
        <v>1306</v>
      </c>
      <c r="Z550" t="s">
        <v>1302</v>
      </c>
      <c r="AA550" t="s">
        <v>1307</v>
      </c>
      <c r="AB550" t="s">
        <v>1308</v>
      </c>
      <c r="AE550">
        <v>-37.265463439999998</v>
      </c>
      <c r="AF550">
        <v>174.93935827999999</v>
      </c>
      <c r="AG550" s="175">
        <v>30</v>
      </c>
      <c r="AH550" s="175">
        <v>0</v>
      </c>
      <c r="AI550" s="175">
        <v>0</v>
      </c>
      <c r="AJ550" s="175">
        <v>0</v>
      </c>
      <c r="AK550" s="175">
        <v>3</v>
      </c>
      <c r="AL550" s="175">
        <v>14</v>
      </c>
      <c r="AM550" s="175">
        <v>24</v>
      </c>
      <c r="AN550" s="175">
        <v>1</v>
      </c>
      <c r="AO550" s="175">
        <v>42</v>
      </c>
      <c r="AP550" s="175">
        <v>30</v>
      </c>
      <c r="AQ550" s="175">
        <v>12</v>
      </c>
      <c r="AR550" s="175">
        <v>9</v>
      </c>
      <c r="AS550" s="175">
        <v>5</v>
      </c>
      <c r="AT550" s="175">
        <v>1</v>
      </c>
    </row>
    <row r="551" spans="1:46">
      <c r="A551">
        <v>5622</v>
      </c>
      <c r="B551" t="s">
        <v>3885</v>
      </c>
      <c r="C551" t="s">
        <v>3886</v>
      </c>
      <c r="D551" t="s">
        <v>3887</v>
      </c>
      <c r="E551" t="s">
        <v>3888</v>
      </c>
      <c r="F551" t="s">
        <v>1120</v>
      </c>
      <c r="G551" t="s">
        <v>737</v>
      </c>
      <c r="H551" t="s">
        <v>452</v>
      </c>
      <c r="J551" t="s">
        <v>605</v>
      </c>
      <c r="K551" t="s">
        <v>606</v>
      </c>
      <c r="M551" t="s">
        <v>607</v>
      </c>
      <c r="N551" t="s">
        <v>625</v>
      </c>
      <c r="O551" t="s">
        <v>813</v>
      </c>
      <c r="P551" t="s">
        <v>739</v>
      </c>
      <c r="Q551" t="s">
        <v>467</v>
      </c>
      <c r="R551" t="s">
        <v>814</v>
      </c>
      <c r="S551" t="s">
        <v>1121</v>
      </c>
      <c r="T551" t="s">
        <v>794</v>
      </c>
      <c r="U551">
        <v>154202</v>
      </c>
      <c r="V551" t="s">
        <v>3889</v>
      </c>
      <c r="W551" t="s">
        <v>817</v>
      </c>
      <c r="X551" t="s">
        <v>727</v>
      </c>
      <c r="Y551" t="s">
        <v>728</v>
      </c>
      <c r="Z551" t="s">
        <v>729</v>
      </c>
      <c r="AA551" t="s">
        <v>730</v>
      </c>
      <c r="AB551" t="s">
        <v>731</v>
      </c>
      <c r="AC551">
        <v>99102</v>
      </c>
      <c r="AD551" t="s">
        <v>1123</v>
      </c>
      <c r="AE551">
        <v>-36.984732510000001</v>
      </c>
      <c r="AF551">
        <v>174.83822749999999</v>
      </c>
      <c r="AG551" s="175">
        <v>40</v>
      </c>
      <c r="AH551" s="175">
        <v>0</v>
      </c>
      <c r="AI551" s="175">
        <v>0</v>
      </c>
      <c r="AJ551" s="175">
        <v>0</v>
      </c>
      <c r="AK551" s="175">
        <v>11</v>
      </c>
      <c r="AL551" s="175">
        <v>10</v>
      </c>
      <c r="AM551" s="175">
        <v>15</v>
      </c>
      <c r="AN551" s="175">
        <v>1</v>
      </c>
      <c r="AO551" s="175">
        <v>37</v>
      </c>
      <c r="AP551" s="175">
        <v>6</v>
      </c>
      <c r="AQ551" s="175">
        <v>20</v>
      </c>
      <c r="AR551" s="175">
        <v>19</v>
      </c>
      <c r="AS551" s="175">
        <v>6</v>
      </c>
      <c r="AT551" s="175">
        <v>1</v>
      </c>
    </row>
    <row r="552" spans="1:46">
      <c r="A552">
        <v>5623</v>
      </c>
      <c r="B552" t="s">
        <v>3890</v>
      </c>
      <c r="C552" t="s">
        <v>1517</v>
      </c>
      <c r="D552" t="s">
        <v>3891</v>
      </c>
      <c r="E552" t="s">
        <v>3892</v>
      </c>
      <c r="G552" t="s">
        <v>1669</v>
      </c>
      <c r="H552" t="s">
        <v>452</v>
      </c>
      <c r="J552" t="s">
        <v>605</v>
      </c>
      <c r="K552" t="s">
        <v>606</v>
      </c>
      <c r="M552" t="s">
        <v>1382</v>
      </c>
      <c r="N552" t="s">
        <v>643</v>
      </c>
      <c r="O552" t="s">
        <v>1534</v>
      </c>
      <c r="P552" t="s">
        <v>610</v>
      </c>
      <c r="Q552" t="s">
        <v>510</v>
      </c>
      <c r="R552" t="s">
        <v>1384</v>
      </c>
      <c r="S552" t="s">
        <v>1384</v>
      </c>
      <c r="T552" t="s">
        <v>1320</v>
      </c>
      <c r="U552">
        <v>174001</v>
      </c>
      <c r="V552" t="s">
        <v>3893</v>
      </c>
      <c r="W552" t="s">
        <v>1671</v>
      </c>
      <c r="X552" t="s">
        <v>1524</v>
      </c>
      <c r="Y552" t="s">
        <v>1525</v>
      </c>
      <c r="AA552" t="s">
        <v>1526</v>
      </c>
      <c r="AB552" t="s">
        <v>1527</v>
      </c>
      <c r="AC552">
        <v>99131</v>
      </c>
      <c r="AD552" t="s">
        <v>1672</v>
      </c>
      <c r="AE552">
        <v>-37.651272820000003</v>
      </c>
      <c r="AF552">
        <v>175.51870446000001</v>
      </c>
      <c r="AG552" s="175">
        <v>40</v>
      </c>
      <c r="AH552" s="175">
        <v>0</v>
      </c>
      <c r="AI552" s="175">
        <v>0</v>
      </c>
      <c r="AJ552" s="175">
        <v>0</v>
      </c>
      <c r="AK552" s="175">
        <v>9</v>
      </c>
      <c r="AL552" s="175">
        <v>12</v>
      </c>
      <c r="AM552" s="175">
        <v>18</v>
      </c>
      <c r="AN552" s="175">
        <v>4</v>
      </c>
      <c r="AO552" s="175">
        <v>43</v>
      </c>
      <c r="AP552" s="175">
        <v>29</v>
      </c>
      <c r="AQ552" s="175">
        <v>20</v>
      </c>
      <c r="AR552" s="175">
        <v>1</v>
      </c>
      <c r="AS552" s="175">
        <v>1</v>
      </c>
      <c r="AT552" s="175">
        <v>6</v>
      </c>
    </row>
    <row r="553" spans="1:46">
      <c r="A553">
        <v>5624</v>
      </c>
      <c r="B553" t="s">
        <v>3894</v>
      </c>
      <c r="C553" t="s">
        <v>1517</v>
      </c>
      <c r="D553" t="s">
        <v>3895</v>
      </c>
      <c r="E553" t="s">
        <v>3896</v>
      </c>
      <c r="G553" t="s">
        <v>3897</v>
      </c>
      <c r="H553" t="s">
        <v>452</v>
      </c>
      <c r="J553" t="s">
        <v>605</v>
      </c>
      <c r="K553" t="s">
        <v>606</v>
      </c>
      <c r="M553" t="s">
        <v>1382</v>
      </c>
      <c r="N553" t="s">
        <v>608</v>
      </c>
      <c r="O553" t="s">
        <v>1545</v>
      </c>
      <c r="P553" t="s">
        <v>610</v>
      </c>
      <c r="Q553" t="s">
        <v>510</v>
      </c>
      <c r="R553" t="s">
        <v>1384</v>
      </c>
      <c r="S553" t="s">
        <v>1522</v>
      </c>
      <c r="T553" t="s">
        <v>1320</v>
      </c>
      <c r="U553">
        <v>167101</v>
      </c>
      <c r="V553" t="s">
        <v>3898</v>
      </c>
      <c r="W553" t="s">
        <v>3899</v>
      </c>
      <c r="X553" t="s">
        <v>1524</v>
      </c>
      <c r="Y553" t="s">
        <v>1525</v>
      </c>
      <c r="AA553" t="s">
        <v>1526</v>
      </c>
      <c r="AB553" t="s">
        <v>1527</v>
      </c>
      <c r="AC553">
        <v>99155</v>
      </c>
      <c r="AD553" t="s">
        <v>3900</v>
      </c>
      <c r="AE553">
        <v>-36.830781870000003</v>
      </c>
      <c r="AF553">
        <v>175.70472285</v>
      </c>
      <c r="AG553" s="175">
        <v>40</v>
      </c>
      <c r="AH553" s="175">
        <v>0</v>
      </c>
      <c r="AI553" s="175">
        <v>0</v>
      </c>
      <c r="AJ553" s="175">
        <v>0</v>
      </c>
      <c r="AK553" s="175">
        <v>3</v>
      </c>
      <c r="AL553" s="175">
        <v>7</v>
      </c>
      <c r="AM553" s="175">
        <v>10</v>
      </c>
      <c r="AN553" s="175">
        <v>1</v>
      </c>
      <c r="AO553" s="175">
        <v>21</v>
      </c>
      <c r="AP553" s="175">
        <v>13</v>
      </c>
      <c r="AQ553" s="175">
        <v>7</v>
      </c>
      <c r="AR553" s="175">
        <v>3</v>
      </c>
      <c r="AS553" s="175">
        <v>3</v>
      </c>
      <c r="AT553" s="175">
        <v>0</v>
      </c>
    </row>
    <row r="554" spans="1:46">
      <c r="A554">
        <v>5625</v>
      </c>
      <c r="B554" t="s">
        <v>3901</v>
      </c>
      <c r="C554" t="s">
        <v>3902</v>
      </c>
      <c r="D554" t="s">
        <v>3903</v>
      </c>
      <c r="E554" t="s">
        <v>3904</v>
      </c>
      <c r="G554" t="s">
        <v>3905</v>
      </c>
      <c r="H554" t="s">
        <v>452</v>
      </c>
      <c r="J554" t="s">
        <v>605</v>
      </c>
      <c r="K554" t="s">
        <v>606</v>
      </c>
      <c r="M554" t="s">
        <v>2366</v>
      </c>
      <c r="N554" t="s">
        <v>657</v>
      </c>
      <c r="O554" t="s">
        <v>3906</v>
      </c>
      <c r="P554" t="s">
        <v>1347</v>
      </c>
      <c r="Q554" t="s">
        <v>522</v>
      </c>
      <c r="R554" t="s">
        <v>3410</v>
      </c>
      <c r="S554" t="s">
        <v>3433</v>
      </c>
      <c r="T554" t="s">
        <v>2526</v>
      </c>
      <c r="U554">
        <v>347700</v>
      </c>
      <c r="V554" t="s">
        <v>3907</v>
      </c>
      <c r="W554" t="s">
        <v>3908</v>
      </c>
      <c r="X554" t="s">
        <v>3021</v>
      </c>
      <c r="Y554" t="s">
        <v>3022</v>
      </c>
      <c r="Z554" t="s">
        <v>3023</v>
      </c>
      <c r="AA554" t="s">
        <v>3024</v>
      </c>
      <c r="AB554" t="s">
        <v>3025</v>
      </c>
      <c r="AE554">
        <v>-45.028861759999998</v>
      </c>
      <c r="AF554">
        <v>168.65768406999999</v>
      </c>
      <c r="AG554" s="175">
        <v>40</v>
      </c>
      <c r="AH554" s="175">
        <v>0</v>
      </c>
      <c r="AI554" s="175">
        <v>0</v>
      </c>
      <c r="AJ554" s="175">
        <v>0</v>
      </c>
      <c r="AK554" s="175">
        <v>4</v>
      </c>
      <c r="AL554" s="175">
        <v>13</v>
      </c>
      <c r="AM554" s="175">
        <v>16</v>
      </c>
      <c r="AN554" s="175">
        <v>0</v>
      </c>
      <c r="AO554" s="175">
        <v>33</v>
      </c>
      <c r="AP554" s="175">
        <v>19</v>
      </c>
      <c r="AQ554" s="175">
        <v>5</v>
      </c>
      <c r="AR554" s="175">
        <v>1</v>
      </c>
      <c r="AS554" s="175">
        <v>9</v>
      </c>
      <c r="AT554" s="175">
        <v>9</v>
      </c>
    </row>
    <row r="555" spans="1:46">
      <c r="A555">
        <v>5626</v>
      </c>
      <c r="B555" t="s">
        <v>3909</v>
      </c>
      <c r="C555" t="s">
        <v>3910</v>
      </c>
      <c r="D555" t="s">
        <v>3911</v>
      </c>
      <c r="E555" t="s">
        <v>3912</v>
      </c>
      <c r="G555" t="s">
        <v>3569</v>
      </c>
      <c r="H555" t="s">
        <v>452</v>
      </c>
      <c r="J555" t="s">
        <v>605</v>
      </c>
      <c r="K555" t="s">
        <v>606</v>
      </c>
      <c r="M555" t="s">
        <v>2366</v>
      </c>
      <c r="N555" t="s">
        <v>625</v>
      </c>
      <c r="O555" t="s">
        <v>3568</v>
      </c>
      <c r="P555" t="s">
        <v>670</v>
      </c>
      <c r="Q555" t="s">
        <v>523</v>
      </c>
      <c r="R555" t="s">
        <v>3410</v>
      </c>
      <c r="S555" t="s">
        <v>3569</v>
      </c>
      <c r="T555" t="s">
        <v>2526</v>
      </c>
      <c r="U555">
        <v>362601</v>
      </c>
      <c r="V555" t="s">
        <v>3913</v>
      </c>
      <c r="W555" t="s">
        <v>1734</v>
      </c>
      <c r="X555" t="s">
        <v>3570</v>
      </c>
      <c r="Y555" t="s">
        <v>3571</v>
      </c>
      <c r="Z555" t="s">
        <v>3569</v>
      </c>
      <c r="AA555" t="s">
        <v>3572</v>
      </c>
      <c r="AB555" t="s">
        <v>3573</v>
      </c>
      <c r="AC555">
        <v>99146</v>
      </c>
      <c r="AD555" t="s">
        <v>3579</v>
      </c>
      <c r="AE555">
        <v>-46.424523499999999</v>
      </c>
      <c r="AF555">
        <v>168.39026569999999</v>
      </c>
      <c r="AG555" s="175">
        <v>37</v>
      </c>
      <c r="AH555" s="175">
        <v>0</v>
      </c>
      <c r="AI555" s="175">
        <v>0</v>
      </c>
      <c r="AJ555" s="175">
        <v>0</v>
      </c>
      <c r="AK555" s="175">
        <v>5</v>
      </c>
      <c r="AL555" s="175">
        <v>6</v>
      </c>
      <c r="AM555" s="175">
        <v>11</v>
      </c>
      <c r="AN555" s="175">
        <v>0</v>
      </c>
      <c r="AO555" s="175">
        <v>22</v>
      </c>
      <c r="AP555" s="175">
        <v>15</v>
      </c>
      <c r="AQ555" s="175">
        <v>10</v>
      </c>
      <c r="AR555" s="175">
        <v>1</v>
      </c>
      <c r="AS555" s="175">
        <v>4</v>
      </c>
      <c r="AT555" s="175">
        <v>0</v>
      </c>
    </row>
    <row r="556" spans="1:46">
      <c r="A556">
        <v>5627</v>
      </c>
      <c r="B556" t="s">
        <v>3914</v>
      </c>
      <c r="C556" t="s">
        <v>3915</v>
      </c>
      <c r="D556" t="s">
        <v>3916</v>
      </c>
      <c r="E556" t="s">
        <v>3917</v>
      </c>
      <c r="F556" t="s">
        <v>2184</v>
      </c>
      <c r="G556" t="s">
        <v>2162</v>
      </c>
      <c r="H556" t="s">
        <v>452</v>
      </c>
      <c r="J556" t="s">
        <v>605</v>
      </c>
      <c r="K556" t="s">
        <v>606</v>
      </c>
      <c r="M556" t="s">
        <v>1382</v>
      </c>
      <c r="N556" t="s">
        <v>812</v>
      </c>
      <c r="O556" t="s">
        <v>2163</v>
      </c>
      <c r="P556" t="s">
        <v>670</v>
      </c>
      <c r="Q556" t="s">
        <v>512</v>
      </c>
      <c r="R556" t="s">
        <v>2164</v>
      </c>
      <c r="S556" t="s">
        <v>1556</v>
      </c>
      <c r="T556" t="s">
        <v>2165</v>
      </c>
      <c r="U556">
        <v>207000</v>
      </c>
      <c r="V556" t="s">
        <v>3918</v>
      </c>
      <c r="W556" t="s">
        <v>2167</v>
      </c>
      <c r="X556" t="s">
        <v>2168</v>
      </c>
      <c r="Y556" t="s">
        <v>2169</v>
      </c>
      <c r="AA556" t="s">
        <v>2170</v>
      </c>
      <c r="AB556" t="s">
        <v>2171</v>
      </c>
      <c r="AC556">
        <v>99050</v>
      </c>
      <c r="AD556" t="s">
        <v>2186</v>
      </c>
      <c r="AE556">
        <v>-38.67587236</v>
      </c>
      <c r="AF556">
        <v>178.04516426999999</v>
      </c>
      <c r="AG556" s="175">
        <v>40</v>
      </c>
      <c r="AH556" s="175">
        <v>0</v>
      </c>
      <c r="AI556" s="175">
        <v>0</v>
      </c>
      <c r="AJ556" s="175">
        <v>1</v>
      </c>
      <c r="AK556" s="175">
        <v>7</v>
      </c>
      <c r="AL556" s="175">
        <v>15</v>
      </c>
      <c r="AM556" s="175">
        <v>14</v>
      </c>
      <c r="AN556" s="175">
        <v>2</v>
      </c>
      <c r="AO556" s="175">
        <v>39</v>
      </c>
      <c r="AP556" s="175">
        <v>7</v>
      </c>
      <c r="AQ556" s="175">
        <v>37</v>
      </c>
      <c r="AR556" s="175">
        <v>6</v>
      </c>
      <c r="AS556" s="175">
        <v>0</v>
      </c>
      <c r="AT556" s="175">
        <v>0</v>
      </c>
    </row>
    <row r="557" spans="1:46">
      <c r="A557">
        <v>5628</v>
      </c>
      <c r="B557" t="s">
        <v>3919</v>
      </c>
      <c r="C557" t="s">
        <v>3920</v>
      </c>
      <c r="D557" t="s">
        <v>3012</v>
      </c>
      <c r="E557" t="s">
        <v>3921</v>
      </c>
      <c r="F557" t="s">
        <v>3014</v>
      </c>
      <c r="G557" t="s">
        <v>3015</v>
      </c>
      <c r="H557" t="s">
        <v>452</v>
      </c>
      <c r="J557" t="s">
        <v>605</v>
      </c>
      <c r="K557" t="s">
        <v>606</v>
      </c>
      <c r="M557" t="s">
        <v>2366</v>
      </c>
      <c r="N557" t="s">
        <v>657</v>
      </c>
      <c r="O557" t="s">
        <v>3016</v>
      </c>
      <c r="P557" t="s">
        <v>739</v>
      </c>
      <c r="Q557" t="s">
        <v>521</v>
      </c>
      <c r="R557" t="s">
        <v>3017</v>
      </c>
      <c r="S557" t="s">
        <v>3018</v>
      </c>
      <c r="T557" t="s">
        <v>2526</v>
      </c>
      <c r="U557">
        <v>318901</v>
      </c>
      <c r="V557" t="s">
        <v>3922</v>
      </c>
      <c r="W557" t="s">
        <v>3020</v>
      </c>
      <c r="X557" t="s">
        <v>3021</v>
      </c>
      <c r="Y557" t="s">
        <v>3022</v>
      </c>
      <c r="Z557" t="s">
        <v>3023</v>
      </c>
      <c r="AA557" t="s">
        <v>3024</v>
      </c>
      <c r="AB557" t="s">
        <v>3025</v>
      </c>
      <c r="AE557">
        <v>-43.509406890000001</v>
      </c>
      <c r="AF557">
        <v>172.54640472</v>
      </c>
      <c r="AG557" s="175">
        <v>40</v>
      </c>
      <c r="AH557" s="175">
        <v>0</v>
      </c>
      <c r="AI557" s="175">
        <v>0</v>
      </c>
      <c r="AJ557" s="175">
        <v>0</v>
      </c>
      <c r="AK557" s="175">
        <v>9</v>
      </c>
      <c r="AL557" s="175">
        <v>19</v>
      </c>
      <c r="AM557" s="175">
        <v>20</v>
      </c>
      <c r="AN557" s="175">
        <v>1</v>
      </c>
      <c r="AO557" s="175">
        <v>49</v>
      </c>
      <c r="AP557" s="175">
        <v>37</v>
      </c>
      <c r="AQ557" s="175">
        <v>4</v>
      </c>
      <c r="AR557" s="175">
        <v>6</v>
      </c>
      <c r="AS557" s="175">
        <v>13</v>
      </c>
      <c r="AT557" s="175">
        <v>1</v>
      </c>
    </row>
    <row r="558" spans="1:46">
      <c r="A558">
        <v>5629</v>
      </c>
      <c r="B558" t="s">
        <v>3923</v>
      </c>
      <c r="C558" t="s">
        <v>1517</v>
      </c>
      <c r="D558" t="s">
        <v>3924</v>
      </c>
      <c r="E558" t="s">
        <v>3925</v>
      </c>
      <c r="G558" t="s">
        <v>3926</v>
      </c>
      <c r="H558" t="s">
        <v>452</v>
      </c>
      <c r="J558" t="s">
        <v>605</v>
      </c>
      <c r="K558" t="s">
        <v>606</v>
      </c>
      <c r="M558" t="s">
        <v>1382</v>
      </c>
      <c r="N558" t="s">
        <v>643</v>
      </c>
      <c r="O558" t="s">
        <v>1521</v>
      </c>
      <c r="P558" t="s">
        <v>610</v>
      </c>
      <c r="Q558" t="s">
        <v>510</v>
      </c>
      <c r="R558" t="s">
        <v>1384</v>
      </c>
      <c r="S558" t="s">
        <v>1522</v>
      </c>
      <c r="T558" t="s">
        <v>1320</v>
      </c>
      <c r="U558">
        <v>168901</v>
      </c>
      <c r="V558" t="s">
        <v>3926</v>
      </c>
      <c r="W558" t="s">
        <v>3927</v>
      </c>
      <c r="X558" t="s">
        <v>1524</v>
      </c>
      <c r="Y558" t="s">
        <v>1525</v>
      </c>
      <c r="AA558" t="s">
        <v>1526</v>
      </c>
      <c r="AB558" t="s">
        <v>1527</v>
      </c>
      <c r="AC558">
        <v>99015</v>
      </c>
      <c r="AD558" t="s">
        <v>3928</v>
      </c>
      <c r="AE558">
        <v>-37.273663790000001</v>
      </c>
      <c r="AF558">
        <v>175.49805545999999</v>
      </c>
      <c r="AG558" s="175">
        <v>40</v>
      </c>
      <c r="AH558" s="175">
        <v>0</v>
      </c>
      <c r="AI558" s="175">
        <v>0</v>
      </c>
      <c r="AJ558" s="175">
        <v>0</v>
      </c>
      <c r="AK558" s="175">
        <v>9</v>
      </c>
      <c r="AL558" s="175">
        <v>20</v>
      </c>
      <c r="AM558" s="175">
        <v>21</v>
      </c>
      <c r="AN558" s="175">
        <v>2</v>
      </c>
      <c r="AO558" s="175">
        <v>52</v>
      </c>
      <c r="AP558" s="175">
        <v>44</v>
      </c>
      <c r="AQ558" s="175">
        <v>8</v>
      </c>
      <c r="AR558" s="175">
        <v>1</v>
      </c>
      <c r="AS558" s="175">
        <v>8</v>
      </c>
      <c r="AT558" s="175">
        <v>1</v>
      </c>
    </row>
    <row r="559" spans="1:46">
      <c r="A559">
        <v>5630</v>
      </c>
      <c r="B559" t="s">
        <v>3929</v>
      </c>
      <c r="C559" t="s">
        <v>3930</v>
      </c>
      <c r="D559" t="s">
        <v>3931</v>
      </c>
      <c r="E559" t="s">
        <v>3932</v>
      </c>
      <c r="F559" t="s">
        <v>876</v>
      </c>
      <c r="G559" t="s">
        <v>737</v>
      </c>
      <c r="H559" t="s">
        <v>452</v>
      </c>
      <c r="J559" t="s">
        <v>605</v>
      </c>
      <c r="K559" t="s">
        <v>606</v>
      </c>
      <c r="M559" t="s">
        <v>607</v>
      </c>
      <c r="N559" t="s">
        <v>657</v>
      </c>
      <c r="O559" t="s">
        <v>792</v>
      </c>
      <c r="P559" t="s">
        <v>739</v>
      </c>
      <c r="Q559" t="s">
        <v>467</v>
      </c>
      <c r="R559" t="s">
        <v>793</v>
      </c>
      <c r="S559" t="s">
        <v>791</v>
      </c>
      <c r="T559" t="s">
        <v>794</v>
      </c>
      <c r="U559">
        <v>148800</v>
      </c>
      <c r="V559" t="s">
        <v>3933</v>
      </c>
      <c r="W559" t="s">
        <v>796</v>
      </c>
      <c r="X559" t="s">
        <v>727</v>
      </c>
      <c r="Y559" t="s">
        <v>728</v>
      </c>
      <c r="Z559" t="s">
        <v>729</v>
      </c>
      <c r="AA559" t="s">
        <v>730</v>
      </c>
      <c r="AB559" t="s">
        <v>731</v>
      </c>
      <c r="AE559">
        <v>-36.888665789999997</v>
      </c>
      <c r="AF559">
        <v>174.90113020000001</v>
      </c>
      <c r="AG559" s="175">
        <v>40</v>
      </c>
      <c r="AH559" s="175">
        <v>0</v>
      </c>
      <c r="AI559" s="175">
        <v>0</v>
      </c>
      <c r="AJ559" s="175">
        <v>0</v>
      </c>
      <c r="AK559" s="175">
        <v>10</v>
      </c>
      <c r="AL559" s="175">
        <v>9</v>
      </c>
      <c r="AM559" s="175">
        <v>15</v>
      </c>
      <c r="AN559" s="175">
        <v>1</v>
      </c>
      <c r="AO559" s="175">
        <v>35</v>
      </c>
      <c r="AP559" s="175">
        <v>14</v>
      </c>
      <c r="AQ559" s="175">
        <v>2</v>
      </c>
      <c r="AR559" s="175">
        <v>4</v>
      </c>
      <c r="AS559" s="175">
        <v>20</v>
      </c>
      <c r="AT559" s="175">
        <v>2</v>
      </c>
    </row>
    <row r="560" spans="1:46">
      <c r="A560">
        <v>5631</v>
      </c>
      <c r="B560" t="s">
        <v>3934</v>
      </c>
      <c r="C560" t="s">
        <v>3935</v>
      </c>
      <c r="D560" t="s">
        <v>3936</v>
      </c>
      <c r="E560" t="s">
        <v>3937</v>
      </c>
      <c r="G560" t="s">
        <v>3938</v>
      </c>
      <c r="H560" t="s">
        <v>452</v>
      </c>
      <c r="J560" t="s">
        <v>605</v>
      </c>
      <c r="K560" t="s">
        <v>606</v>
      </c>
      <c r="M560" t="s">
        <v>2366</v>
      </c>
      <c r="N560" t="s">
        <v>657</v>
      </c>
      <c r="O560" t="s">
        <v>2900</v>
      </c>
      <c r="P560" t="s">
        <v>610</v>
      </c>
      <c r="Q560" t="s">
        <v>519</v>
      </c>
      <c r="R560" t="s">
        <v>2901</v>
      </c>
      <c r="S560" t="s">
        <v>2902</v>
      </c>
      <c r="T560" t="s">
        <v>2526</v>
      </c>
      <c r="U560">
        <v>307100</v>
      </c>
      <c r="V560" t="s">
        <v>3938</v>
      </c>
      <c r="W560" t="s">
        <v>3939</v>
      </c>
      <c r="X560" t="s">
        <v>2904</v>
      </c>
      <c r="Y560" t="s">
        <v>2905</v>
      </c>
      <c r="AA560" t="s">
        <v>2906</v>
      </c>
      <c r="AB560" t="s">
        <v>2907</v>
      </c>
      <c r="AC560">
        <v>99006</v>
      </c>
      <c r="AD560" t="s">
        <v>2908</v>
      </c>
      <c r="AE560">
        <v>-41.512048589999999</v>
      </c>
      <c r="AF560">
        <v>173.82880757999999</v>
      </c>
      <c r="AG560" s="175">
        <v>44</v>
      </c>
      <c r="AH560" s="175">
        <v>0</v>
      </c>
      <c r="AI560" s="175">
        <v>0</v>
      </c>
      <c r="AJ560" s="175">
        <v>0</v>
      </c>
      <c r="AK560" s="175">
        <v>0</v>
      </c>
      <c r="AL560" s="175">
        <v>14</v>
      </c>
      <c r="AM560" s="175">
        <v>28</v>
      </c>
      <c r="AN560" s="175">
        <v>2</v>
      </c>
      <c r="AO560" s="175">
        <v>44</v>
      </c>
      <c r="AP560" s="175">
        <v>41</v>
      </c>
      <c r="AQ560" s="175">
        <v>5</v>
      </c>
      <c r="AR560" s="175">
        <v>0</v>
      </c>
      <c r="AS560" s="175">
        <v>0</v>
      </c>
      <c r="AT560" s="175">
        <v>2</v>
      </c>
    </row>
    <row r="561" spans="1:46">
      <c r="A561">
        <v>5632</v>
      </c>
      <c r="B561" t="s">
        <v>3940</v>
      </c>
      <c r="C561" t="s">
        <v>3941</v>
      </c>
      <c r="D561" t="s">
        <v>3942</v>
      </c>
      <c r="E561" t="s">
        <v>3943</v>
      </c>
      <c r="F561" t="s">
        <v>3944</v>
      </c>
      <c r="G561" t="s">
        <v>1681</v>
      </c>
      <c r="H561" t="s">
        <v>452</v>
      </c>
      <c r="J561" t="s">
        <v>605</v>
      </c>
      <c r="K561" t="s">
        <v>606</v>
      </c>
      <c r="M561" t="s">
        <v>1382</v>
      </c>
      <c r="N561" t="s">
        <v>657</v>
      </c>
      <c r="O561" t="s">
        <v>1780</v>
      </c>
      <c r="P561" t="s">
        <v>739</v>
      </c>
      <c r="Q561" t="s">
        <v>511</v>
      </c>
      <c r="R561" t="s">
        <v>1555</v>
      </c>
      <c r="S561" t="s">
        <v>1781</v>
      </c>
      <c r="T561" t="s">
        <v>1557</v>
      </c>
      <c r="U561">
        <v>196600</v>
      </c>
      <c r="V561" t="s">
        <v>3945</v>
      </c>
      <c r="W561" t="s">
        <v>1813</v>
      </c>
      <c r="X561" t="s">
        <v>1679</v>
      </c>
      <c r="Y561" t="s">
        <v>1680</v>
      </c>
      <c r="Z561" t="s">
        <v>1681</v>
      </c>
      <c r="AA561" t="s">
        <v>1682</v>
      </c>
      <c r="AB561" t="s">
        <v>1683</v>
      </c>
      <c r="AC561">
        <v>99085</v>
      </c>
      <c r="AD561" t="s">
        <v>1800</v>
      </c>
      <c r="AE561">
        <v>-37.733186750000002</v>
      </c>
      <c r="AF561">
        <v>176.18323332</v>
      </c>
      <c r="AG561" s="175">
        <v>43</v>
      </c>
      <c r="AH561" s="175">
        <v>0</v>
      </c>
      <c r="AI561" s="175">
        <v>0</v>
      </c>
      <c r="AJ561" s="175">
        <v>0</v>
      </c>
      <c r="AK561" s="175">
        <v>5</v>
      </c>
      <c r="AL561" s="175">
        <v>20</v>
      </c>
      <c r="AM561" s="175">
        <v>21</v>
      </c>
      <c r="AN561" s="175">
        <v>0</v>
      </c>
      <c r="AO561" s="175">
        <v>46</v>
      </c>
      <c r="AP561" s="175">
        <v>41</v>
      </c>
      <c r="AQ561" s="175">
        <v>9</v>
      </c>
      <c r="AR561" s="175">
        <v>1</v>
      </c>
      <c r="AS561" s="175">
        <v>6</v>
      </c>
      <c r="AT561" s="175">
        <v>1</v>
      </c>
    </row>
    <row r="562" spans="1:46">
      <c r="A562">
        <v>5633</v>
      </c>
      <c r="B562" t="s">
        <v>3946</v>
      </c>
      <c r="C562" t="s">
        <v>3947</v>
      </c>
      <c r="D562" t="s">
        <v>3948</v>
      </c>
      <c r="E562" t="s">
        <v>3949</v>
      </c>
      <c r="G562" t="s">
        <v>3950</v>
      </c>
      <c r="H562" t="s">
        <v>452</v>
      </c>
      <c r="J562" t="s">
        <v>605</v>
      </c>
      <c r="K562" t="s">
        <v>606</v>
      </c>
      <c r="M562" t="s">
        <v>2366</v>
      </c>
      <c r="N562" t="s">
        <v>643</v>
      </c>
      <c r="O562" t="s">
        <v>3553</v>
      </c>
      <c r="P562" t="s">
        <v>610</v>
      </c>
      <c r="Q562" t="s">
        <v>522</v>
      </c>
      <c r="R562" t="s">
        <v>3410</v>
      </c>
      <c r="S562" t="s">
        <v>3456</v>
      </c>
      <c r="T562" t="s">
        <v>2526</v>
      </c>
      <c r="U562">
        <v>356400</v>
      </c>
      <c r="V562" t="s">
        <v>3950</v>
      </c>
      <c r="W562" t="s">
        <v>3951</v>
      </c>
      <c r="X562" t="s">
        <v>3556</v>
      </c>
      <c r="Y562" t="s">
        <v>1971</v>
      </c>
      <c r="AA562" t="s">
        <v>1972</v>
      </c>
      <c r="AB562" t="s">
        <v>3557</v>
      </c>
      <c r="AC562">
        <v>99179</v>
      </c>
      <c r="AD562" t="s">
        <v>3952</v>
      </c>
      <c r="AE562">
        <v>-46.113634359999999</v>
      </c>
      <c r="AF562">
        <v>169.9622468</v>
      </c>
      <c r="AG562" s="175">
        <v>40</v>
      </c>
      <c r="AH562" s="175">
        <v>0</v>
      </c>
      <c r="AI562" s="175">
        <v>0</v>
      </c>
      <c r="AJ562" s="175">
        <v>0</v>
      </c>
      <c r="AK562" s="175">
        <v>15</v>
      </c>
      <c r="AL562" s="175">
        <v>10</v>
      </c>
      <c r="AM562" s="175">
        <v>17</v>
      </c>
      <c r="AN562" s="175">
        <v>0</v>
      </c>
      <c r="AO562" s="175">
        <v>42</v>
      </c>
      <c r="AP562" s="175">
        <v>34</v>
      </c>
      <c r="AQ562" s="175">
        <v>12</v>
      </c>
      <c r="AR562" s="175">
        <v>0</v>
      </c>
      <c r="AS562" s="175">
        <v>2</v>
      </c>
      <c r="AT562" s="175">
        <v>0</v>
      </c>
    </row>
    <row r="563" spans="1:46">
      <c r="A563">
        <v>5634</v>
      </c>
      <c r="B563" t="s">
        <v>3953</v>
      </c>
      <c r="C563" t="s">
        <v>3954</v>
      </c>
      <c r="E563" t="s">
        <v>3955</v>
      </c>
      <c r="F563" t="s">
        <v>3956</v>
      </c>
      <c r="G563" t="s">
        <v>737</v>
      </c>
      <c r="H563" t="s">
        <v>452</v>
      </c>
      <c r="J563" t="s">
        <v>605</v>
      </c>
      <c r="K563" t="s">
        <v>606</v>
      </c>
      <c r="M563" t="s">
        <v>607</v>
      </c>
      <c r="N563" t="s">
        <v>657</v>
      </c>
      <c r="O563" t="s">
        <v>1353</v>
      </c>
      <c r="P563" t="s">
        <v>739</v>
      </c>
      <c r="Q563" t="s">
        <v>467</v>
      </c>
      <c r="R563" t="s">
        <v>814</v>
      </c>
      <c r="S563" t="s">
        <v>1302</v>
      </c>
      <c r="T563" t="s">
        <v>794</v>
      </c>
      <c r="U563">
        <v>161800</v>
      </c>
      <c r="V563" t="s">
        <v>3957</v>
      </c>
      <c r="W563" t="s">
        <v>1304</v>
      </c>
      <c r="X563" t="s">
        <v>1305</v>
      </c>
      <c r="Y563" t="s">
        <v>1306</v>
      </c>
      <c r="Z563" t="s">
        <v>1302</v>
      </c>
      <c r="AA563" t="s">
        <v>1307</v>
      </c>
      <c r="AB563" t="s">
        <v>1308</v>
      </c>
      <c r="AE563">
        <v>-37.047508690000001</v>
      </c>
      <c r="AF563">
        <v>174.90975003</v>
      </c>
      <c r="AG563" s="175">
        <v>40</v>
      </c>
      <c r="AH563" s="175">
        <v>0</v>
      </c>
      <c r="AI563" s="175">
        <v>0</v>
      </c>
      <c r="AJ563" s="175">
        <v>0</v>
      </c>
      <c r="AK563" s="175">
        <v>9</v>
      </c>
      <c r="AL563" s="175">
        <v>18</v>
      </c>
      <c r="AM563" s="175">
        <v>18</v>
      </c>
      <c r="AN563" s="175">
        <v>2</v>
      </c>
      <c r="AO563" s="175">
        <v>47</v>
      </c>
      <c r="AP563" s="175">
        <v>29</v>
      </c>
      <c r="AQ563" s="175">
        <v>7</v>
      </c>
      <c r="AR563" s="175">
        <v>4</v>
      </c>
      <c r="AS563" s="175">
        <v>17</v>
      </c>
      <c r="AT563" s="175">
        <v>4</v>
      </c>
    </row>
    <row r="564" spans="1:46">
      <c r="A564">
        <v>5635</v>
      </c>
      <c r="B564" t="s">
        <v>3958</v>
      </c>
      <c r="C564" t="s">
        <v>3959</v>
      </c>
      <c r="D564" t="s">
        <v>3960</v>
      </c>
      <c r="E564" t="s">
        <v>3961</v>
      </c>
      <c r="F564" t="s">
        <v>3962</v>
      </c>
      <c r="G564" t="s">
        <v>737</v>
      </c>
      <c r="H564" t="s">
        <v>452</v>
      </c>
      <c r="J564" t="s">
        <v>605</v>
      </c>
      <c r="K564" t="s">
        <v>606</v>
      </c>
      <c r="M564" t="s">
        <v>607</v>
      </c>
      <c r="N564" t="s">
        <v>657</v>
      </c>
      <c r="O564" t="s">
        <v>1318</v>
      </c>
      <c r="P564" t="s">
        <v>610</v>
      </c>
      <c r="Q564" t="s">
        <v>467</v>
      </c>
      <c r="R564" t="s">
        <v>793</v>
      </c>
      <c r="S564" t="s">
        <v>1319</v>
      </c>
      <c r="T564" t="s">
        <v>1320</v>
      </c>
      <c r="U564">
        <v>157400</v>
      </c>
      <c r="V564" t="s">
        <v>3962</v>
      </c>
      <c r="W564" t="s">
        <v>1322</v>
      </c>
      <c r="X564" t="s">
        <v>727</v>
      </c>
      <c r="Y564" t="s">
        <v>728</v>
      </c>
      <c r="Z564" t="s">
        <v>729</v>
      </c>
      <c r="AA564" t="s">
        <v>730</v>
      </c>
      <c r="AB564" t="s">
        <v>731</v>
      </c>
      <c r="AC564">
        <v>99119</v>
      </c>
      <c r="AD564" t="s">
        <v>865</v>
      </c>
      <c r="AE564">
        <v>-36.877619840000001</v>
      </c>
      <c r="AF564">
        <v>175.03748536000001</v>
      </c>
      <c r="AG564" s="175">
        <v>40</v>
      </c>
      <c r="AH564" s="175">
        <v>0</v>
      </c>
      <c r="AI564" s="175">
        <v>0</v>
      </c>
      <c r="AJ564" s="175">
        <v>0</v>
      </c>
      <c r="AK564" s="175">
        <v>0</v>
      </c>
      <c r="AL564" s="175">
        <v>16</v>
      </c>
      <c r="AM564" s="175">
        <v>43</v>
      </c>
      <c r="AN564" s="175">
        <v>1</v>
      </c>
      <c r="AO564" s="175">
        <v>60</v>
      </c>
      <c r="AP564" s="175">
        <v>57</v>
      </c>
      <c r="AQ564" s="175">
        <v>8</v>
      </c>
      <c r="AR564" s="175">
        <v>2</v>
      </c>
      <c r="AS564" s="175">
        <v>8</v>
      </c>
      <c r="AT564" s="175">
        <v>3</v>
      </c>
    </row>
    <row r="565" spans="1:46">
      <c r="A565">
        <v>5636</v>
      </c>
      <c r="B565" t="s">
        <v>3963</v>
      </c>
      <c r="C565" t="s">
        <v>3964</v>
      </c>
      <c r="D565" t="s">
        <v>3965</v>
      </c>
      <c r="E565" t="s">
        <v>3966</v>
      </c>
      <c r="G565" t="s">
        <v>3967</v>
      </c>
      <c r="H565" t="s">
        <v>452</v>
      </c>
      <c r="J565" t="s">
        <v>605</v>
      </c>
      <c r="K565" t="s">
        <v>606</v>
      </c>
      <c r="M565" t="s">
        <v>1382</v>
      </c>
      <c r="N565" t="s">
        <v>657</v>
      </c>
      <c r="O565" t="s">
        <v>1840</v>
      </c>
      <c r="P565" t="s">
        <v>610</v>
      </c>
      <c r="Q565" t="s">
        <v>514</v>
      </c>
      <c r="R565" t="s">
        <v>1841</v>
      </c>
      <c r="S565" t="s">
        <v>1839</v>
      </c>
      <c r="T565" t="s">
        <v>1568</v>
      </c>
      <c r="U565">
        <v>216500</v>
      </c>
      <c r="V565" t="s">
        <v>3968</v>
      </c>
      <c r="W565" t="s">
        <v>1843</v>
      </c>
      <c r="X565" t="s">
        <v>1844</v>
      </c>
      <c r="Y565" t="s">
        <v>1845</v>
      </c>
      <c r="AA565" t="s">
        <v>1846</v>
      </c>
      <c r="AB565" t="s">
        <v>1847</v>
      </c>
      <c r="AE565">
        <v>-39.119600599999998</v>
      </c>
      <c r="AF565">
        <v>173.95351654000001</v>
      </c>
      <c r="AG565" s="175">
        <v>50</v>
      </c>
      <c r="AH565" s="175">
        <v>0</v>
      </c>
      <c r="AI565" s="175">
        <v>0</v>
      </c>
      <c r="AJ565" s="175">
        <v>0</v>
      </c>
      <c r="AK565" s="175">
        <v>11</v>
      </c>
      <c r="AL565" s="175">
        <v>27</v>
      </c>
      <c r="AM565" s="175">
        <v>33</v>
      </c>
      <c r="AN565" s="175">
        <v>2</v>
      </c>
      <c r="AO565" s="175">
        <v>73</v>
      </c>
      <c r="AP565" s="175">
        <v>72</v>
      </c>
      <c r="AQ565" s="175">
        <v>15</v>
      </c>
      <c r="AR565" s="175">
        <v>1</v>
      </c>
      <c r="AS565" s="175">
        <v>2</v>
      </c>
      <c r="AT565" s="175">
        <v>2</v>
      </c>
    </row>
    <row r="566" spans="1:46">
      <c r="A566">
        <v>5637</v>
      </c>
      <c r="B566" t="s">
        <v>3969</v>
      </c>
      <c r="C566" t="s">
        <v>3970</v>
      </c>
      <c r="D566" t="s">
        <v>3971</v>
      </c>
      <c r="E566" t="s">
        <v>3972</v>
      </c>
      <c r="F566" t="s">
        <v>3973</v>
      </c>
      <c r="G566" t="s">
        <v>737</v>
      </c>
      <c r="H566" t="s">
        <v>452</v>
      </c>
      <c r="J566" t="s">
        <v>605</v>
      </c>
      <c r="K566" t="s">
        <v>606</v>
      </c>
      <c r="M566" t="s">
        <v>607</v>
      </c>
      <c r="N566" t="s">
        <v>657</v>
      </c>
      <c r="O566" t="s">
        <v>1253</v>
      </c>
      <c r="P566" t="s">
        <v>739</v>
      </c>
      <c r="Q566" t="s">
        <v>467</v>
      </c>
      <c r="R566" t="s">
        <v>724</v>
      </c>
      <c r="S566" t="s">
        <v>824</v>
      </c>
      <c r="T566" t="s">
        <v>613</v>
      </c>
      <c r="U566">
        <v>118900</v>
      </c>
      <c r="V566" t="s">
        <v>3974</v>
      </c>
      <c r="W566" t="s">
        <v>742</v>
      </c>
      <c r="X566" t="s">
        <v>727</v>
      </c>
      <c r="Y566" t="s">
        <v>728</v>
      </c>
      <c r="Z566" t="s">
        <v>729</v>
      </c>
      <c r="AA566" t="s">
        <v>730</v>
      </c>
      <c r="AB566" t="s">
        <v>731</v>
      </c>
      <c r="AE566">
        <v>-36.773766430000002</v>
      </c>
      <c r="AF566">
        <v>174.67654511000001</v>
      </c>
      <c r="AG566" s="175">
        <v>30</v>
      </c>
      <c r="AH566" s="175">
        <v>0</v>
      </c>
      <c r="AI566" s="175">
        <v>0</v>
      </c>
      <c r="AJ566" s="175">
        <v>0</v>
      </c>
      <c r="AK566" s="175">
        <v>0</v>
      </c>
      <c r="AL566" s="175">
        <v>18</v>
      </c>
      <c r="AM566" s="175">
        <v>20</v>
      </c>
      <c r="AN566" s="175">
        <v>0</v>
      </c>
      <c r="AO566" s="175">
        <v>38</v>
      </c>
      <c r="AP566" s="175">
        <v>30</v>
      </c>
      <c r="AQ566" s="175">
        <v>1</v>
      </c>
      <c r="AR566" s="175">
        <v>2</v>
      </c>
      <c r="AS566" s="175">
        <v>8</v>
      </c>
      <c r="AT566" s="175">
        <v>1</v>
      </c>
    </row>
    <row r="567" spans="1:46">
      <c r="A567">
        <v>5638</v>
      </c>
      <c r="B567" t="s">
        <v>3975</v>
      </c>
      <c r="C567" t="s">
        <v>3976</v>
      </c>
      <c r="D567" t="s">
        <v>3977</v>
      </c>
      <c r="E567" t="s">
        <v>3978</v>
      </c>
      <c r="F567" t="s">
        <v>1108</v>
      </c>
      <c r="G567" t="s">
        <v>737</v>
      </c>
      <c r="H567" t="s">
        <v>452</v>
      </c>
      <c r="J567" t="s">
        <v>605</v>
      </c>
      <c r="K567" t="s">
        <v>606</v>
      </c>
      <c r="M567" t="s">
        <v>607</v>
      </c>
      <c r="N567" t="s">
        <v>812</v>
      </c>
      <c r="O567" t="s">
        <v>997</v>
      </c>
      <c r="P567" t="s">
        <v>739</v>
      </c>
      <c r="Q567" t="s">
        <v>467</v>
      </c>
      <c r="R567" t="s">
        <v>793</v>
      </c>
      <c r="S567" t="s">
        <v>998</v>
      </c>
      <c r="T567" t="s">
        <v>794</v>
      </c>
      <c r="U567">
        <v>137901</v>
      </c>
      <c r="V567" t="s">
        <v>3979</v>
      </c>
      <c r="W567" t="s">
        <v>945</v>
      </c>
      <c r="X567" t="s">
        <v>727</v>
      </c>
      <c r="Y567" t="s">
        <v>728</v>
      </c>
      <c r="Z567" t="s">
        <v>729</v>
      </c>
      <c r="AA567" t="s">
        <v>730</v>
      </c>
      <c r="AB567" t="s">
        <v>731</v>
      </c>
      <c r="AC567">
        <v>99150</v>
      </c>
      <c r="AD567" t="s">
        <v>946</v>
      </c>
      <c r="AE567">
        <v>-36.89915517</v>
      </c>
      <c r="AF567">
        <v>174.72893182999999</v>
      </c>
      <c r="AG567" s="175">
        <v>30</v>
      </c>
      <c r="AH567" s="175">
        <v>0</v>
      </c>
      <c r="AI567" s="175">
        <v>0</v>
      </c>
      <c r="AJ567" s="175">
        <v>0</v>
      </c>
      <c r="AK567" s="175">
        <v>1</v>
      </c>
      <c r="AL567" s="175">
        <v>5</v>
      </c>
      <c r="AM567" s="175">
        <v>18</v>
      </c>
      <c r="AN567" s="175">
        <v>2</v>
      </c>
      <c r="AO567" s="175">
        <v>26</v>
      </c>
      <c r="AP567" s="175">
        <v>3</v>
      </c>
      <c r="AQ567" s="175">
        <v>11</v>
      </c>
      <c r="AR567" s="175">
        <v>19</v>
      </c>
      <c r="AS567" s="175">
        <v>3</v>
      </c>
      <c r="AT567" s="175">
        <v>3</v>
      </c>
    </row>
    <row r="568" spans="1:46">
      <c r="A568">
        <v>5639</v>
      </c>
      <c r="B568" t="s">
        <v>3980</v>
      </c>
      <c r="C568" t="s">
        <v>3981</v>
      </c>
      <c r="D568" t="s">
        <v>3982</v>
      </c>
      <c r="E568" t="s">
        <v>3983</v>
      </c>
      <c r="F568" t="s">
        <v>907</v>
      </c>
      <c r="G568" t="s">
        <v>737</v>
      </c>
      <c r="H568" t="s">
        <v>452</v>
      </c>
      <c r="J568" t="s">
        <v>605</v>
      </c>
      <c r="K568" t="s">
        <v>606</v>
      </c>
      <c r="M568" t="s">
        <v>607</v>
      </c>
      <c r="N568" t="s">
        <v>657</v>
      </c>
      <c r="O568" t="s">
        <v>942</v>
      </c>
      <c r="P568" t="s">
        <v>739</v>
      </c>
      <c r="Q568" t="s">
        <v>467</v>
      </c>
      <c r="R568" t="s">
        <v>793</v>
      </c>
      <c r="S568" t="s">
        <v>907</v>
      </c>
      <c r="T568" t="s">
        <v>794</v>
      </c>
      <c r="U568">
        <v>140200</v>
      </c>
      <c r="V568" t="s">
        <v>1036</v>
      </c>
      <c r="W568" t="s">
        <v>945</v>
      </c>
      <c r="X568" t="s">
        <v>727</v>
      </c>
      <c r="Y568" t="s">
        <v>728</v>
      </c>
      <c r="Z568" t="s">
        <v>729</v>
      </c>
      <c r="AA568" t="s">
        <v>730</v>
      </c>
      <c r="AB568" t="s">
        <v>731</v>
      </c>
      <c r="AE568">
        <v>-36.88719794</v>
      </c>
      <c r="AF568">
        <v>174.77143731000001</v>
      </c>
      <c r="AG568" s="175">
        <v>30</v>
      </c>
      <c r="AH568" s="175">
        <v>0</v>
      </c>
      <c r="AI568" s="175">
        <v>0</v>
      </c>
      <c r="AJ568" s="175">
        <v>0</v>
      </c>
      <c r="AK568" s="175">
        <v>3</v>
      </c>
      <c r="AL568" s="175">
        <v>6</v>
      </c>
      <c r="AM568" s="175">
        <v>6</v>
      </c>
      <c r="AN568" s="175">
        <v>0</v>
      </c>
      <c r="AO568" s="175">
        <v>15</v>
      </c>
      <c r="AP568" s="175">
        <v>9</v>
      </c>
      <c r="AQ568" s="175">
        <v>2</v>
      </c>
      <c r="AR568" s="175">
        <v>2</v>
      </c>
      <c r="AS568" s="175">
        <v>6</v>
      </c>
      <c r="AT568" s="175">
        <v>1</v>
      </c>
    </row>
    <row r="569" spans="1:46">
      <c r="A569">
        <v>5640</v>
      </c>
      <c r="B569" t="s">
        <v>3984</v>
      </c>
      <c r="C569" t="s">
        <v>1308</v>
      </c>
      <c r="E569" t="s">
        <v>3985</v>
      </c>
      <c r="G569" t="s">
        <v>3986</v>
      </c>
      <c r="H569" t="s">
        <v>452</v>
      </c>
      <c r="J569" t="s">
        <v>605</v>
      </c>
      <c r="K569" t="s">
        <v>606</v>
      </c>
      <c r="M569" t="s">
        <v>607</v>
      </c>
      <c r="N569" t="s">
        <v>657</v>
      </c>
      <c r="O569" t="s">
        <v>1318</v>
      </c>
      <c r="P569" t="s">
        <v>626</v>
      </c>
      <c r="Q569" t="s">
        <v>467</v>
      </c>
      <c r="R569" t="s">
        <v>814</v>
      </c>
      <c r="S569" t="s">
        <v>1331</v>
      </c>
      <c r="T569" t="s">
        <v>1320</v>
      </c>
      <c r="U569">
        <v>159801</v>
      </c>
      <c r="V569" t="s">
        <v>3987</v>
      </c>
      <c r="W569" t="s">
        <v>1322</v>
      </c>
      <c r="X569" t="s">
        <v>1305</v>
      </c>
      <c r="Y569" t="s">
        <v>1306</v>
      </c>
      <c r="Z569" t="s">
        <v>1302</v>
      </c>
      <c r="AA569" t="s">
        <v>1307</v>
      </c>
      <c r="AB569" t="s">
        <v>1308</v>
      </c>
      <c r="AE569">
        <v>-37.139318199999998</v>
      </c>
      <c r="AF569">
        <v>174.75299190000001</v>
      </c>
      <c r="AG569" s="175">
        <v>40</v>
      </c>
      <c r="AH569" s="175">
        <v>0</v>
      </c>
      <c r="AI569" s="175">
        <v>0</v>
      </c>
      <c r="AJ569" s="175">
        <v>0</v>
      </c>
      <c r="AK569" s="175">
        <v>8</v>
      </c>
      <c r="AL569" s="175">
        <v>14</v>
      </c>
      <c r="AM569" s="175">
        <v>19</v>
      </c>
      <c r="AN569" s="175">
        <v>0</v>
      </c>
      <c r="AO569" s="175">
        <v>41</v>
      </c>
      <c r="AP569" s="175">
        <v>37</v>
      </c>
      <c r="AQ569" s="175">
        <v>7</v>
      </c>
      <c r="AR569" s="175">
        <v>6</v>
      </c>
      <c r="AS569" s="175">
        <v>3</v>
      </c>
      <c r="AT569" s="175">
        <v>0</v>
      </c>
    </row>
    <row r="570" spans="1:46">
      <c r="A570">
        <v>5641</v>
      </c>
      <c r="B570" t="s">
        <v>3988</v>
      </c>
      <c r="C570" t="s">
        <v>3989</v>
      </c>
      <c r="D570" t="s">
        <v>3990</v>
      </c>
      <c r="E570" t="s">
        <v>3991</v>
      </c>
      <c r="G570" t="s">
        <v>3992</v>
      </c>
      <c r="H570" t="s">
        <v>452</v>
      </c>
      <c r="J570" t="s">
        <v>605</v>
      </c>
      <c r="K570" t="s">
        <v>606</v>
      </c>
      <c r="M570" t="s">
        <v>607</v>
      </c>
      <c r="N570" t="s">
        <v>657</v>
      </c>
      <c r="O570" t="s">
        <v>723</v>
      </c>
      <c r="P570" t="s">
        <v>610</v>
      </c>
      <c r="Q570" t="s">
        <v>467</v>
      </c>
      <c r="R570" t="s">
        <v>724</v>
      </c>
      <c r="S570" t="s">
        <v>725</v>
      </c>
      <c r="T570" t="s">
        <v>613</v>
      </c>
      <c r="U570">
        <v>112200</v>
      </c>
      <c r="V570" t="s">
        <v>3992</v>
      </c>
      <c r="W570" t="s">
        <v>726</v>
      </c>
      <c r="X570" t="s">
        <v>743</v>
      </c>
      <c r="Y570" t="s">
        <v>744</v>
      </c>
      <c r="Z570" t="s">
        <v>745</v>
      </c>
      <c r="AA570" t="s">
        <v>746</v>
      </c>
      <c r="AE570">
        <v>-36.663316289999997</v>
      </c>
      <c r="AF570">
        <v>174.43402635999999</v>
      </c>
      <c r="AG570" s="175">
        <v>40</v>
      </c>
      <c r="AH570" s="175">
        <v>0</v>
      </c>
      <c r="AI570" s="175">
        <v>0</v>
      </c>
      <c r="AJ570" s="175">
        <v>0</v>
      </c>
      <c r="AK570" s="175">
        <v>0</v>
      </c>
      <c r="AL570" s="175">
        <v>22</v>
      </c>
      <c r="AM570" s="175">
        <v>29</v>
      </c>
      <c r="AN570" s="175">
        <v>0</v>
      </c>
      <c r="AO570" s="175">
        <v>51</v>
      </c>
      <c r="AP570" s="175">
        <v>43</v>
      </c>
      <c r="AQ570" s="175">
        <v>19</v>
      </c>
      <c r="AR570" s="175">
        <v>2</v>
      </c>
      <c r="AS570" s="175">
        <v>1</v>
      </c>
      <c r="AT570" s="175">
        <v>0</v>
      </c>
    </row>
    <row r="571" spans="1:46">
      <c r="A571">
        <v>5642</v>
      </c>
      <c r="B571" t="s">
        <v>3993</v>
      </c>
      <c r="C571" t="s">
        <v>3994</v>
      </c>
      <c r="D571" t="s">
        <v>3995</v>
      </c>
      <c r="E571" t="s">
        <v>3996</v>
      </c>
      <c r="G571" t="s">
        <v>3997</v>
      </c>
      <c r="H571" t="s">
        <v>452</v>
      </c>
      <c r="J571" t="s">
        <v>605</v>
      </c>
      <c r="K571" t="s">
        <v>606</v>
      </c>
      <c r="M571" t="s">
        <v>2366</v>
      </c>
      <c r="N571" t="s">
        <v>657</v>
      </c>
      <c r="O571" t="s">
        <v>3906</v>
      </c>
      <c r="P571" t="s">
        <v>1347</v>
      </c>
      <c r="Q571" t="s">
        <v>522</v>
      </c>
      <c r="R571" t="s">
        <v>3410</v>
      </c>
      <c r="S571" t="s">
        <v>3433</v>
      </c>
      <c r="T571" t="s">
        <v>2526</v>
      </c>
      <c r="U571">
        <v>348400</v>
      </c>
      <c r="V571" t="s">
        <v>1429</v>
      </c>
      <c r="W571" t="s">
        <v>3908</v>
      </c>
      <c r="X571" t="s">
        <v>3021</v>
      </c>
      <c r="Y571" t="s">
        <v>3022</v>
      </c>
      <c r="Z571" t="s">
        <v>3023</v>
      </c>
      <c r="AA571" t="s">
        <v>3024</v>
      </c>
      <c r="AB571" t="s">
        <v>3025</v>
      </c>
      <c r="AE571">
        <v>-45.027883539999998</v>
      </c>
      <c r="AF571">
        <v>168.7358054</v>
      </c>
      <c r="AG571" s="175">
        <v>50</v>
      </c>
      <c r="AH571" s="175">
        <v>0</v>
      </c>
      <c r="AI571" s="175">
        <v>0</v>
      </c>
      <c r="AJ571" s="175">
        <v>0</v>
      </c>
      <c r="AK571" s="175">
        <v>1</v>
      </c>
      <c r="AL571" s="175">
        <v>16</v>
      </c>
      <c r="AM571" s="175">
        <v>16</v>
      </c>
      <c r="AN571" s="175">
        <v>1</v>
      </c>
      <c r="AO571" s="175">
        <v>34</v>
      </c>
      <c r="AP571" s="175">
        <v>27</v>
      </c>
      <c r="AQ571" s="175">
        <v>7</v>
      </c>
      <c r="AR571" s="175">
        <v>3</v>
      </c>
      <c r="AS571" s="175">
        <v>5</v>
      </c>
      <c r="AT571" s="175">
        <v>5</v>
      </c>
    </row>
    <row r="572" spans="1:46">
      <c r="A572">
        <v>5643</v>
      </c>
      <c r="B572" t="s">
        <v>3998</v>
      </c>
      <c r="C572" t="s">
        <v>3999</v>
      </c>
      <c r="D572" t="s">
        <v>4000</v>
      </c>
      <c r="E572" t="s">
        <v>4001</v>
      </c>
      <c r="F572" t="s">
        <v>2637</v>
      </c>
      <c r="G572" t="s">
        <v>2368</v>
      </c>
      <c r="H572" t="s">
        <v>452</v>
      </c>
      <c r="J572" t="s">
        <v>605</v>
      </c>
      <c r="K572" t="s">
        <v>606</v>
      </c>
      <c r="M572" t="s">
        <v>2366</v>
      </c>
      <c r="N572" t="s">
        <v>657</v>
      </c>
      <c r="O572" t="s">
        <v>2614</v>
      </c>
      <c r="P572" t="s">
        <v>739</v>
      </c>
      <c r="Q572" t="s">
        <v>516</v>
      </c>
      <c r="R572" t="s">
        <v>2368</v>
      </c>
      <c r="S572" t="s">
        <v>2631</v>
      </c>
      <c r="T572" t="s">
        <v>2526</v>
      </c>
      <c r="U572">
        <v>250600</v>
      </c>
      <c r="V572" t="s">
        <v>2638</v>
      </c>
      <c r="W572" t="s">
        <v>2639</v>
      </c>
      <c r="X572" t="s">
        <v>1970</v>
      </c>
      <c r="Y572" t="s">
        <v>1971</v>
      </c>
      <c r="AA572" t="s">
        <v>1972</v>
      </c>
      <c r="AB572" t="s">
        <v>1973</v>
      </c>
      <c r="AE572">
        <v>-41.292691269999999</v>
      </c>
      <c r="AF572">
        <v>174.74404365000001</v>
      </c>
      <c r="AG572" s="175">
        <v>30</v>
      </c>
      <c r="AH572" s="175">
        <v>0</v>
      </c>
      <c r="AI572" s="175">
        <v>0</v>
      </c>
      <c r="AJ572" s="175">
        <v>0</v>
      </c>
      <c r="AK572" s="175">
        <v>3</v>
      </c>
      <c r="AL572" s="175">
        <v>11</v>
      </c>
      <c r="AM572" s="175">
        <v>9</v>
      </c>
      <c r="AN572" s="175">
        <v>0</v>
      </c>
      <c r="AO572" s="175">
        <v>23</v>
      </c>
      <c r="AP572" s="175">
        <v>10</v>
      </c>
      <c r="AQ572" s="175">
        <v>1</v>
      </c>
      <c r="AR572" s="175">
        <v>1</v>
      </c>
      <c r="AS572" s="175">
        <v>12</v>
      </c>
      <c r="AT572" s="175">
        <v>3</v>
      </c>
    </row>
    <row r="573" spans="1:46">
      <c r="A573">
        <v>10002</v>
      </c>
      <c r="B573" t="s">
        <v>4002</v>
      </c>
      <c r="C573" t="s">
        <v>4003</v>
      </c>
      <c r="D573" t="s">
        <v>4004</v>
      </c>
      <c r="E573" t="s">
        <v>4005</v>
      </c>
      <c r="F573" t="s">
        <v>862</v>
      </c>
      <c r="G573" t="s">
        <v>737</v>
      </c>
      <c r="H573" t="s">
        <v>452</v>
      </c>
      <c r="J573" t="s">
        <v>605</v>
      </c>
      <c r="K573" t="s">
        <v>606</v>
      </c>
      <c r="M573" t="s">
        <v>607</v>
      </c>
      <c r="N573" t="s">
        <v>657</v>
      </c>
      <c r="O573" t="s">
        <v>792</v>
      </c>
      <c r="P573" t="s">
        <v>739</v>
      </c>
      <c r="Q573" t="s">
        <v>467</v>
      </c>
      <c r="R573" t="s">
        <v>793</v>
      </c>
      <c r="S573" t="s">
        <v>863</v>
      </c>
      <c r="T573" t="s">
        <v>794</v>
      </c>
      <c r="U573">
        <v>153800</v>
      </c>
      <c r="V573" t="s">
        <v>4006</v>
      </c>
      <c r="W573" t="s">
        <v>796</v>
      </c>
      <c r="X573" t="s">
        <v>727</v>
      </c>
      <c r="Y573" t="s">
        <v>728</v>
      </c>
      <c r="Z573" t="s">
        <v>729</v>
      </c>
      <c r="AA573" t="s">
        <v>730</v>
      </c>
      <c r="AB573" t="s">
        <v>731</v>
      </c>
      <c r="AC573">
        <v>99127</v>
      </c>
      <c r="AD573" t="s">
        <v>4007</v>
      </c>
      <c r="AE573">
        <v>-36.913441820000003</v>
      </c>
      <c r="AF573">
        <v>174.92973234999999</v>
      </c>
      <c r="AG573" s="175">
        <v>40</v>
      </c>
      <c r="AH573" s="175">
        <v>0</v>
      </c>
      <c r="AI573" s="175">
        <v>0</v>
      </c>
      <c r="AJ573" s="175">
        <v>0</v>
      </c>
      <c r="AK573" s="175">
        <v>0</v>
      </c>
      <c r="AL573" s="175">
        <v>26</v>
      </c>
      <c r="AM573" s="175">
        <v>24</v>
      </c>
      <c r="AN573" s="175">
        <v>4</v>
      </c>
      <c r="AO573" s="175">
        <v>54</v>
      </c>
      <c r="AP573" s="175">
        <v>34</v>
      </c>
      <c r="AQ573" s="175">
        <v>4</v>
      </c>
      <c r="AR573" s="175">
        <v>3</v>
      </c>
      <c r="AS573" s="175">
        <v>23</v>
      </c>
      <c r="AT573" s="175">
        <v>2</v>
      </c>
    </row>
    <row r="574" spans="1:46">
      <c r="A574">
        <v>10003</v>
      </c>
      <c r="B574" t="s">
        <v>4008</v>
      </c>
      <c r="C574" t="s">
        <v>4009</v>
      </c>
      <c r="D574" t="s">
        <v>4010</v>
      </c>
      <c r="E574" t="s">
        <v>4011</v>
      </c>
      <c r="F574" t="s">
        <v>4012</v>
      </c>
      <c r="G574" t="s">
        <v>737</v>
      </c>
      <c r="H574" t="s">
        <v>449</v>
      </c>
      <c r="J574" t="s">
        <v>605</v>
      </c>
      <c r="K574" t="s">
        <v>606</v>
      </c>
      <c r="M574" t="s">
        <v>607</v>
      </c>
      <c r="N574" t="s">
        <v>657</v>
      </c>
      <c r="O574" t="s">
        <v>792</v>
      </c>
      <c r="P574" t="s">
        <v>739</v>
      </c>
      <c r="Q574" t="s">
        <v>467</v>
      </c>
      <c r="R574" t="s">
        <v>793</v>
      </c>
      <c r="S574" t="s">
        <v>863</v>
      </c>
      <c r="T574" t="s">
        <v>794</v>
      </c>
      <c r="U574">
        <v>153100</v>
      </c>
      <c r="V574" t="s">
        <v>4012</v>
      </c>
      <c r="W574" t="s">
        <v>796</v>
      </c>
      <c r="X574" t="s">
        <v>4013</v>
      </c>
      <c r="Y574" t="s">
        <v>4014</v>
      </c>
      <c r="Z574" t="s">
        <v>4015</v>
      </c>
      <c r="AA574" t="s">
        <v>4016</v>
      </c>
      <c r="AB574" t="s">
        <v>4017</v>
      </c>
      <c r="AC574">
        <v>99119</v>
      </c>
      <c r="AD574" t="s">
        <v>865</v>
      </c>
      <c r="AE574">
        <v>-36.924041580000001</v>
      </c>
      <c r="AF574">
        <v>174.91268586000001</v>
      </c>
      <c r="AG574" s="175">
        <v>104</v>
      </c>
      <c r="AH574" s="175">
        <v>24</v>
      </c>
      <c r="AI574" s="175">
        <v>3</v>
      </c>
      <c r="AJ574" s="175">
        <v>14</v>
      </c>
      <c r="AK574" s="175">
        <v>27</v>
      </c>
      <c r="AL574" s="175">
        <v>31</v>
      </c>
      <c r="AM574" s="175">
        <v>25</v>
      </c>
      <c r="AN574" s="175">
        <v>1</v>
      </c>
      <c r="AO574" s="175">
        <v>101</v>
      </c>
      <c r="AP574" s="175">
        <v>42</v>
      </c>
      <c r="AQ574" s="175">
        <v>14</v>
      </c>
      <c r="AR574" s="175">
        <v>7</v>
      </c>
      <c r="AS574" s="175">
        <v>51</v>
      </c>
      <c r="AT574" s="175">
        <v>8</v>
      </c>
    </row>
    <row r="575" spans="1:46">
      <c r="A575">
        <v>10004</v>
      </c>
      <c r="B575" t="s">
        <v>4018</v>
      </c>
      <c r="C575" t="s">
        <v>4019</v>
      </c>
      <c r="D575" t="s">
        <v>4020</v>
      </c>
      <c r="E575" t="s">
        <v>4021</v>
      </c>
      <c r="F575" t="s">
        <v>4022</v>
      </c>
      <c r="G575" t="s">
        <v>737</v>
      </c>
      <c r="H575" t="s">
        <v>449</v>
      </c>
      <c r="I575" t="s">
        <v>4023</v>
      </c>
      <c r="J575" t="s">
        <v>605</v>
      </c>
      <c r="K575" t="s">
        <v>606</v>
      </c>
      <c r="M575" t="s">
        <v>607</v>
      </c>
      <c r="N575" t="s">
        <v>657</v>
      </c>
      <c r="O575" t="s">
        <v>1253</v>
      </c>
      <c r="P575" t="s">
        <v>739</v>
      </c>
      <c r="Q575" t="s">
        <v>467</v>
      </c>
      <c r="R575" t="s">
        <v>724</v>
      </c>
      <c r="S575" t="s">
        <v>824</v>
      </c>
      <c r="T575" t="s">
        <v>613</v>
      </c>
      <c r="U575">
        <v>119901</v>
      </c>
      <c r="V575" t="s">
        <v>4024</v>
      </c>
      <c r="W575" t="s">
        <v>742</v>
      </c>
      <c r="X575" t="s">
        <v>4025</v>
      </c>
      <c r="Y575" t="s">
        <v>4021</v>
      </c>
      <c r="Z575" t="s">
        <v>4022</v>
      </c>
      <c r="AA575" t="s">
        <v>4026</v>
      </c>
      <c r="AC575">
        <v>99210</v>
      </c>
      <c r="AD575" t="s">
        <v>4027</v>
      </c>
      <c r="AE575">
        <v>-36.760469540000003</v>
      </c>
      <c r="AF575">
        <v>174.71106184999999</v>
      </c>
      <c r="AG575" s="175">
        <v>28</v>
      </c>
      <c r="AH575" s="175">
        <v>0</v>
      </c>
      <c r="AI575" s="175">
        <v>1</v>
      </c>
      <c r="AJ575" s="175">
        <v>0</v>
      </c>
      <c r="AK575" s="175">
        <v>2</v>
      </c>
      <c r="AL575" s="175">
        <v>5</v>
      </c>
      <c r="AM575" s="175">
        <v>9</v>
      </c>
      <c r="AN575" s="175">
        <v>1</v>
      </c>
      <c r="AO575" s="175">
        <v>18</v>
      </c>
      <c r="AP575" s="175">
        <v>13</v>
      </c>
      <c r="AQ575" s="175">
        <v>0</v>
      </c>
      <c r="AR575" s="175">
        <v>0</v>
      </c>
      <c r="AS575" s="175">
        <v>8</v>
      </c>
      <c r="AT575" s="175">
        <v>0</v>
      </c>
    </row>
    <row r="576" spans="1:46">
      <c r="A576">
        <v>10005</v>
      </c>
      <c r="B576" t="s">
        <v>4028</v>
      </c>
      <c r="C576" t="s">
        <v>4029</v>
      </c>
      <c r="D576" t="s">
        <v>4030</v>
      </c>
      <c r="E576" t="s">
        <v>4031</v>
      </c>
      <c r="F576" t="s">
        <v>983</v>
      </c>
      <c r="G576" t="s">
        <v>737</v>
      </c>
      <c r="H576" t="s">
        <v>449</v>
      </c>
      <c r="J576" t="s">
        <v>4032</v>
      </c>
      <c r="K576" t="s">
        <v>606</v>
      </c>
      <c r="M576" t="s">
        <v>607</v>
      </c>
      <c r="N576" t="s">
        <v>657</v>
      </c>
      <c r="O576" t="s">
        <v>898</v>
      </c>
      <c r="P576" t="s">
        <v>739</v>
      </c>
      <c r="Q576" t="s">
        <v>467</v>
      </c>
      <c r="R576" t="s">
        <v>724</v>
      </c>
      <c r="S576" t="s">
        <v>984</v>
      </c>
      <c r="T576" t="s">
        <v>613</v>
      </c>
      <c r="U576">
        <v>126702</v>
      </c>
      <c r="V576" t="s">
        <v>985</v>
      </c>
      <c r="W576" t="s">
        <v>900</v>
      </c>
      <c r="X576" t="s">
        <v>4033</v>
      </c>
      <c r="Y576" t="s">
        <v>4031</v>
      </c>
      <c r="Z576" t="s">
        <v>983</v>
      </c>
      <c r="AA576" t="s">
        <v>4034</v>
      </c>
      <c r="AB576" t="s">
        <v>4035</v>
      </c>
      <c r="AE576">
        <v>-36.879612280000003</v>
      </c>
      <c r="AF576">
        <v>174.61738724</v>
      </c>
      <c r="AG576" s="175">
        <v>25</v>
      </c>
      <c r="AH576" s="175">
        <v>0</v>
      </c>
      <c r="AI576" s="175">
        <v>0</v>
      </c>
      <c r="AJ576" s="175">
        <v>0</v>
      </c>
      <c r="AK576" s="175">
        <v>8</v>
      </c>
      <c r="AL576" s="175">
        <v>9</v>
      </c>
      <c r="AM576" s="175">
        <v>16</v>
      </c>
      <c r="AN576" s="175">
        <v>1</v>
      </c>
      <c r="AO576" s="175">
        <v>34</v>
      </c>
      <c r="AP576" s="175">
        <v>25</v>
      </c>
      <c r="AQ576" s="175">
        <v>9</v>
      </c>
      <c r="AR576" s="175">
        <v>6</v>
      </c>
      <c r="AS576" s="175">
        <v>7</v>
      </c>
      <c r="AT576" s="175">
        <v>1</v>
      </c>
    </row>
    <row r="577" spans="1:46">
      <c r="A577">
        <v>10008</v>
      </c>
      <c r="B577" t="s">
        <v>4036</v>
      </c>
      <c r="C577" t="s">
        <v>4037</v>
      </c>
      <c r="D577" t="s">
        <v>4038</v>
      </c>
      <c r="E577" t="s">
        <v>4039</v>
      </c>
      <c r="G577" t="s">
        <v>4040</v>
      </c>
      <c r="H577" t="s">
        <v>449</v>
      </c>
      <c r="I577" t="s">
        <v>4041</v>
      </c>
      <c r="J577" t="s">
        <v>4032</v>
      </c>
      <c r="K577" t="s">
        <v>606</v>
      </c>
      <c r="M577" t="s">
        <v>607</v>
      </c>
      <c r="N577" t="s">
        <v>657</v>
      </c>
      <c r="O577" t="s">
        <v>958</v>
      </c>
      <c r="P577" t="s">
        <v>658</v>
      </c>
      <c r="Q577" t="s">
        <v>467</v>
      </c>
      <c r="R577" t="s">
        <v>724</v>
      </c>
      <c r="S577" t="s">
        <v>855</v>
      </c>
      <c r="T577" t="s">
        <v>613</v>
      </c>
      <c r="U577">
        <v>121100</v>
      </c>
      <c r="V577" t="s">
        <v>4042</v>
      </c>
      <c r="W577" t="s">
        <v>900</v>
      </c>
      <c r="X577" t="s">
        <v>4043</v>
      </c>
      <c r="Y577" t="s">
        <v>4044</v>
      </c>
      <c r="Z577" t="s">
        <v>4040</v>
      </c>
      <c r="AA577" t="s">
        <v>4045</v>
      </c>
      <c r="AB577" t="s">
        <v>4046</v>
      </c>
      <c r="AE577">
        <v>-36.886625979999998</v>
      </c>
      <c r="AF577">
        <v>174.57599396000001</v>
      </c>
      <c r="AG577" s="175">
        <v>36</v>
      </c>
      <c r="AH577" s="175">
        <v>0</v>
      </c>
      <c r="AI577" s="175">
        <v>0</v>
      </c>
      <c r="AJ577" s="175">
        <v>1</v>
      </c>
      <c r="AK577" s="175">
        <v>10</v>
      </c>
      <c r="AL577" s="175">
        <v>17</v>
      </c>
      <c r="AM577" s="175">
        <v>15</v>
      </c>
      <c r="AN577" s="175">
        <v>2</v>
      </c>
      <c r="AO577" s="175">
        <v>45</v>
      </c>
      <c r="AP577" s="175">
        <v>39</v>
      </c>
      <c r="AQ577" s="175">
        <v>7</v>
      </c>
      <c r="AR577" s="175">
        <v>5</v>
      </c>
      <c r="AS577" s="175">
        <v>5</v>
      </c>
      <c r="AT577" s="175">
        <v>0</v>
      </c>
    </row>
    <row r="578" spans="1:46">
      <c r="A578">
        <v>10009</v>
      </c>
      <c r="B578" t="s">
        <v>4047</v>
      </c>
      <c r="C578" t="s">
        <v>4048</v>
      </c>
      <c r="E578" t="s">
        <v>4049</v>
      </c>
      <c r="G578" t="s">
        <v>3744</v>
      </c>
      <c r="H578" t="s">
        <v>449</v>
      </c>
      <c r="J578" t="s">
        <v>4032</v>
      </c>
      <c r="K578" t="s">
        <v>606</v>
      </c>
      <c r="M578" t="s">
        <v>607</v>
      </c>
      <c r="N578" t="s">
        <v>812</v>
      </c>
      <c r="O578" t="s">
        <v>609</v>
      </c>
      <c r="P578" t="s">
        <v>610</v>
      </c>
      <c r="Q578" t="s">
        <v>509</v>
      </c>
      <c r="R578" t="s">
        <v>611</v>
      </c>
      <c r="S578" t="s">
        <v>612</v>
      </c>
      <c r="T578" t="s">
        <v>613</v>
      </c>
      <c r="U578">
        <v>103000</v>
      </c>
      <c r="V578" t="s">
        <v>3745</v>
      </c>
      <c r="W578" t="s">
        <v>644</v>
      </c>
      <c r="X578" t="s">
        <v>4050</v>
      </c>
      <c r="Y578" t="s">
        <v>4051</v>
      </c>
      <c r="AA578" t="s">
        <v>4052</v>
      </c>
      <c r="AE578">
        <v>-35.229966900000001</v>
      </c>
      <c r="AF578">
        <v>173.95657138000001</v>
      </c>
      <c r="AG578" s="175">
        <v>45</v>
      </c>
      <c r="AH578" s="175">
        <v>0</v>
      </c>
      <c r="AI578" s="175">
        <v>0</v>
      </c>
      <c r="AJ578" s="175">
        <v>0</v>
      </c>
      <c r="AK578" s="175">
        <v>1</v>
      </c>
      <c r="AL578" s="175">
        <v>20</v>
      </c>
      <c r="AM578" s="175">
        <v>25</v>
      </c>
      <c r="AN578" s="175">
        <v>0</v>
      </c>
      <c r="AO578" s="175">
        <v>46</v>
      </c>
      <c r="AP578" s="175">
        <v>31</v>
      </c>
      <c r="AQ578" s="175">
        <v>19</v>
      </c>
      <c r="AR578" s="175">
        <v>2</v>
      </c>
      <c r="AS578" s="175">
        <v>8</v>
      </c>
      <c r="AT578" s="175">
        <v>2</v>
      </c>
    </row>
    <row r="579" spans="1:46">
      <c r="A579">
        <v>10013</v>
      </c>
      <c r="B579" t="s">
        <v>4053</v>
      </c>
      <c r="C579" t="s">
        <v>4054</v>
      </c>
      <c r="D579" t="s">
        <v>4055</v>
      </c>
      <c r="E579" t="s">
        <v>4056</v>
      </c>
      <c r="G579" t="s">
        <v>1346</v>
      </c>
      <c r="H579" t="s">
        <v>449</v>
      </c>
      <c r="J579" t="s">
        <v>4032</v>
      </c>
      <c r="K579" t="s">
        <v>606</v>
      </c>
      <c r="M579" t="s">
        <v>607</v>
      </c>
      <c r="N579" t="s">
        <v>657</v>
      </c>
      <c r="O579" t="s">
        <v>1318</v>
      </c>
      <c r="P579" t="s">
        <v>1347</v>
      </c>
      <c r="Q579" t="s">
        <v>467</v>
      </c>
      <c r="R579" t="s">
        <v>814</v>
      </c>
      <c r="S579" t="s">
        <v>1331</v>
      </c>
      <c r="T579" t="s">
        <v>1320</v>
      </c>
      <c r="U579">
        <v>165501</v>
      </c>
      <c r="V579" t="s">
        <v>4057</v>
      </c>
      <c r="W579" t="s">
        <v>1322</v>
      </c>
      <c r="X579" t="s">
        <v>4058</v>
      </c>
      <c r="Y579" t="s">
        <v>4059</v>
      </c>
      <c r="Z579" t="s">
        <v>4060</v>
      </c>
      <c r="AA579" t="s">
        <v>4061</v>
      </c>
      <c r="AB579" t="s">
        <v>4062</v>
      </c>
      <c r="AC579">
        <v>99075</v>
      </c>
      <c r="AD579" t="s">
        <v>1349</v>
      </c>
      <c r="AE579">
        <v>-37.201468069999997</v>
      </c>
      <c r="AF579">
        <v>174.89418662</v>
      </c>
      <c r="AG579" s="175">
        <v>44</v>
      </c>
      <c r="AH579" s="175">
        <v>15</v>
      </c>
      <c r="AI579" s="175">
        <v>0</v>
      </c>
      <c r="AJ579" s="175">
        <v>12</v>
      </c>
      <c r="AK579" s="175">
        <v>9</v>
      </c>
      <c r="AL579" s="175">
        <v>15</v>
      </c>
      <c r="AM579" s="175">
        <v>7</v>
      </c>
      <c r="AN579" s="175">
        <v>1</v>
      </c>
      <c r="AO579" s="175">
        <v>44</v>
      </c>
      <c r="AP579" s="175">
        <v>30</v>
      </c>
      <c r="AQ579" s="175">
        <v>18</v>
      </c>
      <c r="AR579" s="175">
        <v>8</v>
      </c>
      <c r="AS579" s="175">
        <v>5</v>
      </c>
      <c r="AT579" s="175">
        <v>4</v>
      </c>
    </row>
    <row r="580" spans="1:46">
      <c r="A580">
        <v>10016</v>
      </c>
      <c r="B580" t="s">
        <v>4063</v>
      </c>
      <c r="C580" t="s">
        <v>4064</v>
      </c>
      <c r="D580" t="s">
        <v>4065</v>
      </c>
      <c r="E580" t="s">
        <v>4066</v>
      </c>
      <c r="F580" t="s">
        <v>3777</v>
      </c>
      <c r="G580" t="s">
        <v>737</v>
      </c>
      <c r="H580" t="s">
        <v>449</v>
      </c>
      <c r="I580" t="s">
        <v>4023</v>
      </c>
      <c r="J580" t="s">
        <v>605</v>
      </c>
      <c r="K580" t="s">
        <v>606</v>
      </c>
      <c r="M580" t="s">
        <v>607</v>
      </c>
      <c r="N580" t="s">
        <v>657</v>
      </c>
      <c r="O580" t="s">
        <v>1253</v>
      </c>
      <c r="P580" t="s">
        <v>739</v>
      </c>
      <c r="Q580" t="s">
        <v>467</v>
      </c>
      <c r="R580" t="s">
        <v>724</v>
      </c>
      <c r="S580" t="s">
        <v>740</v>
      </c>
      <c r="T580" t="s">
        <v>613</v>
      </c>
      <c r="U580">
        <v>117600</v>
      </c>
      <c r="V580" t="s">
        <v>4067</v>
      </c>
      <c r="W580" t="s">
        <v>742</v>
      </c>
      <c r="X580" t="s">
        <v>4068</v>
      </c>
      <c r="Y580" t="s">
        <v>4069</v>
      </c>
      <c r="Z580" t="s">
        <v>745</v>
      </c>
      <c r="AA580" t="s">
        <v>746</v>
      </c>
      <c r="AE580">
        <v>-36.721928030000001</v>
      </c>
      <c r="AF580">
        <v>174.72329293000001</v>
      </c>
      <c r="AG580" s="175">
        <v>128</v>
      </c>
      <c r="AH580" s="175">
        <v>0</v>
      </c>
      <c r="AI580" s="175">
        <v>0</v>
      </c>
      <c r="AJ580" s="175">
        <v>0</v>
      </c>
      <c r="AK580" s="175">
        <v>9</v>
      </c>
      <c r="AL580" s="175">
        <v>25</v>
      </c>
      <c r="AM580" s="175">
        <v>23</v>
      </c>
      <c r="AN580" s="175">
        <v>3</v>
      </c>
      <c r="AO580" s="175">
        <v>60</v>
      </c>
      <c r="AP580" s="175">
        <v>35</v>
      </c>
      <c r="AQ580" s="175">
        <v>1</v>
      </c>
      <c r="AR580" s="175">
        <v>1</v>
      </c>
      <c r="AS580" s="175">
        <v>26</v>
      </c>
      <c r="AT580" s="175">
        <v>3</v>
      </c>
    </row>
    <row r="581" spans="1:46">
      <c r="A581">
        <v>10017</v>
      </c>
      <c r="B581" t="s">
        <v>4070</v>
      </c>
      <c r="C581" t="s">
        <v>4071</v>
      </c>
      <c r="D581" t="s">
        <v>4072</v>
      </c>
      <c r="E581" t="s">
        <v>4073</v>
      </c>
      <c r="F581" t="s">
        <v>4057</v>
      </c>
      <c r="G581" t="s">
        <v>737</v>
      </c>
      <c r="H581" t="s">
        <v>449</v>
      </c>
      <c r="J581" t="s">
        <v>605</v>
      </c>
      <c r="K581" t="s">
        <v>606</v>
      </c>
      <c r="M581" t="s">
        <v>607</v>
      </c>
      <c r="N581" t="s">
        <v>657</v>
      </c>
      <c r="O581" t="s">
        <v>1318</v>
      </c>
      <c r="P581" t="s">
        <v>1347</v>
      </c>
      <c r="Q581" t="s">
        <v>467</v>
      </c>
      <c r="R581" t="s">
        <v>814</v>
      </c>
      <c r="S581" t="s">
        <v>1331</v>
      </c>
      <c r="T581" t="s">
        <v>1320</v>
      </c>
      <c r="U581">
        <v>165800</v>
      </c>
      <c r="V581" t="s">
        <v>4074</v>
      </c>
      <c r="W581" t="s">
        <v>1322</v>
      </c>
      <c r="X581" t="s">
        <v>4075</v>
      </c>
      <c r="Y581" t="s">
        <v>4073</v>
      </c>
      <c r="Z581" t="s">
        <v>1346</v>
      </c>
      <c r="AA581" t="s">
        <v>4076</v>
      </c>
      <c r="AB581" t="s">
        <v>4077</v>
      </c>
      <c r="AC581">
        <v>99075</v>
      </c>
      <c r="AD581" t="s">
        <v>1349</v>
      </c>
      <c r="AE581">
        <v>-37.19242509</v>
      </c>
      <c r="AF581">
        <v>174.90692931000001</v>
      </c>
      <c r="AG581" s="175">
        <v>50</v>
      </c>
      <c r="AH581" s="175">
        <v>14</v>
      </c>
      <c r="AI581" s="175">
        <v>2</v>
      </c>
      <c r="AJ581" s="175">
        <v>7</v>
      </c>
      <c r="AK581" s="175">
        <v>9</v>
      </c>
      <c r="AL581" s="175">
        <v>12</v>
      </c>
      <c r="AM581" s="175">
        <v>19</v>
      </c>
      <c r="AN581" s="175">
        <v>1</v>
      </c>
      <c r="AO581" s="175">
        <v>50</v>
      </c>
      <c r="AP581" s="175">
        <v>36</v>
      </c>
      <c r="AQ581" s="175">
        <v>25</v>
      </c>
      <c r="AR581" s="175">
        <v>3</v>
      </c>
      <c r="AS581" s="175">
        <v>4</v>
      </c>
      <c r="AT581" s="175">
        <v>0</v>
      </c>
    </row>
    <row r="582" spans="1:46">
      <c r="A582">
        <v>10022</v>
      </c>
      <c r="B582" t="s">
        <v>4078</v>
      </c>
      <c r="C582" t="s">
        <v>4079</v>
      </c>
      <c r="D582" t="s">
        <v>4080</v>
      </c>
      <c r="E582" t="s">
        <v>4081</v>
      </c>
      <c r="F582" t="s">
        <v>3777</v>
      </c>
      <c r="G582" t="s">
        <v>737</v>
      </c>
      <c r="H582" t="s">
        <v>449</v>
      </c>
      <c r="J582" t="s">
        <v>4032</v>
      </c>
      <c r="K582" t="s">
        <v>606</v>
      </c>
      <c r="M582" t="s">
        <v>607</v>
      </c>
      <c r="N582" t="s">
        <v>657</v>
      </c>
      <c r="O582" t="s">
        <v>1253</v>
      </c>
      <c r="P582" t="s">
        <v>739</v>
      </c>
      <c r="Q582" t="s">
        <v>467</v>
      </c>
      <c r="R582" t="s">
        <v>724</v>
      </c>
      <c r="S582" t="s">
        <v>740</v>
      </c>
      <c r="T582" t="s">
        <v>613</v>
      </c>
      <c r="U582">
        <v>118600</v>
      </c>
      <c r="V582" t="s">
        <v>4082</v>
      </c>
      <c r="W582" t="s">
        <v>742</v>
      </c>
      <c r="X582" t="s">
        <v>4083</v>
      </c>
      <c r="Y582" t="s">
        <v>4084</v>
      </c>
      <c r="Z582" t="s">
        <v>766</v>
      </c>
      <c r="AA582" t="s">
        <v>4085</v>
      </c>
      <c r="AB582" t="s">
        <v>4079</v>
      </c>
      <c r="AE582">
        <v>-36.741351530000003</v>
      </c>
      <c r="AF582">
        <v>174.70347967999999</v>
      </c>
      <c r="AG582" s="175">
        <v>130</v>
      </c>
      <c r="AH582" s="175">
        <v>30</v>
      </c>
      <c r="AI582" s="175">
        <v>4</v>
      </c>
      <c r="AJ582" s="175">
        <v>18</v>
      </c>
      <c r="AK582" s="175">
        <v>24</v>
      </c>
      <c r="AL582" s="175">
        <v>42</v>
      </c>
      <c r="AM582" s="175">
        <v>18</v>
      </c>
      <c r="AN582" s="175">
        <v>0</v>
      </c>
      <c r="AO582" s="175">
        <v>106</v>
      </c>
      <c r="AP582" s="175">
        <v>31</v>
      </c>
      <c r="AQ582" s="175">
        <v>5</v>
      </c>
      <c r="AR582" s="175">
        <v>0</v>
      </c>
      <c r="AS582" s="175">
        <v>68</v>
      </c>
      <c r="AT582" s="175">
        <v>13</v>
      </c>
    </row>
    <row r="583" spans="1:46">
      <c r="A583">
        <v>10023</v>
      </c>
      <c r="B583" t="s">
        <v>4086</v>
      </c>
      <c r="C583" t="s">
        <v>4087</v>
      </c>
      <c r="E583" t="s">
        <v>4088</v>
      </c>
      <c r="G583" t="s">
        <v>4089</v>
      </c>
      <c r="H583" t="s">
        <v>452</v>
      </c>
      <c r="J583" t="s">
        <v>605</v>
      </c>
      <c r="K583" t="s">
        <v>606</v>
      </c>
      <c r="M583" t="s">
        <v>607</v>
      </c>
      <c r="N583" t="s">
        <v>657</v>
      </c>
      <c r="O583" t="s">
        <v>1318</v>
      </c>
      <c r="P583" t="s">
        <v>626</v>
      </c>
      <c r="Q583" t="s">
        <v>467</v>
      </c>
      <c r="R583" t="s">
        <v>793</v>
      </c>
      <c r="S583" t="s">
        <v>1319</v>
      </c>
      <c r="T583" t="s">
        <v>1320</v>
      </c>
      <c r="U583">
        <v>162901</v>
      </c>
      <c r="V583" t="s">
        <v>4089</v>
      </c>
      <c r="W583" t="s">
        <v>1322</v>
      </c>
      <c r="X583" t="s">
        <v>1305</v>
      </c>
      <c r="Y583" t="s">
        <v>1306</v>
      </c>
      <c r="Z583" t="s">
        <v>1302</v>
      </c>
      <c r="AA583" t="s">
        <v>1307</v>
      </c>
      <c r="AB583" t="s">
        <v>1308</v>
      </c>
      <c r="AC583">
        <v>99119</v>
      </c>
      <c r="AD583" t="s">
        <v>865</v>
      </c>
      <c r="AE583">
        <v>-36.995884529999998</v>
      </c>
      <c r="AF583">
        <v>175.03714303000001</v>
      </c>
      <c r="AG583" s="175">
        <v>30</v>
      </c>
      <c r="AH583" s="175">
        <v>0</v>
      </c>
      <c r="AI583" s="175">
        <v>0</v>
      </c>
      <c r="AJ583" s="175">
        <v>0</v>
      </c>
      <c r="AK583" s="175">
        <v>0</v>
      </c>
      <c r="AL583" s="175">
        <v>3</v>
      </c>
      <c r="AM583" s="175">
        <v>35</v>
      </c>
      <c r="AN583" s="175">
        <v>2</v>
      </c>
      <c r="AO583" s="175">
        <v>40</v>
      </c>
      <c r="AP583" s="175">
        <v>38</v>
      </c>
      <c r="AQ583" s="175">
        <v>6</v>
      </c>
      <c r="AR583" s="175">
        <v>1</v>
      </c>
      <c r="AS583" s="175">
        <v>3</v>
      </c>
      <c r="AT583" s="175">
        <v>1</v>
      </c>
    </row>
    <row r="584" spans="1:46">
      <c r="A584">
        <v>10024</v>
      </c>
      <c r="B584" t="s">
        <v>4090</v>
      </c>
      <c r="C584" t="s">
        <v>4091</v>
      </c>
      <c r="D584" t="s">
        <v>4092</v>
      </c>
      <c r="E584" t="s">
        <v>4093</v>
      </c>
      <c r="F584" t="s">
        <v>1120</v>
      </c>
      <c r="G584" t="s">
        <v>737</v>
      </c>
      <c r="H584" t="s">
        <v>449</v>
      </c>
      <c r="J584" t="s">
        <v>4032</v>
      </c>
      <c r="K584" t="s">
        <v>606</v>
      </c>
      <c r="M584" t="s">
        <v>607</v>
      </c>
      <c r="N584" t="s">
        <v>625</v>
      </c>
      <c r="O584" t="s">
        <v>813</v>
      </c>
      <c r="P584" t="s">
        <v>739</v>
      </c>
      <c r="Q584" t="s">
        <v>467</v>
      </c>
      <c r="R584" t="s">
        <v>814</v>
      </c>
      <c r="S584" t="s">
        <v>1121</v>
      </c>
      <c r="T584" t="s">
        <v>794</v>
      </c>
      <c r="U584">
        <v>156500</v>
      </c>
      <c r="V584" t="s">
        <v>4094</v>
      </c>
      <c r="W584" t="s">
        <v>817</v>
      </c>
      <c r="X584" t="s">
        <v>4095</v>
      </c>
      <c r="Y584" t="s">
        <v>4096</v>
      </c>
      <c r="Z584" t="s">
        <v>3986</v>
      </c>
      <c r="AA584" t="s">
        <v>4097</v>
      </c>
      <c r="AB584" t="s">
        <v>4098</v>
      </c>
      <c r="AE584">
        <v>-36.984687899999997</v>
      </c>
      <c r="AF584">
        <v>174.86413193000001</v>
      </c>
      <c r="AG584" s="175">
        <v>45</v>
      </c>
      <c r="AH584" s="175">
        <v>15</v>
      </c>
      <c r="AI584" s="175">
        <v>3</v>
      </c>
      <c r="AJ584" s="175">
        <v>7</v>
      </c>
      <c r="AK584" s="175">
        <v>9</v>
      </c>
      <c r="AL584" s="175">
        <v>11</v>
      </c>
      <c r="AM584" s="175">
        <v>7</v>
      </c>
      <c r="AN584" s="175">
        <v>3</v>
      </c>
      <c r="AO584" s="175">
        <v>40</v>
      </c>
      <c r="AP584" s="175">
        <v>23</v>
      </c>
      <c r="AQ584" s="175">
        <v>11</v>
      </c>
      <c r="AR584" s="175">
        <v>20</v>
      </c>
      <c r="AS584" s="175">
        <v>7</v>
      </c>
      <c r="AT584" s="175">
        <v>1</v>
      </c>
    </row>
    <row r="585" spans="1:46">
      <c r="A585">
        <v>10028</v>
      </c>
      <c r="B585" t="s">
        <v>4099</v>
      </c>
      <c r="E585" t="s">
        <v>4100</v>
      </c>
      <c r="F585" t="s">
        <v>4101</v>
      </c>
      <c r="G585" t="s">
        <v>737</v>
      </c>
      <c r="H585" t="s">
        <v>451</v>
      </c>
      <c r="I585" t="s">
        <v>4102</v>
      </c>
      <c r="J585" t="s">
        <v>605</v>
      </c>
      <c r="K585" t="s">
        <v>606</v>
      </c>
      <c r="M585" t="s">
        <v>607</v>
      </c>
      <c r="N585" t="s">
        <v>812</v>
      </c>
      <c r="O585" t="s">
        <v>1042</v>
      </c>
      <c r="P585" t="s">
        <v>739</v>
      </c>
      <c r="Q585" t="s">
        <v>467</v>
      </c>
      <c r="R585" t="s">
        <v>793</v>
      </c>
      <c r="S585" t="s">
        <v>1043</v>
      </c>
      <c r="T585" t="s">
        <v>794</v>
      </c>
      <c r="U585">
        <v>136100</v>
      </c>
      <c r="V585" t="s">
        <v>4101</v>
      </c>
      <c r="W585" t="s">
        <v>909</v>
      </c>
      <c r="X585" t="s">
        <v>4103</v>
      </c>
      <c r="Y585" t="s">
        <v>4104</v>
      </c>
      <c r="Z585" t="s">
        <v>4105</v>
      </c>
      <c r="AA585" t="s">
        <v>4106</v>
      </c>
      <c r="AB585" t="s">
        <v>4107</v>
      </c>
      <c r="AE585">
        <v>-36.860695329999999</v>
      </c>
      <c r="AF585">
        <v>174.76942505</v>
      </c>
      <c r="AG585" s="175">
        <v>40</v>
      </c>
      <c r="AH585" s="175">
        <v>40</v>
      </c>
      <c r="AI585" s="175"/>
      <c r="AJ585" s="175"/>
      <c r="AK585" s="175"/>
      <c r="AL585" s="175"/>
      <c r="AM585" s="175"/>
      <c r="AN585" s="175"/>
      <c r="AO585" s="175"/>
      <c r="AP585" s="175"/>
      <c r="AQ585" s="175"/>
      <c r="AR585" s="175"/>
      <c r="AS585" s="175"/>
    </row>
    <row r="586" spans="1:46">
      <c r="A586">
        <v>10030</v>
      </c>
      <c r="B586" t="s">
        <v>4108</v>
      </c>
      <c r="E586" t="s">
        <v>4100</v>
      </c>
      <c r="F586" t="s">
        <v>4101</v>
      </c>
      <c r="G586" t="s">
        <v>737</v>
      </c>
      <c r="H586" t="s">
        <v>451</v>
      </c>
      <c r="I586" t="s">
        <v>4102</v>
      </c>
      <c r="J586" t="s">
        <v>605</v>
      </c>
      <c r="K586" t="s">
        <v>606</v>
      </c>
      <c r="M586" t="s">
        <v>607</v>
      </c>
      <c r="N586" t="s">
        <v>812</v>
      </c>
      <c r="O586" t="s">
        <v>1042</v>
      </c>
      <c r="P586" t="s">
        <v>739</v>
      </c>
      <c r="Q586" t="s">
        <v>467</v>
      </c>
      <c r="R586" t="s">
        <v>793</v>
      </c>
      <c r="S586" t="s">
        <v>1043</v>
      </c>
      <c r="T586" t="s">
        <v>794</v>
      </c>
      <c r="U586">
        <v>136100</v>
      </c>
      <c r="V586" t="s">
        <v>4101</v>
      </c>
      <c r="W586" t="s">
        <v>909</v>
      </c>
      <c r="X586" t="s">
        <v>4103</v>
      </c>
      <c r="Y586" t="s">
        <v>4104</v>
      </c>
      <c r="Z586" t="s">
        <v>4105</v>
      </c>
      <c r="AA586" t="s">
        <v>4106</v>
      </c>
      <c r="AB586" t="s">
        <v>4107</v>
      </c>
      <c r="AE586">
        <v>-36.86069449</v>
      </c>
      <c r="AF586">
        <v>174.76947580999999</v>
      </c>
      <c r="AG586" s="175">
        <v>25</v>
      </c>
      <c r="AH586" s="175">
        <v>25</v>
      </c>
      <c r="AI586" s="175"/>
      <c r="AJ586" s="175"/>
      <c r="AK586" s="175"/>
      <c r="AL586" s="175"/>
      <c r="AM586" s="175"/>
      <c r="AN586" s="175"/>
      <c r="AO586" s="175"/>
      <c r="AP586" s="175"/>
      <c r="AQ586" s="175"/>
      <c r="AR586" s="175"/>
      <c r="AS586" s="175"/>
    </row>
    <row r="587" spans="1:46">
      <c r="A587">
        <v>10032</v>
      </c>
      <c r="B587" t="s">
        <v>4109</v>
      </c>
      <c r="C587" t="s">
        <v>4110</v>
      </c>
      <c r="D587" t="s">
        <v>4111</v>
      </c>
      <c r="E587" t="s">
        <v>4112</v>
      </c>
      <c r="G587" t="s">
        <v>1319</v>
      </c>
      <c r="H587" t="s">
        <v>449</v>
      </c>
      <c r="J587" t="s">
        <v>605</v>
      </c>
      <c r="K587" t="s">
        <v>606</v>
      </c>
      <c r="M587" t="s">
        <v>607</v>
      </c>
      <c r="N587" t="s">
        <v>625</v>
      </c>
      <c r="O587" t="s">
        <v>1353</v>
      </c>
      <c r="P587" t="s">
        <v>739</v>
      </c>
      <c r="Q587" t="s">
        <v>467</v>
      </c>
      <c r="R587" t="s">
        <v>814</v>
      </c>
      <c r="S587" t="s">
        <v>1319</v>
      </c>
      <c r="T587" t="s">
        <v>1320</v>
      </c>
      <c r="U587">
        <v>163200</v>
      </c>
      <c r="V587" t="s">
        <v>4113</v>
      </c>
      <c r="W587" t="s">
        <v>1304</v>
      </c>
      <c r="X587" t="s">
        <v>4013</v>
      </c>
      <c r="Y587" t="s">
        <v>4014</v>
      </c>
      <c r="Z587" t="s">
        <v>4015</v>
      </c>
      <c r="AA587" t="s">
        <v>4016</v>
      </c>
      <c r="AB587" t="s">
        <v>4017</v>
      </c>
      <c r="AE587">
        <v>-37.06652828</v>
      </c>
      <c r="AF587">
        <v>174.95007375</v>
      </c>
      <c r="AG587" s="175">
        <v>30</v>
      </c>
      <c r="AH587" s="175">
        <v>0</v>
      </c>
      <c r="AI587" s="175">
        <v>0</v>
      </c>
      <c r="AJ587" s="175">
        <v>0</v>
      </c>
      <c r="AK587" s="175">
        <v>5</v>
      </c>
      <c r="AL587" s="175">
        <v>9</v>
      </c>
      <c r="AM587" s="175">
        <v>16</v>
      </c>
      <c r="AN587" s="175">
        <v>2</v>
      </c>
      <c r="AO587" s="175">
        <v>32</v>
      </c>
      <c r="AP587" s="175">
        <v>11</v>
      </c>
      <c r="AQ587" s="175">
        <v>9</v>
      </c>
      <c r="AR587" s="175">
        <v>12</v>
      </c>
      <c r="AS587" s="175">
        <v>9</v>
      </c>
      <c r="AT587" s="175">
        <v>1</v>
      </c>
    </row>
    <row r="588" spans="1:46">
      <c r="A588">
        <v>10034</v>
      </c>
      <c r="B588" t="s">
        <v>4114</v>
      </c>
      <c r="C588" t="s">
        <v>4115</v>
      </c>
      <c r="D588" t="s">
        <v>4116</v>
      </c>
      <c r="E588" t="s">
        <v>4117</v>
      </c>
      <c r="F588" t="s">
        <v>1302</v>
      </c>
      <c r="G588" t="s">
        <v>737</v>
      </c>
      <c r="H588" t="s">
        <v>449</v>
      </c>
      <c r="J588" t="s">
        <v>605</v>
      </c>
      <c r="K588" t="s">
        <v>606</v>
      </c>
      <c r="M588" t="s">
        <v>607</v>
      </c>
      <c r="N588" t="s">
        <v>643</v>
      </c>
      <c r="O588" t="s">
        <v>1353</v>
      </c>
      <c r="P588" t="s">
        <v>739</v>
      </c>
      <c r="Q588" t="s">
        <v>467</v>
      </c>
      <c r="R588" t="s">
        <v>814</v>
      </c>
      <c r="S588" t="s">
        <v>1302</v>
      </c>
      <c r="T588" t="s">
        <v>794</v>
      </c>
      <c r="U588">
        <v>162000</v>
      </c>
      <c r="V588" t="s">
        <v>4118</v>
      </c>
      <c r="W588" t="s">
        <v>1304</v>
      </c>
      <c r="X588" t="s">
        <v>4013</v>
      </c>
      <c r="Y588" t="s">
        <v>4014</v>
      </c>
      <c r="Z588" t="s">
        <v>4015</v>
      </c>
      <c r="AA588" t="s">
        <v>4016</v>
      </c>
      <c r="AB588" t="s">
        <v>4017</v>
      </c>
      <c r="AE588">
        <v>-37.039257880000001</v>
      </c>
      <c r="AF588">
        <v>174.91760446000001</v>
      </c>
      <c r="AG588" s="175">
        <v>135</v>
      </c>
      <c r="AH588" s="175">
        <v>24</v>
      </c>
      <c r="AI588" s="175">
        <v>4</v>
      </c>
      <c r="AJ588" s="175">
        <v>18</v>
      </c>
      <c r="AK588" s="175">
        <v>20</v>
      </c>
      <c r="AL588" s="175">
        <v>48</v>
      </c>
      <c r="AM588" s="175">
        <v>44</v>
      </c>
      <c r="AN588" s="175">
        <v>1</v>
      </c>
      <c r="AO588" s="175">
        <v>135</v>
      </c>
      <c r="AP588" s="175">
        <v>13</v>
      </c>
      <c r="AQ588" s="175">
        <v>17</v>
      </c>
      <c r="AR588" s="175">
        <v>16</v>
      </c>
      <c r="AS588" s="175">
        <v>106</v>
      </c>
      <c r="AT588" s="175">
        <v>6</v>
      </c>
    </row>
    <row r="589" spans="1:46">
      <c r="A589">
        <v>10039</v>
      </c>
      <c r="B589" t="s">
        <v>4119</v>
      </c>
      <c r="C589" t="s">
        <v>4120</v>
      </c>
      <c r="D589" t="s">
        <v>4121</v>
      </c>
      <c r="E589" t="s">
        <v>4122</v>
      </c>
      <c r="F589" t="s">
        <v>4123</v>
      </c>
      <c r="G589" t="s">
        <v>737</v>
      </c>
      <c r="H589" t="s">
        <v>449</v>
      </c>
      <c r="J589" t="s">
        <v>4032</v>
      </c>
      <c r="K589" t="s">
        <v>606</v>
      </c>
      <c r="M589" t="s">
        <v>607</v>
      </c>
      <c r="N589" t="s">
        <v>657</v>
      </c>
      <c r="O589" t="s">
        <v>833</v>
      </c>
      <c r="P589" t="s">
        <v>739</v>
      </c>
      <c r="Q589" t="s">
        <v>467</v>
      </c>
      <c r="R589" t="s">
        <v>724</v>
      </c>
      <c r="S589" t="s">
        <v>767</v>
      </c>
      <c r="T589" t="s">
        <v>613</v>
      </c>
      <c r="U589">
        <v>122600</v>
      </c>
      <c r="V589" t="s">
        <v>4124</v>
      </c>
      <c r="W589" t="s">
        <v>826</v>
      </c>
      <c r="X589" t="s">
        <v>4125</v>
      </c>
      <c r="Y589" t="s">
        <v>4126</v>
      </c>
      <c r="Z589" t="s">
        <v>4127</v>
      </c>
      <c r="AA589" t="s">
        <v>4128</v>
      </c>
      <c r="AE589">
        <v>-36.759491820000001</v>
      </c>
      <c r="AF589">
        <v>174.74796692000001</v>
      </c>
      <c r="AG589" s="175">
        <v>33</v>
      </c>
      <c r="AH589" s="175">
        <v>12</v>
      </c>
      <c r="AI589" s="175">
        <v>2</v>
      </c>
      <c r="AJ589" s="175">
        <v>6</v>
      </c>
      <c r="AK589" s="175">
        <v>5</v>
      </c>
      <c r="AL589" s="175">
        <v>6</v>
      </c>
      <c r="AM589" s="175">
        <v>12</v>
      </c>
      <c r="AN589" s="175">
        <v>1</v>
      </c>
      <c r="AO589" s="175">
        <v>32</v>
      </c>
      <c r="AP589" s="175">
        <v>20</v>
      </c>
      <c r="AQ589" s="175">
        <v>1</v>
      </c>
      <c r="AR589" s="175">
        <v>1</v>
      </c>
      <c r="AS589" s="175">
        <v>17</v>
      </c>
      <c r="AT589" s="175">
        <v>1</v>
      </c>
    </row>
    <row r="590" spans="1:46">
      <c r="A590">
        <v>10042</v>
      </c>
      <c r="B590" t="s">
        <v>4129</v>
      </c>
      <c r="C590" t="s">
        <v>4130</v>
      </c>
      <c r="D590" t="s">
        <v>4131</v>
      </c>
      <c r="E590" t="s">
        <v>4132</v>
      </c>
      <c r="G590" t="s">
        <v>4133</v>
      </c>
      <c r="H590" t="s">
        <v>449</v>
      </c>
      <c r="I590" t="s">
        <v>4134</v>
      </c>
      <c r="J590" t="s">
        <v>4032</v>
      </c>
      <c r="K590" t="s">
        <v>606</v>
      </c>
      <c r="M590" t="s">
        <v>607</v>
      </c>
      <c r="N590" t="s">
        <v>657</v>
      </c>
      <c r="O590" t="s">
        <v>1353</v>
      </c>
      <c r="P590" t="s">
        <v>739</v>
      </c>
      <c r="Q590" t="s">
        <v>467</v>
      </c>
      <c r="R590" t="s">
        <v>814</v>
      </c>
      <c r="S590" t="s">
        <v>1319</v>
      </c>
      <c r="T590" t="s">
        <v>1320</v>
      </c>
      <c r="U590">
        <v>164302</v>
      </c>
      <c r="V590" t="s">
        <v>4135</v>
      </c>
      <c r="W590" t="s">
        <v>1304</v>
      </c>
      <c r="X590" t="s">
        <v>4136</v>
      </c>
      <c r="Y590" t="s">
        <v>4137</v>
      </c>
      <c r="Z590" t="s">
        <v>906</v>
      </c>
      <c r="AA590" t="s">
        <v>4138</v>
      </c>
      <c r="AB590" t="s">
        <v>4139</v>
      </c>
      <c r="AE590">
        <v>-37.06264668</v>
      </c>
      <c r="AF590">
        <v>174.94207359999999</v>
      </c>
      <c r="AG590" s="175">
        <v>100</v>
      </c>
      <c r="AH590" s="175">
        <v>16</v>
      </c>
      <c r="AI590" s="175">
        <v>6</v>
      </c>
      <c r="AJ590" s="175">
        <v>6</v>
      </c>
      <c r="AK590" s="175">
        <v>15</v>
      </c>
      <c r="AL590" s="175">
        <v>16</v>
      </c>
      <c r="AM590" s="175">
        <v>17</v>
      </c>
      <c r="AN590" s="175">
        <v>1</v>
      </c>
      <c r="AO590" s="175">
        <v>61</v>
      </c>
      <c r="AP590" s="175">
        <v>21</v>
      </c>
      <c r="AQ590" s="175">
        <v>5</v>
      </c>
      <c r="AR590" s="175">
        <v>9</v>
      </c>
      <c r="AS590" s="175">
        <v>36</v>
      </c>
      <c r="AT590" s="175">
        <v>2</v>
      </c>
    </row>
    <row r="591" spans="1:46">
      <c r="A591">
        <v>10044</v>
      </c>
      <c r="B591" t="s">
        <v>4140</v>
      </c>
      <c r="C591" t="s">
        <v>4141</v>
      </c>
      <c r="D591" t="s">
        <v>4142</v>
      </c>
      <c r="E591" t="s">
        <v>4143</v>
      </c>
      <c r="F591" t="s">
        <v>1181</v>
      </c>
      <c r="G591" t="s">
        <v>737</v>
      </c>
      <c r="H591" t="s">
        <v>449</v>
      </c>
      <c r="J591" t="s">
        <v>605</v>
      </c>
      <c r="K591" t="s">
        <v>606</v>
      </c>
      <c r="M591" t="s">
        <v>607</v>
      </c>
      <c r="N591" t="s">
        <v>657</v>
      </c>
      <c r="O591" t="s">
        <v>1042</v>
      </c>
      <c r="P591" t="s">
        <v>739</v>
      </c>
      <c r="Q591" t="s">
        <v>467</v>
      </c>
      <c r="R591" t="s">
        <v>793</v>
      </c>
      <c r="S591" t="s">
        <v>907</v>
      </c>
      <c r="T591" t="s">
        <v>794</v>
      </c>
      <c r="U591">
        <v>137400</v>
      </c>
      <c r="V591" t="s">
        <v>1182</v>
      </c>
      <c r="W591" t="s">
        <v>909</v>
      </c>
      <c r="X591" t="s">
        <v>4144</v>
      </c>
      <c r="Y591" t="s">
        <v>4145</v>
      </c>
      <c r="Z591" t="s">
        <v>1181</v>
      </c>
      <c r="AA591" t="s">
        <v>4146</v>
      </c>
      <c r="AE591">
        <v>-36.849476180000003</v>
      </c>
      <c r="AF591">
        <v>174.78480877000001</v>
      </c>
      <c r="AG591" s="175">
        <v>46</v>
      </c>
      <c r="AH591" s="175">
        <v>16</v>
      </c>
      <c r="AI591" s="175">
        <v>0</v>
      </c>
      <c r="AJ591" s="175">
        <v>12</v>
      </c>
      <c r="AK591" s="175">
        <v>11</v>
      </c>
      <c r="AL591" s="175">
        <v>13</v>
      </c>
      <c r="AM591" s="175">
        <v>7</v>
      </c>
      <c r="AN591" s="175">
        <v>1</v>
      </c>
      <c r="AO591" s="175">
        <v>44</v>
      </c>
      <c r="AP591" s="175">
        <v>40</v>
      </c>
      <c r="AQ591" s="175">
        <v>5</v>
      </c>
      <c r="AR591" s="175">
        <v>5</v>
      </c>
      <c r="AS591" s="175">
        <v>9</v>
      </c>
      <c r="AT591" s="175">
        <v>0</v>
      </c>
    </row>
    <row r="592" spans="1:46">
      <c r="A592">
        <v>10045</v>
      </c>
      <c r="B592" t="s">
        <v>4147</v>
      </c>
      <c r="C592" t="s">
        <v>4148</v>
      </c>
      <c r="D592" t="s">
        <v>4149</v>
      </c>
      <c r="E592" t="s">
        <v>4150</v>
      </c>
      <c r="G592" t="s">
        <v>760</v>
      </c>
      <c r="H592" t="s">
        <v>449</v>
      </c>
      <c r="J592" t="s">
        <v>4032</v>
      </c>
      <c r="K592" t="s">
        <v>606</v>
      </c>
      <c r="M592" t="s">
        <v>607</v>
      </c>
      <c r="N592" t="s">
        <v>657</v>
      </c>
      <c r="O592" t="s">
        <v>723</v>
      </c>
      <c r="P592" t="s">
        <v>610</v>
      </c>
      <c r="Q592" t="s">
        <v>467</v>
      </c>
      <c r="R592" t="s">
        <v>724</v>
      </c>
      <c r="S592" t="s">
        <v>725</v>
      </c>
      <c r="T592" t="s">
        <v>613</v>
      </c>
      <c r="U592">
        <v>111100</v>
      </c>
      <c r="V592" t="s">
        <v>761</v>
      </c>
      <c r="W592" t="s">
        <v>726</v>
      </c>
      <c r="X592" t="s">
        <v>4151</v>
      </c>
      <c r="Y592" t="s">
        <v>4152</v>
      </c>
      <c r="Z592" t="s">
        <v>766</v>
      </c>
      <c r="AA592" t="s">
        <v>4153</v>
      </c>
      <c r="AC592">
        <v>99122</v>
      </c>
      <c r="AD592" t="s">
        <v>4154</v>
      </c>
      <c r="AE592">
        <v>-36.407820389999998</v>
      </c>
      <c r="AF592">
        <v>174.65644718999999</v>
      </c>
      <c r="AG592" s="175">
        <v>25</v>
      </c>
      <c r="AH592" s="175">
        <v>0</v>
      </c>
      <c r="AI592" s="175">
        <v>0</v>
      </c>
      <c r="AJ592" s="175">
        <v>0</v>
      </c>
      <c r="AK592" s="175">
        <v>6</v>
      </c>
      <c r="AL592" s="175">
        <v>10</v>
      </c>
      <c r="AM592" s="175">
        <v>14</v>
      </c>
      <c r="AN592" s="175">
        <v>0</v>
      </c>
      <c r="AO592" s="175">
        <v>30</v>
      </c>
      <c r="AP592" s="175">
        <v>29</v>
      </c>
      <c r="AQ592" s="175">
        <v>5</v>
      </c>
      <c r="AR592" s="175">
        <v>1</v>
      </c>
      <c r="AS592" s="175">
        <v>3</v>
      </c>
      <c r="AT592" s="175">
        <v>0</v>
      </c>
    </row>
    <row r="593" spans="1:46">
      <c r="A593">
        <v>10046</v>
      </c>
      <c r="B593" t="s">
        <v>4155</v>
      </c>
      <c r="C593" t="s">
        <v>4156</v>
      </c>
      <c r="D593" t="s">
        <v>4157</v>
      </c>
      <c r="E593" t="s">
        <v>4158</v>
      </c>
      <c r="F593" t="s">
        <v>1120</v>
      </c>
      <c r="G593" t="s">
        <v>737</v>
      </c>
      <c r="H593" t="s">
        <v>449</v>
      </c>
      <c r="J593" t="s">
        <v>605</v>
      </c>
      <c r="K593" t="s">
        <v>606</v>
      </c>
      <c r="M593" t="s">
        <v>607</v>
      </c>
      <c r="N593" t="s">
        <v>625</v>
      </c>
      <c r="O593" t="s">
        <v>813</v>
      </c>
      <c r="P593" t="s">
        <v>739</v>
      </c>
      <c r="Q593" t="s">
        <v>467</v>
      </c>
      <c r="R593" t="s">
        <v>814</v>
      </c>
      <c r="S593" t="s">
        <v>815</v>
      </c>
      <c r="T593" t="s">
        <v>794</v>
      </c>
      <c r="U593">
        <v>156201</v>
      </c>
      <c r="V593" t="s">
        <v>4159</v>
      </c>
      <c r="W593" t="s">
        <v>817</v>
      </c>
      <c r="X593" t="s">
        <v>4013</v>
      </c>
      <c r="Y593" t="s">
        <v>4014</v>
      </c>
      <c r="Z593" t="s">
        <v>4015</v>
      </c>
      <c r="AA593" t="s">
        <v>4016</v>
      </c>
      <c r="AB593" t="s">
        <v>4017</v>
      </c>
      <c r="AE593">
        <v>-36.97697591</v>
      </c>
      <c r="AF593">
        <v>174.86978796</v>
      </c>
      <c r="AG593" s="175">
        <v>45</v>
      </c>
      <c r="AH593" s="175">
        <v>15</v>
      </c>
      <c r="AI593" s="175">
        <v>2</v>
      </c>
      <c r="AJ593" s="175">
        <v>8</v>
      </c>
      <c r="AK593" s="175">
        <v>9</v>
      </c>
      <c r="AL593" s="175">
        <v>14</v>
      </c>
      <c r="AM593" s="175">
        <v>11</v>
      </c>
      <c r="AN593" s="175">
        <v>2</v>
      </c>
      <c r="AO593" s="175">
        <v>46</v>
      </c>
      <c r="AP593" s="175">
        <v>7</v>
      </c>
      <c r="AQ593" s="175">
        <v>5</v>
      </c>
      <c r="AR593" s="175">
        <v>13</v>
      </c>
      <c r="AS593" s="175">
        <v>27</v>
      </c>
      <c r="AT593" s="175">
        <v>5</v>
      </c>
    </row>
    <row r="594" spans="1:46">
      <c r="A594">
        <v>10048</v>
      </c>
      <c r="B594" t="s">
        <v>4160</v>
      </c>
      <c r="C594" t="s">
        <v>4161</v>
      </c>
      <c r="D594" t="s">
        <v>4162</v>
      </c>
      <c r="E594" t="s">
        <v>4163</v>
      </c>
      <c r="F594" t="s">
        <v>4164</v>
      </c>
      <c r="G594" t="s">
        <v>737</v>
      </c>
      <c r="H594" t="s">
        <v>449</v>
      </c>
      <c r="J594" t="s">
        <v>4032</v>
      </c>
      <c r="K594" t="s">
        <v>606</v>
      </c>
      <c r="M594" t="s">
        <v>607</v>
      </c>
      <c r="N594" t="s">
        <v>657</v>
      </c>
      <c r="O594" t="s">
        <v>792</v>
      </c>
      <c r="P594" t="s">
        <v>739</v>
      </c>
      <c r="Q594" t="s">
        <v>467</v>
      </c>
      <c r="R594" t="s">
        <v>793</v>
      </c>
      <c r="S594" t="s">
        <v>863</v>
      </c>
      <c r="T594" t="s">
        <v>794</v>
      </c>
      <c r="U594">
        <v>153100</v>
      </c>
      <c r="V594" t="s">
        <v>4012</v>
      </c>
      <c r="W594" t="s">
        <v>796</v>
      </c>
      <c r="X594" t="s">
        <v>4165</v>
      </c>
      <c r="Y594" t="s">
        <v>4166</v>
      </c>
      <c r="Z594" t="s">
        <v>4167</v>
      </c>
      <c r="AA594" t="s">
        <v>4168</v>
      </c>
      <c r="AB594" t="s">
        <v>4169</v>
      </c>
      <c r="AE594">
        <v>-36.926101039999999</v>
      </c>
      <c r="AF594">
        <v>174.91210849000001</v>
      </c>
      <c r="AG594" s="175">
        <v>112</v>
      </c>
      <c r="AH594" s="175">
        <v>30</v>
      </c>
      <c r="AI594" s="175">
        <v>4</v>
      </c>
      <c r="AJ594" s="175">
        <v>22</v>
      </c>
      <c r="AK594" s="175">
        <v>27</v>
      </c>
      <c r="AL594" s="175">
        <v>27</v>
      </c>
      <c r="AM594" s="175">
        <v>15</v>
      </c>
      <c r="AN594" s="175">
        <v>1</v>
      </c>
      <c r="AO594" s="175">
        <v>96</v>
      </c>
      <c r="AP594" s="175">
        <v>46</v>
      </c>
      <c r="AQ594" s="175">
        <v>5</v>
      </c>
      <c r="AR594" s="175">
        <v>4</v>
      </c>
      <c r="AS594" s="175">
        <v>46</v>
      </c>
      <c r="AT594" s="175">
        <v>11</v>
      </c>
    </row>
    <row r="595" spans="1:46">
      <c r="A595">
        <v>10051</v>
      </c>
      <c r="B595" t="s">
        <v>4170</v>
      </c>
      <c r="C595" t="s">
        <v>4171</v>
      </c>
      <c r="D595" t="s">
        <v>4172</v>
      </c>
      <c r="E595" t="s">
        <v>4173</v>
      </c>
      <c r="F595" t="s">
        <v>1157</v>
      </c>
      <c r="G595" t="s">
        <v>737</v>
      </c>
      <c r="H595" t="s">
        <v>449</v>
      </c>
      <c r="J595" t="s">
        <v>4032</v>
      </c>
      <c r="K595" t="s">
        <v>606</v>
      </c>
      <c r="M595" t="s">
        <v>607</v>
      </c>
      <c r="N595" t="s">
        <v>608</v>
      </c>
      <c r="O595" t="s">
        <v>933</v>
      </c>
      <c r="P595" t="s">
        <v>739</v>
      </c>
      <c r="Q595" t="s">
        <v>467</v>
      </c>
      <c r="R595" t="s">
        <v>814</v>
      </c>
      <c r="S595" t="s">
        <v>815</v>
      </c>
      <c r="T595" t="s">
        <v>794</v>
      </c>
      <c r="U595">
        <v>150101</v>
      </c>
      <c r="V595" t="s">
        <v>4174</v>
      </c>
      <c r="W595" t="s">
        <v>817</v>
      </c>
      <c r="X595" t="s">
        <v>4175</v>
      </c>
      <c r="Y595" t="s">
        <v>4176</v>
      </c>
      <c r="AA595" t="s">
        <v>4052</v>
      </c>
      <c r="AB595" t="s">
        <v>4177</v>
      </c>
      <c r="AE595">
        <v>-36.944447889999999</v>
      </c>
      <c r="AF595">
        <v>174.83998994999999</v>
      </c>
      <c r="AG595" s="175">
        <v>100</v>
      </c>
      <c r="AH595" s="175">
        <v>16</v>
      </c>
      <c r="AI595" s="175">
        <v>4</v>
      </c>
      <c r="AJ595" s="175">
        <v>6</v>
      </c>
      <c r="AK595" s="175">
        <v>16</v>
      </c>
      <c r="AL595" s="175">
        <v>26</v>
      </c>
      <c r="AM595" s="175">
        <v>27</v>
      </c>
      <c r="AN595" s="175">
        <v>6</v>
      </c>
      <c r="AO595" s="175">
        <v>85</v>
      </c>
      <c r="AP595" s="175">
        <v>15</v>
      </c>
      <c r="AQ595" s="175">
        <v>8</v>
      </c>
      <c r="AR595" s="175">
        <v>45</v>
      </c>
      <c r="AS595" s="175">
        <v>31</v>
      </c>
      <c r="AT595" s="175">
        <v>6</v>
      </c>
    </row>
    <row r="596" spans="1:46">
      <c r="A596">
        <v>10052</v>
      </c>
      <c r="B596" t="s">
        <v>4178</v>
      </c>
      <c r="C596" t="s">
        <v>4179</v>
      </c>
      <c r="D596" t="s">
        <v>4180</v>
      </c>
      <c r="E596" t="s">
        <v>4181</v>
      </c>
      <c r="F596" t="s">
        <v>804</v>
      </c>
      <c r="G596" t="s">
        <v>737</v>
      </c>
      <c r="H596" t="s">
        <v>449</v>
      </c>
      <c r="I596" t="s">
        <v>4182</v>
      </c>
      <c r="J596" t="s">
        <v>605</v>
      </c>
      <c r="K596" t="s">
        <v>606</v>
      </c>
      <c r="M596" t="s">
        <v>607</v>
      </c>
      <c r="N596" t="s">
        <v>625</v>
      </c>
      <c r="O596" t="s">
        <v>803</v>
      </c>
      <c r="P596" t="s">
        <v>739</v>
      </c>
      <c r="Q596" t="s">
        <v>467</v>
      </c>
      <c r="R596" t="s">
        <v>724</v>
      </c>
      <c r="S596" t="s">
        <v>804</v>
      </c>
      <c r="T596" t="s">
        <v>794</v>
      </c>
      <c r="U596">
        <v>131000</v>
      </c>
      <c r="V596" t="s">
        <v>4183</v>
      </c>
      <c r="W596" t="s">
        <v>806</v>
      </c>
      <c r="X596" t="s">
        <v>4184</v>
      </c>
      <c r="Y596" t="s">
        <v>4185</v>
      </c>
      <c r="Z596" t="s">
        <v>3242</v>
      </c>
      <c r="AA596" t="s">
        <v>4186</v>
      </c>
      <c r="AE596">
        <v>-36.904212200000003</v>
      </c>
      <c r="AF596">
        <v>174.66488459999999</v>
      </c>
      <c r="AG596" s="175">
        <v>30</v>
      </c>
      <c r="AH596" s="175">
        <v>0</v>
      </c>
      <c r="AI596" s="175">
        <v>0</v>
      </c>
      <c r="AJ596" s="175">
        <v>0</v>
      </c>
      <c r="AK596" s="175">
        <v>3</v>
      </c>
      <c r="AL596" s="175">
        <v>8</v>
      </c>
      <c r="AM596" s="175">
        <v>6</v>
      </c>
      <c r="AN596" s="175">
        <v>3</v>
      </c>
      <c r="AO596" s="175">
        <v>20</v>
      </c>
      <c r="AP596" s="175">
        <v>12</v>
      </c>
      <c r="AQ596" s="175">
        <v>8</v>
      </c>
      <c r="AR596" s="175">
        <v>6</v>
      </c>
      <c r="AS596" s="175">
        <v>1</v>
      </c>
      <c r="AT596" s="175">
        <v>0</v>
      </c>
    </row>
    <row r="597" spans="1:46">
      <c r="A597">
        <v>10055</v>
      </c>
      <c r="B597" t="s">
        <v>4187</v>
      </c>
      <c r="C597" t="s">
        <v>4188</v>
      </c>
      <c r="D597" t="s">
        <v>4189</v>
      </c>
      <c r="E597" t="s">
        <v>4190</v>
      </c>
      <c r="F597" t="s">
        <v>4191</v>
      </c>
      <c r="G597" t="s">
        <v>737</v>
      </c>
      <c r="H597" t="s">
        <v>449</v>
      </c>
      <c r="J597" t="s">
        <v>4032</v>
      </c>
      <c r="K597" t="s">
        <v>606</v>
      </c>
      <c r="M597" t="s">
        <v>607</v>
      </c>
      <c r="N597" t="s">
        <v>657</v>
      </c>
      <c r="O597" t="s">
        <v>792</v>
      </c>
      <c r="P597" t="s">
        <v>739</v>
      </c>
      <c r="Q597" t="s">
        <v>467</v>
      </c>
      <c r="R597" t="s">
        <v>793</v>
      </c>
      <c r="S597" t="s">
        <v>863</v>
      </c>
      <c r="T597" t="s">
        <v>794</v>
      </c>
      <c r="U597">
        <v>151301</v>
      </c>
      <c r="V597" t="s">
        <v>4192</v>
      </c>
      <c r="W597" t="s">
        <v>796</v>
      </c>
      <c r="X597" t="s">
        <v>4193</v>
      </c>
      <c r="Y597" t="s">
        <v>4190</v>
      </c>
      <c r="Z597" t="s">
        <v>4194</v>
      </c>
      <c r="AA597" t="s">
        <v>4195</v>
      </c>
      <c r="AB597" t="s">
        <v>4196</v>
      </c>
      <c r="AE597">
        <v>-36.908899259999998</v>
      </c>
      <c r="AF597">
        <v>174.90652564999999</v>
      </c>
      <c r="AG597" s="175">
        <v>50</v>
      </c>
      <c r="AH597" s="175">
        <v>15</v>
      </c>
      <c r="AI597" s="175">
        <v>3</v>
      </c>
      <c r="AJ597" s="175">
        <v>11</v>
      </c>
      <c r="AK597" s="175">
        <v>12</v>
      </c>
      <c r="AL597" s="175">
        <v>14</v>
      </c>
      <c r="AM597" s="175">
        <v>8</v>
      </c>
      <c r="AN597" s="175">
        <v>0</v>
      </c>
      <c r="AO597" s="175">
        <v>48</v>
      </c>
      <c r="AP597" s="175">
        <v>30</v>
      </c>
      <c r="AQ597" s="175">
        <v>6</v>
      </c>
      <c r="AR597" s="175">
        <v>3</v>
      </c>
      <c r="AS597" s="175">
        <v>19</v>
      </c>
      <c r="AT597" s="175">
        <v>1</v>
      </c>
    </row>
    <row r="598" spans="1:46">
      <c r="A598">
        <v>10056</v>
      </c>
      <c r="B598" t="s">
        <v>4197</v>
      </c>
      <c r="C598" t="s">
        <v>4198</v>
      </c>
      <c r="D598" t="s">
        <v>4199</v>
      </c>
      <c r="E598" t="s">
        <v>4200</v>
      </c>
      <c r="G598" t="s">
        <v>4201</v>
      </c>
      <c r="H598" t="s">
        <v>449</v>
      </c>
      <c r="J598" t="s">
        <v>4032</v>
      </c>
      <c r="K598" t="s">
        <v>606</v>
      </c>
      <c r="M598" t="s">
        <v>607</v>
      </c>
      <c r="N598" t="s">
        <v>657</v>
      </c>
      <c r="O598" t="s">
        <v>738</v>
      </c>
      <c r="P598" t="s">
        <v>670</v>
      </c>
      <c r="Q598" t="s">
        <v>467</v>
      </c>
      <c r="R598" t="s">
        <v>724</v>
      </c>
      <c r="S598" t="s">
        <v>753</v>
      </c>
      <c r="T598" t="s">
        <v>613</v>
      </c>
      <c r="U598">
        <v>114000</v>
      </c>
      <c r="V598" t="s">
        <v>4202</v>
      </c>
      <c r="W598" t="s">
        <v>742</v>
      </c>
      <c r="X598" t="s">
        <v>4203</v>
      </c>
      <c r="Y598" t="s">
        <v>4200</v>
      </c>
      <c r="Z598" t="s">
        <v>4201</v>
      </c>
      <c r="AA598" t="s">
        <v>4204</v>
      </c>
      <c r="AB598" t="s">
        <v>4198</v>
      </c>
      <c r="AE598">
        <v>-36.604557720000003</v>
      </c>
      <c r="AF598">
        <v>174.70646088999999</v>
      </c>
      <c r="AG598" s="175">
        <v>20</v>
      </c>
      <c r="AH598" s="175">
        <v>0</v>
      </c>
      <c r="AI598" s="175">
        <v>0</v>
      </c>
      <c r="AJ598" s="175">
        <v>0</v>
      </c>
      <c r="AK598" s="175">
        <v>6</v>
      </c>
      <c r="AL598" s="175">
        <v>5</v>
      </c>
      <c r="AM598" s="175">
        <v>10</v>
      </c>
      <c r="AN598" s="175">
        <v>0</v>
      </c>
      <c r="AO598" s="175">
        <v>21</v>
      </c>
      <c r="AP598" s="175">
        <v>17</v>
      </c>
      <c r="AQ598" s="175">
        <v>4</v>
      </c>
      <c r="AR598" s="175">
        <v>2</v>
      </c>
      <c r="AS598" s="175">
        <v>5</v>
      </c>
      <c r="AT598" s="175">
        <v>0</v>
      </c>
    </row>
    <row r="599" spans="1:46">
      <c r="A599">
        <v>10057</v>
      </c>
      <c r="B599" t="s">
        <v>4205</v>
      </c>
      <c r="C599" t="s">
        <v>4206</v>
      </c>
      <c r="D599" t="s">
        <v>4207</v>
      </c>
      <c r="E599" t="s">
        <v>4208</v>
      </c>
      <c r="G599" t="s">
        <v>4209</v>
      </c>
      <c r="H599" t="s">
        <v>449</v>
      </c>
      <c r="J599" t="s">
        <v>4032</v>
      </c>
      <c r="K599" t="s">
        <v>606</v>
      </c>
      <c r="M599" t="s">
        <v>607</v>
      </c>
      <c r="N599" t="s">
        <v>608</v>
      </c>
      <c r="O599" t="s">
        <v>609</v>
      </c>
      <c r="P599" t="s">
        <v>626</v>
      </c>
      <c r="Q599" t="s">
        <v>509</v>
      </c>
      <c r="R599" t="s">
        <v>611</v>
      </c>
      <c r="S599" t="s">
        <v>612</v>
      </c>
      <c r="T599" t="s">
        <v>613</v>
      </c>
      <c r="U599">
        <v>100200</v>
      </c>
      <c r="V599" t="s">
        <v>4210</v>
      </c>
      <c r="W599" t="s">
        <v>615</v>
      </c>
      <c r="X599" t="s">
        <v>4211</v>
      </c>
      <c r="Y599" t="s">
        <v>4212</v>
      </c>
      <c r="AA599" t="s">
        <v>4213</v>
      </c>
      <c r="AB599" t="s">
        <v>4214</v>
      </c>
      <c r="AE599">
        <v>-35.038866069999997</v>
      </c>
      <c r="AF599">
        <v>173.25472983</v>
      </c>
      <c r="AG599" s="175">
        <v>40</v>
      </c>
      <c r="AH599" s="175">
        <v>8</v>
      </c>
      <c r="AI599" s="175">
        <v>2</v>
      </c>
      <c r="AJ599" s="175">
        <v>7</v>
      </c>
      <c r="AK599" s="175">
        <v>12</v>
      </c>
      <c r="AL599" s="175">
        <v>8</v>
      </c>
      <c r="AM599" s="175">
        <v>5</v>
      </c>
      <c r="AN599" s="175">
        <v>0</v>
      </c>
      <c r="AO599" s="175">
        <v>34</v>
      </c>
      <c r="AP599" s="175">
        <v>22</v>
      </c>
      <c r="AQ599" s="175">
        <v>26</v>
      </c>
      <c r="AR599" s="175">
        <v>3</v>
      </c>
      <c r="AS599" s="175">
        <v>0</v>
      </c>
      <c r="AT599" s="175">
        <v>0</v>
      </c>
    </row>
    <row r="600" spans="1:46">
      <c r="A600">
        <v>10058</v>
      </c>
      <c r="B600" t="s">
        <v>4215</v>
      </c>
      <c r="C600" t="s">
        <v>4216</v>
      </c>
      <c r="D600" t="s">
        <v>4217</v>
      </c>
      <c r="E600" t="s">
        <v>4218</v>
      </c>
      <c r="F600" t="s">
        <v>848</v>
      </c>
      <c r="G600" t="s">
        <v>737</v>
      </c>
      <c r="H600" t="s">
        <v>449</v>
      </c>
      <c r="J600" t="s">
        <v>4032</v>
      </c>
      <c r="K600" t="s">
        <v>606</v>
      </c>
      <c r="M600" t="s">
        <v>607</v>
      </c>
      <c r="N600" t="s">
        <v>657</v>
      </c>
      <c r="O600" t="s">
        <v>823</v>
      </c>
      <c r="P600" t="s">
        <v>739</v>
      </c>
      <c r="Q600" t="s">
        <v>467</v>
      </c>
      <c r="R600" t="s">
        <v>724</v>
      </c>
      <c r="S600" t="s">
        <v>841</v>
      </c>
      <c r="T600" t="s">
        <v>613</v>
      </c>
      <c r="U600">
        <v>125201</v>
      </c>
      <c r="V600" t="s">
        <v>4219</v>
      </c>
      <c r="W600" t="s">
        <v>826</v>
      </c>
      <c r="X600" t="s">
        <v>4220</v>
      </c>
      <c r="Y600" t="s">
        <v>4221</v>
      </c>
      <c r="Z600" t="s">
        <v>4222</v>
      </c>
      <c r="AA600" t="s">
        <v>4223</v>
      </c>
      <c r="AE600">
        <v>-36.806134489999998</v>
      </c>
      <c r="AF600">
        <v>174.71139210000001</v>
      </c>
      <c r="AG600" s="175">
        <v>20</v>
      </c>
      <c r="AH600" s="175">
        <v>20</v>
      </c>
      <c r="AI600" s="175">
        <v>2</v>
      </c>
      <c r="AJ600" s="175">
        <v>16</v>
      </c>
      <c r="AK600" s="175">
        <v>0</v>
      </c>
      <c r="AL600" s="175">
        <v>0</v>
      </c>
      <c r="AM600" s="175">
        <v>0</v>
      </c>
      <c r="AN600" s="175">
        <v>0</v>
      </c>
      <c r="AO600" s="175">
        <v>18</v>
      </c>
      <c r="AP600" s="175">
        <v>10</v>
      </c>
      <c r="AQ600" s="175">
        <v>2</v>
      </c>
      <c r="AR600" s="175">
        <v>0</v>
      </c>
      <c r="AS600" s="175">
        <v>1</v>
      </c>
      <c r="AT600" s="175">
        <v>10</v>
      </c>
    </row>
    <row r="601" spans="1:46">
      <c r="A601">
        <v>10060</v>
      </c>
      <c r="B601" t="s">
        <v>4224</v>
      </c>
      <c r="C601" t="s">
        <v>4225</v>
      </c>
      <c r="D601" t="s">
        <v>4226</v>
      </c>
      <c r="E601" t="s">
        <v>4227</v>
      </c>
      <c r="F601" t="s">
        <v>1268</v>
      </c>
      <c r="G601" t="s">
        <v>737</v>
      </c>
      <c r="H601" t="s">
        <v>449</v>
      </c>
      <c r="J601" t="s">
        <v>605</v>
      </c>
      <c r="K601" t="s">
        <v>606</v>
      </c>
      <c r="M601" t="s">
        <v>607</v>
      </c>
      <c r="N601" t="s">
        <v>657</v>
      </c>
      <c r="O601" t="s">
        <v>898</v>
      </c>
      <c r="P601" t="s">
        <v>739</v>
      </c>
      <c r="Q601" t="s">
        <v>467</v>
      </c>
      <c r="R601" t="s">
        <v>724</v>
      </c>
      <c r="S601" t="s">
        <v>984</v>
      </c>
      <c r="T601" t="s">
        <v>613</v>
      </c>
      <c r="U601">
        <v>125300</v>
      </c>
      <c r="V601" t="s">
        <v>4228</v>
      </c>
      <c r="W601" t="s">
        <v>900</v>
      </c>
      <c r="X601" t="s">
        <v>4013</v>
      </c>
      <c r="Y601" t="s">
        <v>4014</v>
      </c>
      <c r="Z601" t="s">
        <v>4015</v>
      </c>
      <c r="AA601" t="s">
        <v>4016</v>
      </c>
      <c r="AB601" t="s">
        <v>4017</v>
      </c>
      <c r="AE601">
        <v>-36.847412640000002</v>
      </c>
      <c r="AF601">
        <v>174.65186334000001</v>
      </c>
      <c r="AG601" s="175">
        <v>100</v>
      </c>
      <c r="AH601" s="175">
        <v>25</v>
      </c>
      <c r="AI601" s="175">
        <v>3</v>
      </c>
      <c r="AJ601" s="175">
        <v>14</v>
      </c>
      <c r="AK601" s="175">
        <v>20</v>
      </c>
      <c r="AL601" s="175">
        <v>19</v>
      </c>
      <c r="AM601" s="175">
        <v>32</v>
      </c>
      <c r="AN601" s="175">
        <v>0</v>
      </c>
      <c r="AO601" s="175">
        <v>88</v>
      </c>
      <c r="AP601" s="175">
        <v>47</v>
      </c>
      <c r="AQ601" s="175">
        <v>19</v>
      </c>
      <c r="AR601" s="175">
        <v>15</v>
      </c>
      <c r="AS601" s="175">
        <v>34</v>
      </c>
      <c r="AT601" s="175">
        <v>8</v>
      </c>
    </row>
    <row r="602" spans="1:46">
      <c r="A602">
        <v>10062</v>
      </c>
      <c r="B602" t="s">
        <v>4229</v>
      </c>
      <c r="C602" t="s">
        <v>4230</v>
      </c>
      <c r="D602" t="s">
        <v>4231</v>
      </c>
      <c r="E602" t="s">
        <v>4232</v>
      </c>
      <c r="F602" t="s">
        <v>983</v>
      </c>
      <c r="G602" t="s">
        <v>737</v>
      </c>
      <c r="H602" t="s">
        <v>468</v>
      </c>
      <c r="I602" t="s">
        <v>4233</v>
      </c>
      <c r="J602" t="s">
        <v>605</v>
      </c>
      <c r="K602" t="s">
        <v>606</v>
      </c>
      <c r="M602" t="s">
        <v>607</v>
      </c>
      <c r="N602" t="s">
        <v>643</v>
      </c>
      <c r="O602" t="s">
        <v>898</v>
      </c>
      <c r="P602" t="s">
        <v>739</v>
      </c>
      <c r="Q602" t="s">
        <v>467</v>
      </c>
      <c r="R602" t="s">
        <v>724</v>
      </c>
      <c r="S602" t="s">
        <v>984</v>
      </c>
      <c r="T602" t="s">
        <v>613</v>
      </c>
      <c r="U602">
        <v>127801</v>
      </c>
      <c r="V602" t="s">
        <v>4234</v>
      </c>
      <c r="W602" t="s">
        <v>900</v>
      </c>
      <c r="X602" t="s">
        <v>4235</v>
      </c>
      <c r="Y602" t="s">
        <v>4236</v>
      </c>
      <c r="Z602" t="s">
        <v>983</v>
      </c>
      <c r="AA602" t="s">
        <v>4237</v>
      </c>
      <c r="AB602" t="s">
        <v>4230</v>
      </c>
      <c r="AE602">
        <v>-36.88877497</v>
      </c>
      <c r="AF602">
        <v>174.62258937999999</v>
      </c>
      <c r="AG602" s="175">
        <v>50</v>
      </c>
      <c r="AH602" s="175">
        <v>10</v>
      </c>
      <c r="AI602" s="175">
        <v>1</v>
      </c>
      <c r="AJ602" s="175">
        <v>3</v>
      </c>
      <c r="AK602" s="175">
        <v>4</v>
      </c>
      <c r="AL602" s="175">
        <v>7</v>
      </c>
      <c r="AM602" s="175">
        <v>9</v>
      </c>
      <c r="AN602" s="175">
        <v>0</v>
      </c>
      <c r="AO602" s="175">
        <v>24</v>
      </c>
      <c r="AP602" s="175">
        <v>2</v>
      </c>
      <c r="AQ602" s="175">
        <v>6</v>
      </c>
      <c r="AR602" s="175">
        <v>22</v>
      </c>
      <c r="AS602" s="175">
        <v>1</v>
      </c>
      <c r="AT602" s="175">
        <v>1</v>
      </c>
    </row>
    <row r="603" spans="1:46">
      <c r="A603">
        <v>10063</v>
      </c>
      <c r="B603" t="s">
        <v>4238</v>
      </c>
      <c r="C603" t="s">
        <v>4239</v>
      </c>
      <c r="D603" t="s">
        <v>4240</v>
      </c>
      <c r="E603" t="s">
        <v>4241</v>
      </c>
      <c r="G603" t="s">
        <v>1346</v>
      </c>
      <c r="H603" t="s">
        <v>449</v>
      </c>
      <c r="J603" t="s">
        <v>605</v>
      </c>
      <c r="K603" t="s">
        <v>606</v>
      </c>
      <c r="M603" t="s">
        <v>607</v>
      </c>
      <c r="N603" t="s">
        <v>657</v>
      </c>
      <c r="O603" t="s">
        <v>1318</v>
      </c>
      <c r="P603" t="s">
        <v>1347</v>
      </c>
      <c r="Q603" t="s">
        <v>467</v>
      </c>
      <c r="R603" t="s">
        <v>814</v>
      </c>
      <c r="S603" t="s">
        <v>1331</v>
      </c>
      <c r="T603" t="s">
        <v>1320</v>
      </c>
      <c r="U603">
        <v>165901</v>
      </c>
      <c r="V603" t="s">
        <v>4242</v>
      </c>
      <c r="W603" t="s">
        <v>1322</v>
      </c>
      <c r="X603" t="s">
        <v>4013</v>
      </c>
      <c r="Y603" t="s">
        <v>4014</v>
      </c>
      <c r="Z603" t="s">
        <v>4015</v>
      </c>
      <c r="AA603" t="s">
        <v>4016</v>
      </c>
      <c r="AB603" t="s">
        <v>4017</v>
      </c>
      <c r="AC603">
        <v>99075</v>
      </c>
      <c r="AD603" t="s">
        <v>1349</v>
      </c>
      <c r="AE603">
        <v>-37.211240490000002</v>
      </c>
      <c r="AF603">
        <v>174.88889811000001</v>
      </c>
      <c r="AG603" s="175">
        <v>70</v>
      </c>
      <c r="AH603" s="175">
        <v>14</v>
      </c>
      <c r="AI603" s="175">
        <v>0</v>
      </c>
      <c r="AJ603" s="175">
        <v>5</v>
      </c>
      <c r="AK603" s="175">
        <v>21</v>
      </c>
      <c r="AL603" s="175">
        <v>11</v>
      </c>
      <c r="AM603" s="175">
        <v>17</v>
      </c>
      <c r="AN603" s="175">
        <v>1</v>
      </c>
      <c r="AO603" s="175">
        <v>55</v>
      </c>
      <c r="AP603" s="175">
        <v>31</v>
      </c>
      <c r="AQ603" s="175">
        <v>20</v>
      </c>
      <c r="AR603" s="175">
        <v>10</v>
      </c>
      <c r="AS603" s="175">
        <v>8</v>
      </c>
      <c r="AT603" s="175">
        <v>9</v>
      </c>
    </row>
    <row r="604" spans="1:46">
      <c r="A604">
        <v>10065</v>
      </c>
      <c r="B604" t="s">
        <v>4243</v>
      </c>
      <c r="C604" t="s">
        <v>4244</v>
      </c>
      <c r="D604" t="s">
        <v>4245</v>
      </c>
      <c r="E604" t="s">
        <v>4246</v>
      </c>
      <c r="F604" t="s">
        <v>745</v>
      </c>
      <c r="G604" t="s">
        <v>737</v>
      </c>
      <c r="H604" t="s">
        <v>449</v>
      </c>
      <c r="I604" t="s">
        <v>4134</v>
      </c>
      <c r="J604" t="s">
        <v>4032</v>
      </c>
      <c r="K604" t="s">
        <v>606</v>
      </c>
      <c r="M604" t="s">
        <v>607</v>
      </c>
      <c r="N604" t="s">
        <v>657</v>
      </c>
      <c r="O604" t="s">
        <v>1253</v>
      </c>
      <c r="P604" t="s">
        <v>739</v>
      </c>
      <c r="Q604" t="s">
        <v>467</v>
      </c>
      <c r="R604" t="s">
        <v>724</v>
      </c>
      <c r="S604" t="s">
        <v>740</v>
      </c>
      <c r="T604" t="s">
        <v>613</v>
      </c>
      <c r="U604">
        <v>117600</v>
      </c>
      <c r="V604" t="s">
        <v>4067</v>
      </c>
      <c r="W604" t="s">
        <v>742</v>
      </c>
      <c r="X604" t="s">
        <v>4247</v>
      </c>
      <c r="Y604" t="s">
        <v>4248</v>
      </c>
      <c r="Z604" t="s">
        <v>4249</v>
      </c>
      <c r="AA604" t="s">
        <v>4250</v>
      </c>
      <c r="AB604" t="s">
        <v>4251</v>
      </c>
      <c r="AE604">
        <v>-36.719860969999999</v>
      </c>
      <c r="AF604">
        <v>174.72368612</v>
      </c>
      <c r="AG604" s="175">
        <v>40</v>
      </c>
      <c r="AH604" s="175">
        <v>10</v>
      </c>
      <c r="AI604" s="175">
        <v>0</v>
      </c>
      <c r="AJ604" s="175">
        <v>0</v>
      </c>
      <c r="AK604" s="175">
        <v>3</v>
      </c>
      <c r="AL604" s="175">
        <v>7</v>
      </c>
      <c r="AM604" s="175">
        <v>14</v>
      </c>
      <c r="AN604" s="175">
        <v>1</v>
      </c>
      <c r="AO604" s="175">
        <v>25</v>
      </c>
      <c r="AP604" s="175">
        <v>4</v>
      </c>
      <c r="AQ604" s="175">
        <v>1</v>
      </c>
      <c r="AR604" s="175">
        <v>0</v>
      </c>
      <c r="AS604" s="175">
        <v>21</v>
      </c>
      <c r="AT604" s="175">
        <v>2</v>
      </c>
    </row>
    <row r="605" spans="1:46">
      <c r="A605">
        <v>10066</v>
      </c>
      <c r="B605" t="s">
        <v>4252</v>
      </c>
      <c r="C605" t="s">
        <v>4253</v>
      </c>
      <c r="D605" t="s">
        <v>4254</v>
      </c>
      <c r="E605" t="s">
        <v>4255</v>
      </c>
      <c r="G605" t="s">
        <v>4256</v>
      </c>
      <c r="H605" t="s">
        <v>449</v>
      </c>
      <c r="I605" t="s">
        <v>4134</v>
      </c>
      <c r="J605" t="s">
        <v>4032</v>
      </c>
      <c r="K605" t="s">
        <v>606</v>
      </c>
      <c r="M605" t="s">
        <v>607</v>
      </c>
      <c r="N605" t="s">
        <v>657</v>
      </c>
      <c r="O605" t="s">
        <v>723</v>
      </c>
      <c r="P605" t="s">
        <v>610</v>
      </c>
      <c r="Q605" t="s">
        <v>467</v>
      </c>
      <c r="R605" t="s">
        <v>724</v>
      </c>
      <c r="S605" t="s">
        <v>725</v>
      </c>
      <c r="T605" t="s">
        <v>613</v>
      </c>
      <c r="U605">
        <v>112401</v>
      </c>
      <c r="V605" t="s">
        <v>4256</v>
      </c>
      <c r="W605" t="s">
        <v>726</v>
      </c>
      <c r="X605" t="s">
        <v>4257</v>
      </c>
      <c r="Y605" t="s">
        <v>4255</v>
      </c>
      <c r="Z605" t="s">
        <v>4256</v>
      </c>
      <c r="AA605" t="s">
        <v>4258</v>
      </c>
      <c r="AB605" t="s">
        <v>4259</v>
      </c>
      <c r="AE605">
        <v>-36.677381179999998</v>
      </c>
      <c r="AF605">
        <v>174.45389989</v>
      </c>
      <c r="AG605" s="175">
        <v>76</v>
      </c>
      <c r="AH605" s="175">
        <v>0</v>
      </c>
      <c r="AI605" s="175">
        <v>0</v>
      </c>
      <c r="AJ605" s="175">
        <v>0</v>
      </c>
      <c r="AK605" s="175">
        <v>10</v>
      </c>
      <c r="AL605" s="175">
        <v>23</v>
      </c>
      <c r="AM605" s="175">
        <v>23</v>
      </c>
      <c r="AN605" s="175">
        <v>1</v>
      </c>
      <c r="AO605" s="175">
        <v>57</v>
      </c>
      <c r="AP605" s="175">
        <v>51</v>
      </c>
      <c r="AQ605" s="175">
        <v>9</v>
      </c>
      <c r="AR605" s="175">
        <v>2</v>
      </c>
      <c r="AS605" s="175">
        <v>2</v>
      </c>
      <c r="AT605" s="175">
        <v>0</v>
      </c>
    </row>
    <row r="606" spans="1:46">
      <c r="A606">
        <v>10067</v>
      </c>
      <c r="B606" t="s">
        <v>4260</v>
      </c>
      <c r="C606" t="s">
        <v>4261</v>
      </c>
      <c r="D606" t="s">
        <v>4262</v>
      </c>
      <c r="E606" t="s">
        <v>4263</v>
      </c>
      <c r="G606" t="s">
        <v>4264</v>
      </c>
      <c r="H606" t="s">
        <v>449</v>
      </c>
      <c r="J606" t="s">
        <v>4032</v>
      </c>
      <c r="K606" t="s">
        <v>606</v>
      </c>
      <c r="M606" t="s">
        <v>607</v>
      </c>
      <c r="N606" t="s">
        <v>657</v>
      </c>
      <c r="O606" t="s">
        <v>723</v>
      </c>
      <c r="P606" t="s">
        <v>626</v>
      </c>
      <c r="Q606" t="s">
        <v>467</v>
      </c>
      <c r="R606" t="s">
        <v>724</v>
      </c>
      <c r="S606" t="s">
        <v>725</v>
      </c>
      <c r="T606" t="s">
        <v>613</v>
      </c>
      <c r="U606">
        <v>111601</v>
      </c>
      <c r="V606" t="s">
        <v>4264</v>
      </c>
      <c r="W606" t="s">
        <v>726</v>
      </c>
      <c r="X606" t="s">
        <v>4265</v>
      </c>
      <c r="Y606" t="s">
        <v>4266</v>
      </c>
      <c r="AA606" t="s">
        <v>4267</v>
      </c>
      <c r="AE606">
        <v>-36.617541959999997</v>
      </c>
      <c r="AF606">
        <v>174.49454351</v>
      </c>
      <c r="AG606" s="175">
        <v>33</v>
      </c>
      <c r="AH606" s="175">
        <v>6</v>
      </c>
      <c r="AI606" s="175">
        <v>1</v>
      </c>
      <c r="AJ606" s="175">
        <v>6</v>
      </c>
      <c r="AK606" s="175">
        <v>7</v>
      </c>
      <c r="AL606" s="175">
        <v>12</v>
      </c>
      <c r="AM606" s="175">
        <v>18</v>
      </c>
      <c r="AN606" s="175">
        <v>1</v>
      </c>
      <c r="AO606" s="175">
        <v>45</v>
      </c>
      <c r="AP606" s="175">
        <v>39</v>
      </c>
      <c r="AQ606" s="175">
        <v>11</v>
      </c>
      <c r="AR606" s="175">
        <v>0</v>
      </c>
      <c r="AS606" s="175">
        <v>1</v>
      </c>
      <c r="AT606" s="175">
        <v>2</v>
      </c>
    </row>
    <row r="607" spans="1:46">
      <c r="A607">
        <v>10071</v>
      </c>
      <c r="B607" t="s">
        <v>4268</v>
      </c>
      <c r="C607" t="s">
        <v>4269</v>
      </c>
      <c r="E607" t="s">
        <v>4270</v>
      </c>
      <c r="F607" t="s">
        <v>4271</v>
      </c>
      <c r="G607" t="s">
        <v>4272</v>
      </c>
      <c r="H607" t="s">
        <v>347</v>
      </c>
      <c r="J607" t="s">
        <v>605</v>
      </c>
      <c r="K607" t="s">
        <v>606</v>
      </c>
      <c r="L607" t="s">
        <v>4273</v>
      </c>
      <c r="M607" t="s">
        <v>607</v>
      </c>
      <c r="N607" t="s">
        <v>812</v>
      </c>
      <c r="O607" t="s">
        <v>1301</v>
      </c>
      <c r="P607" t="s">
        <v>739</v>
      </c>
      <c r="Q607" t="s">
        <v>467</v>
      </c>
      <c r="R607" t="s">
        <v>814</v>
      </c>
      <c r="S607" t="s">
        <v>1121</v>
      </c>
      <c r="T607" t="s">
        <v>794</v>
      </c>
      <c r="U607">
        <v>160501</v>
      </c>
      <c r="V607" t="s">
        <v>4274</v>
      </c>
      <c r="W607" t="s">
        <v>1304</v>
      </c>
      <c r="X607" t="s">
        <v>4275</v>
      </c>
      <c r="Y607" t="s">
        <v>4276</v>
      </c>
      <c r="Z607" t="s">
        <v>4277</v>
      </c>
      <c r="AA607" t="s">
        <v>4278</v>
      </c>
      <c r="AE607">
        <v>-37.034763009999999</v>
      </c>
      <c r="AF607">
        <v>174.87847325999999</v>
      </c>
      <c r="AG607" s="175">
        <v>66</v>
      </c>
      <c r="AH607" s="175">
        <v>16</v>
      </c>
      <c r="AI607" s="175">
        <v>2</v>
      </c>
      <c r="AJ607" s="175">
        <v>14</v>
      </c>
      <c r="AK607" s="175">
        <v>17</v>
      </c>
      <c r="AL607" s="175">
        <v>11</v>
      </c>
      <c r="AM607" s="175">
        <v>12</v>
      </c>
      <c r="AN607" s="175">
        <v>0</v>
      </c>
      <c r="AO607" s="175">
        <v>56</v>
      </c>
      <c r="AP607" s="175">
        <v>0</v>
      </c>
      <c r="AQ607" s="175">
        <v>53</v>
      </c>
      <c r="AR607" s="175">
        <v>2</v>
      </c>
      <c r="AS607" s="175">
        <v>0</v>
      </c>
      <c r="AT607" s="175">
        <v>1</v>
      </c>
    </row>
    <row r="608" spans="1:46">
      <c r="A608">
        <v>10076</v>
      </c>
      <c r="B608" t="s">
        <v>4279</v>
      </c>
      <c r="C608" t="s">
        <v>4280</v>
      </c>
      <c r="E608" t="s">
        <v>4281</v>
      </c>
      <c r="F608" t="s">
        <v>618</v>
      </c>
      <c r="G608" t="s">
        <v>668</v>
      </c>
      <c r="H608" t="s">
        <v>449</v>
      </c>
      <c r="J608" t="s">
        <v>4032</v>
      </c>
      <c r="K608" t="s">
        <v>606</v>
      </c>
      <c r="M608" t="s">
        <v>607</v>
      </c>
      <c r="N608" t="s">
        <v>657</v>
      </c>
      <c r="O608" t="s">
        <v>669</v>
      </c>
      <c r="P608" t="s">
        <v>670</v>
      </c>
      <c r="Q608" t="s">
        <v>509</v>
      </c>
      <c r="R608" t="s">
        <v>611</v>
      </c>
      <c r="S608" t="s">
        <v>671</v>
      </c>
      <c r="T608" t="s">
        <v>613</v>
      </c>
      <c r="U608">
        <v>105901</v>
      </c>
      <c r="V608" t="s">
        <v>4282</v>
      </c>
      <c r="W608" t="s">
        <v>673</v>
      </c>
      <c r="X608" t="s">
        <v>4283</v>
      </c>
      <c r="Y608" t="s">
        <v>4284</v>
      </c>
      <c r="Z608" t="s">
        <v>618</v>
      </c>
      <c r="AA608" t="s">
        <v>619</v>
      </c>
      <c r="AB608" t="s">
        <v>4285</v>
      </c>
      <c r="AE608">
        <v>-35.683743399999997</v>
      </c>
      <c r="AF608">
        <v>174.29944728999999</v>
      </c>
      <c r="AG608" s="175">
        <v>28</v>
      </c>
      <c r="AH608" s="175">
        <v>25</v>
      </c>
      <c r="AI608" s="175">
        <v>3</v>
      </c>
      <c r="AJ608" s="175">
        <v>15</v>
      </c>
      <c r="AK608" s="175">
        <v>13</v>
      </c>
      <c r="AL608" s="175">
        <v>0</v>
      </c>
      <c r="AM608" s="175">
        <v>0</v>
      </c>
      <c r="AN608" s="175">
        <v>0</v>
      </c>
      <c r="AO608" s="175">
        <v>31</v>
      </c>
      <c r="AP608" s="175">
        <v>27</v>
      </c>
      <c r="AQ608" s="175">
        <v>14</v>
      </c>
      <c r="AR608" s="175">
        <v>3</v>
      </c>
      <c r="AS608" s="175">
        <v>1</v>
      </c>
      <c r="AT608" s="175">
        <v>0</v>
      </c>
    </row>
    <row r="609" spans="1:46">
      <c r="A609">
        <v>10080</v>
      </c>
      <c r="B609" t="s">
        <v>4286</v>
      </c>
      <c r="C609" t="s">
        <v>4287</v>
      </c>
      <c r="E609" t="s">
        <v>4288</v>
      </c>
      <c r="F609" t="s">
        <v>932</v>
      </c>
      <c r="G609" t="s">
        <v>737</v>
      </c>
      <c r="H609" t="s">
        <v>469</v>
      </c>
      <c r="I609" t="s">
        <v>4289</v>
      </c>
      <c r="J609" t="s">
        <v>605</v>
      </c>
      <c r="K609" t="s">
        <v>606</v>
      </c>
      <c r="M609" t="s">
        <v>607</v>
      </c>
      <c r="N609" t="s">
        <v>608</v>
      </c>
      <c r="O609" t="s">
        <v>933</v>
      </c>
      <c r="P609" t="s">
        <v>739</v>
      </c>
      <c r="Q609" t="s">
        <v>467</v>
      </c>
      <c r="R609" t="s">
        <v>814</v>
      </c>
      <c r="S609" t="s">
        <v>934</v>
      </c>
      <c r="T609" t="s">
        <v>794</v>
      </c>
      <c r="U609">
        <v>151000</v>
      </c>
      <c r="V609" t="s">
        <v>4290</v>
      </c>
      <c r="W609" t="s">
        <v>817</v>
      </c>
      <c r="X609" t="s">
        <v>4291</v>
      </c>
      <c r="Y609" t="s">
        <v>4292</v>
      </c>
      <c r="Z609" t="s">
        <v>811</v>
      </c>
      <c r="AA609" t="s">
        <v>4293</v>
      </c>
      <c r="AE609">
        <v>-36.976392820000001</v>
      </c>
      <c r="AF609">
        <v>174.79497588000001</v>
      </c>
      <c r="AG609" s="175">
        <v>40</v>
      </c>
      <c r="AH609" s="175">
        <v>0</v>
      </c>
      <c r="AI609" s="175">
        <v>0</v>
      </c>
      <c r="AJ609" s="175">
        <v>0</v>
      </c>
      <c r="AK609" s="175">
        <v>3</v>
      </c>
      <c r="AL609" s="175">
        <v>6</v>
      </c>
      <c r="AM609" s="175">
        <v>6</v>
      </c>
      <c r="AN609" s="175">
        <v>0</v>
      </c>
      <c r="AO609" s="175">
        <v>15</v>
      </c>
      <c r="AP609" s="175">
        <v>0</v>
      </c>
      <c r="AQ609" s="175">
        <v>1</v>
      </c>
      <c r="AR609" s="175">
        <v>15</v>
      </c>
      <c r="AS609" s="175">
        <v>0</v>
      </c>
      <c r="AT609" s="175">
        <v>0</v>
      </c>
    </row>
    <row r="610" spans="1:46">
      <c r="A610">
        <v>10081</v>
      </c>
      <c r="B610" t="s">
        <v>4294</v>
      </c>
      <c r="C610" t="s">
        <v>4295</v>
      </c>
      <c r="D610" t="s">
        <v>4296</v>
      </c>
      <c r="E610" t="s">
        <v>4297</v>
      </c>
      <c r="F610" t="s">
        <v>888</v>
      </c>
      <c r="G610" t="s">
        <v>737</v>
      </c>
      <c r="H610" t="s">
        <v>449</v>
      </c>
      <c r="I610" t="s">
        <v>4298</v>
      </c>
      <c r="J610" t="s">
        <v>605</v>
      </c>
      <c r="K610" t="s">
        <v>606</v>
      </c>
      <c r="M610" t="s">
        <v>607</v>
      </c>
      <c r="N610" t="s">
        <v>657</v>
      </c>
      <c r="O610" t="s">
        <v>889</v>
      </c>
      <c r="P610" t="s">
        <v>739</v>
      </c>
      <c r="Q610" t="s">
        <v>467</v>
      </c>
      <c r="R610" t="s">
        <v>793</v>
      </c>
      <c r="S610" t="s">
        <v>890</v>
      </c>
      <c r="T610" t="s">
        <v>794</v>
      </c>
      <c r="U610">
        <v>143301</v>
      </c>
      <c r="V610" t="s">
        <v>4299</v>
      </c>
      <c r="W610" t="s">
        <v>892</v>
      </c>
      <c r="X610" t="s">
        <v>4300</v>
      </c>
      <c r="Y610" t="s">
        <v>4301</v>
      </c>
      <c r="Z610" t="s">
        <v>888</v>
      </c>
      <c r="AA610" t="s">
        <v>4302</v>
      </c>
      <c r="AB610" t="s">
        <v>4303</v>
      </c>
      <c r="AC610">
        <v>99110</v>
      </c>
      <c r="AD610" t="s">
        <v>4304</v>
      </c>
      <c r="AE610">
        <v>-36.893465149999997</v>
      </c>
      <c r="AF610">
        <v>174.81542981999999</v>
      </c>
      <c r="AG610" s="175">
        <v>80</v>
      </c>
      <c r="AH610" s="175">
        <v>0</v>
      </c>
      <c r="AI610" s="175">
        <v>0</v>
      </c>
      <c r="AJ610" s="175">
        <v>0</v>
      </c>
      <c r="AK610" s="175">
        <v>0</v>
      </c>
      <c r="AL610" s="175">
        <v>3</v>
      </c>
      <c r="AM610" s="175">
        <v>18</v>
      </c>
      <c r="AN610" s="175">
        <v>30</v>
      </c>
      <c r="AO610" s="175">
        <v>51</v>
      </c>
      <c r="AP610" s="175">
        <v>37</v>
      </c>
      <c r="AQ610" s="175">
        <v>5</v>
      </c>
      <c r="AR610" s="175">
        <v>0</v>
      </c>
      <c r="AS610" s="175">
        <v>16</v>
      </c>
      <c r="AT610" s="175">
        <v>10</v>
      </c>
    </row>
    <row r="611" spans="1:46">
      <c r="A611">
        <v>10083</v>
      </c>
      <c r="B611" t="s">
        <v>4305</v>
      </c>
      <c r="C611" t="s">
        <v>4306</v>
      </c>
      <c r="D611" t="s">
        <v>602</v>
      </c>
      <c r="E611" t="s">
        <v>4307</v>
      </c>
      <c r="F611" t="s">
        <v>618</v>
      </c>
      <c r="G611" t="s">
        <v>668</v>
      </c>
      <c r="H611" t="s">
        <v>452</v>
      </c>
      <c r="J611" t="s">
        <v>605</v>
      </c>
      <c r="K611" t="s">
        <v>606</v>
      </c>
      <c r="M611" t="s">
        <v>607</v>
      </c>
      <c r="N611" t="s">
        <v>657</v>
      </c>
      <c r="O611" t="s">
        <v>669</v>
      </c>
      <c r="P611" t="s">
        <v>670</v>
      </c>
      <c r="Q611" t="s">
        <v>509</v>
      </c>
      <c r="R611" t="s">
        <v>611</v>
      </c>
      <c r="S611" t="s">
        <v>671</v>
      </c>
      <c r="T611" t="s">
        <v>613</v>
      </c>
      <c r="U611">
        <v>105500</v>
      </c>
      <c r="V611" t="s">
        <v>4308</v>
      </c>
      <c r="W611" t="s">
        <v>673</v>
      </c>
      <c r="X611" t="s">
        <v>616</v>
      </c>
      <c r="Y611" t="s">
        <v>617</v>
      </c>
      <c r="Z611" t="s">
        <v>618</v>
      </c>
      <c r="AA611" t="s">
        <v>619</v>
      </c>
      <c r="AB611" t="s">
        <v>620</v>
      </c>
      <c r="AC611">
        <v>99182</v>
      </c>
      <c r="AD611" t="s">
        <v>674</v>
      </c>
      <c r="AE611">
        <v>-35.688338450000003</v>
      </c>
      <c r="AF611">
        <v>174.28864160000001</v>
      </c>
      <c r="AG611" s="175">
        <v>40</v>
      </c>
      <c r="AH611" s="175">
        <v>0</v>
      </c>
      <c r="AI611" s="175">
        <v>0</v>
      </c>
      <c r="AJ611" s="175">
        <v>0</v>
      </c>
      <c r="AK611" s="175">
        <v>0</v>
      </c>
      <c r="AL611" s="175">
        <v>22</v>
      </c>
      <c r="AM611" s="175">
        <v>31</v>
      </c>
      <c r="AN611" s="175">
        <v>0</v>
      </c>
      <c r="AO611" s="175">
        <v>53</v>
      </c>
      <c r="AP611" s="175">
        <v>40</v>
      </c>
      <c r="AQ611" s="175">
        <v>11</v>
      </c>
      <c r="AR611" s="175">
        <v>2</v>
      </c>
      <c r="AS611" s="175">
        <v>10</v>
      </c>
      <c r="AT611" s="175">
        <v>3</v>
      </c>
    </row>
    <row r="612" spans="1:46">
      <c r="A612">
        <v>10085</v>
      </c>
      <c r="B612" t="s">
        <v>4309</v>
      </c>
      <c r="C612" t="s">
        <v>4310</v>
      </c>
      <c r="D612" t="s">
        <v>4311</v>
      </c>
      <c r="E612" t="s">
        <v>4312</v>
      </c>
      <c r="F612" t="s">
        <v>1187</v>
      </c>
      <c r="G612" t="s">
        <v>737</v>
      </c>
      <c r="H612" t="s">
        <v>449</v>
      </c>
      <c r="J612" t="s">
        <v>605</v>
      </c>
      <c r="K612" t="s">
        <v>606</v>
      </c>
      <c r="M612" t="s">
        <v>607</v>
      </c>
      <c r="N612" t="s">
        <v>657</v>
      </c>
      <c r="O612" t="s">
        <v>1042</v>
      </c>
      <c r="P612" t="s">
        <v>739</v>
      </c>
      <c r="Q612" t="s">
        <v>467</v>
      </c>
      <c r="R612" t="s">
        <v>793</v>
      </c>
      <c r="S612" t="s">
        <v>1043</v>
      </c>
      <c r="T612" t="s">
        <v>794</v>
      </c>
      <c r="U612">
        <v>131200</v>
      </c>
      <c r="V612" t="s">
        <v>1188</v>
      </c>
      <c r="W612" t="s">
        <v>1044</v>
      </c>
      <c r="X612" t="s">
        <v>4313</v>
      </c>
      <c r="Y612" t="s">
        <v>4312</v>
      </c>
      <c r="Z612" t="s">
        <v>1187</v>
      </c>
      <c r="AA612" t="s">
        <v>4314</v>
      </c>
      <c r="AB612" t="s">
        <v>4315</v>
      </c>
      <c r="AE612">
        <v>-36.850190660000003</v>
      </c>
      <c r="AF612">
        <v>174.74224552999999</v>
      </c>
      <c r="AG612" s="175">
        <v>30</v>
      </c>
      <c r="AH612" s="175">
        <v>0</v>
      </c>
      <c r="AI612" s="175">
        <v>0</v>
      </c>
      <c r="AJ612" s="175">
        <v>0</v>
      </c>
      <c r="AK612" s="175">
        <v>6</v>
      </c>
      <c r="AL612" s="175">
        <v>10</v>
      </c>
      <c r="AM612" s="175">
        <v>13</v>
      </c>
      <c r="AN612" s="175">
        <v>1</v>
      </c>
      <c r="AO612" s="175">
        <v>30</v>
      </c>
      <c r="AP612" s="175">
        <v>27</v>
      </c>
      <c r="AQ612" s="175">
        <v>0</v>
      </c>
      <c r="AR612" s="175">
        <v>0</v>
      </c>
      <c r="AS612" s="175">
        <v>3</v>
      </c>
      <c r="AT612" s="175">
        <v>4</v>
      </c>
    </row>
    <row r="613" spans="1:46">
      <c r="A613">
        <v>10088</v>
      </c>
      <c r="B613" t="s">
        <v>4316</v>
      </c>
      <c r="C613" t="s">
        <v>4317</v>
      </c>
      <c r="D613" t="s">
        <v>4318</v>
      </c>
      <c r="E613" t="s">
        <v>4319</v>
      </c>
      <c r="F613" t="s">
        <v>932</v>
      </c>
      <c r="G613" t="s">
        <v>737</v>
      </c>
      <c r="H613" t="s">
        <v>449</v>
      </c>
      <c r="I613" t="s">
        <v>4320</v>
      </c>
      <c r="J613" t="s">
        <v>605</v>
      </c>
      <c r="K613" t="s">
        <v>606</v>
      </c>
      <c r="M613" t="s">
        <v>607</v>
      </c>
      <c r="N613" t="s">
        <v>608</v>
      </c>
      <c r="O613" t="s">
        <v>933</v>
      </c>
      <c r="P613" t="s">
        <v>739</v>
      </c>
      <c r="Q613" t="s">
        <v>467</v>
      </c>
      <c r="R613" t="s">
        <v>814</v>
      </c>
      <c r="S613" t="s">
        <v>934</v>
      </c>
      <c r="T613" t="s">
        <v>794</v>
      </c>
      <c r="U613">
        <v>148200</v>
      </c>
      <c r="V613" t="s">
        <v>935</v>
      </c>
      <c r="W613" t="s">
        <v>817</v>
      </c>
      <c r="X613" t="s">
        <v>4321</v>
      </c>
      <c r="Y613" t="s">
        <v>4319</v>
      </c>
      <c r="Z613" t="s">
        <v>932</v>
      </c>
      <c r="AA613" t="s">
        <v>4322</v>
      </c>
      <c r="AE613">
        <v>-36.952433679999999</v>
      </c>
      <c r="AF613">
        <v>174.80674127</v>
      </c>
      <c r="AG613" s="175">
        <v>30</v>
      </c>
      <c r="AH613" s="175">
        <v>5</v>
      </c>
      <c r="AI613" s="175">
        <v>1</v>
      </c>
      <c r="AJ613" s="175">
        <v>2</v>
      </c>
      <c r="AK613" s="175">
        <v>8</v>
      </c>
      <c r="AL613" s="175">
        <v>5</v>
      </c>
      <c r="AM613" s="175">
        <v>10</v>
      </c>
      <c r="AN613" s="175">
        <v>0</v>
      </c>
      <c r="AO613" s="175">
        <v>26</v>
      </c>
      <c r="AP613" s="175">
        <v>0</v>
      </c>
      <c r="AQ613" s="175">
        <v>0</v>
      </c>
      <c r="AR613" s="175">
        <v>26</v>
      </c>
      <c r="AS613" s="175">
        <v>1</v>
      </c>
      <c r="AT613" s="175">
        <v>1</v>
      </c>
    </row>
    <row r="614" spans="1:46">
      <c r="A614">
        <v>10090</v>
      </c>
      <c r="B614" t="s">
        <v>4323</v>
      </c>
      <c r="C614" t="s">
        <v>4324</v>
      </c>
      <c r="D614" t="s">
        <v>4325</v>
      </c>
      <c r="E614" t="s">
        <v>4326</v>
      </c>
      <c r="F614" t="s">
        <v>4022</v>
      </c>
      <c r="G614" t="s">
        <v>737</v>
      </c>
      <c r="H614" t="s">
        <v>449</v>
      </c>
      <c r="J614" t="s">
        <v>605</v>
      </c>
      <c r="K614" t="s">
        <v>606</v>
      </c>
      <c r="M614" t="s">
        <v>607</v>
      </c>
      <c r="N614" t="s">
        <v>657</v>
      </c>
      <c r="O614" t="s">
        <v>1253</v>
      </c>
      <c r="P614" t="s">
        <v>739</v>
      </c>
      <c r="Q614" t="s">
        <v>467</v>
      </c>
      <c r="R614" t="s">
        <v>724</v>
      </c>
      <c r="S614" t="s">
        <v>824</v>
      </c>
      <c r="T614" t="s">
        <v>613</v>
      </c>
      <c r="U614">
        <v>120400</v>
      </c>
      <c r="V614" t="s">
        <v>4327</v>
      </c>
      <c r="W614" t="s">
        <v>742</v>
      </c>
      <c r="X614" t="s">
        <v>4328</v>
      </c>
      <c r="Y614" t="s">
        <v>4326</v>
      </c>
      <c r="Z614" t="s">
        <v>4022</v>
      </c>
      <c r="AA614" t="s">
        <v>4026</v>
      </c>
      <c r="AB614" t="s">
        <v>4329</v>
      </c>
      <c r="AE614">
        <v>-36.752791909999999</v>
      </c>
      <c r="AF614">
        <v>174.72245924000001</v>
      </c>
      <c r="AG614" s="175">
        <v>25</v>
      </c>
      <c r="AH614" s="175">
        <v>8</v>
      </c>
      <c r="AI614" s="175">
        <v>1</v>
      </c>
      <c r="AJ614" s="175">
        <v>1</v>
      </c>
      <c r="AK614" s="175">
        <v>10</v>
      </c>
      <c r="AL614" s="175">
        <v>9</v>
      </c>
      <c r="AM614" s="175">
        <v>9</v>
      </c>
      <c r="AN614" s="175">
        <v>0</v>
      </c>
      <c r="AO614" s="175">
        <v>30</v>
      </c>
      <c r="AP614" s="175">
        <v>23</v>
      </c>
      <c r="AQ614" s="175">
        <v>2</v>
      </c>
      <c r="AR614" s="175">
        <v>4</v>
      </c>
      <c r="AS614" s="175">
        <v>8</v>
      </c>
      <c r="AT614" s="175">
        <v>1</v>
      </c>
    </row>
    <row r="615" spans="1:46">
      <c r="A615">
        <v>10094</v>
      </c>
      <c r="B615" t="s">
        <v>4330</v>
      </c>
      <c r="C615" t="s">
        <v>4331</v>
      </c>
      <c r="E615" t="s">
        <v>4332</v>
      </c>
      <c r="F615" t="s">
        <v>811</v>
      </c>
      <c r="G615" t="s">
        <v>737</v>
      </c>
      <c r="H615" t="s">
        <v>347</v>
      </c>
      <c r="J615" t="s">
        <v>605</v>
      </c>
      <c r="K615" t="s">
        <v>606</v>
      </c>
      <c r="L615" t="s">
        <v>4273</v>
      </c>
      <c r="M615" t="s">
        <v>607</v>
      </c>
      <c r="N615" t="s">
        <v>608</v>
      </c>
      <c r="O615" t="s">
        <v>813</v>
      </c>
      <c r="P615" t="s">
        <v>739</v>
      </c>
      <c r="Q615" t="s">
        <v>467</v>
      </c>
      <c r="R615" t="s">
        <v>814</v>
      </c>
      <c r="S615" t="s">
        <v>815</v>
      </c>
      <c r="T615" t="s">
        <v>794</v>
      </c>
      <c r="U615">
        <v>153500</v>
      </c>
      <c r="V615" t="s">
        <v>816</v>
      </c>
      <c r="W615" t="s">
        <v>817</v>
      </c>
      <c r="X615" t="s">
        <v>4275</v>
      </c>
      <c r="Y615" t="s">
        <v>4276</v>
      </c>
      <c r="Z615" t="s">
        <v>4277</v>
      </c>
      <c r="AA615" t="s">
        <v>4278</v>
      </c>
      <c r="AE615">
        <v>-36.95562254</v>
      </c>
      <c r="AF615">
        <v>174.87128609999999</v>
      </c>
      <c r="AG615" s="175">
        <v>40</v>
      </c>
      <c r="AH615" s="175">
        <v>10</v>
      </c>
      <c r="AI615" s="175">
        <v>1</v>
      </c>
      <c r="AJ615" s="175">
        <v>4</v>
      </c>
      <c r="AK615" s="175">
        <v>8</v>
      </c>
      <c r="AL615" s="175">
        <v>4</v>
      </c>
      <c r="AM615" s="175">
        <v>5</v>
      </c>
      <c r="AN615" s="175">
        <v>0</v>
      </c>
      <c r="AO615" s="175">
        <v>22</v>
      </c>
      <c r="AP615" s="175">
        <v>0</v>
      </c>
      <c r="AQ615" s="175">
        <v>19</v>
      </c>
      <c r="AR615" s="175">
        <v>3</v>
      </c>
      <c r="AS615" s="175">
        <v>0</v>
      </c>
      <c r="AT615" s="175">
        <v>0</v>
      </c>
    </row>
    <row r="616" spans="1:46">
      <c r="A616">
        <v>10096</v>
      </c>
      <c r="B616" t="s">
        <v>4333</v>
      </c>
      <c r="C616" t="s">
        <v>4334</v>
      </c>
      <c r="D616" t="s">
        <v>4335</v>
      </c>
      <c r="E616" t="s">
        <v>4336</v>
      </c>
      <c r="F616" t="s">
        <v>1114</v>
      </c>
      <c r="G616" t="s">
        <v>737</v>
      </c>
      <c r="H616" t="s">
        <v>449</v>
      </c>
      <c r="J616" t="s">
        <v>4032</v>
      </c>
      <c r="K616" t="s">
        <v>606</v>
      </c>
      <c r="M616" t="s">
        <v>607</v>
      </c>
      <c r="N616" t="s">
        <v>643</v>
      </c>
      <c r="O616" t="s">
        <v>914</v>
      </c>
      <c r="P616" t="s">
        <v>739</v>
      </c>
      <c r="Q616" t="s">
        <v>467</v>
      </c>
      <c r="R616" t="s">
        <v>793</v>
      </c>
      <c r="S616" t="s">
        <v>890</v>
      </c>
      <c r="T616" t="s">
        <v>794</v>
      </c>
      <c r="U616">
        <v>146600</v>
      </c>
      <c r="V616" t="s">
        <v>4337</v>
      </c>
      <c r="W616" t="s">
        <v>892</v>
      </c>
      <c r="X616" t="s">
        <v>4338</v>
      </c>
      <c r="Y616" t="s">
        <v>4339</v>
      </c>
      <c r="Z616" t="s">
        <v>4060</v>
      </c>
      <c r="AA616" t="s">
        <v>4340</v>
      </c>
      <c r="AB616" t="s">
        <v>4341</v>
      </c>
      <c r="AE616">
        <v>-36.915003069999997</v>
      </c>
      <c r="AF616">
        <v>174.83053638000001</v>
      </c>
      <c r="AG616" s="175">
        <v>40</v>
      </c>
      <c r="AH616" s="175">
        <v>8</v>
      </c>
      <c r="AI616" s="175">
        <v>3</v>
      </c>
      <c r="AJ616" s="175">
        <v>5</v>
      </c>
      <c r="AK616" s="175">
        <v>4</v>
      </c>
      <c r="AL616" s="175">
        <v>8</v>
      </c>
      <c r="AM616" s="175">
        <v>11</v>
      </c>
      <c r="AN616" s="175">
        <v>1</v>
      </c>
      <c r="AO616" s="175">
        <v>32</v>
      </c>
      <c r="AP616" s="175">
        <v>4</v>
      </c>
      <c r="AQ616" s="175">
        <v>3</v>
      </c>
      <c r="AR616" s="175">
        <v>9</v>
      </c>
      <c r="AS616" s="175">
        <v>17</v>
      </c>
      <c r="AT616" s="175">
        <v>3</v>
      </c>
    </row>
    <row r="617" spans="1:46">
      <c r="A617">
        <v>10100</v>
      </c>
      <c r="B617" t="s">
        <v>4342</v>
      </c>
      <c r="C617" t="s">
        <v>4343</v>
      </c>
      <c r="D617" t="s">
        <v>4344</v>
      </c>
      <c r="E617" t="s">
        <v>4345</v>
      </c>
      <c r="F617" t="s">
        <v>921</v>
      </c>
      <c r="G617" t="s">
        <v>737</v>
      </c>
      <c r="H617" t="s">
        <v>449</v>
      </c>
      <c r="J617" t="s">
        <v>605</v>
      </c>
      <c r="K617" t="s">
        <v>606</v>
      </c>
      <c r="M617" t="s">
        <v>607</v>
      </c>
      <c r="N617" t="s">
        <v>657</v>
      </c>
      <c r="O617" t="s">
        <v>833</v>
      </c>
      <c r="P617" t="s">
        <v>739</v>
      </c>
      <c r="Q617" t="s">
        <v>467</v>
      </c>
      <c r="R617" t="s">
        <v>724</v>
      </c>
      <c r="S617" t="s">
        <v>767</v>
      </c>
      <c r="T617" t="s">
        <v>613</v>
      </c>
      <c r="U617">
        <v>131400</v>
      </c>
      <c r="V617" t="s">
        <v>4346</v>
      </c>
      <c r="W617" t="s">
        <v>826</v>
      </c>
      <c r="X617" t="s">
        <v>4347</v>
      </c>
      <c r="Y617" t="s">
        <v>4348</v>
      </c>
      <c r="Z617" t="s">
        <v>921</v>
      </c>
      <c r="AA617" t="s">
        <v>4349</v>
      </c>
      <c r="AB617" t="s">
        <v>4350</v>
      </c>
      <c r="AE617">
        <v>-36.829123129999999</v>
      </c>
      <c r="AF617">
        <v>174.79007602999999</v>
      </c>
      <c r="AG617" s="175">
        <v>25</v>
      </c>
      <c r="AH617" s="175">
        <v>25</v>
      </c>
      <c r="AI617" s="175">
        <v>3</v>
      </c>
      <c r="AJ617" s="175">
        <v>13</v>
      </c>
      <c r="AK617" s="175">
        <v>0</v>
      </c>
      <c r="AL617" s="175">
        <v>0</v>
      </c>
      <c r="AM617" s="175">
        <v>0</v>
      </c>
      <c r="AN617" s="175">
        <v>0</v>
      </c>
      <c r="AO617" s="175">
        <v>16</v>
      </c>
      <c r="AP617" s="175">
        <v>11</v>
      </c>
      <c r="AQ617" s="175">
        <v>5</v>
      </c>
      <c r="AR617" s="175">
        <v>2</v>
      </c>
      <c r="AS617" s="175">
        <v>0</v>
      </c>
      <c r="AT617" s="175">
        <v>0</v>
      </c>
    </row>
    <row r="618" spans="1:46">
      <c r="A618">
        <v>10104</v>
      </c>
      <c r="B618" t="s">
        <v>4351</v>
      </c>
      <c r="C618" t="s">
        <v>4352</v>
      </c>
      <c r="E618" t="s">
        <v>4353</v>
      </c>
      <c r="F618" t="s">
        <v>4022</v>
      </c>
      <c r="G618" t="s">
        <v>737</v>
      </c>
      <c r="H618" t="s">
        <v>449</v>
      </c>
      <c r="J618" t="s">
        <v>4032</v>
      </c>
      <c r="K618" t="s">
        <v>606</v>
      </c>
      <c r="M618" t="s">
        <v>607</v>
      </c>
      <c r="N618" t="s">
        <v>657</v>
      </c>
      <c r="O618" t="s">
        <v>1253</v>
      </c>
      <c r="P618" t="s">
        <v>739</v>
      </c>
      <c r="Q618" t="s">
        <v>467</v>
      </c>
      <c r="R618" t="s">
        <v>724</v>
      </c>
      <c r="S618" t="s">
        <v>824</v>
      </c>
      <c r="T618" t="s">
        <v>613</v>
      </c>
      <c r="U618">
        <v>120400</v>
      </c>
      <c r="V618" t="s">
        <v>4327</v>
      </c>
      <c r="W618" t="s">
        <v>742</v>
      </c>
      <c r="X618" t="s">
        <v>4354</v>
      </c>
      <c r="Y618" t="s">
        <v>4355</v>
      </c>
      <c r="Z618" t="s">
        <v>834</v>
      </c>
      <c r="AA618" t="s">
        <v>4356</v>
      </c>
      <c r="AB618" t="s">
        <v>4352</v>
      </c>
      <c r="AE618">
        <v>-36.760437979999999</v>
      </c>
      <c r="AF618">
        <v>174.7231117</v>
      </c>
      <c r="AG618" s="175">
        <v>43</v>
      </c>
      <c r="AH618" s="175">
        <v>13</v>
      </c>
      <c r="AI618" s="175">
        <v>1</v>
      </c>
      <c r="AJ618" s="175">
        <v>10</v>
      </c>
      <c r="AK618" s="175">
        <v>8</v>
      </c>
      <c r="AL618" s="175">
        <v>6</v>
      </c>
      <c r="AM618" s="175">
        <v>11</v>
      </c>
      <c r="AN618" s="175">
        <v>0</v>
      </c>
      <c r="AO618" s="175">
        <v>36</v>
      </c>
      <c r="AP618" s="175">
        <v>9</v>
      </c>
      <c r="AQ618" s="175">
        <v>2</v>
      </c>
      <c r="AR618" s="175">
        <v>3</v>
      </c>
      <c r="AS618" s="175">
        <v>26</v>
      </c>
      <c r="AT618" s="175">
        <v>3</v>
      </c>
    </row>
    <row r="619" spans="1:46">
      <c r="A619">
        <v>10105</v>
      </c>
      <c r="B619" t="s">
        <v>4357</v>
      </c>
      <c r="C619" t="s">
        <v>4358</v>
      </c>
      <c r="D619" t="s">
        <v>4359</v>
      </c>
      <c r="E619" t="s">
        <v>4360</v>
      </c>
      <c r="F619" t="s">
        <v>1302</v>
      </c>
      <c r="G619" t="s">
        <v>737</v>
      </c>
      <c r="H619" t="s">
        <v>449</v>
      </c>
      <c r="J619" t="s">
        <v>605</v>
      </c>
      <c r="K619" t="s">
        <v>606</v>
      </c>
      <c r="M619" t="s">
        <v>607</v>
      </c>
      <c r="N619" t="s">
        <v>643</v>
      </c>
      <c r="O619" t="s">
        <v>1353</v>
      </c>
      <c r="P619" t="s">
        <v>739</v>
      </c>
      <c r="Q619" t="s">
        <v>467</v>
      </c>
      <c r="R619" t="s">
        <v>814</v>
      </c>
      <c r="S619" t="s">
        <v>1319</v>
      </c>
      <c r="T619" t="s">
        <v>1320</v>
      </c>
      <c r="U619">
        <v>162800</v>
      </c>
      <c r="V619" t="s">
        <v>4361</v>
      </c>
      <c r="W619" t="s">
        <v>1304</v>
      </c>
      <c r="X619" t="s">
        <v>4013</v>
      </c>
      <c r="Y619" t="s">
        <v>4014</v>
      </c>
      <c r="Z619" t="s">
        <v>4015</v>
      </c>
      <c r="AA619" t="s">
        <v>4016</v>
      </c>
      <c r="AB619" t="s">
        <v>4017</v>
      </c>
      <c r="AE619">
        <v>-37.052139439999998</v>
      </c>
      <c r="AF619">
        <v>174.93301496999999</v>
      </c>
      <c r="AG619" s="175">
        <v>50</v>
      </c>
      <c r="AH619" s="175">
        <v>12</v>
      </c>
      <c r="AI619" s="175">
        <v>1</v>
      </c>
      <c r="AJ619" s="175">
        <v>10</v>
      </c>
      <c r="AK619" s="175">
        <v>10</v>
      </c>
      <c r="AL619" s="175">
        <v>22</v>
      </c>
      <c r="AM619" s="175">
        <v>18</v>
      </c>
      <c r="AN619" s="175">
        <v>2</v>
      </c>
      <c r="AO619" s="175">
        <v>63</v>
      </c>
      <c r="AP619" s="175">
        <v>21</v>
      </c>
      <c r="AQ619" s="175">
        <v>22</v>
      </c>
      <c r="AR619" s="175">
        <v>18</v>
      </c>
      <c r="AS619" s="175">
        <v>24</v>
      </c>
      <c r="AT619" s="175">
        <v>2</v>
      </c>
    </row>
    <row r="620" spans="1:46">
      <c r="A620">
        <v>10108</v>
      </c>
      <c r="B620" t="s">
        <v>4362</v>
      </c>
      <c r="C620" t="s">
        <v>4363</v>
      </c>
      <c r="D620" t="s">
        <v>4364</v>
      </c>
      <c r="E620" t="s">
        <v>4365</v>
      </c>
      <c r="F620" t="s">
        <v>1120</v>
      </c>
      <c r="G620" t="s">
        <v>737</v>
      </c>
      <c r="H620" t="s">
        <v>449</v>
      </c>
      <c r="J620" t="s">
        <v>4032</v>
      </c>
      <c r="K620" t="s">
        <v>606</v>
      </c>
      <c r="M620" t="s">
        <v>607</v>
      </c>
      <c r="N620" t="s">
        <v>625</v>
      </c>
      <c r="O620" t="s">
        <v>813</v>
      </c>
      <c r="P620" t="s">
        <v>739</v>
      </c>
      <c r="Q620" t="s">
        <v>467</v>
      </c>
      <c r="R620" t="s">
        <v>814</v>
      </c>
      <c r="S620" t="s">
        <v>1121</v>
      </c>
      <c r="T620" t="s">
        <v>794</v>
      </c>
      <c r="U620">
        <v>157000</v>
      </c>
      <c r="V620" t="s">
        <v>4366</v>
      </c>
      <c r="W620" t="s">
        <v>817</v>
      </c>
      <c r="X620" t="s">
        <v>4165</v>
      </c>
      <c r="Y620" t="s">
        <v>4166</v>
      </c>
      <c r="Z620" t="s">
        <v>4167</v>
      </c>
      <c r="AA620" t="s">
        <v>4168</v>
      </c>
      <c r="AB620" t="s">
        <v>4169</v>
      </c>
      <c r="AE620">
        <v>-36.980789309999999</v>
      </c>
      <c r="AF620">
        <v>174.87625144</v>
      </c>
      <c r="AG620" s="175">
        <v>50</v>
      </c>
      <c r="AH620" s="175">
        <v>18</v>
      </c>
      <c r="AI620" s="175">
        <v>2</v>
      </c>
      <c r="AJ620" s="175">
        <v>9</v>
      </c>
      <c r="AK620" s="175">
        <v>12</v>
      </c>
      <c r="AL620" s="175">
        <v>14</v>
      </c>
      <c r="AM620" s="175">
        <v>9</v>
      </c>
      <c r="AN620" s="175">
        <v>0</v>
      </c>
      <c r="AO620" s="175">
        <v>46</v>
      </c>
      <c r="AP620" s="175">
        <v>13</v>
      </c>
      <c r="AQ620" s="175">
        <v>7</v>
      </c>
      <c r="AR620" s="175">
        <v>20</v>
      </c>
      <c r="AS620" s="175">
        <v>21</v>
      </c>
      <c r="AT620" s="175">
        <v>1</v>
      </c>
    </row>
    <row r="621" spans="1:46">
      <c r="A621">
        <v>10110</v>
      </c>
      <c r="B621" t="s">
        <v>4367</v>
      </c>
      <c r="C621" t="s">
        <v>4368</v>
      </c>
      <c r="D621" t="s">
        <v>4369</v>
      </c>
      <c r="E621" t="s">
        <v>4370</v>
      </c>
      <c r="F621" t="s">
        <v>983</v>
      </c>
      <c r="G621" t="s">
        <v>737</v>
      </c>
      <c r="H621" t="s">
        <v>449</v>
      </c>
      <c r="I621" t="s">
        <v>4371</v>
      </c>
      <c r="J621" t="s">
        <v>605</v>
      </c>
      <c r="K621" t="s">
        <v>606</v>
      </c>
      <c r="M621" t="s">
        <v>607</v>
      </c>
      <c r="N621" t="s">
        <v>643</v>
      </c>
      <c r="O621" t="s">
        <v>898</v>
      </c>
      <c r="P621" t="s">
        <v>739</v>
      </c>
      <c r="Q621" t="s">
        <v>467</v>
      </c>
      <c r="R621" t="s">
        <v>724</v>
      </c>
      <c r="S621" t="s">
        <v>984</v>
      </c>
      <c r="T621" t="s">
        <v>613</v>
      </c>
      <c r="U621">
        <v>125100</v>
      </c>
      <c r="V621" t="s">
        <v>4372</v>
      </c>
      <c r="W621" t="s">
        <v>900</v>
      </c>
      <c r="X621" t="s">
        <v>4373</v>
      </c>
      <c r="Y621" t="s">
        <v>4370</v>
      </c>
      <c r="Z621" t="s">
        <v>983</v>
      </c>
      <c r="AA621" t="s">
        <v>4374</v>
      </c>
      <c r="AB621" t="s">
        <v>4368</v>
      </c>
      <c r="AE621">
        <v>-36.859506170000003</v>
      </c>
      <c r="AF621">
        <v>174.63516820000001</v>
      </c>
      <c r="AG621" s="175">
        <v>30</v>
      </c>
      <c r="AH621" s="175">
        <v>0</v>
      </c>
      <c r="AI621" s="175">
        <v>0</v>
      </c>
      <c r="AJ621" s="175">
        <v>0</v>
      </c>
      <c r="AK621" s="175">
        <v>9</v>
      </c>
      <c r="AL621" s="175">
        <v>9</v>
      </c>
      <c r="AM621" s="175">
        <v>9</v>
      </c>
      <c r="AN621" s="175">
        <v>2</v>
      </c>
      <c r="AO621" s="175">
        <v>29</v>
      </c>
      <c r="AP621" s="175">
        <v>0</v>
      </c>
      <c r="AQ621" s="175">
        <v>0</v>
      </c>
      <c r="AR621" s="175">
        <v>1</v>
      </c>
      <c r="AS621" s="175">
        <v>26</v>
      </c>
      <c r="AT621" s="175">
        <v>2</v>
      </c>
    </row>
    <row r="622" spans="1:46">
      <c r="A622">
        <v>10114</v>
      </c>
      <c r="B622" t="s">
        <v>4375</v>
      </c>
      <c r="C622" t="s">
        <v>4376</v>
      </c>
      <c r="D622" t="s">
        <v>4377</v>
      </c>
      <c r="E622" t="s">
        <v>4378</v>
      </c>
      <c r="F622" t="s">
        <v>1268</v>
      </c>
      <c r="G622" t="s">
        <v>737</v>
      </c>
      <c r="H622" t="s">
        <v>452</v>
      </c>
      <c r="J622" t="s">
        <v>605</v>
      </c>
      <c r="K622" t="s">
        <v>606</v>
      </c>
      <c r="M622" t="s">
        <v>607</v>
      </c>
      <c r="N622" t="s">
        <v>657</v>
      </c>
      <c r="O622" t="s">
        <v>898</v>
      </c>
      <c r="P622" t="s">
        <v>739</v>
      </c>
      <c r="Q622" t="s">
        <v>467</v>
      </c>
      <c r="R622" t="s">
        <v>724</v>
      </c>
      <c r="S622" t="s">
        <v>984</v>
      </c>
      <c r="T622" t="s">
        <v>613</v>
      </c>
      <c r="U622">
        <v>124500</v>
      </c>
      <c r="V622" t="s">
        <v>1269</v>
      </c>
      <c r="W622" t="s">
        <v>900</v>
      </c>
      <c r="X622" t="s">
        <v>727</v>
      </c>
      <c r="Y622" t="s">
        <v>728</v>
      </c>
      <c r="Z622" t="s">
        <v>729</v>
      </c>
      <c r="AA622" t="s">
        <v>730</v>
      </c>
      <c r="AB622" t="s">
        <v>731</v>
      </c>
      <c r="AE622">
        <v>-36.839898380000001</v>
      </c>
      <c r="AF622">
        <v>174.65063585999999</v>
      </c>
      <c r="AG622" s="175">
        <v>40</v>
      </c>
      <c r="AH622" s="175">
        <v>0</v>
      </c>
      <c r="AI622" s="175">
        <v>0</v>
      </c>
      <c r="AJ622" s="175">
        <v>0</v>
      </c>
      <c r="AK622" s="175">
        <v>12</v>
      </c>
      <c r="AL622" s="175">
        <v>20</v>
      </c>
      <c r="AM622" s="175">
        <v>16</v>
      </c>
      <c r="AN622" s="175">
        <v>0</v>
      </c>
      <c r="AO622" s="175">
        <v>48</v>
      </c>
      <c r="AP622" s="175">
        <v>31</v>
      </c>
      <c r="AQ622" s="175">
        <v>13</v>
      </c>
      <c r="AR622" s="175">
        <v>13</v>
      </c>
      <c r="AS622" s="175">
        <v>8</v>
      </c>
      <c r="AT622" s="175">
        <v>3</v>
      </c>
    </row>
    <row r="623" spans="1:46">
      <c r="A623">
        <v>10116</v>
      </c>
      <c r="B623" t="s">
        <v>4379</v>
      </c>
      <c r="C623" t="s">
        <v>4380</v>
      </c>
      <c r="D623" t="s">
        <v>4381</v>
      </c>
      <c r="E623" t="s">
        <v>4382</v>
      </c>
      <c r="G623" t="s">
        <v>4383</v>
      </c>
      <c r="H623" t="s">
        <v>449</v>
      </c>
      <c r="J623" t="s">
        <v>4032</v>
      </c>
      <c r="K623" t="s">
        <v>606</v>
      </c>
      <c r="M623" t="s">
        <v>607</v>
      </c>
      <c r="N623" t="s">
        <v>657</v>
      </c>
      <c r="O623" t="s">
        <v>723</v>
      </c>
      <c r="P623" t="s">
        <v>658</v>
      </c>
      <c r="Q623" t="s">
        <v>467</v>
      </c>
      <c r="R623" t="s">
        <v>724</v>
      </c>
      <c r="S623" t="s">
        <v>725</v>
      </c>
      <c r="T623" t="s">
        <v>613</v>
      </c>
      <c r="U623">
        <v>113201</v>
      </c>
      <c r="V623" t="s">
        <v>4384</v>
      </c>
      <c r="W623" t="s">
        <v>726</v>
      </c>
      <c r="X623" t="s">
        <v>4385</v>
      </c>
      <c r="Y623" t="s">
        <v>4386</v>
      </c>
      <c r="AA623" t="s">
        <v>4387</v>
      </c>
      <c r="AB623" t="s">
        <v>4388</v>
      </c>
      <c r="AE623">
        <v>-36.780164390000003</v>
      </c>
      <c r="AF623">
        <v>174.4785646</v>
      </c>
      <c r="AG623" s="175">
        <v>54</v>
      </c>
      <c r="AH623" s="175">
        <v>18</v>
      </c>
      <c r="AI623" s="175">
        <v>4</v>
      </c>
      <c r="AJ623" s="175">
        <v>11</v>
      </c>
      <c r="AK623" s="175">
        <v>16</v>
      </c>
      <c r="AL623" s="175">
        <v>11</v>
      </c>
      <c r="AM623" s="175">
        <v>8</v>
      </c>
      <c r="AN623" s="175">
        <v>0</v>
      </c>
      <c r="AO623" s="175">
        <v>50</v>
      </c>
      <c r="AP623" s="175">
        <v>42</v>
      </c>
      <c r="AQ623" s="175">
        <v>17</v>
      </c>
      <c r="AR623" s="175">
        <v>2</v>
      </c>
      <c r="AS623" s="175">
        <v>1</v>
      </c>
      <c r="AT623" s="175">
        <v>5</v>
      </c>
    </row>
    <row r="624" spans="1:46">
      <c r="A624">
        <v>10117</v>
      </c>
      <c r="B624" t="s">
        <v>4389</v>
      </c>
      <c r="C624" t="s">
        <v>4390</v>
      </c>
      <c r="D624" t="s">
        <v>4391</v>
      </c>
      <c r="E624" t="s">
        <v>4392</v>
      </c>
      <c r="F624" t="s">
        <v>3777</v>
      </c>
      <c r="G624" t="s">
        <v>4393</v>
      </c>
      <c r="H624" t="s">
        <v>449</v>
      </c>
      <c r="J624" t="s">
        <v>605</v>
      </c>
      <c r="K624" t="s">
        <v>606</v>
      </c>
      <c r="M624" t="s">
        <v>607</v>
      </c>
      <c r="N624" t="s">
        <v>657</v>
      </c>
      <c r="O624" t="s">
        <v>1253</v>
      </c>
      <c r="P624" t="s">
        <v>739</v>
      </c>
      <c r="Q624" t="s">
        <v>467</v>
      </c>
      <c r="R624" t="s">
        <v>724</v>
      </c>
      <c r="S624" t="s">
        <v>740</v>
      </c>
      <c r="T624" t="s">
        <v>613</v>
      </c>
      <c r="U624">
        <v>117400</v>
      </c>
      <c r="V624" t="s">
        <v>3778</v>
      </c>
      <c r="W624" t="s">
        <v>742</v>
      </c>
      <c r="X624" t="s">
        <v>4013</v>
      </c>
      <c r="Y624" t="s">
        <v>4014</v>
      </c>
      <c r="Z624" t="s">
        <v>4015</v>
      </c>
      <c r="AA624" t="s">
        <v>4016</v>
      </c>
      <c r="AB624" t="s">
        <v>4017</v>
      </c>
      <c r="AE624">
        <v>-36.748008589999998</v>
      </c>
      <c r="AF624">
        <v>174.69295464999999</v>
      </c>
      <c r="AG624" s="175">
        <v>35</v>
      </c>
      <c r="AH624" s="175">
        <v>16</v>
      </c>
      <c r="AI624" s="175">
        <v>1</v>
      </c>
      <c r="AJ624" s="175">
        <v>8</v>
      </c>
      <c r="AK624" s="175">
        <v>18</v>
      </c>
      <c r="AL624" s="175">
        <v>3</v>
      </c>
      <c r="AM624" s="175">
        <v>0</v>
      </c>
      <c r="AN624" s="175">
        <v>0</v>
      </c>
      <c r="AO624" s="175">
        <v>30</v>
      </c>
      <c r="AP624" s="175">
        <v>9</v>
      </c>
      <c r="AQ624" s="175">
        <v>0</v>
      </c>
      <c r="AR624" s="175">
        <v>0</v>
      </c>
      <c r="AS624" s="175">
        <v>23</v>
      </c>
      <c r="AT624" s="175">
        <v>0</v>
      </c>
    </row>
    <row r="625" spans="1:46">
      <c r="A625">
        <v>10120</v>
      </c>
      <c r="B625" t="s">
        <v>4394</v>
      </c>
      <c r="C625" t="s">
        <v>4395</v>
      </c>
      <c r="E625" t="s">
        <v>4396</v>
      </c>
      <c r="F625" t="s">
        <v>855</v>
      </c>
      <c r="G625" t="s">
        <v>737</v>
      </c>
      <c r="H625" t="s">
        <v>449</v>
      </c>
      <c r="J625" t="s">
        <v>4032</v>
      </c>
      <c r="K625" t="s">
        <v>606</v>
      </c>
      <c r="M625" t="s">
        <v>607</v>
      </c>
      <c r="N625" t="s">
        <v>643</v>
      </c>
      <c r="O625" t="s">
        <v>803</v>
      </c>
      <c r="P625" t="s">
        <v>739</v>
      </c>
      <c r="Q625" t="s">
        <v>467</v>
      </c>
      <c r="R625" t="s">
        <v>724</v>
      </c>
      <c r="S625" t="s">
        <v>855</v>
      </c>
      <c r="T625" t="s">
        <v>794</v>
      </c>
      <c r="U625">
        <v>133900</v>
      </c>
      <c r="V625" t="s">
        <v>4397</v>
      </c>
      <c r="W625" t="s">
        <v>806</v>
      </c>
      <c r="X625" t="s">
        <v>4398</v>
      </c>
      <c r="Y625" t="s">
        <v>4399</v>
      </c>
      <c r="Z625" t="s">
        <v>855</v>
      </c>
      <c r="AA625" t="s">
        <v>4400</v>
      </c>
      <c r="AE625">
        <v>-36.906581600000003</v>
      </c>
      <c r="AF625">
        <v>174.6850024</v>
      </c>
      <c r="AG625" s="175">
        <v>73</v>
      </c>
      <c r="AH625" s="175">
        <v>20</v>
      </c>
      <c r="AI625" s="175">
        <v>2</v>
      </c>
      <c r="AJ625" s="175">
        <v>10</v>
      </c>
      <c r="AK625" s="175">
        <v>18</v>
      </c>
      <c r="AL625" s="175">
        <v>24</v>
      </c>
      <c r="AM625" s="175">
        <v>18</v>
      </c>
      <c r="AN625" s="175">
        <v>3</v>
      </c>
      <c r="AO625" s="175">
        <v>75</v>
      </c>
      <c r="AP625" s="175">
        <v>13</v>
      </c>
      <c r="AQ625" s="175">
        <v>2</v>
      </c>
      <c r="AR625" s="175">
        <v>15</v>
      </c>
      <c r="AS625" s="175">
        <v>47</v>
      </c>
      <c r="AT625" s="175">
        <v>10</v>
      </c>
    </row>
    <row r="626" spans="1:46">
      <c r="A626">
        <v>10123</v>
      </c>
      <c r="B626" t="s">
        <v>4401</v>
      </c>
      <c r="C626" t="s">
        <v>4402</v>
      </c>
      <c r="D626" t="s">
        <v>4403</v>
      </c>
      <c r="E626" t="s">
        <v>4404</v>
      </c>
      <c r="F626" t="s">
        <v>1120</v>
      </c>
      <c r="G626" t="s">
        <v>737</v>
      </c>
      <c r="H626" t="s">
        <v>449</v>
      </c>
      <c r="J626" t="s">
        <v>605</v>
      </c>
      <c r="K626" t="s">
        <v>606</v>
      </c>
      <c r="M626" t="s">
        <v>607</v>
      </c>
      <c r="N626" t="s">
        <v>625</v>
      </c>
      <c r="O626" t="s">
        <v>813</v>
      </c>
      <c r="P626" t="s">
        <v>739</v>
      </c>
      <c r="Q626" t="s">
        <v>467</v>
      </c>
      <c r="R626" t="s">
        <v>814</v>
      </c>
      <c r="S626" t="s">
        <v>1121</v>
      </c>
      <c r="T626" t="s">
        <v>794</v>
      </c>
      <c r="U626">
        <v>155500</v>
      </c>
      <c r="V626" t="s">
        <v>4405</v>
      </c>
      <c r="W626" t="s">
        <v>817</v>
      </c>
      <c r="X626" t="s">
        <v>4013</v>
      </c>
      <c r="Y626" t="s">
        <v>4014</v>
      </c>
      <c r="Z626" t="s">
        <v>4015</v>
      </c>
      <c r="AA626" t="s">
        <v>4016</v>
      </c>
      <c r="AB626" t="s">
        <v>4017</v>
      </c>
      <c r="AE626">
        <v>-36.985907150000003</v>
      </c>
      <c r="AF626">
        <v>174.87093332000001</v>
      </c>
      <c r="AG626" s="175">
        <v>50</v>
      </c>
      <c r="AH626" s="175">
        <v>25</v>
      </c>
      <c r="AI626" s="175">
        <v>3</v>
      </c>
      <c r="AJ626" s="175">
        <v>14</v>
      </c>
      <c r="AK626" s="175">
        <v>18</v>
      </c>
      <c r="AL626" s="175">
        <v>9</v>
      </c>
      <c r="AM626" s="175">
        <v>0</v>
      </c>
      <c r="AN626" s="175">
        <v>0</v>
      </c>
      <c r="AO626" s="175">
        <v>44</v>
      </c>
      <c r="AP626" s="175">
        <v>3</v>
      </c>
      <c r="AQ626" s="175">
        <v>4</v>
      </c>
      <c r="AR626" s="175">
        <v>13</v>
      </c>
      <c r="AS626" s="175">
        <v>30</v>
      </c>
      <c r="AT626" s="175">
        <v>2</v>
      </c>
    </row>
    <row r="627" spans="1:46">
      <c r="A627">
        <v>10125</v>
      </c>
      <c r="B627" t="s">
        <v>4406</v>
      </c>
      <c r="C627" t="s">
        <v>4407</v>
      </c>
      <c r="D627" t="s">
        <v>4408</v>
      </c>
      <c r="E627" t="s">
        <v>4409</v>
      </c>
      <c r="F627" t="s">
        <v>983</v>
      </c>
      <c r="G627" t="s">
        <v>737</v>
      </c>
      <c r="H627" t="s">
        <v>449</v>
      </c>
      <c r="J627" t="s">
        <v>4032</v>
      </c>
      <c r="K627" t="s">
        <v>606</v>
      </c>
      <c r="M627" t="s">
        <v>607</v>
      </c>
      <c r="N627" t="s">
        <v>657</v>
      </c>
      <c r="O627" t="s">
        <v>898</v>
      </c>
      <c r="P627" t="s">
        <v>739</v>
      </c>
      <c r="Q627" t="s">
        <v>467</v>
      </c>
      <c r="R627" t="s">
        <v>724</v>
      </c>
      <c r="S627" t="s">
        <v>984</v>
      </c>
      <c r="T627" t="s">
        <v>613</v>
      </c>
      <c r="U627">
        <v>125100</v>
      </c>
      <c r="V627" t="s">
        <v>4372</v>
      </c>
      <c r="W627" t="s">
        <v>900</v>
      </c>
      <c r="X627" t="s">
        <v>4165</v>
      </c>
      <c r="Y627" t="s">
        <v>4166</v>
      </c>
      <c r="Z627" t="s">
        <v>4167</v>
      </c>
      <c r="AA627" t="s">
        <v>4168</v>
      </c>
      <c r="AB627" t="s">
        <v>4169</v>
      </c>
      <c r="AE627">
        <v>-36.856549950000002</v>
      </c>
      <c r="AF627">
        <v>174.63731487999999</v>
      </c>
      <c r="AG627" s="175">
        <v>100</v>
      </c>
      <c r="AH627" s="175">
        <v>40</v>
      </c>
      <c r="AI627" s="175">
        <v>6</v>
      </c>
      <c r="AJ627" s="175">
        <v>13</v>
      </c>
      <c r="AK627" s="175">
        <v>30</v>
      </c>
      <c r="AL627" s="175">
        <v>21</v>
      </c>
      <c r="AM627" s="175">
        <v>25</v>
      </c>
      <c r="AN627" s="175">
        <v>1</v>
      </c>
      <c r="AO627" s="175">
        <v>96</v>
      </c>
      <c r="AP627" s="175">
        <v>55</v>
      </c>
      <c r="AQ627" s="175">
        <v>9</v>
      </c>
      <c r="AR627" s="175">
        <v>9</v>
      </c>
      <c r="AS627" s="175">
        <v>41</v>
      </c>
      <c r="AT627" s="175">
        <v>7</v>
      </c>
    </row>
    <row r="628" spans="1:46">
      <c r="A628">
        <v>10128</v>
      </c>
      <c r="B628" t="s">
        <v>4410</v>
      </c>
      <c r="C628" t="s">
        <v>4411</v>
      </c>
      <c r="D628" t="s">
        <v>4412</v>
      </c>
      <c r="E628" t="s">
        <v>4413</v>
      </c>
      <c r="F628" t="s">
        <v>1120</v>
      </c>
      <c r="G628" t="s">
        <v>737</v>
      </c>
      <c r="H628" t="s">
        <v>449</v>
      </c>
      <c r="I628" t="s">
        <v>4233</v>
      </c>
      <c r="J628" t="s">
        <v>605</v>
      </c>
      <c r="K628" t="s">
        <v>606</v>
      </c>
      <c r="M628" t="s">
        <v>607</v>
      </c>
      <c r="N628" t="s">
        <v>643</v>
      </c>
      <c r="O628" t="s">
        <v>813</v>
      </c>
      <c r="P628" t="s">
        <v>739</v>
      </c>
      <c r="Q628" t="s">
        <v>467</v>
      </c>
      <c r="R628" t="s">
        <v>814</v>
      </c>
      <c r="S628" t="s">
        <v>1121</v>
      </c>
      <c r="T628" t="s">
        <v>794</v>
      </c>
      <c r="U628">
        <v>154802</v>
      </c>
      <c r="V628" t="s">
        <v>4414</v>
      </c>
      <c r="W628" t="s">
        <v>817</v>
      </c>
      <c r="X628" t="s">
        <v>4415</v>
      </c>
      <c r="Y628" t="s">
        <v>4416</v>
      </c>
      <c r="Z628" t="s">
        <v>1120</v>
      </c>
      <c r="AA628" t="s">
        <v>4417</v>
      </c>
      <c r="AB628" t="s">
        <v>4411</v>
      </c>
      <c r="AE628">
        <v>-36.9860367</v>
      </c>
      <c r="AF628">
        <v>174.84837575</v>
      </c>
      <c r="AG628" s="175">
        <v>40</v>
      </c>
      <c r="AH628" s="175">
        <v>10</v>
      </c>
      <c r="AI628" s="175">
        <v>2</v>
      </c>
      <c r="AJ628" s="175">
        <v>6</v>
      </c>
      <c r="AK628" s="175">
        <v>10</v>
      </c>
      <c r="AL628" s="175">
        <v>6</v>
      </c>
      <c r="AM628" s="175">
        <v>8</v>
      </c>
      <c r="AN628" s="175">
        <v>0</v>
      </c>
      <c r="AO628" s="175">
        <v>32</v>
      </c>
      <c r="AP628" s="175">
        <v>3</v>
      </c>
      <c r="AQ628" s="175">
        <v>2</v>
      </c>
      <c r="AR628" s="175">
        <v>32</v>
      </c>
      <c r="AS628" s="175">
        <v>0</v>
      </c>
      <c r="AT628" s="175">
        <v>0</v>
      </c>
    </row>
    <row r="629" spans="1:46">
      <c r="A629">
        <v>10130</v>
      </c>
      <c r="B629" t="s">
        <v>4418</v>
      </c>
      <c r="C629" t="s">
        <v>4419</v>
      </c>
      <c r="E629" t="s">
        <v>4420</v>
      </c>
      <c r="F629" t="s">
        <v>1193</v>
      </c>
      <c r="G629" t="s">
        <v>737</v>
      </c>
      <c r="H629" t="s">
        <v>449</v>
      </c>
      <c r="I629" t="s">
        <v>4320</v>
      </c>
      <c r="J629" t="s">
        <v>605</v>
      </c>
      <c r="K629" t="s">
        <v>606</v>
      </c>
      <c r="M629" t="s">
        <v>607</v>
      </c>
      <c r="N629" t="s">
        <v>812</v>
      </c>
      <c r="O629" t="s">
        <v>914</v>
      </c>
      <c r="P629" t="s">
        <v>739</v>
      </c>
      <c r="Q629" t="s">
        <v>467</v>
      </c>
      <c r="R629" t="s">
        <v>793</v>
      </c>
      <c r="S629" t="s">
        <v>815</v>
      </c>
      <c r="T629" t="s">
        <v>794</v>
      </c>
      <c r="U629">
        <v>146301</v>
      </c>
      <c r="V629" t="s">
        <v>1194</v>
      </c>
      <c r="W629" t="s">
        <v>892</v>
      </c>
      <c r="X629" t="s">
        <v>4421</v>
      </c>
      <c r="Y629" t="s">
        <v>4422</v>
      </c>
      <c r="Z629" t="s">
        <v>964</v>
      </c>
      <c r="AA629" t="s">
        <v>4423</v>
      </c>
      <c r="AB629" t="s">
        <v>4424</v>
      </c>
      <c r="AE629">
        <v>-36.881477480000001</v>
      </c>
      <c r="AF629">
        <v>174.86245305</v>
      </c>
      <c r="AG629" s="175">
        <v>30</v>
      </c>
      <c r="AH629" s="175">
        <v>5</v>
      </c>
      <c r="AI629" s="175">
        <v>1</v>
      </c>
      <c r="AJ629" s="175">
        <v>3</v>
      </c>
      <c r="AK629" s="175">
        <v>9</v>
      </c>
      <c r="AL629" s="175">
        <v>6</v>
      </c>
      <c r="AM629" s="175">
        <v>7</v>
      </c>
      <c r="AN629" s="175">
        <v>0</v>
      </c>
      <c r="AO629" s="175">
        <v>26</v>
      </c>
      <c r="AP629" s="175">
        <v>3</v>
      </c>
      <c r="AQ629" s="175">
        <v>0</v>
      </c>
      <c r="AR629" s="175">
        <v>26</v>
      </c>
      <c r="AS629" s="175">
        <v>0</v>
      </c>
      <c r="AT629" s="175">
        <v>0</v>
      </c>
    </row>
    <row r="630" spans="1:46">
      <c r="A630">
        <v>10136</v>
      </c>
      <c r="B630" t="s">
        <v>4425</v>
      </c>
      <c r="C630" t="s">
        <v>4426</v>
      </c>
      <c r="D630" t="s">
        <v>4427</v>
      </c>
      <c r="E630" t="s">
        <v>4428</v>
      </c>
      <c r="F630" t="s">
        <v>1120</v>
      </c>
      <c r="G630" t="s">
        <v>737</v>
      </c>
      <c r="H630" t="s">
        <v>449</v>
      </c>
      <c r="J630" t="s">
        <v>4032</v>
      </c>
      <c r="K630" t="s">
        <v>606</v>
      </c>
      <c r="M630" t="s">
        <v>607</v>
      </c>
      <c r="N630" t="s">
        <v>643</v>
      </c>
      <c r="O630" t="s">
        <v>813</v>
      </c>
      <c r="P630" t="s">
        <v>739</v>
      </c>
      <c r="Q630" t="s">
        <v>467</v>
      </c>
      <c r="R630" t="s">
        <v>814</v>
      </c>
      <c r="S630" t="s">
        <v>815</v>
      </c>
      <c r="T630" t="s">
        <v>794</v>
      </c>
      <c r="U630">
        <v>154101</v>
      </c>
      <c r="V630" t="s">
        <v>4429</v>
      </c>
      <c r="W630" t="s">
        <v>817</v>
      </c>
      <c r="X630" t="s">
        <v>4430</v>
      </c>
      <c r="Y630" t="s">
        <v>4431</v>
      </c>
      <c r="Z630" t="s">
        <v>840</v>
      </c>
      <c r="AA630" t="s">
        <v>4432</v>
      </c>
      <c r="AE630">
        <v>-36.963465210000003</v>
      </c>
      <c r="AF630">
        <v>174.86269035999999</v>
      </c>
      <c r="AG630" s="175">
        <v>50</v>
      </c>
      <c r="AH630" s="175">
        <v>10</v>
      </c>
      <c r="AI630" s="175">
        <v>1</v>
      </c>
      <c r="AJ630" s="175">
        <v>7</v>
      </c>
      <c r="AK630" s="175">
        <v>7</v>
      </c>
      <c r="AL630" s="175">
        <v>18</v>
      </c>
      <c r="AM630" s="175">
        <v>11</v>
      </c>
      <c r="AN630" s="175">
        <v>1</v>
      </c>
      <c r="AO630" s="175">
        <v>45</v>
      </c>
      <c r="AP630" s="175">
        <v>7</v>
      </c>
      <c r="AQ630" s="175">
        <v>14</v>
      </c>
      <c r="AR630" s="175">
        <v>26</v>
      </c>
      <c r="AS630" s="175">
        <v>9</v>
      </c>
      <c r="AT630" s="175">
        <v>0</v>
      </c>
    </row>
    <row r="631" spans="1:46">
      <c r="A631">
        <v>10137</v>
      </c>
      <c r="B631" t="s">
        <v>4433</v>
      </c>
      <c r="C631" t="s">
        <v>4434</v>
      </c>
      <c r="D631" t="s">
        <v>4435</v>
      </c>
      <c r="E631" t="s">
        <v>4436</v>
      </c>
      <c r="F631" t="s">
        <v>4437</v>
      </c>
      <c r="G631" t="s">
        <v>737</v>
      </c>
      <c r="H631" t="s">
        <v>449</v>
      </c>
      <c r="I631" t="s">
        <v>4320</v>
      </c>
      <c r="J631" t="s">
        <v>605</v>
      </c>
      <c r="K631" t="s">
        <v>606</v>
      </c>
      <c r="M631" t="s">
        <v>607</v>
      </c>
      <c r="N631" t="s">
        <v>643</v>
      </c>
      <c r="O631" t="s">
        <v>823</v>
      </c>
      <c r="P631" t="s">
        <v>739</v>
      </c>
      <c r="Q631" t="s">
        <v>467</v>
      </c>
      <c r="R631" t="s">
        <v>724</v>
      </c>
      <c r="S631" t="s">
        <v>841</v>
      </c>
      <c r="T631" t="s">
        <v>613</v>
      </c>
      <c r="U631">
        <v>128200</v>
      </c>
      <c r="V631" t="s">
        <v>4438</v>
      </c>
      <c r="W631" t="s">
        <v>826</v>
      </c>
      <c r="X631" t="s">
        <v>4439</v>
      </c>
      <c r="Y631" t="s">
        <v>4440</v>
      </c>
      <c r="Z631" t="s">
        <v>841</v>
      </c>
      <c r="AA631" t="s">
        <v>4441</v>
      </c>
      <c r="AB631" t="s">
        <v>4434</v>
      </c>
      <c r="AE631">
        <v>-36.816220970000003</v>
      </c>
      <c r="AF631">
        <v>174.74572810000001</v>
      </c>
      <c r="AG631" s="175">
        <v>35</v>
      </c>
      <c r="AH631" s="175">
        <v>0</v>
      </c>
      <c r="AI631" s="175">
        <v>0</v>
      </c>
      <c r="AJ631" s="175">
        <v>0</v>
      </c>
      <c r="AK631" s="175">
        <v>7</v>
      </c>
      <c r="AL631" s="175">
        <v>6</v>
      </c>
      <c r="AM631" s="175">
        <v>6</v>
      </c>
      <c r="AN631" s="175">
        <v>0</v>
      </c>
      <c r="AO631" s="175">
        <v>19</v>
      </c>
      <c r="AP631" s="175">
        <v>2</v>
      </c>
      <c r="AQ631" s="175">
        <v>3</v>
      </c>
      <c r="AR631" s="175">
        <v>19</v>
      </c>
      <c r="AS631" s="175">
        <v>0</v>
      </c>
      <c r="AT631" s="175">
        <v>1</v>
      </c>
    </row>
    <row r="632" spans="1:46">
      <c r="A632">
        <v>10138</v>
      </c>
      <c r="B632" t="s">
        <v>4442</v>
      </c>
      <c r="C632" t="s">
        <v>4443</v>
      </c>
      <c r="D632" t="s">
        <v>4444</v>
      </c>
      <c r="E632" t="s">
        <v>4445</v>
      </c>
      <c r="F632" t="s">
        <v>888</v>
      </c>
      <c r="G632" t="s">
        <v>737</v>
      </c>
      <c r="H632" t="s">
        <v>449</v>
      </c>
      <c r="J632" t="s">
        <v>4032</v>
      </c>
      <c r="K632" t="s">
        <v>606</v>
      </c>
      <c r="M632" t="s">
        <v>607</v>
      </c>
      <c r="N632" t="s">
        <v>657</v>
      </c>
      <c r="O632" t="s">
        <v>889</v>
      </c>
      <c r="P632" t="s">
        <v>739</v>
      </c>
      <c r="Q632" t="s">
        <v>467</v>
      </c>
      <c r="R632" t="s">
        <v>793</v>
      </c>
      <c r="S632" t="s">
        <v>890</v>
      </c>
      <c r="T632" t="s">
        <v>794</v>
      </c>
      <c r="U632">
        <v>144800</v>
      </c>
      <c r="V632" t="s">
        <v>4446</v>
      </c>
      <c r="W632" t="s">
        <v>892</v>
      </c>
      <c r="X632" t="s">
        <v>4447</v>
      </c>
      <c r="Y632" t="s">
        <v>4448</v>
      </c>
      <c r="Z632" t="s">
        <v>4101</v>
      </c>
      <c r="AA632" t="s">
        <v>4449</v>
      </c>
      <c r="AE632">
        <v>-36.899206399999997</v>
      </c>
      <c r="AF632">
        <v>174.8123257</v>
      </c>
      <c r="AG632" s="175">
        <v>65</v>
      </c>
      <c r="AH632" s="175">
        <v>25</v>
      </c>
      <c r="AI632" s="175">
        <v>1</v>
      </c>
      <c r="AJ632" s="175">
        <v>13</v>
      </c>
      <c r="AK632" s="175">
        <v>17</v>
      </c>
      <c r="AL632" s="175">
        <v>18</v>
      </c>
      <c r="AM632" s="175">
        <v>16</v>
      </c>
      <c r="AN632" s="175">
        <v>0</v>
      </c>
      <c r="AO632" s="175">
        <v>65</v>
      </c>
      <c r="AP632" s="175">
        <v>51</v>
      </c>
      <c r="AQ632" s="175">
        <v>7</v>
      </c>
      <c r="AR632" s="175">
        <v>0</v>
      </c>
      <c r="AS632" s="175">
        <v>19</v>
      </c>
      <c r="AT632" s="175">
        <v>2</v>
      </c>
    </row>
    <row r="633" spans="1:46">
      <c r="A633">
        <v>10139</v>
      </c>
      <c r="B633" t="s">
        <v>4450</v>
      </c>
      <c r="C633" t="s">
        <v>4451</v>
      </c>
      <c r="D633" t="s">
        <v>4452</v>
      </c>
      <c r="E633" t="s">
        <v>4453</v>
      </c>
      <c r="G633" t="s">
        <v>4454</v>
      </c>
      <c r="H633" t="s">
        <v>449</v>
      </c>
      <c r="J633" t="s">
        <v>4032</v>
      </c>
      <c r="K633" t="s">
        <v>606</v>
      </c>
      <c r="M633" t="s">
        <v>607</v>
      </c>
      <c r="N633" t="s">
        <v>657</v>
      </c>
      <c r="O633" t="s">
        <v>723</v>
      </c>
      <c r="P633" t="s">
        <v>658</v>
      </c>
      <c r="Q633" t="s">
        <v>467</v>
      </c>
      <c r="R633" t="s">
        <v>724</v>
      </c>
      <c r="S633" t="s">
        <v>725</v>
      </c>
      <c r="T633" t="s">
        <v>613</v>
      </c>
      <c r="U633">
        <v>116101</v>
      </c>
      <c r="V633" t="s">
        <v>4455</v>
      </c>
      <c r="W633" t="s">
        <v>726</v>
      </c>
      <c r="X633" t="s">
        <v>4456</v>
      </c>
      <c r="Y633" t="s">
        <v>4457</v>
      </c>
      <c r="Z633" t="s">
        <v>1252</v>
      </c>
      <c r="AA633" t="s">
        <v>4458</v>
      </c>
      <c r="AB633" t="s">
        <v>4459</v>
      </c>
      <c r="AE633">
        <v>-36.780820419999998</v>
      </c>
      <c r="AF633">
        <v>174.57032889999999</v>
      </c>
      <c r="AG633" s="175">
        <v>50</v>
      </c>
      <c r="AH633" s="175">
        <v>16</v>
      </c>
      <c r="AI633" s="175">
        <v>3</v>
      </c>
      <c r="AJ633" s="175">
        <v>9</v>
      </c>
      <c r="AK633" s="175">
        <v>16</v>
      </c>
      <c r="AL633" s="175">
        <v>14</v>
      </c>
      <c r="AM633" s="175">
        <v>12</v>
      </c>
      <c r="AN633" s="175">
        <v>3</v>
      </c>
      <c r="AO633" s="175">
        <v>57</v>
      </c>
      <c r="AP633" s="175">
        <v>47</v>
      </c>
      <c r="AQ633" s="175">
        <v>9</v>
      </c>
      <c r="AR633" s="175">
        <v>3</v>
      </c>
      <c r="AS633" s="175">
        <v>4</v>
      </c>
      <c r="AT633" s="175">
        <v>7</v>
      </c>
    </row>
    <row r="634" spans="1:46">
      <c r="A634">
        <v>10141</v>
      </c>
      <c r="B634" t="s">
        <v>4460</v>
      </c>
      <c r="C634" t="s">
        <v>4461</v>
      </c>
      <c r="D634" t="s">
        <v>4462</v>
      </c>
      <c r="E634" t="s">
        <v>4463</v>
      </c>
      <c r="F634" t="s">
        <v>906</v>
      </c>
      <c r="G634" t="s">
        <v>737</v>
      </c>
      <c r="H634" t="s">
        <v>449</v>
      </c>
      <c r="J634" t="s">
        <v>605</v>
      </c>
      <c r="K634" t="s">
        <v>606</v>
      </c>
      <c r="M634" t="s">
        <v>607</v>
      </c>
      <c r="N634" t="s">
        <v>657</v>
      </c>
      <c r="O634" t="s">
        <v>889</v>
      </c>
      <c r="P634" t="s">
        <v>739</v>
      </c>
      <c r="Q634" t="s">
        <v>467</v>
      </c>
      <c r="R634" t="s">
        <v>793</v>
      </c>
      <c r="S634" t="s">
        <v>907</v>
      </c>
      <c r="T634" t="s">
        <v>794</v>
      </c>
      <c r="U634">
        <v>139400</v>
      </c>
      <c r="V634" t="s">
        <v>4464</v>
      </c>
      <c r="W634" t="s">
        <v>909</v>
      </c>
      <c r="X634" t="s">
        <v>4013</v>
      </c>
      <c r="Y634" t="s">
        <v>4014</v>
      </c>
      <c r="Z634" t="s">
        <v>4015</v>
      </c>
      <c r="AA634" t="s">
        <v>4016</v>
      </c>
      <c r="AB634" t="s">
        <v>4017</v>
      </c>
      <c r="AE634">
        <v>-36.876151620000002</v>
      </c>
      <c r="AF634">
        <v>174.7834508</v>
      </c>
      <c r="AG634" s="175">
        <v>82</v>
      </c>
      <c r="AH634" s="175">
        <v>17</v>
      </c>
      <c r="AI634" s="175">
        <v>3</v>
      </c>
      <c r="AJ634" s="175">
        <v>14</v>
      </c>
      <c r="AK634" s="175">
        <v>16</v>
      </c>
      <c r="AL634" s="175">
        <v>22</v>
      </c>
      <c r="AM634" s="175">
        <v>18</v>
      </c>
      <c r="AN634" s="175">
        <v>2</v>
      </c>
      <c r="AO634" s="175">
        <v>75</v>
      </c>
      <c r="AP634" s="175">
        <v>40</v>
      </c>
      <c r="AQ634" s="175">
        <v>3</v>
      </c>
      <c r="AR634" s="175">
        <v>1</v>
      </c>
      <c r="AS634" s="175">
        <v>36</v>
      </c>
      <c r="AT634" s="175">
        <v>9</v>
      </c>
    </row>
    <row r="635" spans="1:46">
      <c r="A635">
        <v>10142</v>
      </c>
      <c r="B635" t="s">
        <v>4465</v>
      </c>
      <c r="C635" t="s">
        <v>4466</v>
      </c>
      <c r="D635" t="s">
        <v>4467</v>
      </c>
      <c r="E635" t="s">
        <v>4468</v>
      </c>
      <c r="G635" t="s">
        <v>668</v>
      </c>
      <c r="H635" t="s">
        <v>449</v>
      </c>
      <c r="J635" t="s">
        <v>4032</v>
      </c>
      <c r="K635" t="s">
        <v>606</v>
      </c>
      <c r="M635" t="s">
        <v>607</v>
      </c>
      <c r="N635" t="s">
        <v>657</v>
      </c>
      <c r="O635" t="s">
        <v>669</v>
      </c>
      <c r="P635" t="s">
        <v>670</v>
      </c>
      <c r="Q635" t="s">
        <v>509</v>
      </c>
      <c r="R635" t="s">
        <v>611</v>
      </c>
      <c r="S635" t="s">
        <v>671</v>
      </c>
      <c r="T635" t="s">
        <v>613</v>
      </c>
      <c r="U635">
        <v>107100</v>
      </c>
      <c r="V635" t="s">
        <v>4469</v>
      </c>
      <c r="W635" t="s">
        <v>673</v>
      </c>
      <c r="X635" t="s">
        <v>4470</v>
      </c>
      <c r="Y635" t="s">
        <v>4471</v>
      </c>
      <c r="Z635" t="s">
        <v>4472</v>
      </c>
      <c r="AA635" t="s">
        <v>4473</v>
      </c>
      <c r="AB635" t="s">
        <v>4474</v>
      </c>
      <c r="AE635">
        <v>-35.722041560000001</v>
      </c>
      <c r="AF635">
        <v>174.31899605999999</v>
      </c>
      <c r="AG635" s="175">
        <v>124</v>
      </c>
      <c r="AH635" s="175">
        <v>25</v>
      </c>
      <c r="AI635" s="175">
        <v>6</v>
      </c>
      <c r="AJ635" s="175">
        <v>12</v>
      </c>
      <c r="AK635" s="175">
        <v>18</v>
      </c>
      <c r="AL635" s="175">
        <v>18</v>
      </c>
      <c r="AM635" s="175">
        <v>17</v>
      </c>
      <c r="AN635" s="175">
        <v>1</v>
      </c>
      <c r="AO635" s="175">
        <v>72</v>
      </c>
      <c r="AP635" s="175">
        <v>35</v>
      </c>
      <c r="AQ635" s="175">
        <v>29</v>
      </c>
      <c r="AR635" s="175">
        <v>5</v>
      </c>
      <c r="AS635" s="175">
        <v>29</v>
      </c>
      <c r="AT635" s="175">
        <v>2</v>
      </c>
    </row>
    <row r="636" spans="1:46">
      <c r="A636">
        <v>10143</v>
      </c>
      <c r="B636" t="s">
        <v>4475</v>
      </c>
      <c r="C636" t="s">
        <v>4476</v>
      </c>
      <c r="D636" t="s">
        <v>4477</v>
      </c>
      <c r="E636" t="s">
        <v>4478</v>
      </c>
      <c r="F636" t="s">
        <v>1231</v>
      </c>
      <c r="G636" t="s">
        <v>737</v>
      </c>
      <c r="H636" t="s">
        <v>449</v>
      </c>
      <c r="I636" t="s">
        <v>4233</v>
      </c>
      <c r="J636" t="s">
        <v>605</v>
      </c>
      <c r="K636" t="s">
        <v>606</v>
      </c>
      <c r="M636" t="s">
        <v>607</v>
      </c>
      <c r="N636" t="s">
        <v>657</v>
      </c>
      <c r="O636" t="s">
        <v>1042</v>
      </c>
      <c r="P636" t="s">
        <v>739</v>
      </c>
      <c r="Q636" t="s">
        <v>467</v>
      </c>
      <c r="R636" t="s">
        <v>793</v>
      </c>
      <c r="S636" t="s">
        <v>943</v>
      </c>
      <c r="T636" t="s">
        <v>794</v>
      </c>
      <c r="U636">
        <v>132800</v>
      </c>
      <c r="V636" t="s">
        <v>4479</v>
      </c>
      <c r="W636" t="s">
        <v>1044</v>
      </c>
      <c r="X636" t="s">
        <v>4480</v>
      </c>
      <c r="Y636" t="s">
        <v>4478</v>
      </c>
      <c r="Z636" t="s">
        <v>1231</v>
      </c>
      <c r="AA636" t="s">
        <v>4481</v>
      </c>
      <c r="AB636" t="s">
        <v>4482</v>
      </c>
      <c r="AE636">
        <v>-36.8593647</v>
      </c>
      <c r="AF636">
        <v>174.74448992999999</v>
      </c>
      <c r="AG636" s="175">
        <v>22</v>
      </c>
      <c r="AH636" s="175">
        <v>6</v>
      </c>
      <c r="AI636" s="175">
        <v>0</v>
      </c>
      <c r="AJ636" s="175">
        <v>2</v>
      </c>
      <c r="AK636" s="175">
        <v>7</v>
      </c>
      <c r="AL636" s="175">
        <v>4</v>
      </c>
      <c r="AM636" s="175">
        <v>6</v>
      </c>
      <c r="AN636" s="175">
        <v>0</v>
      </c>
      <c r="AO636" s="175">
        <v>19</v>
      </c>
      <c r="AP636" s="175">
        <v>3</v>
      </c>
      <c r="AQ636" s="175">
        <v>3</v>
      </c>
      <c r="AR636" s="175">
        <v>19</v>
      </c>
      <c r="AS636" s="175">
        <v>0</v>
      </c>
      <c r="AT636" s="175">
        <v>0</v>
      </c>
    </row>
    <row r="637" spans="1:46">
      <c r="A637">
        <v>10144</v>
      </c>
      <c r="B637" t="s">
        <v>4483</v>
      </c>
      <c r="C637" t="s">
        <v>4484</v>
      </c>
      <c r="D637" t="s">
        <v>4485</v>
      </c>
      <c r="E637" t="s">
        <v>2745</v>
      </c>
      <c r="G637" t="s">
        <v>668</v>
      </c>
      <c r="H637" t="s">
        <v>451</v>
      </c>
      <c r="I637" t="s">
        <v>4102</v>
      </c>
      <c r="J637" t="s">
        <v>605</v>
      </c>
      <c r="K637" t="s">
        <v>606</v>
      </c>
      <c r="M637" t="s">
        <v>607</v>
      </c>
      <c r="N637" t="s">
        <v>812</v>
      </c>
      <c r="O637" t="s">
        <v>669</v>
      </c>
      <c r="P637" t="s">
        <v>670</v>
      </c>
      <c r="Q637" t="s">
        <v>509</v>
      </c>
      <c r="R637" t="s">
        <v>611</v>
      </c>
      <c r="S637" t="s">
        <v>671</v>
      </c>
      <c r="T637" t="s">
        <v>613</v>
      </c>
      <c r="U637">
        <v>106902</v>
      </c>
      <c r="V637" t="s">
        <v>4486</v>
      </c>
      <c r="W637" t="s">
        <v>673</v>
      </c>
      <c r="X637" t="s">
        <v>4487</v>
      </c>
      <c r="Y637" t="s">
        <v>4488</v>
      </c>
      <c r="AA637" t="s">
        <v>4489</v>
      </c>
      <c r="AB637" t="s">
        <v>4490</v>
      </c>
      <c r="AE637">
        <v>-35.735676849999997</v>
      </c>
      <c r="AF637">
        <v>174.30269075000001</v>
      </c>
      <c r="AG637" s="175">
        <v>15</v>
      </c>
      <c r="AH637" s="175">
        <v>6</v>
      </c>
      <c r="AI637" s="175"/>
      <c r="AJ637" s="175"/>
      <c r="AK637" s="175"/>
      <c r="AL637" s="175"/>
      <c r="AM637" s="175"/>
      <c r="AN637" s="175"/>
      <c r="AO637" s="175"/>
      <c r="AP637" s="175"/>
      <c r="AQ637" s="175"/>
      <c r="AR637" s="175"/>
      <c r="AS637" s="175"/>
    </row>
    <row r="638" spans="1:46">
      <c r="A638">
        <v>10145</v>
      </c>
      <c r="B638" t="s">
        <v>4491</v>
      </c>
      <c r="C638" t="s">
        <v>4492</v>
      </c>
      <c r="D638" t="s">
        <v>4493</v>
      </c>
      <c r="E638" t="s">
        <v>4494</v>
      </c>
      <c r="F638" t="s">
        <v>4495</v>
      </c>
      <c r="G638" t="s">
        <v>737</v>
      </c>
      <c r="H638" t="s">
        <v>449</v>
      </c>
      <c r="I638" t="s">
        <v>4496</v>
      </c>
      <c r="J638" t="s">
        <v>4032</v>
      </c>
      <c r="K638" t="s">
        <v>606</v>
      </c>
      <c r="M638" t="s">
        <v>607</v>
      </c>
      <c r="N638" t="s">
        <v>657</v>
      </c>
      <c r="O638" t="s">
        <v>889</v>
      </c>
      <c r="P638" t="s">
        <v>739</v>
      </c>
      <c r="Q638" t="s">
        <v>467</v>
      </c>
      <c r="R638" t="s">
        <v>793</v>
      </c>
      <c r="S638" t="s">
        <v>965</v>
      </c>
      <c r="T638" t="s">
        <v>794</v>
      </c>
      <c r="U638">
        <v>145101</v>
      </c>
      <c r="V638" t="s">
        <v>1226</v>
      </c>
      <c r="W638" t="s">
        <v>909</v>
      </c>
      <c r="X638" t="s">
        <v>4497</v>
      </c>
      <c r="Y638" t="s">
        <v>4494</v>
      </c>
      <c r="Z638" t="s">
        <v>4495</v>
      </c>
      <c r="AA638" t="s">
        <v>4498</v>
      </c>
      <c r="AB638" t="s">
        <v>4492</v>
      </c>
      <c r="AE638">
        <v>-36.863524660000003</v>
      </c>
      <c r="AF638">
        <v>174.86447240999999</v>
      </c>
      <c r="AG638" s="175">
        <v>8</v>
      </c>
      <c r="AH638" s="175">
        <v>0</v>
      </c>
      <c r="AI638" s="175">
        <v>0</v>
      </c>
      <c r="AJ638" s="175">
        <v>0</v>
      </c>
      <c r="AK638" s="175">
        <v>2</v>
      </c>
      <c r="AL638" s="175">
        <v>7</v>
      </c>
      <c r="AM638" s="175">
        <v>10</v>
      </c>
      <c r="AN638" s="175">
        <v>1</v>
      </c>
      <c r="AO638" s="175">
        <v>20</v>
      </c>
      <c r="AP638" s="175">
        <v>11</v>
      </c>
      <c r="AQ638" s="175">
        <v>0</v>
      </c>
      <c r="AR638" s="175">
        <v>2</v>
      </c>
      <c r="AS638" s="175">
        <v>19</v>
      </c>
      <c r="AT638" s="175">
        <v>0</v>
      </c>
    </row>
    <row r="639" spans="1:46">
      <c r="A639">
        <v>10148</v>
      </c>
      <c r="B639" t="s">
        <v>4499</v>
      </c>
      <c r="C639" t="s">
        <v>4500</v>
      </c>
      <c r="D639" t="s">
        <v>4501</v>
      </c>
      <c r="E639" t="s">
        <v>4502</v>
      </c>
      <c r="F639" t="s">
        <v>618</v>
      </c>
      <c r="G639" t="s">
        <v>668</v>
      </c>
      <c r="H639" t="s">
        <v>449</v>
      </c>
      <c r="J639" t="s">
        <v>605</v>
      </c>
      <c r="K639" t="s">
        <v>606</v>
      </c>
      <c r="M639" t="s">
        <v>607</v>
      </c>
      <c r="N639" t="s">
        <v>657</v>
      </c>
      <c r="O639" t="s">
        <v>669</v>
      </c>
      <c r="P639" t="s">
        <v>670</v>
      </c>
      <c r="Q639" t="s">
        <v>509</v>
      </c>
      <c r="R639" t="s">
        <v>611</v>
      </c>
      <c r="S639" t="s">
        <v>671</v>
      </c>
      <c r="T639" t="s">
        <v>613</v>
      </c>
      <c r="U639">
        <v>105500</v>
      </c>
      <c r="V639" t="s">
        <v>4308</v>
      </c>
      <c r="W639" t="s">
        <v>673</v>
      </c>
      <c r="X639" t="s">
        <v>4503</v>
      </c>
      <c r="Y639" t="s">
        <v>4014</v>
      </c>
      <c r="Z639" t="s">
        <v>4015</v>
      </c>
      <c r="AA639" t="s">
        <v>4016</v>
      </c>
      <c r="AC639">
        <v>99182</v>
      </c>
      <c r="AD639" t="s">
        <v>674</v>
      </c>
      <c r="AE639">
        <v>-35.67484176</v>
      </c>
      <c r="AF639">
        <v>174.29756479</v>
      </c>
      <c r="AG639" s="175">
        <v>40</v>
      </c>
      <c r="AH639" s="175">
        <v>0</v>
      </c>
      <c r="AI639" s="175">
        <v>0</v>
      </c>
      <c r="AJ639" s="175">
        <v>0</v>
      </c>
      <c r="AK639" s="175">
        <v>3</v>
      </c>
      <c r="AL639" s="175">
        <v>24</v>
      </c>
      <c r="AM639" s="175">
        <v>23</v>
      </c>
      <c r="AN639" s="175">
        <v>0</v>
      </c>
      <c r="AO639" s="175">
        <v>50</v>
      </c>
      <c r="AP639" s="175">
        <v>25</v>
      </c>
      <c r="AQ639" s="175">
        <v>15</v>
      </c>
      <c r="AR639" s="175">
        <v>2</v>
      </c>
      <c r="AS639" s="175">
        <v>5</v>
      </c>
      <c r="AT639" s="175">
        <v>16</v>
      </c>
    </row>
    <row r="640" spans="1:46">
      <c r="A640">
        <v>10149</v>
      </c>
      <c r="B640" t="s">
        <v>4504</v>
      </c>
      <c r="C640" t="s">
        <v>4505</v>
      </c>
      <c r="D640" t="s">
        <v>4506</v>
      </c>
      <c r="E640" t="s">
        <v>4507</v>
      </c>
      <c r="F640" t="s">
        <v>4508</v>
      </c>
      <c r="G640" t="s">
        <v>737</v>
      </c>
      <c r="H640" t="s">
        <v>449</v>
      </c>
      <c r="J640" t="s">
        <v>605</v>
      </c>
      <c r="K640" t="s">
        <v>606</v>
      </c>
      <c r="M640" t="s">
        <v>607</v>
      </c>
      <c r="N640" t="s">
        <v>643</v>
      </c>
      <c r="O640" t="s">
        <v>914</v>
      </c>
      <c r="P640" t="s">
        <v>739</v>
      </c>
      <c r="Q640" t="s">
        <v>467</v>
      </c>
      <c r="R640" t="s">
        <v>793</v>
      </c>
      <c r="S640" t="s">
        <v>815</v>
      </c>
      <c r="T640" t="s">
        <v>794</v>
      </c>
      <c r="U640">
        <v>147100</v>
      </c>
      <c r="V640" t="s">
        <v>4509</v>
      </c>
      <c r="W640" t="s">
        <v>892</v>
      </c>
      <c r="X640" t="s">
        <v>4510</v>
      </c>
      <c r="Y640" t="s">
        <v>4511</v>
      </c>
      <c r="Z640" t="s">
        <v>4508</v>
      </c>
      <c r="AA640" t="s">
        <v>4512</v>
      </c>
      <c r="AB640" t="s">
        <v>4513</v>
      </c>
      <c r="AC640">
        <v>99189</v>
      </c>
      <c r="AD640" t="s">
        <v>4514</v>
      </c>
      <c r="AE640">
        <v>-36.903255360000003</v>
      </c>
      <c r="AF640">
        <v>174.85717701999999</v>
      </c>
      <c r="AG640" s="175">
        <v>34</v>
      </c>
      <c r="AH640" s="175">
        <v>0</v>
      </c>
      <c r="AI640" s="175">
        <v>0</v>
      </c>
      <c r="AJ640" s="175">
        <v>0</v>
      </c>
      <c r="AK640" s="175">
        <v>5</v>
      </c>
      <c r="AL640" s="175">
        <v>5</v>
      </c>
      <c r="AM640" s="175">
        <v>11</v>
      </c>
      <c r="AN640" s="175">
        <v>1</v>
      </c>
      <c r="AO640" s="175">
        <v>22</v>
      </c>
      <c r="AP640" s="175">
        <v>7</v>
      </c>
      <c r="AQ640" s="175">
        <v>5</v>
      </c>
      <c r="AR640" s="175">
        <v>5</v>
      </c>
      <c r="AS640" s="175">
        <v>8</v>
      </c>
      <c r="AT640" s="175">
        <v>0</v>
      </c>
    </row>
    <row r="641" spans="1:46">
      <c r="A641">
        <v>10150</v>
      </c>
      <c r="B641" t="s">
        <v>4515</v>
      </c>
      <c r="C641" t="s">
        <v>4516</v>
      </c>
      <c r="E641" t="s">
        <v>4517</v>
      </c>
      <c r="G641" t="s">
        <v>4518</v>
      </c>
      <c r="H641" t="s">
        <v>347</v>
      </c>
      <c r="J641" t="s">
        <v>605</v>
      </c>
      <c r="K641" t="s">
        <v>606</v>
      </c>
      <c r="L641" t="s">
        <v>4273</v>
      </c>
      <c r="M641" t="s">
        <v>607</v>
      </c>
      <c r="N641" t="s">
        <v>812</v>
      </c>
      <c r="O641" t="s">
        <v>609</v>
      </c>
      <c r="P641" t="s">
        <v>626</v>
      </c>
      <c r="Q641" t="s">
        <v>509</v>
      </c>
      <c r="R641" t="s">
        <v>611</v>
      </c>
      <c r="S641" t="s">
        <v>612</v>
      </c>
      <c r="T641" t="s">
        <v>613</v>
      </c>
      <c r="U641">
        <v>102100</v>
      </c>
      <c r="V641" t="s">
        <v>4519</v>
      </c>
      <c r="W641" t="s">
        <v>637</v>
      </c>
      <c r="X641" t="s">
        <v>4520</v>
      </c>
      <c r="Y641" t="s">
        <v>4276</v>
      </c>
      <c r="Z641" t="s">
        <v>4277</v>
      </c>
      <c r="AA641" t="s">
        <v>4278</v>
      </c>
      <c r="AB641" t="s">
        <v>4521</v>
      </c>
      <c r="AE641">
        <v>-35.399426130000002</v>
      </c>
      <c r="AF641">
        <v>173.50506196000001</v>
      </c>
      <c r="AG641" s="175">
        <v>18</v>
      </c>
      <c r="AH641" s="175">
        <v>5</v>
      </c>
      <c r="AI641" s="175">
        <v>1</v>
      </c>
      <c r="AJ641" s="175">
        <v>0</v>
      </c>
      <c r="AK641" s="175">
        <v>2</v>
      </c>
      <c r="AL641" s="175">
        <v>2</v>
      </c>
      <c r="AM641" s="175">
        <v>2</v>
      </c>
      <c r="AN641" s="175">
        <v>0</v>
      </c>
      <c r="AO641" s="175">
        <v>7</v>
      </c>
      <c r="AP641" s="175">
        <v>0</v>
      </c>
      <c r="AQ641" s="175">
        <v>7</v>
      </c>
      <c r="AR641" s="175">
        <v>0</v>
      </c>
      <c r="AS641" s="175">
        <v>0</v>
      </c>
      <c r="AT641" s="175">
        <v>0</v>
      </c>
    </row>
    <row r="642" spans="1:46">
      <c r="A642">
        <v>10152</v>
      </c>
      <c r="B642" t="s">
        <v>4522</v>
      </c>
      <c r="C642" t="s">
        <v>4523</v>
      </c>
      <c r="D642" t="s">
        <v>4524</v>
      </c>
      <c r="E642" t="s">
        <v>4525</v>
      </c>
      <c r="G642" t="s">
        <v>4526</v>
      </c>
      <c r="H642" t="s">
        <v>449</v>
      </c>
      <c r="J642" t="s">
        <v>4032</v>
      </c>
      <c r="K642" t="s">
        <v>606</v>
      </c>
      <c r="M642" t="s">
        <v>607</v>
      </c>
      <c r="N642" t="s">
        <v>657</v>
      </c>
      <c r="O642" t="s">
        <v>738</v>
      </c>
      <c r="P642" t="s">
        <v>670</v>
      </c>
      <c r="Q642" t="s">
        <v>467</v>
      </c>
      <c r="R642" t="s">
        <v>724</v>
      </c>
      <c r="S642" t="s">
        <v>753</v>
      </c>
      <c r="T642" t="s">
        <v>613</v>
      </c>
      <c r="U642">
        <v>115800</v>
      </c>
      <c r="V642" t="s">
        <v>3695</v>
      </c>
      <c r="W642" t="s">
        <v>742</v>
      </c>
      <c r="X642" t="s">
        <v>4527</v>
      </c>
      <c r="Y642" t="s">
        <v>4525</v>
      </c>
      <c r="AA642" t="s">
        <v>4528</v>
      </c>
      <c r="AB642" t="s">
        <v>4529</v>
      </c>
      <c r="AC642">
        <v>99095</v>
      </c>
      <c r="AD642" t="s">
        <v>786</v>
      </c>
      <c r="AE642">
        <v>-36.639064329999997</v>
      </c>
      <c r="AF642">
        <v>174.75912921</v>
      </c>
      <c r="AG642" s="175">
        <v>25</v>
      </c>
      <c r="AH642" s="175">
        <v>0</v>
      </c>
      <c r="AI642" s="175">
        <v>0</v>
      </c>
      <c r="AJ642" s="175">
        <v>0</v>
      </c>
      <c r="AK642" s="175">
        <v>7</v>
      </c>
      <c r="AL642" s="175">
        <v>3</v>
      </c>
      <c r="AM642" s="175">
        <v>8</v>
      </c>
      <c r="AN642" s="175">
        <v>1</v>
      </c>
      <c r="AO642" s="175">
        <v>19</v>
      </c>
      <c r="AP642" s="175">
        <v>15</v>
      </c>
      <c r="AQ642" s="175">
        <v>2</v>
      </c>
      <c r="AR642" s="175">
        <v>1</v>
      </c>
      <c r="AS642" s="175">
        <v>3</v>
      </c>
      <c r="AT642" s="175">
        <v>1</v>
      </c>
    </row>
    <row r="643" spans="1:46">
      <c r="A643">
        <v>10154</v>
      </c>
      <c r="B643" t="s">
        <v>4530</v>
      </c>
      <c r="C643" t="s">
        <v>4531</v>
      </c>
      <c r="E643" t="s">
        <v>4532</v>
      </c>
      <c r="F643" t="s">
        <v>4533</v>
      </c>
      <c r="G643" t="s">
        <v>737</v>
      </c>
      <c r="H643" t="s">
        <v>449</v>
      </c>
      <c r="J643" t="s">
        <v>4032</v>
      </c>
      <c r="K643" t="s">
        <v>606</v>
      </c>
      <c r="M643" t="s">
        <v>607</v>
      </c>
      <c r="N643" t="s">
        <v>643</v>
      </c>
      <c r="O643" t="s">
        <v>898</v>
      </c>
      <c r="P643" t="s">
        <v>739</v>
      </c>
      <c r="Q643" t="s">
        <v>467</v>
      </c>
      <c r="R643" t="s">
        <v>724</v>
      </c>
      <c r="S643" t="s">
        <v>804</v>
      </c>
      <c r="T643" t="s">
        <v>794</v>
      </c>
      <c r="U643">
        <v>128401</v>
      </c>
      <c r="V643" t="s">
        <v>1257</v>
      </c>
      <c r="W643" t="s">
        <v>900</v>
      </c>
      <c r="X643" t="s">
        <v>4534</v>
      </c>
      <c r="Y643" t="s">
        <v>4535</v>
      </c>
      <c r="Z643" t="s">
        <v>4533</v>
      </c>
      <c r="AA643" t="s">
        <v>4034</v>
      </c>
      <c r="AB643" t="s">
        <v>4536</v>
      </c>
      <c r="AC643">
        <v>99029</v>
      </c>
      <c r="AD643" t="s">
        <v>986</v>
      </c>
      <c r="AE643">
        <v>-36.893348840000002</v>
      </c>
      <c r="AF643">
        <v>174.64472789999999</v>
      </c>
      <c r="AG643" s="175">
        <v>54</v>
      </c>
      <c r="AH643" s="175">
        <v>10</v>
      </c>
      <c r="AI643" s="175">
        <v>4</v>
      </c>
      <c r="AJ643" s="175">
        <v>4</v>
      </c>
      <c r="AK643" s="175">
        <v>10</v>
      </c>
      <c r="AL643" s="175">
        <v>16</v>
      </c>
      <c r="AM643" s="175">
        <v>16</v>
      </c>
      <c r="AN643" s="175">
        <v>1</v>
      </c>
      <c r="AO643" s="175">
        <v>51</v>
      </c>
      <c r="AP643" s="175">
        <v>18</v>
      </c>
      <c r="AQ643" s="175">
        <v>15</v>
      </c>
      <c r="AR643" s="175">
        <v>14</v>
      </c>
      <c r="AS643" s="175">
        <v>22</v>
      </c>
      <c r="AT643" s="175">
        <v>3</v>
      </c>
    </row>
    <row r="644" spans="1:46">
      <c r="A644">
        <v>10157</v>
      </c>
      <c r="B644" t="s">
        <v>4537</v>
      </c>
      <c r="C644" t="s">
        <v>4538</v>
      </c>
      <c r="D644" t="s">
        <v>4539</v>
      </c>
      <c r="E644" t="s">
        <v>4540</v>
      </c>
      <c r="F644" t="s">
        <v>983</v>
      </c>
      <c r="G644" t="s">
        <v>737</v>
      </c>
      <c r="H644" t="s">
        <v>449</v>
      </c>
      <c r="J644" t="s">
        <v>4032</v>
      </c>
      <c r="K644" t="s">
        <v>606</v>
      </c>
      <c r="M644" t="s">
        <v>607</v>
      </c>
      <c r="N644" t="s">
        <v>643</v>
      </c>
      <c r="O644" t="s">
        <v>898</v>
      </c>
      <c r="P644" t="s">
        <v>739</v>
      </c>
      <c r="Q644" t="s">
        <v>467</v>
      </c>
      <c r="R644" t="s">
        <v>724</v>
      </c>
      <c r="S644" t="s">
        <v>984</v>
      </c>
      <c r="T644" t="s">
        <v>613</v>
      </c>
      <c r="U644">
        <v>124900</v>
      </c>
      <c r="V644" t="s">
        <v>1205</v>
      </c>
      <c r="W644" t="s">
        <v>900</v>
      </c>
      <c r="X644" t="s">
        <v>4541</v>
      </c>
      <c r="Y644" t="s">
        <v>4542</v>
      </c>
      <c r="Z644" t="s">
        <v>4543</v>
      </c>
      <c r="AA644" t="s">
        <v>4544</v>
      </c>
      <c r="AB644" t="s">
        <v>4545</v>
      </c>
      <c r="AE644">
        <v>-36.861172699999997</v>
      </c>
      <c r="AF644">
        <v>174.62922990000001</v>
      </c>
      <c r="AG644" s="175">
        <v>87</v>
      </c>
      <c r="AH644" s="175">
        <v>24</v>
      </c>
      <c r="AI644" s="175">
        <v>2</v>
      </c>
      <c r="AJ644" s="175">
        <v>19</v>
      </c>
      <c r="AK644" s="175">
        <v>22</v>
      </c>
      <c r="AL644" s="175">
        <v>16</v>
      </c>
      <c r="AM644" s="175">
        <v>27</v>
      </c>
      <c r="AN644" s="175">
        <v>1</v>
      </c>
      <c r="AO644" s="175">
        <v>87</v>
      </c>
      <c r="AP644" s="175">
        <v>28</v>
      </c>
      <c r="AQ644" s="175">
        <v>12</v>
      </c>
      <c r="AR644" s="175">
        <v>18</v>
      </c>
      <c r="AS644" s="175">
        <v>41</v>
      </c>
      <c r="AT644" s="175">
        <v>7</v>
      </c>
    </row>
    <row r="645" spans="1:46">
      <c r="A645">
        <v>10159</v>
      </c>
      <c r="B645" t="s">
        <v>4546</v>
      </c>
      <c r="C645" t="s">
        <v>4547</v>
      </c>
      <c r="D645" t="s">
        <v>4548</v>
      </c>
      <c r="E645" t="s">
        <v>4549</v>
      </c>
      <c r="F645" t="s">
        <v>791</v>
      </c>
      <c r="G645" t="s">
        <v>737</v>
      </c>
      <c r="H645" t="s">
        <v>449</v>
      </c>
      <c r="J645" t="s">
        <v>4032</v>
      </c>
      <c r="K645" t="s">
        <v>606</v>
      </c>
      <c r="M645" t="s">
        <v>607</v>
      </c>
      <c r="N645" t="s">
        <v>657</v>
      </c>
      <c r="O645" t="s">
        <v>792</v>
      </c>
      <c r="P645" t="s">
        <v>739</v>
      </c>
      <c r="Q645" t="s">
        <v>467</v>
      </c>
      <c r="R645" t="s">
        <v>793</v>
      </c>
      <c r="S645" t="s">
        <v>791</v>
      </c>
      <c r="T645" t="s">
        <v>794</v>
      </c>
      <c r="U645">
        <v>150700</v>
      </c>
      <c r="V645" t="s">
        <v>882</v>
      </c>
      <c r="W645" t="s">
        <v>796</v>
      </c>
      <c r="X645" t="s">
        <v>4550</v>
      </c>
      <c r="Y645" t="s">
        <v>4549</v>
      </c>
      <c r="Z645" t="s">
        <v>791</v>
      </c>
      <c r="AA645" t="s">
        <v>4551</v>
      </c>
      <c r="AC645">
        <v>99149</v>
      </c>
      <c r="AD645" t="s">
        <v>883</v>
      </c>
      <c r="AE645">
        <v>-36.907521510000002</v>
      </c>
      <c r="AF645">
        <v>174.89697616000001</v>
      </c>
      <c r="AG645" s="175">
        <v>35</v>
      </c>
      <c r="AH645" s="175">
        <v>10</v>
      </c>
      <c r="AI645" s="175">
        <v>1</v>
      </c>
      <c r="AJ645" s="175">
        <v>8</v>
      </c>
      <c r="AK645" s="175">
        <v>13</v>
      </c>
      <c r="AL645" s="175">
        <v>9</v>
      </c>
      <c r="AM645" s="175">
        <v>7</v>
      </c>
      <c r="AN645" s="175">
        <v>0</v>
      </c>
      <c r="AO645" s="175">
        <v>38</v>
      </c>
      <c r="AP645" s="175">
        <v>34</v>
      </c>
      <c r="AQ645" s="175">
        <v>7</v>
      </c>
      <c r="AR645" s="175">
        <v>0</v>
      </c>
      <c r="AS645" s="175">
        <v>4</v>
      </c>
      <c r="AT645" s="175">
        <v>2</v>
      </c>
    </row>
    <row r="646" spans="1:46">
      <c r="A646">
        <v>10164</v>
      </c>
      <c r="B646" t="s">
        <v>4552</v>
      </c>
      <c r="C646" t="s">
        <v>4553</v>
      </c>
      <c r="D646" t="s">
        <v>4554</v>
      </c>
      <c r="E646" t="s">
        <v>4555</v>
      </c>
      <c r="F646" t="s">
        <v>1049</v>
      </c>
      <c r="G646" t="s">
        <v>737</v>
      </c>
      <c r="H646" t="s">
        <v>449</v>
      </c>
      <c r="J646" t="s">
        <v>4032</v>
      </c>
      <c r="K646" t="s">
        <v>606</v>
      </c>
      <c r="M646" t="s">
        <v>607</v>
      </c>
      <c r="N646" t="s">
        <v>657</v>
      </c>
      <c r="O646" t="s">
        <v>997</v>
      </c>
      <c r="P646" t="s">
        <v>739</v>
      </c>
      <c r="Q646" t="s">
        <v>467</v>
      </c>
      <c r="R646" t="s">
        <v>793</v>
      </c>
      <c r="S646" t="s">
        <v>998</v>
      </c>
      <c r="T646" t="s">
        <v>794</v>
      </c>
      <c r="U646">
        <v>139601</v>
      </c>
      <c r="V646" t="s">
        <v>4556</v>
      </c>
      <c r="W646" t="s">
        <v>945</v>
      </c>
      <c r="X646" t="s">
        <v>4557</v>
      </c>
      <c r="Y646" t="s">
        <v>4558</v>
      </c>
      <c r="Z646" t="s">
        <v>906</v>
      </c>
      <c r="AA646" t="s">
        <v>4138</v>
      </c>
      <c r="AB646" t="s">
        <v>4553</v>
      </c>
      <c r="AE646">
        <v>-36.922180449999999</v>
      </c>
      <c r="AF646">
        <v>174.71358873</v>
      </c>
      <c r="AG646" s="175">
        <v>54</v>
      </c>
      <c r="AH646" s="175">
        <v>12</v>
      </c>
      <c r="AI646" s="175">
        <v>2</v>
      </c>
      <c r="AJ646" s="175">
        <v>8</v>
      </c>
      <c r="AK646" s="175">
        <v>7</v>
      </c>
      <c r="AL646" s="175">
        <v>13</v>
      </c>
      <c r="AM646" s="175">
        <v>17</v>
      </c>
      <c r="AN646" s="175">
        <v>0</v>
      </c>
      <c r="AO646" s="175">
        <v>47</v>
      </c>
      <c r="AP646" s="175">
        <v>2</v>
      </c>
      <c r="AQ646" s="175">
        <v>0</v>
      </c>
      <c r="AR646" s="175">
        <v>1</v>
      </c>
      <c r="AS646" s="175">
        <v>43</v>
      </c>
      <c r="AT646" s="175">
        <v>1</v>
      </c>
    </row>
    <row r="647" spans="1:46">
      <c r="A647">
        <v>10165</v>
      </c>
      <c r="B647" t="s">
        <v>4559</v>
      </c>
      <c r="C647" t="s">
        <v>4560</v>
      </c>
      <c r="E647" t="s">
        <v>4561</v>
      </c>
      <c r="F647" t="s">
        <v>811</v>
      </c>
      <c r="G647" t="s">
        <v>737</v>
      </c>
      <c r="H647" t="s">
        <v>449</v>
      </c>
      <c r="I647" t="s">
        <v>4289</v>
      </c>
      <c r="J647" t="s">
        <v>605</v>
      </c>
      <c r="K647" t="s">
        <v>606</v>
      </c>
      <c r="M647" t="s">
        <v>607</v>
      </c>
      <c r="N647" t="s">
        <v>812</v>
      </c>
      <c r="O647" t="s">
        <v>813</v>
      </c>
      <c r="P647" t="s">
        <v>739</v>
      </c>
      <c r="Q647" t="s">
        <v>467</v>
      </c>
      <c r="R647" t="s">
        <v>814</v>
      </c>
      <c r="S647" t="s">
        <v>863</v>
      </c>
      <c r="T647" t="s">
        <v>794</v>
      </c>
      <c r="U647">
        <v>157701</v>
      </c>
      <c r="V647" t="s">
        <v>4562</v>
      </c>
      <c r="W647" t="s">
        <v>817</v>
      </c>
      <c r="X647" t="s">
        <v>4563</v>
      </c>
      <c r="Y647" t="s">
        <v>4564</v>
      </c>
      <c r="Z647" t="s">
        <v>811</v>
      </c>
      <c r="AA647" t="s">
        <v>4565</v>
      </c>
      <c r="AE647">
        <v>-36.978924280000001</v>
      </c>
      <c r="AF647">
        <v>174.88640766</v>
      </c>
      <c r="AG647" s="175">
        <v>30</v>
      </c>
      <c r="AH647" s="175">
        <v>5</v>
      </c>
      <c r="AI647" s="175">
        <v>0</v>
      </c>
      <c r="AJ647" s="175">
        <v>5</v>
      </c>
      <c r="AK647" s="175">
        <v>4</v>
      </c>
      <c r="AL647" s="175">
        <v>5</v>
      </c>
      <c r="AM647" s="175">
        <v>9</v>
      </c>
      <c r="AN647" s="175">
        <v>0</v>
      </c>
      <c r="AO647" s="175">
        <v>23</v>
      </c>
      <c r="AP647" s="175">
        <v>1</v>
      </c>
      <c r="AQ647" s="175">
        <v>5</v>
      </c>
      <c r="AR647" s="175">
        <v>23</v>
      </c>
      <c r="AS647" s="175">
        <v>0</v>
      </c>
      <c r="AT647" s="175">
        <v>1</v>
      </c>
    </row>
    <row r="648" spans="1:46">
      <c r="A648">
        <v>10168</v>
      </c>
      <c r="B648" t="s">
        <v>4566</v>
      </c>
      <c r="C648" t="s">
        <v>4567</v>
      </c>
      <c r="E648" t="s">
        <v>4568</v>
      </c>
      <c r="F648" t="s">
        <v>907</v>
      </c>
      <c r="G648" t="s">
        <v>737</v>
      </c>
      <c r="H648" t="s">
        <v>449</v>
      </c>
      <c r="J648" t="s">
        <v>4032</v>
      </c>
      <c r="K648" t="s">
        <v>606</v>
      </c>
      <c r="M648" t="s">
        <v>607</v>
      </c>
      <c r="N648" t="s">
        <v>657</v>
      </c>
      <c r="O648" t="s">
        <v>942</v>
      </c>
      <c r="P648" t="s">
        <v>739</v>
      </c>
      <c r="Q648" t="s">
        <v>467</v>
      </c>
      <c r="R648" t="s">
        <v>793</v>
      </c>
      <c r="S648" t="s">
        <v>907</v>
      </c>
      <c r="T648" t="s">
        <v>794</v>
      </c>
      <c r="U648">
        <v>140300</v>
      </c>
      <c r="V648" t="s">
        <v>4569</v>
      </c>
      <c r="W648" t="s">
        <v>945</v>
      </c>
      <c r="X648" t="s">
        <v>4570</v>
      </c>
      <c r="Y648" t="s">
        <v>4568</v>
      </c>
      <c r="Z648" t="s">
        <v>907</v>
      </c>
      <c r="AA648" t="s">
        <v>4449</v>
      </c>
      <c r="AB648" t="s">
        <v>4571</v>
      </c>
      <c r="AE648">
        <v>-36.88556191</v>
      </c>
      <c r="AF648">
        <v>174.77763143999999</v>
      </c>
      <c r="AG648" s="175">
        <v>26</v>
      </c>
      <c r="AH648" s="175">
        <v>10</v>
      </c>
      <c r="AI648" s="175">
        <v>0</v>
      </c>
      <c r="AJ648" s="175">
        <v>3</v>
      </c>
      <c r="AK648" s="175">
        <v>12</v>
      </c>
      <c r="AL648" s="175">
        <v>6</v>
      </c>
      <c r="AM648" s="175">
        <v>11</v>
      </c>
      <c r="AN648" s="175">
        <v>0</v>
      </c>
      <c r="AO648" s="175">
        <v>32</v>
      </c>
      <c r="AP648" s="175">
        <v>19</v>
      </c>
      <c r="AQ648" s="175">
        <v>0</v>
      </c>
      <c r="AR648" s="175">
        <v>2</v>
      </c>
      <c r="AS648" s="175">
        <v>15</v>
      </c>
      <c r="AT648" s="175">
        <v>3</v>
      </c>
    </row>
    <row r="649" spans="1:46">
      <c r="A649">
        <v>10169</v>
      </c>
      <c r="B649" t="s">
        <v>4572</v>
      </c>
      <c r="C649" t="s">
        <v>4573</v>
      </c>
      <c r="D649" t="s">
        <v>4574</v>
      </c>
      <c r="E649" t="s">
        <v>4575</v>
      </c>
      <c r="G649" t="s">
        <v>4576</v>
      </c>
      <c r="H649" t="s">
        <v>449</v>
      </c>
      <c r="J649" t="s">
        <v>4032</v>
      </c>
      <c r="K649" t="s">
        <v>606</v>
      </c>
      <c r="M649" t="s">
        <v>607</v>
      </c>
      <c r="N649" t="s">
        <v>657</v>
      </c>
      <c r="O649" t="s">
        <v>723</v>
      </c>
      <c r="P649" t="s">
        <v>670</v>
      </c>
      <c r="Q649" t="s">
        <v>467</v>
      </c>
      <c r="R649" t="s">
        <v>724</v>
      </c>
      <c r="S649" t="s">
        <v>725</v>
      </c>
      <c r="T649" t="s">
        <v>613</v>
      </c>
      <c r="U649">
        <v>113401</v>
      </c>
      <c r="V649" t="s">
        <v>4577</v>
      </c>
      <c r="W649" t="s">
        <v>726</v>
      </c>
      <c r="X649" t="s">
        <v>4578</v>
      </c>
      <c r="Y649" t="s">
        <v>4579</v>
      </c>
      <c r="AA649" t="s">
        <v>4580</v>
      </c>
      <c r="AB649" t="s">
        <v>4581</v>
      </c>
      <c r="AC649">
        <v>99069</v>
      </c>
      <c r="AD649" t="s">
        <v>755</v>
      </c>
      <c r="AE649">
        <v>-36.599720060000003</v>
      </c>
      <c r="AF649">
        <v>174.6522788</v>
      </c>
      <c r="AG649" s="175">
        <v>50</v>
      </c>
      <c r="AH649" s="175">
        <v>12</v>
      </c>
      <c r="AI649" s="175">
        <v>2</v>
      </c>
      <c r="AJ649" s="175">
        <v>8</v>
      </c>
      <c r="AK649" s="175">
        <v>21</v>
      </c>
      <c r="AL649" s="175">
        <v>15</v>
      </c>
      <c r="AM649" s="175">
        <v>12</v>
      </c>
      <c r="AN649" s="175">
        <v>0</v>
      </c>
      <c r="AO649" s="175">
        <v>58</v>
      </c>
      <c r="AP649" s="175">
        <v>55</v>
      </c>
      <c r="AQ649" s="175">
        <v>6</v>
      </c>
      <c r="AR649" s="175">
        <v>1</v>
      </c>
      <c r="AS649" s="175">
        <v>2</v>
      </c>
      <c r="AT649" s="175">
        <v>2</v>
      </c>
    </row>
    <row r="650" spans="1:46">
      <c r="A650">
        <v>10170</v>
      </c>
      <c r="B650" t="s">
        <v>4582</v>
      </c>
      <c r="C650" t="s">
        <v>4583</v>
      </c>
      <c r="D650" t="s">
        <v>4584</v>
      </c>
      <c r="E650" t="s">
        <v>4585</v>
      </c>
      <c r="F650" t="s">
        <v>4060</v>
      </c>
      <c r="G650" t="s">
        <v>737</v>
      </c>
      <c r="H650" t="s">
        <v>449</v>
      </c>
      <c r="I650" t="s">
        <v>4233</v>
      </c>
      <c r="J650" t="s">
        <v>605</v>
      </c>
      <c r="K650" t="s">
        <v>606</v>
      </c>
      <c r="M650" t="s">
        <v>607</v>
      </c>
      <c r="N650" t="s">
        <v>4586</v>
      </c>
      <c r="O650" t="s">
        <v>792</v>
      </c>
      <c r="P650" t="s">
        <v>739</v>
      </c>
      <c r="Q650" t="s">
        <v>467</v>
      </c>
      <c r="R650" t="s">
        <v>814</v>
      </c>
      <c r="S650" t="s">
        <v>863</v>
      </c>
      <c r="T650" t="s">
        <v>794</v>
      </c>
      <c r="U650">
        <v>152300</v>
      </c>
      <c r="V650" t="s">
        <v>4060</v>
      </c>
      <c r="W650" t="s">
        <v>796</v>
      </c>
      <c r="X650" t="s">
        <v>4587</v>
      </c>
      <c r="Y650" t="s">
        <v>4588</v>
      </c>
      <c r="Z650" t="s">
        <v>4589</v>
      </c>
      <c r="AA650" t="s">
        <v>4590</v>
      </c>
      <c r="AB650" t="s">
        <v>4591</v>
      </c>
      <c r="AE650">
        <v>-36.947258419999997</v>
      </c>
      <c r="AF650">
        <v>174.8869703</v>
      </c>
      <c r="AG650" s="175">
        <v>25</v>
      </c>
      <c r="AH650" s="175">
        <v>10</v>
      </c>
      <c r="AI650" s="175">
        <v>1</v>
      </c>
      <c r="AJ650" s="175">
        <v>2</v>
      </c>
      <c r="AK650" s="175">
        <v>4</v>
      </c>
      <c r="AL650" s="175">
        <v>3</v>
      </c>
      <c r="AM650" s="175">
        <v>5</v>
      </c>
      <c r="AN650" s="175">
        <v>1</v>
      </c>
      <c r="AO650" s="175">
        <v>16</v>
      </c>
      <c r="AP650" s="175">
        <v>0</v>
      </c>
      <c r="AQ650" s="175">
        <v>0</v>
      </c>
      <c r="AR650" s="175">
        <v>16</v>
      </c>
      <c r="AS650" s="175">
        <v>0</v>
      </c>
      <c r="AT650" s="175">
        <v>0</v>
      </c>
    </row>
    <row r="651" spans="1:46">
      <c r="A651">
        <v>10171</v>
      </c>
      <c r="B651" t="s">
        <v>4592</v>
      </c>
      <c r="C651" t="s">
        <v>4593</v>
      </c>
      <c r="D651" t="s">
        <v>4594</v>
      </c>
      <c r="E651" t="s">
        <v>4595</v>
      </c>
      <c r="G651" t="s">
        <v>3811</v>
      </c>
      <c r="H651" t="s">
        <v>449</v>
      </c>
      <c r="J651" t="s">
        <v>4032</v>
      </c>
      <c r="K651" t="s">
        <v>606</v>
      </c>
      <c r="M651" t="s">
        <v>607</v>
      </c>
      <c r="N651" t="s">
        <v>643</v>
      </c>
      <c r="O651" t="s">
        <v>669</v>
      </c>
      <c r="P651" t="s">
        <v>610</v>
      </c>
      <c r="Q651" t="s">
        <v>509</v>
      </c>
      <c r="R651" t="s">
        <v>611</v>
      </c>
      <c r="S651" t="s">
        <v>671</v>
      </c>
      <c r="T651" t="s">
        <v>613</v>
      </c>
      <c r="U651">
        <v>108800</v>
      </c>
      <c r="V651" t="s">
        <v>3812</v>
      </c>
      <c r="W651" t="s">
        <v>704</v>
      </c>
      <c r="X651" t="s">
        <v>4470</v>
      </c>
      <c r="Y651" t="s">
        <v>4471</v>
      </c>
      <c r="Z651" t="s">
        <v>4472</v>
      </c>
      <c r="AA651" t="s">
        <v>4596</v>
      </c>
      <c r="AB651" t="s">
        <v>4474</v>
      </c>
      <c r="AC651">
        <v>99184</v>
      </c>
      <c r="AD651" t="s">
        <v>3813</v>
      </c>
      <c r="AE651">
        <v>-35.874959259999997</v>
      </c>
      <c r="AF651">
        <v>174.45651581000001</v>
      </c>
      <c r="AG651" s="175">
        <v>83</v>
      </c>
      <c r="AH651" s="175">
        <v>25</v>
      </c>
      <c r="AI651" s="175">
        <v>2</v>
      </c>
      <c r="AJ651" s="175">
        <v>6</v>
      </c>
      <c r="AK651" s="175">
        <v>8</v>
      </c>
      <c r="AL651" s="175">
        <v>14</v>
      </c>
      <c r="AM651" s="175">
        <v>10</v>
      </c>
      <c r="AN651" s="175">
        <v>4</v>
      </c>
      <c r="AO651" s="175">
        <v>44</v>
      </c>
      <c r="AP651" s="175">
        <v>35</v>
      </c>
      <c r="AQ651" s="175">
        <v>20</v>
      </c>
      <c r="AR651" s="175">
        <v>1</v>
      </c>
      <c r="AS651" s="175">
        <v>3</v>
      </c>
      <c r="AT651" s="175">
        <v>1</v>
      </c>
    </row>
    <row r="652" spans="1:46">
      <c r="A652">
        <v>10172</v>
      </c>
      <c r="B652" t="s">
        <v>4597</v>
      </c>
      <c r="C652" t="s">
        <v>4598</v>
      </c>
      <c r="D652" t="s">
        <v>4599</v>
      </c>
      <c r="E652" t="s">
        <v>4600</v>
      </c>
      <c r="F652" t="s">
        <v>983</v>
      </c>
      <c r="G652" t="s">
        <v>737</v>
      </c>
      <c r="H652" t="s">
        <v>449</v>
      </c>
      <c r="J652" t="s">
        <v>4032</v>
      </c>
      <c r="K652" t="s">
        <v>606</v>
      </c>
      <c r="M652" t="s">
        <v>607</v>
      </c>
      <c r="N652" t="s">
        <v>657</v>
      </c>
      <c r="O652" t="s">
        <v>958</v>
      </c>
      <c r="P652" t="s">
        <v>658</v>
      </c>
      <c r="Q652" t="s">
        <v>467</v>
      </c>
      <c r="R652" t="s">
        <v>724</v>
      </c>
      <c r="S652" t="s">
        <v>855</v>
      </c>
      <c r="T652" t="s">
        <v>794</v>
      </c>
      <c r="U652">
        <v>124700</v>
      </c>
      <c r="V652" t="s">
        <v>4601</v>
      </c>
      <c r="W652" t="s">
        <v>900</v>
      </c>
      <c r="X652" t="s">
        <v>4602</v>
      </c>
      <c r="Y652" t="s">
        <v>4603</v>
      </c>
      <c r="Z652" t="s">
        <v>907</v>
      </c>
      <c r="AA652" t="s">
        <v>4604</v>
      </c>
      <c r="AB652" t="s">
        <v>4598</v>
      </c>
      <c r="AE652">
        <v>-36.896919769999997</v>
      </c>
      <c r="AF652">
        <v>174.60145279</v>
      </c>
      <c r="AG652" s="175">
        <v>50</v>
      </c>
      <c r="AH652" s="175">
        <v>0</v>
      </c>
      <c r="AI652" s="175">
        <v>0</v>
      </c>
      <c r="AJ652" s="175">
        <v>0</v>
      </c>
      <c r="AK652" s="175">
        <v>9</v>
      </c>
      <c r="AL652" s="175">
        <v>21</v>
      </c>
      <c r="AM652" s="175">
        <v>22</v>
      </c>
      <c r="AN652" s="175">
        <v>0</v>
      </c>
      <c r="AO652" s="175">
        <v>52</v>
      </c>
      <c r="AP652" s="175">
        <v>39</v>
      </c>
      <c r="AQ652" s="175">
        <v>13</v>
      </c>
      <c r="AR652" s="175">
        <v>10</v>
      </c>
      <c r="AS652" s="175">
        <v>12</v>
      </c>
      <c r="AT652" s="175">
        <v>3</v>
      </c>
    </row>
    <row r="653" spans="1:46">
      <c r="A653">
        <v>10174</v>
      </c>
      <c r="B653" t="s">
        <v>4605</v>
      </c>
      <c r="C653" t="s">
        <v>4606</v>
      </c>
      <c r="D653" t="s">
        <v>4607</v>
      </c>
      <c r="E653" t="s">
        <v>4608</v>
      </c>
      <c r="G653" t="s">
        <v>3882</v>
      </c>
      <c r="H653" t="s">
        <v>449</v>
      </c>
      <c r="J653" t="s">
        <v>4032</v>
      </c>
      <c r="K653" t="s">
        <v>606</v>
      </c>
      <c r="M653" t="s">
        <v>607</v>
      </c>
      <c r="N653" t="s">
        <v>625</v>
      </c>
      <c r="O653" t="s">
        <v>1435</v>
      </c>
      <c r="P653" t="s">
        <v>610</v>
      </c>
      <c r="Q653" t="s">
        <v>510</v>
      </c>
      <c r="R653" t="s">
        <v>814</v>
      </c>
      <c r="S653" t="s">
        <v>1331</v>
      </c>
      <c r="T653" t="s">
        <v>1320</v>
      </c>
      <c r="U653">
        <v>170001</v>
      </c>
      <c r="V653" t="s">
        <v>4609</v>
      </c>
      <c r="W653" t="s">
        <v>3884</v>
      </c>
      <c r="X653" t="s">
        <v>4610</v>
      </c>
      <c r="Y653" t="s">
        <v>4608</v>
      </c>
      <c r="AA653" t="s">
        <v>4611</v>
      </c>
      <c r="AB653" t="s">
        <v>4606</v>
      </c>
      <c r="AE653">
        <v>-37.259407160000002</v>
      </c>
      <c r="AF653">
        <v>174.94693948</v>
      </c>
      <c r="AG653" s="175">
        <v>48</v>
      </c>
      <c r="AH653" s="175">
        <v>10</v>
      </c>
      <c r="AI653" s="175">
        <v>2</v>
      </c>
      <c r="AJ653" s="175">
        <v>10</v>
      </c>
      <c r="AK653" s="175">
        <v>9</v>
      </c>
      <c r="AL653" s="175">
        <v>12</v>
      </c>
      <c r="AM653" s="175">
        <v>11</v>
      </c>
      <c r="AN653" s="175">
        <v>2</v>
      </c>
      <c r="AO653" s="175">
        <v>46</v>
      </c>
      <c r="AP653" s="175">
        <v>38</v>
      </c>
      <c r="AQ653" s="175">
        <v>15</v>
      </c>
      <c r="AR653" s="175">
        <v>5</v>
      </c>
      <c r="AS653" s="175">
        <v>3</v>
      </c>
      <c r="AT653" s="175">
        <v>2</v>
      </c>
    </row>
    <row r="654" spans="1:46">
      <c r="A654">
        <v>10175</v>
      </c>
      <c r="B654" t="s">
        <v>4612</v>
      </c>
      <c r="C654" t="s">
        <v>4613</v>
      </c>
      <c r="E654" t="s">
        <v>4614</v>
      </c>
      <c r="F654" t="s">
        <v>811</v>
      </c>
      <c r="G654" t="s">
        <v>737</v>
      </c>
      <c r="H654" t="s">
        <v>347</v>
      </c>
      <c r="J654" t="s">
        <v>605</v>
      </c>
      <c r="K654" t="s">
        <v>606</v>
      </c>
      <c r="L654" t="s">
        <v>4273</v>
      </c>
      <c r="M654" t="s">
        <v>607</v>
      </c>
      <c r="N654" t="s">
        <v>812</v>
      </c>
      <c r="O654" t="s">
        <v>813</v>
      </c>
      <c r="P654" t="s">
        <v>739</v>
      </c>
      <c r="Q654" t="s">
        <v>467</v>
      </c>
      <c r="R654" t="s">
        <v>814</v>
      </c>
      <c r="S654" t="s">
        <v>815</v>
      </c>
      <c r="T654" t="s">
        <v>794</v>
      </c>
      <c r="U654">
        <v>155100</v>
      </c>
      <c r="V654" t="s">
        <v>1075</v>
      </c>
      <c r="W654" t="s">
        <v>817</v>
      </c>
      <c r="X654" t="s">
        <v>4275</v>
      </c>
      <c r="Y654" t="s">
        <v>4276</v>
      </c>
      <c r="Z654" t="s">
        <v>4277</v>
      </c>
      <c r="AA654" t="s">
        <v>4278</v>
      </c>
      <c r="AE654">
        <v>-36.952956409999999</v>
      </c>
      <c r="AF654">
        <v>174.88687604</v>
      </c>
      <c r="AG654" s="175">
        <v>25</v>
      </c>
      <c r="AH654" s="175">
        <v>9</v>
      </c>
      <c r="AI654" s="175">
        <v>0</v>
      </c>
      <c r="AJ654" s="175">
        <v>2</v>
      </c>
      <c r="AK654" s="175">
        <v>8</v>
      </c>
      <c r="AL654" s="175">
        <v>3</v>
      </c>
      <c r="AM654" s="175">
        <v>1</v>
      </c>
      <c r="AN654" s="175">
        <v>0</v>
      </c>
      <c r="AO654" s="175">
        <v>14</v>
      </c>
      <c r="AP654" s="175">
        <v>0</v>
      </c>
      <c r="AQ654" s="175">
        <v>14</v>
      </c>
      <c r="AR654" s="175">
        <v>0</v>
      </c>
      <c r="AS654" s="175">
        <v>0</v>
      </c>
      <c r="AT654" s="175">
        <v>0</v>
      </c>
    </row>
    <row r="655" spans="1:46">
      <c r="A655">
        <v>10176</v>
      </c>
      <c r="B655" t="s">
        <v>4615</v>
      </c>
      <c r="C655" t="s">
        <v>4616</v>
      </c>
      <c r="D655" t="s">
        <v>4617</v>
      </c>
      <c r="E655" t="s">
        <v>4618</v>
      </c>
      <c r="F655" t="s">
        <v>983</v>
      </c>
      <c r="G655" t="s">
        <v>1152</v>
      </c>
      <c r="H655" t="s">
        <v>449</v>
      </c>
      <c r="J655" t="s">
        <v>605</v>
      </c>
      <c r="K655" t="s">
        <v>606</v>
      </c>
      <c r="M655" t="s">
        <v>607</v>
      </c>
      <c r="N655" t="s">
        <v>643</v>
      </c>
      <c r="O655" t="s">
        <v>898</v>
      </c>
      <c r="P655" t="s">
        <v>739</v>
      </c>
      <c r="Q655" t="s">
        <v>467</v>
      </c>
      <c r="R655" t="s">
        <v>724</v>
      </c>
      <c r="S655" t="s">
        <v>804</v>
      </c>
      <c r="T655" t="s">
        <v>613</v>
      </c>
      <c r="U655">
        <v>127500</v>
      </c>
      <c r="V655" t="s">
        <v>4619</v>
      </c>
      <c r="W655" t="s">
        <v>900</v>
      </c>
      <c r="X655" t="s">
        <v>4620</v>
      </c>
      <c r="Y655" t="s">
        <v>4621</v>
      </c>
      <c r="Z655" t="s">
        <v>4622</v>
      </c>
      <c r="AA655" t="s">
        <v>4623</v>
      </c>
      <c r="AC655">
        <v>99029</v>
      </c>
      <c r="AD655" t="s">
        <v>986</v>
      </c>
      <c r="AE655">
        <v>-36.886360699999997</v>
      </c>
      <c r="AF655">
        <v>174.63259160000001</v>
      </c>
      <c r="AG655" s="175">
        <v>29</v>
      </c>
      <c r="AH655" s="175">
        <v>8</v>
      </c>
      <c r="AI655" s="175">
        <v>1</v>
      </c>
      <c r="AJ655" s="175">
        <v>6</v>
      </c>
      <c r="AK655" s="175">
        <v>7</v>
      </c>
      <c r="AL655" s="175">
        <v>4</v>
      </c>
      <c r="AM655" s="175">
        <v>6</v>
      </c>
      <c r="AN655" s="175">
        <v>0</v>
      </c>
      <c r="AO655" s="175">
        <v>24</v>
      </c>
      <c r="AP655" s="175">
        <v>4</v>
      </c>
      <c r="AQ655" s="175">
        <v>1</v>
      </c>
      <c r="AR655" s="175">
        <v>17</v>
      </c>
      <c r="AS655" s="175">
        <v>6</v>
      </c>
      <c r="AT655" s="175">
        <v>2</v>
      </c>
    </row>
    <row r="656" spans="1:46">
      <c r="A656">
        <v>10177</v>
      </c>
      <c r="B656" t="s">
        <v>4624</v>
      </c>
      <c r="C656" t="s">
        <v>4625</v>
      </c>
      <c r="D656" t="s">
        <v>4626</v>
      </c>
      <c r="E656" t="s">
        <v>4627</v>
      </c>
      <c r="F656" t="s">
        <v>791</v>
      </c>
      <c r="G656" t="s">
        <v>737</v>
      </c>
      <c r="H656" t="s">
        <v>449</v>
      </c>
      <c r="J656" t="s">
        <v>605</v>
      </c>
      <c r="K656" t="s">
        <v>606</v>
      </c>
      <c r="M656" t="s">
        <v>607</v>
      </c>
      <c r="N656" t="s">
        <v>657</v>
      </c>
      <c r="O656" t="s">
        <v>792</v>
      </c>
      <c r="P656" t="s">
        <v>739</v>
      </c>
      <c r="Q656" t="s">
        <v>467</v>
      </c>
      <c r="R656" t="s">
        <v>793</v>
      </c>
      <c r="S656" t="s">
        <v>791</v>
      </c>
      <c r="T656" t="s">
        <v>794</v>
      </c>
      <c r="U656">
        <v>149300</v>
      </c>
      <c r="V656" t="s">
        <v>4628</v>
      </c>
      <c r="W656" t="s">
        <v>796</v>
      </c>
      <c r="X656" t="s">
        <v>4629</v>
      </c>
      <c r="Y656" t="s">
        <v>4630</v>
      </c>
      <c r="Z656" t="s">
        <v>4194</v>
      </c>
      <c r="AA656" t="s">
        <v>4631</v>
      </c>
      <c r="AB656" t="s">
        <v>4625</v>
      </c>
      <c r="AC656">
        <v>99189</v>
      </c>
      <c r="AD656" t="s">
        <v>4514</v>
      </c>
      <c r="AE656">
        <v>-36.899326639999998</v>
      </c>
      <c r="AF656">
        <v>174.90020873</v>
      </c>
      <c r="AG656" s="175">
        <v>45</v>
      </c>
      <c r="AH656" s="175">
        <v>0</v>
      </c>
      <c r="AI656" s="175">
        <v>0</v>
      </c>
      <c r="AJ656" s="175">
        <v>0</v>
      </c>
      <c r="AK656" s="175">
        <v>12</v>
      </c>
      <c r="AL656" s="175">
        <v>20</v>
      </c>
      <c r="AM656" s="175">
        <v>15</v>
      </c>
      <c r="AN656" s="175">
        <v>2</v>
      </c>
      <c r="AO656" s="175">
        <v>49</v>
      </c>
      <c r="AP656" s="175">
        <v>28</v>
      </c>
      <c r="AQ656" s="175">
        <v>3</v>
      </c>
      <c r="AR656" s="175">
        <v>2</v>
      </c>
      <c r="AS656" s="175">
        <v>18</v>
      </c>
      <c r="AT656" s="175">
        <v>4</v>
      </c>
    </row>
    <row r="657" spans="1:46">
      <c r="A657">
        <v>10178</v>
      </c>
      <c r="B657" t="s">
        <v>4632</v>
      </c>
      <c r="C657" t="s">
        <v>4633</v>
      </c>
      <c r="D657" t="s">
        <v>4634</v>
      </c>
      <c r="E657" t="s">
        <v>4635</v>
      </c>
      <c r="F657" t="s">
        <v>667</v>
      </c>
      <c r="G657" t="s">
        <v>668</v>
      </c>
      <c r="H657" t="s">
        <v>449</v>
      </c>
      <c r="J657" t="s">
        <v>4032</v>
      </c>
      <c r="K657" t="s">
        <v>606</v>
      </c>
      <c r="M657" t="s">
        <v>607</v>
      </c>
      <c r="N657" t="s">
        <v>643</v>
      </c>
      <c r="O657" t="s">
        <v>669</v>
      </c>
      <c r="P657" t="s">
        <v>670</v>
      </c>
      <c r="Q657" t="s">
        <v>509</v>
      </c>
      <c r="R657" t="s">
        <v>611</v>
      </c>
      <c r="S657" t="s">
        <v>671</v>
      </c>
      <c r="T657" t="s">
        <v>613</v>
      </c>
      <c r="U657">
        <v>106501</v>
      </c>
      <c r="V657" t="s">
        <v>4636</v>
      </c>
      <c r="W657" t="s">
        <v>673</v>
      </c>
      <c r="X657" t="s">
        <v>4470</v>
      </c>
      <c r="Y657" t="s">
        <v>4637</v>
      </c>
      <c r="AA657" t="s">
        <v>4596</v>
      </c>
      <c r="AB657" t="s">
        <v>4474</v>
      </c>
      <c r="AC657">
        <v>99182</v>
      </c>
      <c r="AD657" t="s">
        <v>674</v>
      </c>
      <c r="AE657">
        <v>-35.691090039999999</v>
      </c>
      <c r="AF657">
        <v>174.32676207</v>
      </c>
      <c r="AG657" s="175">
        <v>50</v>
      </c>
      <c r="AH657" s="175">
        <v>16</v>
      </c>
      <c r="AI657" s="175">
        <v>1</v>
      </c>
      <c r="AJ657" s="175">
        <v>8</v>
      </c>
      <c r="AK657" s="175">
        <v>8</v>
      </c>
      <c r="AL657" s="175">
        <v>10</v>
      </c>
      <c r="AM657" s="175">
        <v>8</v>
      </c>
      <c r="AN657" s="175">
        <v>1</v>
      </c>
      <c r="AO657" s="175">
        <v>36</v>
      </c>
      <c r="AP657" s="175">
        <v>11</v>
      </c>
      <c r="AQ657" s="175">
        <v>20</v>
      </c>
      <c r="AR657" s="175">
        <v>3</v>
      </c>
      <c r="AS657" s="175">
        <v>9</v>
      </c>
      <c r="AT657" s="175">
        <v>2</v>
      </c>
    </row>
    <row r="658" spans="1:46">
      <c r="A658">
        <v>10180</v>
      </c>
      <c r="B658" t="s">
        <v>4638</v>
      </c>
      <c r="C658" t="s">
        <v>4639</v>
      </c>
      <c r="D658" t="s">
        <v>4640</v>
      </c>
      <c r="E658" t="s">
        <v>4641</v>
      </c>
      <c r="F658" t="s">
        <v>932</v>
      </c>
      <c r="G658" t="s">
        <v>737</v>
      </c>
      <c r="H658" t="s">
        <v>449</v>
      </c>
      <c r="I658" t="s">
        <v>4642</v>
      </c>
      <c r="J658" t="s">
        <v>4032</v>
      </c>
      <c r="K658" t="s">
        <v>606</v>
      </c>
      <c r="M658" t="s">
        <v>607</v>
      </c>
      <c r="N658" t="s">
        <v>812</v>
      </c>
      <c r="O658" t="s">
        <v>933</v>
      </c>
      <c r="P658" t="s">
        <v>739</v>
      </c>
      <c r="Q658" t="s">
        <v>467</v>
      </c>
      <c r="R658" t="s">
        <v>814</v>
      </c>
      <c r="S658" t="s">
        <v>934</v>
      </c>
      <c r="T658" t="s">
        <v>794</v>
      </c>
      <c r="U658">
        <v>151200</v>
      </c>
      <c r="V658" t="s">
        <v>4643</v>
      </c>
      <c r="W658" t="s">
        <v>817</v>
      </c>
      <c r="X658" t="s">
        <v>4644</v>
      </c>
      <c r="Y658" t="s">
        <v>4645</v>
      </c>
      <c r="Z658" t="s">
        <v>932</v>
      </c>
      <c r="AA658" t="s">
        <v>4293</v>
      </c>
      <c r="AB658" t="s">
        <v>4639</v>
      </c>
      <c r="AC658">
        <v>99124</v>
      </c>
      <c r="AD658" t="s">
        <v>4646</v>
      </c>
      <c r="AE658">
        <v>-36.961600760000003</v>
      </c>
      <c r="AF658">
        <v>174.81677486999999</v>
      </c>
      <c r="AG658" s="175">
        <v>40</v>
      </c>
      <c r="AH658" s="175">
        <v>8</v>
      </c>
      <c r="AI658" s="175">
        <v>1</v>
      </c>
      <c r="AJ658" s="175">
        <v>7</v>
      </c>
      <c r="AK658" s="175">
        <v>3</v>
      </c>
      <c r="AL658" s="175">
        <v>5</v>
      </c>
      <c r="AM658" s="175">
        <v>6</v>
      </c>
      <c r="AN658" s="175">
        <v>2</v>
      </c>
      <c r="AO658" s="175">
        <v>24</v>
      </c>
      <c r="AP658" s="175">
        <v>0</v>
      </c>
      <c r="AQ658" s="175">
        <v>4</v>
      </c>
      <c r="AR658" s="175">
        <v>24</v>
      </c>
      <c r="AS658" s="175">
        <v>0</v>
      </c>
      <c r="AT658" s="175">
        <v>0</v>
      </c>
    </row>
    <row r="659" spans="1:46">
      <c r="A659">
        <v>10181</v>
      </c>
      <c r="B659" t="s">
        <v>4647</v>
      </c>
      <c r="C659" t="s">
        <v>4648</v>
      </c>
      <c r="D659" t="s">
        <v>4649</v>
      </c>
      <c r="E659" t="s">
        <v>4641</v>
      </c>
      <c r="F659" t="s">
        <v>932</v>
      </c>
      <c r="G659" t="s">
        <v>737</v>
      </c>
      <c r="H659" t="s">
        <v>449</v>
      </c>
      <c r="I659" t="s">
        <v>4233</v>
      </c>
      <c r="J659" t="s">
        <v>4032</v>
      </c>
      <c r="K659" t="s">
        <v>606</v>
      </c>
      <c r="M659" t="s">
        <v>607</v>
      </c>
      <c r="N659" t="s">
        <v>812</v>
      </c>
      <c r="O659" t="s">
        <v>933</v>
      </c>
      <c r="P659" t="s">
        <v>739</v>
      </c>
      <c r="Q659" t="s">
        <v>467</v>
      </c>
      <c r="R659" t="s">
        <v>814</v>
      </c>
      <c r="S659" t="s">
        <v>934</v>
      </c>
      <c r="T659" t="s">
        <v>794</v>
      </c>
      <c r="U659">
        <v>151200</v>
      </c>
      <c r="V659" t="s">
        <v>4643</v>
      </c>
      <c r="W659" t="s">
        <v>817</v>
      </c>
      <c r="X659" t="s">
        <v>4650</v>
      </c>
      <c r="Y659" t="s">
        <v>4651</v>
      </c>
      <c r="Z659" t="s">
        <v>4015</v>
      </c>
      <c r="AA659" t="s">
        <v>4652</v>
      </c>
      <c r="AC659">
        <v>99124</v>
      </c>
      <c r="AD659" t="s">
        <v>4646</v>
      </c>
      <c r="AE659">
        <v>-36.961708940000001</v>
      </c>
      <c r="AF659">
        <v>174.81679568000001</v>
      </c>
      <c r="AG659" s="175">
        <v>40</v>
      </c>
      <c r="AH659" s="175">
        <v>5</v>
      </c>
      <c r="AI659" s="175">
        <v>0</v>
      </c>
      <c r="AJ659" s="175">
        <v>0</v>
      </c>
      <c r="AK659" s="175">
        <v>0</v>
      </c>
      <c r="AL659" s="175">
        <v>3</v>
      </c>
      <c r="AM659" s="175">
        <v>14</v>
      </c>
      <c r="AN659" s="175">
        <v>0</v>
      </c>
      <c r="AO659" s="175">
        <v>17</v>
      </c>
      <c r="AP659" s="175">
        <v>3</v>
      </c>
      <c r="AQ659" s="175">
        <v>2</v>
      </c>
      <c r="AR659" s="175">
        <v>17</v>
      </c>
      <c r="AS659" s="175">
        <v>0</v>
      </c>
      <c r="AT659" s="175">
        <v>0</v>
      </c>
    </row>
    <row r="660" spans="1:46">
      <c r="A660">
        <v>10182</v>
      </c>
      <c r="B660" t="s">
        <v>4653</v>
      </c>
      <c r="C660" t="s">
        <v>4654</v>
      </c>
      <c r="D660" t="s">
        <v>4655</v>
      </c>
      <c r="E660" t="s">
        <v>4656</v>
      </c>
      <c r="F660" t="s">
        <v>932</v>
      </c>
      <c r="G660" t="s">
        <v>737</v>
      </c>
      <c r="H660" t="s">
        <v>449</v>
      </c>
      <c r="I660" t="s">
        <v>4233</v>
      </c>
      <c r="J660" t="s">
        <v>4032</v>
      </c>
      <c r="K660" t="s">
        <v>606</v>
      </c>
      <c r="M660" t="s">
        <v>607</v>
      </c>
      <c r="N660" t="s">
        <v>608</v>
      </c>
      <c r="O660" t="s">
        <v>933</v>
      </c>
      <c r="P660" t="s">
        <v>739</v>
      </c>
      <c r="Q660" t="s">
        <v>467</v>
      </c>
      <c r="R660" t="s">
        <v>814</v>
      </c>
      <c r="S660" t="s">
        <v>934</v>
      </c>
      <c r="T660" t="s">
        <v>794</v>
      </c>
      <c r="U660">
        <v>151200</v>
      </c>
      <c r="V660" t="s">
        <v>4643</v>
      </c>
      <c r="W660" t="s">
        <v>817</v>
      </c>
      <c r="X660" t="s">
        <v>4657</v>
      </c>
      <c r="Y660" t="s">
        <v>4658</v>
      </c>
      <c r="Z660" t="s">
        <v>1368</v>
      </c>
      <c r="AA660" t="s">
        <v>4604</v>
      </c>
      <c r="AB660" t="s">
        <v>4659</v>
      </c>
      <c r="AC660">
        <v>99124</v>
      </c>
      <c r="AD660" t="s">
        <v>4646</v>
      </c>
      <c r="AE660">
        <v>-36.961629670000001</v>
      </c>
      <c r="AF660">
        <v>174.81688808000001</v>
      </c>
      <c r="AG660" s="175">
        <v>40</v>
      </c>
      <c r="AH660" s="175">
        <v>8</v>
      </c>
      <c r="AI660" s="175">
        <v>0</v>
      </c>
      <c r="AJ660" s="175">
        <v>4</v>
      </c>
      <c r="AK660" s="175">
        <v>9</v>
      </c>
      <c r="AL660" s="175">
        <v>12</v>
      </c>
      <c r="AM660" s="175">
        <v>14</v>
      </c>
      <c r="AN660" s="175">
        <v>1</v>
      </c>
      <c r="AO660" s="175">
        <v>40</v>
      </c>
      <c r="AP660" s="175">
        <v>2</v>
      </c>
      <c r="AQ660" s="175">
        <v>0</v>
      </c>
      <c r="AR660" s="175">
        <v>39</v>
      </c>
      <c r="AS660" s="175">
        <v>0</v>
      </c>
      <c r="AT660" s="175">
        <v>0</v>
      </c>
    </row>
    <row r="661" spans="1:46">
      <c r="A661">
        <v>10183</v>
      </c>
      <c r="B661" t="s">
        <v>4660</v>
      </c>
      <c r="C661" t="s">
        <v>4661</v>
      </c>
      <c r="D661" t="s">
        <v>4662</v>
      </c>
      <c r="E661" t="s">
        <v>4663</v>
      </c>
      <c r="G661" t="s">
        <v>3744</v>
      </c>
      <c r="H661" t="s">
        <v>449</v>
      </c>
      <c r="J661" t="s">
        <v>4032</v>
      </c>
      <c r="K661" t="s">
        <v>606</v>
      </c>
      <c r="M661" t="s">
        <v>607</v>
      </c>
      <c r="N661" t="s">
        <v>657</v>
      </c>
      <c r="O661" t="s">
        <v>609</v>
      </c>
      <c r="P661" t="s">
        <v>610</v>
      </c>
      <c r="Q661" t="s">
        <v>509</v>
      </c>
      <c r="R661" t="s">
        <v>611</v>
      </c>
      <c r="S661" t="s">
        <v>612</v>
      </c>
      <c r="T661" t="s">
        <v>613</v>
      </c>
      <c r="U661">
        <v>103000</v>
      </c>
      <c r="V661" t="s">
        <v>3745</v>
      </c>
      <c r="W661" t="s">
        <v>644</v>
      </c>
      <c r="X661" t="s">
        <v>4664</v>
      </c>
      <c r="Y661" t="s">
        <v>4665</v>
      </c>
      <c r="Z661" t="s">
        <v>618</v>
      </c>
      <c r="AA661" t="s">
        <v>4596</v>
      </c>
      <c r="AB661" t="s">
        <v>4666</v>
      </c>
      <c r="AE661">
        <v>-35.229298360000001</v>
      </c>
      <c r="AF661">
        <v>173.94931213000001</v>
      </c>
      <c r="AG661" s="175">
        <v>29</v>
      </c>
      <c r="AH661" s="175">
        <v>12</v>
      </c>
      <c r="AI661" s="175">
        <v>0</v>
      </c>
      <c r="AJ661" s="175">
        <v>3</v>
      </c>
      <c r="AK661" s="175">
        <v>5</v>
      </c>
      <c r="AL661" s="175">
        <v>6</v>
      </c>
      <c r="AM661" s="175">
        <v>9</v>
      </c>
      <c r="AN661" s="175">
        <v>1</v>
      </c>
      <c r="AO661" s="175">
        <v>24</v>
      </c>
      <c r="AP661" s="175">
        <v>10</v>
      </c>
      <c r="AQ661" s="175">
        <v>10</v>
      </c>
      <c r="AR661" s="175">
        <v>1</v>
      </c>
      <c r="AS661" s="175">
        <v>6</v>
      </c>
      <c r="AT661" s="175">
        <v>3</v>
      </c>
    </row>
    <row r="662" spans="1:46">
      <c r="A662">
        <v>10184</v>
      </c>
      <c r="B662" t="s">
        <v>4667</v>
      </c>
      <c r="C662" t="s">
        <v>4668</v>
      </c>
      <c r="E662" t="s">
        <v>4669</v>
      </c>
      <c r="F662" t="s">
        <v>888</v>
      </c>
      <c r="G662" t="s">
        <v>737</v>
      </c>
      <c r="H662" t="s">
        <v>449</v>
      </c>
      <c r="J662" t="s">
        <v>605</v>
      </c>
      <c r="K662" t="s">
        <v>606</v>
      </c>
      <c r="M662" t="s">
        <v>607</v>
      </c>
      <c r="N662" t="s">
        <v>657</v>
      </c>
      <c r="O662" t="s">
        <v>889</v>
      </c>
      <c r="P662" t="s">
        <v>739</v>
      </c>
      <c r="Q662" t="s">
        <v>467</v>
      </c>
      <c r="R662" t="s">
        <v>793</v>
      </c>
      <c r="S662" t="s">
        <v>890</v>
      </c>
      <c r="T662" t="s">
        <v>794</v>
      </c>
      <c r="U662">
        <v>144400</v>
      </c>
      <c r="V662" t="s">
        <v>891</v>
      </c>
      <c r="W662" t="s">
        <v>892</v>
      </c>
      <c r="X662" t="s">
        <v>4670</v>
      </c>
      <c r="Y662" t="s">
        <v>4671</v>
      </c>
      <c r="AA662" t="s">
        <v>4106</v>
      </c>
      <c r="AB662" t="s">
        <v>4672</v>
      </c>
      <c r="AE662">
        <v>-36.894657289999998</v>
      </c>
      <c r="AF662">
        <v>174.81929851000001</v>
      </c>
      <c r="AG662" s="175">
        <v>30</v>
      </c>
      <c r="AH662" s="175">
        <v>10</v>
      </c>
      <c r="AI662" s="175">
        <v>0</v>
      </c>
      <c r="AJ662" s="175">
        <v>1</v>
      </c>
      <c r="AK662" s="175">
        <v>7</v>
      </c>
      <c r="AL662" s="175">
        <v>6</v>
      </c>
      <c r="AM662" s="175">
        <v>6</v>
      </c>
      <c r="AN662" s="175">
        <v>0</v>
      </c>
      <c r="AO662" s="175">
        <v>20</v>
      </c>
      <c r="AP662" s="175">
        <v>12</v>
      </c>
      <c r="AQ662" s="175">
        <v>2</v>
      </c>
      <c r="AR662" s="175">
        <v>0</v>
      </c>
      <c r="AS662" s="175">
        <v>11</v>
      </c>
      <c r="AT662" s="175">
        <v>1</v>
      </c>
    </row>
    <row r="663" spans="1:46">
      <c r="A663">
        <v>10186</v>
      </c>
      <c r="B663" t="s">
        <v>4673</v>
      </c>
      <c r="C663" t="s">
        <v>4674</v>
      </c>
      <c r="D663" t="s">
        <v>4675</v>
      </c>
      <c r="E663" t="s">
        <v>4676</v>
      </c>
      <c r="F663" t="s">
        <v>1030</v>
      </c>
      <c r="G663" t="s">
        <v>737</v>
      </c>
      <c r="H663" t="s">
        <v>449</v>
      </c>
      <c r="I663" t="s">
        <v>4642</v>
      </c>
      <c r="J663" t="s">
        <v>605</v>
      </c>
      <c r="K663" t="s">
        <v>606</v>
      </c>
      <c r="M663" t="s">
        <v>607</v>
      </c>
      <c r="N663" t="s">
        <v>608</v>
      </c>
      <c r="O663" t="s">
        <v>933</v>
      </c>
      <c r="P663" t="s">
        <v>739</v>
      </c>
      <c r="Q663" t="s">
        <v>467</v>
      </c>
      <c r="R663" t="s">
        <v>814</v>
      </c>
      <c r="S663" t="s">
        <v>934</v>
      </c>
      <c r="T663" t="s">
        <v>794</v>
      </c>
      <c r="U663">
        <v>151200</v>
      </c>
      <c r="V663" t="s">
        <v>4643</v>
      </c>
      <c r="W663" t="s">
        <v>817</v>
      </c>
      <c r="X663" t="s">
        <v>4677</v>
      </c>
      <c r="Y663" t="s">
        <v>4678</v>
      </c>
      <c r="Z663" t="s">
        <v>1030</v>
      </c>
      <c r="AA663" t="s">
        <v>4679</v>
      </c>
      <c r="AB663" t="s">
        <v>4680</v>
      </c>
      <c r="AE663">
        <v>-36.961744609999997</v>
      </c>
      <c r="AF663">
        <v>174.81687350000001</v>
      </c>
      <c r="AG663" s="175">
        <v>40</v>
      </c>
      <c r="AH663" s="175">
        <v>8</v>
      </c>
      <c r="AI663" s="175">
        <v>0</v>
      </c>
      <c r="AJ663" s="175">
        <v>3</v>
      </c>
      <c r="AK663" s="175">
        <v>4</v>
      </c>
      <c r="AL663" s="175">
        <v>1</v>
      </c>
      <c r="AM663" s="175">
        <v>3</v>
      </c>
      <c r="AN663" s="175">
        <v>0</v>
      </c>
      <c r="AO663" s="175">
        <v>11</v>
      </c>
      <c r="AP663" s="175">
        <v>1</v>
      </c>
      <c r="AQ663" s="175">
        <v>3</v>
      </c>
      <c r="AR663" s="175">
        <v>10</v>
      </c>
      <c r="AS663" s="175">
        <v>1</v>
      </c>
      <c r="AT663" s="175">
        <v>0</v>
      </c>
    </row>
    <row r="664" spans="1:46">
      <c r="A664">
        <v>10187</v>
      </c>
      <c r="B664" t="s">
        <v>4681</v>
      </c>
      <c r="C664" t="s">
        <v>4682</v>
      </c>
      <c r="D664" t="s">
        <v>4683</v>
      </c>
      <c r="E664" t="s">
        <v>4684</v>
      </c>
      <c r="F664" t="s">
        <v>1030</v>
      </c>
      <c r="G664" t="s">
        <v>737</v>
      </c>
      <c r="H664" t="s">
        <v>449</v>
      </c>
      <c r="I664" t="s">
        <v>4289</v>
      </c>
      <c r="J664" t="s">
        <v>4032</v>
      </c>
      <c r="K664" t="s">
        <v>606</v>
      </c>
      <c r="M664" t="s">
        <v>607</v>
      </c>
      <c r="N664" t="s">
        <v>812</v>
      </c>
      <c r="O664" t="s">
        <v>933</v>
      </c>
      <c r="P664" t="s">
        <v>739</v>
      </c>
      <c r="Q664" t="s">
        <v>467</v>
      </c>
      <c r="R664" t="s">
        <v>814</v>
      </c>
      <c r="S664" t="s">
        <v>934</v>
      </c>
      <c r="T664" t="s">
        <v>794</v>
      </c>
      <c r="U664">
        <v>151200</v>
      </c>
      <c r="V664" t="s">
        <v>4643</v>
      </c>
      <c r="W664" t="s">
        <v>817</v>
      </c>
      <c r="X664" t="s">
        <v>4685</v>
      </c>
      <c r="Y664" t="s">
        <v>4686</v>
      </c>
      <c r="Z664" t="s">
        <v>1368</v>
      </c>
      <c r="AA664" t="s">
        <v>4687</v>
      </c>
      <c r="AB664" t="s">
        <v>4682</v>
      </c>
      <c r="AE664">
        <v>-36.961797859999997</v>
      </c>
      <c r="AF664">
        <v>174.81681465</v>
      </c>
      <c r="AG664" s="175">
        <v>40</v>
      </c>
      <c r="AH664" s="175">
        <v>8</v>
      </c>
      <c r="AI664" s="175">
        <v>0</v>
      </c>
      <c r="AJ664" s="175">
        <v>2</v>
      </c>
      <c r="AK664" s="175">
        <v>6</v>
      </c>
      <c r="AL664" s="175">
        <v>8</v>
      </c>
      <c r="AM664" s="175">
        <v>4</v>
      </c>
      <c r="AN664" s="175">
        <v>0</v>
      </c>
      <c r="AO664" s="175">
        <v>20</v>
      </c>
      <c r="AP664" s="175">
        <v>1</v>
      </c>
      <c r="AQ664" s="175">
        <v>1</v>
      </c>
      <c r="AR664" s="175">
        <v>20</v>
      </c>
      <c r="AS664" s="175">
        <v>1</v>
      </c>
      <c r="AT664" s="175">
        <v>0</v>
      </c>
    </row>
    <row r="665" spans="1:46">
      <c r="A665">
        <v>10188</v>
      </c>
      <c r="B665" t="s">
        <v>4688</v>
      </c>
      <c r="C665" t="s">
        <v>4689</v>
      </c>
      <c r="D665" t="s">
        <v>4690</v>
      </c>
      <c r="E665" t="s">
        <v>4691</v>
      </c>
      <c r="F665" t="s">
        <v>855</v>
      </c>
      <c r="G665" t="s">
        <v>737</v>
      </c>
      <c r="H665" t="s">
        <v>449</v>
      </c>
      <c r="I665" t="s">
        <v>4134</v>
      </c>
      <c r="J665" t="s">
        <v>4032</v>
      </c>
      <c r="K665" t="s">
        <v>606</v>
      </c>
      <c r="M665" t="s">
        <v>607</v>
      </c>
      <c r="N665" t="s">
        <v>657</v>
      </c>
      <c r="O665" t="s">
        <v>803</v>
      </c>
      <c r="P665" t="s">
        <v>739</v>
      </c>
      <c r="Q665" t="s">
        <v>467</v>
      </c>
      <c r="R665" t="s">
        <v>724</v>
      </c>
      <c r="S665" t="s">
        <v>855</v>
      </c>
      <c r="T665" t="s">
        <v>794</v>
      </c>
      <c r="U665">
        <v>136501</v>
      </c>
      <c r="V665" t="s">
        <v>4692</v>
      </c>
      <c r="W665" t="s">
        <v>806</v>
      </c>
      <c r="X665" t="s">
        <v>4693</v>
      </c>
      <c r="Y665" t="s">
        <v>4691</v>
      </c>
      <c r="Z665" t="s">
        <v>855</v>
      </c>
      <c r="AA665" t="s">
        <v>4400</v>
      </c>
      <c r="AB665" t="s">
        <v>4694</v>
      </c>
      <c r="AC665">
        <v>99062</v>
      </c>
      <c r="AD665" t="s">
        <v>978</v>
      </c>
      <c r="AE665">
        <v>-36.920928179999997</v>
      </c>
      <c r="AF665">
        <v>174.67395431</v>
      </c>
      <c r="AG665" s="175">
        <v>30</v>
      </c>
      <c r="AH665" s="175">
        <v>0</v>
      </c>
      <c r="AI665" s="175">
        <v>0</v>
      </c>
      <c r="AJ665" s="175">
        <v>0</v>
      </c>
      <c r="AK665" s="175">
        <v>12</v>
      </c>
      <c r="AL665" s="175">
        <v>10</v>
      </c>
      <c r="AM665" s="175">
        <v>14</v>
      </c>
      <c r="AN665" s="175">
        <v>0</v>
      </c>
      <c r="AO665" s="175">
        <v>36</v>
      </c>
      <c r="AP665" s="175">
        <v>21</v>
      </c>
      <c r="AQ665" s="175">
        <v>3</v>
      </c>
      <c r="AR665" s="175">
        <v>3</v>
      </c>
      <c r="AS665" s="175">
        <v>15</v>
      </c>
      <c r="AT665" s="175">
        <v>2</v>
      </c>
    </row>
    <row r="666" spans="1:46">
      <c r="A666">
        <v>10189</v>
      </c>
      <c r="B666" t="s">
        <v>4695</v>
      </c>
      <c r="C666" t="s">
        <v>4696</v>
      </c>
      <c r="D666" t="s">
        <v>4697</v>
      </c>
      <c r="E666" t="s">
        <v>4698</v>
      </c>
      <c r="F666" t="s">
        <v>802</v>
      </c>
      <c r="G666" t="s">
        <v>737</v>
      </c>
      <c r="H666" t="s">
        <v>449</v>
      </c>
      <c r="J666" t="s">
        <v>4032</v>
      </c>
      <c r="K666" t="s">
        <v>606</v>
      </c>
      <c r="M666" t="s">
        <v>607</v>
      </c>
      <c r="N666" t="s">
        <v>625</v>
      </c>
      <c r="O666" t="s">
        <v>803</v>
      </c>
      <c r="P666" t="s">
        <v>739</v>
      </c>
      <c r="Q666" t="s">
        <v>467</v>
      </c>
      <c r="R666" t="s">
        <v>793</v>
      </c>
      <c r="S666" t="s">
        <v>855</v>
      </c>
      <c r="T666" t="s">
        <v>794</v>
      </c>
      <c r="U666">
        <v>131700</v>
      </c>
      <c r="V666" t="s">
        <v>4699</v>
      </c>
      <c r="W666" t="s">
        <v>806</v>
      </c>
      <c r="X666" t="s">
        <v>4700</v>
      </c>
      <c r="Y666" t="s">
        <v>4701</v>
      </c>
      <c r="AA666" t="s">
        <v>4702</v>
      </c>
      <c r="AB666" t="s">
        <v>4703</v>
      </c>
      <c r="AE666">
        <v>-36.897141019999999</v>
      </c>
      <c r="AF666">
        <v>174.68595357999999</v>
      </c>
      <c r="AG666" s="175">
        <v>70</v>
      </c>
      <c r="AH666" s="175">
        <v>15</v>
      </c>
      <c r="AI666" s="175">
        <v>2</v>
      </c>
      <c r="AJ666" s="175">
        <v>12</v>
      </c>
      <c r="AK666" s="175">
        <v>11</v>
      </c>
      <c r="AL666" s="175">
        <v>13</v>
      </c>
      <c r="AM666" s="175">
        <v>15</v>
      </c>
      <c r="AN666" s="175">
        <v>1</v>
      </c>
      <c r="AO666" s="175">
        <v>54</v>
      </c>
      <c r="AP666" s="175">
        <v>9</v>
      </c>
      <c r="AQ666" s="175">
        <v>6</v>
      </c>
      <c r="AR666" s="175">
        <v>26</v>
      </c>
      <c r="AS666" s="175">
        <v>19</v>
      </c>
      <c r="AT666" s="175">
        <v>5</v>
      </c>
    </row>
    <row r="667" spans="1:46">
      <c r="A667">
        <v>10190</v>
      </c>
      <c r="B667" t="s">
        <v>4704</v>
      </c>
      <c r="C667" t="s">
        <v>4705</v>
      </c>
      <c r="D667" t="s">
        <v>4706</v>
      </c>
      <c r="E667" t="s">
        <v>4707</v>
      </c>
      <c r="F667" t="s">
        <v>1242</v>
      </c>
      <c r="G667" t="s">
        <v>737</v>
      </c>
      <c r="H667" t="s">
        <v>449</v>
      </c>
      <c r="I667" t="s">
        <v>4182</v>
      </c>
      <c r="J667" t="s">
        <v>605</v>
      </c>
      <c r="K667" t="s">
        <v>606</v>
      </c>
      <c r="M667" t="s">
        <v>607</v>
      </c>
      <c r="N667" t="s">
        <v>657</v>
      </c>
      <c r="O667" t="s">
        <v>942</v>
      </c>
      <c r="P667" t="s">
        <v>739</v>
      </c>
      <c r="Q667" t="s">
        <v>467</v>
      </c>
      <c r="R667" t="s">
        <v>793</v>
      </c>
      <c r="S667" t="s">
        <v>943</v>
      </c>
      <c r="T667" t="s">
        <v>794</v>
      </c>
      <c r="U667">
        <v>137000</v>
      </c>
      <c r="V667" t="s">
        <v>4708</v>
      </c>
      <c r="W667" t="s">
        <v>945</v>
      </c>
      <c r="X667" t="s">
        <v>4709</v>
      </c>
      <c r="Y667" t="s">
        <v>4710</v>
      </c>
      <c r="Z667" t="s">
        <v>1242</v>
      </c>
      <c r="AA667" t="s">
        <v>4711</v>
      </c>
      <c r="AB667" t="s">
        <v>4705</v>
      </c>
      <c r="AC667">
        <v>99150</v>
      </c>
      <c r="AD667" t="s">
        <v>946</v>
      </c>
      <c r="AE667">
        <v>-36.889834059999998</v>
      </c>
      <c r="AF667">
        <v>174.73494943</v>
      </c>
      <c r="AG667" s="175">
        <v>25</v>
      </c>
      <c r="AH667" s="175">
        <v>0</v>
      </c>
      <c r="AI667" s="175">
        <v>0</v>
      </c>
      <c r="AJ667" s="175">
        <v>0</v>
      </c>
      <c r="AK667" s="175">
        <v>1</v>
      </c>
      <c r="AL667" s="175">
        <v>9</v>
      </c>
      <c r="AM667" s="175">
        <v>8</v>
      </c>
      <c r="AN667" s="175">
        <v>4</v>
      </c>
      <c r="AO667" s="175">
        <v>22</v>
      </c>
      <c r="AP667" s="175">
        <v>14</v>
      </c>
      <c r="AQ667" s="175">
        <v>4</v>
      </c>
      <c r="AR667" s="175">
        <v>4</v>
      </c>
      <c r="AS667" s="175">
        <v>9</v>
      </c>
      <c r="AT667" s="175">
        <v>0</v>
      </c>
    </row>
    <row r="668" spans="1:46">
      <c r="A668">
        <v>10191</v>
      </c>
      <c r="B668" t="s">
        <v>4712</v>
      </c>
      <c r="C668" t="s">
        <v>4713</v>
      </c>
      <c r="D668" t="s">
        <v>4714</v>
      </c>
      <c r="E668" t="s">
        <v>4715</v>
      </c>
      <c r="F668" t="s">
        <v>811</v>
      </c>
      <c r="G668" t="s">
        <v>737</v>
      </c>
      <c r="H668" t="s">
        <v>449</v>
      </c>
      <c r="I668" t="s">
        <v>3715</v>
      </c>
      <c r="J668" t="s">
        <v>605</v>
      </c>
      <c r="K668" t="s">
        <v>606</v>
      </c>
      <c r="M668" t="s">
        <v>607</v>
      </c>
      <c r="N668" t="s">
        <v>812</v>
      </c>
      <c r="O668" t="s">
        <v>813</v>
      </c>
      <c r="P668" t="s">
        <v>739</v>
      </c>
      <c r="Q668" t="s">
        <v>467</v>
      </c>
      <c r="R668" t="s">
        <v>814</v>
      </c>
      <c r="S668" t="s">
        <v>863</v>
      </c>
      <c r="T668" t="s">
        <v>794</v>
      </c>
      <c r="U668">
        <v>156800</v>
      </c>
      <c r="V668" t="s">
        <v>4716</v>
      </c>
      <c r="W668" t="s">
        <v>817</v>
      </c>
      <c r="X668" t="s">
        <v>4717</v>
      </c>
      <c r="Y668" t="s">
        <v>4718</v>
      </c>
      <c r="Z668" t="s">
        <v>811</v>
      </c>
      <c r="AA668" t="s">
        <v>4687</v>
      </c>
      <c r="AB668" t="s">
        <v>4713</v>
      </c>
      <c r="AC668">
        <v>99200</v>
      </c>
      <c r="AD668" t="s">
        <v>952</v>
      </c>
      <c r="AE668">
        <v>-36.968362310000003</v>
      </c>
      <c r="AF668">
        <v>174.88921457000001</v>
      </c>
      <c r="AG668" s="175">
        <v>40</v>
      </c>
      <c r="AH668" s="175">
        <v>0</v>
      </c>
      <c r="AI668" s="175">
        <v>0</v>
      </c>
      <c r="AJ668" s="175">
        <v>0</v>
      </c>
      <c r="AK668" s="175">
        <v>4</v>
      </c>
      <c r="AL668" s="175">
        <v>5</v>
      </c>
      <c r="AM668" s="175">
        <v>12</v>
      </c>
      <c r="AN668" s="175">
        <v>2</v>
      </c>
      <c r="AO668" s="175">
        <v>23</v>
      </c>
      <c r="AP668" s="175">
        <v>2</v>
      </c>
      <c r="AQ668" s="175">
        <v>2</v>
      </c>
      <c r="AR668" s="175">
        <v>20</v>
      </c>
      <c r="AS668" s="175">
        <v>4</v>
      </c>
      <c r="AT668" s="175">
        <v>1</v>
      </c>
    </row>
    <row r="669" spans="1:46">
      <c r="A669">
        <v>10194</v>
      </c>
      <c r="B669" t="s">
        <v>4719</v>
      </c>
      <c r="C669" t="s">
        <v>4720</v>
      </c>
      <c r="E669" t="s">
        <v>4721</v>
      </c>
      <c r="F669" t="s">
        <v>4722</v>
      </c>
      <c r="G669" t="s">
        <v>737</v>
      </c>
      <c r="H669" t="s">
        <v>449</v>
      </c>
      <c r="J669" t="s">
        <v>4032</v>
      </c>
      <c r="K669" t="s">
        <v>606</v>
      </c>
      <c r="M669" t="s">
        <v>607</v>
      </c>
      <c r="N669" t="s">
        <v>657</v>
      </c>
      <c r="O669" t="s">
        <v>1042</v>
      </c>
      <c r="P669" t="s">
        <v>739</v>
      </c>
      <c r="Q669" t="s">
        <v>467</v>
      </c>
      <c r="R669" t="s">
        <v>793</v>
      </c>
      <c r="S669" t="s">
        <v>1043</v>
      </c>
      <c r="T669" t="s">
        <v>794</v>
      </c>
      <c r="U669">
        <v>130400</v>
      </c>
      <c r="V669" t="s">
        <v>4723</v>
      </c>
      <c r="W669" t="s">
        <v>1044</v>
      </c>
      <c r="X669" t="s">
        <v>4724</v>
      </c>
      <c r="Y669" t="s">
        <v>4725</v>
      </c>
      <c r="Z669" t="s">
        <v>1043</v>
      </c>
      <c r="AA669" t="s">
        <v>4726</v>
      </c>
      <c r="AB669" t="s">
        <v>4720</v>
      </c>
      <c r="AE669">
        <v>-36.848245830000003</v>
      </c>
      <c r="AF669">
        <v>174.73142863999999</v>
      </c>
      <c r="AG669" s="175">
        <v>100</v>
      </c>
      <c r="AH669" s="175">
        <v>25</v>
      </c>
      <c r="AI669" s="175">
        <v>4</v>
      </c>
      <c r="AJ669" s="175">
        <v>17</v>
      </c>
      <c r="AK669" s="175">
        <v>22</v>
      </c>
      <c r="AL669" s="175">
        <v>16</v>
      </c>
      <c r="AM669" s="175">
        <v>26</v>
      </c>
      <c r="AN669" s="175">
        <v>0</v>
      </c>
      <c r="AO669" s="175">
        <v>85</v>
      </c>
      <c r="AP669" s="175">
        <v>77</v>
      </c>
      <c r="AQ669" s="175">
        <v>11</v>
      </c>
      <c r="AR669" s="175">
        <v>7</v>
      </c>
      <c r="AS669" s="175">
        <v>15</v>
      </c>
      <c r="AT669" s="175">
        <v>5</v>
      </c>
    </row>
    <row r="670" spans="1:46">
      <c r="A670">
        <v>10196</v>
      </c>
      <c r="B670" t="s">
        <v>4727</v>
      </c>
      <c r="C670" t="s">
        <v>4728</v>
      </c>
      <c r="D670" t="s">
        <v>4729</v>
      </c>
      <c r="E670" t="s">
        <v>4730</v>
      </c>
      <c r="G670" t="s">
        <v>4731</v>
      </c>
      <c r="H670" t="s">
        <v>449</v>
      </c>
      <c r="I670" t="s">
        <v>4041</v>
      </c>
      <c r="J670" t="s">
        <v>4032</v>
      </c>
      <c r="K670" t="s">
        <v>606</v>
      </c>
      <c r="M670" t="s">
        <v>607</v>
      </c>
      <c r="N670" t="s">
        <v>657</v>
      </c>
      <c r="O670" t="s">
        <v>669</v>
      </c>
      <c r="P670" t="s">
        <v>658</v>
      </c>
      <c r="Q670" t="s">
        <v>509</v>
      </c>
      <c r="R670" t="s">
        <v>611</v>
      </c>
      <c r="S670" t="s">
        <v>671</v>
      </c>
      <c r="T670" t="s">
        <v>613</v>
      </c>
      <c r="U670">
        <v>105700</v>
      </c>
      <c r="V670" t="s">
        <v>4731</v>
      </c>
      <c r="W670" t="s">
        <v>4732</v>
      </c>
      <c r="X670" t="s">
        <v>4733</v>
      </c>
      <c r="Y670" t="s">
        <v>4734</v>
      </c>
      <c r="AA670" t="s">
        <v>4735</v>
      </c>
      <c r="AC670">
        <v>99182</v>
      </c>
      <c r="AD670" t="s">
        <v>674</v>
      </c>
      <c r="AE670">
        <v>-35.65709288</v>
      </c>
      <c r="AF670">
        <v>174.38448786999999</v>
      </c>
      <c r="AG670" s="175">
        <v>30</v>
      </c>
      <c r="AH670" s="175">
        <v>8</v>
      </c>
      <c r="AI670" s="175">
        <v>1</v>
      </c>
      <c r="AJ670" s="175">
        <v>6</v>
      </c>
      <c r="AK670" s="175">
        <v>15</v>
      </c>
      <c r="AL670" s="175">
        <v>6</v>
      </c>
      <c r="AM670" s="175">
        <v>5</v>
      </c>
      <c r="AN670" s="175">
        <v>2</v>
      </c>
      <c r="AO670" s="175">
        <v>35</v>
      </c>
      <c r="AP670" s="175">
        <v>34</v>
      </c>
      <c r="AQ670" s="175">
        <v>8</v>
      </c>
      <c r="AR670" s="175">
        <v>3</v>
      </c>
      <c r="AS670" s="175">
        <v>2</v>
      </c>
      <c r="AT670" s="175">
        <v>0</v>
      </c>
    </row>
    <row r="671" spans="1:46">
      <c r="A671">
        <v>10198</v>
      </c>
      <c r="B671" t="s">
        <v>4736</v>
      </c>
      <c r="E671" t="s">
        <v>4737</v>
      </c>
      <c r="F671" t="s">
        <v>4101</v>
      </c>
      <c r="G671" t="s">
        <v>737</v>
      </c>
      <c r="H671" t="s">
        <v>451</v>
      </c>
      <c r="I671" t="s">
        <v>4102</v>
      </c>
      <c r="J671" t="s">
        <v>605</v>
      </c>
      <c r="K671" t="s">
        <v>606</v>
      </c>
      <c r="M671" t="s">
        <v>607</v>
      </c>
      <c r="N671" t="s">
        <v>812</v>
      </c>
      <c r="O671" t="s">
        <v>1042</v>
      </c>
      <c r="P671" t="s">
        <v>739</v>
      </c>
      <c r="Q671" t="s">
        <v>467</v>
      </c>
      <c r="R671" t="s">
        <v>793</v>
      </c>
      <c r="S671" t="s">
        <v>1043</v>
      </c>
      <c r="T671" t="s">
        <v>794</v>
      </c>
      <c r="U671">
        <v>136100</v>
      </c>
      <c r="V671" t="s">
        <v>4101</v>
      </c>
      <c r="W671" t="s">
        <v>909</v>
      </c>
      <c r="X671" t="s">
        <v>4103</v>
      </c>
      <c r="Y671" t="s">
        <v>4104</v>
      </c>
      <c r="Z671" t="s">
        <v>4105</v>
      </c>
      <c r="AA671" t="s">
        <v>4106</v>
      </c>
      <c r="AB671" t="s">
        <v>4107</v>
      </c>
      <c r="AC671">
        <v>99125</v>
      </c>
      <c r="AD671" t="s">
        <v>901</v>
      </c>
      <c r="AE671">
        <v>-36.860693640000001</v>
      </c>
      <c r="AF671">
        <v>174.76952657000001</v>
      </c>
      <c r="AG671" s="175">
        <v>25</v>
      </c>
      <c r="AH671" s="175">
        <v>25</v>
      </c>
      <c r="AI671" s="175"/>
      <c r="AJ671" s="175"/>
      <c r="AK671" s="175"/>
      <c r="AL671" s="175"/>
      <c r="AM671" s="175"/>
      <c r="AN671" s="175"/>
      <c r="AO671" s="175"/>
      <c r="AP671" s="175"/>
      <c r="AQ671" s="175"/>
      <c r="AR671" s="175"/>
      <c r="AS671" s="175"/>
    </row>
    <row r="672" spans="1:46">
      <c r="A672">
        <v>10199</v>
      </c>
      <c r="B672" t="s">
        <v>4738</v>
      </c>
      <c r="D672" t="s">
        <v>4739</v>
      </c>
      <c r="E672" t="s">
        <v>4740</v>
      </c>
      <c r="F672" t="s">
        <v>4101</v>
      </c>
      <c r="G672" t="s">
        <v>737</v>
      </c>
      <c r="H672" t="s">
        <v>451</v>
      </c>
      <c r="I672" t="s">
        <v>4102</v>
      </c>
      <c r="J672" t="s">
        <v>605</v>
      </c>
      <c r="K672" t="s">
        <v>606</v>
      </c>
      <c r="M672" t="s">
        <v>607</v>
      </c>
      <c r="N672" t="s">
        <v>812</v>
      </c>
      <c r="O672" t="s">
        <v>1042</v>
      </c>
      <c r="P672" t="s">
        <v>739</v>
      </c>
      <c r="Q672" t="s">
        <v>467</v>
      </c>
      <c r="R672" t="s">
        <v>793</v>
      </c>
      <c r="S672" t="s">
        <v>1043</v>
      </c>
      <c r="T672" t="s">
        <v>794</v>
      </c>
      <c r="U672">
        <v>136100</v>
      </c>
      <c r="V672" t="s">
        <v>4101</v>
      </c>
      <c r="W672" t="s">
        <v>909</v>
      </c>
      <c r="X672" t="s">
        <v>4103</v>
      </c>
      <c r="Y672" t="s">
        <v>4104</v>
      </c>
      <c r="Z672" t="s">
        <v>4105</v>
      </c>
      <c r="AA672" t="s">
        <v>4106</v>
      </c>
      <c r="AB672" t="s">
        <v>4107</v>
      </c>
      <c r="AE672">
        <v>-36.860692960000002</v>
      </c>
      <c r="AF672">
        <v>174.76956641999999</v>
      </c>
      <c r="AG672" s="175">
        <v>50</v>
      </c>
      <c r="AH672" s="175">
        <v>50</v>
      </c>
      <c r="AI672" s="175"/>
      <c r="AJ672" s="175"/>
      <c r="AK672" s="175"/>
      <c r="AL672" s="175"/>
      <c r="AM672" s="175"/>
      <c r="AN672" s="175"/>
      <c r="AO672" s="175"/>
      <c r="AP672" s="175"/>
      <c r="AQ672" s="175"/>
      <c r="AR672" s="175"/>
      <c r="AS672" s="175"/>
    </row>
    <row r="673" spans="1:46">
      <c r="A673">
        <v>10200</v>
      </c>
      <c r="B673" t="s">
        <v>4741</v>
      </c>
      <c r="C673" t="s">
        <v>4742</v>
      </c>
      <c r="D673" t="s">
        <v>4743</v>
      </c>
      <c r="E673" t="s">
        <v>4744</v>
      </c>
      <c r="G673" t="s">
        <v>4745</v>
      </c>
      <c r="H673" t="s">
        <v>449</v>
      </c>
      <c r="J673" t="s">
        <v>4032</v>
      </c>
      <c r="K673" t="s">
        <v>606</v>
      </c>
      <c r="M673" t="s">
        <v>607</v>
      </c>
      <c r="N673" t="s">
        <v>608</v>
      </c>
      <c r="O673" t="s">
        <v>609</v>
      </c>
      <c r="P673" t="s">
        <v>626</v>
      </c>
      <c r="Q673" t="s">
        <v>509</v>
      </c>
      <c r="R673" t="s">
        <v>611</v>
      </c>
      <c r="S673" t="s">
        <v>612</v>
      </c>
      <c r="T673" t="s">
        <v>613</v>
      </c>
      <c r="U673">
        <v>101900</v>
      </c>
      <c r="V673" t="s">
        <v>4746</v>
      </c>
      <c r="W673" t="s">
        <v>644</v>
      </c>
      <c r="X673" t="s">
        <v>4747</v>
      </c>
      <c r="Y673" t="s">
        <v>4748</v>
      </c>
      <c r="AA673" t="s">
        <v>4749</v>
      </c>
      <c r="AE673">
        <v>-35.102838370000001</v>
      </c>
      <c r="AF673">
        <v>173.77036532</v>
      </c>
      <c r="AG673" s="175">
        <v>25</v>
      </c>
      <c r="AH673" s="175">
        <v>8</v>
      </c>
      <c r="AI673" s="175">
        <v>3</v>
      </c>
      <c r="AJ673" s="175">
        <v>1</v>
      </c>
      <c r="AK673" s="175">
        <v>3</v>
      </c>
      <c r="AL673" s="175">
        <v>5</v>
      </c>
      <c r="AM673" s="175">
        <v>8</v>
      </c>
      <c r="AN673" s="175">
        <v>0</v>
      </c>
      <c r="AO673" s="175">
        <v>20</v>
      </c>
      <c r="AP673" s="175">
        <v>14</v>
      </c>
      <c r="AQ673" s="175">
        <v>17</v>
      </c>
      <c r="AR673" s="175">
        <v>0</v>
      </c>
      <c r="AS673" s="175">
        <v>1</v>
      </c>
      <c r="AT673" s="175">
        <v>0</v>
      </c>
    </row>
    <row r="674" spans="1:46">
      <c r="A674">
        <v>10202</v>
      </c>
      <c r="B674" t="s">
        <v>4750</v>
      </c>
      <c r="C674" t="s">
        <v>4751</v>
      </c>
      <c r="D674" t="s">
        <v>4752</v>
      </c>
      <c r="E674" t="s">
        <v>4753</v>
      </c>
      <c r="F674" t="s">
        <v>1102</v>
      </c>
      <c r="G674" t="s">
        <v>737</v>
      </c>
      <c r="H674" t="s">
        <v>449</v>
      </c>
      <c r="I674" t="s">
        <v>941</v>
      </c>
      <c r="J674" t="s">
        <v>4032</v>
      </c>
      <c r="K674" t="s">
        <v>606</v>
      </c>
      <c r="M674" t="s">
        <v>607</v>
      </c>
      <c r="N674" t="s">
        <v>4586</v>
      </c>
      <c r="O674" t="s">
        <v>942</v>
      </c>
      <c r="P674" t="s">
        <v>739</v>
      </c>
      <c r="Q674" t="s">
        <v>467</v>
      </c>
      <c r="R674" t="s">
        <v>793</v>
      </c>
      <c r="S674" t="s">
        <v>907</v>
      </c>
      <c r="T674" t="s">
        <v>794</v>
      </c>
      <c r="U674">
        <v>137800</v>
      </c>
      <c r="V674" t="s">
        <v>4754</v>
      </c>
      <c r="W674" t="s">
        <v>945</v>
      </c>
      <c r="X674" t="s">
        <v>4755</v>
      </c>
      <c r="Y674" t="s">
        <v>4756</v>
      </c>
      <c r="Z674" t="s">
        <v>4757</v>
      </c>
      <c r="AA674" t="s">
        <v>4758</v>
      </c>
      <c r="AB674" t="s">
        <v>4759</v>
      </c>
      <c r="AE674">
        <v>-36.868825080000001</v>
      </c>
      <c r="AF674">
        <v>174.75804016000001</v>
      </c>
      <c r="AG674" s="175">
        <v>75</v>
      </c>
      <c r="AH674" s="175">
        <v>25</v>
      </c>
      <c r="AI674" s="175">
        <v>1</v>
      </c>
      <c r="AJ674" s="175">
        <v>19</v>
      </c>
      <c r="AK674" s="175">
        <v>28</v>
      </c>
      <c r="AL674" s="175">
        <v>13</v>
      </c>
      <c r="AM674" s="175">
        <v>11</v>
      </c>
      <c r="AN674" s="175">
        <v>1</v>
      </c>
      <c r="AO674" s="175">
        <v>73</v>
      </c>
      <c r="AP674" s="175">
        <v>60</v>
      </c>
      <c r="AQ674" s="175">
        <v>7</v>
      </c>
      <c r="AR674" s="175">
        <v>1</v>
      </c>
      <c r="AS674" s="175">
        <v>16</v>
      </c>
      <c r="AT674" s="175">
        <v>4</v>
      </c>
    </row>
    <row r="675" spans="1:46">
      <c r="A675">
        <v>10203</v>
      </c>
      <c r="B675" t="s">
        <v>4760</v>
      </c>
      <c r="C675" t="s">
        <v>4761</v>
      </c>
      <c r="E675" t="s">
        <v>4762</v>
      </c>
      <c r="G675" t="s">
        <v>636</v>
      </c>
      <c r="H675" t="s">
        <v>449</v>
      </c>
      <c r="J675" t="s">
        <v>4032</v>
      </c>
      <c r="K675" t="s">
        <v>606</v>
      </c>
      <c r="M675" t="s">
        <v>607</v>
      </c>
      <c r="N675" t="s">
        <v>4586</v>
      </c>
      <c r="O675" t="s">
        <v>609</v>
      </c>
      <c r="P675" t="s">
        <v>610</v>
      </c>
      <c r="Q675" t="s">
        <v>509</v>
      </c>
      <c r="R675" t="s">
        <v>611</v>
      </c>
      <c r="S675" t="s">
        <v>612</v>
      </c>
      <c r="T675" t="s">
        <v>613</v>
      </c>
      <c r="U675">
        <v>103501</v>
      </c>
      <c r="V675" t="s">
        <v>636</v>
      </c>
      <c r="W675" t="s">
        <v>637</v>
      </c>
      <c r="X675" t="s">
        <v>4763</v>
      </c>
      <c r="Y675" t="s">
        <v>4764</v>
      </c>
      <c r="AA675" t="s">
        <v>4765</v>
      </c>
      <c r="AB675" t="s">
        <v>4766</v>
      </c>
      <c r="AC675">
        <v>99060</v>
      </c>
      <c r="AD675" t="s">
        <v>638</v>
      </c>
      <c r="AE675">
        <v>-35.408357369999997</v>
      </c>
      <c r="AF675">
        <v>173.80613321999999</v>
      </c>
      <c r="AG675" s="175">
        <v>33</v>
      </c>
      <c r="AH675" s="175">
        <v>10</v>
      </c>
      <c r="AI675" s="175">
        <v>0</v>
      </c>
      <c r="AJ675" s="175">
        <v>1</v>
      </c>
      <c r="AK675" s="175">
        <v>3</v>
      </c>
      <c r="AL675" s="175">
        <v>6</v>
      </c>
      <c r="AM675" s="175">
        <v>10</v>
      </c>
      <c r="AN675" s="175">
        <v>0</v>
      </c>
      <c r="AO675" s="175">
        <v>20</v>
      </c>
      <c r="AP675" s="175">
        <v>8</v>
      </c>
      <c r="AQ675" s="175">
        <v>19</v>
      </c>
      <c r="AR675" s="175">
        <v>2</v>
      </c>
      <c r="AS675" s="175">
        <v>0</v>
      </c>
      <c r="AT675" s="175">
        <v>0</v>
      </c>
    </row>
    <row r="676" spans="1:46">
      <c r="A676">
        <v>10205</v>
      </c>
      <c r="B676" t="s">
        <v>4767</v>
      </c>
      <c r="C676" t="s">
        <v>4768</v>
      </c>
      <c r="D676" t="s">
        <v>4769</v>
      </c>
      <c r="E676" t="s">
        <v>4770</v>
      </c>
      <c r="F676" t="s">
        <v>897</v>
      </c>
      <c r="G676" t="s">
        <v>737</v>
      </c>
      <c r="H676" t="s">
        <v>449</v>
      </c>
      <c r="J676" t="s">
        <v>4032</v>
      </c>
      <c r="K676" t="s">
        <v>606</v>
      </c>
      <c r="M676" t="s">
        <v>607</v>
      </c>
      <c r="N676" t="s">
        <v>643</v>
      </c>
      <c r="O676" t="s">
        <v>898</v>
      </c>
      <c r="P676" t="s">
        <v>739</v>
      </c>
      <c r="Q676" t="s">
        <v>467</v>
      </c>
      <c r="R676" t="s">
        <v>724</v>
      </c>
      <c r="S676" t="s">
        <v>824</v>
      </c>
      <c r="T676" t="s">
        <v>613</v>
      </c>
      <c r="U676">
        <v>122501</v>
      </c>
      <c r="V676" t="s">
        <v>4771</v>
      </c>
      <c r="W676" t="s">
        <v>900</v>
      </c>
      <c r="X676" t="s">
        <v>4772</v>
      </c>
      <c r="Y676" t="s">
        <v>4773</v>
      </c>
      <c r="AA676" t="s">
        <v>4774</v>
      </c>
      <c r="AB676" t="s">
        <v>4775</v>
      </c>
      <c r="AE676">
        <v>-36.841246169999998</v>
      </c>
      <c r="AF676">
        <v>174.61496360000001</v>
      </c>
      <c r="AG676" s="175">
        <v>49</v>
      </c>
      <c r="AH676" s="175">
        <v>20</v>
      </c>
      <c r="AI676" s="175">
        <v>1</v>
      </c>
      <c r="AJ676" s="175">
        <v>11</v>
      </c>
      <c r="AK676" s="175">
        <v>19</v>
      </c>
      <c r="AL676" s="175">
        <v>12</v>
      </c>
      <c r="AM676" s="175">
        <v>6</v>
      </c>
      <c r="AN676" s="175">
        <v>0</v>
      </c>
      <c r="AO676" s="175">
        <v>49</v>
      </c>
      <c r="AP676" s="175">
        <v>32</v>
      </c>
      <c r="AQ676" s="175">
        <v>10</v>
      </c>
      <c r="AR676" s="175">
        <v>8</v>
      </c>
      <c r="AS676" s="175">
        <v>11</v>
      </c>
      <c r="AT676" s="175">
        <v>6</v>
      </c>
    </row>
    <row r="677" spans="1:46">
      <c r="A677">
        <v>10206</v>
      </c>
      <c r="B677" t="s">
        <v>4776</v>
      </c>
      <c r="C677" t="s">
        <v>4777</v>
      </c>
      <c r="E677" t="s">
        <v>4778</v>
      </c>
      <c r="G677" t="s">
        <v>3744</v>
      </c>
      <c r="H677" t="s">
        <v>449</v>
      </c>
      <c r="J677" t="s">
        <v>4032</v>
      </c>
      <c r="K677" t="s">
        <v>606</v>
      </c>
      <c r="M677" t="s">
        <v>607</v>
      </c>
      <c r="N677" t="s">
        <v>608</v>
      </c>
      <c r="O677" t="s">
        <v>609</v>
      </c>
      <c r="P677" t="s">
        <v>610</v>
      </c>
      <c r="Q677" t="s">
        <v>509</v>
      </c>
      <c r="R677" t="s">
        <v>611</v>
      </c>
      <c r="S677" t="s">
        <v>612</v>
      </c>
      <c r="T677" t="s">
        <v>613</v>
      </c>
      <c r="U677">
        <v>103000</v>
      </c>
      <c r="V677" t="s">
        <v>3745</v>
      </c>
      <c r="W677" t="s">
        <v>644</v>
      </c>
      <c r="X677" t="s">
        <v>4050</v>
      </c>
      <c r="Y677" t="s">
        <v>4051</v>
      </c>
      <c r="AA677" t="s">
        <v>4052</v>
      </c>
      <c r="AE677">
        <v>-35.229535609999999</v>
      </c>
      <c r="AF677">
        <v>173.9553646</v>
      </c>
      <c r="AG677" s="175">
        <v>42</v>
      </c>
      <c r="AH677" s="175">
        <v>25</v>
      </c>
      <c r="AI677" s="175">
        <v>2</v>
      </c>
      <c r="AJ677" s="175">
        <v>24</v>
      </c>
      <c r="AK677" s="175">
        <v>12</v>
      </c>
      <c r="AL677" s="175">
        <v>2</v>
      </c>
      <c r="AM677" s="175">
        <v>0</v>
      </c>
      <c r="AN677" s="175">
        <v>0</v>
      </c>
      <c r="AO677" s="175">
        <v>40</v>
      </c>
      <c r="AP677" s="175">
        <v>31</v>
      </c>
      <c r="AQ677" s="175">
        <v>14</v>
      </c>
      <c r="AR677" s="175">
        <v>5</v>
      </c>
      <c r="AS677" s="175">
        <v>3</v>
      </c>
      <c r="AT677" s="175">
        <v>3</v>
      </c>
    </row>
    <row r="678" spans="1:46">
      <c r="A678">
        <v>10209</v>
      </c>
      <c r="B678" t="s">
        <v>4779</v>
      </c>
      <c r="C678" t="s">
        <v>4780</v>
      </c>
      <c r="D678" t="s">
        <v>4781</v>
      </c>
      <c r="E678" t="s">
        <v>4782</v>
      </c>
      <c r="F678" t="s">
        <v>3841</v>
      </c>
      <c r="G678" t="s">
        <v>1681</v>
      </c>
      <c r="H678" t="s">
        <v>450</v>
      </c>
      <c r="J678" t="s">
        <v>4032</v>
      </c>
      <c r="K678" t="s">
        <v>606</v>
      </c>
      <c r="M678" t="s">
        <v>607</v>
      </c>
      <c r="N678" t="s">
        <v>657</v>
      </c>
      <c r="O678" t="s">
        <v>1780</v>
      </c>
      <c r="P678" t="s">
        <v>739</v>
      </c>
      <c r="Q678" t="s">
        <v>511</v>
      </c>
      <c r="R678" t="s">
        <v>724</v>
      </c>
      <c r="S678" t="s">
        <v>1781</v>
      </c>
      <c r="T678" t="s">
        <v>1557</v>
      </c>
      <c r="U678">
        <v>197000</v>
      </c>
      <c r="V678" t="s">
        <v>4783</v>
      </c>
      <c r="W678" t="s">
        <v>1783</v>
      </c>
      <c r="X678" t="s">
        <v>4784</v>
      </c>
      <c r="Y678" t="s">
        <v>4782</v>
      </c>
      <c r="Z678" t="s">
        <v>3841</v>
      </c>
      <c r="AA678" t="s">
        <v>4785</v>
      </c>
      <c r="AE678">
        <v>-37.69715394</v>
      </c>
      <c r="AF678">
        <v>176.26225027999999</v>
      </c>
      <c r="AG678" s="175">
        <v>60</v>
      </c>
      <c r="AH678" s="175">
        <v>60</v>
      </c>
      <c r="AI678" s="175">
        <v>2</v>
      </c>
      <c r="AJ678" s="175">
        <v>13</v>
      </c>
      <c r="AK678" s="175">
        <v>11</v>
      </c>
      <c r="AL678" s="175">
        <v>14</v>
      </c>
      <c r="AM678" s="175">
        <v>4</v>
      </c>
      <c r="AN678" s="175">
        <v>1</v>
      </c>
      <c r="AO678" s="175">
        <v>45</v>
      </c>
      <c r="AP678" s="175">
        <v>21</v>
      </c>
      <c r="AQ678" s="175">
        <v>5</v>
      </c>
      <c r="AR678" s="175">
        <v>3</v>
      </c>
      <c r="AS678" s="175">
        <v>20</v>
      </c>
      <c r="AT678" s="175">
        <v>1</v>
      </c>
    </row>
    <row r="679" spans="1:46">
      <c r="A679">
        <v>10210</v>
      </c>
      <c r="B679" t="s">
        <v>4786</v>
      </c>
      <c r="C679" t="s">
        <v>4787</v>
      </c>
      <c r="D679" t="s">
        <v>4788</v>
      </c>
      <c r="E679" t="s">
        <v>4789</v>
      </c>
      <c r="F679" t="s">
        <v>4495</v>
      </c>
      <c r="G679" t="s">
        <v>737</v>
      </c>
      <c r="H679" t="s">
        <v>452</v>
      </c>
      <c r="J679" t="s">
        <v>605</v>
      </c>
      <c r="K679" t="s">
        <v>606</v>
      </c>
      <c r="M679" t="s">
        <v>607</v>
      </c>
      <c r="N679" t="s">
        <v>657</v>
      </c>
      <c r="O679" t="s">
        <v>889</v>
      </c>
      <c r="P679" t="s">
        <v>739</v>
      </c>
      <c r="Q679" t="s">
        <v>467</v>
      </c>
      <c r="R679" t="s">
        <v>793</v>
      </c>
      <c r="S679" t="s">
        <v>965</v>
      </c>
      <c r="T679" t="s">
        <v>794</v>
      </c>
      <c r="U679">
        <v>145102</v>
      </c>
      <c r="V679" t="s">
        <v>4790</v>
      </c>
      <c r="W679" t="s">
        <v>909</v>
      </c>
      <c r="X679" t="s">
        <v>727</v>
      </c>
      <c r="Y679" t="s">
        <v>728</v>
      </c>
      <c r="Z679" t="s">
        <v>729</v>
      </c>
      <c r="AA679" t="s">
        <v>730</v>
      </c>
      <c r="AB679" t="s">
        <v>731</v>
      </c>
      <c r="AE679">
        <v>-36.863010180000003</v>
      </c>
      <c r="AF679">
        <v>174.87699660000001</v>
      </c>
      <c r="AG679" s="175">
        <v>40</v>
      </c>
      <c r="AH679" s="175">
        <v>0</v>
      </c>
      <c r="AI679" s="175">
        <v>0</v>
      </c>
      <c r="AJ679" s="175">
        <v>0</v>
      </c>
      <c r="AK679" s="175">
        <v>0</v>
      </c>
      <c r="AL679" s="175">
        <v>13</v>
      </c>
      <c r="AM679" s="175">
        <v>30</v>
      </c>
      <c r="AN679" s="175">
        <v>0</v>
      </c>
      <c r="AO679" s="175">
        <v>43</v>
      </c>
      <c r="AP679" s="175">
        <v>36</v>
      </c>
      <c r="AQ679" s="175">
        <v>5</v>
      </c>
      <c r="AR679" s="175">
        <v>2</v>
      </c>
      <c r="AS679" s="175">
        <v>7</v>
      </c>
      <c r="AT679" s="175">
        <v>2</v>
      </c>
    </row>
    <row r="680" spans="1:46">
      <c r="A680">
        <v>10211</v>
      </c>
      <c r="B680" t="s">
        <v>4791</v>
      </c>
      <c r="C680" t="s">
        <v>4792</v>
      </c>
      <c r="D680" t="s">
        <v>4793</v>
      </c>
      <c r="E680" t="s">
        <v>4794</v>
      </c>
      <c r="G680" t="s">
        <v>752</v>
      </c>
      <c r="H680" t="s">
        <v>449</v>
      </c>
      <c r="J680" t="s">
        <v>4032</v>
      </c>
      <c r="K680" t="s">
        <v>606</v>
      </c>
      <c r="M680" t="s">
        <v>607</v>
      </c>
      <c r="N680" t="s">
        <v>657</v>
      </c>
      <c r="O680" t="s">
        <v>738</v>
      </c>
      <c r="P680" t="s">
        <v>670</v>
      </c>
      <c r="Q680" t="s">
        <v>467</v>
      </c>
      <c r="R680" t="s">
        <v>724</v>
      </c>
      <c r="S680" t="s">
        <v>753</v>
      </c>
      <c r="T680" t="s">
        <v>613</v>
      </c>
      <c r="U680">
        <v>113900</v>
      </c>
      <c r="V680" t="s">
        <v>4795</v>
      </c>
      <c r="W680" t="s">
        <v>742</v>
      </c>
      <c r="X680" t="s">
        <v>4165</v>
      </c>
      <c r="Y680" t="s">
        <v>4166</v>
      </c>
      <c r="Z680" t="s">
        <v>4167</v>
      </c>
      <c r="AA680" t="s">
        <v>4168</v>
      </c>
      <c r="AB680" t="s">
        <v>4169</v>
      </c>
      <c r="AE680">
        <v>-36.608401790000002</v>
      </c>
      <c r="AF680">
        <v>174.68809809999999</v>
      </c>
      <c r="AG680" s="175">
        <v>105</v>
      </c>
      <c r="AH680" s="175">
        <v>25</v>
      </c>
      <c r="AI680" s="175">
        <v>2</v>
      </c>
      <c r="AJ680" s="175">
        <v>10</v>
      </c>
      <c r="AK680" s="175">
        <v>15</v>
      </c>
      <c r="AL680" s="175">
        <v>24</v>
      </c>
      <c r="AM680" s="175">
        <v>30</v>
      </c>
      <c r="AN680" s="175">
        <v>2</v>
      </c>
      <c r="AO680" s="175">
        <v>83</v>
      </c>
      <c r="AP680" s="175">
        <v>59</v>
      </c>
      <c r="AQ680" s="175">
        <v>5</v>
      </c>
      <c r="AR680" s="175">
        <v>2</v>
      </c>
      <c r="AS680" s="175">
        <v>26</v>
      </c>
      <c r="AT680" s="175">
        <v>1</v>
      </c>
    </row>
    <row r="681" spans="1:46">
      <c r="A681">
        <v>10217</v>
      </c>
      <c r="B681" t="s">
        <v>4796</v>
      </c>
      <c r="C681" t="s">
        <v>4797</v>
      </c>
      <c r="D681" t="s">
        <v>4798</v>
      </c>
      <c r="E681" t="s">
        <v>4799</v>
      </c>
      <c r="F681" t="s">
        <v>767</v>
      </c>
      <c r="G681" t="s">
        <v>737</v>
      </c>
      <c r="H681" t="s">
        <v>449</v>
      </c>
      <c r="J681" t="s">
        <v>4032</v>
      </c>
      <c r="K681" t="s">
        <v>606</v>
      </c>
      <c r="M681" t="s">
        <v>607</v>
      </c>
      <c r="N681" t="s">
        <v>657</v>
      </c>
      <c r="O681" t="s">
        <v>1253</v>
      </c>
      <c r="P681" t="s">
        <v>739</v>
      </c>
      <c r="Q681" t="s">
        <v>467</v>
      </c>
      <c r="R681" t="s">
        <v>724</v>
      </c>
      <c r="S681" t="s">
        <v>740</v>
      </c>
      <c r="T681" t="s">
        <v>613</v>
      </c>
      <c r="U681">
        <v>116900</v>
      </c>
      <c r="V681" t="s">
        <v>4800</v>
      </c>
      <c r="W681" t="s">
        <v>742</v>
      </c>
      <c r="X681" t="s">
        <v>4165</v>
      </c>
      <c r="Y681" t="s">
        <v>4166</v>
      </c>
      <c r="Z681" t="s">
        <v>4167</v>
      </c>
      <c r="AA681" t="s">
        <v>4168</v>
      </c>
      <c r="AB681" t="s">
        <v>4169</v>
      </c>
      <c r="AC681">
        <v>99121</v>
      </c>
      <c r="AD681" t="s">
        <v>747</v>
      </c>
      <c r="AE681">
        <v>-36.717059159999998</v>
      </c>
      <c r="AF681">
        <v>174.71474860000001</v>
      </c>
      <c r="AG681" s="175">
        <v>50</v>
      </c>
      <c r="AH681" s="175">
        <v>17</v>
      </c>
      <c r="AI681" s="175">
        <v>1</v>
      </c>
      <c r="AJ681" s="175">
        <v>3</v>
      </c>
      <c r="AK681" s="175">
        <v>10</v>
      </c>
      <c r="AL681" s="175">
        <v>14</v>
      </c>
      <c r="AM681" s="175">
        <v>16</v>
      </c>
      <c r="AN681" s="175">
        <v>0</v>
      </c>
      <c r="AO681" s="175">
        <v>44</v>
      </c>
      <c r="AP681" s="175">
        <v>21</v>
      </c>
      <c r="AQ681" s="175">
        <v>3</v>
      </c>
      <c r="AR681" s="175">
        <v>3</v>
      </c>
      <c r="AS681" s="175">
        <v>21</v>
      </c>
      <c r="AT681" s="175">
        <v>4</v>
      </c>
    </row>
    <row r="682" spans="1:46">
      <c r="A682">
        <v>10218</v>
      </c>
      <c r="B682" t="s">
        <v>4801</v>
      </c>
      <c r="C682" t="s">
        <v>4802</v>
      </c>
      <c r="D682" t="s">
        <v>4803</v>
      </c>
      <c r="E682" t="s">
        <v>4804</v>
      </c>
      <c r="F682" t="s">
        <v>932</v>
      </c>
      <c r="G682" t="s">
        <v>737</v>
      </c>
      <c r="H682" t="s">
        <v>449</v>
      </c>
      <c r="J682" t="s">
        <v>4032</v>
      </c>
      <c r="K682" t="s">
        <v>606</v>
      </c>
      <c r="M682" t="s">
        <v>607</v>
      </c>
      <c r="N682" t="s">
        <v>3217</v>
      </c>
      <c r="O682" t="s">
        <v>933</v>
      </c>
      <c r="P682" t="s">
        <v>739</v>
      </c>
      <c r="Q682" t="s">
        <v>467</v>
      </c>
      <c r="R682" t="s">
        <v>814</v>
      </c>
      <c r="S682" t="s">
        <v>934</v>
      </c>
      <c r="T682" t="s">
        <v>794</v>
      </c>
      <c r="U682">
        <v>147900</v>
      </c>
      <c r="V682" t="s">
        <v>4805</v>
      </c>
      <c r="W682" t="s">
        <v>817</v>
      </c>
      <c r="X682" t="s">
        <v>4806</v>
      </c>
      <c r="Y682" t="s">
        <v>4807</v>
      </c>
      <c r="Z682" t="s">
        <v>2473</v>
      </c>
      <c r="AA682" t="s">
        <v>4808</v>
      </c>
      <c r="AE682">
        <v>-36.978953689999997</v>
      </c>
      <c r="AF682">
        <v>174.77903119999999</v>
      </c>
      <c r="AG682" s="175">
        <v>65</v>
      </c>
      <c r="AH682" s="175">
        <v>20</v>
      </c>
      <c r="AI682" s="175">
        <v>1</v>
      </c>
      <c r="AJ682" s="175">
        <v>5</v>
      </c>
      <c r="AK682" s="175">
        <v>8</v>
      </c>
      <c r="AL682" s="175">
        <v>9</v>
      </c>
      <c r="AM682" s="175">
        <v>9</v>
      </c>
      <c r="AN682" s="175">
        <v>0</v>
      </c>
      <c r="AO682" s="175">
        <v>32</v>
      </c>
      <c r="AP682" s="175">
        <v>10</v>
      </c>
      <c r="AQ682" s="175">
        <v>3</v>
      </c>
      <c r="AR682" s="175">
        <v>24</v>
      </c>
      <c r="AS682" s="175">
        <v>2</v>
      </c>
      <c r="AT682" s="175">
        <v>0</v>
      </c>
    </row>
    <row r="683" spans="1:46">
      <c r="A683">
        <v>10220</v>
      </c>
      <c r="B683" t="s">
        <v>4809</v>
      </c>
      <c r="C683" t="s">
        <v>4810</v>
      </c>
      <c r="D683" t="s">
        <v>4811</v>
      </c>
      <c r="E683" t="s">
        <v>4812</v>
      </c>
      <c r="F683" t="s">
        <v>4813</v>
      </c>
      <c r="G683" t="s">
        <v>737</v>
      </c>
      <c r="H683" t="s">
        <v>449</v>
      </c>
      <c r="I683" t="s">
        <v>4134</v>
      </c>
      <c r="J683" t="s">
        <v>4032</v>
      </c>
      <c r="K683" t="s">
        <v>606</v>
      </c>
      <c r="M683" t="s">
        <v>607</v>
      </c>
      <c r="N683" t="s">
        <v>657</v>
      </c>
      <c r="O683" t="s">
        <v>958</v>
      </c>
      <c r="P683" t="s">
        <v>739</v>
      </c>
      <c r="Q683" t="s">
        <v>467</v>
      </c>
      <c r="R683" t="s">
        <v>724</v>
      </c>
      <c r="S683" t="s">
        <v>804</v>
      </c>
      <c r="T683" t="s">
        <v>794</v>
      </c>
      <c r="U683">
        <v>134700</v>
      </c>
      <c r="V683" t="s">
        <v>4814</v>
      </c>
      <c r="W683" t="s">
        <v>900</v>
      </c>
      <c r="X683" t="s">
        <v>4815</v>
      </c>
      <c r="Y683" t="s">
        <v>4812</v>
      </c>
      <c r="Z683" t="s">
        <v>4813</v>
      </c>
      <c r="AA683" t="s">
        <v>4387</v>
      </c>
      <c r="AB683" t="s">
        <v>4810</v>
      </c>
      <c r="AC683">
        <v>99062</v>
      </c>
      <c r="AD683" t="s">
        <v>978</v>
      </c>
      <c r="AE683">
        <v>-36.925464859999998</v>
      </c>
      <c r="AF683">
        <v>174.65227963999999</v>
      </c>
      <c r="AG683" s="175">
        <v>20</v>
      </c>
      <c r="AH683" s="175">
        <v>0</v>
      </c>
      <c r="AI683" s="175">
        <v>0</v>
      </c>
      <c r="AJ683" s="175">
        <v>0</v>
      </c>
      <c r="AK683" s="175">
        <v>1</v>
      </c>
      <c r="AL683" s="175">
        <v>6</v>
      </c>
      <c r="AM683" s="175">
        <v>11</v>
      </c>
      <c r="AN683" s="175">
        <v>1</v>
      </c>
      <c r="AO683" s="175">
        <v>19</v>
      </c>
      <c r="AP683" s="175">
        <v>11</v>
      </c>
      <c r="AQ683" s="175">
        <v>0</v>
      </c>
      <c r="AR683" s="175">
        <v>0</v>
      </c>
      <c r="AS683" s="175">
        <v>11</v>
      </c>
      <c r="AT683" s="175">
        <v>1</v>
      </c>
    </row>
    <row r="684" spans="1:46">
      <c r="A684">
        <v>10225</v>
      </c>
      <c r="B684" t="s">
        <v>4816</v>
      </c>
      <c r="C684" t="s">
        <v>4817</v>
      </c>
      <c r="D684" t="s">
        <v>4818</v>
      </c>
      <c r="E684" t="s">
        <v>4819</v>
      </c>
      <c r="F684" t="s">
        <v>4757</v>
      </c>
      <c r="G684" t="s">
        <v>737</v>
      </c>
      <c r="H684" t="s">
        <v>449</v>
      </c>
      <c r="J684" t="s">
        <v>605</v>
      </c>
      <c r="K684" t="s">
        <v>606</v>
      </c>
      <c r="M684" t="s">
        <v>607</v>
      </c>
      <c r="N684" t="s">
        <v>657</v>
      </c>
      <c r="O684" t="s">
        <v>942</v>
      </c>
      <c r="P684" t="s">
        <v>739</v>
      </c>
      <c r="Q684" t="s">
        <v>467</v>
      </c>
      <c r="R684" t="s">
        <v>793</v>
      </c>
      <c r="S684" t="s">
        <v>907</v>
      </c>
      <c r="T684" t="s">
        <v>794</v>
      </c>
      <c r="U684">
        <v>140300</v>
      </c>
      <c r="V684" t="s">
        <v>4569</v>
      </c>
      <c r="W684" t="s">
        <v>945</v>
      </c>
      <c r="X684" t="s">
        <v>4013</v>
      </c>
      <c r="Y684" t="s">
        <v>4014</v>
      </c>
      <c r="Z684" t="s">
        <v>4015</v>
      </c>
      <c r="AA684" t="s">
        <v>4016</v>
      </c>
      <c r="AB684" t="s">
        <v>4017</v>
      </c>
      <c r="AE684">
        <v>-36.88070647</v>
      </c>
      <c r="AF684">
        <v>174.78373504000001</v>
      </c>
      <c r="AG684" s="175">
        <v>50</v>
      </c>
      <c r="AH684" s="175">
        <v>16</v>
      </c>
      <c r="AI684" s="175">
        <v>3</v>
      </c>
      <c r="AJ684" s="175">
        <v>10</v>
      </c>
      <c r="AK684" s="175">
        <v>15</v>
      </c>
      <c r="AL684" s="175">
        <v>14</v>
      </c>
      <c r="AM684" s="175">
        <v>13</v>
      </c>
      <c r="AN684" s="175">
        <v>0</v>
      </c>
      <c r="AO684" s="175">
        <v>55</v>
      </c>
      <c r="AP684" s="175">
        <v>9</v>
      </c>
      <c r="AQ684" s="175">
        <v>1</v>
      </c>
      <c r="AR684" s="175">
        <v>6</v>
      </c>
      <c r="AS684" s="175">
        <v>42</v>
      </c>
      <c r="AT684" s="175">
        <v>6</v>
      </c>
    </row>
    <row r="685" spans="1:46">
      <c r="A685">
        <v>10229</v>
      </c>
      <c r="B685" t="s">
        <v>4820</v>
      </c>
      <c r="C685" t="s">
        <v>4821</v>
      </c>
      <c r="E685" t="s">
        <v>4822</v>
      </c>
      <c r="F685" t="s">
        <v>1157</v>
      </c>
      <c r="G685" t="s">
        <v>737</v>
      </c>
      <c r="H685" t="s">
        <v>451</v>
      </c>
      <c r="I685" t="s">
        <v>4102</v>
      </c>
      <c r="J685" t="s">
        <v>605</v>
      </c>
      <c r="K685" t="s">
        <v>606</v>
      </c>
      <c r="M685" t="s">
        <v>607</v>
      </c>
      <c r="N685" t="s">
        <v>812</v>
      </c>
      <c r="O685" t="s">
        <v>813</v>
      </c>
      <c r="P685" t="s">
        <v>739</v>
      </c>
      <c r="Q685" t="s">
        <v>467</v>
      </c>
      <c r="R685" t="s">
        <v>814</v>
      </c>
      <c r="S685" t="s">
        <v>815</v>
      </c>
      <c r="T685" t="s">
        <v>794</v>
      </c>
      <c r="U685">
        <v>152700</v>
      </c>
      <c r="V685" t="s">
        <v>4823</v>
      </c>
      <c r="W685" t="s">
        <v>817</v>
      </c>
      <c r="X685" t="s">
        <v>4824</v>
      </c>
      <c r="Y685" t="s">
        <v>4825</v>
      </c>
      <c r="AA685" t="s">
        <v>4826</v>
      </c>
      <c r="AE685">
        <v>-36.963300539999999</v>
      </c>
      <c r="AF685">
        <v>174.84000327999999</v>
      </c>
      <c r="AG685" s="175">
        <v>20</v>
      </c>
      <c r="AH685" s="175">
        <v>8</v>
      </c>
      <c r="AI685" s="175"/>
      <c r="AJ685" s="175"/>
      <c r="AK685" s="175"/>
      <c r="AL685" s="175"/>
      <c r="AM685" s="175"/>
      <c r="AN685" s="175"/>
      <c r="AO685" s="175"/>
      <c r="AP685" s="175"/>
      <c r="AQ685" s="175"/>
      <c r="AR685" s="175"/>
      <c r="AS685" s="175"/>
    </row>
    <row r="686" spans="1:46">
      <c r="A686">
        <v>10233</v>
      </c>
      <c r="B686" t="s">
        <v>4827</v>
      </c>
      <c r="C686" t="s">
        <v>4828</v>
      </c>
      <c r="D686" t="s">
        <v>4829</v>
      </c>
      <c r="E686" t="s">
        <v>4830</v>
      </c>
      <c r="F686" t="s">
        <v>4831</v>
      </c>
      <c r="G686" t="s">
        <v>737</v>
      </c>
      <c r="H686" t="s">
        <v>449</v>
      </c>
      <c r="J686" t="s">
        <v>4032</v>
      </c>
      <c r="K686" t="s">
        <v>606</v>
      </c>
      <c r="M686" t="s">
        <v>607</v>
      </c>
      <c r="N686" t="s">
        <v>657</v>
      </c>
      <c r="O686" t="s">
        <v>942</v>
      </c>
      <c r="P686" t="s">
        <v>739</v>
      </c>
      <c r="Q686" t="s">
        <v>467</v>
      </c>
      <c r="R686" t="s">
        <v>793</v>
      </c>
      <c r="S686" t="s">
        <v>907</v>
      </c>
      <c r="T686" t="s">
        <v>794</v>
      </c>
      <c r="U686">
        <v>142201</v>
      </c>
      <c r="V686" t="s">
        <v>4832</v>
      </c>
      <c r="W686" t="s">
        <v>945</v>
      </c>
      <c r="X686" t="s">
        <v>4833</v>
      </c>
      <c r="Y686" t="s">
        <v>4830</v>
      </c>
      <c r="Z686" t="s">
        <v>4831</v>
      </c>
      <c r="AA686" t="s">
        <v>4834</v>
      </c>
      <c r="AE686">
        <v>-36.88813785</v>
      </c>
      <c r="AF686">
        <v>174.79356766999999</v>
      </c>
      <c r="AG686" s="175">
        <v>73</v>
      </c>
      <c r="AH686" s="175">
        <v>20</v>
      </c>
      <c r="AI686" s="175">
        <v>2</v>
      </c>
      <c r="AJ686" s="175">
        <v>7</v>
      </c>
      <c r="AK686" s="175">
        <v>10</v>
      </c>
      <c r="AL686" s="175">
        <v>6</v>
      </c>
      <c r="AM686" s="175">
        <v>10</v>
      </c>
      <c r="AN686" s="175">
        <v>2</v>
      </c>
      <c r="AO686" s="175">
        <v>37</v>
      </c>
      <c r="AP686" s="175">
        <v>17</v>
      </c>
      <c r="AQ686" s="175">
        <v>3</v>
      </c>
      <c r="AR686" s="175">
        <v>9</v>
      </c>
      <c r="AS686" s="175">
        <v>14</v>
      </c>
      <c r="AT686" s="175">
        <v>5</v>
      </c>
    </row>
    <row r="687" spans="1:46">
      <c r="A687">
        <v>10234</v>
      </c>
      <c r="B687" t="s">
        <v>4835</v>
      </c>
      <c r="C687" t="s">
        <v>4836</v>
      </c>
      <c r="E687" t="s">
        <v>4837</v>
      </c>
      <c r="F687" t="s">
        <v>1193</v>
      </c>
      <c r="G687" t="s">
        <v>737</v>
      </c>
      <c r="H687" t="s">
        <v>449</v>
      </c>
      <c r="I687" t="s">
        <v>4233</v>
      </c>
      <c r="J687" t="s">
        <v>4032</v>
      </c>
      <c r="K687" t="s">
        <v>606</v>
      </c>
      <c r="M687" t="s">
        <v>607</v>
      </c>
      <c r="N687" t="s">
        <v>812</v>
      </c>
      <c r="O687" t="s">
        <v>914</v>
      </c>
      <c r="P687" t="s">
        <v>739</v>
      </c>
      <c r="Q687" t="s">
        <v>467</v>
      </c>
      <c r="R687" t="s">
        <v>793</v>
      </c>
      <c r="S687" t="s">
        <v>815</v>
      </c>
      <c r="T687" t="s">
        <v>794</v>
      </c>
      <c r="U687">
        <v>146301</v>
      </c>
      <c r="V687" t="s">
        <v>1194</v>
      </c>
      <c r="W687" t="s">
        <v>892</v>
      </c>
      <c r="X687" t="s">
        <v>4838</v>
      </c>
      <c r="Y687" t="s">
        <v>4839</v>
      </c>
      <c r="Z687" t="s">
        <v>964</v>
      </c>
      <c r="AA687" t="s">
        <v>4840</v>
      </c>
      <c r="AB687" t="s">
        <v>4841</v>
      </c>
      <c r="AE687">
        <v>-36.881990569999999</v>
      </c>
      <c r="AF687">
        <v>174.85941166999999</v>
      </c>
      <c r="AG687" s="175">
        <v>34</v>
      </c>
      <c r="AH687" s="175">
        <v>10</v>
      </c>
      <c r="AI687" s="175">
        <v>0</v>
      </c>
      <c r="AJ687" s="175">
        <v>4</v>
      </c>
      <c r="AK687" s="175">
        <v>7</v>
      </c>
      <c r="AL687" s="175">
        <v>6</v>
      </c>
      <c r="AM687" s="175">
        <v>5</v>
      </c>
      <c r="AN687" s="175">
        <v>2</v>
      </c>
      <c r="AO687" s="175">
        <v>24</v>
      </c>
      <c r="AP687" s="175">
        <v>3</v>
      </c>
      <c r="AQ687" s="175">
        <v>6</v>
      </c>
      <c r="AR687" s="175">
        <v>17</v>
      </c>
      <c r="AS687" s="175">
        <v>1</v>
      </c>
      <c r="AT687" s="175">
        <v>2</v>
      </c>
    </row>
    <row r="688" spans="1:46">
      <c r="A688">
        <v>10236</v>
      </c>
      <c r="B688" t="s">
        <v>4842</v>
      </c>
      <c r="C688" t="s">
        <v>4843</v>
      </c>
      <c r="D688" t="s">
        <v>4844</v>
      </c>
      <c r="E688" t="s">
        <v>4845</v>
      </c>
      <c r="F688" t="s">
        <v>4022</v>
      </c>
      <c r="G688" t="s">
        <v>737</v>
      </c>
      <c r="H688" t="s">
        <v>449</v>
      </c>
      <c r="J688" t="s">
        <v>4032</v>
      </c>
      <c r="K688" t="s">
        <v>606</v>
      </c>
      <c r="M688" t="s">
        <v>607</v>
      </c>
      <c r="N688" t="s">
        <v>657</v>
      </c>
      <c r="O688" t="s">
        <v>1253</v>
      </c>
      <c r="P688" t="s">
        <v>739</v>
      </c>
      <c r="Q688" t="s">
        <v>467</v>
      </c>
      <c r="R688" t="s">
        <v>724</v>
      </c>
      <c r="S688" t="s">
        <v>740</v>
      </c>
      <c r="T688" t="s">
        <v>613</v>
      </c>
      <c r="U688">
        <v>118600</v>
      </c>
      <c r="V688" t="s">
        <v>4082</v>
      </c>
      <c r="W688" t="s">
        <v>742</v>
      </c>
      <c r="X688" t="s">
        <v>4846</v>
      </c>
      <c r="Y688" t="s">
        <v>4051</v>
      </c>
      <c r="AA688" t="s">
        <v>4052</v>
      </c>
      <c r="AB688" t="s">
        <v>4843</v>
      </c>
      <c r="AE688">
        <v>-36.752303769999997</v>
      </c>
      <c r="AF688">
        <v>174.71275180000001</v>
      </c>
      <c r="AG688" s="175">
        <v>148</v>
      </c>
      <c r="AH688" s="175">
        <v>50</v>
      </c>
      <c r="AI688" s="175">
        <v>3</v>
      </c>
      <c r="AJ688" s="175">
        <v>17</v>
      </c>
      <c r="AK688" s="175">
        <v>18</v>
      </c>
      <c r="AL688" s="175">
        <v>18</v>
      </c>
      <c r="AM688" s="175">
        <v>22</v>
      </c>
      <c r="AN688" s="175">
        <v>0</v>
      </c>
      <c r="AO688" s="175">
        <v>78</v>
      </c>
      <c r="AP688" s="175">
        <v>40</v>
      </c>
      <c r="AQ688" s="175">
        <v>14</v>
      </c>
      <c r="AR688" s="175">
        <v>6</v>
      </c>
      <c r="AS688" s="175">
        <v>36</v>
      </c>
      <c r="AT688" s="175">
        <v>8</v>
      </c>
    </row>
    <row r="689" spans="1:46">
      <c r="A689">
        <v>10238</v>
      </c>
      <c r="B689" t="s">
        <v>4847</v>
      </c>
      <c r="C689" t="s">
        <v>4848</v>
      </c>
      <c r="D689" t="s">
        <v>4849</v>
      </c>
      <c r="E689" t="s">
        <v>4850</v>
      </c>
      <c r="F689" t="s">
        <v>4851</v>
      </c>
      <c r="G689" t="s">
        <v>737</v>
      </c>
      <c r="H689" t="s">
        <v>449</v>
      </c>
      <c r="J689" t="s">
        <v>4032</v>
      </c>
      <c r="K689" t="s">
        <v>606</v>
      </c>
      <c r="M689" t="s">
        <v>607</v>
      </c>
      <c r="N689" t="s">
        <v>643</v>
      </c>
      <c r="O689" t="s">
        <v>1301</v>
      </c>
      <c r="P689" t="s">
        <v>739</v>
      </c>
      <c r="Q689" t="s">
        <v>467</v>
      </c>
      <c r="R689" t="s">
        <v>814</v>
      </c>
      <c r="S689" t="s">
        <v>1302</v>
      </c>
      <c r="T689" t="s">
        <v>794</v>
      </c>
      <c r="U689">
        <v>161000</v>
      </c>
      <c r="V689" t="s">
        <v>4852</v>
      </c>
      <c r="W689" t="s">
        <v>1304</v>
      </c>
      <c r="X689" t="s">
        <v>4165</v>
      </c>
      <c r="Y689" t="s">
        <v>4166</v>
      </c>
      <c r="Z689" t="s">
        <v>4167</v>
      </c>
      <c r="AA689" t="s">
        <v>4168</v>
      </c>
      <c r="AB689" t="s">
        <v>4169</v>
      </c>
      <c r="AE689">
        <v>-37.022645310000001</v>
      </c>
      <c r="AF689">
        <v>174.91761417000001</v>
      </c>
      <c r="AG689" s="175">
        <v>70</v>
      </c>
      <c r="AH689" s="175">
        <v>25</v>
      </c>
      <c r="AI689" s="175">
        <v>6</v>
      </c>
      <c r="AJ689" s="175">
        <v>12</v>
      </c>
      <c r="AK689" s="175">
        <v>14</v>
      </c>
      <c r="AL689" s="175">
        <v>17</v>
      </c>
      <c r="AM689" s="175">
        <v>18</v>
      </c>
      <c r="AN689" s="175">
        <v>0</v>
      </c>
      <c r="AO689" s="175">
        <v>67</v>
      </c>
      <c r="AP689" s="175">
        <v>21</v>
      </c>
      <c r="AQ689" s="175">
        <v>25</v>
      </c>
      <c r="AR689" s="175">
        <v>28</v>
      </c>
      <c r="AS689" s="175">
        <v>27</v>
      </c>
      <c r="AT689" s="175">
        <v>3</v>
      </c>
    </row>
    <row r="690" spans="1:46">
      <c r="A690">
        <v>10240</v>
      </c>
      <c r="B690" t="s">
        <v>4853</v>
      </c>
      <c r="C690" t="s">
        <v>4854</v>
      </c>
      <c r="D690" t="s">
        <v>4855</v>
      </c>
      <c r="E690" t="s">
        <v>4856</v>
      </c>
      <c r="F690" t="s">
        <v>863</v>
      </c>
      <c r="G690" t="s">
        <v>737</v>
      </c>
      <c r="H690" t="s">
        <v>449</v>
      </c>
      <c r="J690" t="s">
        <v>4032</v>
      </c>
      <c r="K690" t="s">
        <v>606</v>
      </c>
      <c r="M690" t="s">
        <v>607</v>
      </c>
      <c r="N690" t="s">
        <v>657</v>
      </c>
      <c r="O690" t="s">
        <v>792</v>
      </c>
      <c r="P690" t="s">
        <v>739</v>
      </c>
      <c r="Q690" t="s">
        <v>467</v>
      </c>
      <c r="R690" t="s">
        <v>793</v>
      </c>
      <c r="S690" t="s">
        <v>863</v>
      </c>
      <c r="T690" t="s">
        <v>794</v>
      </c>
      <c r="U690">
        <v>154600</v>
      </c>
      <c r="V690" t="s">
        <v>4857</v>
      </c>
      <c r="W690" t="s">
        <v>796</v>
      </c>
      <c r="X690" t="s">
        <v>4858</v>
      </c>
      <c r="Y690" t="s">
        <v>4859</v>
      </c>
      <c r="Z690" t="s">
        <v>4860</v>
      </c>
      <c r="AA690" t="s">
        <v>4861</v>
      </c>
      <c r="AB690" t="s">
        <v>4862</v>
      </c>
      <c r="AE690">
        <v>-36.933310030000001</v>
      </c>
      <c r="AF690">
        <v>174.91481243000001</v>
      </c>
      <c r="AG690" s="175">
        <v>80</v>
      </c>
      <c r="AH690" s="175">
        <v>25</v>
      </c>
      <c r="AI690" s="175">
        <v>1</v>
      </c>
      <c r="AJ690" s="175">
        <v>16</v>
      </c>
      <c r="AK690" s="175">
        <v>17</v>
      </c>
      <c r="AL690" s="175">
        <v>20</v>
      </c>
      <c r="AM690" s="175">
        <v>16</v>
      </c>
      <c r="AN690" s="175">
        <v>0</v>
      </c>
      <c r="AO690" s="175">
        <v>70</v>
      </c>
      <c r="AP690" s="175">
        <v>19</v>
      </c>
      <c r="AQ690" s="175">
        <v>5</v>
      </c>
      <c r="AR690" s="175">
        <v>4</v>
      </c>
      <c r="AS690" s="175">
        <v>47</v>
      </c>
      <c r="AT690" s="175">
        <v>4</v>
      </c>
    </row>
    <row r="691" spans="1:46">
      <c r="A691">
        <v>10242</v>
      </c>
      <c r="B691" t="s">
        <v>4863</v>
      </c>
      <c r="C691" t="s">
        <v>4424</v>
      </c>
      <c r="D691" t="s">
        <v>4864</v>
      </c>
      <c r="E691" t="s">
        <v>4865</v>
      </c>
      <c r="F691" t="s">
        <v>932</v>
      </c>
      <c r="G691" t="s">
        <v>737</v>
      </c>
      <c r="H691" t="s">
        <v>449</v>
      </c>
      <c r="I691" t="s">
        <v>4320</v>
      </c>
      <c r="J691" t="s">
        <v>605</v>
      </c>
      <c r="K691" t="s">
        <v>606</v>
      </c>
      <c r="M691" t="s">
        <v>607</v>
      </c>
      <c r="N691" t="s">
        <v>812</v>
      </c>
      <c r="O691" t="s">
        <v>933</v>
      </c>
      <c r="P691" t="s">
        <v>739</v>
      </c>
      <c r="Q691" t="s">
        <v>467</v>
      </c>
      <c r="R691" t="s">
        <v>814</v>
      </c>
      <c r="S691" t="s">
        <v>934</v>
      </c>
      <c r="T691" t="s">
        <v>794</v>
      </c>
      <c r="U691">
        <v>150200</v>
      </c>
      <c r="V691" t="s">
        <v>1025</v>
      </c>
      <c r="W691" t="s">
        <v>817</v>
      </c>
      <c r="X691" t="s">
        <v>4421</v>
      </c>
      <c r="Y691" t="s">
        <v>4865</v>
      </c>
      <c r="Z691" t="s">
        <v>1030</v>
      </c>
      <c r="AA691" t="s">
        <v>4604</v>
      </c>
      <c r="AB691" t="s">
        <v>4424</v>
      </c>
      <c r="AC691">
        <v>99124</v>
      </c>
      <c r="AD691" t="s">
        <v>4646</v>
      </c>
      <c r="AE691">
        <v>-36.968898209999999</v>
      </c>
      <c r="AF691">
        <v>174.79559631000001</v>
      </c>
      <c r="AG691" s="175">
        <v>50</v>
      </c>
      <c r="AH691" s="175">
        <v>0</v>
      </c>
      <c r="AI691" s="175">
        <v>0</v>
      </c>
      <c r="AJ691" s="175">
        <v>0</v>
      </c>
      <c r="AK691" s="175">
        <v>8</v>
      </c>
      <c r="AL691" s="175">
        <v>14</v>
      </c>
      <c r="AM691" s="175">
        <v>21</v>
      </c>
      <c r="AN691" s="175">
        <v>1</v>
      </c>
      <c r="AO691" s="175">
        <v>44</v>
      </c>
      <c r="AP691" s="175">
        <v>2</v>
      </c>
      <c r="AQ691" s="175">
        <v>3</v>
      </c>
      <c r="AR691" s="175">
        <v>44</v>
      </c>
      <c r="AS691" s="175">
        <v>0</v>
      </c>
      <c r="AT691" s="175">
        <v>0</v>
      </c>
    </row>
    <row r="692" spans="1:46">
      <c r="A692">
        <v>10243</v>
      </c>
      <c r="B692" t="s">
        <v>4866</v>
      </c>
      <c r="C692" t="s">
        <v>4867</v>
      </c>
      <c r="D692" t="s">
        <v>4868</v>
      </c>
      <c r="E692" t="s">
        <v>4869</v>
      </c>
      <c r="F692" t="s">
        <v>4870</v>
      </c>
      <c r="G692" t="s">
        <v>737</v>
      </c>
      <c r="H692" t="s">
        <v>449</v>
      </c>
      <c r="J692" t="s">
        <v>4032</v>
      </c>
      <c r="K692" t="s">
        <v>606</v>
      </c>
      <c r="M692" t="s">
        <v>607</v>
      </c>
      <c r="N692" t="s">
        <v>657</v>
      </c>
      <c r="O692" t="s">
        <v>792</v>
      </c>
      <c r="P692" t="s">
        <v>739</v>
      </c>
      <c r="Q692" t="s">
        <v>467</v>
      </c>
      <c r="R692" t="s">
        <v>793</v>
      </c>
      <c r="S692" t="s">
        <v>863</v>
      </c>
      <c r="T692" t="s">
        <v>794</v>
      </c>
      <c r="U692">
        <v>156101</v>
      </c>
      <c r="V692" t="s">
        <v>4871</v>
      </c>
      <c r="W692" t="s">
        <v>796</v>
      </c>
      <c r="X692" t="s">
        <v>4872</v>
      </c>
      <c r="Y692" t="s">
        <v>4059</v>
      </c>
      <c r="Z692" t="s">
        <v>4060</v>
      </c>
      <c r="AA692" t="s">
        <v>4061</v>
      </c>
      <c r="AE692">
        <v>-36.947574359999997</v>
      </c>
      <c r="AF692">
        <v>174.91474385000001</v>
      </c>
      <c r="AG692" s="175">
        <v>50</v>
      </c>
      <c r="AH692" s="175">
        <v>12</v>
      </c>
      <c r="AI692" s="175">
        <v>0</v>
      </c>
      <c r="AJ692" s="175">
        <v>6</v>
      </c>
      <c r="AK692" s="175">
        <v>7</v>
      </c>
      <c r="AL692" s="175">
        <v>14</v>
      </c>
      <c r="AM692" s="175">
        <v>9</v>
      </c>
      <c r="AN692" s="175">
        <v>0</v>
      </c>
      <c r="AO692" s="175">
        <v>36</v>
      </c>
      <c r="AP692" s="175">
        <v>6</v>
      </c>
      <c r="AQ692" s="175">
        <v>6</v>
      </c>
      <c r="AR692" s="175">
        <v>9</v>
      </c>
      <c r="AS692" s="175">
        <v>17</v>
      </c>
      <c r="AT692" s="175">
        <v>7</v>
      </c>
    </row>
    <row r="693" spans="1:46">
      <c r="A693">
        <v>10248</v>
      </c>
      <c r="B693" t="s">
        <v>4873</v>
      </c>
      <c r="C693" t="s">
        <v>4874</v>
      </c>
      <c r="D693" t="s">
        <v>4875</v>
      </c>
      <c r="E693" t="s">
        <v>4876</v>
      </c>
      <c r="F693" t="s">
        <v>822</v>
      </c>
      <c r="G693" t="s">
        <v>737</v>
      </c>
      <c r="H693" t="s">
        <v>449</v>
      </c>
      <c r="J693" t="s">
        <v>605</v>
      </c>
      <c r="K693" t="s">
        <v>606</v>
      </c>
      <c r="M693" t="s">
        <v>607</v>
      </c>
      <c r="N693" t="s">
        <v>657</v>
      </c>
      <c r="O693" t="s">
        <v>823</v>
      </c>
      <c r="P693" t="s">
        <v>739</v>
      </c>
      <c r="Q693" t="s">
        <v>467</v>
      </c>
      <c r="R693" t="s">
        <v>724</v>
      </c>
      <c r="S693" t="s">
        <v>824</v>
      </c>
      <c r="T693" t="s">
        <v>613</v>
      </c>
      <c r="U693">
        <v>121401</v>
      </c>
      <c r="V693" t="s">
        <v>825</v>
      </c>
      <c r="W693" t="s">
        <v>826</v>
      </c>
      <c r="X693" t="s">
        <v>4877</v>
      </c>
      <c r="Y693" t="s">
        <v>4878</v>
      </c>
      <c r="Z693" t="s">
        <v>822</v>
      </c>
      <c r="AA693" t="s">
        <v>4879</v>
      </c>
      <c r="AB693" t="s">
        <v>4874</v>
      </c>
      <c r="AE693">
        <v>-36.771625589999999</v>
      </c>
      <c r="AF693">
        <v>174.70572404999999</v>
      </c>
      <c r="AG693" s="175">
        <v>36</v>
      </c>
      <c r="AH693" s="175">
        <v>8</v>
      </c>
      <c r="AI693" s="175">
        <v>1</v>
      </c>
      <c r="AJ693" s="175">
        <v>5</v>
      </c>
      <c r="AK693" s="175">
        <v>6</v>
      </c>
      <c r="AL693" s="175">
        <v>10</v>
      </c>
      <c r="AM693" s="175">
        <v>15</v>
      </c>
      <c r="AN693" s="175">
        <v>0</v>
      </c>
      <c r="AO693" s="175">
        <v>37</v>
      </c>
      <c r="AP693" s="175">
        <v>28</v>
      </c>
      <c r="AQ693" s="175">
        <v>2</v>
      </c>
      <c r="AR693" s="175">
        <v>3</v>
      </c>
      <c r="AS693" s="175">
        <v>5</v>
      </c>
      <c r="AT693" s="175">
        <v>4</v>
      </c>
    </row>
    <row r="694" spans="1:46">
      <c r="A694">
        <v>10254</v>
      </c>
      <c r="B694" t="s">
        <v>4880</v>
      </c>
      <c r="C694" t="s">
        <v>4881</v>
      </c>
      <c r="D694" t="s">
        <v>4882</v>
      </c>
      <c r="E694" t="s">
        <v>4883</v>
      </c>
      <c r="F694" t="s">
        <v>863</v>
      </c>
      <c r="G694" t="s">
        <v>737</v>
      </c>
      <c r="H694" t="s">
        <v>449</v>
      </c>
      <c r="J694" t="s">
        <v>4032</v>
      </c>
      <c r="K694" t="s">
        <v>606</v>
      </c>
      <c r="M694" t="s">
        <v>607</v>
      </c>
      <c r="N694" t="s">
        <v>657</v>
      </c>
      <c r="O694" t="s">
        <v>792</v>
      </c>
      <c r="P694" t="s">
        <v>739</v>
      </c>
      <c r="Q694" t="s">
        <v>467</v>
      </c>
      <c r="R694" t="s">
        <v>793</v>
      </c>
      <c r="S694" t="s">
        <v>863</v>
      </c>
      <c r="T694" t="s">
        <v>794</v>
      </c>
      <c r="U694">
        <v>155200</v>
      </c>
      <c r="V694" t="s">
        <v>4884</v>
      </c>
      <c r="W694" t="s">
        <v>796</v>
      </c>
      <c r="X694" t="s">
        <v>4885</v>
      </c>
      <c r="Y694" t="s">
        <v>4883</v>
      </c>
      <c r="Z694" t="s">
        <v>4060</v>
      </c>
      <c r="AA694" t="s">
        <v>4886</v>
      </c>
      <c r="AB694" t="s">
        <v>4887</v>
      </c>
      <c r="AE694">
        <v>-36.943814799999998</v>
      </c>
      <c r="AF694">
        <v>174.90640956999999</v>
      </c>
      <c r="AG694" s="175">
        <v>30</v>
      </c>
      <c r="AH694" s="175">
        <v>12</v>
      </c>
      <c r="AI694" s="175">
        <v>0</v>
      </c>
      <c r="AJ694" s="175">
        <v>6</v>
      </c>
      <c r="AK694" s="175">
        <v>6</v>
      </c>
      <c r="AL694" s="175">
        <v>6</v>
      </c>
      <c r="AM694" s="175">
        <v>14</v>
      </c>
      <c r="AN694" s="175">
        <v>0</v>
      </c>
      <c r="AO694" s="175">
        <v>32</v>
      </c>
      <c r="AP694" s="175">
        <v>3</v>
      </c>
      <c r="AQ694" s="175">
        <v>3</v>
      </c>
      <c r="AR694" s="175">
        <v>4</v>
      </c>
      <c r="AS694" s="175">
        <v>23</v>
      </c>
      <c r="AT694" s="175">
        <v>1</v>
      </c>
    </row>
    <row r="695" spans="1:46">
      <c r="A695">
        <v>10256</v>
      </c>
      <c r="B695" t="s">
        <v>4888</v>
      </c>
      <c r="C695" t="s">
        <v>4889</v>
      </c>
      <c r="D695" t="s">
        <v>4890</v>
      </c>
      <c r="E695" t="s">
        <v>4891</v>
      </c>
      <c r="F695" t="s">
        <v>964</v>
      </c>
      <c r="G695" t="s">
        <v>737</v>
      </c>
      <c r="H695" t="s">
        <v>449</v>
      </c>
      <c r="I695" t="s">
        <v>4320</v>
      </c>
      <c r="J695" t="s">
        <v>605</v>
      </c>
      <c r="K695" t="s">
        <v>606</v>
      </c>
      <c r="M695" t="s">
        <v>607</v>
      </c>
      <c r="N695" t="s">
        <v>608</v>
      </c>
      <c r="O695" t="s">
        <v>914</v>
      </c>
      <c r="P695" t="s">
        <v>739</v>
      </c>
      <c r="Q695" t="s">
        <v>467</v>
      </c>
      <c r="R695" t="s">
        <v>793</v>
      </c>
      <c r="S695" t="s">
        <v>965</v>
      </c>
      <c r="T695" t="s">
        <v>794</v>
      </c>
      <c r="U695">
        <v>144700</v>
      </c>
      <c r="V695" t="s">
        <v>4892</v>
      </c>
      <c r="W695" t="s">
        <v>892</v>
      </c>
      <c r="X695" t="s">
        <v>4893</v>
      </c>
      <c r="Y695" t="s">
        <v>4894</v>
      </c>
      <c r="Z695" t="s">
        <v>964</v>
      </c>
      <c r="AA695" t="s">
        <v>4423</v>
      </c>
      <c r="AB695" t="s">
        <v>4895</v>
      </c>
      <c r="AE695">
        <v>-36.877906109999998</v>
      </c>
      <c r="AF695">
        <v>174.85840496</v>
      </c>
      <c r="AG695" s="175">
        <v>20</v>
      </c>
      <c r="AH695" s="175">
        <v>5</v>
      </c>
      <c r="AI695" s="175">
        <v>1</v>
      </c>
      <c r="AJ695" s="175">
        <v>2</v>
      </c>
      <c r="AK695" s="175">
        <v>5</v>
      </c>
      <c r="AL695" s="175">
        <v>3</v>
      </c>
      <c r="AM695" s="175">
        <v>6</v>
      </c>
      <c r="AN695" s="175">
        <v>1</v>
      </c>
      <c r="AO695" s="175">
        <v>18</v>
      </c>
      <c r="AP695" s="175">
        <v>0</v>
      </c>
      <c r="AQ695" s="175">
        <v>2</v>
      </c>
      <c r="AR695" s="175">
        <v>17</v>
      </c>
      <c r="AS695" s="175">
        <v>1</v>
      </c>
      <c r="AT695" s="175">
        <v>0</v>
      </c>
    </row>
    <row r="696" spans="1:46">
      <c r="A696">
        <v>10258</v>
      </c>
      <c r="B696" t="s">
        <v>4896</v>
      </c>
      <c r="C696" t="s">
        <v>4897</v>
      </c>
      <c r="D696" t="s">
        <v>4898</v>
      </c>
      <c r="E696" t="s">
        <v>4899</v>
      </c>
      <c r="F696" t="s">
        <v>897</v>
      </c>
      <c r="G696" t="s">
        <v>737</v>
      </c>
      <c r="H696" t="s">
        <v>449</v>
      </c>
      <c r="J696" t="s">
        <v>605</v>
      </c>
      <c r="K696" t="s">
        <v>606</v>
      </c>
      <c r="M696" t="s">
        <v>607</v>
      </c>
      <c r="N696" t="s">
        <v>657</v>
      </c>
      <c r="O696" t="s">
        <v>898</v>
      </c>
      <c r="P696" t="s">
        <v>739</v>
      </c>
      <c r="Q696" t="s">
        <v>467</v>
      </c>
      <c r="R696" t="s">
        <v>724</v>
      </c>
      <c r="S696" t="s">
        <v>725</v>
      </c>
      <c r="T696" t="s">
        <v>613</v>
      </c>
      <c r="U696">
        <v>119600</v>
      </c>
      <c r="V696" t="s">
        <v>4900</v>
      </c>
      <c r="W696" t="s">
        <v>900</v>
      </c>
      <c r="X696" t="s">
        <v>4670</v>
      </c>
      <c r="Y696" t="s">
        <v>4671</v>
      </c>
      <c r="AA696" t="s">
        <v>4106</v>
      </c>
      <c r="AB696" t="s">
        <v>4672</v>
      </c>
      <c r="AC696">
        <v>99125</v>
      </c>
      <c r="AD696" t="s">
        <v>901</v>
      </c>
      <c r="AE696">
        <v>-36.824357429999999</v>
      </c>
      <c r="AF696">
        <v>174.60792534000001</v>
      </c>
      <c r="AG696" s="175">
        <v>30</v>
      </c>
      <c r="AH696" s="175">
        <v>10</v>
      </c>
      <c r="AI696" s="175">
        <v>0</v>
      </c>
      <c r="AJ696" s="175">
        <v>5</v>
      </c>
      <c r="AK696" s="175">
        <v>7</v>
      </c>
      <c r="AL696" s="175">
        <v>2</v>
      </c>
      <c r="AM696" s="175">
        <v>9</v>
      </c>
      <c r="AN696" s="175">
        <v>0</v>
      </c>
      <c r="AO696" s="175">
        <v>23</v>
      </c>
      <c r="AP696" s="175">
        <v>14</v>
      </c>
      <c r="AQ696" s="175">
        <v>14</v>
      </c>
      <c r="AR696" s="175">
        <v>4</v>
      </c>
      <c r="AS696" s="175">
        <v>1</v>
      </c>
      <c r="AT696" s="175">
        <v>0</v>
      </c>
    </row>
    <row r="697" spans="1:46">
      <c r="A697">
        <v>10260</v>
      </c>
      <c r="B697" t="s">
        <v>4901</v>
      </c>
      <c r="C697" t="s">
        <v>4902</v>
      </c>
      <c r="D697" t="s">
        <v>4903</v>
      </c>
      <c r="E697" t="s">
        <v>4904</v>
      </c>
      <c r="F697" t="s">
        <v>4060</v>
      </c>
      <c r="G697" t="s">
        <v>737</v>
      </c>
      <c r="H697" t="s">
        <v>449</v>
      </c>
      <c r="I697" t="s">
        <v>4642</v>
      </c>
      <c r="J697" t="s">
        <v>4032</v>
      </c>
      <c r="K697" t="s">
        <v>606</v>
      </c>
      <c r="M697" t="s">
        <v>607</v>
      </c>
      <c r="N697" t="s">
        <v>812</v>
      </c>
      <c r="O697" t="s">
        <v>813</v>
      </c>
      <c r="P697" t="s">
        <v>739</v>
      </c>
      <c r="Q697" t="s">
        <v>467</v>
      </c>
      <c r="R697" t="s">
        <v>814</v>
      </c>
      <c r="S697" t="s">
        <v>815</v>
      </c>
      <c r="T697" t="s">
        <v>794</v>
      </c>
      <c r="U697">
        <v>155801</v>
      </c>
      <c r="V697" t="s">
        <v>1297</v>
      </c>
      <c r="W697" t="s">
        <v>817</v>
      </c>
      <c r="X697" t="s">
        <v>4905</v>
      </c>
      <c r="Y697" t="s">
        <v>4906</v>
      </c>
      <c r="Z697" t="s">
        <v>4907</v>
      </c>
      <c r="AA697" t="s">
        <v>4551</v>
      </c>
      <c r="AE697">
        <v>-36.961603240000002</v>
      </c>
      <c r="AF697">
        <v>174.88842013999999</v>
      </c>
      <c r="AG697" s="175">
        <v>100</v>
      </c>
      <c r="AH697" s="175">
        <v>22</v>
      </c>
      <c r="AI697" s="175">
        <v>1</v>
      </c>
      <c r="AJ697" s="175">
        <v>8</v>
      </c>
      <c r="AK697" s="175">
        <v>18</v>
      </c>
      <c r="AL697" s="175">
        <v>14</v>
      </c>
      <c r="AM697" s="175">
        <v>26</v>
      </c>
      <c r="AN697" s="175">
        <v>2</v>
      </c>
      <c r="AO697" s="175">
        <v>69</v>
      </c>
      <c r="AP697" s="175">
        <v>7</v>
      </c>
      <c r="AQ697" s="175">
        <v>23</v>
      </c>
      <c r="AR697" s="175">
        <v>63</v>
      </c>
      <c r="AS697" s="175">
        <v>5</v>
      </c>
      <c r="AT697" s="175">
        <v>0</v>
      </c>
    </row>
    <row r="698" spans="1:46">
      <c r="A698">
        <v>10261</v>
      </c>
      <c r="B698" t="s">
        <v>4908</v>
      </c>
      <c r="C698" t="s">
        <v>4909</v>
      </c>
      <c r="D698" t="s">
        <v>4910</v>
      </c>
      <c r="E698" t="s">
        <v>4911</v>
      </c>
      <c r="F698" t="s">
        <v>957</v>
      </c>
      <c r="G698" t="s">
        <v>737</v>
      </c>
      <c r="H698" t="s">
        <v>449</v>
      </c>
      <c r="J698" t="s">
        <v>4032</v>
      </c>
      <c r="K698" t="s">
        <v>606</v>
      </c>
      <c r="M698" t="s">
        <v>607</v>
      </c>
      <c r="N698" t="s">
        <v>657</v>
      </c>
      <c r="O698" t="s">
        <v>958</v>
      </c>
      <c r="P698" t="s">
        <v>739</v>
      </c>
      <c r="Q698" t="s">
        <v>467</v>
      </c>
      <c r="R698" t="s">
        <v>724</v>
      </c>
      <c r="S698" t="s">
        <v>804</v>
      </c>
      <c r="T698" t="s">
        <v>794</v>
      </c>
      <c r="U698">
        <v>132501</v>
      </c>
      <c r="V698" t="s">
        <v>4912</v>
      </c>
      <c r="W698" t="s">
        <v>900</v>
      </c>
      <c r="X698" t="s">
        <v>4913</v>
      </c>
      <c r="Y698" t="s">
        <v>4914</v>
      </c>
      <c r="Z698" t="s">
        <v>957</v>
      </c>
      <c r="AA698" t="s">
        <v>4915</v>
      </c>
      <c r="AB698" t="s">
        <v>4909</v>
      </c>
      <c r="AC698">
        <v>99062</v>
      </c>
      <c r="AD698" t="s">
        <v>978</v>
      </c>
      <c r="AE698">
        <v>-36.924099689999998</v>
      </c>
      <c r="AF698">
        <v>174.65013332999999</v>
      </c>
      <c r="AG698" s="175">
        <v>85</v>
      </c>
      <c r="AH698" s="175">
        <v>24</v>
      </c>
      <c r="AI698" s="175">
        <v>2</v>
      </c>
      <c r="AJ698" s="175">
        <v>22</v>
      </c>
      <c r="AK698" s="175">
        <v>28</v>
      </c>
      <c r="AL698" s="175">
        <v>30</v>
      </c>
      <c r="AM698" s="175">
        <v>22</v>
      </c>
      <c r="AN698" s="175">
        <v>2</v>
      </c>
      <c r="AO698" s="175">
        <v>106</v>
      </c>
      <c r="AP698" s="175">
        <v>99</v>
      </c>
      <c r="AQ698" s="175">
        <v>10</v>
      </c>
      <c r="AR698" s="175">
        <v>8</v>
      </c>
      <c r="AS698" s="175">
        <v>7</v>
      </c>
      <c r="AT698" s="175">
        <v>6</v>
      </c>
    </row>
    <row r="699" spans="1:46">
      <c r="A699">
        <v>10262</v>
      </c>
      <c r="B699" t="s">
        <v>4916</v>
      </c>
      <c r="C699" t="s">
        <v>4917</v>
      </c>
      <c r="E699" t="s">
        <v>4918</v>
      </c>
      <c r="G699" t="s">
        <v>3744</v>
      </c>
      <c r="H699" t="s">
        <v>449</v>
      </c>
      <c r="J699" t="s">
        <v>4032</v>
      </c>
      <c r="K699" t="s">
        <v>606</v>
      </c>
      <c r="M699" t="s">
        <v>607</v>
      </c>
      <c r="N699" t="s">
        <v>4586</v>
      </c>
      <c r="O699" t="s">
        <v>609</v>
      </c>
      <c r="P699" t="s">
        <v>610</v>
      </c>
      <c r="Q699" t="s">
        <v>509</v>
      </c>
      <c r="R699" t="s">
        <v>611</v>
      </c>
      <c r="S699" t="s">
        <v>612</v>
      </c>
      <c r="T699" t="s">
        <v>613</v>
      </c>
      <c r="U699">
        <v>102801</v>
      </c>
      <c r="V699" t="s">
        <v>4919</v>
      </c>
      <c r="W699" t="s">
        <v>644</v>
      </c>
      <c r="X699" t="s">
        <v>4920</v>
      </c>
      <c r="Y699" t="s">
        <v>4921</v>
      </c>
      <c r="AA699" t="s">
        <v>4922</v>
      </c>
      <c r="AB699" t="s">
        <v>4917</v>
      </c>
      <c r="AE699">
        <v>-35.20794703</v>
      </c>
      <c r="AF699">
        <v>173.9472619</v>
      </c>
      <c r="AG699" s="175">
        <v>33</v>
      </c>
      <c r="AH699" s="175">
        <v>0</v>
      </c>
      <c r="AI699" s="175">
        <v>0</v>
      </c>
      <c r="AJ699" s="175">
        <v>0</v>
      </c>
      <c r="AK699" s="175">
        <v>0</v>
      </c>
      <c r="AL699" s="175">
        <v>9</v>
      </c>
      <c r="AM699" s="175">
        <v>20</v>
      </c>
      <c r="AN699" s="175">
        <v>11</v>
      </c>
      <c r="AO699" s="175">
        <v>40</v>
      </c>
      <c r="AP699" s="175">
        <v>34</v>
      </c>
      <c r="AQ699" s="175">
        <v>17</v>
      </c>
      <c r="AR699" s="175">
        <v>1</v>
      </c>
      <c r="AS699" s="175">
        <v>2</v>
      </c>
      <c r="AT699" s="175">
        <v>2</v>
      </c>
    </row>
    <row r="700" spans="1:46">
      <c r="A700">
        <v>10263</v>
      </c>
      <c r="B700" t="s">
        <v>4923</v>
      </c>
      <c r="C700" t="s">
        <v>4924</v>
      </c>
      <c r="E700" t="s">
        <v>4925</v>
      </c>
      <c r="F700" t="s">
        <v>766</v>
      </c>
      <c r="G700" t="s">
        <v>737</v>
      </c>
      <c r="H700" t="s">
        <v>449</v>
      </c>
      <c r="J700" t="s">
        <v>4032</v>
      </c>
      <c r="K700" t="s">
        <v>606</v>
      </c>
      <c r="M700" t="s">
        <v>607</v>
      </c>
      <c r="N700" t="s">
        <v>657</v>
      </c>
      <c r="O700" t="s">
        <v>1253</v>
      </c>
      <c r="P700" t="s">
        <v>739</v>
      </c>
      <c r="Q700" t="s">
        <v>467</v>
      </c>
      <c r="R700" t="s">
        <v>724</v>
      </c>
      <c r="S700" t="s">
        <v>740</v>
      </c>
      <c r="T700" t="s">
        <v>613</v>
      </c>
      <c r="U700">
        <v>119700</v>
      </c>
      <c r="V700" t="s">
        <v>4926</v>
      </c>
      <c r="W700" t="s">
        <v>742</v>
      </c>
      <c r="X700" t="s">
        <v>4927</v>
      </c>
      <c r="Y700" t="s">
        <v>4928</v>
      </c>
      <c r="Z700" t="s">
        <v>4929</v>
      </c>
      <c r="AA700" t="s">
        <v>4604</v>
      </c>
      <c r="AC700">
        <v>99000</v>
      </c>
      <c r="AD700" t="s">
        <v>769</v>
      </c>
      <c r="AE700">
        <v>-36.736004270000002</v>
      </c>
      <c r="AF700">
        <v>174.73297031000001</v>
      </c>
      <c r="AG700" s="175">
        <v>38</v>
      </c>
      <c r="AH700" s="175">
        <v>12</v>
      </c>
      <c r="AI700" s="175">
        <v>1</v>
      </c>
      <c r="AJ700" s="175">
        <v>9</v>
      </c>
      <c r="AK700" s="175">
        <v>8</v>
      </c>
      <c r="AL700" s="175">
        <v>8</v>
      </c>
      <c r="AM700" s="175">
        <v>13</v>
      </c>
      <c r="AN700" s="175">
        <v>1</v>
      </c>
      <c r="AO700" s="175">
        <v>40</v>
      </c>
      <c r="AP700" s="175">
        <v>16</v>
      </c>
      <c r="AQ700" s="175">
        <v>3</v>
      </c>
      <c r="AR700" s="175">
        <v>2</v>
      </c>
      <c r="AS700" s="175">
        <v>23</v>
      </c>
      <c r="AT700" s="175">
        <v>3</v>
      </c>
    </row>
    <row r="701" spans="1:46">
      <c r="A701">
        <v>10266</v>
      </c>
      <c r="B701" t="s">
        <v>4930</v>
      </c>
      <c r="C701" t="s">
        <v>4931</v>
      </c>
      <c r="D701" t="s">
        <v>4932</v>
      </c>
      <c r="E701" t="s">
        <v>4933</v>
      </c>
      <c r="F701" t="s">
        <v>1030</v>
      </c>
      <c r="G701" t="s">
        <v>737</v>
      </c>
      <c r="H701" t="s">
        <v>469</v>
      </c>
      <c r="I701" t="s">
        <v>4934</v>
      </c>
      <c r="J701" t="s">
        <v>605</v>
      </c>
      <c r="K701" t="s">
        <v>606</v>
      </c>
      <c r="M701" t="s">
        <v>607</v>
      </c>
      <c r="N701" t="s">
        <v>608</v>
      </c>
      <c r="O701" t="s">
        <v>813</v>
      </c>
      <c r="P701" t="s">
        <v>739</v>
      </c>
      <c r="Q701" t="s">
        <v>467</v>
      </c>
      <c r="R701" t="s">
        <v>814</v>
      </c>
      <c r="S701" t="s">
        <v>934</v>
      </c>
      <c r="T701" t="s">
        <v>794</v>
      </c>
      <c r="U701">
        <v>153600</v>
      </c>
      <c r="V701" t="s">
        <v>4935</v>
      </c>
      <c r="W701" t="s">
        <v>817</v>
      </c>
      <c r="X701" t="s">
        <v>4936</v>
      </c>
      <c r="Y701" t="s">
        <v>4937</v>
      </c>
      <c r="Z701" t="s">
        <v>932</v>
      </c>
      <c r="AA701" t="s">
        <v>4293</v>
      </c>
      <c r="AB701" t="s">
        <v>4931</v>
      </c>
      <c r="AE701">
        <v>-36.974220170000002</v>
      </c>
      <c r="AF701">
        <v>174.82788181000001</v>
      </c>
      <c r="AG701" s="175">
        <v>100</v>
      </c>
      <c r="AH701" s="175">
        <v>20</v>
      </c>
      <c r="AI701" s="175">
        <v>1</v>
      </c>
      <c r="AJ701" s="175">
        <v>15</v>
      </c>
      <c r="AK701" s="175">
        <v>16</v>
      </c>
      <c r="AL701" s="175">
        <v>29</v>
      </c>
      <c r="AM701" s="175">
        <v>22</v>
      </c>
      <c r="AN701" s="175">
        <v>5</v>
      </c>
      <c r="AO701" s="175">
        <v>88</v>
      </c>
      <c r="AP701" s="175">
        <v>13</v>
      </c>
      <c r="AQ701" s="175">
        <v>15</v>
      </c>
      <c r="AR701" s="175">
        <v>85</v>
      </c>
      <c r="AS701" s="175">
        <v>3</v>
      </c>
      <c r="AT701" s="175">
        <v>0</v>
      </c>
    </row>
    <row r="702" spans="1:46">
      <c r="A702">
        <v>10267</v>
      </c>
      <c r="B702" t="s">
        <v>4938</v>
      </c>
      <c r="C702" t="s">
        <v>4939</v>
      </c>
      <c r="E702" t="s">
        <v>4940</v>
      </c>
      <c r="F702" t="s">
        <v>940</v>
      </c>
      <c r="G702" t="s">
        <v>737</v>
      </c>
      <c r="H702" t="s">
        <v>449</v>
      </c>
      <c r="J702" t="s">
        <v>4032</v>
      </c>
      <c r="K702" t="s">
        <v>606</v>
      </c>
      <c r="M702" t="s">
        <v>607</v>
      </c>
      <c r="N702" t="s">
        <v>657</v>
      </c>
      <c r="O702" t="s">
        <v>942</v>
      </c>
      <c r="P702" t="s">
        <v>739</v>
      </c>
      <c r="Q702" t="s">
        <v>467</v>
      </c>
      <c r="R702" t="s">
        <v>793</v>
      </c>
      <c r="S702" t="s">
        <v>943</v>
      </c>
      <c r="T702" t="s">
        <v>794</v>
      </c>
      <c r="U702">
        <v>131900</v>
      </c>
      <c r="V702" t="s">
        <v>1220</v>
      </c>
      <c r="W702" t="s">
        <v>945</v>
      </c>
      <c r="X702" t="s">
        <v>4941</v>
      </c>
      <c r="Y702" t="s">
        <v>4940</v>
      </c>
      <c r="Z702" t="s">
        <v>940</v>
      </c>
      <c r="AA702" t="s">
        <v>4942</v>
      </c>
      <c r="AE702">
        <v>-36.885264110000001</v>
      </c>
      <c r="AF702">
        <v>174.71301560000001</v>
      </c>
      <c r="AG702" s="175">
        <v>90</v>
      </c>
      <c r="AH702" s="175">
        <v>20</v>
      </c>
      <c r="AI702" s="175">
        <v>1</v>
      </c>
      <c r="AJ702" s="175">
        <v>11</v>
      </c>
      <c r="AK702" s="175">
        <v>6</v>
      </c>
      <c r="AL702" s="175">
        <v>19</v>
      </c>
      <c r="AM702" s="175">
        <v>20</v>
      </c>
      <c r="AN702" s="175">
        <v>2</v>
      </c>
      <c r="AO702" s="175">
        <v>59</v>
      </c>
      <c r="AP702" s="175">
        <v>21</v>
      </c>
      <c r="AQ702" s="175">
        <v>3</v>
      </c>
      <c r="AR702" s="175">
        <v>6</v>
      </c>
      <c r="AS702" s="175">
        <v>28</v>
      </c>
      <c r="AT702" s="175">
        <v>13</v>
      </c>
    </row>
    <row r="703" spans="1:46">
      <c r="A703">
        <v>10268</v>
      </c>
      <c r="B703" t="s">
        <v>4943</v>
      </c>
      <c r="D703" t="s">
        <v>4944</v>
      </c>
      <c r="E703" t="s">
        <v>4945</v>
      </c>
      <c r="F703" t="s">
        <v>907</v>
      </c>
      <c r="G703" t="s">
        <v>737</v>
      </c>
      <c r="H703" t="s">
        <v>449</v>
      </c>
      <c r="J703" t="s">
        <v>4032</v>
      </c>
      <c r="K703" t="s">
        <v>606</v>
      </c>
      <c r="M703" t="s">
        <v>607</v>
      </c>
      <c r="N703" t="s">
        <v>657</v>
      </c>
      <c r="O703" t="s">
        <v>942</v>
      </c>
      <c r="P703" t="s">
        <v>739</v>
      </c>
      <c r="Q703" t="s">
        <v>467</v>
      </c>
      <c r="R703" t="s">
        <v>793</v>
      </c>
      <c r="S703" t="s">
        <v>907</v>
      </c>
      <c r="T703" t="s">
        <v>794</v>
      </c>
      <c r="U703">
        <v>140800</v>
      </c>
      <c r="V703" t="s">
        <v>4946</v>
      </c>
      <c r="W703" t="s">
        <v>945</v>
      </c>
      <c r="X703" t="s">
        <v>4947</v>
      </c>
      <c r="Y703" t="s">
        <v>4948</v>
      </c>
      <c r="Z703" t="s">
        <v>940</v>
      </c>
      <c r="AA703" t="s">
        <v>4942</v>
      </c>
      <c r="AE703">
        <v>-36.894432080000001</v>
      </c>
      <c r="AF703">
        <v>174.76596981</v>
      </c>
      <c r="AG703" s="175">
        <v>27</v>
      </c>
      <c r="AH703" s="175">
        <v>0</v>
      </c>
      <c r="AI703" s="175">
        <v>0</v>
      </c>
      <c r="AJ703" s="175">
        <v>0</v>
      </c>
      <c r="AK703" s="175">
        <v>1</v>
      </c>
      <c r="AL703" s="175">
        <v>1</v>
      </c>
      <c r="AM703" s="175">
        <v>12</v>
      </c>
      <c r="AN703" s="175">
        <v>1</v>
      </c>
      <c r="AO703" s="175">
        <v>15</v>
      </c>
      <c r="AP703" s="175">
        <v>13</v>
      </c>
      <c r="AQ703" s="175">
        <v>0</v>
      </c>
      <c r="AR703" s="175">
        <v>1</v>
      </c>
      <c r="AS703" s="175">
        <v>3</v>
      </c>
      <c r="AT703" s="175">
        <v>0</v>
      </c>
    </row>
    <row r="704" spans="1:46">
      <c r="A704">
        <v>10269</v>
      </c>
      <c r="B704" t="s">
        <v>4949</v>
      </c>
      <c r="C704" t="s">
        <v>4950</v>
      </c>
      <c r="E704" t="s">
        <v>4951</v>
      </c>
      <c r="F704" t="s">
        <v>1157</v>
      </c>
      <c r="G704" t="s">
        <v>737</v>
      </c>
      <c r="H704" t="s">
        <v>449</v>
      </c>
      <c r="I704" t="s">
        <v>4320</v>
      </c>
      <c r="J704" t="s">
        <v>605</v>
      </c>
      <c r="K704" t="s">
        <v>606</v>
      </c>
      <c r="M704" t="s">
        <v>607</v>
      </c>
      <c r="N704" t="s">
        <v>625</v>
      </c>
      <c r="O704" t="s">
        <v>933</v>
      </c>
      <c r="P704" t="s">
        <v>739</v>
      </c>
      <c r="Q704" t="s">
        <v>467</v>
      </c>
      <c r="R704" t="s">
        <v>814</v>
      </c>
      <c r="S704" t="s">
        <v>815</v>
      </c>
      <c r="T704" t="s">
        <v>794</v>
      </c>
      <c r="U704">
        <v>151900</v>
      </c>
      <c r="V704" t="s">
        <v>1158</v>
      </c>
      <c r="W704" t="s">
        <v>817</v>
      </c>
      <c r="X704" t="s">
        <v>4421</v>
      </c>
      <c r="Y704" t="s">
        <v>4951</v>
      </c>
      <c r="Z704" t="s">
        <v>1157</v>
      </c>
      <c r="AA704" t="s">
        <v>4952</v>
      </c>
      <c r="AB704" t="s">
        <v>4424</v>
      </c>
      <c r="AE704">
        <v>-36.946465109999998</v>
      </c>
      <c r="AF704">
        <v>174.85308818999999</v>
      </c>
      <c r="AG704" s="175">
        <v>38</v>
      </c>
      <c r="AH704" s="175">
        <v>10</v>
      </c>
      <c r="AI704" s="175">
        <v>2</v>
      </c>
      <c r="AJ704" s="175">
        <v>5</v>
      </c>
      <c r="AK704" s="175">
        <v>6</v>
      </c>
      <c r="AL704" s="175">
        <v>3</v>
      </c>
      <c r="AM704" s="175">
        <v>10</v>
      </c>
      <c r="AN704" s="175">
        <v>0</v>
      </c>
      <c r="AO704" s="175">
        <v>26</v>
      </c>
      <c r="AP704" s="175">
        <v>1</v>
      </c>
      <c r="AQ704" s="175">
        <v>0</v>
      </c>
      <c r="AR704" s="175">
        <v>26</v>
      </c>
      <c r="AS704" s="175">
        <v>0</v>
      </c>
      <c r="AT704" s="175">
        <v>0</v>
      </c>
    </row>
    <row r="705" spans="1:46">
      <c r="A705">
        <v>10271</v>
      </c>
      <c r="B705" t="s">
        <v>2414</v>
      </c>
      <c r="C705" t="s">
        <v>4953</v>
      </c>
      <c r="D705" t="s">
        <v>602</v>
      </c>
      <c r="E705" t="s">
        <v>4954</v>
      </c>
      <c r="G705" t="s">
        <v>4955</v>
      </c>
      <c r="H705" t="s">
        <v>452</v>
      </c>
      <c r="J705" t="s">
        <v>605</v>
      </c>
      <c r="K705" t="s">
        <v>606</v>
      </c>
      <c r="M705" t="s">
        <v>607</v>
      </c>
      <c r="N705" t="s">
        <v>657</v>
      </c>
      <c r="O705" t="s">
        <v>669</v>
      </c>
      <c r="P705" t="s">
        <v>626</v>
      </c>
      <c r="Q705" t="s">
        <v>509</v>
      </c>
      <c r="R705" t="s">
        <v>611</v>
      </c>
      <c r="S705" t="s">
        <v>671</v>
      </c>
      <c r="T705" t="s">
        <v>613</v>
      </c>
      <c r="U705">
        <v>108500</v>
      </c>
      <c r="V705" t="s">
        <v>4956</v>
      </c>
      <c r="W705" t="s">
        <v>4732</v>
      </c>
      <c r="X705" t="s">
        <v>616</v>
      </c>
      <c r="Y705" t="s">
        <v>617</v>
      </c>
      <c r="Z705" t="s">
        <v>618</v>
      </c>
      <c r="AA705" t="s">
        <v>619</v>
      </c>
      <c r="AB705" t="s">
        <v>620</v>
      </c>
      <c r="AC705">
        <v>99180</v>
      </c>
      <c r="AD705" t="s">
        <v>4957</v>
      </c>
      <c r="AE705">
        <v>-35.77006669</v>
      </c>
      <c r="AF705">
        <v>174.48251934000001</v>
      </c>
      <c r="AG705" s="175">
        <v>30</v>
      </c>
      <c r="AH705" s="175">
        <v>0</v>
      </c>
      <c r="AI705" s="175">
        <v>0</v>
      </c>
      <c r="AJ705" s="175">
        <v>0</v>
      </c>
      <c r="AK705" s="175">
        <v>0</v>
      </c>
      <c r="AL705" s="175">
        <v>8</v>
      </c>
      <c r="AM705" s="175">
        <v>31</v>
      </c>
      <c r="AN705" s="175">
        <v>1</v>
      </c>
      <c r="AO705" s="175">
        <v>40</v>
      </c>
      <c r="AP705" s="175">
        <v>36</v>
      </c>
      <c r="AQ705" s="175">
        <v>10</v>
      </c>
      <c r="AR705" s="175">
        <v>1</v>
      </c>
      <c r="AS705" s="175">
        <v>2</v>
      </c>
      <c r="AT705" s="175">
        <v>1</v>
      </c>
    </row>
    <row r="706" spans="1:46">
      <c r="A706">
        <v>10272</v>
      </c>
      <c r="B706" t="s">
        <v>4958</v>
      </c>
      <c r="C706" t="s">
        <v>4959</v>
      </c>
      <c r="D706" t="s">
        <v>4960</v>
      </c>
      <c r="E706" t="s">
        <v>4961</v>
      </c>
      <c r="F706" t="s">
        <v>4962</v>
      </c>
      <c r="G706" t="s">
        <v>737</v>
      </c>
      <c r="H706" t="s">
        <v>449</v>
      </c>
      <c r="J706" t="s">
        <v>4032</v>
      </c>
      <c r="K706" t="s">
        <v>606</v>
      </c>
      <c r="M706" t="s">
        <v>607</v>
      </c>
      <c r="N706" t="s">
        <v>657</v>
      </c>
      <c r="O706" t="s">
        <v>738</v>
      </c>
      <c r="P706" t="s">
        <v>739</v>
      </c>
      <c r="Q706" t="s">
        <v>467</v>
      </c>
      <c r="R706" t="s">
        <v>724</v>
      </c>
      <c r="S706" t="s">
        <v>740</v>
      </c>
      <c r="T706" t="s">
        <v>613</v>
      </c>
      <c r="U706">
        <v>117700</v>
      </c>
      <c r="V706" t="s">
        <v>4962</v>
      </c>
      <c r="W706" t="s">
        <v>742</v>
      </c>
      <c r="X706" t="s">
        <v>4963</v>
      </c>
      <c r="Y706" t="s">
        <v>4964</v>
      </c>
      <c r="Z706" t="s">
        <v>745</v>
      </c>
      <c r="AA706" t="s">
        <v>4168</v>
      </c>
      <c r="AB706" t="s">
        <v>4965</v>
      </c>
      <c r="AC706">
        <v>99121</v>
      </c>
      <c r="AD706" t="s">
        <v>747</v>
      </c>
      <c r="AE706">
        <v>-36.709663499999998</v>
      </c>
      <c r="AF706">
        <v>174.73001561999999</v>
      </c>
      <c r="AG706" s="175">
        <v>150</v>
      </c>
      <c r="AH706" s="175">
        <v>32</v>
      </c>
      <c r="AI706" s="175">
        <v>3</v>
      </c>
      <c r="AJ706" s="175">
        <v>19</v>
      </c>
      <c r="AK706" s="175">
        <v>36</v>
      </c>
      <c r="AL706" s="175">
        <v>25</v>
      </c>
      <c r="AM706" s="175">
        <v>28</v>
      </c>
      <c r="AN706" s="175">
        <v>1</v>
      </c>
      <c r="AO706" s="175">
        <v>112</v>
      </c>
      <c r="AP706" s="175">
        <v>88</v>
      </c>
      <c r="AQ706" s="175">
        <v>3</v>
      </c>
      <c r="AR706" s="175">
        <v>1</v>
      </c>
      <c r="AS706" s="175">
        <v>34</v>
      </c>
      <c r="AT706" s="175">
        <v>4</v>
      </c>
    </row>
    <row r="707" spans="1:46">
      <c r="A707">
        <v>10275</v>
      </c>
      <c r="B707" t="s">
        <v>4966</v>
      </c>
      <c r="C707" t="s">
        <v>4967</v>
      </c>
      <c r="D707" t="s">
        <v>4968</v>
      </c>
      <c r="E707" t="s">
        <v>4969</v>
      </c>
      <c r="F707" t="s">
        <v>4870</v>
      </c>
      <c r="G707" t="s">
        <v>737</v>
      </c>
      <c r="H707" t="s">
        <v>449</v>
      </c>
      <c r="J707" t="s">
        <v>4032</v>
      </c>
      <c r="K707" t="s">
        <v>606</v>
      </c>
      <c r="M707" t="s">
        <v>607</v>
      </c>
      <c r="N707" t="s">
        <v>657</v>
      </c>
      <c r="O707" t="s">
        <v>792</v>
      </c>
      <c r="P707" t="s">
        <v>739</v>
      </c>
      <c r="Q707" t="s">
        <v>467</v>
      </c>
      <c r="R707" t="s">
        <v>793</v>
      </c>
      <c r="S707" t="s">
        <v>863</v>
      </c>
      <c r="T707" t="s">
        <v>794</v>
      </c>
      <c r="U707">
        <v>155401</v>
      </c>
      <c r="V707" t="s">
        <v>4970</v>
      </c>
      <c r="W707" t="s">
        <v>796</v>
      </c>
      <c r="X707" t="s">
        <v>4165</v>
      </c>
      <c r="Y707" t="s">
        <v>4166</v>
      </c>
      <c r="Z707" t="s">
        <v>4167</v>
      </c>
      <c r="AA707" t="s">
        <v>4168</v>
      </c>
      <c r="AB707" t="s">
        <v>4169</v>
      </c>
      <c r="AE707">
        <v>-36.941054719999997</v>
      </c>
      <c r="AF707">
        <v>174.90917002</v>
      </c>
      <c r="AG707" s="175">
        <v>139</v>
      </c>
      <c r="AH707" s="175">
        <v>45</v>
      </c>
      <c r="AI707" s="175">
        <v>2</v>
      </c>
      <c r="AJ707" s="175">
        <v>13</v>
      </c>
      <c r="AK707" s="175">
        <v>34</v>
      </c>
      <c r="AL707" s="175">
        <v>32</v>
      </c>
      <c r="AM707" s="175">
        <v>44</v>
      </c>
      <c r="AN707" s="175">
        <v>3</v>
      </c>
      <c r="AO707" s="175">
        <v>128</v>
      </c>
      <c r="AP707" s="175">
        <v>28</v>
      </c>
      <c r="AQ707" s="175">
        <v>3</v>
      </c>
      <c r="AR707" s="175">
        <v>8</v>
      </c>
      <c r="AS707" s="175">
        <v>94</v>
      </c>
      <c r="AT707" s="175">
        <v>16</v>
      </c>
    </row>
    <row r="708" spans="1:46">
      <c r="A708">
        <v>10276</v>
      </c>
      <c r="B708" t="s">
        <v>4971</v>
      </c>
      <c r="C708" t="s">
        <v>4972</v>
      </c>
      <c r="D708" t="s">
        <v>4973</v>
      </c>
      <c r="E708" t="s">
        <v>4974</v>
      </c>
      <c r="F708" t="s">
        <v>766</v>
      </c>
      <c r="G708" t="s">
        <v>737</v>
      </c>
      <c r="H708" t="s">
        <v>449</v>
      </c>
      <c r="J708" t="s">
        <v>4032</v>
      </c>
      <c r="K708" t="s">
        <v>606</v>
      </c>
      <c r="M708" t="s">
        <v>607</v>
      </c>
      <c r="N708" t="s">
        <v>657</v>
      </c>
      <c r="O708" t="s">
        <v>1253</v>
      </c>
      <c r="P708" t="s">
        <v>739</v>
      </c>
      <c r="Q708" t="s">
        <v>467</v>
      </c>
      <c r="R708" t="s">
        <v>724</v>
      </c>
      <c r="S708" t="s">
        <v>767</v>
      </c>
      <c r="T708" t="s">
        <v>613</v>
      </c>
      <c r="U708">
        <v>118600</v>
      </c>
      <c r="V708" t="s">
        <v>4082</v>
      </c>
      <c r="W708" t="s">
        <v>742</v>
      </c>
      <c r="X708" t="s">
        <v>4975</v>
      </c>
      <c r="Y708" t="s">
        <v>4976</v>
      </c>
      <c r="Z708" t="s">
        <v>766</v>
      </c>
      <c r="AA708" t="s">
        <v>4977</v>
      </c>
      <c r="AC708">
        <v>99000</v>
      </c>
      <c r="AD708" t="s">
        <v>769</v>
      </c>
      <c r="AE708">
        <v>-36.74763884</v>
      </c>
      <c r="AF708">
        <v>174.73632889999999</v>
      </c>
      <c r="AG708" s="175">
        <v>40</v>
      </c>
      <c r="AH708" s="175">
        <v>10</v>
      </c>
      <c r="AI708" s="175">
        <v>4</v>
      </c>
      <c r="AJ708" s="175">
        <v>5</v>
      </c>
      <c r="AK708" s="175">
        <v>5</v>
      </c>
      <c r="AL708" s="175">
        <v>5</v>
      </c>
      <c r="AM708" s="175">
        <v>4</v>
      </c>
      <c r="AN708" s="175">
        <v>0</v>
      </c>
      <c r="AO708" s="175">
        <v>23</v>
      </c>
      <c r="AP708" s="175">
        <v>5</v>
      </c>
      <c r="AQ708" s="175">
        <v>0</v>
      </c>
      <c r="AR708" s="175">
        <v>0</v>
      </c>
      <c r="AS708" s="175">
        <v>18</v>
      </c>
      <c r="AT708" s="175">
        <v>1</v>
      </c>
    </row>
    <row r="709" spans="1:46">
      <c r="A709">
        <v>10284</v>
      </c>
      <c r="B709" t="s">
        <v>4978</v>
      </c>
      <c r="C709" t="s">
        <v>4979</v>
      </c>
      <c r="D709" t="s">
        <v>4980</v>
      </c>
      <c r="E709" t="s">
        <v>4981</v>
      </c>
      <c r="F709" t="s">
        <v>1231</v>
      </c>
      <c r="G709" t="s">
        <v>737</v>
      </c>
      <c r="H709" t="s">
        <v>449</v>
      </c>
      <c r="J709" t="s">
        <v>605</v>
      </c>
      <c r="K709" t="s">
        <v>606</v>
      </c>
      <c r="M709" t="s">
        <v>607</v>
      </c>
      <c r="N709" t="s">
        <v>657</v>
      </c>
      <c r="O709" t="s">
        <v>1042</v>
      </c>
      <c r="P709" t="s">
        <v>739</v>
      </c>
      <c r="Q709" t="s">
        <v>467</v>
      </c>
      <c r="R709" t="s">
        <v>793</v>
      </c>
      <c r="S709" t="s">
        <v>943</v>
      </c>
      <c r="T709" t="s">
        <v>794</v>
      </c>
      <c r="U709">
        <v>131600</v>
      </c>
      <c r="V709" t="s">
        <v>4982</v>
      </c>
      <c r="W709" t="s">
        <v>1044</v>
      </c>
      <c r="X709" t="s">
        <v>4013</v>
      </c>
      <c r="Y709" t="s">
        <v>4014</v>
      </c>
      <c r="Z709" t="s">
        <v>4015</v>
      </c>
      <c r="AA709" t="s">
        <v>4016</v>
      </c>
      <c r="AB709" t="s">
        <v>4017</v>
      </c>
      <c r="AE709">
        <v>-36.856053750000001</v>
      </c>
      <c r="AF709">
        <v>174.73435484999999</v>
      </c>
      <c r="AG709" s="175">
        <v>42</v>
      </c>
      <c r="AH709" s="175">
        <v>18</v>
      </c>
      <c r="AI709" s="175">
        <v>0</v>
      </c>
      <c r="AJ709" s="175">
        <v>14</v>
      </c>
      <c r="AK709" s="175">
        <v>4</v>
      </c>
      <c r="AL709" s="175">
        <v>12</v>
      </c>
      <c r="AM709" s="175">
        <v>4</v>
      </c>
      <c r="AN709" s="175">
        <v>0</v>
      </c>
      <c r="AO709" s="175">
        <v>34</v>
      </c>
      <c r="AP709" s="175">
        <v>30</v>
      </c>
      <c r="AQ709" s="175">
        <v>1</v>
      </c>
      <c r="AR709" s="175">
        <v>0</v>
      </c>
      <c r="AS709" s="175">
        <v>4</v>
      </c>
      <c r="AT709" s="175">
        <v>4</v>
      </c>
    </row>
    <row r="710" spans="1:46">
      <c r="A710">
        <v>10287</v>
      </c>
      <c r="B710" t="s">
        <v>4983</v>
      </c>
      <c r="C710" t="s">
        <v>4984</v>
      </c>
      <c r="D710" t="s">
        <v>4985</v>
      </c>
      <c r="E710" t="s">
        <v>4986</v>
      </c>
      <c r="F710" t="s">
        <v>4987</v>
      </c>
      <c r="G710" t="s">
        <v>737</v>
      </c>
      <c r="H710" t="s">
        <v>449</v>
      </c>
      <c r="J710" t="s">
        <v>605</v>
      </c>
      <c r="K710" t="s">
        <v>606</v>
      </c>
      <c r="M710" t="s">
        <v>607</v>
      </c>
      <c r="N710" t="s">
        <v>657</v>
      </c>
      <c r="O710" t="s">
        <v>1042</v>
      </c>
      <c r="P710" t="s">
        <v>739</v>
      </c>
      <c r="Q710" t="s">
        <v>467</v>
      </c>
      <c r="R710" t="s">
        <v>793</v>
      </c>
      <c r="S710" t="s">
        <v>1043</v>
      </c>
      <c r="T710" t="s">
        <v>794</v>
      </c>
      <c r="U710">
        <v>134100</v>
      </c>
      <c r="V710" t="s">
        <v>4988</v>
      </c>
      <c r="W710" t="s">
        <v>1044</v>
      </c>
      <c r="X710" t="s">
        <v>727</v>
      </c>
      <c r="Y710" t="s">
        <v>728</v>
      </c>
      <c r="Z710" t="s">
        <v>729</v>
      </c>
      <c r="AA710" t="s">
        <v>730</v>
      </c>
      <c r="AB710" t="s">
        <v>731</v>
      </c>
      <c r="AE710">
        <v>-36.855735899999999</v>
      </c>
      <c r="AF710">
        <v>174.76197056999999</v>
      </c>
      <c r="AG710" s="175">
        <v>50</v>
      </c>
      <c r="AH710" s="175">
        <v>10</v>
      </c>
      <c r="AI710" s="175">
        <v>2</v>
      </c>
      <c r="AJ710" s="175">
        <v>3</v>
      </c>
      <c r="AK710" s="175">
        <v>8</v>
      </c>
      <c r="AL710" s="175">
        <v>18</v>
      </c>
      <c r="AM710" s="175">
        <v>25</v>
      </c>
      <c r="AN710" s="175">
        <v>2</v>
      </c>
      <c r="AO710" s="175">
        <v>58</v>
      </c>
      <c r="AP710" s="175">
        <v>15</v>
      </c>
      <c r="AQ710" s="175">
        <v>3</v>
      </c>
      <c r="AR710" s="175">
        <v>2</v>
      </c>
      <c r="AS710" s="175">
        <v>41</v>
      </c>
      <c r="AT710" s="175">
        <v>4</v>
      </c>
    </row>
    <row r="711" spans="1:46">
      <c r="A711">
        <v>10289</v>
      </c>
      <c r="B711" t="s">
        <v>4989</v>
      </c>
      <c r="C711" t="s">
        <v>4990</v>
      </c>
      <c r="D711" t="s">
        <v>4991</v>
      </c>
      <c r="E711" t="s">
        <v>4992</v>
      </c>
      <c r="F711" t="s">
        <v>897</v>
      </c>
      <c r="G711" t="s">
        <v>737</v>
      </c>
      <c r="H711" t="s">
        <v>449</v>
      </c>
      <c r="I711" t="s">
        <v>4233</v>
      </c>
      <c r="J711" t="s">
        <v>605</v>
      </c>
      <c r="K711" t="s">
        <v>606</v>
      </c>
      <c r="M711" t="s">
        <v>607</v>
      </c>
      <c r="N711" t="s">
        <v>625</v>
      </c>
      <c r="O711" t="s">
        <v>898</v>
      </c>
      <c r="P711" t="s">
        <v>739</v>
      </c>
      <c r="Q711" t="s">
        <v>467</v>
      </c>
      <c r="R711" t="s">
        <v>724</v>
      </c>
      <c r="S711" t="s">
        <v>824</v>
      </c>
      <c r="T711" t="s">
        <v>613</v>
      </c>
      <c r="U711">
        <v>119800</v>
      </c>
      <c r="V711" t="s">
        <v>1005</v>
      </c>
      <c r="W711" t="s">
        <v>900</v>
      </c>
      <c r="X711" t="s">
        <v>4993</v>
      </c>
      <c r="Y711" t="s">
        <v>4994</v>
      </c>
      <c r="Z711" t="s">
        <v>4995</v>
      </c>
      <c r="AA711" t="s">
        <v>4774</v>
      </c>
      <c r="AC711">
        <v>99125</v>
      </c>
      <c r="AD711" t="s">
        <v>901</v>
      </c>
      <c r="AE711">
        <v>-36.825024630000001</v>
      </c>
      <c r="AF711">
        <v>174.624875</v>
      </c>
      <c r="AG711" s="175">
        <v>50</v>
      </c>
      <c r="AH711" s="175">
        <v>15</v>
      </c>
      <c r="AI711" s="175">
        <v>2</v>
      </c>
      <c r="AJ711" s="175">
        <v>7</v>
      </c>
      <c r="AK711" s="175">
        <v>17</v>
      </c>
      <c r="AL711" s="175">
        <v>12</v>
      </c>
      <c r="AM711" s="175">
        <v>5</v>
      </c>
      <c r="AN711" s="175">
        <v>0</v>
      </c>
      <c r="AO711" s="175">
        <v>43</v>
      </c>
      <c r="AP711" s="175">
        <v>1</v>
      </c>
      <c r="AQ711" s="175">
        <v>1</v>
      </c>
      <c r="AR711" s="175">
        <v>41</v>
      </c>
      <c r="AS711" s="175">
        <v>3</v>
      </c>
      <c r="AT711" s="175">
        <v>0</v>
      </c>
    </row>
    <row r="712" spans="1:46">
      <c r="A712">
        <v>10292</v>
      </c>
      <c r="B712" t="s">
        <v>4996</v>
      </c>
      <c r="C712" t="s">
        <v>4997</v>
      </c>
      <c r="D712" t="s">
        <v>4998</v>
      </c>
      <c r="E712" t="s">
        <v>4999</v>
      </c>
      <c r="G712" t="s">
        <v>760</v>
      </c>
      <c r="H712" t="s">
        <v>449</v>
      </c>
      <c r="J712" t="s">
        <v>4032</v>
      </c>
      <c r="K712" t="s">
        <v>606</v>
      </c>
      <c r="M712" t="s">
        <v>607</v>
      </c>
      <c r="N712" t="s">
        <v>657</v>
      </c>
      <c r="O712" t="s">
        <v>723</v>
      </c>
      <c r="P712" t="s">
        <v>626</v>
      </c>
      <c r="Q712" t="s">
        <v>467</v>
      </c>
      <c r="R712" t="s">
        <v>724</v>
      </c>
      <c r="S712" t="s">
        <v>725</v>
      </c>
      <c r="T712" t="s">
        <v>613</v>
      </c>
      <c r="U712">
        <v>110900</v>
      </c>
      <c r="V712" t="s">
        <v>5000</v>
      </c>
      <c r="W712" t="s">
        <v>726</v>
      </c>
      <c r="X712" t="s">
        <v>5001</v>
      </c>
      <c r="Y712" t="s">
        <v>5002</v>
      </c>
      <c r="AA712" t="s">
        <v>5003</v>
      </c>
      <c r="AB712" t="s">
        <v>5004</v>
      </c>
      <c r="AC712">
        <v>99122</v>
      </c>
      <c r="AD712" t="s">
        <v>4154</v>
      </c>
      <c r="AE712">
        <v>-36.353772640000003</v>
      </c>
      <c r="AF712">
        <v>174.71706223000001</v>
      </c>
      <c r="AG712" s="175">
        <v>30</v>
      </c>
      <c r="AH712" s="175">
        <v>8</v>
      </c>
      <c r="AI712" s="175">
        <v>3</v>
      </c>
      <c r="AJ712" s="175">
        <v>6</v>
      </c>
      <c r="AK712" s="175">
        <v>8</v>
      </c>
      <c r="AL712" s="175">
        <v>14</v>
      </c>
      <c r="AM712" s="175">
        <v>8</v>
      </c>
      <c r="AN712" s="175">
        <v>2</v>
      </c>
      <c r="AO712" s="175">
        <v>41</v>
      </c>
      <c r="AP712" s="175">
        <v>41</v>
      </c>
      <c r="AQ712" s="175">
        <v>3</v>
      </c>
      <c r="AR712" s="175">
        <v>0</v>
      </c>
      <c r="AS712" s="175">
        <v>0</v>
      </c>
      <c r="AT712" s="175">
        <v>0</v>
      </c>
    </row>
    <row r="713" spans="1:46">
      <c r="A713">
        <v>10293</v>
      </c>
      <c r="B713" t="s">
        <v>5005</v>
      </c>
      <c r="C713" t="s">
        <v>5006</v>
      </c>
      <c r="D713" t="s">
        <v>5007</v>
      </c>
      <c r="E713" t="s">
        <v>5008</v>
      </c>
      <c r="F713" t="s">
        <v>1060</v>
      </c>
      <c r="G713" t="s">
        <v>737</v>
      </c>
      <c r="H713" t="s">
        <v>449</v>
      </c>
      <c r="J713" t="s">
        <v>4032</v>
      </c>
      <c r="K713" t="s">
        <v>606</v>
      </c>
      <c r="M713" t="s">
        <v>607</v>
      </c>
      <c r="N713" t="s">
        <v>4586</v>
      </c>
      <c r="O713" t="s">
        <v>933</v>
      </c>
      <c r="P713" t="s">
        <v>739</v>
      </c>
      <c r="Q713" t="s">
        <v>467</v>
      </c>
      <c r="R713" t="s">
        <v>793</v>
      </c>
      <c r="S713" t="s">
        <v>934</v>
      </c>
      <c r="T713" t="s">
        <v>794</v>
      </c>
      <c r="U713">
        <v>146800</v>
      </c>
      <c r="V713" t="s">
        <v>5009</v>
      </c>
      <c r="W713" t="s">
        <v>817</v>
      </c>
      <c r="X713" t="s">
        <v>5010</v>
      </c>
      <c r="Y713" t="s">
        <v>5011</v>
      </c>
      <c r="Z713" t="s">
        <v>906</v>
      </c>
      <c r="AA713" t="s">
        <v>4138</v>
      </c>
      <c r="AB713" t="s">
        <v>5012</v>
      </c>
      <c r="AC713">
        <v>99190</v>
      </c>
      <c r="AD713" t="s">
        <v>916</v>
      </c>
      <c r="AE713">
        <v>-36.942694189999997</v>
      </c>
      <c r="AF713">
        <v>174.78759796</v>
      </c>
      <c r="AG713" s="175">
        <v>37</v>
      </c>
      <c r="AH713" s="175">
        <v>7</v>
      </c>
      <c r="AI713" s="175">
        <v>2</v>
      </c>
      <c r="AJ713" s="175">
        <v>7</v>
      </c>
      <c r="AK713" s="175">
        <v>8</v>
      </c>
      <c r="AL713" s="175">
        <v>7</v>
      </c>
      <c r="AM713" s="175">
        <v>10</v>
      </c>
      <c r="AN713" s="175">
        <v>0</v>
      </c>
      <c r="AO713" s="175">
        <v>34</v>
      </c>
      <c r="AP713" s="175">
        <v>24</v>
      </c>
      <c r="AQ713" s="175">
        <v>2</v>
      </c>
      <c r="AR713" s="175">
        <v>8</v>
      </c>
      <c r="AS713" s="175">
        <v>11</v>
      </c>
      <c r="AT713" s="175">
        <v>2</v>
      </c>
    </row>
    <row r="714" spans="1:46">
      <c r="A714">
        <v>10294</v>
      </c>
      <c r="B714" t="s">
        <v>5013</v>
      </c>
      <c r="C714" t="s">
        <v>5014</v>
      </c>
      <c r="E714" t="s">
        <v>5015</v>
      </c>
      <c r="F714" t="s">
        <v>5016</v>
      </c>
      <c r="G714" t="s">
        <v>668</v>
      </c>
      <c r="H714" t="s">
        <v>449</v>
      </c>
      <c r="I714" t="s">
        <v>5017</v>
      </c>
      <c r="J714" t="s">
        <v>605</v>
      </c>
      <c r="K714" t="s">
        <v>606</v>
      </c>
      <c r="M714" t="s">
        <v>607</v>
      </c>
      <c r="N714" t="s">
        <v>625</v>
      </c>
      <c r="O714" t="s">
        <v>669</v>
      </c>
      <c r="P714" t="s">
        <v>670</v>
      </c>
      <c r="Q714" t="s">
        <v>509</v>
      </c>
      <c r="R714" t="s">
        <v>611</v>
      </c>
      <c r="S714" t="s">
        <v>671</v>
      </c>
      <c r="T714" t="s">
        <v>613</v>
      </c>
      <c r="U714">
        <v>107501</v>
      </c>
      <c r="V714" t="s">
        <v>5018</v>
      </c>
      <c r="W714" t="s">
        <v>673</v>
      </c>
      <c r="X714" t="s">
        <v>5019</v>
      </c>
      <c r="Y714" t="s">
        <v>5020</v>
      </c>
      <c r="Z714" t="s">
        <v>5021</v>
      </c>
      <c r="AA714" t="s">
        <v>5022</v>
      </c>
      <c r="AB714" t="s">
        <v>5023</v>
      </c>
      <c r="AE714">
        <v>-35.734337539999999</v>
      </c>
      <c r="AF714">
        <v>174.31302524</v>
      </c>
      <c r="AG714" s="175">
        <v>70</v>
      </c>
      <c r="AH714" s="175">
        <v>20</v>
      </c>
      <c r="AI714" s="175">
        <v>1</v>
      </c>
      <c r="AJ714" s="175">
        <v>4</v>
      </c>
      <c r="AK714" s="175">
        <v>15</v>
      </c>
      <c r="AL714" s="175">
        <v>10</v>
      </c>
      <c r="AM714" s="175">
        <v>11</v>
      </c>
      <c r="AN714" s="175">
        <v>0</v>
      </c>
      <c r="AO714" s="175">
        <v>41</v>
      </c>
      <c r="AP714" s="175">
        <v>12</v>
      </c>
      <c r="AQ714" s="175">
        <v>39</v>
      </c>
      <c r="AR714" s="175">
        <v>6</v>
      </c>
      <c r="AS714" s="175">
        <v>0</v>
      </c>
      <c r="AT714" s="175">
        <v>1</v>
      </c>
    </row>
    <row r="715" spans="1:46">
      <c r="A715">
        <v>10295</v>
      </c>
      <c r="B715" t="s">
        <v>5024</v>
      </c>
      <c r="C715" t="s">
        <v>5025</v>
      </c>
      <c r="E715" t="s">
        <v>5026</v>
      </c>
      <c r="F715" t="s">
        <v>1121</v>
      </c>
      <c r="G715" t="s">
        <v>737</v>
      </c>
      <c r="H715" t="s">
        <v>449</v>
      </c>
      <c r="J715" t="s">
        <v>4032</v>
      </c>
      <c r="K715" t="s">
        <v>606</v>
      </c>
      <c r="M715" t="s">
        <v>607</v>
      </c>
      <c r="N715" t="s">
        <v>608</v>
      </c>
      <c r="O715" t="s">
        <v>1301</v>
      </c>
      <c r="P715" t="s">
        <v>739</v>
      </c>
      <c r="Q715" t="s">
        <v>467</v>
      </c>
      <c r="R715" t="s">
        <v>814</v>
      </c>
      <c r="S715" t="s">
        <v>1302</v>
      </c>
      <c r="T715" t="s">
        <v>794</v>
      </c>
      <c r="U715">
        <v>160901</v>
      </c>
      <c r="V715" t="s">
        <v>5027</v>
      </c>
      <c r="W715" t="s">
        <v>1304</v>
      </c>
      <c r="X715" t="s">
        <v>5028</v>
      </c>
      <c r="Y715" t="s">
        <v>5029</v>
      </c>
      <c r="Z715" t="s">
        <v>906</v>
      </c>
      <c r="AA715" t="s">
        <v>4138</v>
      </c>
      <c r="AB715" t="s">
        <v>5030</v>
      </c>
      <c r="AE715">
        <v>-37.03440629</v>
      </c>
      <c r="AF715">
        <v>174.89550396999999</v>
      </c>
      <c r="AG715" s="175">
        <v>50</v>
      </c>
      <c r="AH715" s="175">
        <v>14</v>
      </c>
      <c r="AI715" s="175">
        <v>1</v>
      </c>
      <c r="AJ715" s="175">
        <v>4</v>
      </c>
      <c r="AK715" s="175">
        <v>14</v>
      </c>
      <c r="AL715" s="175">
        <v>6</v>
      </c>
      <c r="AM715" s="175">
        <v>9</v>
      </c>
      <c r="AN715" s="175">
        <v>0</v>
      </c>
      <c r="AO715" s="175">
        <v>34</v>
      </c>
      <c r="AP715" s="175">
        <v>15</v>
      </c>
      <c r="AQ715" s="175">
        <v>17</v>
      </c>
      <c r="AR715" s="175">
        <v>15</v>
      </c>
      <c r="AS715" s="175">
        <v>7</v>
      </c>
      <c r="AT715" s="175">
        <v>1</v>
      </c>
    </row>
    <row r="716" spans="1:46">
      <c r="A716">
        <v>10297</v>
      </c>
      <c r="B716" t="s">
        <v>5031</v>
      </c>
      <c r="C716" t="s">
        <v>5032</v>
      </c>
      <c r="D716" t="s">
        <v>5033</v>
      </c>
      <c r="E716" t="s">
        <v>5034</v>
      </c>
      <c r="F716" t="s">
        <v>1262</v>
      </c>
      <c r="G716" t="s">
        <v>737</v>
      </c>
      <c r="H716" t="s">
        <v>449</v>
      </c>
      <c r="J716" t="s">
        <v>4032</v>
      </c>
      <c r="K716" t="s">
        <v>606</v>
      </c>
      <c r="M716" t="s">
        <v>607</v>
      </c>
      <c r="N716" t="s">
        <v>657</v>
      </c>
      <c r="O716" t="s">
        <v>833</v>
      </c>
      <c r="P716" t="s">
        <v>739</v>
      </c>
      <c r="Q716" t="s">
        <v>467</v>
      </c>
      <c r="R716" t="s">
        <v>724</v>
      </c>
      <c r="S716" t="s">
        <v>767</v>
      </c>
      <c r="T716" t="s">
        <v>613</v>
      </c>
      <c r="U716">
        <v>126801</v>
      </c>
      <c r="V716" t="s">
        <v>1263</v>
      </c>
      <c r="W716" t="s">
        <v>826</v>
      </c>
      <c r="X716" t="s">
        <v>5035</v>
      </c>
      <c r="Y716" t="s">
        <v>5036</v>
      </c>
      <c r="Z716" t="s">
        <v>767</v>
      </c>
      <c r="AA716" t="s">
        <v>4432</v>
      </c>
      <c r="AB716" t="s">
        <v>5037</v>
      </c>
      <c r="AC716">
        <v>99188</v>
      </c>
      <c r="AD716" t="s">
        <v>871</v>
      </c>
      <c r="AE716">
        <v>-36.79245761</v>
      </c>
      <c r="AF716">
        <v>174.77402581999999</v>
      </c>
      <c r="AG716" s="175">
        <v>50</v>
      </c>
      <c r="AH716" s="175">
        <v>17</v>
      </c>
      <c r="AI716" s="175">
        <v>4</v>
      </c>
      <c r="AJ716" s="175">
        <v>13</v>
      </c>
      <c r="AK716" s="175">
        <v>11</v>
      </c>
      <c r="AL716" s="175">
        <v>18</v>
      </c>
      <c r="AM716" s="175">
        <v>4</v>
      </c>
      <c r="AN716" s="175">
        <v>0</v>
      </c>
      <c r="AO716" s="175">
        <v>50</v>
      </c>
      <c r="AP716" s="175">
        <v>26</v>
      </c>
      <c r="AQ716" s="175">
        <v>7</v>
      </c>
      <c r="AR716" s="175">
        <v>3</v>
      </c>
      <c r="AS716" s="175">
        <v>18</v>
      </c>
      <c r="AT716" s="175">
        <v>9</v>
      </c>
    </row>
    <row r="717" spans="1:46">
      <c r="A717">
        <v>10299</v>
      </c>
      <c r="B717" t="s">
        <v>5038</v>
      </c>
      <c r="C717" t="s">
        <v>5039</v>
      </c>
      <c r="D717" t="s">
        <v>4403</v>
      </c>
      <c r="E717" t="s">
        <v>4404</v>
      </c>
      <c r="F717" t="s">
        <v>4405</v>
      </c>
      <c r="G717" t="s">
        <v>737</v>
      </c>
      <c r="H717" t="s">
        <v>449</v>
      </c>
      <c r="J717" t="s">
        <v>605</v>
      </c>
      <c r="K717" t="s">
        <v>606</v>
      </c>
      <c r="M717" t="s">
        <v>607</v>
      </c>
      <c r="N717" t="s">
        <v>625</v>
      </c>
      <c r="O717" t="s">
        <v>813</v>
      </c>
      <c r="P717" t="s">
        <v>739</v>
      </c>
      <c r="Q717" t="s">
        <v>467</v>
      </c>
      <c r="R717" t="s">
        <v>814</v>
      </c>
      <c r="S717" t="s">
        <v>1121</v>
      </c>
      <c r="T717" t="s">
        <v>794</v>
      </c>
      <c r="U717">
        <v>155500</v>
      </c>
      <c r="V717" t="s">
        <v>4405</v>
      </c>
      <c r="W717" t="s">
        <v>817</v>
      </c>
      <c r="X717" t="s">
        <v>4013</v>
      </c>
      <c r="Y717" t="s">
        <v>4014</v>
      </c>
      <c r="Z717" t="s">
        <v>4015</v>
      </c>
      <c r="AA717" t="s">
        <v>4016</v>
      </c>
      <c r="AB717" t="s">
        <v>4017</v>
      </c>
      <c r="AE717">
        <v>-36.985819450000001</v>
      </c>
      <c r="AF717">
        <v>174.87092867000001</v>
      </c>
      <c r="AG717" s="175">
        <v>50</v>
      </c>
      <c r="AH717" s="175">
        <v>0</v>
      </c>
      <c r="AI717" s="175">
        <v>0</v>
      </c>
      <c r="AJ717" s="175">
        <v>0</v>
      </c>
      <c r="AK717" s="175">
        <v>0</v>
      </c>
      <c r="AL717" s="175">
        <v>19</v>
      </c>
      <c r="AM717" s="175">
        <v>26</v>
      </c>
      <c r="AN717" s="175">
        <v>0</v>
      </c>
      <c r="AO717" s="175">
        <v>45</v>
      </c>
      <c r="AP717" s="175">
        <v>5</v>
      </c>
      <c r="AQ717" s="175">
        <v>5</v>
      </c>
      <c r="AR717" s="175">
        <v>10</v>
      </c>
      <c r="AS717" s="175">
        <v>35</v>
      </c>
      <c r="AT717" s="175">
        <v>0</v>
      </c>
    </row>
    <row r="718" spans="1:46">
      <c r="A718">
        <v>10300</v>
      </c>
      <c r="B718" t="s">
        <v>5040</v>
      </c>
      <c r="C718" t="s">
        <v>5041</v>
      </c>
      <c r="D718" t="s">
        <v>5042</v>
      </c>
      <c r="E718" t="s">
        <v>5043</v>
      </c>
      <c r="F718" t="s">
        <v>5044</v>
      </c>
      <c r="G718" t="s">
        <v>737</v>
      </c>
      <c r="H718" t="s">
        <v>449</v>
      </c>
      <c r="J718" t="s">
        <v>605</v>
      </c>
      <c r="K718" t="s">
        <v>606</v>
      </c>
      <c r="M718" t="s">
        <v>607</v>
      </c>
      <c r="N718" t="s">
        <v>657</v>
      </c>
      <c r="O718" t="s">
        <v>1042</v>
      </c>
      <c r="P718" t="s">
        <v>739</v>
      </c>
      <c r="Q718" t="s">
        <v>467</v>
      </c>
      <c r="R718" t="s">
        <v>793</v>
      </c>
      <c r="S718" t="s">
        <v>1043</v>
      </c>
      <c r="T718" t="s">
        <v>794</v>
      </c>
      <c r="U718">
        <v>136001</v>
      </c>
      <c r="V718" t="s">
        <v>5044</v>
      </c>
      <c r="W718" t="s">
        <v>945</v>
      </c>
      <c r="X718" t="s">
        <v>4013</v>
      </c>
      <c r="Y718" t="s">
        <v>4014</v>
      </c>
      <c r="Z718" t="s">
        <v>4015</v>
      </c>
      <c r="AA718" t="s">
        <v>4016</v>
      </c>
      <c r="AB718" t="s">
        <v>4017</v>
      </c>
      <c r="AE718">
        <v>-36.86615982</v>
      </c>
      <c r="AF718">
        <v>174.75598522999999</v>
      </c>
      <c r="AG718" s="175">
        <v>84</v>
      </c>
      <c r="AH718" s="175">
        <v>20</v>
      </c>
      <c r="AI718" s="175">
        <v>2</v>
      </c>
      <c r="AJ718" s="175">
        <v>15</v>
      </c>
      <c r="AK718" s="175">
        <v>26</v>
      </c>
      <c r="AL718" s="175">
        <v>22</v>
      </c>
      <c r="AM718" s="175">
        <v>22</v>
      </c>
      <c r="AN718" s="175">
        <v>1</v>
      </c>
      <c r="AO718" s="175">
        <v>88</v>
      </c>
      <c r="AP718" s="175">
        <v>30</v>
      </c>
      <c r="AQ718" s="175">
        <v>5</v>
      </c>
      <c r="AR718" s="175">
        <v>5</v>
      </c>
      <c r="AS718" s="175">
        <v>47</v>
      </c>
      <c r="AT718" s="175">
        <v>12</v>
      </c>
    </row>
    <row r="719" spans="1:46">
      <c r="A719">
        <v>10302</v>
      </c>
      <c r="B719" t="s">
        <v>5045</v>
      </c>
      <c r="C719" t="s">
        <v>5046</v>
      </c>
      <c r="D719" t="s">
        <v>5047</v>
      </c>
      <c r="E719" t="s">
        <v>5048</v>
      </c>
      <c r="F719" t="s">
        <v>957</v>
      </c>
      <c r="G719" t="s">
        <v>737</v>
      </c>
      <c r="H719" t="s">
        <v>449</v>
      </c>
      <c r="J719" t="s">
        <v>4032</v>
      </c>
      <c r="K719" t="s">
        <v>606</v>
      </c>
      <c r="M719" t="s">
        <v>607</v>
      </c>
      <c r="N719" t="s">
        <v>657</v>
      </c>
      <c r="O719" t="s">
        <v>958</v>
      </c>
      <c r="P719" t="s">
        <v>739</v>
      </c>
      <c r="Q719" t="s">
        <v>467</v>
      </c>
      <c r="R719" t="s">
        <v>724</v>
      </c>
      <c r="S719" t="s">
        <v>804</v>
      </c>
      <c r="T719" t="s">
        <v>794</v>
      </c>
      <c r="U719">
        <v>130100</v>
      </c>
      <c r="V719" t="s">
        <v>5049</v>
      </c>
      <c r="W719" t="s">
        <v>900</v>
      </c>
      <c r="X719" t="s">
        <v>5050</v>
      </c>
      <c r="Y719" t="s">
        <v>5048</v>
      </c>
      <c r="Z719" t="s">
        <v>1152</v>
      </c>
      <c r="AA719" t="s">
        <v>5051</v>
      </c>
      <c r="AB719" t="s">
        <v>5046</v>
      </c>
      <c r="AE719">
        <v>-36.913155400000001</v>
      </c>
      <c r="AF719">
        <v>174.63979309999999</v>
      </c>
      <c r="AG719" s="175">
        <v>36</v>
      </c>
      <c r="AH719" s="175">
        <v>0</v>
      </c>
      <c r="AI719" s="175">
        <v>0</v>
      </c>
      <c r="AJ719" s="175">
        <v>0</v>
      </c>
      <c r="AK719" s="175">
        <v>4</v>
      </c>
      <c r="AL719" s="175">
        <v>10</v>
      </c>
      <c r="AM719" s="175">
        <v>16</v>
      </c>
      <c r="AN719" s="175">
        <v>3</v>
      </c>
      <c r="AO719" s="175">
        <v>33</v>
      </c>
      <c r="AP719" s="175">
        <v>13</v>
      </c>
      <c r="AQ719" s="175">
        <v>14</v>
      </c>
      <c r="AR719" s="175">
        <v>6</v>
      </c>
      <c r="AS719" s="175">
        <v>10</v>
      </c>
      <c r="AT719" s="175">
        <v>2</v>
      </c>
    </row>
    <row r="720" spans="1:46">
      <c r="A720">
        <v>10305</v>
      </c>
      <c r="B720" t="s">
        <v>5052</v>
      </c>
      <c r="C720" t="s">
        <v>5053</v>
      </c>
      <c r="D720" t="s">
        <v>5054</v>
      </c>
      <c r="E720" t="s">
        <v>5055</v>
      </c>
      <c r="F720" t="s">
        <v>983</v>
      </c>
      <c r="G720" t="s">
        <v>737</v>
      </c>
      <c r="H720" t="s">
        <v>449</v>
      </c>
      <c r="J720" t="s">
        <v>4032</v>
      </c>
      <c r="K720" t="s">
        <v>606</v>
      </c>
      <c r="M720" t="s">
        <v>607</v>
      </c>
      <c r="N720" t="s">
        <v>643</v>
      </c>
      <c r="O720" t="s">
        <v>898</v>
      </c>
      <c r="P720" t="s">
        <v>739</v>
      </c>
      <c r="Q720" t="s">
        <v>467</v>
      </c>
      <c r="R720" t="s">
        <v>724</v>
      </c>
      <c r="S720" t="s">
        <v>984</v>
      </c>
      <c r="T720" t="s">
        <v>613</v>
      </c>
      <c r="U720">
        <v>125100</v>
      </c>
      <c r="V720" t="s">
        <v>4372</v>
      </c>
      <c r="W720" t="s">
        <v>900</v>
      </c>
      <c r="X720" t="s">
        <v>4165</v>
      </c>
      <c r="Y720" t="s">
        <v>4166</v>
      </c>
      <c r="Z720" t="s">
        <v>4167</v>
      </c>
      <c r="AA720" t="s">
        <v>4168</v>
      </c>
      <c r="AB720" t="s">
        <v>4169</v>
      </c>
      <c r="AE720">
        <v>-36.85419254</v>
      </c>
      <c r="AF720">
        <v>174.63067040000001</v>
      </c>
      <c r="AG720" s="175">
        <v>95</v>
      </c>
      <c r="AH720" s="175">
        <v>40</v>
      </c>
      <c r="AI720" s="175">
        <v>6</v>
      </c>
      <c r="AJ720" s="175">
        <v>12</v>
      </c>
      <c r="AK720" s="175">
        <v>24</v>
      </c>
      <c r="AL720" s="175">
        <v>15</v>
      </c>
      <c r="AM720" s="175">
        <v>16</v>
      </c>
      <c r="AN720" s="175">
        <v>0</v>
      </c>
      <c r="AO720" s="175">
        <v>73</v>
      </c>
      <c r="AP720" s="175">
        <v>40</v>
      </c>
      <c r="AQ720" s="175">
        <v>9</v>
      </c>
      <c r="AR720" s="175">
        <v>21</v>
      </c>
      <c r="AS720" s="175">
        <v>30</v>
      </c>
      <c r="AT720" s="175">
        <v>5</v>
      </c>
    </row>
    <row r="721" spans="1:46">
      <c r="A721">
        <v>10306</v>
      </c>
      <c r="B721" t="s">
        <v>5056</v>
      </c>
      <c r="C721" t="s">
        <v>5057</v>
      </c>
      <c r="E721" t="s">
        <v>5058</v>
      </c>
      <c r="F721" t="s">
        <v>1121</v>
      </c>
      <c r="G721" t="s">
        <v>737</v>
      </c>
      <c r="H721" t="s">
        <v>449</v>
      </c>
      <c r="I721" t="s">
        <v>5017</v>
      </c>
      <c r="J721" t="s">
        <v>4032</v>
      </c>
      <c r="K721" t="s">
        <v>606</v>
      </c>
      <c r="M721" t="s">
        <v>607</v>
      </c>
      <c r="N721" t="s">
        <v>608</v>
      </c>
      <c r="O721" t="s">
        <v>1301</v>
      </c>
      <c r="P721" t="s">
        <v>739</v>
      </c>
      <c r="Q721" t="s">
        <v>467</v>
      </c>
      <c r="R721" t="s">
        <v>814</v>
      </c>
      <c r="S721" t="s">
        <v>1302</v>
      </c>
      <c r="T721" t="s">
        <v>794</v>
      </c>
      <c r="U721">
        <v>160901</v>
      </c>
      <c r="V721" t="s">
        <v>5027</v>
      </c>
      <c r="W721" t="s">
        <v>1304</v>
      </c>
      <c r="X721" t="s">
        <v>5028</v>
      </c>
      <c r="Y721" t="s">
        <v>5029</v>
      </c>
      <c r="Z721" t="s">
        <v>906</v>
      </c>
      <c r="AA721" t="s">
        <v>4138</v>
      </c>
      <c r="AE721">
        <v>-37.032321070000002</v>
      </c>
      <c r="AF721">
        <v>174.89510005</v>
      </c>
      <c r="AG721" s="175">
        <v>43</v>
      </c>
      <c r="AH721" s="175">
        <v>10</v>
      </c>
      <c r="AI721" s="175">
        <v>2</v>
      </c>
      <c r="AJ721" s="175">
        <v>8</v>
      </c>
      <c r="AK721" s="175">
        <v>14</v>
      </c>
      <c r="AL721" s="175">
        <v>11</v>
      </c>
      <c r="AM721" s="175">
        <v>17</v>
      </c>
      <c r="AN721" s="175">
        <v>0</v>
      </c>
      <c r="AO721" s="175">
        <v>52</v>
      </c>
      <c r="AP721" s="175">
        <v>23</v>
      </c>
      <c r="AQ721" s="175">
        <v>15</v>
      </c>
      <c r="AR721" s="175">
        <v>25</v>
      </c>
      <c r="AS721" s="175">
        <v>10</v>
      </c>
      <c r="AT721" s="175">
        <v>2</v>
      </c>
    </row>
    <row r="722" spans="1:46">
      <c r="A722">
        <v>10309</v>
      </c>
      <c r="B722" t="s">
        <v>5059</v>
      </c>
      <c r="C722" t="s">
        <v>5060</v>
      </c>
      <c r="D722" t="s">
        <v>5061</v>
      </c>
      <c r="E722" t="s">
        <v>5062</v>
      </c>
      <c r="F722" t="s">
        <v>1368</v>
      </c>
      <c r="G722" t="s">
        <v>737</v>
      </c>
      <c r="H722" t="s">
        <v>469</v>
      </c>
      <c r="I722" t="s">
        <v>5063</v>
      </c>
      <c r="J722" t="s">
        <v>605</v>
      </c>
      <c r="K722" t="s">
        <v>606</v>
      </c>
      <c r="M722" t="s">
        <v>607</v>
      </c>
      <c r="N722" t="s">
        <v>812</v>
      </c>
      <c r="O722" t="s">
        <v>813</v>
      </c>
      <c r="P722" t="s">
        <v>739</v>
      </c>
      <c r="Q722" t="s">
        <v>467</v>
      </c>
      <c r="R722" t="s">
        <v>814</v>
      </c>
      <c r="S722" t="s">
        <v>863</v>
      </c>
      <c r="T722" t="s">
        <v>794</v>
      </c>
      <c r="U722">
        <v>157701</v>
      </c>
      <c r="V722" t="s">
        <v>4562</v>
      </c>
      <c r="W722" t="s">
        <v>817</v>
      </c>
      <c r="X722" t="s">
        <v>5064</v>
      </c>
      <c r="Y722" t="s">
        <v>5065</v>
      </c>
      <c r="Z722" t="s">
        <v>1368</v>
      </c>
      <c r="AA722" t="s">
        <v>5066</v>
      </c>
      <c r="AB722" t="s">
        <v>5060</v>
      </c>
      <c r="AE722">
        <v>-36.980788029999999</v>
      </c>
      <c r="AF722">
        <v>174.88890895</v>
      </c>
      <c r="AG722" s="175">
        <v>50</v>
      </c>
      <c r="AH722" s="175">
        <v>15</v>
      </c>
      <c r="AI722" s="175">
        <v>1</v>
      </c>
      <c r="AJ722" s="175">
        <v>7</v>
      </c>
      <c r="AK722" s="175">
        <v>9</v>
      </c>
      <c r="AL722" s="175">
        <v>13</v>
      </c>
      <c r="AM722" s="175">
        <v>11</v>
      </c>
      <c r="AN722" s="175">
        <v>2</v>
      </c>
      <c r="AO722" s="175">
        <v>43</v>
      </c>
      <c r="AP722" s="175">
        <v>0</v>
      </c>
      <c r="AQ722" s="175">
        <v>2</v>
      </c>
      <c r="AR722" s="175">
        <v>37</v>
      </c>
      <c r="AS722" s="175">
        <v>3</v>
      </c>
      <c r="AT722" s="175">
        <v>4</v>
      </c>
    </row>
    <row r="723" spans="1:46">
      <c r="A723">
        <v>10312</v>
      </c>
      <c r="B723" t="s">
        <v>5067</v>
      </c>
      <c r="C723" t="s">
        <v>5068</v>
      </c>
      <c r="D723" t="s">
        <v>5069</v>
      </c>
      <c r="E723" t="s">
        <v>5070</v>
      </c>
      <c r="F723" t="s">
        <v>811</v>
      </c>
      <c r="G723" t="s">
        <v>737</v>
      </c>
      <c r="H723" t="s">
        <v>449</v>
      </c>
      <c r="J723" t="s">
        <v>4032</v>
      </c>
      <c r="K723" t="s">
        <v>606</v>
      </c>
      <c r="M723" t="s">
        <v>607</v>
      </c>
      <c r="N723" t="s">
        <v>812</v>
      </c>
      <c r="O723" t="s">
        <v>813</v>
      </c>
      <c r="P723" t="s">
        <v>739</v>
      </c>
      <c r="Q723" t="s">
        <v>467</v>
      </c>
      <c r="R723" t="s">
        <v>814</v>
      </c>
      <c r="S723" t="s">
        <v>815</v>
      </c>
      <c r="T723" t="s">
        <v>794</v>
      </c>
      <c r="U723">
        <v>155701</v>
      </c>
      <c r="V723" t="s">
        <v>5071</v>
      </c>
      <c r="W723" t="s">
        <v>817</v>
      </c>
      <c r="X723" t="s">
        <v>5072</v>
      </c>
      <c r="Y723" t="s">
        <v>5073</v>
      </c>
      <c r="Z723" t="s">
        <v>854</v>
      </c>
      <c r="AA723" t="s">
        <v>4400</v>
      </c>
      <c r="AB723" t="s">
        <v>5074</v>
      </c>
      <c r="AE723">
        <v>-36.964135740000003</v>
      </c>
      <c r="AF723">
        <v>174.87099838</v>
      </c>
      <c r="AG723" s="175">
        <v>36</v>
      </c>
      <c r="AH723" s="175">
        <v>10</v>
      </c>
      <c r="AI723" s="175">
        <v>1</v>
      </c>
      <c r="AJ723" s="175">
        <v>6</v>
      </c>
      <c r="AK723" s="175">
        <v>5</v>
      </c>
      <c r="AL723" s="175">
        <v>3</v>
      </c>
      <c r="AM723" s="175">
        <v>11</v>
      </c>
      <c r="AN723" s="175">
        <v>0</v>
      </c>
      <c r="AO723" s="175">
        <v>26</v>
      </c>
      <c r="AP723" s="175">
        <v>0</v>
      </c>
      <c r="AQ723" s="175">
        <v>8</v>
      </c>
      <c r="AR723" s="175">
        <v>26</v>
      </c>
      <c r="AS723" s="175">
        <v>1</v>
      </c>
      <c r="AT723" s="175">
        <v>0</v>
      </c>
    </row>
    <row r="724" spans="1:46">
      <c r="A724">
        <v>10314</v>
      </c>
      <c r="B724" t="s">
        <v>5075</v>
      </c>
      <c r="C724" t="s">
        <v>5076</v>
      </c>
      <c r="D724" t="s">
        <v>5077</v>
      </c>
      <c r="E724" t="s">
        <v>5078</v>
      </c>
      <c r="F724" t="s">
        <v>983</v>
      </c>
      <c r="G724" t="s">
        <v>737</v>
      </c>
      <c r="H724" t="s">
        <v>452</v>
      </c>
      <c r="J724" t="s">
        <v>605</v>
      </c>
      <c r="K724" t="s">
        <v>606</v>
      </c>
      <c r="M724" t="s">
        <v>607</v>
      </c>
      <c r="N724" t="s">
        <v>657</v>
      </c>
      <c r="O724" t="s">
        <v>898</v>
      </c>
      <c r="P724" t="s">
        <v>739</v>
      </c>
      <c r="Q724" t="s">
        <v>467</v>
      </c>
      <c r="R724" t="s">
        <v>724</v>
      </c>
      <c r="S724" t="s">
        <v>984</v>
      </c>
      <c r="T724" t="s">
        <v>613</v>
      </c>
      <c r="U724">
        <v>126100</v>
      </c>
      <c r="V724" t="s">
        <v>5079</v>
      </c>
      <c r="W724" t="s">
        <v>900</v>
      </c>
      <c r="X724" t="s">
        <v>727</v>
      </c>
      <c r="Y724" t="s">
        <v>728</v>
      </c>
      <c r="Z724" t="s">
        <v>729</v>
      </c>
      <c r="AA724" t="s">
        <v>730</v>
      </c>
      <c r="AB724" t="s">
        <v>731</v>
      </c>
      <c r="AE724">
        <v>-36.874685300000003</v>
      </c>
      <c r="AF724">
        <v>174.61171562000001</v>
      </c>
      <c r="AG724" s="175">
        <v>40</v>
      </c>
      <c r="AH724" s="175">
        <v>0</v>
      </c>
      <c r="AI724" s="175">
        <v>0</v>
      </c>
      <c r="AJ724" s="175">
        <v>0</v>
      </c>
      <c r="AK724" s="175">
        <v>0</v>
      </c>
      <c r="AL724" s="175">
        <v>21</v>
      </c>
      <c r="AM724" s="175">
        <v>26</v>
      </c>
      <c r="AN724" s="175">
        <v>1</v>
      </c>
      <c r="AO724" s="175">
        <v>48</v>
      </c>
      <c r="AP724" s="175">
        <v>13</v>
      </c>
      <c r="AQ724" s="175">
        <v>3</v>
      </c>
      <c r="AR724" s="175">
        <v>10</v>
      </c>
      <c r="AS724" s="175">
        <v>30</v>
      </c>
      <c r="AT724" s="175">
        <v>5</v>
      </c>
    </row>
    <row r="725" spans="1:46">
      <c r="A725">
        <v>10316</v>
      </c>
      <c r="B725" t="s">
        <v>5080</v>
      </c>
      <c r="C725" t="s">
        <v>5081</v>
      </c>
      <c r="D725" t="s">
        <v>5082</v>
      </c>
      <c r="E725" t="s">
        <v>5083</v>
      </c>
      <c r="F725" t="s">
        <v>5084</v>
      </c>
      <c r="G725" t="s">
        <v>737</v>
      </c>
      <c r="H725" t="s">
        <v>449</v>
      </c>
      <c r="J725" t="s">
        <v>605</v>
      </c>
      <c r="K725" t="s">
        <v>606</v>
      </c>
      <c r="M725" t="s">
        <v>607</v>
      </c>
      <c r="N725" t="s">
        <v>4586</v>
      </c>
      <c r="O725" t="s">
        <v>1353</v>
      </c>
      <c r="P725" t="s">
        <v>739</v>
      </c>
      <c r="Q725" t="s">
        <v>467</v>
      </c>
      <c r="R725" t="s">
        <v>814</v>
      </c>
      <c r="S725" t="s">
        <v>1319</v>
      </c>
      <c r="T725" t="s">
        <v>1320</v>
      </c>
      <c r="U725">
        <v>162500</v>
      </c>
      <c r="V725" t="s">
        <v>5085</v>
      </c>
      <c r="W725" t="s">
        <v>1304</v>
      </c>
      <c r="X725" t="s">
        <v>5086</v>
      </c>
      <c r="Y725" t="s">
        <v>5087</v>
      </c>
      <c r="Z725" t="s">
        <v>1319</v>
      </c>
      <c r="AA725" t="s">
        <v>5088</v>
      </c>
      <c r="AB725" t="s">
        <v>5089</v>
      </c>
      <c r="AE725">
        <v>-37.081327620000003</v>
      </c>
      <c r="AF725">
        <v>174.90297279999999</v>
      </c>
      <c r="AG725" s="175">
        <v>115</v>
      </c>
      <c r="AH725" s="175">
        <v>25</v>
      </c>
      <c r="AI725" s="175">
        <v>1</v>
      </c>
      <c r="AJ725" s="175">
        <v>17</v>
      </c>
      <c r="AK725" s="175">
        <v>14</v>
      </c>
      <c r="AL725" s="175">
        <v>29</v>
      </c>
      <c r="AM725" s="175">
        <v>42</v>
      </c>
      <c r="AN725" s="175">
        <v>1</v>
      </c>
      <c r="AO725" s="175">
        <v>104</v>
      </c>
      <c r="AP725" s="175">
        <v>34</v>
      </c>
      <c r="AQ725" s="175">
        <v>6</v>
      </c>
      <c r="AR725" s="175">
        <v>4</v>
      </c>
      <c r="AS725" s="175">
        <v>74</v>
      </c>
      <c r="AT725" s="175">
        <v>5</v>
      </c>
    </row>
    <row r="726" spans="1:46">
      <c r="A726">
        <v>10317</v>
      </c>
      <c r="B726" t="s">
        <v>5090</v>
      </c>
      <c r="C726" t="s">
        <v>5091</v>
      </c>
      <c r="D726" t="s">
        <v>5092</v>
      </c>
      <c r="E726" t="s">
        <v>5093</v>
      </c>
      <c r="F726" t="s">
        <v>4987</v>
      </c>
      <c r="G726" t="s">
        <v>737</v>
      </c>
      <c r="H726" t="s">
        <v>449</v>
      </c>
      <c r="J726" t="s">
        <v>4032</v>
      </c>
      <c r="K726" t="s">
        <v>606</v>
      </c>
      <c r="M726" t="s">
        <v>607</v>
      </c>
      <c r="N726" t="s">
        <v>657</v>
      </c>
      <c r="O726" t="s">
        <v>1042</v>
      </c>
      <c r="P726" t="s">
        <v>739</v>
      </c>
      <c r="Q726" t="s">
        <v>467</v>
      </c>
      <c r="R726" t="s">
        <v>793</v>
      </c>
      <c r="S726" t="s">
        <v>1043</v>
      </c>
      <c r="T726" t="s">
        <v>794</v>
      </c>
      <c r="U726">
        <v>133301</v>
      </c>
      <c r="V726" t="s">
        <v>5094</v>
      </c>
      <c r="W726" t="s">
        <v>1044</v>
      </c>
      <c r="X726" t="s">
        <v>4165</v>
      </c>
      <c r="Y726" t="s">
        <v>4166</v>
      </c>
      <c r="Z726" t="s">
        <v>4167</v>
      </c>
      <c r="AA726" t="s">
        <v>4168</v>
      </c>
      <c r="AB726" t="s">
        <v>4169</v>
      </c>
      <c r="AE726">
        <v>-36.84385202</v>
      </c>
      <c r="AF726">
        <v>174.76480656000001</v>
      </c>
      <c r="AG726" s="175">
        <v>119</v>
      </c>
      <c r="AH726" s="175">
        <v>47</v>
      </c>
      <c r="AI726" s="175">
        <v>5</v>
      </c>
      <c r="AJ726" s="175">
        <v>34</v>
      </c>
      <c r="AK726" s="175">
        <v>28</v>
      </c>
      <c r="AL726" s="175">
        <v>2</v>
      </c>
      <c r="AM726" s="175">
        <v>0</v>
      </c>
      <c r="AN726" s="175">
        <v>0</v>
      </c>
      <c r="AO726" s="175">
        <v>69</v>
      </c>
      <c r="AP726" s="175">
        <v>37</v>
      </c>
      <c r="AQ726" s="175">
        <v>5</v>
      </c>
      <c r="AR726" s="175">
        <v>4</v>
      </c>
      <c r="AS726" s="175">
        <v>28</v>
      </c>
      <c r="AT726" s="175">
        <v>18</v>
      </c>
    </row>
    <row r="727" spans="1:46">
      <c r="A727">
        <v>10321</v>
      </c>
      <c r="B727" t="s">
        <v>5095</v>
      </c>
      <c r="C727" t="s">
        <v>5096</v>
      </c>
      <c r="D727" t="s">
        <v>5097</v>
      </c>
      <c r="E727" t="s">
        <v>5098</v>
      </c>
      <c r="F727" t="s">
        <v>5099</v>
      </c>
      <c r="G727" t="s">
        <v>668</v>
      </c>
      <c r="H727" t="s">
        <v>449</v>
      </c>
      <c r="J727" t="s">
        <v>4032</v>
      </c>
      <c r="K727" t="s">
        <v>606</v>
      </c>
      <c r="M727" t="s">
        <v>607</v>
      </c>
      <c r="N727" t="s">
        <v>657</v>
      </c>
      <c r="O727" t="s">
        <v>669</v>
      </c>
      <c r="P727" t="s">
        <v>670</v>
      </c>
      <c r="Q727" t="s">
        <v>509</v>
      </c>
      <c r="R727" t="s">
        <v>611</v>
      </c>
      <c r="S727" t="s">
        <v>671</v>
      </c>
      <c r="T727" t="s">
        <v>613</v>
      </c>
      <c r="U727">
        <v>106600</v>
      </c>
      <c r="V727" t="s">
        <v>5100</v>
      </c>
      <c r="W727" t="s">
        <v>673</v>
      </c>
      <c r="X727" t="s">
        <v>4470</v>
      </c>
      <c r="Y727" t="s">
        <v>4471</v>
      </c>
      <c r="Z727" t="s">
        <v>4472</v>
      </c>
      <c r="AA727" t="s">
        <v>4596</v>
      </c>
      <c r="AB727" t="s">
        <v>4474</v>
      </c>
      <c r="AC727">
        <v>99180</v>
      </c>
      <c r="AD727" t="s">
        <v>4957</v>
      </c>
      <c r="AE727">
        <v>-35.70874757</v>
      </c>
      <c r="AF727">
        <v>174.31328715999999</v>
      </c>
      <c r="AG727" s="175">
        <v>31</v>
      </c>
      <c r="AH727" s="175">
        <v>0</v>
      </c>
      <c r="AI727" s="175">
        <v>0</v>
      </c>
      <c r="AJ727" s="175">
        <v>0</v>
      </c>
      <c r="AK727" s="175">
        <v>8</v>
      </c>
      <c r="AL727" s="175">
        <v>9</v>
      </c>
      <c r="AM727" s="175">
        <v>18</v>
      </c>
      <c r="AN727" s="175">
        <v>0</v>
      </c>
      <c r="AO727" s="175">
        <v>35</v>
      </c>
      <c r="AP727" s="175">
        <v>30</v>
      </c>
      <c r="AQ727" s="175">
        <v>9</v>
      </c>
      <c r="AR727" s="175">
        <v>1</v>
      </c>
      <c r="AS727" s="175">
        <v>2</v>
      </c>
      <c r="AT727" s="175">
        <v>3</v>
      </c>
    </row>
    <row r="728" spans="1:46">
      <c r="A728">
        <v>10323</v>
      </c>
      <c r="B728" t="s">
        <v>5101</v>
      </c>
      <c r="C728" t="s">
        <v>5102</v>
      </c>
      <c r="D728" t="s">
        <v>5103</v>
      </c>
      <c r="E728" t="s">
        <v>5104</v>
      </c>
      <c r="G728" t="s">
        <v>4040</v>
      </c>
      <c r="H728" t="s">
        <v>449</v>
      </c>
      <c r="J728" t="s">
        <v>4032</v>
      </c>
      <c r="K728" t="s">
        <v>606</v>
      </c>
      <c r="M728" t="s">
        <v>607</v>
      </c>
      <c r="N728" t="s">
        <v>643</v>
      </c>
      <c r="O728" t="s">
        <v>898</v>
      </c>
      <c r="P728" t="s">
        <v>739</v>
      </c>
      <c r="Q728" t="s">
        <v>467</v>
      </c>
      <c r="R728" t="s">
        <v>724</v>
      </c>
      <c r="S728" t="s">
        <v>984</v>
      </c>
      <c r="T728" t="s">
        <v>613</v>
      </c>
      <c r="U728">
        <v>122001</v>
      </c>
      <c r="V728" t="s">
        <v>4040</v>
      </c>
      <c r="W728" t="s">
        <v>900</v>
      </c>
      <c r="X728" t="s">
        <v>5105</v>
      </c>
      <c r="Y728" t="s">
        <v>5106</v>
      </c>
      <c r="Z728" t="s">
        <v>4813</v>
      </c>
      <c r="AA728" t="s">
        <v>4374</v>
      </c>
      <c r="AB728" t="s">
        <v>5107</v>
      </c>
      <c r="AC728">
        <v>99029</v>
      </c>
      <c r="AD728" t="s">
        <v>986</v>
      </c>
      <c r="AE728">
        <v>-36.86692584</v>
      </c>
      <c r="AF728">
        <v>174.58616882000001</v>
      </c>
      <c r="AG728" s="175">
        <v>80</v>
      </c>
      <c r="AH728" s="175">
        <v>14</v>
      </c>
      <c r="AI728" s="175">
        <v>3</v>
      </c>
      <c r="AJ728" s="175">
        <v>10</v>
      </c>
      <c r="AK728" s="175">
        <v>20</v>
      </c>
      <c r="AL728" s="175">
        <v>21</v>
      </c>
      <c r="AM728" s="175">
        <v>17</v>
      </c>
      <c r="AN728" s="175">
        <v>1</v>
      </c>
      <c r="AO728" s="175">
        <v>72</v>
      </c>
      <c r="AP728" s="175">
        <v>57</v>
      </c>
      <c r="AQ728" s="175">
        <v>17</v>
      </c>
      <c r="AR728" s="175">
        <v>12</v>
      </c>
      <c r="AS728" s="175">
        <v>9</v>
      </c>
      <c r="AT728" s="175">
        <v>3</v>
      </c>
    </row>
    <row r="729" spans="1:46">
      <c r="A729">
        <v>10325</v>
      </c>
      <c r="B729" t="s">
        <v>5108</v>
      </c>
      <c r="C729" t="s">
        <v>5109</v>
      </c>
      <c r="D729" t="s">
        <v>5110</v>
      </c>
      <c r="E729" t="s">
        <v>5111</v>
      </c>
      <c r="F729" t="s">
        <v>811</v>
      </c>
      <c r="G729" t="s">
        <v>737</v>
      </c>
      <c r="H729" t="s">
        <v>468</v>
      </c>
      <c r="I729" t="s">
        <v>4233</v>
      </c>
      <c r="J729" t="s">
        <v>605</v>
      </c>
      <c r="K729" t="s">
        <v>606</v>
      </c>
      <c r="M729" t="s">
        <v>607</v>
      </c>
      <c r="N729" t="s">
        <v>812</v>
      </c>
      <c r="O729" t="s">
        <v>813</v>
      </c>
      <c r="P729" t="s">
        <v>739</v>
      </c>
      <c r="Q729" t="s">
        <v>467</v>
      </c>
      <c r="R729" t="s">
        <v>814</v>
      </c>
      <c r="S729" t="s">
        <v>863</v>
      </c>
      <c r="T729" t="s">
        <v>794</v>
      </c>
      <c r="U729">
        <v>157200</v>
      </c>
      <c r="V729" t="s">
        <v>5112</v>
      </c>
      <c r="W729" t="s">
        <v>817</v>
      </c>
      <c r="X729" t="s">
        <v>4291</v>
      </c>
      <c r="Y729" t="s">
        <v>4292</v>
      </c>
      <c r="Z729" t="s">
        <v>811</v>
      </c>
      <c r="AA729" t="s">
        <v>4293</v>
      </c>
      <c r="AE729">
        <v>-36.973555050000002</v>
      </c>
      <c r="AF729">
        <v>174.89208837999999</v>
      </c>
      <c r="AG729" s="175">
        <v>35</v>
      </c>
      <c r="AH729" s="175">
        <v>8</v>
      </c>
      <c r="AI729" s="175">
        <v>0</v>
      </c>
      <c r="AJ729" s="175">
        <v>6</v>
      </c>
      <c r="AK729" s="175">
        <v>5</v>
      </c>
      <c r="AL729" s="175">
        <v>10</v>
      </c>
      <c r="AM729" s="175">
        <v>6</v>
      </c>
      <c r="AN729" s="175">
        <v>0</v>
      </c>
      <c r="AO729" s="175">
        <v>27</v>
      </c>
      <c r="AP729" s="175">
        <v>1</v>
      </c>
      <c r="AQ729" s="175">
        <v>0</v>
      </c>
      <c r="AR729" s="175">
        <v>25</v>
      </c>
      <c r="AS729" s="175">
        <v>1</v>
      </c>
      <c r="AT729" s="175">
        <v>0</v>
      </c>
    </row>
    <row r="730" spans="1:46">
      <c r="A730">
        <v>10326</v>
      </c>
      <c r="B730" t="s">
        <v>5113</v>
      </c>
      <c r="C730" t="s">
        <v>5114</v>
      </c>
      <c r="D730" t="s">
        <v>5115</v>
      </c>
      <c r="E730" t="s">
        <v>5116</v>
      </c>
      <c r="F730" t="s">
        <v>940</v>
      </c>
      <c r="G730" t="s">
        <v>737</v>
      </c>
      <c r="H730" t="s">
        <v>449</v>
      </c>
      <c r="I730" t="s">
        <v>4134</v>
      </c>
      <c r="J730" t="s">
        <v>4032</v>
      </c>
      <c r="K730" t="s">
        <v>606</v>
      </c>
      <c r="M730" t="s">
        <v>607</v>
      </c>
      <c r="N730" t="s">
        <v>643</v>
      </c>
      <c r="O730" t="s">
        <v>942</v>
      </c>
      <c r="P730" t="s">
        <v>739</v>
      </c>
      <c r="Q730" t="s">
        <v>467</v>
      </c>
      <c r="R730" t="s">
        <v>793</v>
      </c>
      <c r="S730" t="s">
        <v>943</v>
      </c>
      <c r="T730" t="s">
        <v>794</v>
      </c>
      <c r="U730">
        <v>135500</v>
      </c>
      <c r="V730" t="s">
        <v>1165</v>
      </c>
      <c r="W730" t="s">
        <v>945</v>
      </c>
      <c r="X730" t="s">
        <v>5117</v>
      </c>
      <c r="Y730" t="s">
        <v>5118</v>
      </c>
      <c r="Z730" t="s">
        <v>1199</v>
      </c>
      <c r="AA730" t="s">
        <v>4034</v>
      </c>
      <c r="AB730" t="s">
        <v>5114</v>
      </c>
      <c r="AE730">
        <v>-36.895480399999997</v>
      </c>
      <c r="AF730">
        <v>174.70346359999999</v>
      </c>
      <c r="AG730" s="175">
        <v>50</v>
      </c>
      <c r="AH730" s="175">
        <v>18</v>
      </c>
      <c r="AI730" s="175">
        <v>1</v>
      </c>
      <c r="AJ730" s="175">
        <v>4</v>
      </c>
      <c r="AK730" s="175">
        <v>12</v>
      </c>
      <c r="AL730" s="175">
        <v>9</v>
      </c>
      <c r="AM730" s="175">
        <v>17</v>
      </c>
      <c r="AN730" s="175">
        <v>1</v>
      </c>
      <c r="AO730" s="175">
        <v>44</v>
      </c>
      <c r="AP730" s="175">
        <v>2</v>
      </c>
      <c r="AQ730" s="175">
        <v>1</v>
      </c>
      <c r="AR730" s="175">
        <v>0</v>
      </c>
      <c r="AS730" s="175">
        <v>42</v>
      </c>
      <c r="AT730" s="175">
        <v>2</v>
      </c>
    </row>
    <row r="731" spans="1:46">
      <c r="A731">
        <v>10330</v>
      </c>
      <c r="B731" t="s">
        <v>5119</v>
      </c>
      <c r="C731" t="s">
        <v>5120</v>
      </c>
      <c r="D731" t="s">
        <v>5121</v>
      </c>
      <c r="E731" t="s">
        <v>5122</v>
      </c>
      <c r="F731" t="s">
        <v>4405</v>
      </c>
      <c r="G731" t="s">
        <v>737</v>
      </c>
      <c r="H731" t="s">
        <v>449</v>
      </c>
      <c r="J731" t="s">
        <v>4032</v>
      </c>
      <c r="K731" t="s">
        <v>606</v>
      </c>
      <c r="M731" t="s">
        <v>607</v>
      </c>
      <c r="N731" t="s">
        <v>608</v>
      </c>
      <c r="O731" t="s">
        <v>813</v>
      </c>
      <c r="P731" t="s">
        <v>739</v>
      </c>
      <c r="Q731" t="s">
        <v>467</v>
      </c>
      <c r="R731" t="s">
        <v>814</v>
      </c>
      <c r="S731" t="s">
        <v>1121</v>
      </c>
      <c r="T731" t="s">
        <v>794</v>
      </c>
      <c r="U731">
        <v>155500</v>
      </c>
      <c r="V731" t="s">
        <v>4405</v>
      </c>
      <c r="W731" t="s">
        <v>817</v>
      </c>
      <c r="X731" t="s">
        <v>5123</v>
      </c>
      <c r="Y731" t="s">
        <v>5124</v>
      </c>
      <c r="Z731" t="s">
        <v>4015</v>
      </c>
      <c r="AA731" t="s">
        <v>4016</v>
      </c>
      <c r="AB731" t="s">
        <v>5120</v>
      </c>
      <c r="AC731">
        <v>99102</v>
      </c>
      <c r="AD731" t="s">
        <v>1123</v>
      </c>
      <c r="AE731">
        <v>-36.989590149999998</v>
      </c>
      <c r="AF731">
        <v>174.86904041</v>
      </c>
      <c r="AG731" s="175">
        <v>100</v>
      </c>
      <c r="AH731" s="175">
        <v>50</v>
      </c>
      <c r="AI731" s="175">
        <v>2</v>
      </c>
      <c r="AJ731" s="175">
        <v>9</v>
      </c>
      <c r="AK731" s="175">
        <v>16</v>
      </c>
      <c r="AL731" s="175">
        <v>25</v>
      </c>
      <c r="AM731" s="175">
        <v>22</v>
      </c>
      <c r="AN731" s="175">
        <v>3</v>
      </c>
      <c r="AO731" s="175">
        <v>77</v>
      </c>
      <c r="AP731" s="175">
        <v>7</v>
      </c>
      <c r="AQ731" s="175">
        <v>4</v>
      </c>
      <c r="AR731" s="175">
        <v>24</v>
      </c>
      <c r="AS731" s="175">
        <v>48</v>
      </c>
      <c r="AT731" s="175">
        <v>3</v>
      </c>
    </row>
    <row r="732" spans="1:46">
      <c r="A732">
        <v>10332</v>
      </c>
      <c r="B732" t="s">
        <v>5125</v>
      </c>
      <c r="C732" t="s">
        <v>5126</v>
      </c>
      <c r="E732" t="s">
        <v>5127</v>
      </c>
      <c r="F732" t="s">
        <v>4962</v>
      </c>
      <c r="G732" t="s">
        <v>737</v>
      </c>
      <c r="H732" t="s">
        <v>449</v>
      </c>
      <c r="J732" t="s">
        <v>4032</v>
      </c>
      <c r="K732" t="s">
        <v>606</v>
      </c>
      <c r="M732" t="s">
        <v>607</v>
      </c>
      <c r="N732" t="s">
        <v>657</v>
      </c>
      <c r="O732" t="s">
        <v>1253</v>
      </c>
      <c r="P732" t="s">
        <v>739</v>
      </c>
      <c r="Q732" t="s">
        <v>467</v>
      </c>
      <c r="R732" t="s">
        <v>724</v>
      </c>
      <c r="S732" t="s">
        <v>740</v>
      </c>
      <c r="T732" t="s">
        <v>613</v>
      </c>
      <c r="U732">
        <v>117600</v>
      </c>
      <c r="V732" t="s">
        <v>4067</v>
      </c>
      <c r="W732" t="s">
        <v>742</v>
      </c>
      <c r="X732" t="s">
        <v>5128</v>
      </c>
      <c r="Y732" t="s">
        <v>5129</v>
      </c>
      <c r="Z732" t="s">
        <v>1187</v>
      </c>
      <c r="AA732" t="s">
        <v>4314</v>
      </c>
      <c r="AE732">
        <v>-36.709773089999999</v>
      </c>
      <c r="AF732">
        <v>174.72714870999999</v>
      </c>
      <c r="AG732" s="175">
        <v>48</v>
      </c>
      <c r="AH732" s="175">
        <v>14</v>
      </c>
      <c r="AI732" s="175">
        <v>1</v>
      </c>
      <c r="AJ732" s="175">
        <v>14</v>
      </c>
      <c r="AK732" s="175">
        <v>5</v>
      </c>
      <c r="AL732" s="175">
        <v>6</v>
      </c>
      <c r="AM732" s="175">
        <v>10</v>
      </c>
      <c r="AN732" s="175">
        <v>1</v>
      </c>
      <c r="AO732" s="175">
        <v>37</v>
      </c>
      <c r="AP732" s="175">
        <v>23</v>
      </c>
      <c r="AQ732" s="175">
        <v>3</v>
      </c>
      <c r="AR732" s="175">
        <v>1</v>
      </c>
      <c r="AS732" s="175">
        <v>16</v>
      </c>
      <c r="AT732" s="175">
        <v>4</v>
      </c>
    </row>
    <row r="733" spans="1:46">
      <c r="A733">
        <v>10334</v>
      </c>
      <c r="B733" t="s">
        <v>5130</v>
      </c>
      <c r="C733" t="s">
        <v>5131</v>
      </c>
      <c r="D733" t="s">
        <v>5132</v>
      </c>
      <c r="E733" t="s">
        <v>5133</v>
      </c>
      <c r="G733" t="s">
        <v>784</v>
      </c>
      <c r="H733" t="s">
        <v>449</v>
      </c>
      <c r="J733" t="s">
        <v>4032</v>
      </c>
      <c r="K733" t="s">
        <v>606</v>
      </c>
      <c r="M733" t="s">
        <v>607</v>
      </c>
      <c r="N733" t="s">
        <v>657</v>
      </c>
      <c r="O733" t="s">
        <v>738</v>
      </c>
      <c r="P733" t="s">
        <v>670</v>
      </c>
      <c r="Q733" t="s">
        <v>467</v>
      </c>
      <c r="R733" t="s">
        <v>724</v>
      </c>
      <c r="S733" t="s">
        <v>753</v>
      </c>
      <c r="T733" t="s">
        <v>613</v>
      </c>
      <c r="U733">
        <v>114901</v>
      </c>
      <c r="V733" t="s">
        <v>5134</v>
      </c>
      <c r="W733" t="s">
        <v>742</v>
      </c>
      <c r="X733" t="s">
        <v>5135</v>
      </c>
      <c r="Y733" t="s">
        <v>5136</v>
      </c>
      <c r="Z733" t="s">
        <v>3694</v>
      </c>
      <c r="AA733" t="s">
        <v>5137</v>
      </c>
      <c r="AB733" t="s">
        <v>5131</v>
      </c>
      <c r="AC733">
        <v>99095</v>
      </c>
      <c r="AD733" t="s">
        <v>786</v>
      </c>
      <c r="AE733">
        <v>-36.635260119999998</v>
      </c>
      <c r="AF733">
        <v>174.73964409999999</v>
      </c>
      <c r="AG733" s="175">
        <v>70</v>
      </c>
      <c r="AH733" s="175">
        <v>15</v>
      </c>
      <c r="AI733" s="175">
        <v>3</v>
      </c>
      <c r="AJ733" s="175">
        <v>10</v>
      </c>
      <c r="AK733" s="175">
        <v>13</v>
      </c>
      <c r="AL733" s="175">
        <v>13</v>
      </c>
      <c r="AM733" s="175">
        <v>22</v>
      </c>
      <c r="AN733" s="175">
        <v>3</v>
      </c>
      <c r="AO733" s="175">
        <v>64</v>
      </c>
      <c r="AP733" s="175">
        <v>52</v>
      </c>
      <c r="AQ733" s="175">
        <v>13</v>
      </c>
      <c r="AR733" s="175">
        <v>1</v>
      </c>
      <c r="AS733" s="175">
        <v>15</v>
      </c>
      <c r="AT733" s="175">
        <v>2</v>
      </c>
    </row>
    <row r="734" spans="1:46">
      <c r="A734">
        <v>10335</v>
      </c>
      <c r="B734" t="s">
        <v>5138</v>
      </c>
      <c r="C734" t="s">
        <v>5139</v>
      </c>
      <c r="E734" t="s">
        <v>5140</v>
      </c>
      <c r="G734" t="s">
        <v>1346</v>
      </c>
      <c r="H734" t="s">
        <v>449</v>
      </c>
      <c r="J734" t="s">
        <v>4032</v>
      </c>
      <c r="K734" t="s">
        <v>606</v>
      </c>
      <c r="M734" t="s">
        <v>607</v>
      </c>
      <c r="N734" t="s">
        <v>657</v>
      </c>
      <c r="O734" t="s">
        <v>1318</v>
      </c>
      <c r="P734" t="s">
        <v>1347</v>
      </c>
      <c r="Q734" t="s">
        <v>467</v>
      </c>
      <c r="R734" t="s">
        <v>814</v>
      </c>
      <c r="S734" t="s">
        <v>1331</v>
      </c>
      <c r="T734" t="s">
        <v>1320</v>
      </c>
      <c r="U734">
        <v>165302</v>
      </c>
      <c r="V734" t="s">
        <v>5141</v>
      </c>
      <c r="W734" t="s">
        <v>1322</v>
      </c>
      <c r="X734" t="s">
        <v>5142</v>
      </c>
      <c r="Y734" t="s">
        <v>5143</v>
      </c>
      <c r="AA734" t="s">
        <v>5144</v>
      </c>
      <c r="AB734" t="s">
        <v>5145</v>
      </c>
      <c r="AE734">
        <v>-37.198552859999999</v>
      </c>
      <c r="AF734">
        <v>174.90026040999999</v>
      </c>
      <c r="AG734" s="175">
        <v>34</v>
      </c>
      <c r="AH734" s="175">
        <v>6</v>
      </c>
      <c r="AI734" s="175">
        <v>1</v>
      </c>
      <c r="AJ734" s="175">
        <v>5</v>
      </c>
      <c r="AK734" s="175">
        <v>8</v>
      </c>
      <c r="AL734" s="175">
        <v>9</v>
      </c>
      <c r="AM734" s="175">
        <v>7</v>
      </c>
      <c r="AN734" s="175">
        <v>1</v>
      </c>
      <c r="AO734" s="175">
        <v>31</v>
      </c>
      <c r="AP734" s="175">
        <v>26</v>
      </c>
      <c r="AQ734" s="175">
        <v>6</v>
      </c>
      <c r="AR734" s="175">
        <v>1</v>
      </c>
      <c r="AS734" s="175">
        <v>1</v>
      </c>
      <c r="AT734" s="175">
        <v>2</v>
      </c>
    </row>
    <row r="735" spans="1:46">
      <c r="A735">
        <v>10337</v>
      </c>
      <c r="B735" t="s">
        <v>5146</v>
      </c>
      <c r="C735" t="s">
        <v>5147</v>
      </c>
      <c r="D735" t="s">
        <v>5148</v>
      </c>
      <c r="E735" t="s">
        <v>4166</v>
      </c>
      <c r="F735" t="s">
        <v>745</v>
      </c>
      <c r="G735" t="s">
        <v>737</v>
      </c>
      <c r="H735" t="s">
        <v>449</v>
      </c>
      <c r="J735" t="s">
        <v>4032</v>
      </c>
      <c r="K735" t="s">
        <v>606</v>
      </c>
      <c r="M735" t="s">
        <v>607</v>
      </c>
      <c r="N735" t="s">
        <v>657</v>
      </c>
      <c r="O735" t="s">
        <v>1253</v>
      </c>
      <c r="P735" t="s">
        <v>739</v>
      </c>
      <c r="Q735" t="s">
        <v>467</v>
      </c>
      <c r="R735" t="s">
        <v>724</v>
      </c>
      <c r="S735" t="s">
        <v>740</v>
      </c>
      <c r="T735" t="s">
        <v>613</v>
      </c>
      <c r="U735">
        <v>118502</v>
      </c>
      <c r="V735" t="s">
        <v>5149</v>
      </c>
      <c r="W735" t="s">
        <v>742</v>
      </c>
      <c r="X735" t="s">
        <v>4165</v>
      </c>
      <c r="Y735" t="s">
        <v>4166</v>
      </c>
      <c r="Z735" t="s">
        <v>4167</v>
      </c>
      <c r="AA735" t="s">
        <v>4168</v>
      </c>
      <c r="AB735" t="s">
        <v>4169</v>
      </c>
      <c r="AE735">
        <v>-36.731554350000003</v>
      </c>
      <c r="AF735">
        <v>174.7228849</v>
      </c>
      <c r="AG735" s="175">
        <v>126</v>
      </c>
      <c r="AH735" s="175">
        <v>41</v>
      </c>
      <c r="AI735" s="175">
        <v>3</v>
      </c>
      <c r="AJ735" s="175">
        <v>13</v>
      </c>
      <c r="AK735" s="175">
        <v>24</v>
      </c>
      <c r="AL735" s="175">
        <v>28</v>
      </c>
      <c r="AM735" s="175">
        <v>30</v>
      </c>
      <c r="AN735" s="175">
        <v>0</v>
      </c>
      <c r="AO735" s="175">
        <v>98</v>
      </c>
      <c r="AP735" s="175">
        <v>17</v>
      </c>
      <c r="AQ735" s="175">
        <v>5</v>
      </c>
      <c r="AR735" s="175">
        <v>1</v>
      </c>
      <c r="AS735" s="175">
        <v>73</v>
      </c>
      <c r="AT735" s="175">
        <v>8</v>
      </c>
    </row>
    <row r="736" spans="1:46">
      <c r="A736">
        <v>10342</v>
      </c>
      <c r="B736" t="s">
        <v>5150</v>
      </c>
      <c r="D736" t="s">
        <v>5151</v>
      </c>
      <c r="E736" t="s">
        <v>5152</v>
      </c>
      <c r="F736" t="s">
        <v>4167</v>
      </c>
      <c r="G736" t="s">
        <v>737</v>
      </c>
      <c r="H736" t="s">
        <v>449</v>
      </c>
      <c r="J736" t="s">
        <v>4032</v>
      </c>
      <c r="K736" t="s">
        <v>606</v>
      </c>
      <c r="M736" t="s">
        <v>607</v>
      </c>
      <c r="N736" t="s">
        <v>657</v>
      </c>
      <c r="O736" t="s">
        <v>1253</v>
      </c>
      <c r="P736" t="s">
        <v>739</v>
      </c>
      <c r="Q736" t="s">
        <v>467</v>
      </c>
      <c r="R736" t="s">
        <v>724</v>
      </c>
      <c r="S736" t="s">
        <v>740</v>
      </c>
      <c r="T736" t="s">
        <v>613</v>
      </c>
      <c r="U736">
        <v>118502</v>
      </c>
      <c r="V736" t="s">
        <v>5149</v>
      </c>
      <c r="W736" t="s">
        <v>742</v>
      </c>
      <c r="X736" t="s">
        <v>5153</v>
      </c>
      <c r="Y736" t="s">
        <v>5154</v>
      </c>
      <c r="Z736" t="s">
        <v>4929</v>
      </c>
      <c r="AA736" t="s">
        <v>4604</v>
      </c>
      <c r="AC736">
        <v>99000</v>
      </c>
      <c r="AD736" t="s">
        <v>769</v>
      </c>
      <c r="AE736">
        <v>-36.733886040000002</v>
      </c>
      <c r="AF736">
        <v>174.72677263</v>
      </c>
      <c r="AG736" s="175">
        <v>75</v>
      </c>
      <c r="AH736" s="175">
        <v>27</v>
      </c>
      <c r="AI736" s="175">
        <v>2</v>
      </c>
      <c r="AJ736" s="175">
        <v>12</v>
      </c>
      <c r="AK736" s="175">
        <v>23</v>
      </c>
      <c r="AL736" s="175">
        <v>8</v>
      </c>
      <c r="AM736" s="175">
        <v>15</v>
      </c>
      <c r="AN736" s="175">
        <v>1</v>
      </c>
      <c r="AO736" s="175">
        <v>61</v>
      </c>
      <c r="AP736" s="175">
        <v>30</v>
      </c>
      <c r="AQ736" s="175">
        <v>5</v>
      </c>
      <c r="AR736" s="175">
        <v>4</v>
      </c>
      <c r="AS736" s="175">
        <v>29</v>
      </c>
      <c r="AT736" s="175">
        <v>7</v>
      </c>
    </row>
    <row r="737" spans="1:46">
      <c r="A737">
        <v>10343</v>
      </c>
      <c r="B737" t="s">
        <v>5155</v>
      </c>
      <c r="C737" t="s">
        <v>5156</v>
      </c>
      <c r="D737" t="s">
        <v>5157</v>
      </c>
      <c r="E737" t="s">
        <v>5158</v>
      </c>
      <c r="F737" t="s">
        <v>1368</v>
      </c>
      <c r="G737" t="s">
        <v>737</v>
      </c>
      <c r="H737" t="s">
        <v>449</v>
      </c>
      <c r="J737" t="s">
        <v>4032</v>
      </c>
      <c r="K737" t="s">
        <v>606</v>
      </c>
      <c r="M737" t="s">
        <v>607</v>
      </c>
      <c r="N737" t="s">
        <v>643</v>
      </c>
      <c r="O737" t="s">
        <v>792</v>
      </c>
      <c r="P737" t="s">
        <v>739</v>
      </c>
      <c r="Q737" t="s">
        <v>467</v>
      </c>
      <c r="R737" t="s">
        <v>814</v>
      </c>
      <c r="S737" t="s">
        <v>1302</v>
      </c>
      <c r="T737" t="s">
        <v>794</v>
      </c>
      <c r="U737">
        <v>158300</v>
      </c>
      <c r="V737" t="s">
        <v>5159</v>
      </c>
      <c r="W737" t="s">
        <v>796</v>
      </c>
      <c r="X737" t="s">
        <v>5160</v>
      </c>
      <c r="Y737" t="s">
        <v>5158</v>
      </c>
      <c r="Z737" t="s">
        <v>1368</v>
      </c>
      <c r="AA737" t="s">
        <v>5161</v>
      </c>
      <c r="AB737" t="s">
        <v>5162</v>
      </c>
      <c r="AE737">
        <v>-36.987174590000002</v>
      </c>
      <c r="AF737">
        <v>174.89694739999999</v>
      </c>
      <c r="AG737" s="175">
        <v>20</v>
      </c>
      <c r="AH737" s="175">
        <v>0</v>
      </c>
      <c r="AI737" s="175">
        <v>0</v>
      </c>
      <c r="AJ737" s="175">
        <v>0</v>
      </c>
      <c r="AK737" s="175">
        <v>1</v>
      </c>
      <c r="AL737" s="175">
        <v>6</v>
      </c>
      <c r="AM737" s="175">
        <v>8</v>
      </c>
      <c r="AN737" s="175">
        <v>0</v>
      </c>
      <c r="AO737" s="175">
        <v>15</v>
      </c>
      <c r="AP737" s="175">
        <v>0</v>
      </c>
      <c r="AQ737" s="175">
        <v>0</v>
      </c>
      <c r="AR737" s="175">
        <v>3</v>
      </c>
      <c r="AS737" s="175">
        <v>12</v>
      </c>
      <c r="AT737" s="175">
        <v>0</v>
      </c>
    </row>
    <row r="738" spans="1:46">
      <c r="A738">
        <v>10344</v>
      </c>
      <c r="B738" t="s">
        <v>5163</v>
      </c>
      <c r="C738" t="s">
        <v>5164</v>
      </c>
      <c r="D738" t="s">
        <v>5165</v>
      </c>
      <c r="E738" t="s">
        <v>5166</v>
      </c>
      <c r="F738" t="s">
        <v>1121</v>
      </c>
      <c r="G738" t="s">
        <v>737</v>
      </c>
      <c r="H738" t="s">
        <v>449</v>
      </c>
      <c r="J738" t="s">
        <v>605</v>
      </c>
      <c r="K738" t="s">
        <v>606</v>
      </c>
      <c r="M738" t="s">
        <v>607</v>
      </c>
      <c r="N738" t="s">
        <v>657</v>
      </c>
      <c r="O738" t="s">
        <v>1301</v>
      </c>
      <c r="P738" t="s">
        <v>739</v>
      </c>
      <c r="Q738" t="s">
        <v>467</v>
      </c>
      <c r="R738" t="s">
        <v>814</v>
      </c>
      <c r="S738" t="s">
        <v>1302</v>
      </c>
      <c r="T738" t="s">
        <v>794</v>
      </c>
      <c r="U738">
        <v>160902</v>
      </c>
      <c r="V738" t="s">
        <v>5167</v>
      </c>
      <c r="W738" t="s">
        <v>1304</v>
      </c>
      <c r="X738" t="s">
        <v>5168</v>
      </c>
      <c r="Y738" t="s">
        <v>5169</v>
      </c>
      <c r="Z738" t="s">
        <v>5170</v>
      </c>
      <c r="AA738" t="s">
        <v>5171</v>
      </c>
      <c r="AB738" t="s">
        <v>5172</v>
      </c>
      <c r="AE738">
        <v>-37.028515280000001</v>
      </c>
      <c r="AF738">
        <v>174.90122736000001</v>
      </c>
      <c r="AG738" s="175">
        <v>40</v>
      </c>
      <c r="AH738" s="175">
        <v>0</v>
      </c>
      <c r="AI738" s="175">
        <v>0</v>
      </c>
      <c r="AJ738" s="175">
        <v>0</v>
      </c>
      <c r="AK738" s="175">
        <v>6</v>
      </c>
      <c r="AL738" s="175">
        <v>12</v>
      </c>
      <c r="AM738" s="175">
        <v>16</v>
      </c>
      <c r="AN738" s="175">
        <v>2</v>
      </c>
      <c r="AO738" s="175">
        <v>36</v>
      </c>
      <c r="AP738" s="175">
        <v>2</v>
      </c>
      <c r="AQ738" s="175">
        <v>3</v>
      </c>
      <c r="AR738" s="175">
        <v>13</v>
      </c>
      <c r="AS738" s="175">
        <v>21</v>
      </c>
      <c r="AT738" s="175">
        <v>0</v>
      </c>
    </row>
    <row r="739" spans="1:46">
      <c r="A739">
        <v>10347</v>
      </c>
      <c r="B739" t="s">
        <v>5173</v>
      </c>
      <c r="C739" t="s">
        <v>5174</v>
      </c>
      <c r="E739" t="s">
        <v>5175</v>
      </c>
      <c r="F739" t="s">
        <v>804</v>
      </c>
      <c r="G739" t="s">
        <v>737</v>
      </c>
      <c r="H739" t="s">
        <v>449</v>
      </c>
      <c r="J739" t="s">
        <v>605</v>
      </c>
      <c r="K739" t="s">
        <v>606</v>
      </c>
      <c r="M739" t="s">
        <v>607</v>
      </c>
      <c r="N739" t="s">
        <v>625</v>
      </c>
      <c r="O739" t="s">
        <v>803</v>
      </c>
      <c r="P739" t="s">
        <v>739</v>
      </c>
      <c r="Q739" t="s">
        <v>467</v>
      </c>
      <c r="R739" t="s">
        <v>724</v>
      </c>
      <c r="S739" t="s">
        <v>804</v>
      </c>
      <c r="T739" t="s">
        <v>794</v>
      </c>
      <c r="U739">
        <v>130500</v>
      </c>
      <c r="V739" t="s">
        <v>5176</v>
      </c>
      <c r="W739" t="s">
        <v>806</v>
      </c>
      <c r="X739" t="s">
        <v>5177</v>
      </c>
      <c r="Y739" t="s">
        <v>5175</v>
      </c>
      <c r="Z739" t="s">
        <v>804</v>
      </c>
      <c r="AA739" t="s">
        <v>5051</v>
      </c>
      <c r="AB739" t="s">
        <v>5178</v>
      </c>
      <c r="AE739">
        <v>-36.899443580000003</v>
      </c>
      <c r="AF739">
        <v>174.66311324</v>
      </c>
      <c r="AG739" s="175">
        <v>40</v>
      </c>
      <c r="AH739" s="175">
        <v>0</v>
      </c>
      <c r="AI739" s="175">
        <v>0</v>
      </c>
      <c r="AJ739" s="175">
        <v>0</v>
      </c>
      <c r="AK739" s="175">
        <v>3</v>
      </c>
      <c r="AL739" s="175">
        <v>16</v>
      </c>
      <c r="AM739" s="175">
        <v>20</v>
      </c>
      <c r="AN739" s="175">
        <v>0</v>
      </c>
      <c r="AO739" s="175">
        <v>39</v>
      </c>
      <c r="AP739" s="175">
        <v>4</v>
      </c>
      <c r="AQ739" s="175">
        <v>12</v>
      </c>
      <c r="AR739" s="175">
        <v>23</v>
      </c>
      <c r="AS739" s="175">
        <v>9</v>
      </c>
      <c r="AT739" s="175">
        <v>3</v>
      </c>
    </row>
    <row r="740" spans="1:46">
      <c r="A740">
        <v>10348</v>
      </c>
      <c r="B740" t="s">
        <v>5179</v>
      </c>
      <c r="C740" t="s">
        <v>5180</v>
      </c>
      <c r="D740" t="s">
        <v>4391</v>
      </c>
      <c r="E740" t="s">
        <v>5181</v>
      </c>
      <c r="F740" t="s">
        <v>3777</v>
      </c>
      <c r="G740" t="s">
        <v>4393</v>
      </c>
      <c r="H740" t="s">
        <v>449</v>
      </c>
      <c r="J740" t="s">
        <v>605</v>
      </c>
      <c r="K740" t="s">
        <v>606</v>
      </c>
      <c r="M740" t="s">
        <v>607</v>
      </c>
      <c r="N740" t="s">
        <v>657</v>
      </c>
      <c r="O740" t="s">
        <v>1253</v>
      </c>
      <c r="P740" t="s">
        <v>739</v>
      </c>
      <c r="Q740" t="s">
        <v>467</v>
      </c>
      <c r="R740" t="s">
        <v>724</v>
      </c>
      <c r="S740" t="s">
        <v>740</v>
      </c>
      <c r="T740" t="s">
        <v>613</v>
      </c>
      <c r="U740">
        <v>117400</v>
      </c>
      <c r="V740" t="s">
        <v>3778</v>
      </c>
      <c r="W740" t="s">
        <v>742</v>
      </c>
      <c r="X740" t="s">
        <v>4013</v>
      </c>
      <c r="Y740" t="s">
        <v>4014</v>
      </c>
      <c r="Z740" t="s">
        <v>4015</v>
      </c>
      <c r="AA740" t="s">
        <v>4016</v>
      </c>
      <c r="AB740" t="s">
        <v>4017</v>
      </c>
      <c r="AE740">
        <v>-36.747737460000003</v>
      </c>
      <c r="AF740">
        <v>174.69239508999999</v>
      </c>
      <c r="AG740" s="175">
        <v>50</v>
      </c>
      <c r="AH740" s="175">
        <v>0</v>
      </c>
      <c r="AI740" s="175">
        <v>0</v>
      </c>
      <c r="AJ740" s="175">
        <v>0</v>
      </c>
      <c r="AK740" s="175">
        <v>0</v>
      </c>
      <c r="AL740" s="175">
        <v>20</v>
      </c>
      <c r="AM740" s="175">
        <v>26</v>
      </c>
      <c r="AN740" s="175">
        <v>0</v>
      </c>
      <c r="AO740" s="175">
        <v>46</v>
      </c>
      <c r="AP740" s="175">
        <v>8</v>
      </c>
      <c r="AQ740" s="175">
        <v>2</v>
      </c>
      <c r="AR740" s="175">
        <v>2</v>
      </c>
      <c r="AS740" s="175">
        <v>32</v>
      </c>
      <c r="AT740" s="175">
        <v>6</v>
      </c>
    </row>
    <row r="741" spans="1:46">
      <c r="A741">
        <v>10350</v>
      </c>
      <c r="B741" t="s">
        <v>5182</v>
      </c>
      <c r="C741" t="s">
        <v>5183</v>
      </c>
      <c r="D741" t="s">
        <v>5184</v>
      </c>
      <c r="E741" t="s">
        <v>5185</v>
      </c>
      <c r="G741" t="s">
        <v>784</v>
      </c>
      <c r="H741" t="s">
        <v>449</v>
      </c>
      <c r="J741" t="s">
        <v>4032</v>
      </c>
      <c r="K741" t="s">
        <v>606</v>
      </c>
      <c r="M741" t="s">
        <v>607</v>
      </c>
      <c r="N741" t="s">
        <v>657</v>
      </c>
      <c r="O741" t="s">
        <v>738</v>
      </c>
      <c r="P741" t="s">
        <v>670</v>
      </c>
      <c r="Q741" t="s">
        <v>467</v>
      </c>
      <c r="R741" t="s">
        <v>724</v>
      </c>
      <c r="S741" t="s">
        <v>753</v>
      </c>
      <c r="T741" t="s">
        <v>613</v>
      </c>
      <c r="U741">
        <v>114400</v>
      </c>
      <c r="V741" t="s">
        <v>5186</v>
      </c>
      <c r="W741" t="s">
        <v>742</v>
      </c>
      <c r="X741" t="s">
        <v>5187</v>
      </c>
      <c r="Y741" t="s">
        <v>5188</v>
      </c>
      <c r="AA741" t="s">
        <v>4250</v>
      </c>
      <c r="AE741">
        <v>-36.621207640000002</v>
      </c>
      <c r="AF741">
        <v>174.71683895000001</v>
      </c>
      <c r="AG741" s="175">
        <v>40</v>
      </c>
      <c r="AH741" s="175">
        <v>10</v>
      </c>
      <c r="AI741" s="175">
        <v>2</v>
      </c>
      <c r="AJ741" s="175">
        <v>3</v>
      </c>
      <c r="AK741" s="175">
        <v>2</v>
      </c>
      <c r="AL741" s="175">
        <v>3</v>
      </c>
      <c r="AM741" s="175">
        <v>2</v>
      </c>
      <c r="AN741" s="175">
        <v>0</v>
      </c>
      <c r="AO741" s="175">
        <v>12</v>
      </c>
      <c r="AP741" s="175">
        <v>10</v>
      </c>
      <c r="AQ741" s="175">
        <v>2</v>
      </c>
      <c r="AR741" s="175">
        <v>0</v>
      </c>
      <c r="AS741" s="175">
        <v>2</v>
      </c>
      <c r="AT741" s="175">
        <v>1</v>
      </c>
    </row>
    <row r="742" spans="1:46">
      <c r="A742">
        <v>10351</v>
      </c>
      <c r="B742" t="s">
        <v>5189</v>
      </c>
      <c r="C742" t="s">
        <v>5190</v>
      </c>
      <c r="E742" t="s">
        <v>5191</v>
      </c>
      <c r="F742" t="s">
        <v>940</v>
      </c>
      <c r="G742" t="s">
        <v>737</v>
      </c>
      <c r="H742" t="s">
        <v>449</v>
      </c>
      <c r="J742" t="s">
        <v>4032</v>
      </c>
      <c r="K742" t="s">
        <v>606</v>
      </c>
      <c r="M742" t="s">
        <v>607</v>
      </c>
      <c r="N742" t="s">
        <v>657</v>
      </c>
      <c r="O742" t="s">
        <v>942</v>
      </c>
      <c r="P742" t="s">
        <v>739</v>
      </c>
      <c r="Q742" t="s">
        <v>467</v>
      </c>
      <c r="R742" t="s">
        <v>793</v>
      </c>
      <c r="S742" t="s">
        <v>943</v>
      </c>
      <c r="T742" t="s">
        <v>794</v>
      </c>
      <c r="U742">
        <v>136801</v>
      </c>
      <c r="V742" t="s">
        <v>5192</v>
      </c>
      <c r="W742" t="s">
        <v>945</v>
      </c>
      <c r="X742" t="s">
        <v>5193</v>
      </c>
      <c r="Y742" t="s">
        <v>5194</v>
      </c>
      <c r="AA742" t="s">
        <v>4034</v>
      </c>
      <c r="AC742">
        <v>99150</v>
      </c>
      <c r="AD742" t="s">
        <v>946</v>
      </c>
      <c r="AE742">
        <v>-36.894002800000003</v>
      </c>
      <c r="AF742">
        <v>174.71722625000001</v>
      </c>
      <c r="AG742" s="175">
        <v>25</v>
      </c>
      <c r="AH742" s="175">
        <v>4</v>
      </c>
      <c r="AI742" s="175">
        <v>0</v>
      </c>
      <c r="AJ742" s="175">
        <v>5</v>
      </c>
      <c r="AK742" s="175">
        <v>7</v>
      </c>
      <c r="AL742" s="175">
        <v>8</v>
      </c>
      <c r="AM742" s="175">
        <v>7</v>
      </c>
      <c r="AN742" s="175">
        <v>1</v>
      </c>
      <c r="AO742" s="175">
        <v>28</v>
      </c>
      <c r="AP742" s="175">
        <v>12</v>
      </c>
      <c r="AQ742" s="175">
        <v>7</v>
      </c>
      <c r="AR742" s="175">
        <v>2</v>
      </c>
      <c r="AS742" s="175">
        <v>12</v>
      </c>
      <c r="AT742" s="175">
        <v>3</v>
      </c>
    </row>
    <row r="743" spans="1:46">
      <c r="A743">
        <v>10352</v>
      </c>
      <c r="B743" t="s">
        <v>5195</v>
      </c>
      <c r="C743" t="s">
        <v>5196</v>
      </c>
      <c r="D743" t="s">
        <v>5197</v>
      </c>
      <c r="E743" t="s">
        <v>5198</v>
      </c>
      <c r="G743" t="s">
        <v>4383</v>
      </c>
      <c r="H743" t="s">
        <v>452</v>
      </c>
      <c r="J743" t="s">
        <v>605</v>
      </c>
      <c r="K743" t="s">
        <v>606</v>
      </c>
      <c r="M743" t="s">
        <v>607</v>
      </c>
      <c r="N743" t="s">
        <v>657</v>
      </c>
      <c r="O743" t="s">
        <v>723</v>
      </c>
      <c r="P743" t="s">
        <v>610</v>
      </c>
      <c r="Q743" t="s">
        <v>467</v>
      </c>
      <c r="R743" t="s">
        <v>724</v>
      </c>
      <c r="S743" t="s">
        <v>725</v>
      </c>
      <c r="T743" t="s">
        <v>613</v>
      </c>
      <c r="U743">
        <v>114201</v>
      </c>
      <c r="V743" t="s">
        <v>4383</v>
      </c>
      <c r="W743" t="s">
        <v>726</v>
      </c>
      <c r="X743" t="s">
        <v>743</v>
      </c>
      <c r="Y743" t="s">
        <v>744</v>
      </c>
      <c r="Z743" t="s">
        <v>745</v>
      </c>
      <c r="AA743" t="s">
        <v>746</v>
      </c>
      <c r="AE743">
        <v>-36.771899769999997</v>
      </c>
      <c r="AF743">
        <v>174.4916011</v>
      </c>
      <c r="AG743" s="175">
        <v>40</v>
      </c>
      <c r="AH743" s="175">
        <v>0</v>
      </c>
      <c r="AI743" s="175">
        <v>0</v>
      </c>
      <c r="AJ743" s="175">
        <v>0</v>
      </c>
      <c r="AK743" s="175">
        <v>4</v>
      </c>
      <c r="AL743" s="175">
        <v>23</v>
      </c>
      <c r="AM743" s="175">
        <v>19</v>
      </c>
      <c r="AN743" s="175">
        <v>2</v>
      </c>
      <c r="AO743" s="175">
        <v>48</v>
      </c>
      <c r="AP743" s="175">
        <v>46</v>
      </c>
      <c r="AQ743" s="175">
        <v>8</v>
      </c>
      <c r="AR743" s="175">
        <v>1</v>
      </c>
      <c r="AS743" s="175">
        <v>6</v>
      </c>
      <c r="AT743" s="175">
        <v>0</v>
      </c>
    </row>
    <row r="744" spans="1:46">
      <c r="A744">
        <v>10353</v>
      </c>
      <c r="B744" t="s">
        <v>5199</v>
      </c>
      <c r="C744" t="s">
        <v>5200</v>
      </c>
      <c r="D744" t="s">
        <v>5201</v>
      </c>
      <c r="E744" t="s">
        <v>5202</v>
      </c>
      <c r="F744" t="s">
        <v>4870</v>
      </c>
      <c r="G744" t="s">
        <v>737</v>
      </c>
      <c r="H744" t="s">
        <v>452</v>
      </c>
      <c r="J744" t="s">
        <v>605</v>
      </c>
      <c r="K744" t="s">
        <v>606</v>
      </c>
      <c r="M744" t="s">
        <v>607</v>
      </c>
      <c r="N744" t="s">
        <v>657</v>
      </c>
      <c r="O744" t="s">
        <v>792</v>
      </c>
      <c r="P744" t="s">
        <v>739</v>
      </c>
      <c r="Q744" t="s">
        <v>467</v>
      </c>
      <c r="R744" t="s">
        <v>793</v>
      </c>
      <c r="S744" t="s">
        <v>863</v>
      </c>
      <c r="T744" t="s">
        <v>794</v>
      </c>
      <c r="U744">
        <v>156101</v>
      </c>
      <c r="V744" t="s">
        <v>4871</v>
      </c>
      <c r="W744" t="s">
        <v>796</v>
      </c>
      <c r="X744" t="s">
        <v>727</v>
      </c>
      <c r="Y744" t="s">
        <v>728</v>
      </c>
      <c r="Z744" t="s">
        <v>729</v>
      </c>
      <c r="AA744" t="s">
        <v>730</v>
      </c>
      <c r="AB744" t="s">
        <v>731</v>
      </c>
      <c r="AC744">
        <v>99127</v>
      </c>
      <c r="AD744" t="s">
        <v>4007</v>
      </c>
      <c r="AE744">
        <v>-36.935818650000002</v>
      </c>
      <c r="AF744">
        <v>174.91916781</v>
      </c>
      <c r="AG744" s="175">
        <v>40</v>
      </c>
      <c r="AH744" s="175">
        <v>0</v>
      </c>
      <c r="AI744" s="175">
        <v>0</v>
      </c>
      <c r="AJ744" s="175">
        <v>0</v>
      </c>
      <c r="AK744" s="175">
        <v>3</v>
      </c>
      <c r="AL744" s="175">
        <v>15</v>
      </c>
      <c r="AM744" s="175">
        <v>27</v>
      </c>
      <c r="AN744" s="175">
        <v>1</v>
      </c>
      <c r="AO744" s="175">
        <v>46</v>
      </c>
      <c r="AP744" s="175">
        <v>8</v>
      </c>
      <c r="AQ744" s="175">
        <v>4</v>
      </c>
      <c r="AR744" s="175">
        <v>2</v>
      </c>
      <c r="AS744" s="175">
        <v>30</v>
      </c>
      <c r="AT744" s="175">
        <v>4</v>
      </c>
    </row>
    <row r="745" spans="1:46">
      <c r="A745">
        <v>10355</v>
      </c>
      <c r="B745" t="s">
        <v>5203</v>
      </c>
      <c r="C745" t="s">
        <v>5204</v>
      </c>
      <c r="D745" t="s">
        <v>5205</v>
      </c>
      <c r="E745" t="s">
        <v>5206</v>
      </c>
      <c r="F745" t="s">
        <v>1121</v>
      </c>
      <c r="G745" t="s">
        <v>737</v>
      </c>
      <c r="H745" t="s">
        <v>449</v>
      </c>
      <c r="J745" t="s">
        <v>4032</v>
      </c>
      <c r="K745" t="s">
        <v>606</v>
      </c>
      <c r="M745" t="s">
        <v>607</v>
      </c>
      <c r="N745" t="s">
        <v>657</v>
      </c>
      <c r="O745" t="s">
        <v>1301</v>
      </c>
      <c r="P745" t="s">
        <v>739</v>
      </c>
      <c r="Q745" t="s">
        <v>467</v>
      </c>
      <c r="R745" t="s">
        <v>814</v>
      </c>
      <c r="S745" t="s">
        <v>1302</v>
      </c>
      <c r="T745" t="s">
        <v>794</v>
      </c>
      <c r="U745">
        <v>159301</v>
      </c>
      <c r="V745" t="s">
        <v>5207</v>
      </c>
      <c r="W745" t="s">
        <v>1304</v>
      </c>
      <c r="X745" t="s">
        <v>5208</v>
      </c>
      <c r="Y745" t="s">
        <v>5209</v>
      </c>
      <c r="Z745" t="s">
        <v>1121</v>
      </c>
      <c r="AA745" t="s">
        <v>5210</v>
      </c>
      <c r="AB745" t="s">
        <v>5211</v>
      </c>
      <c r="AC745">
        <v>99186</v>
      </c>
      <c r="AD745" t="s">
        <v>1309</v>
      </c>
      <c r="AE745">
        <v>-37.005873569999999</v>
      </c>
      <c r="AF745">
        <v>174.91517992000001</v>
      </c>
      <c r="AG745" s="175">
        <v>70</v>
      </c>
      <c r="AH745" s="175">
        <v>20</v>
      </c>
      <c r="AI745" s="175">
        <v>1</v>
      </c>
      <c r="AJ745" s="175">
        <v>11</v>
      </c>
      <c r="AK745" s="175">
        <v>8</v>
      </c>
      <c r="AL745" s="175">
        <v>17</v>
      </c>
      <c r="AM745" s="175">
        <v>14</v>
      </c>
      <c r="AN745" s="175">
        <v>1</v>
      </c>
      <c r="AO745" s="175">
        <v>52</v>
      </c>
      <c r="AP745" s="175">
        <v>13</v>
      </c>
      <c r="AQ745" s="175">
        <v>2</v>
      </c>
      <c r="AR745" s="175">
        <v>10</v>
      </c>
      <c r="AS745" s="175">
        <v>36</v>
      </c>
      <c r="AT745" s="175">
        <v>6</v>
      </c>
    </row>
    <row r="746" spans="1:46">
      <c r="A746">
        <v>10357</v>
      </c>
      <c r="B746" t="s">
        <v>5212</v>
      </c>
      <c r="C746" t="s">
        <v>5213</v>
      </c>
      <c r="D746" t="s">
        <v>5214</v>
      </c>
      <c r="E746" t="s">
        <v>5215</v>
      </c>
      <c r="F746" t="s">
        <v>932</v>
      </c>
      <c r="G746" t="s">
        <v>737</v>
      </c>
      <c r="H746" t="s">
        <v>449</v>
      </c>
      <c r="I746" t="s">
        <v>4289</v>
      </c>
      <c r="J746" t="s">
        <v>605</v>
      </c>
      <c r="K746" t="s">
        <v>606</v>
      </c>
      <c r="M746" t="s">
        <v>607</v>
      </c>
      <c r="N746" t="s">
        <v>608</v>
      </c>
      <c r="O746" t="s">
        <v>933</v>
      </c>
      <c r="P746" t="s">
        <v>739</v>
      </c>
      <c r="Q746" t="s">
        <v>467</v>
      </c>
      <c r="R746" t="s">
        <v>814</v>
      </c>
      <c r="S746" t="s">
        <v>934</v>
      </c>
      <c r="T746" t="s">
        <v>794</v>
      </c>
      <c r="U746">
        <v>151200</v>
      </c>
      <c r="V746" t="s">
        <v>4643</v>
      </c>
      <c r="W746" t="s">
        <v>817</v>
      </c>
      <c r="X746" t="s">
        <v>5216</v>
      </c>
      <c r="Y746" t="s">
        <v>5217</v>
      </c>
      <c r="Z746" t="s">
        <v>5218</v>
      </c>
      <c r="AA746" t="s">
        <v>5219</v>
      </c>
      <c r="AB746" t="s">
        <v>5213</v>
      </c>
      <c r="AE746">
        <v>-36.965991819999999</v>
      </c>
      <c r="AF746">
        <v>174.81057150000001</v>
      </c>
      <c r="AG746" s="175">
        <v>35</v>
      </c>
      <c r="AH746" s="175">
        <v>10</v>
      </c>
      <c r="AI746" s="175">
        <v>1</v>
      </c>
      <c r="AJ746" s="175">
        <v>2</v>
      </c>
      <c r="AK746" s="175">
        <v>5</v>
      </c>
      <c r="AL746" s="175">
        <v>6</v>
      </c>
      <c r="AM746" s="175">
        <v>3</v>
      </c>
      <c r="AN746" s="175">
        <v>0</v>
      </c>
      <c r="AO746" s="175">
        <v>17</v>
      </c>
      <c r="AP746" s="175">
        <v>0</v>
      </c>
      <c r="AQ746" s="175">
        <v>3</v>
      </c>
      <c r="AR746" s="175">
        <v>15</v>
      </c>
      <c r="AS746" s="175">
        <v>0</v>
      </c>
      <c r="AT746" s="175">
        <v>0</v>
      </c>
    </row>
    <row r="747" spans="1:46">
      <c r="A747">
        <v>10360</v>
      </c>
      <c r="B747" t="s">
        <v>5220</v>
      </c>
      <c r="C747" t="s">
        <v>5221</v>
      </c>
      <c r="D747" t="s">
        <v>5222</v>
      </c>
      <c r="E747" t="s">
        <v>5223</v>
      </c>
      <c r="F747" t="s">
        <v>5224</v>
      </c>
      <c r="G747" t="s">
        <v>737</v>
      </c>
      <c r="H747" t="s">
        <v>449</v>
      </c>
      <c r="J747" t="s">
        <v>4032</v>
      </c>
      <c r="K747" t="s">
        <v>606</v>
      </c>
      <c r="M747" t="s">
        <v>607</v>
      </c>
      <c r="N747" t="s">
        <v>657</v>
      </c>
      <c r="O747" t="s">
        <v>914</v>
      </c>
      <c r="P747" t="s">
        <v>739</v>
      </c>
      <c r="Q747" t="s">
        <v>467</v>
      </c>
      <c r="R747" t="s">
        <v>793</v>
      </c>
      <c r="S747" t="s">
        <v>890</v>
      </c>
      <c r="T747" t="s">
        <v>794</v>
      </c>
      <c r="U747">
        <v>143400</v>
      </c>
      <c r="V747" t="s">
        <v>5225</v>
      </c>
      <c r="W747" t="s">
        <v>892</v>
      </c>
      <c r="X747" t="s">
        <v>5226</v>
      </c>
      <c r="Y747" t="s">
        <v>5227</v>
      </c>
      <c r="Z747" t="s">
        <v>1319</v>
      </c>
      <c r="AA747" t="s">
        <v>5228</v>
      </c>
      <c r="AB747" t="s">
        <v>5229</v>
      </c>
      <c r="AE747">
        <v>-36.912429699999997</v>
      </c>
      <c r="AF747">
        <v>174.7772032</v>
      </c>
      <c r="AG747" s="175">
        <v>38</v>
      </c>
      <c r="AH747" s="175">
        <v>20</v>
      </c>
      <c r="AI747" s="175">
        <v>1</v>
      </c>
      <c r="AJ747" s="175">
        <v>1</v>
      </c>
      <c r="AK747" s="175">
        <v>7</v>
      </c>
      <c r="AL747" s="175">
        <v>5</v>
      </c>
      <c r="AM747" s="175">
        <v>17</v>
      </c>
      <c r="AN747" s="175">
        <v>1</v>
      </c>
      <c r="AO747" s="175">
        <v>32</v>
      </c>
      <c r="AP747" s="175">
        <v>2</v>
      </c>
      <c r="AQ747" s="175">
        <v>3</v>
      </c>
      <c r="AR747" s="175">
        <v>3</v>
      </c>
      <c r="AS747" s="175">
        <v>27</v>
      </c>
      <c r="AT747" s="175">
        <v>0</v>
      </c>
    </row>
    <row r="748" spans="1:46">
      <c r="A748">
        <v>10363</v>
      </c>
      <c r="B748" t="s">
        <v>5230</v>
      </c>
      <c r="C748" t="s">
        <v>5231</v>
      </c>
      <c r="D748" t="s">
        <v>5232</v>
      </c>
      <c r="E748" t="s">
        <v>5233</v>
      </c>
      <c r="F748" t="s">
        <v>862</v>
      </c>
      <c r="G748" t="s">
        <v>737</v>
      </c>
      <c r="H748" t="s">
        <v>449</v>
      </c>
      <c r="J748" t="s">
        <v>4032</v>
      </c>
      <c r="K748" t="s">
        <v>606</v>
      </c>
      <c r="M748" t="s">
        <v>607</v>
      </c>
      <c r="N748" t="s">
        <v>657</v>
      </c>
      <c r="O748" t="s">
        <v>792</v>
      </c>
      <c r="P748" t="s">
        <v>739</v>
      </c>
      <c r="Q748" t="s">
        <v>467</v>
      </c>
      <c r="R748" t="s">
        <v>793</v>
      </c>
      <c r="S748" t="s">
        <v>791</v>
      </c>
      <c r="T748" t="s">
        <v>794</v>
      </c>
      <c r="U748">
        <v>152400</v>
      </c>
      <c r="V748" t="s">
        <v>5234</v>
      </c>
      <c r="W748" t="s">
        <v>796</v>
      </c>
      <c r="X748" t="s">
        <v>5235</v>
      </c>
      <c r="Y748" t="s">
        <v>5236</v>
      </c>
      <c r="Z748" t="s">
        <v>862</v>
      </c>
      <c r="AA748" t="s">
        <v>5237</v>
      </c>
      <c r="AB748" t="s">
        <v>5231</v>
      </c>
      <c r="AC748">
        <v>99119</v>
      </c>
      <c r="AD748" t="s">
        <v>865</v>
      </c>
      <c r="AE748">
        <v>-36.900855059999998</v>
      </c>
      <c r="AF748">
        <v>174.92860367</v>
      </c>
      <c r="AG748" s="175">
        <v>100</v>
      </c>
      <c r="AH748" s="175">
        <v>22</v>
      </c>
      <c r="AI748" s="175">
        <v>0</v>
      </c>
      <c r="AJ748" s="175">
        <v>11</v>
      </c>
      <c r="AK748" s="175">
        <v>17</v>
      </c>
      <c r="AL748" s="175">
        <v>13</v>
      </c>
      <c r="AM748" s="175">
        <v>17</v>
      </c>
      <c r="AN748" s="175">
        <v>0</v>
      </c>
      <c r="AO748" s="175">
        <v>58</v>
      </c>
      <c r="AP748" s="175">
        <v>40</v>
      </c>
      <c r="AQ748" s="175">
        <v>5</v>
      </c>
      <c r="AR748" s="175">
        <v>4</v>
      </c>
      <c r="AS748" s="175">
        <v>24</v>
      </c>
      <c r="AT748" s="175">
        <v>2</v>
      </c>
    </row>
    <row r="749" spans="1:46">
      <c r="A749">
        <v>10364</v>
      </c>
      <c r="B749" t="s">
        <v>5238</v>
      </c>
      <c r="C749" t="s">
        <v>5239</v>
      </c>
      <c r="D749" t="s">
        <v>5240</v>
      </c>
      <c r="E749" t="s">
        <v>5241</v>
      </c>
      <c r="F749" t="s">
        <v>5242</v>
      </c>
      <c r="G749" t="s">
        <v>737</v>
      </c>
      <c r="H749" t="s">
        <v>449</v>
      </c>
      <c r="J749" t="s">
        <v>605</v>
      </c>
      <c r="K749" t="s">
        <v>606</v>
      </c>
      <c r="M749" t="s">
        <v>607</v>
      </c>
      <c r="N749" t="s">
        <v>608</v>
      </c>
      <c r="O749" t="s">
        <v>889</v>
      </c>
      <c r="P749" t="s">
        <v>739</v>
      </c>
      <c r="Q749" t="s">
        <v>467</v>
      </c>
      <c r="R749" t="s">
        <v>793</v>
      </c>
      <c r="S749" t="s">
        <v>965</v>
      </c>
      <c r="T749" t="s">
        <v>794</v>
      </c>
      <c r="U749">
        <v>141802</v>
      </c>
      <c r="V749" t="s">
        <v>5243</v>
      </c>
      <c r="W749" t="s">
        <v>909</v>
      </c>
      <c r="X749" t="s">
        <v>5244</v>
      </c>
      <c r="Y749" t="s">
        <v>5241</v>
      </c>
      <c r="Z749" t="s">
        <v>5242</v>
      </c>
      <c r="AA749" t="s">
        <v>4498</v>
      </c>
      <c r="AB749" t="s">
        <v>5245</v>
      </c>
      <c r="AE749">
        <v>-36.86294058</v>
      </c>
      <c r="AF749">
        <v>174.83861998</v>
      </c>
      <c r="AG749" s="175">
        <v>41</v>
      </c>
      <c r="AH749" s="175">
        <v>12</v>
      </c>
      <c r="AI749" s="175">
        <v>1</v>
      </c>
      <c r="AJ749" s="175">
        <v>9</v>
      </c>
      <c r="AK749" s="175">
        <v>13</v>
      </c>
      <c r="AL749" s="175">
        <v>6</v>
      </c>
      <c r="AM749" s="175">
        <v>5</v>
      </c>
      <c r="AN749" s="175">
        <v>2</v>
      </c>
      <c r="AO749" s="175">
        <v>36</v>
      </c>
      <c r="AP749" s="175">
        <v>1</v>
      </c>
      <c r="AQ749" s="175">
        <v>0</v>
      </c>
      <c r="AR749" s="175">
        <v>2</v>
      </c>
      <c r="AS749" s="175">
        <v>30</v>
      </c>
      <c r="AT749" s="175">
        <v>6</v>
      </c>
    </row>
    <row r="750" spans="1:46">
      <c r="A750">
        <v>10368</v>
      </c>
      <c r="B750" t="s">
        <v>5246</v>
      </c>
      <c r="C750" t="s">
        <v>5247</v>
      </c>
      <c r="D750" t="s">
        <v>5248</v>
      </c>
      <c r="E750" t="s">
        <v>5249</v>
      </c>
      <c r="G750" t="s">
        <v>5250</v>
      </c>
      <c r="H750" t="s">
        <v>301</v>
      </c>
      <c r="J750" t="s">
        <v>605</v>
      </c>
      <c r="K750" t="s">
        <v>606</v>
      </c>
      <c r="M750" t="s">
        <v>607</v>
      </c>
      <c r="N750" t="s">
        <v>625</v>
      </c>
      <c r="O750" t="s">
        <v>650</v>
      </c>
      <c r="P750" t="s">
        <v>626</v>
      </c>
      <c r="Q750" t="s">
        <v>509</v>
      </c>
      <c r="R750" t="s">
        <v>611</v>
      </c>
      <c r="S750" t="s">
        <v>612</v>
      </c>
      <c r="T750" t="s">
        <v>613</v>
      </c>
      <c r="U750">
        <v>109101</v>
      </c>
      <c r="V750" t="s">
        <v>5251</v>
      </c>
      <c r="W750" t="s">
        <v>651</v>
      </c>
      <c r="X750" t="s">
        <v>5252</v>
      </c>
      <c r="Y750" t="s">
        <v>5253</v>
      </c>
      <c r="AA750" t="s">
        <v>5254</v>
      </c>
      <c r="AB750" t="s">
        <v>5247</v>
      </c>
      <c r="AC750">
        <v>99185</v>
      </c>
      <c r="AD750" t="s">
        <v>652</v>
      </c>
      <c r="AE750">
        <v>-36.0301768</v>
      </c>
      <c r="AF750">
        <v>173.92407752</v>
      </c>
      <c r="AG750" s="175">
        <v>30</v>
      </c>
      <c r="AH750" s="175">
        <v>15</v>
      </c>
      <c r="AI750" s="175">
        <v>2</v>
      </c>
      <c r="AJ750" s="175">
        <v>5</v>
      </c>
      <c r="AK750" s="175">
        <v>4</v>
      </c>
      <c r="AL750" s="175">
        <v>5</v>
      </c>
      <c r="AM750" s="175">
        <v>3</v>
      </c>
      <c r="AN750" s="175">
        <v>1</v>
      </c>
      <c r="AO750" s="175">
        <v>20</v>
      </c>
      <c r="AP750" s="175">
        <v>17</v>
      </c>
      <c r="AQ750" s="175">
        <v>7</v>
      </c>
      <c r="AR750" s="175">
        <v>3</v>
      </c>
      <c r="AS750" s="175">
        <v>0</v>
      </c>
      <c r="AT750" s="175">
        <v>0</v>
      </c>
    </row>
    <row r="751" spans="1:46">
      <c r="A751">
        <v>10370</v>
      </c>
      <c r="B751" t="s">
        <v>5255</v>
      </c>
      <c r="C751" t="s">
        <v>5256</v>
      </c>
      <c r="E751" t="s">
        <v>5257</v>
      </c>
      <c r="F751" t="s">
        <v>913</v>
      </c>
      <c r="G751" t="s">
        <v>737</v>
      </c>
      <c r="H751" t="s">
        <v>449</v>
      </c>
      <c r="J751" t="s">
        <v>4032</v>
      </c>
      <c r="K751" t="s">
        <v>606</v>
      </c>
      <c r="M751" t="s">
        <v>607</v>
      </c>
      <c r="N751" t="s">
        <v>657</v>
      </c>
      <c r="O751" t="s">
        <v>914</v>
      </c>
      <c r="P751" t="s">
        <v>739</v>
      </c>
      <c r="Q751" t="s">
        <v>467</v>
      </c>
      <c r="R751" t="s">
        <v>793</v>
      </c>
      <c r="S751" t="s">
        <v>890</v>
      </c>
      <c r="T751" t="s">
        <v>794</v>
      </c>
      <c r="U751">
        <v>145000</v>
      </c>
      <c r="V751" t="s">
        <v>915</v>
      </c>
      <c r="W751" t="s">
        <v>892</v>
      </c>
      <c r="X751" t="s">
        <v>5258</v>
      </c>
      <c r="Y751" t="s">
        <v>5259</v>
      </c>
      <c r="Z751" t="s">
        <v>907</v>
      </c>
      <c r="AA751" t="s">
        <v>5260</v>
      </c>
      <c r="AB751" t="s">
        <v>5256</v>
      </c>
      <c r="AE751">
        <v>-36.916462160000002</v>
      </c>
      <c r="AF751">
        <v>174.78641739</v>
      </c>
      <c r="AG751" s="175">
        <v>45</v>
      </c>
      <c r="AH751" s="175">
        <v>0</v>
      </c>
      <c r="AI751" s="175">
        <v>0</v>
      </c>
      <c r="AJ751" s="175">
        <v>0</v>
      </c>
      <c r="AK751" s="175">
        <v>20</v>
      </c>
      <c r="AL751" s="175">
        <v>11</v>
      </c>
      <c r="AM751" s="175">
        <v>14</v>
      </c>
      <c r="AN751" s="175">
        <v>0</v>
      </c>
      <c r="AO751" s="175">
        <v>45</v>
      </c>
      <c r="AP751" s="175">
        <v>22</v>
      </c>
      <c r="AQ751" s="175">
        <v>8</v>
      </c>
      <c r="AR751" s="175">
        <v>4</v>
      </c>
      <c r="AS751" s="175">
        <v>23</v>
      </c>
      <c r="AT751" s="175">
        <v>1</v>
      </c>
    </row>
    <row r="752" spans="1:46">
      <c r="A752">
        <v>10371</v>
      </c>
      <c r="B752" t="s">
        <v>5261</v>
      </c>
      <c r="C752" t="s">
        <v>5262</v>
      </c>
      <c r="D752" t="s">
        <v>5263</v>
      </c>
      <c r="E752" t="s">
        <v>5264</v>
      </c>
      <c r="F752" t="s">
        <v>1114</v>
      </c>
      <c r="G752" t="s">
        <v>737</v>
      </c>
      <c r="H752" t="s">
        <v>449</v>
      </c>
      <c r="J752" t="s">
        <v>4032</v>
      </c>
      <c r="K752" t="s">
        <v>606</v>
      </c>
      <c r="M752" t="s">
        <v>607</v>
      </c>
      <c r="N752" t="s">
        <v>657</v>
      </c>
      <c r="O752" t="s">
        <v>914</v>
      </c>
      <c r="P752" t="s">
        <v>739</v>
      </c>
      <c r="Q752" t="s">
        <v>467</v>
      </c>
      <c r="R752" t="s">
        <v>793</v>
      </c>
      <c r="S752" t="s">
        <v>890</v>
      </c>
      <c r="T752" t="s">
        <v>794</v>
      </c>
      <c r="U752">
        <v>146201</v>
      </c>
      <c r="V752" t="s">
        <v>5265</v>
      </c>
      <c r="W752" t="s">
        <v>892</v>
      </c>
      <c r="X752" t="s">
        <v>5266</v>
      </c>
      <c r="Y752" t="s">
        <v>5267</v>
      </c>
      <c r="Z752" t="s">
        <v>1121</v>
      </c>
      <c r="AA752" t="s">
        <v>5268</v>
      </c>
      <c r="AE752">
        <v>-36.898919880000001</v>
      </c>
      <c r="AF752">
        <v>174.83401370000001</v>
      </c>
      <c r="AG752" s="175">
        <v>76</v>
      </c>
      <c r="AH752" s="175">
        <v>20</v>
      </c>
      <c r="AI752" s="175">
        <v>3</v>
      </c>
      <c r="AJ752" s="175">
        <v>22</v>
      </c>
      <c r="AK752" s="175">
        <v>18</v>
      </c>
      <c r="AL752" s="175">
        <v>26</v>
      </c>
      <c r="AM752" s="175">
        <v>13</v>
      </c>
      <c r="AN752" s="175">
        <v>3</v>
      </c>
      <c r="AO752" s="175">
        <v>85</v>
      </c>
      <c r="AP752" s="175">
        <v>69</v>
      </c>
      <c r="AQ752" s="175">
        <v>10</v>
      </c>
      <c r="AR752" s="175">
        <v>5</v>
      </c>
      <c r="AS752" s="175">
        <v>12</v>
      </c>
      <c r="AT752" s="175">
        <v>8</v>
      </c>
    </row>
    <row r="753" spans="1:46">
      <c r="A753">
        <v>10372</v>
      </c>
      <c r="B753" t="s">
        <v>5269</v>
      </c>
      <c r="C753" t="s">
        <v>5270</v>
      </c>
      <c r="D753" t="s">
        <v>5271</v>
      </c>
      <c r="E753" t="s">
        <v>5272</v>
      </c>
      <c r="F753" t="s">
        <v>5273</v>
      </c>
      <c r="G753" t="s">
        <v>737</v>
      </c>
      <c r="H753" t="s">
        <v>449</v>
      </c>
      <c r="J753" t="s">
        <v>4032</v>
      </c>
      <c r="K753" t="s">
        <v>606</v>
      </c>
      <c r="M753" t="s">
        <v>607</v>
      </c>
      <c r="N753" t="s">
        <v>657</v>
      </c>
      <c r="O753" t="s">
        <v>1042</v>
      </c>
      <c r="P753" t="s">
        <v>739</v>
      </c>
      <c r="Q753" t="s">
        <v>467</v>
      </c>
      <c r="R753" t="s">
        <v>793</v>
      </c>
      <c r="S753" t="s">
        <v>1043</v>
      </c>
      <c r="T753" t="s">
        <v>794</v>
      </c>
      <c r="U753">
        <v>136001</v>
      </c>
      <c r="V753" t="s">
        <v>5044</v>
      </c>
      <c r="W753" t="s">
        <v>945</v>
      </c>
      <c r="X753" t="s">
        <v>5274</v>
      </c>
      <c r="Y753" t="s">
        <v>5275</v>
      </c>
      <c r="Z753" t="s">
        <v>983</v>
      </c>
      <c r="AA753" t="s">
        <v>4034</v>
      </c>
      <c r="AE753">
        <v>-36.861907760000001</v>
      </c>
      <c r="AF753">
        <v>174.75965423</v>
      </c>
      <c r="AG753" s="175">
        <v>25</v>
      </c>
      <c r="AH753" s="175">
        <v>10</v>
      </c>
      <c r="AI753" s="175">
        <v>1</v>
      </c>
      <c r="AJ753" s="175">
        <v>6</v>
      </c>
      <c r="AK753" s="175">
        <v>3</v>
      </c>
      <c r="AL753" s="175">
        <v>4</v>
      </c>
      <c r="AM753" s="175">
        <v>3</v>
      </c>
      <c r="AN753" s="175">
        <v>0</v>
      </c>
      <c r="AO753" s="175">
        <v>17</v>
      </c>
      <c r="AP753" s="175">
        <v>8</v>
      </c>
      <c r="AQ753" s="175">
        <v>0</v>
      </c>
      <c r="AR753" s="175">
        <v>1</v>
      </c>
      <c r="AS753" s="175">
        <v>12</v>
      </c>
      <c r="AT753" s="175">
        <v>1</v>
      </c>
    </row>
    <row r="754" spans="1:46">
      <c r="A754">
        <v>10373</v>
      </c>
      <c r="B754" t="s">
        <v>5276</v>
      </c>
      <c r="C754" t="s">
        <v>5277</v>
      </c>
      <c r="D754" t="s">
        <v>5278</v>
      </c>
      <c r="E754" t="s">
        <v>5279</v>
      </c>
      <c r="F754" t="s">
        <v>1225</v>
      </c>
      <c r="G754" t="s">
        <v>737</v>
      </c>
      <c r="H754" t="s">
        <v>449</v>
      </c>
      <c r="J754" t="s">
        <v>4032</v>
      </c>
      <c r="K754" t="s">
        <v>606</v>
      </c>
      <c r="M754" t="s">
        <v>607</v>
      </c>
      <c r="N754" t="s">
        <v>657</v>
      </c>
      <c r="O754" t="s">
        <v>889</v>
      </c>
      <c r="P754" t="s">
        <v>739</v>
      </c>
      <c r="Q754" t="s">
        <v>467</v>
      </c>
      <c r="R754" t="s">
        <v>793</v>
      </c>
      <c r="S754" t="s">
        <v>965</v>
      </c>
      <c r="T754" t="s">
        <v>794</v>
      </c>
      <c r="U754">
        <v>145101</v>
      </c>
      <c r="V754" t="s">
        <v>1226</v>
      </c>
      <c r="W754" t="s">
        <v>909</v>
      </c>
      <c r="X754" t="s">
        <v>5280</v>
      </c>
      <c r="Y754" t="s">
        <v>4725</v>
      </c>
      <c r="Z754" t="s">
        <v>1043</v>
      </c>
      <c r="AA754" t="s">
        <v>4726</v>
      </c>
      <c r="AB754" t="s">
        <v>5277</v>
      </c>
      <c r="AE754">
        <v>-36.86500564</v>
      </c>
      <c r="AF754">
        <v>174.86136070000001</v>
      </c>
      <c r="AG754" s="175">
        <v>80</v>
      </c>
      <c r="AH754" s="175">
        <v>23</v>
      </c>
      <c r="AI754" s="175">
        <v>3</v>
      </c>
      <c r="AJ754" s="175">
        <v>11</v>
      </c>
      <c r="AK754" s="175">
        <v>18</v>
      </c>
      <c r="AL754" s="175">
        <v>9</v>
      </c>
      <c r="AM754" s="175">
        <v>11</v>
      </c>
      <c r="AN754" s="175">
        <v>0</v>
      </c>
      <c r="AO754" s="175">
        <v>52</v>
      </c>
      <c r="AP754" s="175">
        <v>43</v>
      </c>
      <c r="AQ754" s="175">
        <v>7</v>
      </c>
      <c r="AR754" s="175">
        <v>1</v>
      </c>
      <c r="AS754" s="175">
        <v>10</v>
      </c>
      <c r="AT754" s="175">
        <v>1</v>
      </c>
    </row>
    <row r="755" spans="1:46">
      <c r="A755">
        <v>10379</v>
      </c>
      <c r="B755" t="s">
        <v>5281</v>
      </c>
      <c r="C755" t="s">
        <v>5282</v>
      </c>
      <c r="D755" t="s">
        <v>5283</v>
      </c>
      <c r="E755" t="s">
        <v>5284</v>
      </c>
      <c r="G755" t="s">
        <v>668</v>
      </c>
      <c r="H755" t="s">
        <v>449</v>
      </c>
      <c r="J755" t="s">
        <v>4032</v>
      </c>
      <c r="K755" t="s">
        <v>606</v>
      </c>
      <c r="M755" t="s">
        <v>607</v>
      </c>
      <c r="N755" t="s">
        <v>625</v>
      </c>
      <c r="O755" t="s">
        <v>669</v>
      </c>
      <c r="P755" t="s">
        <v>670</v>
      </c>
      <c r="Q755" t="s">
        <v>509</v>
      </c>
      <c r="R755" t="s">
        <v>611</v>
      </c>
      <c r="S755" t="s">
        <v>671</v>
      </c>
      <c r="T755" t="s">
        <v>613</v>
      </c>
      <c r="U755">
        <v>106100</v>
      </c>
      <c r="V755" t="s">
        <v>5285</v>
      </c>
      <c r="W755" t="s">
        <v>673</v>
      </c>
      <c r="X755" t="s">
        <v>4050</v>
      </c>
      <c r="Y755" t="s">
        <v>4051</v>
      </c>
      <c r="AA755" t="s">
        <v>4052</v>
      </c>
      <c r="AC755">
        <v>99182</v>
      </c>
      <c r="AD755" t="s">
        <v>674</v>
      </c>
      <c r="AE755">
        <v>-35.699765200000002</v>
      </c>
      <c r="AF755">
        <v>174.31663570000001</v>
      </c>
      <c r="AG755" s="175">
        <v>65</v>
      </c>
      <c r="AH755" s="175">
        <v>20</v>
      </c>
      <c r="AI755" s="175">
        <v>1</v>
      </c>
      <c r="AJ755" s="175">
        <v>13</v>
      </c>
      <c r="AK755" s="175">
        <v>15</v>
      </c>
      <c r="AL755" s="175">
        <v>21</v>
      </c>
      <c r="AM755" s="175">
        <v>19</v>
      </c>
      <c r="AN755" s="175">
        <v>0</v>
      </c>
      <c r="AO755" s="175">
        <v>69</v>
      </c>
      <c r="AP755" s="175">
        <v>45</v>
      </c>
      <c r="AQ755" s="175">
        <v>31</v>
      </c>
      <c r="AR755" s="175">
        <v>6</v>
      </c>
      <c r="AS755" s="175">
        <v>7</v>
      </c>
      <c r="AT755" s="175">
        <v>4</v>
      </c>
    </row>
    <row r="756" spans="1:46">
      <c r="A756">
        <v>10382</v>
      </c>
      <c r="B756" t="s">
        <v>5286</v>
      </c>
      <c r="C756" t="s">
        <v>5287</v>
      </c>
      <c r="D756" t="s">
        <v>5288</v>
      </c>
      <c r="E756" t="s">
        <v>5289</v>
      </c>
      <c r="F756" t="s">
        <v>940</v>
      </c>
      <c r="G756" t="s">
        <v>737</v>
      </c>
      <c r="H756" t="s">
        <v>449</v>
      </c>
      <c r="J756" t="s">
        <v>4032</v>
      </c>
      <c r="K756" t="s">
        <v>606</v>
      </c>
      <c r="M756" t="s">
        <v>607</v>
      </c>
      <c r="N756" t="s">
        <v>657</v>
      </c>
      <c r="O756" t="s">
        <v>942</v>
      </c>
      <c r="P756" t="s">
        <v>739</v>
      </c>
      <c r="Q756" t="s">
        <v>467</v>
      </c>
      <c r="R756" t="s">
        <v>793</v>
      </c>
      <c r="S756" t="s">
        <v>943</v>
      </c>
      <c r="T756" t="s">
        <v>794</v>
      </c>
      <c r="U756">
        <v>135500</v>
      </c>
      <c r="V756" t="s">
        <v>1165</v>
      </c>
      <c r="W756" t="s">
        <v>945</v>
      </c>
      <c r="X756" t="s">
        <v>5290</v>
      </c>
      <c r="Y756" t="s">
        <v>5289</v>
      </c>
      <c r="Z756" t="s">
        <v>940</v>
      </c>
      <c r="AA756" t="s">
        <v>4942</v>
      </c>
      <c r="AB756" t="s">
        <v>5287</v>
      </c>
      <c r="AE756">
        <v>-36.893063730000001</v>
      </c>
      <c r="AF756">
        <v>174.70734037</v>
      </c>
      <c r="AG756" s="175">
        <v>34</v>
      </c>
      <c r="AH756" s="175">
        <v>10</v>
      </c>
      <c r="AI756" s="175">
        <v>1</v>
      </c>
      <c r="AJ756" s="175">
        <v>7</v>
      </c>
      <c r="AK756" s="175">
        <v>9</v>
      </c>
      <c r="AL756" s="175">
        <v>6</v>
      </c>
      <c r="AM756" s="175">
        <v>10</v>
      </c>
      <c r="AN756" s="175">
        <v>0</v>
      </c>
      <c r="AO756" s="175">
        <v>33</v>
      </c>
      <c r="AP756" s="175">
        <v>17</v>
      </c>
      <c r="AQ756" s="175">
        <v>4</v>
      </c>
      <c r="AR756" s="175">
        <v>3</v>
      </c>
      <c r="AS756" s="175">
        <v>18</v>
      </c>
      <c r="AT756" s="175">
        <v>2</v>
      </c>
    </row>
    <row r="757" spans="1:46">
      <c r="A757">
        <v>10383</v>
      </c>
      <c r="B757" t="s">
        <v>5291</v>
      </c>
      <c r="C757" t="s">
        <v>5292</v>
      </c>
      <c r="E757" t="s">
        <v>5293</v>
      </c>
      <c r="F757" t="s">
        <v>862</v>
      </c>
      <c r="G757" t="s">
        <v>737</v>
      </c>
      <c r="H757" t="s">
        <v>449</v>
      </c>
      <c r="J757" t="s">
        <v>4032</v>
      </c>
      <c r="K757" t="s">
        <v>606</v>
      </c>
      <c r="M757" t="s">
        <v>607</v>
      </c>
      <c r="N757" t="s">
        <v>657</v>
      </c>
      <c r="O757" t="s">
        <v>792</v>
      </c>
      <c r="P757" t="s">
        <v>739</v>
      </c>
      <c r="Q757" t="s">
        <v>467</v>
      </c>
      <c r="R757" t="s">
        <v>793</v>
      </c>
      <c r="S757" t="s">
        <v>791</v>
      </c>
      <c r="T757" t="s">
        <v>794</v>
      </c>
      <c r="U757">
        <v>152400</v>
      </c>
      <c r="V757" t="s">
        <v>5234</v>
      </c>
      <c r="W757" t="s">
        <v>796</v>
      </c>
      <c r="X757" t="s">
        <v>5294</v>
      </c>
      <c r="Y757" t="s">
        <v>5295</v>
      </c>
      <c r="Z757" t="s">
        <v>862</v>
      </c>
      <c r="AA757" t="s">
        <v>5296</v>
      </c>
      <c r="AB757" t="s">
        <v>5297</v>
      </c>
      <c r="AE757">
        <v>-36.896092590000002</v>
      </c>
      <c r="AF757">
        <v>174.93374668000001</v>
      </c>
      <c r="AG757" s="175">
        <v>34</v>
      </c>
      <c r="AH757" s="175">
        <v>0</v>
      </c>
      <c r="AI757" s="175">
        <v>0</v>
      </c>
      <c r="AJ757" s="175">
        <v>0</v>
      </c>
      <c r="AK757" s="175">
        <v>6</v>
      </c>
      <c r="AL757" s="175">
        <v>13</v>
      </c>
      <c r="AM757" s="175">
        <v>12</v>
      </c>
      <c r="AN757" s="175">
        <v>2</v>
      </c>
      <c r="AO757" s="175">
        <v>33</v>
      </c>
      <c r="AP757" s="175">
        <v>17</v>
      </c>
      <c r="AQ757" s="175">
        <v>2</v>
      </c>
      <c r="AR757" s="175">
        <v>0</v>
      </c>
      <c r="AS757" s="175">
        <v>19</v>
      </c>
      <c r="AT757" s="175">
        <v>1</v>
      </c>
    </row>
    <row r="758" spans="1:46">
      <c r="A758">
        <v>10384</v>
      </c>
      <c r="B758" t="s">
        <v>5298</v>
      </c>
      <c r="C758" t="s">
        <v>5299</v>
      </c>
      <c r="D758" t="s">
        <v>5300</v>
      </c>
      <c r="E758" t="s">
        <v>5301</v>
      </c>
      <c r="F758" t="s">
        <v>983</v>
      </c>
      <c r="G758" t="s">
        <v>737</v>
      </c>
      <c r="H758" t="s">
        <v>449</v>
      </c>
      <c r="J758" t="s">
        <v>4032</v>
      </c>
      <c r="K758" t="s">
        <v>606</v>
      </c>
      <c r="M758" t="s">
        <v>607</v>
      </c>
      <c r="N758" t="s">
        <v>657</v>
      </c>
      <c r="O758" t="s">
        <v>898</v>
      </c>
      <c r="P758" t="s">
        <v>739</v>
      </c>
      <c r="Q758" t="s">
        <v>467</v>
      </c>
      <c r="R758" t="s">
        <v>724</v>
      </c>
      <c r="S758" t="s">
        <v>984</v>
      </c>
      <c r="T758" t="s">
        <v>613</v>
      </c>
      <c r="U758">
        <v>126100</v>
      </c>
      <c r="V758" t="s">
        <v>5079</v>
      </c>
      <c r="W758" t="s">
        <v>900</v>
      </c>
      <c r="X758" t="s">
        <v>5302</v>
      </c>
      <c r="Y758" t="s">
        <v>4756</v>
      </c>
      <c r="Z758" t="s">
        <v>4757</v>
      </c>
      <c r="AA758" t="s">
        <v>4758</v>
      </c>
      <c r="AB758" t="s">
        <v>5303</v>
      </c>
      <c r="AE758">
        <v>-36.874656039999998</v>
      </c>
      <c r="AF758">
        <v>174.61223122999999</v>
      </c>
      <c r="AG758" s="175">
        <v>95</v>
      </c>
      <c r="AH758" s="175">
        <v>25</v>
      </c>
      <c r="AI758" s="175">
        <v>4</v>
      </c>
      <c r="AJ758" s="175">
        <v>21</v>
      </c>
      <c r="AK758" s="175">
        <v>25</v>
      </c>
      <c r="AL758" s="175">
        <v>22</v>
      </c>
      <c r="AM758" s="175">
        <v>26</v>
      </c>
      <c r="AN758" s="175">
        <v>0</v>
      </c>
      <c r="AO758" s="175">
        <v>98</v>
      </c>
      <c r="AP758" s="175">
        <v>44</v>
      </c>
      <c r="AQ758" s="175">
        <v>6</v>
      </c>
      <c r="AR758" s="175">
        <v>2</v>
      </c>
      <c r="AS758" s="175">
        <v>57</v>
      </c>
      <c r="AT758" s="175">
        <v>7</v>
      </c>
    </row>
    <row r="759" spans="1:46">
      <c r="A759">
        <v>10385</v>
      </c>
      <c r="B759" t="s">
        <v>5304</v>
      </c>
      <c r="C759" t="s">
        <v>5305</v>
      </c>
      <c r="D759" t="s">
        <v>5306</v>
      </c>
      <c r="E759" t="s">
        <v>5307</v>
      </c>
      <c r="F759" t="s">
        <v>906</v>
      </c>
      <c r="G759" t="s">
        <v>737</v>
      </c>
      <c r="H759" t="s">
        <v>449</v>
      </c>
      <c r="J759" t="s">
        <v>605</v>
      </c>
      <c r="K759" t="s">
        <v>606</v>
      </c>
      <c r="M759" t="s">
        <v>607</v>
      </c>
      <c r="N759" t="s">
        <v>657</v>
      </c>
      <c r="O759" t="s">
        <v>1042</v>
      </c>
      <c r="P759" t="s">
        <v>739</v>
      </c>
      <c r="Q759" t="s">
        <v>467</v>
      </c>
      <c r="R759" t="s">
        <v>793</v>
      </c>
      <c r="S759" t="s">
        <v>907</v>
      </c>
      <c r="T759" t="s">
        <v>794</v>
      </c>
      <c r="U759">
        <v>138502</v>
      </c>
      <c r="V759" t="s">
        <v>5308</v>
      </c>
      <c r="W759" t="s">
        <v>909</v>
      </c>
      <c r="X759" t="s">
        <v>4013</v>
      </c>
      <c r="Y759" t="s">
        <v>4014</v>
      </c>
      <c r="Z759" t="s">
        <v>4015</v>
      </c>
      <c r="AA759" t="s">
        <v>4016</v>
      </c>
      <c r="AB759" t="s">
        <v>4017</v>
      </c>
      <c r="AE759">
        <v>-36.872999110000002</v>
      </c>
      <c r="AF759">
        <v>174.78084895999999</v>
      </c>
      <c r="AG759" s="175">
        <v>70</v>
      </c>
      <c r="AH759" s="175">
        <v>20</v>
      </c>
      <c r="AI759" s="175">
        <v>1</v>
      </c>
      <c r="AJ759" s="175">
        <v>10</v>
      </c>
      <c r="AK759" s="175">
        <v>19</v>
      </c>
      <c r="AL759" s="175">
        <v>18</v>
      </c>
      <c r="AM759" s="175">
        <v>17</v>
      </c>
      <c r="AN759" s="175">
        <v>1</v>
      </c>
      <c r="AO759" s="175">
        <v>66</v>
      </c>
      <c r="AP759" s="175">
        <v>17</v>
      </c>
      <c r="AQ759" s="175">
        <v>0</v>
      </c>
      <c r="AR759" s="175">
        <v>0</v>
      </c>
      <c r="AS759" s="175">
        <v>45</v>
      </c>
      <c r="AT759" s="175">
        <v>10</v>
      </c>
    </row>
    <row r="760" spans="1:46">
      <c r="A760">
        <v>10387</v>
      </c>
      <c r="B760" t="s">
        <v>5309</v>
      </c>
      <c r="C760" t="s">
        <v>5310</v>
      </c>
      <c r="D760" t="s">
        <v>5311</v>
      </c>
      <c r="E760" t="s">
        <v>5312</v>
      </c>
      <c r="F760" t="s">
        <v>5273</v>
      </c>
      <c r="G760" t="s">
        <v>737</v>
      </c>
      <c r="H760" t="s">
        <v>449</v>
      </c>
      <c r="J760" t="s">
        <v>605</v>
      </c>
      <c r="K760" t="s">
        <v>606</v>
      </c>
      <c r="M760" t="s">
        <v>607</v>
      </c>
      <c r="N760" t="s">
        <v>657</v>
      </c>
      <c r="O760" t="s">
        <v>942</v>
      </c>
      <c r="P760" t="s">
        <v>739</v>
      </c>
      <c r="Q760" t="s">
        <v>467</v>
      </c>
      <c r="R760" t="s">
        <v>793</v>
      </c>
      <c r="S760" t="s">
        <v>907</v>
      </c>
      <c r="T760" t="s">
        <v>794</v>
      </c>
      <c r="U760">
        <v>139000</v>
      </c>
      <c r="V760" t="s">
        <v>5313</v>
      </c>
      <c r="W760" t="s">
        <v>945</v>
      </c>
      <c r="X760" t="s">
        <v>5314</v>
      </c>
      <c r="Y760" t="s">
        <v>5315</v>
      </c>
      <c r="Z760" t="s">
        <v>1121</v>
      </c>
      <c r="AA760" t="s">
        <v>5316</v>
      </c>
      <c r="AB760" t="s">
        <v>5317</v>
      </c>
      <c r="AE760">
        <v>-36.882172969999999</v>
      </c>
      <c r="AF760">
        <v>174.75972483999999</v>
      </c>
      <c r="AG760" s="175">
        <v>30</v>
      </c>
      <c r="AH760" s="175">
        <v>25</v>
      </c>
      <c r="AI760" s="175">
        <v>2</v>
      </c>
      <c r="AJ760" s="175">
        <v>5</v>
      </c>
      <c r="AK760" s="175">
        <v>3</v>
      </c>
      <c r="AL760" s="175">
        <v>1</v>
      </c>
      <c r="AM760" s="175">
        <v>0</v>
      </c>
      <c r="AN760" s="175">
        <v>0</v>
      </c>
      <c r="AO760" s="175">
        <v>11</v>
      </c>
      <c r="AP760" s="175">
        <v>7</v>
      </c>
      <c r="AQ760" s="175">
        <v>0</v>
      </c>
      <c r="AR760" s="175">
        <v>4</v>
      </c>
      <c r="AS760" s="175">
        <v>3</v>
      </c>
      <c r="AT760" s="175">
        <v>0</v>
      </c>
    </row>
    <row r="761" spans="1:46">
      <c r="A761">
        <v>10393</v>
      </c>
      <c r="B761" t="s">
        <v>5318</v>
      </c>
      <c r="C761" t="s">
        <v>5319</v>
      </c>
      <c r="D761" t="s">
        <v>5320</v>
      </c>
      <c r="E761" t="s">
        <v>5321</v>
      </c>
      <c r="F761" t="s">
        <v>791</v>
      </c>
      <c r="G761" t="s">
        <v>737</v>
      </c>
      <c r="H761" t="s">
        <v>449</v>
      </c>
      <c r="J761" t="s">
        <v>4032</v>
      </c>
      <c r="K761" t="s">
        <v>606</v>
      </c>
      <c r="M761" t="s">
        <v>607</v>
      </c>
      <c r="N761" t="s">
        <v>657</v>
      </c>
      <c r="O761" t="s">
        <v>792</v>
      </c>
      <c r="P761" t="s">
        <v>739</v>
      </c>
      <c r="Q761" t="s">
        <v>467</v>
      </c>
      <c r="R761" t="s">
        <v>793</v>
      </c>
      <c r="S761" t="s">
        <v>791</v>
      </c>
      <c r="T761" t="s">
        <v>794</v>
      </c>
      <c r="U761">
        <v>149800</v>
      </c>
      <c r="V761" t="s">
        <v>5322</v>
      </c>
      <c r="W761" t="s">
        <v>796</v>
      </c>
      <c r="X761" t="s">
        <v>5323</v>
      </c>
      <c r="Y761" t="s">
        <v>4176</v>
      </c>
      <c r="AA761" t="s">
        <v>4052</v>
      </c>
      <c r="AB761" t="s">
        <v>5319</v>
      </c>
      <c r="AE761">
        <v>-36.914368619999998</v>
      </c>
      <c r="AF761">
        <v>174.87941056</v>
      </c>
      <c r="AG761" s="175">
        <v>85</v>
      </c>
      <c r="AH761" s="175">
        <v>35</v>
      </c>
      <c r="AI761" s="175">
        <v>3</v>
      </c>
      <c r="AJ761" s="175">
        <v>18</v>
      </c>
      <c r="AK761" s="175">
        <v>20</v>
      </c>
      <c r="AL761" s="175">
        <v>0</v>
      </c>
      <c r="AM761" s="175">
        <v>0</v>
      </c>
      <c r="AN761" s="175">
        <v>0</v>
      </c>
      <c r="AO761" s="175">
        <v>41</v>
      </c>
      <c r="AP761" s="175">
        <v>12</v>
      </c>
      <c r="AQ761" s="175">
        <v>5</v>
      </c>
      <c r="AR761" s="175">
        <v>8</v>
      </c>
      <c r="AS761" s="175">
        <v>24</v>
      </c>
      <c r="AT761" s="175">
        <v>4</v>
      </c>
    </row>
    <row r="762" spans="1:46">
      <c r="A762">
        <v>10394</v>
      </c>
      <c r="B762" t="s">
        <v>5324</v>
      </c>
      <c r="C762" t="s">
        <v>5325</v>
      </c>
      <c r="D762" t="s">
        <v>5326</v>
      </c>
      <c r="E762" t="s">
        <v>5327</v>
      </c>
      <c r="G762" t="s">
        <v>1346</v>
      </c>
      <c r="H762" t="s">
        <v>449</v>
      </c>
      <c r="J762" t="s">
        <v>4032</v>
      </c>
      <c r="K762" t="s">
        <v>606</v>
      </c>
      <c r="M762" t="s">
        <v>607</v>
      </c>
      <c r="N762" t="s">
        <v>657</v>
      </c>
      <c r="O762" t="s">
        <v>1318</v>
      </c>
      <c r="P762" t="s">
        <v>1347</v>
      </c>
      <c r="Q762" t="s">
        <v>467</v>
      </c>
      <c r="R762" t="s">
        <v>814</v>
      </c>
      <c r="S762" t="s">
        <v>1331</v>
      </c>
      <c r="T762" t="s">
        <v>1320</v>
      </c>
      <c r="U762">
        <v>166000</v>
      </c>
      <c r="V762" t="s">
        <v>1365</v>
      </c>
      <c r="W762" t="s">
        <v>1322</v>
      </c>
      <c r="X762" t="s">
        <v>5328</v>
      </c>
      <c r="Y762" t="s">
        <v>5329</v>
      </c>
      <c r="AA762" t="s">
        <v>5330</v>
      </c>
      <c r="AC762">
        <v>99075</v>
      </c>
      <c r="AD762" t="s">
        <v>1349</v>
      </c>
      <c r="AE762">
        <v>-37.202995479999998</v>
      </c>
      <c r="AF762">
        <v>174.90651410000001</v>
      </c>
      <c r="AG762" s="175">
        <v>30</v>
      </c>
      <c r="AH762" s="175">
        <v>15</v>
      </c>
      <c r="AI762" s="175">
        <v>1</v>
      </c>
      <c r="AJ762" s="175">
        <v>5</v>
      </c>
      <c r="AK762" s="175">
        <v>6</v>
      </c>
      <c r="AL762" s="175">
        <v>6</v>
      </c>
      <c r="AM762" s="175">
        <v>9</v>
      </c>
      <c r="AN762" s="175">
        <v>0</v>
      </c>
      <c r="AO762" s="175">
        <v>27</v>
      </c>
      <c r="AP762" s="175">
        <v>20</v>
      </c>
      <c r="AQ762" s="175">
        <v>7</v>
      </c>
      <c r="AR762" s="175">
        <v>2</v>
      </c>
      <c r="AS762" s="175">
        <v>7</v>
      </c>
      <c r="AT762" s="175">
        <v>1</v>
      </c>
    </row>
    <row r="763" spans="1:46">
      <c r="A763">
        <v>10395</v>
      </c>
      <c r="B763" t="s">
        <v>5331</v>
      </c>
      <c r="C763" t="s">
        <v>5332</v>
      </c>
      <c r="D763" t="s">
        <v>5333</v>
      </c>
      <c r="E763" t="s">
        <v>5334</v>
      </c>
      <c r="G763" t="s">
        <v>1346</v>
      </c>
      <c r="H763" t="s">
        <v>449</v>
      </c>
      <c r="I763" t="s">
        <v>5017</v>
      </c>
      <c r="J763" t="s">
        <v>605</v>
      </c>
      <c r="K763" t="s">
        <v>606</v>
      </c>
      <c r="M763" t="s">
        <v>607</v>
      </c>
      <c r="N763" t="s">
        <v>812</v>
      </c>
      <c r="O763" t="s">
        <v>1318</v>
      </c>
      <c r="P763" t="s">
        <v>1347</v>
      </c>
      <c r="Q763" t="s">
        <v>467</v>
      </c>
      <c r="R763" t="s">
        <v>814</v>
      </c>
      <c r="S763" t="s">
        <v>1331</v>
      </c>
      <c r="T763" t="s">
        <v>1320</v>
      </c>
      <c r="U763">
        <v>165302</v>
      </c>
      <c r="V763" t="s">
        <v>5141</v>
      </c>
      <c r="W763" t="s">
        <v>1322</v>
      </c>
      <c r="X763" t="s">
        <v>5335</v>
      </c>
      <c r="Y763" t="s">
        <v>5336</v>
      </c>
      <c r="AA763" t="s">
        <v>5337</v>
      </c>
      <c r="AB763" t="s">
        <v>5332</v>
      </c>
      <c r="AC763">
        <v>99075</v>
      </c>
      <c r="AD763" t="s">
        <v>1349</v>
      </c>
      <c r="AE763">
        <v>-37.194553380000002</v>
      </c>
      <c r="AF763">
        <v>174.8956987</v>
      </c>
      <c r="AG763" s="175">
        <v>20</v>
      </c>
      <c r="AH763" s="175">
        <v>0</v>
      </c>
      <c r="AI763" s="175">
        <v>0</v>
      </c>
      <c r="AJ763" s="175">
        <v>0</v>
      </c>
      <c r="AK763" s="175">
        <v>1</v>
      </c>
      <c r="AL763" s="175">
        <v>6</v>
      </c>
      <c r="AM763" s="175">
        <v>8</v>
      </c>
      <c r="AN763" s="175">
        <v>0</v>
      </c>
      <c r="AO763" s="175">
        <v>15</v>
      </c>
      <c r="AP763" s="175">
        <v>3</v>
      </c>
      <c r="AQ763" s="175">
        <v>13</v>
      </c>
      <c r="AR763" s="175">
        <v>4</v>
      </c>
      <c r="AS763" s="175">
        <v>1</v>
      </c>
      <c r="AT763" s="175">
        <v>0</v>
      </c>
    </row>
    <row r="764" spans="1:46">
      <c r="A764">
        <v>10398</v>
      </c>
      <c r="B764" t="s">
        <v>5338</v>
      </c>
      <c r="C764" t="s">
        <v>5339</v>
      </c>
      <c r="E764" t="s">
        <v>5340</v>
      </c>
      <c r="G764" t="s">
        <v>1346</v>
      </c>
      <c r="H764" t="s">
        <v>449</v>
      </c>
      <c r="J764" t="s">
        <v>4032</v>
      </c>
      <c r="K764" t="s">
        <v>606</v>
      </c>
      <c r="M764" t="s">
        <v>607</v>
      </c>
      <c r="N764" t="s">
        <v>4586</v>
      </c>
      <c r="O764" t="s">
        <v>1318</v>
      </c>
      <c r="P764" t="s">
        <v>1347</v>
      </c>
      <c r="Q764" t="s">
        <v>467</v>
      </c>
      <c r="R764" t="s">
        <v>814</v>
      </c>
      <c r="S764" t="s">
        <v>1331</v>
      </c>
      <c r="T764" t="s">
        <v>1320</v>
      </c>
      <c r="U764">
        <v>165700</v>
      </c>
      <c r="V764" t="s">
        <v>1348</v>
      </c>
      <c r="W764" t="s">
        <v>1322</v>
      </c>
      <c r="X764" t="s">
        <v>5341</v>
      </c>
      <c r="Y764" t="s">
        <v>5340</v>
      </c>
      <c r="AA764" t="s">
        <v>5144</v>
      </c>
      <c r="AB764" t="s">
        <v>5342</v>
      </c>
      <c r="AE764">
        <v>-37.205822740000002</v>
      </c>
      <c r="AF764">
        <v>174.90047200999999</v>
      </c>
      <c r="AG764" s="175">
        <v>35</v>
      </c>
      <c r="AH764" s="175">
        <v>10</v>
      </c>
      <c r="AI764" s="175">
        <v>4</v>
      </c>
      <c r="AJ764" s="175">
        <v>3</v>
      </c>
      <c r="AK764" s="175">
        <v>11</v>
      </c>
      <c r="AL764" s="175">
        <v>13</v>
      </c>
      <c r="AM764" s="175">
        <v>5</v>
      </c>
      <c r="AN764" s="175">
        <v>2</v>
      </c>
      <c r="AO764" s="175">
        <v>38</v>
      </c>
      <c r="AP764" s="175">
        <v>4</v>
      </c>
      <c r="AQ764" s="175">
        <v>10</v>
      </c>
      <c r="AR764" s="175">
        <v>6</v>
      </c>
      <c r="AS764" s="175">
        <v>22</v>
      </c>
      <c r="AT764" s="175">
        <v>1</v>
      </c>
    </row>
    <row r="765" spans="1:46">
      <c r="A765">
        <v>10401</v>
      </c>
      <c r="B765" t="s">
        <v>5343</v>
      </c>
      <c r="C765" t="s">
        <v>5344</v>
      </c>
      <c r="E765" t="s">
        <v>5345</v>
      </c>
      <c r="G765" t="s">
        <v>4745</v>
      </c>
      <c r="H765" t="s">
        <v>347</v>
      </c>
      <c r="J765" t="s">
        <v>605</v>
      </c>
      <c r="K765" t="s">
        <v>606</v>
      </c>
      <c r="L765" t="s">
        <v>4273</v>
      </c>
      <c r="M765" t="s">
        <v>607</v>
      </c>
      <c r="N765" t="s">
        <v>625</v>
      </c>
      <c r="O765" t="s">
        <v>609</v>
      </c>
      <c r="P765" t="s">
        <v>658</v>
      </c>
      <c r="Q765" t="s">
        <v>509</v>
      </c>
      <c r="R765" t="s">
        <v>611</v>
      </c>
      <c r="S765" t="s">
        <v>612</v>
      </c>
      <c r="T765" t="s">
        <v>613</v>
      </c>
      <c r="U765">
        <v>101801</v>
      </c>
      <c r="V765" t="s">
        <v>5346</v>
      </c>
      <c r="W765" t="s">
        <v>644</v>
      </c>
      <c r="X765" t="s">
        <v>4520</v>
      </c>
      <c r="Y765" t="s">
        <v>4276</v>
      </c>
      <c r="Z765" t="s">
        <v>4277</v>
      </c>
      <c r="AA765" t="s">
        <v>4278</v>
      </c>
      <c r="AB765" t="s">
        <v>4521</v>
      </c>
      <c r="AE765">
        <v>-35.043805900000002</v>
      </c>
      <c r="AF765">
        <v>173.79097657</v>
      </c>
      <c r="AG765" s="175">
        <v>24</v>
      </c>
      <c r="AH765" s="175">
        <v>5</v>
      </c>
      <c r="AI765" s="175">
        <v>0</v>
      </c>
      <c r="AJ765" s="175">
        <v>2</v>
      </c>
      <c r="AK765" s="175">
        <v>7</v>
      </c>
      <c r="AL765" s="175">
        <v>5</v>
      </c>
      <c r="AM765" s="175">
        <v>0</v>
      </c>
      <c r="AN765" s="175">
        <v>0</v>
      </c>
      <c r="AO765" s="175">
        <v>14</v>
      </c>
      <c r="AP765" s="175">
        <v>0</v>
      </c>
      <c r="AQ765" s="175">
        <v>13</v>
      </c>
      <c r="AR765" s="175">
        <v>1</v>
      </c>
      <c r="AS765" s="175">
        <v>0</v>
      </c>
      <c r="AT765" s="175">
        <v>0</v>
      </c>
    </row>
    <row r="766" spans="1:46">
      <c r="A766">
        <v>10402</v>
      </c>
      <c r="B766" t="s">
        <v>5347</v>
      </c>
      <c r="C766" t="s">
        <v>5348</v>
      </c>
      <c r="D766" t="s">
        <v>602</v>
      </c>
      <c r="E766" t="s">
        <v>5349</v>
      </c>
      <c r="F766" t="s">
        <v>5350</v>
      </c>
      <c r="G766" t="s">
        <v>668</v>
      </c>
      <c r="H766" t="s">
        <v>452</v>
      </c>
      <c r="I766" t="s">
        <v>5017</v>
      </c>
      <c r="J766" t="s">
        <v>605</v>
      </c>
      <c r="K766" t="s">
        <v>606</v>
      </c>
      <c r="M766" t="s">
        <v>607</v>
      </c>
      <c r="N766" t="s">
        <v>812</v>
      </c>
      <c r="O766" t="s">
        <v>669</v>
      </c>
      <c r="P766" t="s">
        <v>670</v>
      </c>
      <c r="Q766" t="s">
        <v>509</v>
      </c>
      <c r="R766" t="s">
        <v>611</v>
      </c>
      <c r="S766" t="s">
        <v>671</v>
      </c>
      <c r="T766" t="s">
        <v>613</v>
      </c>
      <c r="U766">
        <v>106401</v>
      </c>
      <c r="V766" t="s">
        <v>5350</v>
      </c>
      <c r="W766" t="s">
        <v>673</v>
      </c>
      <c r="X766" t="s">
        <v>616</v>
      </c>
      <c r="Y766" t="s">
        <v>617</v>
      </c>
      <c r="Z766" t="s">
        <v>618</v>
      </c>
      <c r="AA766" t="s">
        <v>619</v>
      </c>
      <c r="AB766" t="s">
        <v>620</v>
      </c>
      <c r="AC766">
        <v>99182</v>
      </c>
      <c r="AD766" t="s">
        <v>674</v>
      </c>
      <c r="AE766">
        <v>-35.695196770000003</v>
      </c>
      <c r="AF766">
        <v>174.32118546999999</v>
      </c>
      <c r="AG766" s="175">
        <v>30</v>
      </c>
      <c r="AH766" s="175">
        <v>0</v>
      </c>
      <c r="AI766" s="175">
        <v>0</v>
      </c>
      <c r="AJ766" s="175">
        <v>0</v>
      </c>
      <c r="AK766" s="175">
        <v>5</v>
      </c>
      <c r="AL766" s="175">
        <v>8</v>
      </c>
      <c r="AM766" s="175">
        <v>16</v>
      </c>
      <c r="AN766" s="175">
        <v>1</v>
      </c>
      <c r="AO766" s="175">
        <v>30</v>
      </c>
      <c r="AP766" s="175">
        <v>1</v>
      </c>
      <c r="AQ766" s="175">
        <v>28</v>
      </c>
      <c r="AR766" s="175">
        <v>1</v>
      </c>
      <c r="AS766" s="175">
        <v>0</v>
      </c>
      <c r="AT766" s="175">
        <v>3</v>
      </c>
    </row>
    <row r="767" spans="1:46">
      <c r="A767">
        <v>10403</v>
      </c>
      <c r="B767" t="s">
        <v>5351</v>
      </c>
      <c r="C767" t="s">
        <v>5352</v>
      </c>
      <c r="E767" t="s">
        <v>5353</v>
      </c>
      <c r="G767" t="s">
        <v>636</v>
      </c>
      <c r="H767" t="s">
        <v>347</v>
      </c>
      <c r="J767" t="s">
        <v>605</v>
      </c>
      <c r="K767" t="s">
        <v>606</v>
      </c>
      <c r="L767" t="s">
        <v>4273</v>
      </c>
      <c r="M767" t="s">
        <v>607</v>
      </c>
      <c r="N767" t="s">
        <v>608</v>
      </c>
      <c r="O767" t="s">
        <v>609</v>
      </c>
      <c r="P767" t="s">
        <v>658</v>
      </c>
      <c r="Q767" t="s">
        <v>509</v>
      </c>
      <c r="R767" t="s">
        <v>611</v>
      </c>
      <c r="S767" t="s">
        <v>612</v>
      </c>
      <c r="T767" t="s">
        <v>613</v>
      </c>
      <c r="U767">
        <v>103401</v>
      </c>
      <c r="V767" t="s">
        <v>5354</v>
      </c>
      <c r="W767" t="s">
        <v>637</v>
      </c>
      <c r="X767" t="s">
        <v>4520</v>
      </c>
      <c r="Y767" t="s">
        <v>4276</v>
      </c>
      <c r="Z767" t="s">
        <v>4277</v>
      </c>
      <c r="AA767" t="s">
        <v>4278</v>
      </c>
      <c r="AB767" t="s">
        <v>4521</v>
      </c>
      <c r="AE767">
        <v>-35.417961650000002</v>
      </c>
      <c r="AF767">
        <v>173.79182256999999</v>
      </c>
      <c r="AG767" s="175">
        <v>40</v>
      </c>
      <c r="AH767" s="175">
        <v>6</v>
      </c>
      <c r="AI767" s="175">
        <v>1</v>
      </c>
      <c r="AJ767" s="175">
        <v>5</v>
      </c>
      <c r="AK767" s="175">
        <v>7</v>
      </c>
      <c r="AL767" s="175">
        <v>10</v>
      </c>
      <c r="AM767" s="175">
        <v>9</v>
      </c>
      <c r="AN767" s="175">
        <v>0</v>
      </c>
      <c r="AO767" s="175">
        <v>32</v>
      </c>
      <c r="AP767" s="175">
        <v>0</v>
      </c>
      <c r="AQ767" s="175">
        <v>32</v>
      </c>
      <c r="AR767" s="175">
        <v>0</v>
      </c>
      <c r="AS767" s="175">
        <v>0</v>
      </c>
      <c r="AT767" s="175">
        <v>0</v>
      </c>
    </row>
    <row r="768" spans="1:46">
      <c r="A768">
        <v>10404</v>
      </c>
      <c r="B768" t="s">
        <v>5355</v>
      </c>
      <c r="C768" t="s">
        <v>5356</v>
      </c>
      <c r="D768" t="s">
        <v>5357</v>
      </c>
      <c r="E768" t="s">
        <v>5358</v>
      </c>
      <c r="F768" t="s">
        <v>709</v>
      </c>
      <c r="G768" t="s">
        <v>668</v>
      </c>
      <c r="H768" t="s">
        <v>449</v>
      </c>
      <c r="J768" t="s">
        <v>605</v>
      </c>
      <c r="K768" t="s">
        <v>606</v>
      </c>
      <c r="M768" t="s">
        <v>607</v>
      </c>
      <c r="N768" t="s">
        <v>608</v>
      </c>
      <c r="O768" t="s">
        <v>669</v>
      </c>
      <c r="P768" t="s">
        <v>670</v>
      </c>
      <c r="Q768" t="s">
        <v>509</v>
      </c>
      <c r="R768" t="s">
        <v>611</v>
      </c>
      <c r="S768" t="s">
        <v>671</v>
      </c>
      <c r="T768" t="s">
        <v>613</v>
      </c>
      <c r="U768">
        <v>107401</v>
      </c>
      <c r="V768" t="s">
        <v>5359</v>
      </c>
      <c r="W768" t="s">
        <v>673</v>
      </c>
      <c r="X768" t="s">
        <v>5360</v>
      </c>
      <c r="Y768" t="s">
        <v>5361</v>
      </c>
      <c r="Z768" t="s">
        <v>668</v>
      </c>
      <c r="AA768" t="s">
        <v>5362</v>
      </c>
      <c r="AB768" t="s">
        <v>5363</v>
      </c>
      <c r="AC768">
        <v>99183</v>
      </c>
      <c r="AD768" t="s">
        <v>705</v>
      </c>
      <c r="AE768">
        <v>-35.740639510000001</v>
      </c>
      <c r="AF768">
        <v>174.30296071999999</v>
      </c>
      <c r="AG768" s="175">
        <v>50</v>
      </c>
      <c r="AH768" s="175">
        <v>35</v>
      </c>
      <c r="AI768" s="175">
        <v>2</v>
      </c>
      <c r="AJ768" s="175">
        <v>5</v>
      </c>
      <c r="AK768" s="175">
        <v>6</v>
      </c>
      <c r="AL768" s="175">
        <v>11</v>
      </c>
      <c r="AM768" s="175">
        <v>6</v>
      </c>
      <c r="AN768" s="175">
        <v>0</v>
      </c>
      <c r="AO768" s="175">
        <v>30</v>
      </c>
      <c r="AP768" s="175">
        <v>12</v>
      </c>
      <c r="AQ768" s="175">
        <v>24</v>
      </c>
      <c r="AR768" s="175">
        <v>5</v>
      </c>
      <c r="AS768" s="175">
        <v>1</v>
      </c>
      <c r="AT768" s="175">
        <v>0</v>
      </c>
    </row>
    <row r="769" spans="1:46">
      <c r="A769">
        <v>10405</v>
      </c>
      <c r="B769" t="s">
        <v>5364</v>
      </c>
      <c r="C769" t="s">
        <v>5365</v>
      </c>
      <c r="D769" t="s">
        <v>5248</v>
      </c>
      <c r="E769" t="s">
        <v>5366</v>
      </c>
      <c r="G769" t="s">
        <v>1980</v>
      </c>
      <c r="H769" t="s">
        <v>301</v>
      </c>
      <c r="J769" t="s">
        <v>605</v>
      </c>
      <c r="K769" t="s">
        <v>606</v>
      </c>
      <c r="M769" t="s">
        <v>607</v>
      </c>
      <c r="N769" t="s">
        <v>657</v>
      </c>
      <c r="O769" t="s">
        <v>669</v>
      </c>
      <c r="P769" t="s">
        <v>658</v>
      </c>
      <c r="Q769" t="s">
        <v>509</v>
      </c>
      <c r="R769" t="s">
        <v>611</v>
      </c>
      <c r="S769" t="s">
        <v>612</v>
      </c>
      <c r="T769" t="s">
        <v>613</v>
      </c>
      <c r="U769">
        <v>104800</v>
      </c>
      <c r="V769" t="s">
        <v>5367</v>
      </c>
      <c r="W769" t="s">
        <v>5368</v>
      </c>
      <c r="X769" t="s">
        <v>5252</v>
      </c>
      <c r="Y769" t="s">
        <v>5253</v>
      </c>
      <c r="AA769" t="s">
        <v>5254</v>
      </c>
      <c r="AB769" t="s">
        <v>5247</v>
      </c>
      <c r="AE769">
        <v>-35.732531209999998</v>
      </c>
      <c r="AF769">
        <v>174.05815293000001</v>
      </c>
      <c r="AG769" s="175">
        <v>30</v>
      </c>
      <c r="AH769" s="175">
        <v>12</v>
      </c>
      <c r="AI769" s="175">
        <v>2</v>
      </c>
      <c r="AJ769" s="175">
        <v>4</v>
      </c>
      <c r="AK769" s="175">
        <v>4</v>
      </c>
      <c r="AL769" s="175">
        <v>4</v>
      </c>
      <c r="AM769" s="175">
        <v>6</v>
      </c>
      <c r="AN769" s="175">
        <v>0</v>
      </c>
      <c r="AO769" s="175">
        <v>20</v>
      </c>
      <c r="AP769" s="175">
        <v>20</v>
      </c>
      <c r="AQ769" s="175">
        <v>3</v>
      </c>
      <c r="AR769" s="175">
        <v>0</v>
      </c>
      <c r="AS769" s="175">
        <v>0</v>
      </c>
      <c r="AT769" s="175">
        <v>0</v>
      </c>
    </row>
    <row r="770" spans="1:46">
      <c r="A770">
        <v>10406</v>
      </c>
      <c r="B770" t="s">
        <v>5369</v>
      </c>
      <c r="C770" t="s">
        <v>5370</v>
      </c>
      <c r="E770" t="s">
        <v>4918</v>
      </c>
      <c r="G770" t="s">
        <v>3744</v>
      </c>
      <c r="H770" t="s">
        <v>449</v>
      </c>
      <c r="J770" t="s">
        <v>4032</v>
      </c>
      <c r="K770" t="s">
        <v>606</v>
      </c>
      <c r="M770" t="s">
        <v>607</v>
      </c>
      <c r="N770" t="s">
        <v>4586</v>
      </c>
      <c r="O770" t="s">
        <v>609</v>
      </c>
      <c r="P770" t="s">
        <v>610</v>
      </c>
      <c r="Q770" t="s">
        <v>509</v>
      </c>
      <c r="R770" t="s">
        <v>611</v>
      </c>
      <c r="S770" t="s">
        <v>612</v>
      </c>
      <c r="T770" t="s">
        <v>613</v>
      </c>
      <c r="U770">
        <v>102801</v>
      </c>
      <c r="V770" t="s">
        <v>4919</v>
      </c>
      <c r="W770" t="s">
        <v>644</v>
      </c>
      <c r="X770" t="s">
        <v>4920</v>
      </c>
      <c r="Y770" t="s">
        <v>4921</v>
      </c>
      <c r="AA770" t="s">
        <v>4922</v>
      </c>
      <c r="AB770" t="s">
        <v>4917</v>
      </c>
      <c r="AE770">
        <v>-35.207914440000003</v>
      </c>
      <c r="AF770">
        <v>173.94725672000001</v>
      </c>
      <c r="AG770" s="175">
        <v>30</v>
      </c>
      <c r="AH770" s="175">
        <v>25</v>
      </c>
      <c r="AI770" s="175">
        <v>2</v>
      </c>
      <c r="AJ770" s="175">
        <v>10</v>
      </c>
      <c r="AK770" s="175">
        <v>14</v>
      </c>
      <c r="AL770" s="175">
        <v>7</v>
      </c>
      <c r="AM770" s="175">
        <v>0</v>
      </c>
      <c r="AN770" s="175">
        <v>0</v>
      </c>
      <c r="AO770" s="175">
        <v>33</v>
      </c>
      <c r="AP770" s="175">
        <v>30</v>
      </c>
      <c r="AQ770" s="175">
        <v>14</v>
      </c>
      <c r="AR770" s="175">
        <v>0</v>
      </c>
      <c r="AS770" s="175">
        <v>0</v>
      </c>
      <c r="AT770" s="175">
        <v>2</v>
      </c>
    </row>
    <row r="771" spans="1:46">
      <c r="A771">
        <v>10407</v>
      </c>
      <c r="B771" t="s">
        <v>5371</v>
      </c>
      <c r="C771" t="s">
        <v>5372</v>
      </c>
      <c r="D771" t="s">
        <v>5373</v>
      </c>
      <c r="E771" t="s">
        <v>5374</v>
      </c>
      <c r="G771" t="s">
        <v>5375</v>
      </c>
      <c r="H771" t="s">
        <v>449</v>
      </c>
      <c r="J771" t="s">
        <v>4032</v>
      </c>
      <c r="K771" t="s">
        <v>606</v>
      </c>
      <c r="M771" t="s">
        <v>607</v>
      </c>
      <c r="N771" t="s">
        <v>657</v>
      </c>
      <c r="O771" t="s">
        <v>650</v>
      </c>
      <c r="P771" t="s">
        <v>610</v>
      </c>
      <c r="Q771" t="s">
        <v>509</v>
      </c>
      <c r="R771" t="s">
        <v>611</v>
      </c>
      <c r="S771" t="s">
        <v>612</v>
      </c>
      <c r="T771" t="s">
        <v>613</v>
      </c>
      <c r="U771">
        <v>110100</v>
      </c>
      <c r="V771" t="s">
        <v>5375</v>
      </c>
      <c r="W771" t="s">
        <v>5376</v>
      </c>
      <c r="X771" t="s">
        <v>5377</v>
      </c>
      <c r="Y771" t="s">
        <v>5378</v>
      </c>
      <c r="Z771" t="s">
        <v>5379</v>
      </c>
      <c r="AA771" t="s">
        <v>5380</v>
      </c>
      <c r="AB771" t="s">
        <v>5372</v>
      </c>
      <c r="AC771">
        <v>99118</v>
      </c>
      <c r="AD771" t="s">
        <v>5381</v>
      </c>
      <c r="AE771">
        <v>-36.123714100000001</v>
      </c>
      <c r="AF771">
        <v>174.57375350000001</v>
      </c>
      <c r="AG771" s="175">
        <v>50</v>
      </c>
      <c r="AH771" s="175">
        <v>15</v>
      </c>
      <c r="AI771" s="175">
        <v>8</v>
      </c>
      <c r="AJ771" s="175">
        <v>11</v>
      </c>
      <c r="AK771" s="175">
        <v>20</v>
      </c>
      <c r="AL771" s="175">
        <v>12</v>
      </c>
      <c r="AM771" s="175">
        <v>11</v>
      </c>
      <c r="AN771" s="175">
        <v>3</v>
      </c>
      <c r="AO771" s="175">
        <v>65</v>
      </c>
      <c r="AP771" s="175">
        <v>45</v>
      </c>
      <c r="AQ771" s="175">
        <v>20</v>
      </c>
      <c r="AR771" s="175">
        <v>4</v>
      </c>
      <c r="AS771" s="175">
        <v>3</v>
      </c>
      <c r="AT771" s="175">
        <v>17</v>
      </c>
    </row>
    <row r="772" spans="1:46">
      <c r="A772">
        <v>10408</v>
      </c>
      <c r="B772" t="s">
        <v>5382</v>
      </c>
      <c r="C772" t="s">
        <v>5383</v>
      </c>
      <c r="D772" t="s">
        <v>5384</v>
      </c>
      <c r="E772" t="s">
        <v>5385</v>
      </c>
      <c r="F772" t="s">
        <v>618</v>
      </c>
      <c r="G772" t="s">
        <v>668</v>
      </c>
      <c r="H772" t="s">
        <v>449</v>
      </c>
      <c r="J772" t="s">
        <v>605</v>
      </c>
      <c r="K772" t="s">
        <v>606</v>
      </c>
      <c r="M772" t="s">
        <v>607</v>
      </c>
      <c r="N772" t="s">
        <v>657</v>
      </c>
      <c r="O772" t="s">
        <v>669</v>
      </c>
      <c r="P772" t="s">
        <v>670</v>
      </c>
      <c r="Q772" t="s">
        <v>509</v>
      </c>
      <c r="R772" t="s">
        <v>611</v>
      </c>
      <c r="S772" t="s">
        <v>671</v>
      </c>
      <c r="T772" t="s">
        <v>613</v>
      </c>
      <c r="U772">
        <v>105500</v>
      </c>
      <c r="V772" t="s">
        <v>4308</v>
      </c>
      <c r="W772" t="s">
        <v>673</v>
      </c>
      <c r="X772" t="s">
        <v>4503</v>
      </c>
      <c r="Y772" t="s">
        <v>4014</v>
      </c>
      <c r="Z772" t="s">
        <v>4015</v>
      </c>
      <c r="AA772" t="s">
        <v>4016</v>
      </c>
      <c r="AC772">
        <v>99182</v>
      </c>
      <c r="AD772" t="s">
        <v>674</v>
      </c>
      <c r="AE772">
        <v>-35.681757439999998</v>
      </c>
      <c r="AF772">
        <v>174.29928287000001</v>
      </c>
      <c r="AG772" s="175">
        <v>40</v>
      </c>
      <c r="AH772" s="175">
        <v>20</v>
      </c>
      <c r="AI772" s="175">
        <v>4</v>
      </c>
      <c r="AJ772" s="175">
        <v>10</v>
      </c>
      <c r="AK772" s="175">
        <v>12</v>
      </c>
      <c r="AL772" s="175">
        <v>5</v>
      </c>
      <c r="AM772" s="175">
        <v>12</v>
      </c>
      <c r="AN772" s="175">
        <v>0</v>
      </c>
      <c r="AO772" s="175">
        <v>43</v>
      </c>
      <c r="AP772" s="175">
        <v>26</v>
      </c>
      <c r="AQ772" s="175">
        <v>12</v>
      </c>
      <c r="AR772" s="175">
        <v>1</v>
      </c>
      <c r="AS772" s="175">
        <v>9</v>
      </c>
      <c r="AT772" s="175">
        <v>5</v>
      </c>
    </row>
    <row r="773" spans="1:46">
      <c r="A773">
        <v>10409</v>
      </c>
      <c r="B773" t="s">
        <v>5386</v>
      </c>
      <c r="C773" t="s">
        <v>5387</v>
      </c>
      <c r="D773" t="s">
        <v>5388</v>
      </c>
      <c r="E773" t="s">
        <v>5389</v>
      </c>
      <c r="G773" t="s">
        <v>3744</v>
      </c>
      <c r="H773" t="s">
        <v>449</v>
      </c>
      <c r="J773" t="s">
        <v>4032</v>
      </c>
      <c r="K773" t="s">
        <v>606</v>
      </c>
      <c r="M773" t="s">
        <v>607</v>
      </c>
      <c r="N773" t="s">
        <v>657</v>
      </c>
      <c r="O773" t="s">
        <v>609</v>
      </c>
      <c r="P773" t="s">
        <v>658</v>
      </c>
      <c r="Q773" t="s">
        <v>509</v>
      </c>
      <c r="R773" t="s">
        <v>611</v>
      </c>
      <c r="S773" t="s">
        <v>612</v>
      </c>
      <c r="T773" t="s">
        <v>613</v>
      </c>
      <c r="U773">
        <v>102600</v>
      </c>
      <c r="V773" t="s">
        <v>5390</v>
      </c>
      <c r="W773" t="s">
        <v>644</v>
      </c>
      <c r="X773" t="s">
        <v>5391</v>
      </c>
      <c r="Y773" t="s">
        <v>5392</v>
      </c>
      <c r="AA773" t="s">
        <v>4922</v>
      </c>
      <c r="AB773" t="s">
        <v>5393</v>
      </c>
      <c r="AE773">
        <v>-35.241658970000003</v>
      </c>
      <c r="AF773">
        <v>173.91576966</v>
      </c>
      <c r="AG773" s="175">
        <v>50</v>
      </c>
      <c r="AH773" s="175">
        <v>15</v>
      </c>
      <c r="AI773" s="175">
        <v>0</v>
      </c>
      <c r="AJ773" s="175">
        <v>3</v>
      </c>
      <c r="AK773" s="175">
        <v>8</v>
      </c>
      <c r="AL773" s="175">
        <v>11</v>
      </c>
      <c r="AM773" s="175">
        <v>23</v>
      </c>
      <c r="AN773" s="175">
        <v>0</v>
      </c>
      <c r="AO773" s="175">
        <v>45</v>
      </c>
      <c r="AP773" s="175">
        <v>41</v>
      </c>
      <c r="AQ773" s="175">
        <v>9</v>
      </c>
      <c r="AR773" s="175">
        <v>0</v>
      </c>
      <c r="AS773" s="175">
        <v>4</v>
      </c>
      <c r="AT773" s="175">
        <v>1</v>
      </c>
    </row>
    <row r="774" spans="1:46">
      <c r="A774">
        <v>10410</v>
      </c>
      <c r="B774" t="s">
        <v>5394</v>
      </c>
      <c r="C774" t="s">
        <v>5395</v>
      </c>
      <c r="D774" t="s">
        <v>5396</v>
      </c>
      <c r="E774" t="s">
        <v>5397</v>
      </c>
      <c r="F774" t="s">
        <v>4472</v>
      </c>
      <c r="G774" t="s">
        <v>668</v>
      </c>
      <c r="H774" t="s">
        <v>449</v>
      </c>
      <c r="J774" t="s">
        <v>4032</v>
      </c>
      <c r="K774" t="s">
        <v>606</v>
      </c>
      <c r="M774" t="s">
        <v>607</v>
      </c>
      <c r="N774" t="s">
        <v>657</v>
      </c>
      <c r="O774" t="s">
        <v>669</v>
      </c>
      <c r="P774" t="s">
        <v>670</v>
      </c>
      <c r="Q774" t="s">
        <v>509</v>
      </c>
      <c r="R774" t="s">
        <v>611</v>
      </c>
      <c r="S774" t="s">
        <v>671</v>
      </c>
      <c r="T774" t="s">
        <v>613</v>
      </c>
      <c r="U774">
        <v>107100</v>
      </c>
      <c r="V774" t="s">
        <v>4469</v>
      </c>
      <c r="W774" t="s">
        <v>673</v>
      </c>
      <c r="X774" t="s">
        <v>4283</v>
      </c>
      <c r="Y774" t="s">
        <v>4284</v>
      </c>
      <c r="Z774" t="s">
        <v>618</v>
      </c>
      <c r="AA774" t="s">
        <v>619</v>
      </c>
      <c r="AB774" t="s">
        <v>4285</v>
      </c>
      <c r="AC774">
        <v>99181</v>
      </c>
      <c r="AD774" t="s">
        <v>680</v>
      </c>
      <c r="AE774">
        <v>-35.717808980000001</v>
      </c>
      <c r="AF774">
        <v>174.32170574</v>
      </c>
      <c r="AG774" s="175">
        <v>26</v>
      </c>
      <c r="AH774" s="175">
        <v>0</v>
      </c>
      <c r="AI774" s="175">
        <v>0</v>
      </c>
      <c r="AJ774" s="175">
        <v>0</v>
      </c>
      <c r="AK774" s="175">
        <v>1</v>
      </c>
      <c r="AL774" s="175">
        <v>7</v>
      </c>
      <c r="AM774" s="175">
        <v>8</v>
      </c>
      <c r="AN774" s="175">
        <v>0</v>
      </c>
      <c r="AO774" s="175">
        <v>16</v>
      </c>
      <c r="AP774" s="175">
        <v>14</v>
      </c>
      <c r="AQ774" s="175">
        <v>5</v>
      </c>
      <c r="AR774" s="175">
        <v>1</v>
      </c>
      <c r="AS774" s="175">
        <v>1</v>
      </c>
      <c r="AT774" s="175">
        <v>1</v>
      </c>
    </row>
    <row r="775" spans="1:46">
      <c r="A775">
        <v>10415</v>
      </c>
      <c r="B775" t="s">
        <v>5398</v>
      </c>
      <c r="C775" t="s">
        <v>5399</v>
      </c>
      <c r="D775" t="s">
        <v>5400</v>
      </c>
      <c r="E775" t="s">
        <v>5401</v>
      </c>
      <c r="G775" t="s">
        <v>5402</v>
      </c>
      <c r="H775" t="s">
        <v>449</v>
      </c>
      <c r="J775" t="s">
        <v>4032</v>
      </c>
      <c r="K775" t="s">
        <v>606</v>
      </c>
      <c r="M775" t="s">
        <v>607</v>
      </c>
      <c r="N775" t="s">
        <v>657</v>
      </c>
      <c r="O775" t="s">
        <v>669</v>
      </c>
      <c r="P775" t="s">
        <v>658</v>
      </c>
      <c r="Q775" t="s">
        <v>509</v>
      </c>
      <c r="R775" t="s">
        <v>611</v>
      </c>
      <c r="S775" t="s">
        <v>671</v>
      </c>
      <c r="T775" t="s">
        <v>613</v>
      </c>
      <c r="U775">
        <v>106700</v>
      </c>
      <c r="V775" t="s">
        <v>5403</v>
      </c>
      <c r="W775" t="s">
        <v>4732</v>
      </c>
      <c r="X775" t="s">
        <v>5404</v>
      </c>
      <c r="Y775" t="s">
        <v>5405</v>
      </c>
      <c r="Z775" t="s">
        <v>668</v>
      </c>
      <c r="AA775" t="s">
        <v>4735</v>
      </c>
      <c r="AB775" t="s">
        <v>5399</v>
      </c>
      <c r="AE775">
        <v>-35.682784069999997</v>
      </c>
      <c r="AF775">
        <v>174.33802664000001</v>
      </c>
      <c r="AG775" s="175">
        <v>50</v>
      </c>
      <c r="AH775" s="175">
        <v>15</v>
      </c>
      <c r="AI775" s="175">
        <v>3</v>
      </c>
      <c r="AJ775" s="175">
        <v>5</v>
      </c>
      <c r="AK775" s="175">
        <v>15</v>
      </c>
      <c r="AL775" s="175">
        <v>9</v>
      </c>
      <c r="AM775" s="175">
        <v>10</v>
      </c>
      <c r="AN775" s="175">
        <v>0</v>
      </c>
      <c r="AO775" s="175">
        <v>42</v>
      </c>
      <c r="AP775" s="175">
        <v>32</v>
      </c>
      <c r="AQ775" s="175">
        <v>15</v>
      </c>
      <c r="AR775" s="175">
        <v>2</v>
      </c>
      <c r="AS775" s="175">
        <v>4</v>
      </c>
      <c r="AT775" s="175">
        <v>3</v>
      </c>
    </row>
    <row r="776" spans="1:46">
      <c r="A776">
        <v>10416</v>
      </c>
      <c r="B776" t="s">
        <v>5406</v>
      </c>
      <c r="C776" t="s">
        <v>5407</v>
      </c>
      <c r="D776" t="s">
        <v>5408</v>
      </c>
      <c r="E776" t="s">
        <v>5409</v>
      </c>
      <c r="F776" t="s">
        <v>618</v>
      </c>
      <c r="G776" t="s">
        <v>668</v>
      </c>
      <c r="H776" t="s">
        <v>449</v>
      </c>
      <c r="J776" t="s">
        <v>4032</v>
      </c>
      <c r="K776" t="s">
        <v>606</v>
      </c>
      <c r="M776" t="s">
        <v>607</v>
      </c>
      <c r="N776" t="s">
        <v>657</v>
      </c>
      <c r="O776" t="s">
        <v>669</v>
      </c>
      <c r="P776" t="s">
        <v>670</v>
      </c>
      <c r="Q776" t="s">
        <v>509</v>
      </c>
      <c r="R776" t="s">
        <v>611</v>
      </c>
      <c r="S776" t="s">
        <v>671</v>
      </c>
      <c r="T776" t="s">
        <v>613</v>
      </c>
      <c r="U776">
        <v>105800</v>
      </c>
      <c r="V776" t="s">
        <v>5410</v>
      </c>
      <c r="W776" t="s">
        <v>673</v>
      </c>
      <c r="X776" t="s">
        <v>5411</v>
      </c>
      <c r="Y776" t="s">
        <v>5409</v>
      </c>
      <c r="Z776" t="s">
        <v>618</v>
      </c>
      <c r="AA776" t="s">
        <v>4596</v>
      </c>
      <c r="AB776" t="s">
        <v>5412</v>
      </c>
      <c r="AE776">
        <v>-35.679719550000002</v>
      </c>
      <c r="AF776">
        <v>174.30882249999999</v>
      </c>
      <c r="AG776" s="175">
        <v>40</v>
      </c>
      <c r="AH776" s="175">
        <v>10</v>
      </c>
      <c r="AI776" s="175">
        <v>3</v>
      </c>
      <c r="AJ776" s="175">
        <v>3</v>
      </c>
      <c r="AK776" s="175">
        <v>10</v>
      </c>
      <c r="AL776" s="175">
        <v>8</v>
      </c>
      <c r="AM776" s="175">
        <v>16</v>
      </c>
      <c r="AN776" s="175">
        <v>4</v>
      </c>
      <c r="AO776" s="175">
        <v>44</v>
      </c>
      <c r="AP776" s="175">
        <v>27</v>
      </c>
      <c r="AQ776" s="175">
        <v>21</v>
      </c>
      <c r="AR776" s="175">
        <v>5</v>
      </c>
      <c r="AS776" s="175">
        <v>9</v>
      </c>
      <c r="AT776" s="175">
        <v>0</v>
      </c>
    </row>
    <row r="777" spans="1:46">
      <c r="A777">
        <v>10424</v>
      </c>
      <c r="B777" t="s">
        <v>5413</v>
      </c>
      <c r="C777" t="s">
        <v>5414</v>
      </c>
      <c r="E777" t="s">
        <v>5415</v>
      </c>
      <c r="G777" t="s">
        <v>5416</v>
      </c>
      <c r="H777" t="s">
        <v>449</v>
      </c>
      <c r="I777" t="s">
        <v>5017</v>
      </c>
      <c r="J777" t="s">
        <v>605</v>
      </c>
      <c r="K777" t="s">
        <v>606</v>
      </c>
      <c r="M777" t="s">
        <v>607</v>
      </c>
      <c r="N777" t="s">
        <v>625</v>
      </c>
      <c r="O777" t="s">
        <v>609</v>
      </c>
      <c r="P777" t="s">
        <v>610</v>
      </c>
      <c r="Q777" t="s">
        <v>509</v>
      </c>
      <c r="R777" t="s">
        <v>611</v>
      </c>
      <c r="S777" t="s">
        <v>612</v>
      </c>
      <c r="T777" t="s">
        <v>613</v>
      </c>
      <c r="U777">
        <v>104501</v>
      </c>
      <c r="V777" t="s">
        <v>5416</v>
      </c>
      <c r="W777" t="s">
        <v>644</v>
      </c>
      <c r="X777" t="s">
        <v>5019</v>
      </c>
      <c r="Y777" t="s">
        <v>5020</v>
      </c>
      <c r="Z777" t="s">
        <v>5021</v>
      </c>
      <c r="AA777" t="s">
        <v>5022</v>
      </c>
      <c r="AB777" t="s">
        <v>5023</v>
      </c>
      <c r="AE777">
        <v>-35.387633819999998</v>
      </c>
      <c r="AF777">
        <v>174.02082034</v>
      </c>
      <c r="AG777" s="175">
        <v>70</v>
      </c>
      <c r="AH777" s="175">
        <v>20</v>
      </c>
      <c r="AI777" s="175">
        <v>0</v>
      </c>
      <c r="AJ777" s="175">
        <v>0</v>
      </c>
      <c r="AK777" s="175">
        <v>5</v>
      </c>
      <c r="AL777" s="175">
        <v>9</v>
      </c>
      <c r="AM777" s="175">
        <v>17</v>
      </c>
      <c r="AN777" s="175">
        <v>2</v>
      </c>
      <c r="AO777" s="175">
        <v>33</v>
      </c>
      <c r="AP777" s="175">
        <v>12</v>
      </c>
      <c r="AQ777" s="175">
        <v>30</v>
      </c>
      <c r="AR777" s="175">
        <v>6</v>
      </c>
      <c r="AS777" s="175">
        <v>2</v>
      </c>
      <c r="AT777" s="175">
        <v>0</v>
      </c>
    </row>
    <row r="778" spans="1:46">
      <c r="A778">
        <v>10425</v>
      </c>
      <c r="B778" t="s">
        <v>5417</v>
      </c>
      <c r="C778" t="s">
        <v>5418</v>
      </c>
      <c r="D778" t="s">
        <v>5419</v>
      </c>
      <c r="E778" t="s">
        <v>5420</v>
      </c>
      <c r="G778" t="s">
        <v>5421</v>
      </c>
      <c r="H778" t="s">
        <v>449</v>
      </c>
      <c r="J778" t="s">
        <v>4032</v>
      </c>
      <c r="K778" t="s">
        <v>606</v>
      </c>
      <c r="M778" t="s">
        <v>607</v>
      </c>
      <c r="N778" t="s">
        <v>657</v>
      </c>
      <c r="O778" t="s">
        <v>669</v>
      </c>
      <c r="P778" t="s">
        <v>610</v>
      </c>
      <c r="Q778" t="s">
        <v>509</v>
      </c>
      <c r="R778" t="s">
        <v>611</v>
      </c>
      <c r="S778" t="s">
        <v>671</v>
      </c>
      <c r="T778" t="s">
        <v>613</v>
      </c>
      <c r="U778">
        <v>109003</v>
      </c>
      <c r="V778" t="s">
        <v>5422</v>
      </c>
      <c r="W778" t="s">
        <v>704</v>
      </c>
      <c r="X778" t="s">
        <v>5423</v>
      </c>
      <c r="Y778" t="s">
        <v>5424</v>
      </c>
      <c r="AA778" t="s">
        <v>5425</v>
      </c>
      <c r="AB778" t="s">
        <v>5418</v>
      </c>
      <c r="AC778">
        <v>99184</v>
      </c>
      <c r="AD778" t="s">
        <v>3813</v>
      </c>
      <c r="AE778">
        <v>-35.982843879999997</v>
      </c>
      <c r="AF778">
        <v>174.43585164000001</v>
      </c>
      <c r="AG778" s="175">
        <v>50</v>
      </c>
      <c r="AH778" s="175">
        <v>10</v>
      </c>
      <c r="AI778" s="175">
        <v>1</v>
      </c>
      <c r="AJ778" s="175">
        <v>4</v>
      </c>
      <c r="AK778" s="175">
        <v>18</v>
      </c>
      <c r="AL778" s="175">
        <v>17</v>
      </c>
      <c r="AM778" s="175">
        <v>32</v>
      </c>
      <c r="AN778" s="175">
        <v>0</v>
      </c>
      <c r="AO778" s="175">
        <v>72</v>
      </c>
      <c r="AP778" s="175">
        <v>53</v>
      </c>
      <c r="AQ778" s="175">
        <v>23</v>
      </c>
      <c r="AR778" s="175">
        <v>4</v>
      </c>
      <c r="AS778" s="175">
        <v>4</v>
      </c>
      <c r="AT778" s="175">
        <v>8</v>
      </c>
    </row>
    <row r="779" spans="1:46">
      <c r="A779">
        <v>10426</v>
      </c>
      <c r="B779" t="s">
        <v>5426</v>
      </c>
      <c r="C779" t="s">
        <v>5427</v>
      </c>
      <c r="D779" t="s">
        <v>5428</v>
      </c>
      <c r="E779" t="s">
        <v>5429</v>
      </c>
      <c r="G779" t="s">
        <v>697</v>
      </c>
      <c r="H779" t="s">
        <v>449</v>
      </c>
      <c r="J779" t="s">
        <v>4032</v>
      </c>
      <c r="K779" t="s">
        <v>606</v>
      </c>
      <c r="M779" t="s">
        <v>607</v>
      </c>
      <c r="N779" t="s">
        <v>643</v>
      </c>
      <c r="O779" t="s">
        <v>669</v>
      </c>
      <c r="P779" t="s">
        <v>610</v>
      </c>
      <c r="Q779" t="s">
        <v>509</v>
      </c>
      <c r="R779" t="s">
        <v>611</v>
      </c>
      <c r="S779" t="s">
        <v>671</v>
      </c>
      <c r="T779" t="s">
        <v>613</v>
      </c>
      <c r="U779">
        <v>105200</v>
      </c>
      <c r="V779" t="s">
        <v>697</v>
      </c>
      <c r="W779" t="s">
        <v>698</v>
      </c>
      <c r="X779" t="s">
        <v>4470</v>
      </c>
      <c r="Y779" t="s">
        <v>4471</v>
      </c>
      <c r="Z779" t="s">
        <v>4472</v>
      </c>
      <c r="AA779" t="s">
        <v>4596</v>
      </c>
      <c r="AB779" t="s">
        <v>4474</v>
      </c>
      <c r="AC779">
        <v>99182</v>
      </c>
      <c r="AD779" t="s">
        <v>674</v>
      </c>
      <c r="AE779">
        <v>-35.600758120000002</v>
      </c>
      <c r="AF779">
        <v>174.28519462</v>
      </c>
      <c r="AG779" s="175">
        <v>35</v>
      </c>
      <c r="AH779" s="175">
        <v>10</v>
      </c>
      <c r="AI779" s="175">
        <v>2</v>
      </c>
      <c r="AJ779" s="175">
        <v>7</v>
      </c>
      <c r="AK779" s="175">
        <v>5</v>
      </c>
      <c r="AL779" s="175">
        <v>13</v>
      </c>
      <c r="AM779" s="175">
        <v>12</v>
      </c>
      <c r="AN779" s="175">
        <v>0</v>
      </c>
      <c r="AO779" s="175">
        <v>39</v>
      </c>
      <c r="AP779" s="175">
        <v>28</v>
      </c>
      <c r="AQ779" s="175">
        <v>24</v>
      </c>
      <c r="AR779" s="175">
        <v>2</v>
      </c>
      <c r="AS779" s="175">
        <v>1</v>
      </c>
      <c r="AT779" s="175">
        <v>4</v>
      </c>
    </row>
    <row r="780" spans="1:46">
      <c r="A780">
        <v>10427</v>
      </c>
      <c r="B780" t="s">
        <v>5430</v>
      </c>
      <c r="C780" t="s">
        <v>5431</v>
      </c>
      <c r="D780" t="s">
        <v>5432</v>
      </c>
      <c r="E780" t="s">
        <v>5433</v>
      </c>
      <c r="F780" t="s">
        <v>5016</v>
      </c>
      <c r="G780" t="s">
        <v>668</v>
      </c>
      <c r="H780" t="s">
        <v>449</v>
      </c>
      <c r="J780" t="s">
        <v>4032</v>
      </c>
      <c r="K780" t="s">
        <v>606</v>
      </c>
      <c r="M780" t="s">
        <v>607</v>
      </c>
      <c r="N780" t="s">
        <v>643</v>
      </c>
      <c r="O780" t="s">
        <v>669</v>
      </c>
      <c r="P780" t="s">
        <v>670</v>
      </c>
      <c r="Q780" t="s">
        <v>509</v>
      </c>
      <c r="R780" t="s">
        <v>611</v>
      </c>
      <c r="S780" t="s">
        <v>671</v>
      </c>
      <c r="T780" t="s">
        <v>613</v>
      </c>
      <c r="U780">
        <v>106600</v>
      </c>
      <c r="V780" t="s">
        <v>5100</v>
      </c>
      <c r="W780" t="s">
        <v>673</v>
      </c>
      <c r="X780" t="s">
        <v>5434</v>
      </c>
      <c r="Y780" t="s">
        <v>5435</v>
      </c>
      <c r="AA780" t="s">
        <v>5436</v>
      </c>
      <c r="AE780">
        <v>-35.70997594</v>
      </c>
      <c r="AF780">
        <v>174.31606252</v>
      </c>
      <c r="AG780" s="175">
        <v>59</v>
      </c>
      <c r="AH780" s="175">
        <v>15</v>
      </c>
      <c r="AI780" s="175">
        <v>2</v>
      </c>
      <c r="AJ780" s="175">
        <v>8</v>
      </c>
      <c r="AK780" s="175">
        <v>12</v>
      </c>
      <c r="AL780" s="175">
        <v>23</v>
      </c>
      <c r="AM780" s="175">
        <v>16</v>
      </c>
      <c r="AN780" s="175">
        <v>0</v>
      </c>
      <c r="AO780" s="175">
        <v>61</v>
      </c>
      <c r="AP780" s="175">
        <v>36</v>
      </c>
      <c r="AQ780" s="175">
        <v>18</v>
      </c>
      <c r="AR780" s="175">
        <v>4</v>
      </c>
      <c r="AS780" s="175">
        <v>22</v>
      </c>
      <c r="AT780" s="175">
        <v>3</v>
      </c>
    </row>
    <row r="781" spans="1:46">
      <c r="A781">
        <v>10432</v>
      </c>
      <c r="B781" t="s">
        <v>5437</v>
      </c>
      <c r="C781" t="s">
        <v>5438</v>
      </c>
      <c r="D781" t="s">
        <v>5439</v>
      </c>
      <c r="E781" t="s">
        <v>5440</v>
      </c>
      <c r="G781" t="s">
        <v>668</v>
      </c>
      <c r="H781" t="s">
        <v>449</v>
      </c>
      <c r="J781" t="s">
        <v>4032</v>
      </c>
      <c r="K781" t="s">
        <v>606</v>
      </c>
      <c r="M781" t="s">
        <v>607</v>
      </c>
      <c r="N781" t="s">
        <v>625</v>
      </c>
      <c r="O781" t="s">
        <v>669</v>
      </c>
      <c r="P781" t="s">
        <v>670</v>
      </c>
      <c r="Q781" t="s">
        <v>509</v>
      </c>
      <c r="R781" t="s">
        <v>611</v>
      </c>
      <c r="S781" t="s">
        <v>671</v>
      </c>
      <c r="T781" t="s">
        <v>613</v>
      </c>
      <c r="U781">
        <v>107100</v>
      </c>
      <c r="V781" t="s">
        <v>4469</v>
      </c>
      <c r="W781" t="s">
        <v>673</v>
      </c>
      <c r="X781" t="s">
        <v>5441</v>
      </c>
      <c r="Y781" t="s">
        <v>5442</v>
      </c>
      <c r="Z781" t="s">
        <v>4472</v>
      </c>
      <c r="AA781" t="s">
        <v>5443</v>
      </c>
      <c r="AB781" t="s">
        <v>5438</v>
      </c>
      <c r="AC781">
        <v>99181</v>
      </c>
      <c r="AD781" t="s">
        <v>680</v>
      </c>
      <c r="AE781">
        <v>-35.718979019999999</v>
      </c>
      <c r="AF781">
        <v>174.32179060999999</v>
      </c>
      <c r="AG781" s="175">
        <v>30</v>
      </c>
      <c r="AH781" s="175">
        <v>0</v>
      </c>
      <c r="AI781" s="175">
        <v>0</v>
      </c>
      <c r="AJ781" s="175">
        <v>0</v>
      </c>
      <c r="AK781" s="175">
        <v>9</v>
      </c>
      <c r="AL781" s="175">
        <v>3</v>
      </c>
      <c r="AM781" s="175">
        <v>15</v>
      </c>
      <c r="AN781" s="175">
        <v>1</v>
      </c>
      <c r="AO781" s="175">
        <v>28</v>
      </c>
      <c r="AP781" s="175">
        <v>9</v>
      </c>
      <c r="AQ781" s="175">
        <v>19</v>
      </c>
      <c r="AR781" s="175">
        <v>3</v>
      </c>
      <c r="AS781" s="175">
        <v>8</v>
      </c>
      <c r="AT781" s="175">
        <v>0</v>
      </c>
    </row>
    <row r="782" spans="1:46">
      <c r="A782">
        <v>11004</v>
      </c>
      <c r="B782" t="s">
        <v>5444</v>
      </c>
      <c r="C782" t="s">
        <v>5445</v>
      </c>
      <c r="D782" t="s">
        <v>5446</v>
      </c>
      <c r="E782" t="s">
        <v>5447</v>
      </c>
      <c r="G782" t="s">
        <v>604</v>
      </c>
      <c r="H782" t="s">
        <v>449</v>
      </c>
      <c r="I782" t="s">
        <v>4023</v>
      </c>
      <c r="J782" t="s">
        <v>605</v>
      </c>
      <c r="K782" t="s">
        <v>606</v>
      </c>
      <c r="M782" t="s">
        <v>607</v>
      </c>
      <c r="N782" t="s">
        <v>812</v>
      </c>
      <c r="O782" t="s">
        <v>609</v>
      </c>
      <c r="P782" t="s">
        <v>610</v>
      </c>
      <c r="Q782" t="s">
        <v>509</v>
      </c>
      <c r="R782" t="s">
        <v>611</v>
      </c>
      <c r="S782" t="s">
        <v>612</v>
      </c>
      <c r="T782" t="s">
        <v>613</v>
      </c>
      <c r="U782">
        <v>100800</v>
      </c>
      <c r="V782" t="s">
        <v>614</v>
      </c>
      <c r="W782" t="s">
        <v>615</v>
      </c>
      <c r="X782" t="s">
        <v>5448</v>
      </c>
      <c r="Y782" t="s">
        <v>5447</v>
      </c>
      <c r="AA782" t="s">
        <v>5449</v>
      </c>
      <c r="AB782" t="s">
        <v>5445</v>
      </c>
      <c r="AE782">
        <v>-35.107244100000003</v>
      </c>
      <c r="AF782">
        <v>173.25826180000001</v>
      </c>
      <c r="AG782" s="175">
        <v>90</v>
      </c>
      <c r="AH782" s="175">
        <v>20</v>
      </c>
      <c r="AI782" s="175">
        <v>1</v>
      </c>
      <c r="AJ782" s="175">
        <v>13</v>
      </c>
      <c r="AK782" s="175">
        <v>15</v>
      </c>
      <c r="AL782" s="175">
        <v>19</v>
      </c>
      <c r="AM782" s="175">
        <v>24</v>
      </c>
      <c r="AN782" s="175">
        <v>2</v>
      </c>
      <c r="AO782" s="175">
        <v>74</v>
      </c>
      <c r="AP782" s="175">
        <v>40</v>
      </c>
      <c r="AQ782" s="175">
        <v>47</v>
      </c>
      <c r="AR782" s="175">
        <v>7</v>
      </c>
      <c r="AS782" s="175">
        <v>8</v>
      </c>
      <c r="AT782" s="175">
        <v>0</v>
      </c>
    </row>
    <row r="783" spans="1:46">
      <c r="A783">
        <v>11207</v>
      </c>
      <c r="B783" t="s">
        <v>5450</v>
      </c>
      <c r="C783" t="s">
        <v>5451</v>
      </c>
      <c r="D783" t="s">
        <v>5452</v>
      </c>
      <c r="E783" t="s">
        <v>5453</v>
      </c>
      <c r="G783" t="s">
        <v>3744</v>
      </c>
      <c r="H783" t="s">
        <v>449</v>
      </c>
      <c r="J783" t="s">
        <v>605</v>
      </c>
      <c r="K783" t="s">
        <v>606</v>
      </c>
      <c r="M783" t="s">
        <v>607</v>
      </c>
      <c r="N783" t="s">
        <v>657</v>
      </c>
      <c r="O783" t="s">
        <v>609</v>
      </c>
      <c r="P783" t="s">
        <v>610</v>
      </c>
      <c r="Q783" t="s">
        <v>509</v>
      </c>
      <c r="R783" t="s">
        <v>611</v>
      </c>
      <c r="S783" t="s">
        <v>612</v>
      </c>
      <c r="T783" t="s">
        <v>613</v>
      </c>
      <c r="U783">
        <v>103000</v>
      </c>
      <c r="V783" t="s">
        <v>3745</v>
      </c>
      <c r="W783" t="s">
        <v>644</v>
      </c>
      <c r="X783" t="s">
        <v>5454</v>
      </c>
      <c r="Y783" t="s">
        <v>5455</v>
      </c>
      <c r="AA783" t="s">
        <v>5456</v>
      </c>
      <c r="AB783" t="s">
        <v>5457</v>
      </c>
      <c r="AE783">
        <v>-35.233853830000001</v>
      </c>
      <c r="AF783">
        <v>173.951345</v>
      </c>
      <c r="AG783" s="175">
        <v>50</v>
      </c>
      <c r="AH783" s="175">
        <v>12</v>
      </c>
      <c r="AI783" s="175">
        <v>1</v>
      </c>
      <c r="AJ783" s="175">
        <v>11</v>
      </c>
      <c r="AK783" s="175">
        <v>8</v>
      </c>
      <c r="AL783" s="175">
        <v>12</v>
      </c>
      <c r="AM783" s="175">
        <v>15</v>
      </c>
      <c r="AN783" s="175">
        <v>2</v>
      </c>
      <c r="AO783" s="175">
        <v>49</v>
      </c>
      <c r="AP783" s="175">
        <v>41</v>
      </c>
      <c r="AQ783" s="175">
        <v>23</v>
      </c>
      <c r="AR783" s="175">
        <v>2</v>
      </c>
      <c r="AS783" s="175">
        <v>3</v>
      </c>
      <c r="AT783" s="175">
        <v>2</v>
      </c>
    </row>
    <row r="784" spans="1:46">
      <c r="A784">
        <v>11402</v>
      </c>
      <c r="B784" t="s">
        <v>5458</v>
      </c>
      <c r="C784" t="s">
        <v>5459</v>
      </c>
      <c r="D784" t="s">
        <v>5460</v>
      </c>
      <c r="E784" t="s">
        <v>5461</v>
      </c>
      <c r="G784" t="s">
        <v>649</v>
      </c>
      <c r="H784" t="s">
        <v>449</v>
      </c>
      <c r="J784" t="s">
        <v>605</v>
      </c>
      <c r="K784" t="s">
        <v>606</v>
      </c>
      <c r="M784" t="s">
        <v>607</v>
      </c>
      <c r="N784" t="s">
        <v>643</v>
      </c>
      <c r="O784" t="s">
        <v>650</v>
      </c>
      <c r="P784" t="s">
        <v>610</v>
      </c>
      <c r="Q784" t="s">
        <v>509</v>
      </c>
      <c r="R784" t="s">
        <v>611</v>
      </c>
      <c r="S784" t="s">
        <v>612</v>
      </c>
      <c r="T784" t="s">
        <v>613</v>
      </c>
      <c r="U784">
        <v>109301</v>
      </c>
      <c r="V784" t="s">
        <v>649</v>
      </c>
      <c r="W784" t="s">
        <v>651</v>
      </c>
      <c r="X784" t="s">
        <v>5462</v>
      </c>
      <c r="Y784" t="s">
        <v>5461</v>
      </c>
      <c r="Z784" t="s">
        <v>649</v>
      </c>
      <c r="AA784" t="s">
        <v>5463</v>
      </c>
      <c r="AB784" t="s">
        <v>5464</v>
      </c>
      <c r="AE784">
        <v>-35.937639740000002</v>
      </c>
      <c r="AF784">
        <v>173.86760290000001</v>
      </c>
      <c r="AG784" s="175">
        <v>50</v>
      </c>
      <c r="AH784" s="175">
        <v>20</v>
      </c>
      <c r="AI784" s="175">
        <v>0</v>
      </c>
      <c r="AJ784" s="175">
        <v>6</v>
      </c>
      <c r="AK784" s="175">
        <v>12</v>
      </c>
      <c r="AL784" s="175">
        <v>19</v>
      </c>
      <c r="AM784" s="175">
        <v>10</v>
      </c>
      <c r="AN784" s="175">
        <v>0</v>
      </c>
      <c r="AO784" s="175">
        <v>47</v>
      </c>
      <c r="AP784" s="175">
        <v>28</v>
      </c>
      <c r="AQ784" s="175">
        <v>32</v>
      </c>
      <c r="AR784" s="175">
        <v>13</v>
      </c>
      <c r="AS784" s="175">
        <v>1</v>
      </c>
      <c r="AT784" s="175">
        <v>3</v>
      </c>
    </row>
    <row r="785" spans="1:46">
      <c r="A785">
        <v>11503</v>
      </c>
      <c r="B785" t="s">
        <v>5465</v>
      </c>
      <c r="C785" t="s">
        <v>5466</v>
      </c>
      <c r="D785" t="s">
        <v>5467</v>
      </c>
      <c r="E785" t="s">
        <v>5468</v>
      </c>
      <c r="G785" t="s">
        <v>668</v>
      </c>
      <c r="H785" t="s">
        <v>449</v>
      </c>
      <c r="J785" t="s">
        <v>605</v>
      </c>
      <c r="K785" t="s">
        <v>606</v>
      </c>
      <c r="M785" t="s">
        <v>607</v>
      </c>
      <c r="N785" t="s">
        <v>657</v>
      </c>
      <c r="O785" t="s">
        <v>669</v>
      </c>
      <c r="P785" t="s">
        <v>670</v>
      </c>
      <c r="Q785" t="s">
        <v>509</v>
      </c>
      <c r="R785" t="s">
        <v>611</v>
      </c>
      <c r="S785" t="s">
        <v>671</v>
      </c>
      <c r="T785" t="s">
        <v>613</v>
      </c>
      <c r="U785">
        <v>107200</v>
      </c>
      <c r="V785" t="s">
        <v>714</v>
      </c>
      <c r="W785" t="s">
        <v>673</v>
      </c>
      <c r="X785" t="s">
        <v>5469</v>
      </c>
      <c r="Y785" t="s">
        <v>5468</v>
      </c>
      <c r="AA785" t="s">
        <v>4596</v>
      </c>
      <c r="AC785">
        <v>99181</v>
      </c>
      <c r="AD785" t="s">
        <v>680</v>
      </c>
      <c r="AE785">
        <v>-35.727943140000001</v>
      </c>
      <c r="AF785">
        <v>174.33498899</v>
      </c>
      <c r="AG785" s="175">
        <v>35</v>
      </c>
      <c r="AH785" s="175">
        <v>10</v>
      </c>
      <c r="AI785" s="175">
        <v>0</v>
      </c>
      <c r="AJ785" s="175">
        <v>7</v>
      </c>
      <c r="AK785" s="175">
        <v>14</v>
      </c>
      <c r="AL785" s="175">
        <v>9</v>
      </c>
      <c r="AM785" s="175">
        <v>6</v>
      </c>
      <c r="AN785" s="175">
        <v>0</v>
      </c>
      <c r="AO785" s="175">
        <v>36</v>
      </c>
      <c r="AP785" s="175">
        <v>25</v>
      </c>
      <c r="AQ785" s="175">
        <v>20</v>
      </c>
      <c r="AR785" s="175">
        <v>7</v>
      </c>
      <c r="AS785" s="175">
        <v>0</v>
      </c>
      <c r="AT785" s="175">
        <v>0</v>
      </c>
    </row>
    <row r="786" spans="1:46">
      <c r="A786">
        <v>11511</v>
      </c>
      <c r="B786" t="s">
        <v>5470</v>
      </c>
      <c r="C786" t="s">
        <v>5471</v>
      </c>
      <c r="D786" t="s">
        <v>5472</v>
      </c>
      <c r="E786" t="s">
        <v>5473</v>
      </c>
      <c r="F786" t="s">
        <v>678</v>
      </c>
      <c r="G786" t="s">
        <v>668</v>
      </c>
      <c r="H786" t="s">
        <v>449</v>
      </c>
      <c r="J786" t="s">
        <v>605</v>
      </c>
      <c r="K786" t="s">
        <v>606</v>
      </c>
      <c r="M786" t="s">
        <v>607</v>
      </c>
      <c r="N786" t="s">
        <v>657</v>
      </c>
      <c r="O786" t="s">
        <v>669</v>
      </c>
      <c r="P786" t="s">
        <v>670</v>
      </c>
      <c r="Q786" t="s">
        <v>509</v>
      </c>
      <c r="R786" t="s">
        <v>611</v>
      </c>
      <c r="S786" t="s">
        <v>671</v>
      </c>
      <c r="T786" t="s">
        <v>613</v>
      </c>
      <c r="U786">
        <v>107000</v>
      </c>
      <c r="V786" t="s">
        <v>679</v>
      </c>
      <c r="W786" t="s">
        <v>673</v>
      </c>
      <c r="X786" t="s">
        <v>5474</v>
      </c>
      <c r="Y786" t="s">
        <v>5475</v>
      </c>
      <c r="AA786" t="s">
        <v>5362</v>
      </c>
      <c r="AB786" t="s">
        <v>5471</v>
      </c>
      <c r="AE786">
        <v>-35.729440959999998</v>
      </c>
      <c r="AF786">
        <v>174.30686180999999</v>
      </c>
      <c r="AG786" s="175">
        <v>40</v>
      </c>
      <c r="AH786" s="175">
        <v>16</v>
      </c>
      <c r="AI786" s="175">
        <v>3</v>
      </c>
      <c r="AJ786" s="175">
        <v>12</v>
      </c>
      <c r="AK786" s="175">
        <v>10</v>
      </c>
      <c r="AL786" s="175">
        <v>13</v>
      </c>
      <c r="AM786" s="175">
        <v>8</v>
      </c>
      <c r="AN786" s="175">
        <v>1</v>
      </c>
      <c r="AO786" s="175">
        <v>47</v>
      </c>
      <c r="AP786" s="175">
        <v>37</v>
      </c>
      <c r="AQ786" s="175">
        <v>17</v>
      </c>
      <c r="AR786" s="175">
        <v>6</v>
      </c>
      <c r="AS786" s="175">
        <v>8</v>
      </c>
      <c r="AT786" s="175">
        <v>0</v>
      </c>
    </row>
    <row r="787" spans="1:46">
      <c r="A787">
        <v>11512</v>
      </c>
      <c r="B787" t="s">
        <v>5476</v>
      </c>
      <c r="C787" t="s">
        <v>5477</v>
      </c>
      <c r="D787" t="s">
        <v>5478</v>
      </c>
      <c r="E787" t="s">
        <v>5479</v>
      </c>
      <c r="F787" t="s">
        <v>5099</v>
      </c>
      <c r="G787" t="s">
        <v>668</v>
      </c>
      <c r="H787" t="s">
        <v>449</v>
      </c>
      <c r="J787" t="s">
        <v>605</v>
      </c>
      <c r="K787" t="s">
        <v>606</v>
      </c>
      <c r="M787" t="s">
        <v>607</v>
      </c>
      <c r="N787" t="s">
        <v>657</v>
      </c>
      <c r="O787" t="s">
        <v>669</v>
      </c>
      <c r="P787" t="s">
        <v>670</v>
      </c>
      <c r="Q787" t="s">
        <v>509</v>
      </c>
      <c r="R787" t="s">
        <v>611</v>
      </c>
      <c r="S787" t="s">
        <v>671</v>
      </c>
      <c r="T787" t="s">
        <v>613</v>
      </c>
      <c r="U787">
        <v>106600</v>
      </c>
      <c r="V787" t="s">
        <v>5100</v>
      </c>
      <c r="W787" t="s">
        <v>673</v>
      </c>
      <c r="X787" t="s">
        <v>5480</v>
      </c>
      <c r="Y787" t="s">
        <v>5481</v>
      </c>
      <c r="Z787" t="s">
        <v>5482</v>
      </c>
      <c r="AA787" t="s">
        <v>5483</v>
      </c>
      <c r="AC787">
        <v>99180</v>
      </c>
      <c r="AD787" t="s">
        <v>4957</v>
      </c>
      <c r="AE787">
        <v>-35.705419669999998</v>
      </c>
      <c r="AF787">
        <v>174.31888466999999</v>
      </c>
      <c r="AG787" s="175">
        <v>70</v>
      </c>
      <c r="AH787" s="175">
        <v>20</v>
      </c>
      <c r="AI787" s="175">
        <v>6</v>
      </c>
      <c r="AJ787" s="175">
        <v>14</v>
      </c>
      <c r="AK787" s="175">
        <v>15</v>
      </c>
      <c r="AL787" s="175">
        <v>23</v>
      </c>
      <c r="AM787" s="175">
        <v>21</v>
      </c>
      <c r="AN787" s="175">
        <v>1</v>
      </c>
      <c r="AO787" s="175">
        <v>80</v>
      </c>
      <c r="AP787" s="175">
        <v>61</v>
      </c>
      <c r="AQ787" s="175">
        <v>34</v>
      </c>
      <c r="AR787" s="175">
        <v>6</v>
      </c>
      <c r="AS787" s="175">
        <v>6</v>
      </c>
      <c r="AT787" s="175">
        <v>7</v>
      </c>
    </row>
    <row r="788" spans="1:46">
      <c r="A788">
        <v>11515</v>
      </c>
      <c r="B788" t="s">
        <v>5484</v>
      </c>
      <c r="C788" t="s">
        <v>5485</v>
      </c>
      <c r="D788" t="s">
        <v>5486</v>
      </c>
      <c r="E788" t="s">
        <v>5487</v>
      </c>
      <c r="G788" t="s">
        <v>668</v>
      </c>
      <c r="H788" t="s">
        <v>449</v>
      </c>
      <c r="J788" t="s">
        <v>4032</v>
      </c>
      <c r="K788" t="s">
        <v>606</v>
      </c>
      <c r="M788" t="s">
        <v>607</v>
      </c>
      <c r="N788" t="s">
        <v>657</v>
      </c>
      <c r="O788" t="s">
        <v>669</v>
      </c>
      <c r="P788" t="s">
        <v>670</v>
      </c>
      <c r="Q788" t="s">
        <v>509</v>
      </c>
      <c r="R788" t="s">
        <v>611</v>
      </c>
      <c r="S788" t="s">
        <v>671</v>
      </c>
      <c r="T788" t="s">
        <v>613</v>
      </c>
      <c r="U788">
        <v>106902</v>
      </c>
      <c r="V788" t="s">
        <v>4486</v>
      </c>
      <c r="W788" t="s">
        <v>673</v>
      </c>
      <c r="X788" t="s">
        <v>5488</v>
      </c>
      <c r="Y788" t="s">
        <v>5487</v>
      </c>
      <c r="Z788" t="s">
        <v>4486</v>
      </c>
      <c r="AA788" t="s">
        <v>4473</v>
      </c>
      <c r="AB788" t="s">
        <v>5489</v>
      </c>
      <c r="AC788">
        <v>99181</v>
      </c>
      <c r="AD788" t="s">
        <v>680</v>
      </c>
      <c r="AE788">
        <v>-35.733789190000003</v>
      </c>
      <c r="AF788">
        <v>174.3016164</v>
      </c>
      <c r="AG788" s="175">
        <v>60</v>
      </c>
      <c r="AH788" s="175">
        <v>12</v>
      </c>
      <c r="AI788" s="175">
        <v>1</v>
      </c>
      <c r="AJ788" s="175">
        <v>7</v>
      </c>
      <c r="AK788" s="175">
        <v>12</v>
      </c>
      <c r="AL788" s="175">
        <v>15</v>
      </c>
      <c r="AM788" s="175">
        <v>27</v>
      </c>
      <c r="AN788" s="175">
        <v>0</v>
      </c>
      <c r="AO788" s="175">
        <v>62</v>
      </c>
      <c r="AP788" s="175">
        <v>31</v>
      </c>
      <c r="AQ788" s="175">
        <v>22</v>
      </c>
      <c r="AR788" s="175">
        <v>2</v>
      </c>
      <c r="AS788" s="175">
        <v>15</v>
      </c>
      <c r="AT788" s="175">
        <v>0</v>
      </c>
    </row>
    <row r="789" spans="1:46">
      <c r="A789">
        <v>11524</v>
      </c>
      <c r="B789" t="s">
        <v>5490</v>
      </c>
      <c r="C789" t="s">
        <v>5491</v>
      </c>
      <c r="E789" t="s">
        <v>5492</v>
      </c>
      <c r="G789" t="s">
        <v>636</v>
      </c>
      <c r="H789" t="s">
        <v>347</v>
      </c>
      <c r="J789" t="s">
        <v>605</v>
      </c>
      <c r="K789" t="s">
        <v>606</v>
      </c>
      <c r="L789" t="s">
        <v>4273</v>
      </c>
      <c r="M789" t="s">
        <v>607</v>
      </c>
      <c r="N789" t="s">
        <v>812</v>
      </c>
      <c r="O789" t="s">
        <v>609</v>
      </c>
      <c r="P789" t="s">
        <v>658</v>
      </c>
      <c r="Q789" t="s">
        <v>509</v>
      </c>
      <c r="R789" t="s">
        <v>611</v>
      </c>
      <c r="S789" t="s">
        <v>612</v>
      </c>
      <c r="T789" t="s">
        <v>613</v>
      </c>
      <c r="U789">
        <v>102700</v>
      </c>
      <c r="V789" t="s">
        <v>5493</v>
      </c>
      <c r="W789" t="s">
        <v>637</v>
      </c>
      <c r="X789" t="s">
        <v>4520</v>
      </c>
      <c r="Y789" t="s">
        <v>4276</v>
      </c>
      <c r="Z789" t="s">
        <v>4277</v>
      </c>
      <c r="AA789" t="s">
        <v>4278</v>
      </c>
      <c r="AB789" t="s">
        <v>4521</v>
      </c>
      <c r="AE789">
        <v>-35.521031790000002</v>
      </c>
      <c r="AF789">
        <v>173.74598929999999</v>
      </c>
      <c r="AG789" s="175">
        <v>23</v>
      </c>
      <c r="AH789" s="175">
        <v>6</v>
      </c>
      <c r="AI789" s="175">
        <v>0</v>
      </c>
      <c r="AJ789" s="175">
        <v>1</v>
      </c>
      <c r="AK789" s="175">
        <v>6</v>
      </c>
      <c r="AL789" s="175">
        <v>1</v>
      </c>
      <c r="AM789" s="175">
        <v>2</v>
      </c>
      <c r="AN789" s="175">
        <v>0</v>
      </c>
      <c r="AO789" s="175">
        <v>10</v>
      </c>
      <c r="AP789" s="175">
        <v>0</v>
      </c>
      <c r="AQ789" s="175">
        <v>10</v>
      </c>
      <c r="AR789" s="175">
        <v>0</v>
      </c>
      <c r="AS789" s="175">
        <v>0</v>
      </c>
      <c r="AT789" s="175">
        <v>0</v>
      </c>
    </row>
    <row r="790" spans="1:46">
      <c r="A790">
        <v>11525</v>
      </c>
      <c r="B790" t="s">
        <v>5494</v>
      </c>
      <c r="C790" t="s">
        <v>5495</v>
      </c>
      <c r="E790" t="s">
        <v>5496</v>
      </c>
      <c r="F790" t="s">
        <v>709</v>
      </c>
      <c r="G790" t="s">
        <v>668</v>
      </c>
      <c r="H790" t="s">
        <v>347</v>
      </c>
      <c r="J790" t="s">
        <v>605</v>
      </c>
      <c r="K790" t="s">
        <v>606</v>
      </c>
      <c r="L790" t="s">
        <v>4273</v>
      </c>
      <c r="M790" t="s">
        <v>607</v>
      </c>
      <c r="N790" t="s">
        <v>812</v>
      </c>
      <c r="O790" t="s">
        <v>669</v>
      </c>
      <c r="P790" t="s">
        <v>670</v>
      </c>
      <c r="Q790" t="s">
        <v>509</v>
      </c>
      <c r="R790" t="s">
        <v>611</v>
      </c>
      <c r="S790" t="s">
        <v>671</v>
      </c>
      <c r="T790" t="s">
        <v>613</v>
      </c>
      <c r="U790">
        <v>107401</v>
      </c>
      <c r="V790" t="s">
        <v>5359</v>
      </c>
      <c r="W790" t="s">
        <v>673</v>
      </c>
      <c r="X790" t="s">
        <v>4520</v>
      </c>
      <c r="Y790" t="s">
        <v>4276</v>
      </c>
      <c r="Z790" t="s">
        <v>4277</v>
      </c>
      <c r="AA790" t="s">
        <v>4278</v>
      </c>
      <c r="AB790" t="s">
        <v>4521</v>
      </c>
      <c r="AE790">
        <v>-35.740447080000003</v>
      </c>
      <c r="AF790">
        <v>174.3039081</v>
      </c>
      <c r="AG790" s="175">
        <v>52</v>
      </c>
      <c r="AH790" s="175">
        <v>16</v>
      </c>
      <c r="AI790" s="175">
        <v>3</v>
      </c>
      <c r="AJ790" s="175">
        <v>8</v>
      </c>
      <c r="AK790" s="175">
        <v>11</v>
      </c>
      <c r="AL790" s="175">
        <v>15</v>
      </c>
      <c r="AM790" s="175">
        <v>9</v>
      </c>
      <c r="AN790" s="175">
        <v>0</v>
      </c>
      <c r="AO790" s="175">
        <v>46</v>
      </c>
      <c r="AP790" s="175">
        <v>0</v>
      </c>
      <c r="AQ790" s="175">
        <v>44</v>
      </c>
      <c r="AR790" s="175">
        <v>1</v>
      </c>
      <c r="AS790" s="175">
        <v>0</v>
      </c>
      <c r="AT790" s="175">
        <v>1</v>
      </c>
    </row>
    <row r="791" spans="1:46">
      <c r="A791">
        <v>11529</v>
      </c>
      <c r="B791" t="s">
        <v>5497</v>
      </c>
      <c r="C791" t="s">
        <v>5498</v>
      </c>
      <c r="D791" t="s">
        <v>5499</v>
      </c>
      <c r="E791" t="s">
        <v>5500</v>
      </c>
      <c r="G791" t="s">
        <v>5501</v>
      </c>
      <c r="H791" t="s">
        <v>449</v>
      </c>
      <c r="J791" t="s">
        <v>605</v>
      </c>
      <c r="K791" t="s">
        <v>606</v>
      </c>
      <c r="M791" t="s">
        <v>607</v>
      </c>
      <c r="N791" t="s">
        <v>608</v>
      </c>
      <c r="O791" t="s">
        <v>609</v>
      </c>
      <c r="P791" t="s">
        <v>658</v>
      </c>
      <c r="Q791" t="s">
        <v>509</v>
      </c>
      <c r="R791" t="s">
        <v>611</v>
      </c>
      <c r="S791" t="s">
        <v>612</v>
      </c>
      <c r="T791" t="s">
        <v>613</v>
      </c>
      <c r="U791">
        <v>101500</v>
      </c>
      <c r="V791" t="s">
        <v>5502</v>
      </c>
      <c r="W791" t="s">
        <v>644</v>
      </c>
      <c r="X791" t="s">
        <v>5503</v>
      </c>
      <c r="Y791" t="s">
        <v>5504</v>
      </c>
      <c r="AA791" t="s">
        <v>4749</v>
      </c>
      <c r="AB791" t="s">
        <v>5505</v>
      </c>
      <c r="AC791">
        <v>99197</v>
      </c>
      <c r="AD791" t="s">
        <v>5506</v>
      </c>
      <c r="AE791">
        <v>-35.03905383</v>
      </c>
      <c r="AF791">
        <v>173.71243480000001</v>
      </c>
      <c r="AG791" s="175">
        <v>27</v>
      </c>
      <c r="AH791" s="175">
        <v>5</v>
      </c>
      <c r="AI791" s="175">
        <v>0</v>
      </c>
      <c r="AJ791" s="175">
        <v>5</v>
      </c>
      <c r="AK791" s="175">
        <v>3</v>
      </c>
      <c r="AL791" s="175">
        <v>9</v>
      </c>
      <c r="AM791" s="175">
        <v>10</v>
      </c>
      <c r="AN791" s="175">
        <v>2</v>
      </c>
      <c r="AO791" s="175">
        <v>29</v>
      </c>
      <c r="AP791" s="175">
        <v>22</v>
      </c>
      <c r="AQ791" s="175">
        <v>17</v>
      </c>
      <c r="AR791" s="175">
        <v>0</v>
      </c>
      <c r="AS791" s="175">
        <v>0</v>
      </c>
      <c r="AT791" s="175">
        <v>0</v>
      </c>
    </row>
    <row r="792" spans="1:46">
      <c r="A792">
        <v>11530</v>
      </c>
      <c r="B792" t="s">
        <v>5507</v>
      </c>
      <c r="C792" t="s">
        <v>5508</v>
      </c>
      <c r="D792" t="s">
        <v>5509</v>
      </c>
      <c r="E792" t="s">
        <v>5510</v>
      </c>
      <c r="G792" t="s">
        <v>5511</v>
      </c>
      <c r="H792" t="s">
        <v>449</v>
      </c>
      <c r="J792" t="s">
        <v>605</v>
      </c>
      <c r="K792" t="s">
        <v>606</v>
      </c>
      <c r="M792" t="s">
        <v>607</v>
      </c>
      <c r="N792" t="s">
        <v>643</v>
      </c>
      <c r="O792" t="s">
        <v>609</v>
      </c>
      <c r="P792" t="s">
        <v>658</v>
      </c>
      <c r="Q792" t="s">
        <v>509</v>
      </c>
      <c r="R792" t="s">
        <v>611</v>
      </c>
      <c r="S792" t="s">
        <v>612</v>
      </c>
      <c r="T792" t="s">
        <v>613</v>
      </c>
      <c r="U792">
        <v>100500</v>
      </c>
      <c r="V792" t="s">
        <v>5512</v>
      </c>
      <c r="W792" t="s">
        <v>615</v>
      </c>
      <c r="X792" t="s">
        <v>5513</v>
      </c>
      <c r="Y792" t="s">
        <v>5514</v>
      </c>
      <c r="AA792" t="s">
        <v>5515</v>
      </c>
      <c r="AB792" t="s">
        <v>5508</v>
      </c>
      <c r="AE792">
        <v>-35.172135240000003</v>
      </c>
      <c r="AF792">
        <v>173.15435644999999</v>
      </c>
      <c r="AG792" s="175">
        <v>60</v>
      </c>
      <c r="AH792" s="175">
        <v>20</v>
      </c>
      <c r="AI792" s="175">
        <v>2</v>
      </c>
      <c r="AJ792" s="175">
        <v>9</v>
      </c>
      <c r="AK792" s="175">
        <v>13</v>
      </c>
      <c r="AL792" s="175">
        <v>15</v>
      </c>
      <c r="AM792" s="175">
        <v>16</v>
      </c>
      <c r="AN792" s="175">
        <v>0</v>
      </c>
      <c r="AO792" s="175">
        <v>55</v>
      </c>
      <c r="AP792" s="175">
        <v>23</v>
      </c>
      <c r="AQ792" s="175">
        <v>46</v>
      </c>
      <c r="AR792" s="175">
        <v>4</v>
      </c>
      <c r="AS792" s="175">
        <v>0</v>
      </c>
      <c r="AT792" s="175">
        <v>1</v>
      </c>
    </row>
    <row r="793" spans="1:46">
      <c r="A793">
        <v>11531</v>
      </c>
      <c r="B793" t="s">
        <v>5516</v>
      </c>
      <c r="C793" t="s">
        <v>5517</v>
      </c>
      <c r="E793" t="s">
        <v>5518</v>
      </c>
      <c r="F793" t="s">
        <v>692</v>
      </c>
      <c r="G793" t="s">
        <v>668</v>
      </c>
      <c r="H793" t="s">
        <v>347</v>
      </c>
      <c r="J793" t="s">
        <v>605</v>
      </c>
      <c r="K793" t="s">
        <v>606</v>
      </c>
      <c r="L793" t="s">
        <v>4273</v>
      </c>
      <c r="M793" t="s">
        <v>607</v>
      </c>
      <c r="N793" t="s">
        <v>812</v>
      </c>
      <c r="O793" t="s">
        <v>669</v>
      </c>
      <c r="P793" t="s">
        <v>670</v>
      </c>
      <c r="Q793" t="s">
        <v>509</v>
      </c>
      <c r="R793" t="s">
        <v>611</v>
      </c>
      <c r="S793" t="s">
        <v>671</v>
      </c>
      <c r="T793" t="s">
        <v>613</v>
      </c>
      <c r="U793">
        <v>108300</v>
      </c>
      <c r="V793" t="s">
        <v>692</v>
      </c>
      <c r="W793" t="s">
        <v>673</v>
      </c>
      <c r="X793" t="s">
        <v>4520</v>
      </c>
      <c r="Y793" t="s">
        <v>4276</v>
      </c>
      <c r="Z793" t="s">
        <v>4277</v>
      </c>
      <c r="AA793" t="s">
        <v>4278</v>
      </c>
      <c r="AB793" t="s">
        <v>4521</v>
      </c>
      <c r="AE793">
        <v>-35.763838079999999</v>
      </c>
      <c r="AF793">
        <v>174.36295957999999</v>
      </c>
      <c r="AG793" s="175">
        <v>27</v>
      </c>
      <c r="AH793" s="175">
        <v>8</v>
      </c>
      <c r="AI793" s="175">
        <v>2</v>
      </c>
      <c r="AJ793" s="175">
        <v>3</v>
      </c>
      <c r="AK793" s="175">
        <v>5</v>
      </c>
      <c r="AL793" s="175">
        <v>5</v>
      </c>
      <c r="AM793" s="175">
        <v>3</v>
      </c>
      <c r="AN793" s="175">
        <v>0</v>
      </c>
      <c r="AO793" s="175">
        <v>18</v>
      </c>
      <c r="AP793" s="175">
        <v>0</v>
      </c>
      <c r="AQ793" s="175">
        <v>18</v>
      </c>
      <c r="AR793" s="175">
        <v>0</v>
      </c>
      <c r="AS793" s="175">
        <v>0</v>
      </c>
      <c r="AT793" s="175">
        <v>0</v>
      </c>
    </row>
    <row r="794" spans="1:46">
      <c r="A794">
        <v>11532</v>
      </c>
      <c r="B794" t="s">
        <v>5519</v>
      </c>
      <c r="C794" t="s">
        <v>5520</v>
      </c>
      <c r="E794" t="s">
        <v>5521</v>
      </c>
      <c r="G794" t="s">
        <v>5416</v>
      </c>
      <c r="H794" t="s">
        <v>347</v>
      </c>
      <c r="J794" t="s">
        <v>605</v>
      </c>
      <c r="K794" t="s">
        <v>606</v>
      </c>
      <c r="L794" t="s">
        <v>4273</v>
      </c>
      <c r="M794" t="s">
        <v>607</v>
      </c>
      <c r="N794" t="s">
        <v>812</v>
      </c>
      <c r="O794" t="s">
        <v>609</v>
      </c>
      <c r="P794" t="s">
        <v>610</v>
      </c>
      <c r="Q794" t="s">
        <v>509</v>
      </c>
      <c r="R794" t="s">
        <v>611</v>
      </c>
      <c r="S794" t="s">
        <v>612</v>
      </c>
      <c r="T794" t="s">
        <v>613</v>
      </c>
      <c r="U794">
        <v>104501</v>
      </c>
      <c r="V794" t="s">
        <v>5416</v>
      </c>
      <c r="W794" t="s">
        <v>644</v>
      </c>
      <c r="X794" t="s">
        <v>4520</v>
      </c>
      <c r="Y794" t="s">
        <v>4276</v>
      </c>
      <c r="Z794" t="s">
        <v>4277</v>
      </c>
      <c r="AA794" t="s">
        <v>4278</v>
      </c>
      <c r="AB794" t="s">
        <v>4521</v>
      </c>
      <c r="AE794">
        <v>-35.389763309999999</v>
      </c>
      <c r="AF794">
        <v>174.01190754999999</v>
      </c>
      <c r="AG794" s="175">
        <v>30</v>
      </c>
      <c r="AH794" s="175">
        <v>10</v>
      </c>
      <c r="AI794" s="175">
        <v>1</v>
      </c>
      <c r="AJ794" s="175">
        <v>3</v>
      </c>
      <c r="AK794" s="175">
        <v>8</v>
      </c>
      <c r="AL794" s="175">
        <v>1</v>
      </c>
      <c r="AM794" s="175">
        <v>9</v>
      </c>
      <c r="AN794" s="175">
        <v>0</v>
      </c>
      <c r="AO794" s="175">
        <v>22</v>
      </c>
      <c r="AP794" s="175">
        <v>0</v>
      </c>
      <c r="AQ794" s="175">
        <v>22</v>
      </c>
      <c r="AR794" s="175">
        <v>0</v>
      </c>
      <c r="AS794" s="175">
        <v>0</v>
      </c>
      <c r="AT794" s="175">
        <v>0</v>
      </c>
    </row>
    <row r="795" spans="1:46">
      <c r="A795">
        <v>11534</v>
      </c>
      <c r="B795" t="s">
        <v>5522</v>
      </c>
      <c r="C795" t="s">
        <v>5523</v>
      </c>
      <c r="E795" t="s">
        <v>5524</v>
      </c>
      <c r="G795" t="s">
        <v>636</v>
      </c>
      <c r="H795" t="s">
        <v>347</v>
      </c>
      <c r="J795" t="s">
        <v>605</v>
      </c>
      <c r="K795" t="s">
        <v>606</v>
      </c>
      <c r="L795" t="s">
        <v>4273</v>
      </c>
      <c r="M795" t="s">
        <v>607</v>
      </c>
      <c r="N795" t="s">
        <v>608</v>
      </c>
      <c r="O795" t="s">
        <v>609</v>
      </c>
      <c r="P795" t="s">
        <v>610</v>
      </c>
      <c r="Q795" t="s">
        <v>509</v>
      </c>
      <c r="R795" t="s">
        <v>611</v>
      </c>
      <c r="S795" t="s">
        <v>612</v>
      </c>
      <c r="T795" t="s">
        <v>613</v>
      </c>
      <c r="U795">
        <v>103501</v>
      </c>
      <c r="V795" t="s">
        <v>636</v>
      </c>
      <c r="W795" t="s">
        <v>637</v>
      </c>
      <c r="X795" t="s">
        <v>4520</v>
      </c>
      <c r="Y795" t="s">
        <v>4276</v>
      </c>
      <c r="Z795" t="s">
        <v>4277</v>
      </c>
      <c r="AA795" t="s">
        <v>4278</v>
      </c>
      <c r="AB795" t="s">
        <v>4521</v>
      </c>
      <c r="AE795">
        <v>-35.402955179999999</v>
      </c>
      <c r="AF795">
        <v>173.80394734999999</v>
      </c>
      <c r="AG795" s="175">
        <v>23</v>
      </c>
      <c r="AH795" s="175">
        <v>5</v>
      </c>
      <c r="AI795" s="175">
        <v>0</v>
      </c>
      <c r="AJ795" s="175">
        <v>4</v>
      </c>
      <c r="AK795" s="175">
        <v>6</v>
      </c>
      <c r="AL795" s="175">
        <v>2</v>
      </c>
      <c r="AM795" s="175">
        <v>4</v>
      </c>
      <c r="AN795" s="175">
        <v>0</v>
      </c>
      <c r="AO795" s="175">
        <v>16</v>
      </c>
      <c r="AP795" s="175">
        <v>0</v>
      </c>
      <c r="AQ795" s="175">
        <v>16</v>
      </c>
      <c r="AR795" s="175">
        <v>0</v>
      </c>
      <c r="AS795" s="175">
        <v>0</v>
      </c>
      <c r="AT795" s="175">
        <v>0</v>
      </c>
    </row>
    <row r="796" spans="1:46">
      <c r="A796">
        <v>11535</v>
      </c>
      <c r="B796" t="s">
        <v>5525</v>
      </c>
      <c r="C796" t="s">
        <v>5526</v>
      </c>
      <c r="E796" t="s">
        <v>5527</v>
      </c>
      <c r="F796" t="s">
        <v>5350</v>
      </c>
      <c r="G796" t="s">
        <v>668</v>
      </c>
      <c r="H796" t="s">
        <v>347</v>
      </c>
      <c r="J796" t="s">
        <v>605</v>
      </c>
      <c r="K796" t="s">
        <v>606</v>
      </c>
      <c r="L796" t="s">
        <v>4273</v>
      </c>
      <c r="M796" t="s">
        <v>607</v>
      </c>
      <c r="N796" t="s">
        <v>812</v>
      </c>
      <c r="O796" t="s">
        <v>669</v>
      </c>
      <c r="P796" t="s">
        <v>670</v>
      </c>
      <c r="Q796" t="s">
        <v>509</v>
      </c>
      <c r="R796" t="s">
        <v>611</v>
      </c>
      <c r="S796" t="s">
        <v>671</v>
      </c>
      <c r="T796" t="s">
        <v>613</v>
      </c>
      <c r="U796">
        <v>106401</v>
      </c>
      <c r="V796" t="s">
        <v>5350</v>
      </c>
      <c r="W796" t="s">
        <v>673</v>
      </c>
      <c r="X796" t="s">
        <v>4520</v>
      </c>
      <c r="Y796" t="s">
        <v>4276</v>
      </c>
      <c r="Z796" t="s">
        <v>4277</v>
      </c>
      <c r="AA796" t="s">
        <v>4278</v>
      </c>
      <c r="AB796" t="s">
        <v>4521</v>
      </c>
      <c r="AE796">
        <v>-35.692911260000002</v>
      </c>
      <c r="AF796">
        <v>174.31730121999999</v>
      </c>
      <c r="AG796" s="175">
        <v>18</v>
      </c>
      <c r="AH796" s="175">
        <v>5</v>
      </c>
      <c r="AI796" s="175">
        <v>1</v>
      </c>
      <c r="AJ796" s="175">
        <v>1</v>
      </c>
      <c r="AK796" s="175">
        <v>3</v>
      </c>
      <c r="AL796" s="175">
        <v>6</v>
      </c>
      <c r="AM796" s="175">
        <v>1</v>
      </c>
      <c r="AN796" s="175">
        <v>0</v>
      </c>
      <c r="AO796" s="175">
        <v>12</v>
      </c>
      <c r="AP796" s="175">
        <v>0</v>
      </c>
      <c r="AQ796" s="175">
        <v>10</v>
      </c>
      <c r="AR796" s="175">
        <v>2</v>
      </c>
      <c r="AS796" s="175">
        <v>0</v>
      </c>
      <c r="AT796" s="175">
        <v>0</v>
      </c>
    </row>
    <row r="797" spans="1:46">
      <c r="A797">
        <v>11543</v>
      </c>
      <c r="B797" t="s">
        <v>5528</v>
      </c>
      <c r="C797" t="s">
        <v>5529</v>
      </c>
      <c r="E797" t="s">
        <v>5530</v>
      </c>
      <c r="G797" t="s">
        <v>5531</v>
      </c>
      <c r="H797" t="s">
        <v>347</v>
      </c>
      <c r="J797" t="s">
        <v>605</v>
      </c>
      <c r="K797" t="s">
        <v>606</v>
      </c>
      <c r="L797" t="s">
        <v>4273</v>
      </c>
      <c r="M797" t="s">
        <v>607</v>
      </c>
      <c r="N797" t="s">
        <v>812</v>
      </c>
      <c r="O797" t="s">
        <v>609</v>
      </c>
      <c r="P797" t="s">
        <v>626</v>
      </c>
      <c r="Q797" t="s">
        <v>509</v>
      </c>
      <c r="R797" t="s">
        <v>611</v>
      </c>
      <c r="S797" t="s">
        <v>612</v>
      </c>
      <c r="T797" t="s">
        <v>613</v>
      </c>
      <c r="U797">
        <v>102300</v>
      </c>
      <c r="V797" t="s">
        <v>5532</v>
      </c>
      <c r="W797" t="s">
        <v>637</v>
      </c>
      <c r="X797" t="s">
        <v>4520</v>
      </c>
      <c r="Y797" t="s">
        <v>4276</v>
      </c>
      <c r="Z797" t="s">
        <v>4277</v>
      </c>
      <c r="AA797" t="s">
        <v>4278</v>
      </c>
      <c r="AB797" t="s">
        <v>4521</v>
      </c>
      <c r="AE797">
        <v>-35.322155299999999</v>
      </c>
      <c r="AF797">
        <v>173.77030561999999</v>
      </c>
      <c r="AG797" s="175">
        <v>40</v>
      </c>
      <c r="AH797" s="175">
        <v>10</v>
      </c>
      <c r="AI797" s="175">
        <v>0</v>
      </c>
      <c r="AJ797" s="175">
        <v>10</v>
      </c>
      <c r="AK797" s="175">
        <v>5</v>
      </c>
      <c r="AL797" s="175">
        <v>15</v>
      </c>
      <c r="AM797" s="175">
        <v>4</v>
      </c>
      <c r="AN797" s="175">
        <v>0</v>
      </c>
      <c r="AO797" s="175">
        <v>34</v>
      </c>
      <c r="AP797" s="175">
        <v>0</v>
      </c>
      <c r="AQ797" s="175">
        <v>32</v>
      </c>
      <c r="AR797" s="175">
        <v>0</v>
      </c>
      <c r="AS797" s="175">
        <v>0</v>
      </c>
      <c r="AT797" s="175">
        <v>2</v>
      </c>
    </row>
    <row r="798" spans="1:46">
      <c r="A798">
        <v>11545</v>
      </c>
      <c r="B798" t="s">
        <v>5533</v>
      </c>
      <c r="C798" t="s">
        <v>5534</v>
      </c>
      <c r="E798" t="s">
        <v>5535</v>
      </c>
      <c r="G798" t="s">
        <v>5416</v>
      </c>
      <c r="H798" t="s">
        <v>347</v>
      </c>
      <c r="J798" t="s">
        <v>605</v>
      </c>
      <c r="K798" t="s">
        <v>606</v>
      </c>
      <c r="L798" t="s">
        <v>4273</v>
      </c>
      <c r="M798" t="s">
        <v>607</v>
      </c>
      <c r="N798" t="s">
        <v>608</v>
      </c>
      <c r="O798" t="s">
        <v>609</v>
      </c>
      <c r="P798" t="s">
        <v>610</v>
      </c>
      <c r="Q798" t="s">
        <v>509</v>
      </c>
      <c r="R798" t="s">
        <v>611</v>
      </c>
      <c r="S798" t="s">
        <v>612</v>
      </c>
      <c r="T798" t="s">
        <v>613</v>
      </c>
      <c r="U798">
        <v>104501</v>
      </c>
      <c r="V798" t="s">
        <v>5416</v>
      </c>
      <c r="W798" t="s">
        <v>644</v>
      </c>
      <c r="X798" t="s">
        <v>4520</v>
      </c>
      <c r="Y798" t="s">
        <v>4276</v>
      </c>
      <c r="Z798" t="s">
        <v>4277</v>
      </c>
      <c r="AA798" t="s">
        <v>4278</v>
      </c>
      <c r="AB798" t="s">
        <v>4521</v>
      </c>
      <c r="AE798">
        <v>-35.378081129999998</v>
      </c>
      <c r="AF798">
        <v>174.03912975</v>
      </c>
      <c r="AG798" s="175">
        <v>25</v>
      </c>
      <c r="AH798" s="175">
        <v>8</v>
      </c>
      <c r="AI798" s="175">
        <v>0</v>
      </c>
      <c r="AJ798" s="175">
        <v>4</v>
      </c>
      <c r="AK798" s="175">
        <v>7</v>
      </c>
      <c r="AL798" s="175">
        <v>6</v>
      </c>
      <c r="AM798" s="175">
        <v>1</v>
      </c>
      <c r="AN798" s="175">
        <v>0</v>
      </c>
      <c r="AO798" s="175">
        <v>18</v>
      </c>
      <c r="AP798" s="175">
        <v>0</v>
      </c>
      <c r="AQ798" s="175">
        <v>18</v>
      </c>
      <c r="AR798" s="175">
        <v>0</v>
      </c>
      <c r="AS798" s="175">
        <v>0</v>
      </c>
      <c r="AT798" s="175">
        <v>0</v>
      </c>
    </row>
    <row r="799" spans="1:46">
      <c r="A799">
        <v>11552</v>
      </c>
      <c r="B799" t="s">
        <v>5536</v>
      </c>
      <c r="C799" t="s">
        <v>5537</v>
      </c>
      <c r="D799" t="s">
        <v>5538</v>
      </c>
      <c r="E799" t="s">
        <v>5539</v>
      </c>
      <c r="G799" t="s">
        <v>636</v>
      </c>
      <c r="H799" t="s">
        <v>449</v>
      </c>
      <c r="J799" t="s">
        <v>605</v>
      </c>
      <c r="K799" t="s">
        <v>606</v>
      </c>
      <c r="M799" t="s">
        <v>607</v>
      </c>
      <c r="N799" t="s">
        <v>625</v>
      </c>
      <c r="O799" t="s">
        <v>609</v>
      </c>
      <c r="P799" t="s">
        <v>610</v>
      </c>
      <c r="Q799" t="s">
        <v>509</v>
      </c>
      <c r="R799" t="s">
        <v>611</v>
      </c>
      <c r="S799" t="s">
        <v>612</v>
      </c>
      <c r="T799" t="s">
        <v>613</v>
      </c>
      <c r="U799">
        <v>103501</v>
      </c>
      <c r="V799" t="s">
        <v>636</v>
      </c>
      <c r="W799" t="s">
        <v>637</v>
      </c>
      <c r="X799" t="s">
        <v>4503</v>
      </c>
      <c r="Y799" t="s">
        <v>4014</v>
      </c>
      <c r="Z799" t="s">
        <v>4015</v>
      </c>
      <c r="AA799" t="s">
        <v>4016</v>
      </c>
      <c r="AC799">
        <v>99060</v>
      </c>
      <c r="AD799" t="s">
        <v>638</v>
      </c>
      <c r="AE799">
        <v>-35.405980640000003</v>
      </c>
      <c r="AF799">
        <v>173.79655507999999</v>
      </c>
      <c r="AG799" s="175">
        <v>62</v>
      </c>
      <c r="AH799" s="175">
        <v>15</v>
      </c>
      <c r="AI799" s="175">
        <v>1</v>
      </c>
      <c r="AJ799" s="175">
        <v>12</v>
      </c>
      <c r="AK799" s="175">
        <v>17</v>
      </c>
      <c r="AL799" s="175">
        <v>13</v>
      </c>
      <c r="AM799" s="175">
        <v>27</v>
      </c>
      <c r="AN799" s="175">
        <v>0</v>
      </c>
      <c r="AO799" s="175">
        <v>70</v>
      </c>
      <c r="AP799" s="175">
        <v>22</v>
      </c>
      <c r="AQ799" s="175">
        <v>57</v>
      </c>
      <c r="AR799" s="175">
        <v>4</v>
      </c>
      <c r="AS799" s="175">
        <v>10</v>
      </c>
      <c r="AT799" s="175">
        <v>2</v>
      </c>
    </row>
    <row r="800" spans="1:46">
      <c r="A800">
        <v>11554</v>
      </c>
      <c r="B800" t="s">
        <v>5540</v>
      </c>
      <c r="C800" t="s">
        <v>5541</v>
      </c>
      <c r="E800" t="s">
        <v>5542</v>
      </c>
      <c r="G800" t="s">
        <v>5543</v>
      </c>
      <c r="H800" t="s">
        <v>347</v>
      </c>
      <c r="J800" t="s">
        <v>605</v>
      </c>
      <c r="K800" t="s">
        <v>606</v>
      </c>
      <c r="L800" t="s">
        <v>4273</v>
      </c>
      <c r="M800" t="s">
        <v>607</v>
      </c>
      <c r="N800" t="s">
        <v>608</v>
      </c>
      <c r="O800" t="s">
        <v>609</v>
      </c>
      <c r="P800" t="s">
        <v>658</v>
      </c>
      <c r="Q800" t="s">
        <v>509</v>
      </c>
      <c r="R800" t="s">
        <v>611</v>
      </c>
      <c r="S800" t="s">
        <v>612</v>
      </c>
      <c r="T800" t="s">
        <v>613</v>
      </c>
      <c r="U800">
        <v>104700</v>
      </c>
      <c r="V800" t="s">
        <v>5544</v>
      </c>
      <c r="W800" t="s">
        <v>644</v>
      </c>
      <c r="X800" t="s">
        <v>4520</v>
      </c>
      <c r="Y800" t="s">
        <v>4276</v>
      </c>
      <c r="Z800" t="s">
        <v>4277</v>
      </c>
      <c r="AA800" t="s">
        <v>4278</v>
      </c>
      <c r="AB800" t="s">
        <v>4521</v>
      </c>
      <c r="AE800">
        <v>-35.489832020000001</v>
      </c>
      <c r="AF800">
        <v>174.0365463</v>
      </c>
      <c r="AG800" s="175">
        <v>25</v>
      </c>
      <c r="AH800" s="175">
        <v>10</v>
      </c>
      <c r="AI800" s="175">
        <v>1</v>
      </c>
      <c r="AJ800" s="175">
        <v>4</v>
      </c>
      <c r="AK800" s="175">
        <v>6</v>
      </c>
      <c r="AL800" s="175">
        <v>5</v>
      </c>
      <c r="AM800" s="175">
        <v>3</v>
      </c>
      <c r="AN800" s="175">
        <v>0</v>
      </c>
      <c r="AO800" s="175">
        <v>19</v>
      </c>
      <c r="AP800" s="175">
        <v>0</v>
      </c>
      <c r="AQ800" s="175">
        <v>19</v>
      </c>
      <c r="AR800" s="175">
        <v>0</v>
      </c>
      <c r="AS800" s="175">
        <v>0</v>
      </c>
      <c r="AT800" s="175">
        <v>0</v>
      </c>
    </row>
    <row r="801" spans="1:46">
      <c r="A801">
        <v>11555</v>
      </c>
      <c r="B801" t="s">
        <v>5545</v>
      </c>
      <c r="C801" t="s">
        <v>5546</v>
      </c>
      <c r="D801" t="s">
        <v>5547</v>
      </c>
      <c r="E801" t="s">
        <v>5548</v>
      </c>
      <c r="G801" t="s">
        <v>5549</v>
      </c>
      <c r="H801" t="s">
        <v>449</v>
      </c>
      <c r="J801" t="s">
        <v>4032</v>
      </c>
      <c r="K801" t="s">
        <v>606</v>
      </c>
      <c r="M801" t="s">
        <v>607</v>
      </c>
      <c r="N801" t="s">
        <v>657</v>
      </c>
      <c r="O801" t="s">
        <v>609</v>
      </c>
      <c r="P801" t="s">
        <v>610</v>
      </c>
      <c r="Q801" t="s">
        <v>509</v>
      </c>
      <c r="R801" t="s">
        <v>611</v>
      </c>
      <c r="S801" t="s">
        <v>612</v>
      </c>
      <c r="T801" t="s">
        <v>613</v>
      </c>
      <c r="U801">
        <v>103700</v>
      </c>
      <c r="V801" t="s">
        <v>5550</v>
      </c>
      <c r="W801" t="s">
        <v>644</v>
      </c>
      <c r="X801" t="s">
        <v>5551</v>
      </c>
      <c r="Y801" t="s">
        <v>5552</v>
      </c>
      <c r="Z801" t="s">
        <v>1151</v>
      </c>
      <c r="AA801" t="s">
        <v>5553</v>
      </c>
      <c r="AE801">
        <v>-35.277617589999998</v>
      </c>
      <c r="AF801">
        <v>174.05832376999999</v>
      </c>
      <c r="AG801" s="175">
        <v>50</v>
      </c>
      <c r="AH801" s="175">
        <v>20</v>
      </c>
      <c r="AI801" s="175">
        <v>2</v>
      </c>
      <c r="AJ801" s="175">
        <v>8</v>
      </c>
      <c r="AK801" s="175">
        <v>4</v>
      </c>
      <c r="AL801" s="175">
        <v>10</v>
      </c>
      <c r="AM801" s="175">
        <v>16</v>
      </c>
      <c r="AN801" s="175">
        <v>0</v>
      </c>
      <c r="AO801" s="175">
        <v>40</v>
      </c>
      <c r="AP801" s="175">
        <v>30</v>
      </c>
      <c r="AQ801" s="175">
        <v>14</v>
      </c>
      <c r="AR801" s="175">
        <v>2</v>
      </c>
      <c r="AS801" s="175">
        <v>12</v>
      </c>
      <c r="AT801" s="175">
        <v>0</v>
      </c>
    </row>
    <row r="802" spans="1:46">
      <c r="A802">
        <v>11556</v>
      </c>
      <c r="B802" t="s">
        <v>5554</v>
      </c>
      <c r="C802" t="s">
        <v>5555</v>
      </c>
      <c r="E802" t="s">
        <v>5556</v>
      </c>
      <c r="G802" t="s">
        <v>649</v>
      </c>
      <c r="H802" t="s">
        <v>347</v>
      </c>
      <c r="J802" t="s">
        <v>605</v>
      </c>
      <c r="K802" t="s">
        <v>606</v>
      </c>
      <c r="L802" t="s">
        <v>4273</v>
      </c>
      <c r="M802" t="s">
        <v>607</v>
      </c>
      <c r="N802" t="s">
        <v>608</v>
      </c>
      <c r="O802" t="s">
        <v>650</v>
      </c>
      <c r="P802" t="s">
        <v>610</v>
      </c>
      <c r="Q802" t="s">
        <v>509</v>
      </c>
      <c r="R802" t="s">
        <v>611</v>
      </c>
      <c r="S802" t="s">
        <v>612</v>
      </c>
      <c r="T802" t="s">
        <v>613</v>
      </c>
      <c r="U802">
        <v>109301</v>
      </c>
      <c r="V802" t="s">
        <v>649</v>
      </c>
      <c r="W802" t="s">
        <v>651</v>
      </c>
      <c r="X802" t="s">
        <v>4520</v>
      </c>
      <c r="Y802" t="s">
        <v>4276</v>
      </c>
      <c r="Z802" t="s">
        <v>4277</v>
      </c>
      <c r="AA802" t="s">
        <v>4278</v>
      </c>
      <c r="AB802" t="s">
        <v>4521</v>
      </c>
      <c r="AE802">
        <v>-35.933521329999998</v>
      </c>
      <c r="AF802">
        <v>173.88688970999999</v>
      </c>
      <c r="AG802" s="175">
        <v>30</v>
      </c>
      <c r="AH802" s="175">
        <v>10</v>
      </c>
      <c r="AI802" s="175">
        <v>1</v>
      </c>
      <c r="AJ802" s="175">
        <v>5</v>
      </c>
      <c r="AK802" s="175">
        <v>4</v>
      </c>
      <c r="AL802" s="175">
        <v>3</v>
      </c>
      <c r="AM802" s="175">
        <v>3</v>
      </c>
      <c r="AN802" s="175">
        <v>0</v>
      </c>
      <c r="AO802" s="175">
        <v>16</v>
      </c>
      <c r="AP802" s="175">
        <v>0</v>
      </c>
      <c r="AQ802" s="175">
        <v>16</v>
      </c>
      <c r="AR802" s="175">
        <v>0</v>
      </c>
      <c r="AS802" s="175">
        <v>0</v>
      </c>
      <c r="AT802" s="175">
        <v>0</v>
      </c>
    </row>
    <row r="803" spans="1:46">
      <c r="A803">
        <v>11557</v>
      </c>
      <c r="B803" t="s">
        <v>5557</v>
      </c>
      <c r="C803" t="s">
        <v>5558</v>
      </c>
      <c r="E803" t="s">
        <v>5559</v>
      </c>
      <c r="G803" t="s">
        <v>3744</v>
      </c>
      <c r="H803" t="s">
        <v>347</v>
      </c>
      <c r="J803" t="s">
        <v>605</v>
      </c>
      <c r="K803" t="s">
        <v>606</v>
      </c>
      <c r="L803" t="s">
        <v>4273</v>
      </c>
      <c r="M803" t="s">
        <v>607</v>
      </c>
      <c r="N803" t="s">
        <v>657</v>
      </c>
      <c r="O803" t="s">
        <v>609</v>
      </c>
      <c r="P803" t="s">
        <v>610</v>
      </c>
      <c r="Q803" t="s">
        <v>509</v>
      </c>
      <c r="R803" t="s">
        <v>611</v>
      </c>
      <c r="S803" t="s">
        <v>612</v>
      </c>
      <c r="T803" t="s">
        <v>613</v>
      </c>
      <c r="U803">
        <v>103000</v>
      </c>
      <c r="V803" t="s">
        <v>3745</v>
      </c>
      <c r="W803" t="s">
        <v>644</v>
      </c>
      <c r="X803" t="s">
        <v>4520</v>
      </c>
      <c r="Y803" t="s">
        <v>4276</v>
      </c>
      <c r="Z803" t="s">
        <v>4277</v>
      </c>
      <c r="AA803" t="s">
        <v>4278</v>
      </c>
      <c r="AB803" t="s">
        <v>4521</v>
      </c>
      <c r="AE803">
        <v>-35.229683250000001</v>
      </c>
      <c r="AF803">
        <v>173.95787705000001</v>
      </c>
      <c r="AG803" s="175">
        <v>33</v>
      </c>
      <c r="AH803" s="175">
        <v>10</v>
      </c>
      <c r="AI803" s="175">
        <v>3</v>
      </c>
      <c r="AJ803" s="175">
        <v>5</v>
      </c>
      <c r="AK803" s="175">
        <v>7</v>
      </c>
      <c r="AL803" s="175">
        <v>6</v>
      </c>
      <c r="AM803" s="175">
        <v>1</v>
      </c>
      <c r="AN803" s="175">
        <v>0</v>
      </c>
      <c r="AO803" s="175">
        <v>22</v>
      </c>
      <c r="AP803" s="175">
        <v>0</v>
      </c>
      <c r="AQ803" s="175">
        <v>19</v>
      </c>
      <c r="AR803" s="175">
        <v>0</v>
      </c>
      <c r="AS803" s="175">
        <v>0</v>
      </c>
      <c r="AT803" s="175">
        <v>3</v>
      </c>
    </row>
    <row r="804" spans="1:46">
      <c r="A804">
        <v>11559</v>
      </c>
      <c r="B804" t="s">
        <v>5560</v>
      </c>
      <c r="C804" t="s">
        <v>4280</v>
      </c>
      <c r="E804" t="s">
        <v>4281</v>
      </c>
      <c r="F804" t="s">
        <v>618</v>
      </c>
      <c r="G804" t="s">
        <v>668</v>
      </c>
      <c r="H804" t="s">
        <v>449</v>
      </c>
      <c r="J804" t="s">
        <v>4032</v>
      </c>
      <c r="K804" t="s">
        <v>606</v>
      </c>
      <c r="M804" t="s">
        <v>607</v>
      </c>
      <c r="N804" t="s">
        <v>657</v>
      </c>
      <c r="O804" t="s">
        <v>669</v>
      </c>
      <c r="P804" t="s">
        <v>670</v>
      </c>
      <c r="Q804" t="s">
        <v>509</v>
      </c>
      <c r="R804" t="s">
        <v>611</v>
      </c>
      <c r="S804" t="s">
        <v>671</v>
      </c>
      <c r="T804" t="s">
        <v>613</v>
      </c>
      <c r="U804">
        <v>105901</v>
      </c>
      <c r="V804" t="s">
        <v>4282</v>
      </c>
      <c r="W804" t="s">
        <v>673</v>
      </c>
      <c r="X804" t="s">
        <v>4283</v>
      </c>
      <c r="Y804" t="s">
        <v>4284</v>
      </c>
      <c r="Z804" t="s">
        <v>618</v>
      </c>
      <c r="AA804" t="s">
        <v>619</v>
      </c>
      <c r="AB804" t="s">
        <v>4285</v>
      </c>
      <c r="AE804">
        <v>-35.683888119999999</v>
      </c>
      <c r="AF804">
        <v>174.29953438000001</v>
      </c>
      <c r="AG804" s="175">
        <v>50</v>
      </c>
      <c r="AH804" s="175">
        <v>0</v>
      </c>
      <c r="AI804" s="175">
        <v>0</v>
      </c>
      <c r="AJ804" s="175">
        <v>0</v>
      </c>
      <c r="AK804" s="175">
        <v>12</v>
      </c>
      <c r="AL804" s="175">
        <v>27</v>
      </c>
      <c r="AM804" s="175">
        <v>8</v>
      </c>
      <c r="AN804" s="175">
        <v>2</v>
      </c>
      <c r="AO804" s="175">
        <v>49</v>
      </c>
      <c r="AP804" s="175">
        <v>42</v>
      </c>
      <c r="AQ804" s="175">
        <v>13</v>
      </c>
      <c r="AR804" s="175">
        <v>2</v>
      </c>
      <c r="AS804" s="175">
        <v>6</v>
      </c>
      <c r="AT804" s="175">
        <v>3</v>
      </c>
    </row>
    <row r="805" spans="1:46">
      <c r="A805">
        <v>11560</v>
      </c>
      <c r="B805" t="s">
        <v>5561</v>
      </c>
      <c r="C805" t="s">
        <v>5562</v>
      </c>
      <c r="D805" t="s">
        <v>5563</v>
      </c>
      <c r="E805" t="s">
        <v>5564</v>
      </c>
      <c r="G805" t="s">
        <v>624</v>
      </c>
      <c r="H805" t="s">
        <v>449</v>
      </c>
      <c r="J805" t="s">
        <v>4032</v>
      </c>
      <c r="K805" t="s">
        <v>606</v>
      </c>
      <c r="M805" t="s">
        <v>607</v>
      </c>
      <c r="N805" t="s">
        <v>643</v>
      </c>
      <c r="O805" t="s">
        <v>609</v>
      </c>
      <c r="P805" t="s">
        <v>626</v>
      </c>
      <c r="Q805" t="s">
        <v>509</v>
      </c>
      <c r="R805" t="s">
        <v>611</v>
      </c>
      <c r="S805" t="s">
        <v>612</v>
      </c>
      <c r="T805" t="s">
        <v>613</v>
      </c>
      <c r="U805">
        <v>101101</v>
      </c>
      <c r="V805" t="s">
        <v>627</v>
      </c>
      <c r="W805" t="s">
        <v>615</v>
      </c>
      <c r="X805" t="s">
        <v>5565</v>
      </c>
      <c r="Y805" t="s">
        <v>5566</v>
      </c>
      <c r="AA805" t="s">
        <v>5567</v>
      </c>
      <c r="AB805" t="s">
        <v>5562</v>
      </c>
      <c r="AE805">
        <v>-34.998566029999999</v>
      </c>
      <c r="AF805">
        <v>173.46495686</v>
      </c>
      <c r="AG805" s="175">
        <v>28</v>
      </c>
      <c r="AH805" s="175">
        <v>10</v>
      </c>
      <c r="AI805" s="175">
        <v>1</v>
      </c>
      <c r="AJ805" s="175">
        <v>6</v>
      </c>
      <c r="AK805" s="175">
        <v>10</v>
      </c>
      <c r="AL805" s="175">
        <v>13</v>
      </c>
      <c r="AM805" s="175">
        <v>4</v>
      </c>
      <c r="AN805" s="175">
        <v>0</v>
      </c>
      <c r="AO805" s="175">
        <v>34</v>
      </c>
      <c r="AP805" s="175">
        <v>31</v>
      </c>
      <c r="AQ805" s="175">
        <v>13</v>
      </c>
      <c r="AR805" s="175">
        <v>0</v>
      </c>
      <c r="AS805" s="175">
        <v>2</v>
      </c>
      <c r="AT805" s="175">
        <v>2</v>
      </c>
    </row>
    <row r="806" spans="1:46">
      <c r="A806">
        <v>11561</v>
      </c>
      <c r="B806" t="s">
        <v>5568</v>
      </c>
      <c r="C806" t="s">
        <v>5247</v>
      </c>
      <c r="D806" t="s">
        <v>5248</v>
      </c>
      <c r="E806" t="s">
        <v>5569</v>
      </c>
      <c r="G806" t="s">
        <v>668</v>
      </c>
      <c r="H806" t="s">
        <v>301</v>
      </c>
      <c r="J806" t="s">
        <v>605</v>
      </c>
      <c r="K806" t="s">
        <v>606</v>
      </c>
      <c r="M806" t="s">
        <v>607</v>
      </c>
      <c r="N806" t="s">
        <v>657</v>
      </c>
      <c r="O806" t="s">
        <v>669</v>
      </c>
      <c r="P806" t="s">
        <v>670</v>
      </c>
      <c r="Q806" t="s">
        <v>509</v>
      </c>
      <c r="R806" t="s">
        <v>611</v>
      </c>
      <c r="S806" t="s">
        <v>671</v>
      </c>
      <c r="T806" t="s">
        <v>613</v>
      </c>
      <c r="U806">
        <v>106100</v>
      </c>
      <c r="V806" t="s">
        <v>5285</v>
      </c>
      <c r="W806" t="s">
        <v>673</v>
      </c>
      <c r="X806" t="s">
        <v>5252</v>
      </c>
      <c r="Y806" t="s">
        <v>5253</v>
      </c>
      <c r="AA806" t="s">
        <v>5254</v>
      </c>
      <c r="AB806" t="s">
        <v>5247</v>
      </c>
      <c r="AE806">
        <v>-35.69297151</v>
      </c>
      <c r="AF806">
        <v>174.30750209999999</v>
      </c>
      <c r="AG806" s="175">
        <v>30</v>
      </c>
      <c r="AH806" s="175">
        <v>15</v>
      </c>
      <c r="AI806" s="175">
        <v>0</v>
      </c>
      <c r="AJ806" s="175">
        <v>9</v>
      </c>
      <c r="AK806" s="175">
        <v>7</v>
      </c>
      <c r="AL806" s="175">
        <v>9</v>
      </c>
      <c r="AM806" s="175">
        <v>6</v>
      </c>
      <c r="AN806" s="175">
        <v>1</v>
      </c>
      <c r="AO806" s="175">
        <v>32</v>
      </c>
      <c r="AP806" s="175">
        <v>27</v>
      </c>
      <c r="AQ806" s="175">
        <v>3</v>
      </c>
      <c r="AR806" s="175">
        <v>0</v>
      </c>
      <c r="AS806" s="175">
        <v>4</v>
      </c>
      <c r="AT806" s="175">
        <v>3</v>
      </c>
    </row>
    <row r="807" spans="1:46">
      <c r="A807">
        <v>11565</v>
      </c>
      <c r="B807" t="s">
        <v>5570</v>
      </c>
      <c r="C807" t="s">
        <v>5571</v>
      </c>
      <c r="D807" t="s">
        <v>5572</v>
      </c>
      <c r="E807" t="s">
        <v>5573</v>
      </c>
      <c r="F807" t="s">
        <v>618</v>
      </c>
      <c r="G807" t="s">
        <v>668</v>
      </c>
      <c r="H807" t="s">
        <v>449</v>
      </c>
      <c r="J807" t="s">
        <v>605</v>
      </c>
      <c r="K807" t="s">
        <v>606</v>
      </c>
      <c r="M807" t="s">
        <v>607</v>
      </c>
      <c r="N807" t="s">
        <v>657</v>
      </c>
      <c r="O807" t="s">
        <v>669</v>
      </c>
      <c r="P807" t="s">
        <v>670</v>
      </c>
      <c r="Q807" t="s">
        <v>509</v>
      </c>
      <c r="R807" t="s">
        <v>611</v>
      </c>
      <c r="S807" t="s">
        <v>671</v>
      </c>
      <c r="T807" t="s">
        <v>613</v>
      </c>
      <c r="U807">
        <v>105500</v>
      </c>
      <c r="V807" t="s">
        <v>4308</v>
      </c>
      <c r="W807" t="s">
        <v>673</v>
      </c>
      <c r="X807" t="s">
        <v>4503</v>
      </c>
      <c r="Y807" t="s">
        <v>4014</v>
      </c>
      <c r="Z807" t="s">
        <v>4015</v>
      </c>
      <c r="AA807" t="s">
        <v>4016</v>
      </c>
      <c r="AC807">
        <v>99182</v>
      </c>
      <c r="AD807" t="s">
        <v>674</v>
      </c>
      <c r="AE807">
        <v>-35.674933369999998</v>
      </c>
      <c r="AF807">
        <v>174.29709774</v>
      </c>
      <c r="AG807" s="175">
        <v>50</v>
      </c>
      <c r="AH807" s="175">
        <v>15</v>
      </c>
      <c r="AI807" s="175">
        <v>3</v>
      </c>
      <c r="AJ807" s="175">
        <v>9</v>
      </c>
      <c r="AK807" s="175">
        <v>21</v>
      </c>
      <c r="AL807" s="175">
        <v>12</v>
      </c>
      <c r="AM807" s="175">
        <v>7</v>
      </c>
      <c r="AN807" s="175">
        <v>1</v>
      </c>
      <c r="AO807" s="175">
        <v>53</v>
      </c>
      <c r="AP807" s="175">
        <v>30</v>
      </c>
      <c r="AQ807" s="175">
        <v>21</v>
      </c>
      <c r="AR807" s="175">
        <v>2</v>
      </c>
      <c r="AS807" s="175">
        <v>1</v>
      </c>
      <c r="AT807" s="175">
        <v>14</v>
      </c>
    </row>
    <row r="808" spans="1:46">
      <c r="A808">
        <v>11568</v>
      </c>
      <c r="B808" t="s">
        <v>5574</v>
      </c>
      <c r="C808" t="s">
        <v>5575</v>
      </c>
      <c r="E808" t="s">
        <v>5576</v>
      </c>
      <c r="G808" t="s">
        <v>3967</v>
      </c>
      <c r="H808" t="s">
        <v>347</v>
      </c>
      <c r="J808" t="s">
        <v>605</v>
      </c>
      <c r="K808" t="s">
        <v>606</v>
      </c>
      <c r="L808" t="s">
        <v>4273</v>
      </c>
      <c r="M808" t="s">
        <v>607</v>
      </c>
      <c r="N808" t="s">
        <v>812</v>
      </c>
      <c r="O808" t="s">
        <v>669</v>
      </c>
      <c r="P808" t="s">
        <v>658</v>
      </c>
      <c r="Q808" t="s">
        <v>509</v>
      </c>
      <c r="R808" t="s">
        <v>611</v>
      </c>
      <c r="S808" t="s">
        <v>612</v>
      </c>
      <c r="T808" t="s">
        <v>613</v>
      </c>
      <c r="U808">
        <v>104900</v>
      </c>
      <c r="V808" t="s">
        <v>5577</v>
      </c>
      <c r="W808" t="s">
        <v>698</v>
      </c>
      <c r="X808" t="s">
        <v>4520</v>
      </c>
      <c r="Y808" t="s">
        <v>4276</v>
      </c>
      <c r="Z808" t="s">
        <v>4277</v>
      </c>
      <c r="AA808" t="s">
        <v>4278</v>
      </c>
      <c r="AB808" t="s">
        <v>4521</v>
      </c>
      <c r="AE808">
        <v>-35.408199719999999</v>
      </c>
      <c r="AF808">
        <v>174.34298466000001</v>
      </c>
      <c r="AG808" s="175">
        <v>23</v>
      </c>
      <c r="AH808" s="175">
        <v>5</v>
      </c>
      <c r="AI808" s="175">
        <v>1</v>
      </c>
      <c r="AJ808" s="175">
        <v>4</v>
      </c>
      <c r="AK808" s="175">
        <v>5</v>
      </c>
      <c r="AL808" s="175">
        <v>9</v>
      </c>
      <c r="AM808" s="175">
        <v>4</v>
      </c>
      <c r="AN808" s="175">
        <v>0</v>
      </c>
      <c r="AO808" s="175">
        <v>23</v>
      </c>
      <c r="AP808" s="175">
        <v>0</v>
      </c>
      <c r="AQ808" s="175">
        <v>23</v>
      </c>
      <c r="AR808" s="175">
        <v>0</v>
      </c>
      <c r="AS808" s="175">
        <v>0</v>
      </c>
      <c r="AT808" s="175">
        <v>0</v>
      </c>
    </row>
    <row r="809" spans="1:46">
      <c r="A809">
        <v>13709</v>
      </c>
      <c r="B809" t="s">
        <v>5578</v>
      </c>
      <c r="C809" t="s">
        <v>5579</v>
      </c>
      <c r="D809" t="s">
        <v>5580</v>
      </c>
      <c r="E809" t="s">
        <v>5581</v>
      </c>
      <c r="G809" t="s">
        <v>5375</v>
      </c>
      <c r="H809" t="s">
        <v>452</v>
      </c>
      <c r="J809" t="s">
        <v>605</v>
      </c>
      <c r="K809" t="s">
        <v>606</v>
      </c>
      <c r="M809" t="s">
        <v>607</v>
      </c>
      <c r="N809" t="s">
        <v>657</v>
      </c>
      <c r="O809" t="s">
        <v>650</v>
      </c>
      <c r="P809" t="s">
        <v>610</v>
      </c>
      <c r="Q809" t="s">
        <v>509</v>
      </c>
      <c r="R809" t="s">
        <v>611</v>
      </c>
      <c r="S809" t="s">
        <v>612</v>
      </c>
      <c r="T809" t="s">
        <v>613</v>
      </c>
      <c r="U809">
        <v>110100</v>
      </c>
      <c r="V809" t="s">
        <v>5375</v>
      </c>
      <c r="W809" t="s">
        <v>5376</v>
      </c>
      <c r="X809" t="s">
        <v>727</v>
      </c>
      <c r="Y809" t="s">
        <v>728</v>
      </c>
      <c r="Z809" t="s">
        <v>729</v>
      </c>
      <c r="AA809" t="s">
        <v>730</v>
      </c>
      <c r="AB809" t="s">
        <v>731</v>
      </c>
      <c r="AC809">
        <v>99118</v>
      </c>
      <c r="AD809" t="s">
        <v>5381</v>
      </c>
      <c r="AE809">
        <v>-36.129058579999999</v>
      </c>
      <c r="AF809">
        <v>174.57719125</v>
      </c>
      <c r="AG809" s="175">
        <v>40</v>
      </c>
      <c r="AH809" s="175">
        <v>0</v>
      </c>
      <c r="AI809" s="175">
        <v>0</v>
      </c>
      <c r="AJ809" s="175">
        <v>0</v>
      </c>
      <c r="AK809" s="175">
        <v>0</v>
      </c>
      <c r="AL809" s="175">
        <v>0</v>
      </c>
      <c r="AM809" s="175">
        <v>40</v>
      </c>
      <c r="AN809" s="175">
        <v>12</v>
      </c>
      <c r="AO809" s="175">
        <v>52</v>
      </c>
      <c r="AP809" s="175">
        <v>50</v>
      </c>
      <c r="AQ809" s="175">
        <v>5</v>
      </c>
      <c r="AR809" s="175">
        <v>3</v>
      </c>
      <c r="AS809" s="175">
        <v>3</v>
      </c>
      <c r="AT809" s="175">
        <v>1</v>
      </c>
    </row>
    <row r="810" spans="1:46">
      <c r="A810">
        <v>16025</v>
      </c>
      <c r="B810" t="s">
        <v>5582</v>
      </c>
      <c r="C810" t="s">
        <v>5583</v>
      </c>
      <c r="D810" t="s">
        <v>5248</v>
      </c>
      <c r="E810" t="s">
        <v>5584</v>
      </c>
      <c r="G810" t="s">
        <v>604</v>
      </c>
      <c r="H810" t="s">
        <v>301</v>
      </c>
      <c r="J810" t="s">
        <v>605</v>
      </c>
      <c r="K810" t="s">
        <v>606</v>
      </c>
      <c r="M810" t="s">
        <v>607</v>
      </c>
      <c r="N810" t="s">
        <v>625</v>
      </c>
      <c r="O810" t="s">
        <v>609</v>
      </c>
      <c r="P810" t="s">
        <v>610</v>
      </c>
      <c r="Q810" t="s">
        <v>509</v>
      </c>
      <c r="R810" t="s">
        <v>611</v>
      </c>
      <c r="S810" t="s">
        <v>612</v>
      </c>
      <c r="T810" t="s">
        <v>613</v>
      </c>
      <c r="U810">
        <v>100700</v>
      </c>
      <c r="V810" t="s">
        <v>632</v>
      </c>
      <c r="W810" t="s">
        <v>615</v>
      </c>
      <c r="X810" t="s">
        <v>5252</v>
      </c>
      <c r="Y810" t="s">
        <v>5253</v>
      </c>
      <c r="AA810" t="s">
        <v>5254</v>
      </c>
      <c r="AB810" t="s">
        <v>5247</v>
      </c>
      <c r="AE810">
        <v>-35.102410149999997</v>
      </c>
      <c r="AF810">
        <v>173.26021750000001</v>
      </c>
      <c r="AG810" s="175">
        <v>25</v>
      </c>
      <c r="AH810" s="175">
        <v>10</v>
      </c>
      <c r="AI810" s="175">
        <v>1</v>
      </c>
      <c r="AJ810" s="175">
        <v>1</v>
      </c>
      <c r="AK810" s="175">
        <v>7</v>
      </c>
      <c r="AL810" s="175">
        <v>3</v>
      </c>
      <c r="AM810" s="175">
        <v>3</v>
      </c>
      <c r="AN810" s="175">
        <v>0</v>
      </c>
      <c r="AO810" s="175">
        <v>15</v>
      </c>
      <c r="AP810" s="175">
        <v>12</v>
      </c>
      <c r="AQ810" s="175">
        <v>5</v>
      </c>
      <c r="AR810" s="175">
        <v>2</v>
      </c>
      <c r="AS810" s="175">
        <v>1</v>
      </c>
      <c r="AT810" s="175">
        <v>1</v>
      </c>
    </row>
    <row r="811" spans="1:46">
      <c r="A811">
        <v>16144</v>
      </c>
      <c r="B811" t="s">
        <v>5585</v>
      </c>
      <c r="C811" t="s">
        <v>5586</v>
      </c>
      <c r="D811" t="s">
        <v>5248</v>
      </c>
      <c r="E811" t="s">
        <v>5587</v>
      </c>
      <c r="G811" t="s">
        <v>4518</v>
      </c>
      <c r="H811" t="s">
        <v>301</v>
      </c>
      <c r="J811" t="s">
        <v>605</v>
      </c>
      <c r="K811" t="s">
        <v>606</v>
      </c>
      <c r="M811" t="s">
        <v>607</v>
      </c>
      <c r="N811" t="s">
        <v>608</v>
      </c>
      <c r="O811" t="s">
        <v>609</v>
      </c>
      <c r="P811" t="s">
        <v>626</v>
      </c>
      <c r="Q811" t="s">
        <v>509</v>
      </c>
      <c r="R811" t="s">
        <v>611</v>
      </c>
      <c r="S811" t="s">
        <v>612</v>
      </c>
      <c r="T811" t="s">
        <v>613</v>
      </c>
      <c r="U811">
        <v>102100</v>
      </c>
      <c r="V811" t="s">
        <v>4519</v>
      </c>
      <c r="W811" t="s">
        <v>637</v>
      </c>
      <c r="X811" t="s">
        <v>5252</v>
      </c>
      <c r="Y811" t="s">
        <v>5253</v>
      </c>
      <c r="AA811" t="s">
        <v>5254</v>
      </c>
      <c r="AB811" t="s">
        <v>5247</v>
      </c>
      <c r="AE811">
        <v>-35.402385219999999</v>
      </c>
      <c r="AF811">
        <v>173.50541977</v>
      </c>
      <c r="AG811" s="175">
        <v>30</v>
      </c>
      <c r="AH811" s="175">
        <v>16</v>
      </c>
      <c r="AI811" s="175">
        <v>0</v>
      </c>
      <c r="AJ811" s="175">
        <v>1</v>
      </c>
      <c r="AK811" s="175">
        <v>0</v>
      </c>
      <c r="AL811" s="175">
        <v>3</v>
      </c>
      <c r="AM811" s="175">
        <v>0</v>
      </c>
      <c r="AN811" s="175">
        <v>1</v>
      </c>
      <c r="AO811" s="175">
        <v>5</v>
      </c>
      <c r="AP811" s="175">
        <v>3</v>
      </c>
      <c r="AQ811" s="175">
        <v>5</v>
      </c>
      <c r="AR811" s="175">
        <v>0</v>
      </c>
      <c r="AS811" s="175">
        <v>0</v>
      </c>
      <c r="AT811" s="175">
        <v>1</v>
      </c>
    </row>
    <row r="812" spans="1:46">
      <c r="A812">
        <v>16248</v>
      </c>
      <c r="B812" t="s">
        <v>5588</v>
      </c>
      <c r="C812" t="s">
        <v>5589</v>
      </c>
      <c r="E812" t="s">
        <v>5590</v>
      </c>
      <c r="G812" t="s">
        <v>3744</v>
      </c>
      <c r="H812" t="s">
        <v>301</v>
      </c>
      <c r="J812" t="s">
        <v>605</v>
      </c>
      <c r="K812" t="s">
        <v>606</v>
      </c>
      <c r="M812" t="s">
        <v>607</v>
      </c>
      <c r="N812" t="s">
        <v>657</v>
      </c>
      <c r="O812" t="s">
        <v>609</v>
      </c>
      <c r="P812" t="s">
        <v>610</v>
      </c>
      <c r="Q812" t="s">
        <v>509</v>
      </c>
      <c r="R812" t="s">
        <v>611</v>
      </c>
      <c r="S812" t="s">
        <v>612</v>
      </c>
      <c r="T812" t="s">
        <v>613</v>
      </c>
      <c r="U812">
        <v>102801</v>
      </c>
      <c r="V812" t="s">
        <v>4919</v>
      </c>
      <c r="W812" t="s">
        <v>644</v>
      </c>
      <c r="X812" t="s">
        <v>5252</v>
      </c>
      <c r="Y812" t="s">
        <v>5253</v>
      </c>
      <c r="AA812" t="s">
        <v>5254</v>
      </c>
      <c r="AB812" t="s">
        <v>5247</v>
      </c>
      <c r="AE812">
        <v>-35.209375219999998</v>
      </c>
      <c r="AF812">
        <v>173.96330760000001</v>
      </c>
      <c r="AG812" s="175">
        <v>30</v>
      </c>
      <c r="AH812" s="175">
        <v>15</v>
      </c>
      <c r="AI812" s="175">
        <v>3</v>
      </c>
      <c r="AJ812" s="175">
        <v>4</v>
      </c>
      <c r="AK812" s="175">
        <v>3</v>
      </c>
      <c r="AL812" s="175">
        <v>15</v>
      </c>
      <c r="AM812" s="175">
        <v>5</v>
      </c>
      <c r="AN812" s="175">
        <v>1</v>
      </c>
      <c r="AO812" s="175">
        <v>31</v>
      </c>
      <c r="AP812" s="175">
        <v>27</v>
      </c>
      <c r="AQ812" s="175">
        <v>4</v>
      </c>
      <c r="AR812" s="175">
        <v>0</v>
      </c>
      <c r="AS812" s="175">
        <v>2</v>
      </c>
      <c r="AT812" s="175">
        <v>1</v>
      </c>
    </row>
    <row r="813" spans="1:46">
      <c r="A813">
        <v>16345</v>
      </c>
      <c r="B813" t="s">
        <v>5591</v>
      </c>
      <c r="C813" t="s">
        <v>5592</v>
      </c>
      <c r="D813" t="s">
        <v>5248</v>
      </c>
      <c r="E813" t="s">
        <v>5593</v>
      </c>
      <c r="G813" t="s">
        <v>5594</v>
      </c>
      <c r="H813" t="s">
        <v>301</v>
      </c>
      <c r="J813" t="s">
        <v>605</v>
      </c>
      <c r="K813" t="s">
        <v>606</v>
      </c>
      <c r="M813" t="s">
        <v>607</v>
      </c>
      <c r="N813" t="s">
        <v>657</v>
      </c>
      <c r="O813" t="s">
        <v>609</v>
      </c>
      <c r="P813" t="s">
        <v>626</v>
      </c>
      <c r="Q813" t="s">
        <v>509</v>
      </c>
      <c r="R813" t="s">
        <v>611</v>
      </c>
      <c r="S813" t="s">
        <v>612</v>
      </c>
      <c r="T813" t="s">
        <v>613</v>
      </c>
      <c r="U813">
        <v>103800</v>
      </c>
      <c r="V813" t="s">
        <v>5594</v>
      </c>
      <c r="W813" t="s">
        <v>644</v>
      </c>
      <c r="X813" t="s">
        <v>5252</v>
      </c>
      <c r="Y813" t="s">
        <v>5253</v>
      </c>
      <c r="AA813" t="s">
        <v>5254</v>
      </c>
      <c r="AB813" t="s">
        <v>5247</v>
      </c>
      <c r="AE813">
        <v>-35.260654989999999</v>
      </c>
      <c r="AF813">
        <v>174.12274466</v>
      </c>
      <c r="AG813" s="175">
        <v>23</v>
      </c>
      <c r="AH813" s="175">
        <v>8</v>
      </c>
      <c r="AI813" s="175">
        <v>1</v>
      </c>
      <c r="AJ813" s="175">
        <v>1</v>
      </c>
      <c r="AK813" s="175">
        <v>1</v>
      </c>
      <c r="AL813" s="175">
        <v>5</v>
      </c>
      <c r="AM813" s="175">
        <v>6</v>
      </c>
      <c r="AN813" s="175">
        <v>0</v>
      </c>
      <c r="AO813" s="175">
        <v>14</v>
      </c>
      <c r="AP813" s="175">
        <v>14</v>
      </c>
      <c r="AQ813" s="175">
        <v>3</v>
      </c>
      <c r="AR813" s="175">
        <v>1</v>
      </c>
      <c r="AS813" s="175">
        <v>2</v>
      </c>
      <c r="AT813" s="175">
        <v>0</v>
      </c>
    </row>
    <row r="814" spans="1:46">
      <c r="A814">
        <v>16347</v>
      </c>
      <c r="B814" t="s">
        <v>5595</v>
      </c>
      <c r="C814" t="s">
        <v>5596</v>
      </c>
      <c r="D814" t="s">
        <v>5248</v>
      </c>
      <c r="E814" t="s">
        <v>5597</v>
      </c>
      <c r="G814" t="s">
        <v>5598</v>
      </c>
      <c r="H814" t="s">
        <v>301</v>
      </c>
      <c r="J814" t="s">
        <v>605</v>
      </c>
      <c r="K814" t="s">
        <v>606</v>
      </c>
      <c r="M814" t="s">
        <v>607</v>
      </c>
      <c r="N814" t="s">
        <v>625</v>
      </c>
      <c r="O814" t="s">
        <v>609</v>
      </c>
      <c r="P814" t="s">
        <v>610</v>
      </c>
      <c r="Q814" t="s">
        <v>509</v>
      </c>
      <c r="R814" t="s">
        <v>611</v>
      </c>
      <c r="S814" t="s">
        <v>612</v>
      </c>
      <c r="T814" t="s">
        <v>613</v>
      </c>
      <c r="U814">
        <v>104600</v>
      </c>
      <c r="V814" t="s">
        <v>5598</v>
      </c>
      <c r="W814" t="s">
        <v>644</v>
      </c>
      <c r="X814" t="s">
        <v>5252</v>
      </c>
      <c r="Y814" t="s">
        <v>5253</v>
      </c>
      <c r="AA814" t="s">
        <v>5254</v>
      </c>
      <c r="AB814" t="s">
        <v>5247</v>
      </c>
      <c r="AE814">
        <v>-35.382540749999997</v>
      </c>
      <c r="AF814">
        <v>174.06547522</v>
      </c>
      <c r="AG814" s="175">
        <v>30</v>
      </c>
      <c r="AH814" s="175">
        <v>10</v>
      </c>
      <c r="AI814" s="175">
        <v>0</v>
      </c>
      <c r="AJ814" s="175">
        <v>2</v>
      </c>
      <c r="AK814" s="175">
        <v>0</v>
      </c>
      <c r="AL814" s="175">
        <v>1</v>
      </c>
      <c r="AM814" s="175">
        <v>0</v>
      </c>
      <c r="AN814" s="175">
        <v>0</v>
      </c>
      <c r="AO814" s="175">
        <v>3</v>
      </c>
      <c r="AP814" s="175">
        <v>2</v>
      </c>
      <c r="AQ814" s="175">
        <v>1</v>
      </c>
      <c r="AR814" s="175">
        <v>2</v>
      </c>
      <c r="AS814" s="175">
        <v>0</v>
      </c>
      <c r="AT814" s="175">
        <v>0</v>
      </c>
    </row>
    <row r="815" spans="1:46">
      <c r="A815">
        <v>16462</v>
      </c>
      <c r="B815" t="s">
        <v>5599</v>
      </c>
      <c r="C815" t="s">
        <v>5247</v>
      </c>
      <c r="D815" t="s">
        <v>5248</v>
      </c>
      <c r="E815" t="s">
        <v>5600</v>
      </c>
      <c r="G815" t="s">
        <v>649</v>
      </c>
      <c r="H815" t="s">
        <v>301</v>
      </c>
      <c r="J815" t="s">
        <v>605</v>
      </c>
      <c r="K815" t="s">
        <v>606</v>
      </c>
      <c r="M815" t="s">
        <v>607</v>
      </c>
      <c r="N815" t="s">
        <v>643</v>
      </c>
      <c r="O815" t="s">
        <v>650</v>
      </c>
      <c r="P815" t="s">
        <v>610</v>
      </c>
      <c r="Q815" t="s">
        <v>509</v>
      </c>
      <c r="R815" t="s">
        <v>611</v>
      </c>
      <c r="S815" t="s">
        <v>612</v>
      </c>
      <c r="T815" t="s">
        <v>613</v>
      </c>
      <c r="U815">
        <v>109301</v>
      </c>
      <c r="V815" t="s">
        <v>649</v>
      </c>
      <c r="W815" t="s">
        <v>651</v>
      </c>
      <c r="X815" t="s">
        <v>5252</v>
      </c>
      <c r="Y815" t="s">
        <v>5253</v>
      </c>
      <c r="AA815" t="s">
        <v>5254</v>
      </c>
      <c r="AB815" t="s">
        <v>5247</v>
      </c>
      <c r="AC815">
        <v>99185</v>
      </c>
      <c r="AD815" t="s">
        <v>652</v>
      </c>
      <c r="AE815">
        <v>-35.938239039999999</v>
      </c>
      <c r="AF815">
        <v>173.86533482999999</v>
      </c>
      <c r="AG815" s="175">
        <v>30</v>
      </c>
      <c r="AH815" s="175">
        <v>15</v>
      </c>
      <c r="AI815" s="175">
        <v>1</v>
      </c>
      <c r="AJ815" s="175">
        <v>2</v>
      </c>
      <c r="AK815" s="175">
        <v>4</v>
      </c>
      <c r="AL815" s="175">
        <v>6</v>
      </c>
      <c r="AM815" s="175">
        <v>1</v>
      </c>
      <c r="AN815" s="175">
        <v>0</v>
      </c>
      <c r="AO815" s="175">
        <v>14</v>
      </c>
      <c r="AP815" s="175">
        <v>13</v>
      </c>
      <c r="AQ815" s="175">
        <v>6</v>
      </c>
      <c r="AR815" s="175">
        <v>2</v>
      </c>
      <c r="AS815" s="175">
        <v>0</v>
      </c>
      <c r="AT815" s="175">
        <v>0</v>
      </c>
    </row>
    <row r="816" spans="1:46">
      <c r="A816">
        <v>16572</v>
      </c>
      <c r="B816" t="s">
        <v>5601</v>
      </c>
      <c r="C816" t="s">
        <v>5602</v>
      </c>
      <c r="D816" t="s">
        <v>5248</v>
      </c>
      <c r="E816" t="s">
        <v>5603</v>
      </c>
      <c r="F816" t="s">
        <v>692</v>
      </c>
      <c r="G816" t="s">
        <v>668</v>
      </c>
      <c r="H816" t="s">
        <v>301</v>
      </c>
      <c r="J816" t="s">
        <v>605</v>
      </c>
      <c r="K816" t="s">
        <v>606</v>
      </c>
      <c r="M816" t="s">
        <v>607</v>
      </c>
      <c r="N816" t="s">
        <v>643</v>
      </c>
      <c r="O816" t="s">
        <v>669</v>
      </c>
      <c r="P816" t="s">
        <v>670</v>
      </c>
      <c r="Q816" t="s">
        <v>509</v>
      </c>
      <c r="R816" t="s">
        <v>611</v>
      </c>
      <c r="S816" t="s">
        <v>671</v>
      </c>
      <c r="T816" t="s">
        <v>613</v>
      </c>
      <c r="U816">
        <v>108300</v>
      </c>
      <c r="V816" t="s">
        <v>692</v>
      </c>
      <c r="W816" t="s">
        <v>673</v>
      </c>
      <c r="X816" t="s">
        <v>5252</v>
      </c>
      <c r="Y816" t="s">
        <v>5253</v>
      </c>
      <c r="AA816" t="s">
        <v>5254</v>
      </c>
      <c r="AB816" t="s">
        <v>5247</v>
      </c>
      <c r="AE816">
        <v>-35.757936800000003</v>
      </c>
      <c r="AF816">
        <v>174.36801629999999</v>
      </c>
      <c r="AG816" s="175">
        <v>30</v>
      </c>
      <c r="AH816" s="175">
        <v>15</v>
      </c>
      <c r="AI816" s="175">
        <v>29</v>
      </c>
      <c r="AJ816" s="175">
        <v>9</v>
      </c>
      <c r="AK816" s="175">
        <v>7</v>
      </c>
      <c r="AL816" s="175">
        <v>1</v>
      </c>
      <c r="AM816" s="175">
        <v>0</v>
      </c>
      <c r="AN816" s="175">
        <v>0</v>
      </c>
      <c r="AO816" s="175">
        <v>46</v>
      </c>
      <c r="AP816" s="175">
        <v>45</v>
      </c>
      <c r="AQ816" s="175">
        <v>10</v>
      </c>
      <c r="AR816" s="175">
        <v>2</v>
      </c>
      <c r="AS816" s="175">
        <v>3</v>
      </c>
      <c r="AT816" s="175">
        <v>3</v>
      </c>
    </row>
    <row r="817" spans="1:46">
      <c r="A817">
        <v>16585</v>
      </c>
      <c r="B817" t="s">
        <v>5604</v>
      </c>
      <c r="C817" t="s">
        <v>5247</v>
      </c>
      <c r="D817" t="s">
        <v>5248</v>
      </c>
      <c r="E817" t="s">
        <v>5605</v>
      </c>
      <c r="F817" t="s">
        <v>667</v>
      </c>
      <c r="G817" t="s">
        <v>668</v>
      </c>
      <c r="H817" t="s">
        <v>301</v>
      </c>
      <c r="J817" t="s">
        <v>605</v>
      </c>
      <c r="K817" t="s">
        <v>606</v>
      </c>
      <c r="M817" t="s">
        <v>607</v>
      </c>
      <c r="N817" t="s">
        <v>625</v>
      </c>
      <c r="O817" t="s">
        <v>669</v>
      </c>
      <c r="P817" t="s">
        <v>670</v>
      </c>
      <c r="Q817" t="s">
        <v>509</v>
      </c>
      <c r="R817" t="s">
        <v>611</v>
      </c>
      <c r="S817" t="s">
        <v>671</v>
      </c>
      <c r="T817" t="s">
        <v>613</v>
      </c>
      <c r="U817">
        <v>105800</v>
      </c>
      <c r="V817" t="s">
        <v>5410</v>
      </c>
      <c r="W817" t="s">
        <v>673</v>
      </c>
      <c r="X817" t="s">
        <v>5252</v>
      </c>
      <c r="Y817" t="s">
        <v>5253</v>
      </c>
      <c r="AA817" t="s">
        <v>5254</v>
      </c>
      <c r="AB817" t="s">
        <v>5247</v>
      </c>
      <c r="AE817">
        <v>-35.67967874</v>
      </c>
      <c r="AF817">
        <v>174.31588987000001</v>
      </c>
      <c r="AG817" s="175">
        <v>30</v>
      </c>
      <c r="AH817" s="175">
        <v>18</v>
      </c>
      <c r="AI817" s="175">
        <v>20</v>
      </c>
      <c r="AJ817" s="175">
        <v>5</v>
      </c>
      <c r="AK817" s="175">
        <v>7</v>
      </c>
      <c r="AL817" s="175">
        <v>1</v>
      </c>
      <c r="AM817" s="175">
        <v>4</v>
      </c>
      <c r="AN817" s="175">
        <v>0</v>
      </c>
      <c r="AO817" s="175">
        <v>37</v>
      </c>
      <c r="AP817" s="175">
        <v>36</v>
      </c>
      <c r="AQ817" s="175">
        <v>13</v>
      </c>
      <c r="AR817" s="175">
        <v>3</v>
      </c>
      <c r="AS817" s="175">
        <v>1</v>
      </c>
      <c r="AT817" s="175">
        <v>1</v>
      </c>
    </row>
    <row r="818" spans="1:46">
      <c r="A818">
        <v>16668</v>
      </c>
      <c r="B818" t="s">
        <v>5606</v>
      </c>
      <c r="C818" t="s">
        <v>5247</v>
      </c>
      <c r="D818" t="s">
        <v>5248</v>
      </c>
      <c r="E818" t="s">
        <v>5607</v>
      </c>
      <c r="F818" t="s">
        <v>5608</v>
      </c>
      <c r="G818" t="s">
        <v>668</v>
      </c>
      <c r="H818" t="s">
        <v>301</v>
      </c>
      <c r="J818" t="s">
        <v>605</v>
      </c>
      <c r="K818" t="s">
        <v>606</v>
      </c>
      <c r="M818" t="s">
        <v>607</v>
      </c>
      <c r="N818" t="s">
        <v>643</v>
      </c>
      <c r="O818" t="s">
        <v>669</v>
      </c>
      <c r="P818" t="s">
        <v>658</v>
      </c>
      <c r="Q818" t="s">
        <v>509</v>
      </c>
      <c r="R818" t="s">
        <v>611</v>
      </c>
      <c r="S818" t="s">
        <v>671</v>
      </c>
      <c r="T818" t="s">
        <v>613</v>
      </c>
      <c r="U818">
        <v>108601</v>
      </c>
      <c r="V818" t="s">
        <v>5609</v>
      </c>
      <c r="W818" t="s">
        <v>704</v>
      </c>
      <c r="X818" t="s">
        <v>5252</v>
      </c>
      <c r="Y818" t="s">
        <v>5253</v>
      </c>
      <c r="AA818" t="s">
        <v>5254</v>
      </c>
      <c r="AB818" t="s">
        <v>5247</v>
      </c>
      <c r="AC818">
        <v>99184</v>
      </c>
      <c r="AD818" t="s">
        <v>3813</v>
      </c>
      <c r="AE818">
        <v>-35.853335909999998</v>
      </c>
      <c r="AF818">
        <v>174.45195459999999</v>
      </c>
      <c r="AG818" s="175">
        <v>30</v>
      </c>
      <c r="AH818" s="175">
        <v>16</v>
      </c>
      <c r="AI818" s="175"/>
      <c r="AJ818" s="175"/>
      <c r="AK818" s="175"/>
      <c r="AL818" s="175"/>
      <c r="AM818" s="175"/>
      <c r="AN818" s="175"/>
      <c r="AO818" s="175"/>
      <c r="AP818" s="175"/>
      <c r="AQ818" s="175"/>
      <c r="AR818" s="175"/>
      <c r="AS818" s="175"/>
    </row>
    <row r="819" spans="1:46">
      <c r="A819">
        <v>16689</v>
      </c>
      <c r="B819" t="s">
        <v>5610</v>
      </c>
      <c r="C819" t="s">
        <v>5247</v>
      </c>
      <c r="D819" t="s">
        <v>5248</v>
      </c>
      <c r="E819" t="s">
        <v>5611</v>
      </c>
      <c r="G819" t="s">
        <v>5421</v>
      </c>
      <c r="H819" t="s">
        <v>301</v>
      </c>
      <c r="J819" t="s">
        <v>605</v>
      </c>
      <c r="K819" t="s">
        <v>606</v>
      </c>
      <c r="M819" t="s">
        <v>607</v>
      </c>
      <c r="N819" t="s">
        <v>657</v>
      </c>
      <c r="O819" t="s">
        <v>669</v>
      </c>
      <c r="P819" t="s">
        <v>610</v>
      </c>
      <c r="Q819" t="s">
        <v>509</v>
      </c>
      <c r="R819" t="s">
        <v>611</v>
      </c>
      <c r="S819" t="s">
        <v>671</v>
      </c>
      <c r="T819" t="s">
        <v>613</v>
      </c>
      <c r="U819">
        <v>109003</v>
      </c>
      <c r="V819" t="s">
        <v>5422</v>
      </c>
      <c r="W819" t="s">
        <v>704</v>
      </c>
      <c r="X819" t="s">
        <v>5252</v>
      </c>
      <c r="Y819" t="s">
        <v>5253</v>
      </c>
      <c r="AA819" t="s">
        <v>5254</v>
      </c>
      <c r="AB819" t="s">
        <v>5247</v>
      </c>
      <c r="AC819">
        <v>99184</v>
      </c>
      <c r="AD819" t="s">
        <v>3813</v>
      </c>
      <c r="AE819">
        <v>-35.98656897</v>
      </c>
      <c r="AF819">
        <v>174.44138939999999</v>
      </c>
      <c r="AG819" s="175">
        <v>30</v>
      </c>
      <c r="AH819" s="175">
        <v>16</v>
      </c>
      <c r="AI819" s="175">
        <v>3</v>
      </c>
      <c r="AJ819" s="175">
        <v>6</v>
      </c>
      <c r="AK819" s="175">
        <v>4</v>
      </c>
      <c r="AL819" s="175">
        <v>5</v>
      </c>
      <c r="AM819" s="175">
        <v>5</v>
      </c>
      <c r="AN819" s="175">
        <v>0</v>
      </c>
      <c r="AO819" s="175">
        <v>23</v>
      </c>
      <c r="AP819" s="175">
        <v>22</v>
      </c>
      <c r="AQ819" s="175">
        <v>1</v>
      </c>
      <c r="AR819" s="175">
        <v>0</v>
      </c>
      <c r="AS819" s="175">
        <v>1</v>
      </c>
      <c r="AT819" s="175">
        <v>1</v>
      </c>
    </row>
    <row r="820" spans="1:46">
      <c r="A820">
        <v>16765</v>
      </c>
      <c r="B820" t="s">
        <v>5612</v>
      </c>
      <c r="C820" t="s">
        <v>5613</v>
      </c>
      <c r="D820" t="s">
        <v>5248</v>
      </c>
      <c r="E820" t="s">
        <v>5614</v>
      </c>
      <c r="G820" t="s">
        <v>5615</v>
      </c>
      <c r="H820" t="s">
        <v>301</v>
      </c>
      <c r="J820" t="s">
        <v>605</v>
      </c>
      <c r="K820" t="s">
        <v>606</v>
      </c>
      <c r="M820" t="s">
        <v>607</v>
      </c>
      <c r="N820" t="s">
        <v>657</v>
      </c>
      <c r="O820" t="s">
        <v>650</v>
      </c>
      <c r="P820" t="s">
        <v>626</v>
      </c>
      <c r="Q820" t="s">
        <v>509</v>
      </c>
      <c r="R820" t="s">
        <v>611</v>
      </c>
      <c r="S820" t="s">
        <v>612</v>
      </c>
      <c r="T820" t="s">
        <v>613</v>
      </c>
      <c r="U820">
        <v>109700</v>
      </c>
      <c r="V820" t="s">
        <v>5615</v>
      </c>
      <c r="W820" t="s">
        <v>5376</v>
      </c>
      <c r="X820" t="s">
        <v>5252</v>
      </c>
      <c r="Y820" t="s">
        <v>5253</v>
      </c>
      <c r="AA820" t="s">
        <v>5254</v>
      </c>
      <c r="AB820" t="s">
        <v>5247</v>
      </c>
      <c r="AE820">
        <v>-36.170739519999998</v>
      </c>
      <c r="AF820">
        <v>174.44518586000001</v>
      </c>
      <c r="AG820" s="175">
        <v>25</v>
      </c>
      <c r="AH820" s="175">
        <v>15</v>
      </c>
      <c r="AI820" s="175">
        <v>1</v>
      </c>
      <c r="AJ820" s="175">
        <v>5</v>
      </c>
      <c r="AK820" s="175">
        <v>1</v>
      </c>
      <c r="AL820" s="175">
        <v>2</v>
      </c>
      <c r="AM820" s="175">
        <v>4</v>
      </c>
      <c r="AN820" s="175">
        <v>1</v>
      </c>
      <c r="AO820" s="175">
        <v>14</v>
      </c>
      <c r="AP820" s="175">
        <v>12</v>
      </c>
      <c r="AQ820" s="175">
        <v>2</v>
      </c>
      <c r="AR820" s="175">
        <v>0</v>
      </c>
      <c r="AS820" s="175">
        <v>2</v>
      </c>
      <c r="AT820" s="175">
        <v>0</v>
      </c>
    </row>
    <row r="821" spans="1:46">
      <c r="A821">
        <v>16766</v>
      </c>
      <c r="B821" t="s">
        <v>5616</v>
      </c>
      <c r="C821" t="s">
        <v>5247</v>
      </c>
      <c r="D821" t="s">
        <v>5248</v>
      </c>
      <c r="E821" t="s">
        <v>5617</v>
      </c>
      <c r="F821" t="s">
        <v>5618</v>
      </c>
      <c r="G821" t="s">
        <v>668</v>
      </c>
      <c r="H821" t="s">
        <v>301</v>
      </c>
      <c r="J821" t="s">
        <v>605</v>
      </c>
      <c r="K821" t="s">
        <v>606</v>
      </c>
      <c r="M821" t="s">
        <v>607</v>
      </c>
      <c r="N821" t="s">
        <v>625</v>
      </c>
      <c r="O821" t="s">
        <v>669</v>
      </c>
      <c r="P821" t="s">
        <v>670</v>
      </c>
      <c r="Q821" t="s">
        <v>509</v>
      </c>
      <c r="R821" t="s">
        <v>611</v>
      </c>
      <c r="S821" t="s">
        <v>671</v>
      </c>
      <c r="T821" t="s">
        <v>613</v>
      </c>
      <c r="U821">
        <v>106902</v>
      </c>
      <c r="V821" t="s">
        <v>4486</v>
      </c>
      <c r="W821" t="s">
        <v>673</v>
      </c>
      <c r="X821" t="s">
        <v>5252</v>
      </c>
      <c r="Y821" t="s">
        <v>5253</v>
      </c>
      <c r="AA821" t="s">
        <v>5254</v>
      </c>
      <c r="AB821" t="s">
        <v>5247</v>
      </c>
      <c r="AE821">
        <v>-35.736389709999997</v>
      </c>
      <c r="AF821">
        <v>174.30824296</v>
      </c>
      <c r="AG821" s="175">
        <v>19</v>
      </c>
      <c r="AH821" s="175">
        <v>15</v>
      </c>
      <c r="AI821" s="175">
        <v>1</v>
      </c>
      <c r="AJ821" s="175">
        <v>5</v>
      </c>
      <c r="AK821" s="175">
        <v>3</v>
      </c>
      <c r="AL821" s="175">
        <v>3</v>
      </c>
      <c r="AM821" s="175">
        <v>2</v>
      </c>
      <c r="AN821" s="175">
        <v>1</v>
      </c>
      <c r="AO821" s="175">
        <v>15</v>
      </c>
      <c r="AP821" s="175">
        <v>14</v>
      </c>
      <c r="AQ821" s="175">
        <v>2</v>
      </c>
      <c r="AR821" s="175">
        <v>1</v>
      </c>
      <c r="AS821" s="175">
        <v>1</v>
      </c>
      <c r="AT821" s="175">
        <v>2</v>
      </c>
    </row>
    <row r="822" spans="1:46">
      <c r="A822">
        <v>17021</v>
      </c>
      <c r="B822" t="s">
        <v>5619</v>
      </c>
      <c r="C822" t="s">
        <v>5247</v>
      </c>
      <c r="D822" t="s">
        <v>5248</v>
      </c>
      <c r="E822" t="s">
        <v>5620</v>
      </c>
      <c r="G822" t="s">
        <v>4209</v>
      </c>
      <c r="H822" t="s">
        <v>301</v>
      </c>
      <c r="J822" t="s">
        <v>605</v>
      </c>
      <c r="K822" t="s">
        <v>606</v>
      </c>
      <c r="M822" t="s">
        <v>607</v>
      </c>
      <c r="N822" t="s">
        <v>657</v>
      </c>
      <c r="O822" t="s">
        <v>609</v>
      </c>
      <c r="P822" t="s">
        <v>626</v>
      </c>
      <c r="Q822" t="s">
        <v>509</v>
      </c>
      <c r="R822" t="s">
        <v>611</v>
      </c>
      <c r="S822" t="s">
        <v>612</v>
      </c>
      <c r="T822" t="s">
        <v>613</v>
      </c>
      <c r="U822">
        <v>100200</v>
      </c>
      <c r="V822" t="s">
        <v>4210</v>
      </c>
      <c r="W822" t="s">
        <v>615</v>
      </c>
      <c r="X822" t="s">
        <v>5252</v>
      </c>
      <c r="Y822" t="s">
        <v>5253</v>
      </c>
      <c r="AA822" t="s">
        <v>5254</v>
      </c>
      <c r="AB822" t="s">
        <v>5247</v>
      </c>
      <c r="AE822">
        <v>-35.039526119999998</v>
      </c>
      <c r="AF822">
        <v>173.25484940999999</v>
      </c>
      <c r="AG822" s="175">
        <v>25</v>
      </c>
      <c r="AH822" s="175">
        <v>10</v>
      </c>
      <c r="AI822" s="175">
        <v>0</v>
      </c>
      <c r="AJ822" s="175">
        <v>0</v>
      </c>
      <c r="AK822" s="175">
        <v>2</v>
      </c>
      <c r="AL822" s="175">
        <v>1</v>
      </c>
      <c r="AM822" s="175">
        <v>2</v>
      </c>
      <c r="AN822" s="175">
        <v>3</v>
      </c>
      <c r="AO822" s="175">
        <v>8</v>
      </c>
      <c r="AP822" s="175">
        <v>5</v>
      </c>
      <c r="AQ822" s="175">
        <v>4</v>
      </c>
      <c r="AR822" s="175">
        <v>0</v>
      </c>
      <c r="AS822" s="175">
        <v>0</v>
      </c>
      <c r="AT822" s="175">
        <v>0</v>
      </c>
    </row>
    <row r="823" spans="1:46">
      <c r="A823">
        <v>17027</v>
      </c>
      <c r="B823" t="s">
        <v>5621</v>
      </c>
      <c r="C823" t="s">
        <v>5622</v>
      </c>
      <c r="D823" t="s">
        <v>5248</v>
      </c>
      <c r="E823" t="s">
        <v>5623</v>
      </c>
      <c r="F823" t="s">
        <v>5624</v>
      </c>
      <c r="G823" t="s">
        <v>604</v>
      </c>
      <c r="H823" t="s">
        <v>301</v>
      </c>
      <c r="J823" t="s">
        <v>605</v>
      </c>
      <c r="K823" t="s">
        <v>606</v>
      </c>
      <c r="M823" t="s">
        <v>607</v>
      </c>
      <c r="N823" t="s">
        <v>643</v>
      </c>
      <c r="O823" t="s">
        <v>609</v>
      </c>
      <c r="P823" t="s">
        <v>658</v>
      </c>
      <c r="Q823" t="s">
        <v>509</v>
      </c>
      <c r="R823" t="s">
        <v>611</v>
      </c>
      <c r="S823" t="s">
        <v>612</v>
      </c>
      <c r="T823" t="s">
        <v>613</v>
      </c>
      <c r="U823">
        <v>100900</v>
      </c>
      <c r="V823" t="s">
        <v>5625</v>
      </c>
      <c r="W823" t="s">
        <v>615</v>
      </c>
      <c r="X823" t="s">
        <v>5252</v>
      </c>
      <c r="Y823" t="s">
        <v>5253</v>
      </c>
      <c r="AA823" t="s">
        <v>5254</v>
      </c>
      <c r="AB823" t="s">
        <v>5247</v>
      </c>
      <c r="AE823">
        <v>-35.132834920000001</v>
      </c>
      <c r="AF823">
        <v>173.35156648</v>
      </c>
      <c r="AG823" s="175">
        <v>28</v>
      </c>
      <c r="AH823" s="175">
        <v>15</v>
      </c>
      <c r="AI823" s="175">
        <v>1</v>
      </c>
      <c r="AJ823" s="175">
        <v>2</v>
      </c>
      <c r="AK823" s="175">
        <v>2</v>
      </c>
      <c r="AL823" s="175">
        <v>2</v>
      </c>
      <c r="AM823" s="175">
        <v>1</v>
      </c>
      <c r="AN823" s="175">
        <v>0</v>
      </c>
      <c r="AO823" s="175">
        <v>8</v>
      </c>
      <c r="AP823" s="175">
        <v>7</v>
      </c>
      <c r="AQ823" s="175">
        <v>1</v>
      </c>
      <c r="AR823" s="175">
        <v>0</v>
      </c>
      <c r="AS823" s="175">
        <v>0</v>
      </c>
      <c r="AT823" s="175">
        <v>0</v>
      </c>
    </row>
    <row r="824" spans="1:46">
      <c r="A824">
        <v>17028</v>
      </c>
      <c r="B824" t="s">
        <v>5626</v>
      </c>
      <c r="C824" t="s">
        <v>5622</v>
      </c>
      <c r="D824" t="s">
        <v>5248</v>
      </c>
      <c r="E824" t="s">
        <v>5627</v>
      </c>
      <c r="G824" t="s">
        <v>604</v>
      </c>
      <c r="H824" t="s">
        <v>301</v>
      </c>
      <c r="J824" t="s">
        <v>605</v>
      </c>
      <c r="K824" t="s">
        <v>606</v>
      </c>
      <c r="M824" t="s">
        <v>607</v>
      </c>
      <c r="N824" t="s">
        <v>608</v>
      </c>
      <c r="O824" t="s">
        <v>609</v>
      </c>
      <c r="P824" t="s">
        <v>658</v>
      </c>
      <c r="Q824" t="s">
        <v>509</v>
      </c>
      <c r="R824" t="s">
        <v>611</v>
      </c>
      <c r="S824" t="s">
        <v>612</v>
      </c>
      <c r="T824" t="s">
        <v>613</v>
      </c>
      <c r="U824">
        <v>101300</v>
      </c>
      <c r="V824" t="s">
        <v>5628</v>
      </c>
      <c r="W824" t="s">
        <v>615</v>
      </c>
      <c r="X824" t="s">
        <v>5252</v>
      </c>
      <c r="Y824" t="s">
        <v>5253</v>
      </c>
      <c r="AA824" t="s">
        <v>5254</v>
      </c>
      <c r="AB824" t="s">
        <v>5247</v>
      </c>
      <c r="AE824">
        <v>-35.098404799999997</v>
      </c>
      <c r="AF824">
        <v>173.48774922000001</v>
      </c>
      <c r="AG824" s="175">
        <v>23</v>
      </c>
      <c r="AH824" s="175">
        <v>8</v>
      </c>
      <c r="AI824" s="175">
        <v>0</v>
      </c>
      <c r="AJ824" s="175">
        <v>3</v>
      </c>
      <c r="AK824" s="175">
        <v>1</v>
      </c>
      <c r="AL824" s="175">
        <v>5</v>
      </c>
      <c r="AM824" s="175">
        <v>1</v>
      </c>
      <c r="AN824" s="175">
        <v>0</v>
      </c>
      <c r="AO824" s="175">
        <v>10</v>
      </c>
      <c r="AP824" s="175">
        <v>10</v>
      </c>
      <c r="AQ824" s="175">
        <v>2</v>
      </c>
      <c r="AR824" s="175">
        <v>0</v>
      </c>
      <c r="AS824" s="175">
        <v>0</v>
      </c>
      <c r="AT824" s="175">
        <v>0</v>
      </c>
    </row>
    <row r="825" spans="1:46">
      <c r="A825">
        <v>17126</v>
      </c>
      <c r="B825" t="s">
        <v>5629</v>
      </c>
      <c r="C825" t="s">
        <v>5247</v>
      </c>
      <c r="D825" t="s">
        <v>5248</v>
      </c>
      <c r="E825" t="s">
        <v>5630</v>
      </c>
      <c r="G825" t="s">
        <v>5631</v>
      </c>
      <c r="H825" t="s">
        <v>301</v>
      </c>
      <c r="J825" t="s">
        <v>605</v>
      </c>
      <c r="K825" t="s">
        <v>606</v>
      </c>
      <c r="M825" t="s">
        <v>607</v>
      </c>
      <c r="N825" t="s">
        <v>643</v>
      </c>
      <c r="O825" t="s">
        <v>609</v>
      </c>
      <c r="P825" t="s">
        <v>626</v>
      </c>
      <c r="Q825" t="s">
        <v>509</v>
      </c>
      <c r="R825" t="s">
        <v>611</v>
      </c>
      <c r="S825" t="s">
        <v>612</v>
      </c>
      <c r="T825" t="s">
        <v>613</v>
      </c>
      <c r="U825">
        <v>101700</v>
      </c>
      <c r="V825" t="s">
        <v>5632</v>
      </c>
      <c r="W825" t="s">
        <v>637</v>
      </c>
      <c r="X825" t="s">
        <v>5252</v>
      </c>
      <c r="Y825" t="s">
        <v>5253</v>
      </c>
      <c r="AA825" t="s">
        <v>5254</v>
      </c>
      <c r="AB825" t="s">
        <v>5247</v>
      </c>
      <c r="AE825">
        <v>-35.360857350000003</v>
      </c>
      <c r="AF825">
        <v>173.54429956000001</v>
      </c>
      <c r="AG825" s="175">
        <v>20</v>
      </c>
      <c r="AH825" s="175">
        <v>8</v>
      </c>
      <c r="AI825" s="175">
        <v>0</v>
      </c>
      <c r="AJ825" s="175">
        <v>1</v>
      </c>
      <c r="AK825" s="175">
        <v>0</v>
      </c>
      <c r="AL825" s="175">
        <v>2</v>
      </c>
      <c r="AM825" s="175">
        <v>0</v>
      </c>
      <c r="AN825" s="175">
        <v>0</v>
      </c>
      <c r="AO825" s="175">
        <v>3</v>
      </c>
      <c r="AP825" s="175">
        <v>2</v>
      </c>
      <c r="AQ825" s="175">
        <v>3</v>
      </c>
      <c r="AR825" s="175">
        <v>0</v>
      </c>
      <c r="AS825" s="175">
        <v>0</v>
      </c>
      <c r="AT825" s="175">
        <v>0</v>
      </c>
    </row>
    <row r="826" spans="1:46">
      <c r="A826">
        <v>17146</v>
      </c>
      <c r="B826" t="s">
        <v>5633</v>
      </c>
      <c r="C826" t="s">
        <v>5634</v>
      </c>
      <c r="D826" t="s">
        <v>5248</v>
      </c>
      <c r="E826" t="s">
        <v>5635</v>
      </c>
      <c r="G826" t="s">
        <v>5636</v>
      </c>
      <c r="H826" t="s">
        <v>301</v>
      </c>
      <c r="I826" t="s">
        <v>5017</v>
      </c>
      <c r="J826" t="s">
        <v>605</v>
      </c>
      <c r="K826" t="s">
        <v>606</v>
      </c>
      <c r="M826" t="s">
        <v>607</v>
      </c>
      <c r="N826" t="s">
        <v>812</v>
      </c>
      <c r="O826" t="s">
        <v>609</v>
      </c>
      <c r="P826" t="s">
        <v>658</v>
      </c>
      <c r="Q826" t="s">
        <v>509</v>
      </c>
      <c r="R826" t="s">
        <v>611</v>
      </c>
      <c r="S826" t="s">
        <v>612</v>
      </c>
      <c r="T826" t="s">
        <v>613</v>
      </c>
      <c r="U826">
        <v>102700</v>
      </c>
      <c r="V826" t="s">
        <v>5493</v>
      </c>
      <c r="W826" t="s">
        <v>637</v>
      </c>
      <c r="X826" t="s">
        <v>5252</v>
      </c>
      <c r="Y826" t="s">
        <v>5253</v>
      </c>
      <c r="AA826" t="s">
        <v>5254</v>
      </c>
      <c r="AB826" t="s">
        <v>5247</v>
      </c>
      <c r="AE826">
        <v>-35.456890549999997</v>
      </c>
      <c r="AF826">
        <v>173.52406059</v>
      </c>
      <c r="AG826" s="175">
        <v>20</v>
      </c>
      <c r="AH826" s="175">
        <v>5</v>
      </c>
      <c r="AI826" s="175">
        <v>1</v>
      </c>
      <c r="AJ826" s="175">
        <v>4</v>
      </c>
      <c r="AK826" s="175">
        <v>2</v>
      </c>
      <c r="AL826" s="175">
        <v>4</v>
      </c>
      <c r="AM826" s="175">
        <v>3</v>
      </c>
      <c r="AN826" s="175">
        <v>0</v>
      </c>
      <c r="AO826" s="175">
        <v>14</v>
      </c>
      <c r="AP826" s="175">
        <v>7</v>
      </c>
      <c r="AQ826" s="175">
        <v>13</v>
      </c>
      <c r="AR826" s="175">
        <v>0</v>
      </c>
      <c r="AS826" s="175">
        <v>2</v>
      </c>
      <c r="AT826" s="175">
        <v>0</v>
      </c>
    </row>
    <row r="827" spans="1:46">
      <c r="A827">
        <v>17151</v>
      </c>
      <c r="B827" t="s">
        <v>5637</v>
      </c>
      <c r="C827" t="s">
        <v>5638</v>
      </c>
      <c r="D827" t="s">
        <v>5248</v>
      </c>
      <c r="E827" t="s">
        <v>5639</v>
      </c>
      <c r="G827" t="s">
        <v>5640</v>
      </c>
      <c r="H827" t="s">
        <v>301</v>
      </c>
      <c r="J827" t="s">
        <v>605</v>
      </c>
      <c r="K827" t="s">
        <v>606</v>
      </c>
      <c r="M827" t="s">
        <v>607</v>
      </c>
      <c r="N827" t="s">
        <v>643</v>
      </c>
      <c r="O827" t="s">
        <v>609</v>
      </c>
      <c r="P827" t="s">
        <v>626</v>
      </c>
      <c r="Q827" t="s">
        <v>509</v>
      </c>
      <c r="R827" t="s">
        <v>611</v>
      </c>
      <c r="S827" t="s">
        <v>612</v>
      </c>
      <c r="T827" t="s">
        <v>613</v>
      </c>
      <c r="U827">
        <v>103200</v>
      </c>
      <c r="V827" t="s">
        <v>5641</v>
      </c>
      <c r="W827" t="s">
        <v>637</v>
      </c>
      <c r="X827" t="s">
        <v>5252</v>
      </c>
      <c r="Y827" t="s">
        <v>5253</v>
      </c>
      <c r="AA827" t="s">
        <v>5254</v>
      </c>
      <c r="AB827" t="s">
        <v>5247</v>
      </c>
      <c r="AE827">
        <v>-35.35234947</v>
      </c>
      <c r="AF827">
        <v>173.88307166000001</v>
      </c>
      <c r="AG827" s="175">
        <v>20</v>
      </c>
      <c r="AH827" s="175">
        <v>10</v>
      </c>
      <c r="AI827" s="175"/>
      <c r="AJ827" s="175"/>
      <c r="AK827" s="175"/>
      <c r="AL827" s="175"/>
      <c r="AM827" s="175"/>
      <c r="AN827" s="175"/>
      <c r="AO827" s="175"/>
      <c r="AP827" s="175"/>
      <c r="AQ827" s="175"/>
      <c r="AR827" s="175"/>
      <c r="AS827" s="175"/>
    </row>
    <row r="828" spans="1:46">
      <c r="A828">
        <v>17153</v>
      </c>
      <c r="B828" t="s">
        <v>5642</v>
      </c>
      <c r="C828" t="s">
        <v>5643</v>
      </c>
      <c r="D828" t="s">
        <v>5248</v>
      </c>
      <c r="E828" t="s">
        <v>5644</v>
      </c>
      <c r="G828" t="s">
        <v>5645</v>
      </c>
      <c r="H828" t="s">
        <v>301</v>
      </c>
      <c r="J828" t="s">
        <v>605</v>
      </c>
      <c r="K828" t="s">
        <v>606</v>
      </c>
      <c r="M828" t="s">
        <v>607</v>
      </c>
      <c r="N828" t="s">
        <v>625</v>
      </c>
      <c r="O828" t="s">
        <v>609</v>
      </c>
      <c r="P828" t="s">
        <v>658</v>
      </c>
      <c r="Q828" t="s">
        <v>509</v>
      </c>
      <c r="R828" t="s">
        <v>611</v>
      </c>
      <c r="S828" t="s">
        <v>612</v>
      </c>
      <c r="T828" t="s">
        <v>613</v>
      </c>
      <c r="U828">
        <v>102900</v>
      </c>
      <c r="V828" t="s">
        <v>5646</v>
      </c>
      <c r="W828" t="s">
        <v>637</v>
      </c>
      <c r="X828" t="s">
        <v>5252</v>
      </c>
      <c r="Y828" t="s">
        <v>5253</v>
      </c>
      <c r="AA828" t="s">
        <v>5254</v>
      </c>
      <c r="AB828" t="s">
        <v>5247</v>
      </c>
      <c r="AE828">
        <v>-35.555998019999997</v>
      </c>
      <c r="AF828">
        <v>173.47398303</v>
      </c>
      <c r="AG828" s="175">
        <v>30</v>
      </c>
      <c r="AH828" s="175">
        <v>8</v>
      </c>
      <c r="AI828" s="175">
        <v>1</v>
      </c>
      <c r="AJ828" s="175">
        <v>2</v>
      </c>
      <c r="AK828" s="175">
        <v>0</v>
      </c>
      <c r="AL828" s="175">
        <v>1</v>
      </c>
      <c r="AM828" s="175">
        <v>2</v>
      </c>
      <c r="AN828" s="175">
        <v>0</v>
      </c>
      <c r="AO828" s="175">
        <v>6</v>
      </c>
      <c r="AP828" s="175">
        <v>6</v>
      </c>
      <c r="AQ828" s="175">
        <v>0</v>
      </c>
      <c r="AR828" s="175">
        <v>0</v>
      </c>
      <c r="AS828" s="175">
        <v>0</v>
      </c>
      <c r="AT828" s="175">
        <v>0</v>
      </c>
    </row>
    <row r="829" spans="1:46">
      <c r="A829">
        <v>17241</v>
      </c>
      <c r="B829" t="s">
        <v>5647</v>
      </c>
      <c r="C829" t="s">
        <v>5648</v>
      </c>
      <c r="D829" t="s">
        <v>5248</v>
      </c>
      <c r="E829" t="s">
        <v>5510</v>
      </c>
      <c r="G829" t="s">
        <v>4745</v>
      </c>
      <c r="H829" t="s">
        <v>301</v>
      </c>
      <c r="J829" t="s">
        <v>605</v>
      </c>
      <c r="K829" t="s">
        <v>606</v>
      </c>
      <c r="M829" t="s">
        <v>607</v>
      </c>
      <c r="N829" t="s">
        <v>643</v>
      </c>
      <c r="O829" t="s">
        <v>609</v>
      </c>
      <c r="P829" t="s">
        <v>626</v>
      </c>
      <c r="Q829" t="s">
        <v>509</v>
      </c>
      <c r="R829" t="s">
        <v>611</v>
      </c>
      <c r="S829" t="s">
        <v>612</v>
      </c>
      <c r="T829" t="s">
        <v>613</v>
      </c>
      <c r="U829">
        <v>101900</v>
      </c>
      <c r="V829" t="s">
        <v>4746</v>
      </c>
      <c r="W829" t="s">
        <v>644</v>
      </c>
      <c r="X829" t="s">
        <v>5252</v>
      </c>
      <c r="Y829" t="s">
        <v>5253</v>
      </c>
      <c r="AA829" t="s">
        <v>5254</v>
      </c>
      <c r="AB829" t="s">
        <v>5247</v>
      </c>
      <c r="AE829">
        <v>-35.100344419999999</v>
      </c>
      <c r="AF829">
        <v>173.78759368999999</v>
      </c>
      <c r="AG829" s="175">
        <v>28</v>
      </c>
      <c r="AH829" s="175">
        <v>10</v>
      </c>
      <c r="AI829" s="175">
        <v>0</v>
      </c>
      <c r="AJ829" s="175">
        <v>1</v>
      </c>
      <c r="AK829" s="175">
        <v>0</v>
      </c>
      <c r="AL829" s="175">
        <v>3</v>
      </c>
      <c r="AM829" s="175">
        <v>0</v>
      </c>
      <c r="AN829" s="175">
        <v>0</v>
      </c>
      <c r="AO829" s="175">
        <v>4</v>
      </c>
      <c r="AP829" s="175">
        <v>3</v>
      </c>
      <c r="AQ829" s="175">
        <v>2</v>
      </c>
      <c r="AR829" s="175">
        <v>0</v>
      </c>
      <c r="AS829" s="175">
        <v>0</v>
      </c>
      <c r="AT829" s="175">
        <v>0</v>
      </c>
    </row>
    <row r="830" spans="1:46">
      <c r="A830">
        <v>17464</v>
      </c>
      <c r="B830" t="s">
        <v>5649</v>
      </c>
      <c r="C830" t="s">
        <v>5247</v>
      </c>
      <c r="D830" t="s">
        <v>5248</v>
      </c>
      <c r="E830" t="s">
        <v>5650</v>
      </c>
      <c r="G830" t="s">
        <v>5651</v>
      </c>
      <c r="H830" t="s">
        <v>301</v>
      </c>
      <c r="J830" t="s">
        <v>605</v>
      </c>
      <c r="K830" t="s">
        <v>606</v>
      </c>
      <c r="M830" t="s">
        <v>607</v>
      </c>
      <c r="N830" t="s">
        <v>657</v>
      </c>
      <c r="O830" t="s">
        <v>650</v>
      </c>
      <c r="P830" t="s">
        <v>658</v>
      </c>
      <c r="Q830" t="s">
        <v>509</v>
      </c>
      <c r="R830" t="s">
        <v>611</v>
      </c>
      <c r="S830" t="s">
        <v>612</v>
      </c>
      <c r="T830" t="s">
        <v>613</v>
      </c>
      <c r="U830">
        <v>109101</v>
      </c>
      <c r="V830" t="s">
        <v>5251</v>
      </c>
      <c r="W830" t="s">
        <v>651</v>
      </c>
      <c r="X830" t="s">
        <v>5252</v>
      </c>
      <c r="Y830" t="s">
        <v>5253</v>
      </c>
      <c r="AA830" t="s">
        <v>5254</v>
      </c>
      <c r="AB830" t="s">
        <v>5247</v>
      </c>
      <c r="AC830">
        <v>99185</v>
      </c>
      <c r="AD830" t="s">
        <v>652</v>
      </c>
      <c r="AE830">
        <v>-35.834599599999997</v>
      </c>
      <c r="AF830">
        <v>173.75339299999999</v>
      </c>
      <c r="AG830" s="175">
        <v>30</v>
      </c>
      <c r="AH830" s="175">
        <v>12</v>
      </c>
      <c r="AI830" s="175">
        <v>0</v>
      </c>
      <c r="AJ830" s="175">
        <v>2</v>
      </c>
      <c r="AK830" s="175">
        <v>1</v>
      </c>
      <c r="AL830" s="175">
        <v>2</v>
      </c>
      <c r="AM830" s="175">
        <v>4</v>
      </c>
      <c r="AN830" s="175">
        <v>0</v>
      </c>
      <c r="AO830" s="175">
        <v>9</v>
      </c>
      <c r="AP830" s="175">
        <v>9</v>
      </c>
      <c r="AQ830" s="175">
        <v>3</v>
      </c>
      <c r="AR830" s="175">
        <v>0</v>
      </c>
      <c r="AS830" s="175">
        <v>0</v>
      </c>
      <c r="AT830" s="175">
        <v>0</v>
      </c>
    </row>
    <row r="831" spans="1:46">
      <c r="A831">
        <v>17663</v>
      </c>
      <c r="B831" t="s">
        <v>5652</v>
      </c>
      <c r="C831" t="s">
        <v>5247</v>
      </c>
      <c r="D831" t="s">
        <v>5248</v>
      </c>
      <c r="E831" t="s">
        <v>5653</v>
      </c>
      <c r="G831" t="s">
        <v>5654</v>
      </c>
      <c r="H831" t="s">
        <v>301</v>
      </c>
      <c r="J831" t="s">
        <v>605</v>
      </c>
      <c r="K831" t="s">
        <v>606</v>
      </c>
      <c r="M831" t="s">
        <v>607</v>
      </c>
      <c r="N831" t="s">
        <v>643</v>
      </c>
      <c r="O831" t="s">
        <v>669</v>
      </c>
      <c r="P831" t="s">
        <v>658</v>
      </c>
      <c r="Q831" t="s">
        <v>509</v>
      </c>
      <c r="R831" t="s">
        <v>611</v>
      </c>
      <c r="S831" t="s">
        <v>612</v>
      </c>
      <c r="T831" t="s">
        <v>613</v>
      </c>
      <c r="U831">
        <v>104800</v>
      </c>
      <c r="V831" t="s">
        <v>5367</v>
      </c>
      <c r="W831" t="s">
        <v>698</v>
      </c>
      <c r="X831" t="s">
        <v>5252</v>
      </c>
      <c r="Y831" t="s">
        <v>5253</v>
      </c>
      <c r="AA831" t="s">
        <v>5254</v>
      </c>
      <c r="AB831" t="s">
        <v>5247</v>
      </c>
      <c r="AE831">
        <v>-35.520713319999999</v>
      </c>
      <c r="AF831">
        <v>174.19675237000001</v>
      </c>
      <c r="AG831" s="175">
        <v>25</v>
      </c>
      <c r="AH831" s="175">
        <v>12</v>
      </c>
      <c r="AI831" s="175">
        <v>2</v>
      </c>
      <c r="AJ831" s="175">
        <v>6</v>
      </c>
      <c r="AK831" s="175">
        <v>7</v>
      </c>
      <c r="AL831" s="175">
        <v>2</v>
      </c>
      <c r="AM831" s="175">
        <v>6</v>
      </c>
      <c r="AN831" s="175">
        <v>0</v>
      </c>
      <c r="AO831" s="175">
        <v>23</v>
      </c>
      <c r="AP831" s="175">
        <v>23</v>
      </c>
      <c r="AQ831" s="175">
        <v>3</v>
      </c>
      <c r="AR831" s="175">
        <v>0</v>
      </c>
      <c r="AS831" s="175">
        <v>0</v>
      </c>
      <c r="AT831" s="175">
        <v>0</v>
      </c>
    </row>
    <row r="832" spans="1:46">
      <c r="A832">
        <v>17669</v>
      </c>
      <c r="B832" t="s">
        <v>5655</v>
      </c>
      <c r="C832" t="s">
        <v>5247</v>
      </c>
      <c r="D832" t="s">
        <v>5248</v>
      </c>
      <c r="E832" t="s">
        <v>5656</v>
      </c>
      <c r="G832" t="s">
        <v>5657</v>
      </c>
      <c r="H832" t="s">
        <v>301</v>
      </c>
      <c r="J832" t="s">
        <v>605</v>
      </c>
      <c r="K832" t="s">
        <v>606</v>
      </c>
      <c r="M832" t="s">
        <v>607</v>
      </c>
      <c r="N832" t="s">
        <v>657</v>
      </c>
      <c r="O832" t="s">
        <v>669</v>
      </c>
      <c r="P832" t="s">
        <v>626</v>
      </c>
      <c r="Q832" t="s">
        <v>509</v>
      </c>
      <c r="R832" t="s">
        <v>611</v>
      </c>
      <c r="S832" t="s">
        <v>612</v>
      </c>
      <c r="T832" t="s">
        <v>613</v>
      </c>
      <c r="U832">
        <v>107800</v>
      </c>
      <c r="V832" t="s">
        <v>5658</v>
      </c>
      <c r="W832" t="s">
        <v>704</v>
      </c>
      <c r="X832" t="s">
        <v>5252</v>
      </c>
      <c r="Y832" t="s">
        <v>5253</v>
      </c>
      <c r="AA832" t="s">
        <v>5254</v>
      </c>
      <c r="AB832" t="s">
        <v>5247</v>
      </c>
      <c r="AC832">
        <v>99183</v>
      </c>
      <c r="AD832" t="s">
        <v>705</v>
      </c>
      <c r="AE832">
        <v>-35.844798359999999</v>
      </c>
      <c r="AF832">
        <v>174.20427447</v>
      </c>
      <c r="AG832" s="175">
        <v>26</v>
      </c>
      <c r="AH832" s="175">
        <v>12</v>
      </c>
      <c r="AI832" s="175">
        <v>1</v>
      </c>
      <c r="AJ832" s="175">
        <v>2</v>
      </c>
      <c r="AK832" s="175">
        <v>2</v>
      </c>
      <c r="AL832" s="175">
        <v>1</v>
      </c>
      <c r="AM832" s="175">
        <v>5</v>
      </c>
      <c r="AN832" s="175">
        <v>0</v>
      </c>
      <c r="AO832" s="175">
        <v>11</v>
      </c>
      <c r="AP832" s="175">
        <v>11</v>
      </c>
      <c r="AQ832" s="175">
        <v>2</v>
      </c>
      <c r="AR832" s="175">
        <v>1</v>
      </c>
      <c r="AS832" s="175">
        <v>0</v>
      </c>
      <c r="AT832" s="175">
        <v>0</v>
      </c>
    </row>
    <row r="833" spans="1:46">
      <c r="A833">
        <v>17670</v>
      </c>
      <c r="B833" t="s">
        <v>5659</v>
      </c>
      <c r="C833" t="s">
        <v>5247</v>
      </c>
      <c r="D833" t="s">
        <v>5248</v>
      </c>
      <c r="E833" t="s">
        <v>5366</v>
      </c>
      <c r="G833" t="s">
        <v>5660</v>
      </c>
      <c r="H833" t="s">
        <v>301</v>
      </c>
      <c r="J833" t="s">
        <v>605</v>
      </c>
      <c r="K833" t="s">
        <v>606</v>
      </c>
      <c r="M833" t="s">
        <v>607</v>
      </c>
      <c r="N833" t="s">
        <v>657</v>
      </c>
      <c r="O833" t="s">
        <v>669</v>
      </c>
      <c r="P833" t="s">
        <v>626</v>
      </c>
      <c r="Q833" t="s">
        <v>509</v>
      </c>
      <c r="R833" t="s">
        <v>611</v>
      </c>
      <c r="S833" t="s">
        <v>671</v>
      </c>
      <c r="T833" t="s">
        <v>613</v>
      </c>
      <c r="U833">
        <v>105400</v>
      </c>
      <c r="V833" t="s">
        <v>5661</v>
      </c>
      <c r="W833" t="s">
        <v>5368</v>
      </c>
      <c r="X833" t="s">
        <v>5252</v>
      </c>
      <c r="Y833" t="s">
        <v>5253</v>
      </c>
      <c r="AA833" t="s">
        <v>5254</v>
      </c>
      <c r="AB833" t="s">
        <v>5247</v>
      </c>
      <c r="AE833">
        <v>-35.754815999999998</v>
      </c>
      <c r="AF833">
        <v>174.20475082999999</v>
      </c>
      <c r="AG833" s="175">
        <v>30</v>
      </c>
      <c r="AH833" s="175">
        <v>15</v>
      </c>
      <c r="AI833" s="175">
        <v>2</v>
      </c>
      <c r="AJ833" s="175">
        <v>4</v>
      </c>
      <c r="AK833" s="175">
        <v>6</v>
      </c>
      <c r="AL833" s="175">
        <v>5</v>
      </c>
      <c r="AM833" s="175">
        <v>2</v>
      </c>
      <c r="AN833" s="175">
        <v>0</v>
      </c>
      <c r="AO833" s="175">
        <v>19</v>
      </c>
      <c r="AP833" s="175">
        <v>16</v>
      </c>
      <c r="AQ833" s="175">
        <v>0</v>
      </c>
      <c r="AR833" s="175">
        <v>0</v>
      </c>
      <c r="AS833" s="175">
        <v>1</v>
      </c>
      <c r="AT833" s="175">
        <v>2</v>
      </c>
    </row>
    <row r="834" spans="1:46">
      <c r="A834">
        <v>17675</v>
      </c>
      <c r="B834" t="s">
        <v>5662</v>
      </c>
      <c r="C834" t="s">
        <v>5247</v>
      </c>
      <c r="D834" t="s">
        <v>5248</v>
      </c>
      <c r="E834" t="s">
        <v>5663</v>
      </c>
      <c r="G834" t="s">
        <v>4955</v>
      </c>
      <c r="H834" t="s">
        <v>301</v>
      </c>
      <c r="J834" t="s">
        <v>605</v>
      </c>
      <c r="K834" t="s">
        <v>606</v>
      </c>
      <c r="M834" t="s">
        <v>607</v>
      </c>
      <c r="N834" t="s">
        <v>657</v>
      </c>
      <c r="O834" t="s">
        <v>669</v>
      </c>
      <c r="P834" t="s">
        <v>626</v>
      </c>
      <c r="Q834" t="s">
        <v>509</v>
      </c>
      <c r="R834" t="s">
        <v>611</v>
      </c>
      <c r="S834" t="s">
        <v>671</v>
      </c>
      <c r="T834" t="s">
        <v>613</v>
      </c>
      <c r="U834">
        <v>108500</v>
      </c>
      <c r="V834" t="s">
        <v>4956</v>
      </c>
      <c r="W834" t="s">
        <v>4732</v>
      </c>
      <c r="X834" t="s">
        <v>5252</v>
      </c>
      <c r="Y834" t="s">
        <v>5253</v>
      </c>
      <c r="AA834" t="s">
        <v>5254</v>
      </c>
      <c r="AB834" t="s">
        <v>5247</v>
      </c>
      <c r="AC834">
        <v>99180</v>
      </c>
      <c r="AD834" t="s">
        <v>4957</v>
      </c>
      <c r="AE834">
        <v>-35.769971329999997</v>
      </c>
      <c r="AF834">
        <v>174.48077140999999</v>
      </c>
      <c r="AG834" s="175">
        <v>30</v>
      </c>
      <c r="AH834" s="175">
        <v>15</v>
      </c>
      <c r="AI834" s="175">
        <v>3</v>
      </c>
      <c r="AJ834" s="175">
        <v>4</v>
      </c>
      <c r="AK834" s="175">
        <v>10</v>
      </c>
      <c r="AL834" s="175">
        <v>2</v>
      </c>
      <c r="AM834" s="175">
        <v>8</v>
      </c>
      <c r="AN834" s="175">
        <v>1</v>
      </c>
      <c r="AO834" s="175">
        <v>28</v>
      </c>
      <c r="AP834" s="175">
        <v>26</v>
      </c>
      <c r="AQ834" s="175">
        <v>2</v>
      </c>
      <c r="AR834" s="175">
        <v>0</v>
      </c>
      <c r="AS834" s="175">
        <v>0</v>
      </c>
      <c r="AT834" s="175">
        <v>3</v>
      </c>
    </row>
    <row r="835" spans="1:46">
      <c r="A835">
        <v>17686</v>
      </c>
      <c r="B835" t="s">
        <v>5664</v>
      </c>
      <c r="C835" t="s">
        <v>5247</v>
      </c>
      <c r="D835" t="s">
        <v>5248</v>
      </c>
      <c r="E835" t="s">
        <v>5665</v>
      </c>
      <c r="G835" t="s">
        <v>5666</v>
      </c>
      <c r="H835" t="s">
        <v>301</v>
      </c>
      <c r="J835" t="s">
        <v>605</v>
      </c>
      <c r="K835" t="s">
        <v>606</v>
      </c>
      <c r="M835" t="s">
        <v>607</v>
      </c>
      <c r="N835" t="s">
        <v>657</v>
      </c>
      <c r="O835" t="s">
        <v>669</v>
      </c>
      <c r="P835" t="s">
        <v>610</v>
      </c>
      <c r="Q835" t="s">
        <v>509</v>
      </c>
      <c r="R835" t="s">
        <v>611</v>
      </c>
      <c r="S835" t="s">
        <v>671</v>
      </c>
      <c r="T835" t="s">
        <v>613</v>
      </c>
      <c r="U835">
        <v>107600</v>
      </c>
      <c r="V835" t="s">
        <v>5666</v>
      </c>
      <c r="W835" t="s">
        <v>698</v>
      </c>
      <c r="X835" t="s">
        <v>5252</v>
      </c>
      <c r="Y835" t="s">
        <v>5253</v>
      </c>
      <c r="AA835" t="s">
        <v>5254</v>
      </c>
      <c r="AB835" t="s">
        <v>5247</v>
      </c>
      <c r="AC835">
        <v>99180</v>
      </c>
      <c r="AD835" t="s">
        <v>4957</v>
      </c>
      <c r="AE835">
        <v>-35.627818400000002</v>
      </c>
      <c r="AF835">
        <v>174.5066066</v>
      </c>
      <c r="AG835" s="175">
        <v>21</v>
      </c>
      <c r="AH835" s="175">
        <v>12</v>
      </c>
      <c r="AI835" s="175">
        <v>2</v>
      </c>
      <c r="AJ835" s="175">
        <v>2</v>
      </c>
      <c r="AK835" s="175">
        <v>4</v>
      </c>
      <c r="AL835" s="175">
        <v>3</v>
      </c>
      <c r="AM835" s="175">
        <v>0</v>
      </c>
      <c r="AN835" s="175">
        <v>2</v>
      </c>
      <c r="AO835" s="175">
        <v>13</v>
      </c>
      <c r="AP835" s="175">
        <v>11</v>
      </c>
      <c r="AQ835" s="175">
        <v>1</v>
      </c>
      <c r="AR835" s="175">
        <v>1</v>
      </c>
      <c r="AS835" s="175">
        <v>1</v>
      </c>
      <c r="AT835" s="175">
        <v>2</v>
      </c>
    </row>
    <row r="836" spans="1:46">
      <c r="A836">
        <v>17771</v>
      </c>
      <c r="B836" t="s">
        <v>5667</v>
      </c>
      <c r="C836" t="s">
        <v>5247</v>
      </c>
      <c r="D836" t="s">
        <v>5248</v>
      </c>
      <c r="E836" t="s">
        <v>5668</v>
      </c>
      <c r="G836" t="s">
        <v>5669</v>
      </c>
      <c r="H836" t="s">
        <v>301</v>
      </c>
      <c r="J836" t="s">
        <v>605</v>
      </c>
      <c r="K836" t="s">
        <v>606</v>
      </c>
      <c r="M836" t="s">
        <v>607</v>
      </c>
      <c r="N836" t="s">
        <v>657</v>
      </c>
      <c r="O836" t="s">
        <v>650</v>
      </c>
      <c r="P836" t="s">
        <v>626</v>
      </c>
      <c r="Q836" t="s">
        <v>509</v>
      </c>
      <c r="R836" t="s">
        <v>611</v>
      </c>
      <c r="S836" t="s">
        <v>612</v>
      </c>
      <c r="T836" t="s">
        <v>613</v>
      </c>
      <c r="U836">
        <v>109600</v>
      </c>
      <c r="V836" t="s">
        <v>5670</v>
      </c>
      <c r="W836" t="s">
        <v>660</v>
      </c>
      <c r="X836" t="s">
        <v>5252</v>
      </c>
      <c r="Y836" t="s">
        <v>5253</v>
      </c>
      <c r="AA836" t="s">
        <v>5254</v>
      </c>
      <c r="AB836" t="s">
        <v>5247</v>
      </c>
      <c r="AE836">
        <v>-36.110192789999999</v>
      </c>
      <c r="AF836">
        <v>174.35306259999999</v>
      </c>
      <c r="AG836" s="175">
        <v>30</v>
      </c>
      <c r="AH836" s="175">
        <v>12</v>
      </c>
      <c r="AI836" s="175">
        <v>0</v>
      </c>
      <c r="AJ836" s="175">
        <v>1</v>
      </c>
      <c r="AK836" s="175">
        <v>1</v>
      </c>
      <c r="AL836" s="175">
        <v>2</v>
      </c>
      <c r="AM836" s="175">
        <v>0</v>
      </c>
      <c r="AN836" s="175">
        <v>1</v>
      </c>
      <c r="AO836" s="175">
        <v>5</v>
      </c>
      <c r="AP836" s="175">
        <v>5</v>
      </c>
      <c r="AQ836" s="175">
        <v>0</v>
      </c>
      <c r="AR836" s="175">
        <v>0</v>
      </c>
      <c r="AS836" s="175">
        <v>0</v>
      </c>
      <c r="AT836" s="175">
        <v>0</v>
      </c>
    </row>
    <row r="837" spans="1:46">
      <c r="A837">
        <v>17778</v>
      </c>
      <c r="B837" t="s">
        <v>5671</v>
      </c>
      <c r="C837" t="s">
        <v>5672</v>
      </c>
      <c r="D837" t="s">
        <v>5248</v>
      </c>
      <c r="E837" t="s">
        <v>5673</v>
      </c>
      <c r="G837" t="s">
        <v>5674</v>
      </c>
      <c r="H837" t="s">
        <v>301</v>
      </c>
      <c r="J837" t="s">
        <v>605</v>
      </c>
      <c r="K837" t="s">
        <v>606</v>
      </c>
      <c r="M837" t="s">
        <v>607</v>
      </c>
      <c r="N837" t="s">
        <v>657</v>
      </c>
      <c r="O837" t="s">
        <v>650</v>
      </c>
      <c r="P837" t="s">
        <v>626</v>
      </c>
      <c r="Q837" t="s">
        <v>509</v>
      </c>
      <c r="R837" t="s">
        <v>611</v>
      </c>
      <c r="S837" t="s">
        <v>612</v>
      </c>
      <c r="T837" t="s">
        <v>613</v>
      </c>
      <c r="U837">
        <v>109500</v>
      </c>
      <c r="V837" t="s">
        <v>5675</v>
      </c>
      <c r="W837" t="s">
        <v>660</v>
      </c>
      <c r="X837" t="s">
        <v>5252</v>
      </c>
      <c r="Y837" t="s">
        <v>5253</v>
      </c>
      <c r="AA837" t="s">
        <v>5254</v>
      </c>
      <c r="AB837" t="s">
        <v>5247</v>
      </c>
      <c r="AE837">
        <v>-36.099795319999998</v>
      </c>
      <c r="AF837">
        <v>174.23337006</v>
      </c>
      <c r="AG837" s="175">
        <v>25</v>
      </c>
      <c r="AH837" s="175">
        <v>12</v>
      </c>
      <c r="AI837" s="175">
        <v>2</v>
      </c>
      <c r="AJ837" s="175">
        <v>2</v>
      </c>
      <c r="AK837" s="175">
        <v>2</v>
      </c>
      <c r="AL837" s="175">
        <v>2</v>
      </c>
      <c r="AM837" s="175">
        <v>2</v>
      </c>
      <c r="AN837" s="175">
        <v>1</v>
      </c>
      <c r="AO837" s="175">
        <v>11</v>
      </c>
      <c r="AP837" s="175">
        <v>11</v>
      </c>
      <c r="AQ837" s="175">
        <v>4</v>
      </c>
      <c r="AR837" s="175">
        <v>0</v>
      </c>
      <c r="AS837" s="175">
        <v>0</v>
      </c>
      <c r="AT837" s="175">
        <v>0</v>
      </c>
    </row>
    <row r="838" spans="1:46">
      <c r="A838">
        <v>18201</v>
      </c>
      <c r="B838" t="s">
        <v>5676</v>
      </c>
      <c r="C838" t="s">
        <v>5677</v>
      </c>
      <c r="E838" t="s">
        <v>5678</v>
      </c>
      <c r="F838" t="s">
        <v>667</v>
      </c>
      <c r="G838" t="s">
        <v>668</v>
      </c>
      <c r="H838" t="s">
        <v>347</v>
      </c>
      <c r="J838" t="s">
        <v>605</v>
      </c>
      <c r="K838" t="s">
        <v>606</v>
      </c>
      <c r="L838" t="s">
        <v>4273</v>
      </c>
      <c r="M838" t="s">
        <v>607</v>
      </c>
      <c r="N838" t="s">
        <v>608</v>
      </c>
      <c r="O838" t="s">
        <v>669</v>
      </c>
      <c r="P838" t="s">
        <v>670</v>
      </c>
      <c r="Q838" t="s">
        <v>509</v>
      </c>
      <c r="R838" t="s">
        <v>611</v>
      </c>
      <c r="S838" t="s">
        <v>671</v>
      </c>
      <c r="T838" t="s">
        <v>613</v>
      </c>
      <c r="U838">
        <v>106201</v>
      </c>
      <c r="V838" t="s">
        <v>672</v>
      </c>
      <c r="W838" t="s">
        <v>673</v>
      </c>
      <c r="X838" t="s">
        <v>4520</v>
      </c>
      <c r="Y838" t="s">
        <v>4276</v>
      </c>
      <c r="Z838" t="s">
        <v>4277</v>
      </c>
      <c r="AA838" t="s">
        <v>4278</v>
      </c>
      <c r="AB838" t="s">
        <v>4521</v>
      </c>
      <c r="AE838">
        <v>-35.675872329999997</v>
      </c>
      <c r="AF838">
        <v>174.32791997000001</v>
      </c>
      <c r="AG838" s="175">
        <v>25</v>
      </c>
      <c r="AH838" s="175">
        <v>5</v>
      </c>
      <c r="AI838" s="175">
        <v>0</v>
      </c>
      <c r="AJ838" s="175">
        <v>2</v>
      </c>
      <c r="AK838" s="175">
        <v>4</v>
      </c>
      <c r="AL838" s="175">
        <v>7</v>
      </c>
      <c r="AM838" s="175">
        <v>4</v>
      </c>
      <c r="AN838" s="175">
        <v>0</v>
      </c>
      <c r="AO838" s="175">
        <v>17</v>
      </c>
      <c r="AP838" s="175">
        <v>0</v>
      </c>
      <c r="AQ838" s="175">
        <v>17</v>
      </c>
      <c r="AR838" s="175">
        <v>0</v>
      </c>
      <c r="AS838" s="175">
        <v>0</v>
      </c>
      <c r="AT838" s="175">
        <v>0</v>
      </c>
    </row>
    <row r="839" spans="1:46">
      <c r="A839">
        <v>18212</v>
      </c>
      <c r="B839" t="s">
        <v>5679</v>
      </c>
      <c r="C839" t="s">
        <v>5680</v>
      </c>
      <c r="E839" t="s">
        <v>5681</v>
      </c>
      <c r="G839" t="s">
        <v>668</v>
      </c>
      <c r="H839" t="s">
        <v>347</v>
      </c>
      <c r="J839" t="s">
        <v>605</v>
      </c>
      <c r="K839" t="s">
        <v>606</v>
      </c>
      <c r="L839" t="s">
        <v>4273</v>
      </c>
      <c r="M839" t="s">
        <v>607</v>
      </c>
      <c r="N839" t="s">
        <v>812</v>
      </c>
      <c r="O839" t="s">
        <v>669</v>
      </c>
      <c r="P839" t="s">
        <v>658</v>
      </c>
      <c r="Q839" t="s">
        <v>509</v>
      </c>
      <c r="R839" t="s">
        <v>611</v>
      </c>
      <c r="S839" t="s">
        <v>612</v>
      </c>
      <c r="T839" t="s">
        <v>613</v>
      </c>
      <c r="U839">
        <v>104800</v>
      </c>
      <c r="V839" t="s">
        <v>5367</v>
      </c>
      <c r="W839" t="s">
        <v>5368</v>
      </c>
      <c r="X839" t="s">
        <v>4520</v>
      </c>
      <c r="Y839" t="s">
        <v>4276</v>
      </c>
      <c r="Z839" t="s">
        <v>4277</v>
      </c>
      <c r="AA839" t="s">
        <v>4278</v>
      </c>
      <c r="AB839" t="s">
        <v>4521</v>
      </c>
      <c r="AE839">
        <v>-35.620969670000001</v>
      </c>
      <c r="AF839">
        <v>174.01873719</v>
      </c>
      <c r="AG839" s="175">
        <v>20</v>
      </c>
      <c r="AH839" s="175">
        <v>7</v>
      </c>
      <c r="AI839" s="175">
        <v>0</v>
      </c>
      <c r="AJ839" s="175">
        <v>5</v>
      </c>
      <c r="AK839" s="175">
        <v>2</v>
      </c>
      <c r="AL839" s="175">
        <v>5</v>
      </c>
      <c r="AM839" s="175">
        <v>6</v>
      </c>
      <c r="AN839" s="175">
        <v>0</v>
      </c>
      <c r="AO839" s="175">
        <v>18</v>
      </c>
      <c r="AP839" s="175">
        <v>0</v>
      </c>
      <c r="AQ839" s="175">
        <v>17</v>
      </c>
      <c r="AR839" s="175">
        <v>0</v>
      </c>
      <c r="AS839" s="175">
        <v>0</v>
      </c>
      <c r="AT839" s="175">
        <v>1</v>
      </c>
    </row>
    <row r="840" spans="1:46">
      <c r="A840">
        <v>18220</v>
      </c>
      <c r="B840" t="s">
        <v>5682</v>
      </c>
      <c r="C840" t="s">
        <v>5683</v>
      </c>
      <c r="E840" t="s">
        <v>5684</v>
      </c>
      <c r="G840" t="s">
        <v>5608</v>
      </c>
      <c r="H840" t="s">
        <v>347</v>
      </c>
      <c r="J840" t="s">
        <v>605</v>
      </c>
      <c r="K840" t="s">
        <v>606</v>
      </c>
      <c r="L840" t="s">
        <v>4273</v>
      </c>
      <c r="M840" t="s">
        <v>607</v>
      </c>
      <c r="N840" t="s">
        <v>608</v>
      </c>
      <c r="O840" t="s">
        <v>669</v>
      </c>
      <c r="P840" t="s">
        <v>658</v>
      </c>
      <c r="Q840" t="s">
        <v>509</v>
      </c>
      <c r="R840" t="s">
        <v>611</v>
      </c>
      <c r="S840" t="s">
        <v>671</v>
      </c>
      <c r="T840" t="s">
        <v>613</v>
      </c>
      <c r="U840">
        <v>108601</v>
      </c>
      <c r="V840" t="s">
        <v>5609</v>
      </c>
      <c r="W840" t="s">
        <v>704</v>
      </c>
      <c r="X840" t="s">
        <v>4520</v>
      </c>
      <c r="Y840" t="s">
        <v>4276</v>
      </c>
      <c r="Z840" t="s">
        <v>4277</v>
      </c>
      <c r="AA840" t="s">
        <v>4278</v>
      </c>
      <c r="AB840" t="s">
        <v>4521</v>
      </c>
      <c r="AE840">
        <v>-35.83788989</v>
      </c>
      <c r="AF840">
        <v>174.42053960999999</v>
      </c>
      <c r="AG840" s="175">
        <v>17</v>
      </c>
      <c r="AH840" s="175">
        <v>6</v>
      </c>
      <c r="AI840" s="175">
        <v>1</v>
      </c>
      <c r="AJ840" s="175">
        <v>4</v>
      </c>
      <c r="AK840" s="175">
        <v>1</v>
      </c>
      <c r="AL840" s="175">
        <v>1</v>
      </c>
      <c r="AM840" s="175">
        <v>0</v>
      </c>
      <c r="AN840" s="175">
        <v>0</v>
      </c>
      <c r="AO840" s="175">
        <v>7</v>
      </c>
      <c r="AP840" s="175">
        <v>0</v>
      </c>
      <c r="AQ840" s="175">
        <v>6</v>
      </c>
      <c r="AR840" s="175">
        <v>0</v>
      </c>
      <c r="AS840" s="175">
        <v>0</v>
      </c>
      <c r="AT840" s="175">
        <v>1</v>
      </c>
    </row>
    <row r="841" spans="1:46">
      <c r="A841">
        <v>18228</v>
      </c>
      <c r="B841" t="s">
        <v>5685</v>
      </c>
      <c r="C841" t="s">
        <v>5686</v>
      </c>
      <c r="E841" t="s">
        <v>5687</v>
      </c>
      <c r="F841" t="s">
        <v>618</v>
      </c>
      <c r="G841" t="s">
        <v>668</v>
      </c>
      <c r="H841" t="s">
        <v>347</v>
      </c>
      <c r="J841" t="s">
        <v>605</v>
      </c>
      <c r="K841" t="s">
        <v>606</v>
      </c>
      <c r="L841" t="s">
        <v>4273</v>
      </c>
      <c r="M841" t="s">
        <v>607</v>
      </c>
      <c r="N841" t="s">
        <v>812</v>
      </c>
      <c r="O841" t="s">
        <v>669</v>
      </c>
      <c r="P841" t="s">
        <v>670</v>
      </c>
      <c r="Q841" t="s">
        <v>509</v>
      </c>
      <c r="R841" t="s">
        <v>611</v>
      </c>
      <c r="S841" t="s">
        <v>671</v>
      </c>
      <c r="T841" t="s">
        <v>613</v>
      </c>
      <c r="U841">
        <v>105901</v>
      </c>
      <c r="V841" t="s">
        <v>4282</v>
      </c>
      <c r="W841" t="s">
        <v>673</v>
      </c>
      <c r="X841" t="s">
        <v>4520</v>
      </c>
      <c r="Y841" t="s">
        <v>4276</v>
      </c>
      <c r="Z841" t="s">
        <v>4277</v>
      </c>
      <c r="AA841" t="s">
        <v>4278</v>
      </c>
      <c r="AB841" t="s">
        <v>4521</v>
      </c>
      <c r="AE841">
        <v>-35.683614599999999</v>
      </c>
      <c r="AF841">
        <v>174.29858611</v>
      </c>
      <c r="AG841" s="175">
        <v>22</v>
      </c>
      <c r="AH841" s="175">
        <v>6</v>
      </c>
      <c r="AI841" s="175">
        <v>1</v>
      </c>
      <c r="AJ841" s="175">
        <v>5</v>
      </c>
      <c r="AK841" s="175">
        <v>4</v>
      </c>
      <c r="AL841" s="175">
        <v>2</v>
      </c>
      <c r="AM841" s="175">
        <v>2</v>
      </c>
      <c r="AN841" s="175">
        <v>0</v>
      </c>
      <c r="AO841" s="175">
        <v>14</v>
      </c>
      <c r="AP841" s="175">
        <v>0</v>
      </c>
      <c r="AQ841" s="175">
        <v>11</v>
      </c>
      <c r="AR841" s="175">
        <v>0</v>
      </c>
      <c r="AS841" s="175">
        <v>0</v>
      </c>
      <c r="AT841" s="175">
        <v>3</v>
      </c>
    </row>
    <row r="842" spans="1:46">
      <c r="A842">
        <v>18271</v>
      </c>
      <c r="B842" t="s">
        <v>5688</v>
      </c>
      <c r="C842" t="s">
        <v>5689</v>
      </c>
      <c r="E842" t="s">
        <v>5690</v>
      </c>
      <c r="F842" t="s">
        <v>709</v>
      </c>
      <c r="G842" t="s">
        <v>668</v>
      </c>
      <c r="H842" t="s">
        <v>347</v>
      </c>
      <c r="J842" t="s">
        <v>605</v>
      </c>
      <c r="K842" t="s">
        <v>606</v>
      </c>
      <c r="L842" t="s">
        <v>4273</v>
      </c>
      <c r="M842" t="s">
        <v>607</v>
      </c>
      <c r="N842" t="s">
        <v>608</v>
      </c>
      <c r="O842" t="s">
        <v>669</v>
      </c>
      <c r="P842" t="s">
        <v>670</v>
      </c>
      <c r="Q842" t="s">
        <v>509</v>
      </c>
      <c r="R842" t="s">
        <v>611</v>
      </c>
      <c r="S842" t="s">
        <v>671</v>
      </c>
      <c r="T842" t="s">
        <v>613</v>
      </c>
      <c r="U842">
        <v>107300</v>
      </c>
      <c r="V842" t="s">
        <v>709</v>
      </c>
      <c r="W842" t="s">
        <v>673</v>
      </c>
      <c r="X842" t="s">
        <v>4520</v>
      </c>
      <c r="Y842" t="s">
        <v>4276</v>
      </c>
      <c r="Z842" t="s">
        <v>4277</v>
      </c>
      <c r="AA842" t="s">
        <v>4278</v>
      </c>
      <c r="AB842" t="s">
        <v>4521</v>
      </c>
      <c r="AE842">
        <v>-35.753443660000002</v>
      </c>
      <c r="AF842">
        <v>174.30831358</v>
      </c>
      <c r="AG842" s="175">
        <v>23</v>
      </c>
      <c r="AH842" s="175">
        <v>10</v>
      </c>
      <c r="AI842" s="175">
        <v>1</v>
      </c>
      <c r="AJ842" s="175">
        <v>1</v>
      </c>
      <c r="AK842" s="175">
        <v>5</v>
      </c>
      <c r="AL842" s="175">
        <v>5</v>
      </c>
      <c r="AM842" s="175">
        <v>6</v>
      </c>
      <c r="AN842" s="175">
        <v>0</v>
      </c>
      <c r="AO842" s="175">
        <v>18</v>
      </c>
      <c r="AP842" s="175">
        <v>0</v>
      </c>
      <c r="AQ842" s="175">
        <v>18</v>
      </c>
      <c r="AR842" s="175">
        <v>0</v>
      </c>
      <c r="AS842" s="175">
        <v>0</v>
      </c>
      <c r="AT842" s="175">
        <v>0</v>
      </c>
    </row>
    <row r="843" spans="1:46">
      <c r="A843">
        <v>18335</v>
      </c>
      <c r="B843" t="s">
        <v>5691</v>
      </c>
      <c r="C843" t="s">
        <v>5692</v>
      </c>
      <c r="E843" t="s">
        <v>5693</v>
      </c>
      <c r="G843" t="s">
        <v>5694</v>
      </c>
      <c r="H843" t="s">
        <v>347</v>
      </c>
      <c r="J843" t="s">
        <v>605</v>
      </c>
      <c r="K843" t="s">
        <v>606</v>
      </c>
      <c r="L843" t="s">
        <v>4273</v>
      </c>
      <c r="M843" t="s">
        <v>607</v>
      </c>
      <c r="N843" t="s">
        <v>812</v>
      </c>
      <c r="O843" t="s">
        <v>609</v>
      </c>
      <c r="P843" t="s">
        <v>658</v>
      </c>
      <c r="Q843" t="s">
        <v>509</v>
      </c>
      <c r="R843" t="s">
        <v>611</v>
      </c>
      <c r="S843" t="s">
        <v>612</v>
      </c>
      <c r="T843" t="s">
        <v>613</v>
      </c>
      <c r="U843">
        <v>104101</v>
      </c>
      <c r="V843" t="s">
        <v>5695</v>
      </c>
      <c r="W843" t="s">
        <v>644</v>
      </c>
      <c r="X843" t="s">
        <v>4520</v>
      </c>
      <c r="Y843" t="s">
        <v>4276</v>
      </c>
      <c r="Z843" t="s">
        <v>4277</v>
      </c>
      <c r="AA843" t="s">
        <v>4278</v>
      </c>
      <c r="AB843" t="s">
        <v>4521</v>
      </c>
      <c r="AE843">
        <v>-35.496642199999997</v>
      </c>
      <c r="AF843">
        <v>173.96035280999999</v>
      </c>
      <c r="AG843" s="175">
        <v>20</v>
      </c>
      <c r="AH843" s="175">
        <v>6</v>
      </c>
      <c r="AI843" s="175">
        <v>0</v>
      </c>
      <c r="AJ843" s="175">
        <v>7</v>
      </c>
      <c r="AK843" s="175">
        <v>2</v>
      </c>
      <c r="AL843" s="175">
        <v>4</v>
      </c>
      <c r="AM843" s="175">
        <v>4</v>
      </c>
      <c r="AN843" s="175">
        <v>0</v>
      </c>
      <c r="AO843" s="175">
        <v>17</v>
      </c>
      <c r="AP843" s="175">
        <v>0</v>
      </c>
      <c r="AQ843" s="175">
        <v>16</v>
      </c>
      <c r="AR843" s="175">
        <v>0</v>
      </c>
      <c r="AS843" s="175">
        <v>0</v>
      </c>
      <c r="AT843" s="175">
        <v>1</v>
      </c>
    </row>
    <row r="844" spans="1:46">
      <c r="A844">
        <v>18339</v>
      </c>
      <c r="B844" t="s">
        <v>5696</v>
      </c>
      <c r="C844" t="s">
        <v>5697</v>
      </c>
      <c r="E844" t="s">
        <v>5698</v>
      </c>
      <c r="G844" t="s">
        <v>5598</v>
      </c>
      <c r="H844" t="s">
        <v>347</v>
      </c>
      <c r="J844" t="s">
        <v>605</v>
      </c>
      <c r="K844" t="s">
        <v>606</v>
      </c>
      <c r="L844" t="s">
        <v>4273</v>
      </c>
      <c r="M844" t="s">
        <v>607</v>
      </c>
      <c r="N844" t="s">
        <v>625</v>
      </c>
      <c r="O844" t="s">
        <v>609</v>
      </c>
      <c r="P844" t="s">
        <v>610</v>
      </c>
      <c r="Q844" t="s">
        <v>509</v>
      </c>
      <c r="R844" t="s">
        <v>611</v>
      </c>
      <c r="S844" t="s">
        <v>612</v>
      </c>
      <c r="T844" t="s">
        <v>613</v>
      </c>
      <c r="U844">
        <v>104600</v>
      </c>
      <c r="V844" t="s">
        <v>5598</v>
      </c>
      <c r="W844" t="s">
        <v>644</v>
      </c>
      <c r="X844" t="s">
        <v>4520</v>
      </c>
      <c r="Y844" t="s">
        <v>4276</v>
      </c>
      <c r="Z844" t="s">
        <v>4277</v>
      </c>
      <c r="AA844" t="s">
        <v>4278</v>
      </c>
      <c r="AB844" t="s">
        <v>4521</v>
      </c>
      <c r="AE844">
        <v>-35.379149589999997</v>
      </c>
      <c r="AF844">
        <v>174.07517188</v>
      </c>
      <c r="AG844" s="175">
        <v>20</v>
      </c>
      <c r="AH844" s="175">
        <v>5</v>
      </c>
      <c r="AI844" s="175">
        <v>0</v>
      </c>
      <c r="AJ844" s="175">
        <v>5</v>
      </c>
      <c r="AK844" s="175">
        <v>2</v>
      </c>
      <c r="AL844" s="175">
        <v>4</v>
      </c>
      <c r="AM844" s="175">
        <v>6</v>
      </c>
      <c r="AN844" s="175">
        <v>0</v>
      </c>
      <c r="AO844" s="175">
        <v>17</v>
      </c>
      <c r="AP844" s="175">
        <v>0</v>
      </c>
      <c r="AQ844" s="175">
        <v>16</v>
      </c>
      <c r="AR844" s="175">
        <v>0</v>
      </c>
      <c r="AS844" s="175">
        <v>0</v>
      </c>
      <c r="AT844" s="175">
        <v>1</v>
      </c>
    </row>
    <row r="845" spans="1:46">
      <c r="A845">
        <v>18350</v>
      </c>
      <c r="B845" t="s">
        <v>5699</v>
      </c>
      <c r="C845" t="s">
        <v>5700</v>
      </c>
      <c r="E845" t="s">
        <v>5701</v>
      </c>
      <c r="G845" t="s">
        <v>5702</v>
      </c>
      <c r="H845" t="s">
        <v>347</v>
      </c>
      <c r="J845" t="s">
        <v>605</v>
      </c>
      <c r="K845" t="s">
        <v>606</v>
      </c>
      <c r="L845" t="s">
        <v>4273</v>
      </c>
      <c r="M845" t="s">
        <v>607</v>
      </c>
      <c r="N845" t="s">
        <v>812</v>
      </c>
      <c r="O845" t="s">
        <v>609</v>
      </c>
      <c r="P845" t="s">
        <v>658</v>
      </c>
      <c r="Q845" t="s">
        <v>509</v>
      </c>
      <c r="R845" t="s">
        <v>611</v>
      </c>
      <c r="S845" t="s">
        <v>612</v>
      </c>
      <c r="T845" t="s">
        <v>613</v>
      </c>
      <c r="U845">
        <v>104400</v>
      </c>
      <c r="V845" t="s">
        <v>5703</v>
      </c>
      <c r="W845" t="s">
        <v>644</v>
      </c>
      <c r="X845" t="s">
        <v>4520</v>
      </c>
      <c r="Y845" t="s">
        <v>4276</v>
      </c>
      <c r="Z845" t="s">
        <v>4277</v>
      </c>
      <c r="AA845" t="s">
        <v>4278</v>
      </c>
      <c r="AB845" t="s">
        <v>4521</v>
      </c>
      <c r="AE845">
        <v>-35.367184719999997</v>
      </c>
      <c r="AF845">
        <v>174.13094229999999</v>
      </c>
      <c r="AG845" s="175">
        <v>30</v>
      </c>
      <c r="AH845" s="175">
        <v>10</v>
      </c>
      <c r="AI845" s="175">
        <v>2</v>
      </c>
      <c r="AJ845" s="175">
        <v>3</v>
      </c>
      <c r="AK845" s="175">
        <v>11</v>
      </c>
      <c r="AL845" s="175">
        <v>7</v>
      </c>
      <c r="AM845" s="175">
        <v>6</v>
      </c>
      <c r="AN845" s="175">
        <v>0</v>
      </c>
      <c r="AO845" s="175">
        <v>29</v>
      </c>
      <c r="AP845" s="175">
        <v>0</v>
      </c>
      <c r="AQ845" s="175">
        <v>29</v>
      </c>
      <c r="AR845" s="175">
        <v>0</v>
      </c>
      <c r="AS845" s="175">
        <v>0</v>
      </c>
      <c r="AT845" s="175">
        <v>0</v>
      </c>
    </row>
    <row r="846" spans="1:46">
      <c r="A846">
        <v>18411</v>
      </c>
      <c r="B846" t="s">
        <v>5704</v>
      </c>
      <c r="C846" t="s">
        <v>5705</v>
      </c>
      <c r="E846" t="s">
        <v>5706</v>
      </c>
      <c r="G846" t="s">
        <v>636</v>
      </c>
      <c r="H846" t="s">
        <v>347</v>
      </c>
      <c r="J846" t="s">
        <v>605</v>
      </c>
      <c r="K846" t="s">
        <v>606</v>
      </c>
      <c r="L846" t="s">
        <v>4273</v>
      </c>
      <c r="M846" t="s">
        <v>607</v>
      </c>
      <c r="N846" t="s">
        <v>812</v>
      </c>
      <c r="O846" t="s">
        <v>609</v>
      </c>
      <c r="P846" t="s">
        <v>610</v>
      </c>
      <c r="Q846" t="s">
        <v>509</v>
      </c>
      <c r="R846" t="s">
        <v>611</v>
      </c>
      <c r="S846" t="s">
        <v>612</v>
      </c>
      <c r="T846" t="s">
        <v>613</v>
      </c>
      <c r="U846">
        <v>103501</v>
      </c>
      <c r="V846" t="s">
        <v>636</v>
      </c>
      <c r="W846" t="s">
        <v>637</v>
      </c>
      <c r="X846" t="s">
        <v>4520</v>
      </c>
      <c r="Y846" t="s">
        <v>4276</v>
      </c>
      <c r="Z846" t="s">
        <v>4277</v>
      </c>
      <c r="AA846" t="s">
        <v>4278</v>
      </c>
      <c r="AB846" t="s">
        <v>4521</v>
      </c>
      <c r="AE846">
        <v>-35.409897669999999</v>
      </c>
      <c r="AF846">
        <v>173.80447737</v>
      </c>
      <c r="AG846" s="175">
        <v>21</v>
      </c>
      <c r="AH846" s="175">
        <v>6</v>
      </c>
      <c r="AI846" s="175">
        <v>0</v>
      </c>
      <c r="AJ846" s="175">
        <v>4</v>
      </c>
      <c r="AK846" s="175">
        <v>5</v>
      </c>
      <c r="AL846" s="175">
        <v>2</v>
      </c>
      <c r="AM846" s="175">
        <v>3</v>
      </c>
      <c r="AN846" s="175">
        <v>0</v>
      </c>
      <c r="AO846" s="175">
        <v>14</v>
      </c>
      <c r="AP846" s="175">
        <v>0</v>
      </c>
      <c r="AQ846" s="175">
        <v>14</v>
      </c>
      <c r="AR846" s="175">
        <v>0</v>
      </c>
      <c r="AS846" s="175">
        <v>0</v>
      </c>
      <c r="AT846" s="175">
        <v>0</v>
      </c>
    </row>
    <row r="847" spans="1:46">
      <c r="A847">
        <v>18625</v>
      </c>
      <c r="B847" t="s">
        <v>5707</v>
      </c>
      <c r="C847" t="s">
        <v>5708</v>
      </c>
      <c r="E847" t="s">
        <v>5709</v>
      </c>
      <c r="G847" t="s">
        <v>5710</v>
      </c>
      <c r="H847" t="s">
        <v>347</v>
      </c>
      <c r="J847" t="s">
        <v>605</v>
      </c>
      <c r="K847" t="s">
        <v>606</v>
      </c>
      <c r="L847" t="s">
        <v>4273</v>
      </c>
      <c r="M847" t="s">
        <v>607</v>
      </c>
      <c r="N847" t="s">
        <v>812</v>
      </c>
      <c r="O847" t="s">
        <v>609</v>
      </c>
      <c r="P847" t="s">
        <v>658</v>
      </c>
      <c r="Q847" t="s">
        <v>509</v>
      </c>
      <c r="R847" t="s">
        <v>611</v>
      </c>
      <c r="S847" t="s">
        <v>612</v>
      </c>
      <c r="T847" t="s">
        <v>613</v>
      </c>
      <c r="U847">
        <v>102100</v>
      </c>
      <c r="V847" t="s">
        <v>4519</v>
      </c>
      <c r="W847" t="s">
        <v>637</v>
      </c>
      <c r="X847" t="s">
        <v>4520</v>
      </c>
      <c r="Y847" t="s">
        <v>4276</v>
      </c>
      <c r="Z847" t="s">
        <v>4277</v>
      </c>
      <c r="AA847" t="s">
        <v>4278</v>
      </c>
      <c r="AB847" t="s">
        <v>4521</v>
      </c>
      <c r="AE847">
        <v>-35.475934160000001</v>
      </c>
      <c r="AF847">
        <v>173.46349393</v>
      </c>
      <c r="AG847" s="175">
        <v>25</v>
      </c>
      <c r="AH847" s="175">
        <v>10</v>
      </c>
      <c r="AI847" s="175">
        <v>0</v>
      </c>
      <c r="AJ847" s="175">
        <v>6</v>
      </c>
      <c r="AK847" s="175">
        <v>7</v>
      </c>
      <c r="AL847" s="175">
        <v>6</v>
      </c>
      <c r="AM847" s="175">
        <v>6</v>
      </c>
      <c r="AN847" s="175">
        <v>0</v>
      </c>
      <c r="AO847" s="175">
        <v>25</v>
      </c>
      <c r="AP847" s="175">
        <v>0</v>
      </c>
      <c r="AQ847" s="175">
        <v>25</v>
      </c>
      <c r="AR847" s="175">
        <v>0</v>
      </c>
      <c r="AS847" s="175">
        <v>0</v>
      </c>
      <c r="AT847" s="175">
        <v>0</v>
      </c>
    </row>
    <row r="848" spans="1:46">
      <c r="A848">
        <v>18717</v>
      </c>
      <c r="B848" t="s">
        <v>5711</v>
      </c>
      <c r="C848" t="s">
        <v>5712</v>
      </c>
      <c r="E848" t="s">
        <v>5713</v>
      </c>
      <c r="G848" t="s">
        <v>5714</v>
      </c>
      <c r="H848" t="s">
        <v>347</v>
      </c>
      <c r="J848" t="s">
        <v>605</v>
      </c>
      <c r="K848" t="s">
        <v>606</v>
      </c>
      <c r="L848" t="s">
        <v>4273</v>
      </c>
      <c r="M848" t="s">
        <v>607</v>
      </c>
      <c r="N848" t="s">
        <v>625</v>
      </c>
      <c r="O848" t="s">
        <v>609</v>
      </c>
      <c r="P848" t="s">
        <v>658</v>
      </c>
      <c r="Q848" t="s">
        <v>509</v>
      </c>
      <c r="R848" t="s">
        <v>611</v>
      </c>
      <c r="S848" t="s">
        <v>612</v>
      </c>
      <c r="T848" t="s">
        <v>613</v>
      </c>
      <c r="U848">
        <v>101700</v>
      </c>
      <c r="V848" t="s">
        <v>5632</v>
      </c>
      <c r="W848" t="s">
        <v>637</v>
      </c>
      <c r="X848" t="s">
        <v>4520</v>
      </c>
      <c r="Y848" t="s">
        <v>4276</v>
      </c>
      <c r="Z848" t="s">
        <v>4277</v>
      </c>
      <c r="AA848" t="s">
        <v>4278</v>
      </c>
      <c r="AB848" t="s">
        <v>4521</v>
      </c>
      <c r="AE848">
        <v>-35.369922289999998</v>
      </c>
      <c r="AF848">
        <v>173.49979471</v>
      </c>
      <c r="AG848" s="175">
        <v>30</v>
      </c>
      <c r="AH848" s="175">
        <v>8</v>
      </c>
      <c r="AI848" s="175">
        <v>1</v>
      </c>
      <c r="AJ848" s="175">
        <v>3</v>
      </c>
      <c r="AK848" s="175">
        <v>6</v>
      </c>
      <c r="AL848" s="175">
        <v>4</v>
      </c>
      <c r="AM848" s="175">
        <v>2</v>
      </c>
      <c r="AN848" s="175">
        <v>0</v>
      </c>
      <c r="AO848" s="175">
        <v>16</v>
      </c>
      <c r="AP848" s="175">
        <v>0</v>
      </c>
      <c r="AQ848" s="175">
        <v>15</v>
      </c>
      <c r="AR848" s="175">
        <v>0</v>
      </c>
      <c r="AS848" s="175">
        <v>0</v>
      </c>
      <c r="AT848" s="175">
        <v>1</v>
      </c>
    </row>
    <row r="849" spans="1:46">
      <c r="A849">
        <v>18737</v>
      </c>
      <c r="B849" t="s">
        <v>5715</v>
      </c>
      <c r="C849" t="s">
        <v>5716</v>
      </c>
      <c r="E849" t="s">
        <v>5717</v>
      </c>
      <c r="G849" t="s">
        <v>5718</v>
      </c>
      <c r="H849" t="s">
        <v>347</v>
      </c>
      <c r="J849" t="s">
        <v>605</v>
      </c>
      <c r="K849" t="s">
        <v>606</v>
      </c>
      <c r="L849" t="s">
        <v>4273</v>
      </c>
      <c r="M849" t="s">
        <v>607</v>
      </c>
      <c r="N849" t="s">
        <v>625</v>
      </c>
      <c r="O849" t="s">
        <v>609</v>
      </c>
      <c r="P849" t="s">
        <v>658</v>
      </c>
      <c r="Q849" t="s">
        <v>509</v>
      </c>
      <c r="R849" t="s">
        <v>611</v>
      </c>
      <c r="S849" t="s">
        <v>612</v>
      </c>
      <c r="T849" t="s">
        <v>613</v>
      </c>
      <c r="U849">
        <v>102000</v>
      </c>
      <c r="V849" t="s">
        <v>5719</v>
      </c>
      <c r="W849" t="s">
        <v>637</v>
      </c>
      <c r="X849" t="s">
        <v>4520</v>
      </c>
      <c r="Y849" t="s">
        <v>4276</v>
      </c>
      <c r="Z849" t="s">
        <v>4277</v>
      </c>
      <c r="AA849" t="s">
        <v>4278</v>
      </c>
      <c r="AB849" t="s">
        <v>4521</v>
      </c>
      <c r="AE849">
        <v>-35.209943520000003</v>
      </c>
      <c r="AF849">
        <v>173.54229079999999</v>
      </c>
      <c r="AG849" s="175">
        <v>18</v>
      </c>
      <c r="AH849" s="175">
        <v>5</v>
      </c>
      <c r="AI849" s="175">
        <v>1</v>
      </c>
      <c r="AJ849" s="175">
        <v>3</v>
      </c>
      <c r="AK849" s="175">
        <v>0</v>
      </c>
      <c r="AL849" s="175">
        <v>5</v>
      </c>
      <c r="AM849" s="175">
        <v>4</v>
      </c>
      <c r="AN849" s="175">
        <v>0</v>
      </c>
      <c r="AO849" s="175">
        <v>13</v>
      </c>
      <c r="AP849" s="175">
        <v>0</v>
      </c>
      <c r="AQ849" s="175">
        <v>13</v>
      </c>
      <c r="AR849" s="175">
        <v>0</v>
      </c>
      <c r="AS849" s="175">
        <v>0</v>
      </c>
      <c r="AT849" s="175">
        <v>0</v>
      </c>
    </row>
    <row r="850" spans="1:46">
      <c r="A850">
        <v>18807</v>
      </c>
      <c r="B850" t="s">
        <v>5720</v>
      </c>
      <c r="C850" t="s">
        <v>5721</v>
      </c>
      <c r="E850" t="s">
        <v>5722</v>
      </c>
      <c r="G850" t="s">
        <v>5511</v>
      </c>
      <c r="H850" t="s">
        <v>347</v>
      </c>
      <c r="J850" t="s">
        <v>605</v>
      </c>
      <c r="K850" t="s">
        <v>606</v>
      </c>
      <c r="L850" t="s">
        <v>4273</v>
      </c>
      <c r="M850" t="s">
        <v>607</v>
      </c>
      <c r="N850" t="s">
        <v>812</v>
      </c>
      <c r="O850" t="s">
        <v>609</v>
      </c>
      <c r="P850" t="s">
        <v>658</v>
      </c>
      <c r="Q850" t="s">
        <v>509</v>
      </c>
      <c r="R850" t="s">
        <v>611</v>
      </c>
      <c r="S850" t="s">
        <v>612</v>
      </c>
      <c r="T850" t="s">
        <v>613</v>
      </c>
      <c r="U850">
        <v>100500</v>
      </c>
      <c r="V850" t="s">
        <v>5512</v>
      </c>
      <c r="W850" t="s">
        <v>615</v>
      </c>
      <c r="X850" t="s">
        <v>4520</v>
      </c>
      <c r="Y850" t="s">
        <v>4276</v>
      </c>
      <c r="Z850" t="s">
        <v>4277</v>
      </c>
      <c r="AA850" t="s">
        <v>4278</v>
      </c>
      <c r="AB850" t="s">
        <v>4521</v>
      </c>
      <c r="AE850">
        <v>-35.18101764</v>
      </c>
      <c r="AF850">
        <v>173.15843817999999</v>
      </c>
      <c r="AG850" s="175">
        <v>20</v>
      </c>
      <c r="AH850" s="175">
        <v>5</v>
      </c>
      <c r="AI850" s="175">
        <v>0</v>
      </c>
      <c r="AJ850" s="175">
        <v>5</v>
      </c>
      <c r="AK850" s="175">
        <v>3</v>
      </c>
      <c r="AL850" s="175">
        <v>5</v>
      </c>
      <c r="AM850" s="175">
        <v>6</v>
      </c>
      <c r="AN850" s="175">
        <v>0</v>
      </c>
      <c r="AO850" s="175">
        <v>19</v>
      </c>
      <c r="AP850" s="175">
        <v>0</v>
      </c>
      <c r="AQ850" s="175">
        <v>19</v>
      </c>
      <c r="AR850" s="175">
        <v>0</v>
      </c>
      <c r="AS850" s="175">
        <v>0</v>
      </c>
      <c r="AT850" s="175">
        <v>0</v>
      </c>
    </row>
    <row r="851" spans="1:46">
      <c r="A851">
        <v>18841</v>
      </c>
      <c r="B851" t="s">
        <v>5723</v>
      </c>
      <c r="C851" t="s">
        <v>5724</v>
      </c>
      <c r="E851" t="s">
        <v>5725</v>
      </c>
      <c r="G851" t="s">
        <v>5624</v>
      </c>
      <c r="H851" t="s">
        <v>347</v>
      </c>
      <c r="J851" t="s">
        <v>605</v>
      </c>
      <c r="K851" t="s">
        <v>606</v>
      </c>
      <c r="L851" t="s">
        <v>4273</v>
      </c>
      <c r="M851" t="s">
        <v>607</v>
      </c>
      <c r="N851" t="s">
        <v>625</v>
      </c>
      <c r="O851" t="s">
        <v>609</v>
      </c>
      <c r="P851" t="s">
        <v>658</v>
      </c>
      <c r="Q851" t="s">
        <v>509</v>
      </c>
      <c r="R851" t="s">
        <v>611</v>
      </c>
      <c r="S851" t="s">
        <v>612</v>
      </c>
      <c r="T851" t="s">
        <v>613</v>
      </c>
      <c r="U851">
        <v>100900</v>
      </c>
      <c r="V851" t="s">
        <v>5625</v>
      </c>
      <c r="W851" t="s">
        <v>615</v>
      </c>
      <c r="X851" t="s">
        <v>4520</v>
      </c>
      <c r="Y851" t="s">
        <v>4276</v>
      </c>
      <c r="Z851" t="s">
        <v>4277</v>
      </c>
      <c r="AA851" t="s">
        <v>4278</v>
      </c>
      <c r="AB851" t="s">
        <v>4521</v>
      </c>
      <c r="AE851">
        <v>-35.127121019999997</v>
      </c>
      <c r="AF851">
        <v>173.34267865000001</v>
      </c>
      <c r="AG851" s="175">
        <v>35</v>
      </c>
      <c r="AH851" s="175">
        <v>5</v>
      </c>
      <c r="AI851" s="175">
        <v>4</v>
      </c>
      <c r="AJ851" s="175">
        <v>2</v>
      </c>
      <c r="AK851" s="175">
        <v>4</v>
      </c>
      <c r="AL851" s="175">
        <v>5</v>
      </c>
      <c r="AM851" s="175">
        <v>2</v>
      </c>
      <c r="AN851" s="175">
        <v>0</v>
      </c>
      <c r="AO851" s="175">
        <v>17</v>
      </c>
      <c r="AP851" s="175">
        <v>0</v>
      </c>
      <c r="AQ851" s="175">
        <v>17</v>
      </c>
      <c r="AR851" s="175">
        <v>0</v>
      </c>
      <c r="AS851" s="175">
        <v>0</v>
      </c>
      <c r="AT851" s="175">
        <v>0</v>
      </c>
    </row>
    <row r="852" spans="1:46">
      <c r="A852">
        <v>18842</v>
      </c>
      <c r="B852" t="s">
        <v>5726</v>
      </c>
      <c r="C852" t="s">
        <v>5727</v>
      </c>
      <c r="E852" t="s">
        <v>5728</v>
      </c>
      <c r="G852" t="s">
        <v>604</v>
      </c>
      <c r="H852" t="s">
        <v>347</v>
      </c>
      <c r="J852" t="s">
        <v>605</v>
      </c>
      <c r="K852" t="s">
        <v>606</v>
      </c>
      <c r="L852" t="s">
        <v>4273</v>
      </c>
      <c r="M852" t="s">
        <v>607</v>
      </c>
      <c r="N852" t="s">
        <v>812</v>
      </c>
      <c r="O852" t="s">
        <v>609</v>
      </c>
      <c r="P852" t="s">
        <v>610</v>
      </c>
      <c r="Q852" t="s">
        <v>509</v>
      </c>
      <c r="R852" t="s">
        <v>611</v>
      </c>
      <c r="S852" t="s">
        <v>612</v>
      </c>
      <c r="T852" t="s">
        <v>613</v>
      </c>
      <c r="U852">
        <v>100800</v>
      </c>
      <c r="V852" t="s">
        <v>614</v>
      </c>
      <c r="W852" t="s">
        <v>615</v>
      </c>
      <c r="X852" t="s">
        <v>4520</v>
      </c>
      <c r="Y852" t="s">
        <v>4276</v>
      </c>
      <c r="Z852" t="s">
        <v>4277</v>
      </c>
      <c r="AA852" t="s">
        <v>4278</v>
      </c>
      <c r="AB852" t="s">
        <v>4521</v>
      </c>
      <c r="AE852">
        <v>-35.127024830000003</v>
      </c>
      <c r="AF852">
        <v>173.25344791000001</v>
      </c>
      <c r="AG852" s="175">
        <v>30</v>
      </c>
      <c r="AH852" s="175">
        <v>10</v>
      </c>
      <c r="AI852" s="175">
        <v>5</v>
      </c>
      <c r="AJ852" s="175">
        <v>4</v>
      </c>
      <c r="AK852" s="175">
        <v>8</v>
      </c>
      <c r="AL852" s="175">
        <v>4</v>
      </c>
      <c r="AM852" s="175">
        <v>4</v>
      </c>
      <c r="AN852" s="175">
        <v>0</v>
      </c>
      <c r="AO852" s="175">
        <v>25</v>
      </c>
      <c r="AP852" s="175">
        <v>0</v>
      </c>
      <c r="AQ852" s="175">
        <v>24</v>
      </c>
      <c r="AR852" s="175">
        <v>0</v>
      </c>
      <c r="AS852" s="175">
        <v>0</v>
      </c>
      <c r="AT852" s="175">
        <v>1</v>
      </c>
    </row>
    <row r="853" spans="1:46">
      <c r="A853">
        <v>18852</v>
      </c>
      <c r="B853" t="s">
        <v>5729</v>
      </c>
      <c r="C853" t="s">
        <v>5730</v>
      </c>
      <c r="E853" t="s">
        <v>5731</v>
      </c>
      <c r="G853" t="s">
        <v>5732</v>
      </c>
      <c r="H853" t="s">
        <v>347</v>
      </c>
      <c r="J853" t="s">
        <v>605</v>
      </c>
      <c r="K853" t="s">
        <v>606</v>
      </c>
      <c r="L853" t="s">
        <v>4273</v>
      </c>
      <c r="M853" t="s">
        <v>607</v>
      </c>
      <c r="N853" t="s">
        <v>608</v>
      </c>
      <c r="O853" t="s">
        <v>609</v>
      </c>
      <c r="P853" t="s">
        <v>658</v>
      </c>
      <c r="Q853" t="s">
        <v>509</v>
      </c>
      <c r="R853" t="s">
        <v>611</v>
      </c>
      <c r="S853" t="s">
        <v>612</v>
      </c>
      <c r="T853" t="s">
        <v>613</v>
      </c>
      <c r="U853">
        <v>100200</v>
      </c>
      <c r="V853" t="s">
        <v>4210</v>
      </c>
      <c r="W853" t="s">
        <v>615</v>
      </c>
      <c r="X853" t="s">
        <v>4520</v>
      </c>
      <c r="Y853" t="s">
        <v>4276</v>
      </c>
      <c r="Z853" t="s">
        <v>4277</v>
      </c>
      <c r="AA853" t="s">
        <v>4278</v>
      </c>
      <c r="AB853" t="s">
        <v>4521</v>
      </c>
      <c r="AE853">
        <v>-35.037441319999999</v>
      </c>
      <c r="AF853">
        <v>173.25422739999999</v>
      </c>
      <c r="AG853" s="175">
        <v>16</v>
      </c>
      <c r="AH853" s="175">
        <v>6</v>
      </c>
      <c r="AI853" s="175">
        <v>1</v>
      </c>
      <c r="AJ853" s="175">
        <v>3</v>
      </c>
      <c r="AK853" s="175">
        <v>1</v>
      </c>
      <c r="AL853" s="175">
        <v>3</v>
      </c>
      <c r="AM853" s="175">
        <v>6</v>
      </c>
      <c r="AN853" s="175">
        <v>0</v>
      </c>
      <c r="AO853" s="175">
        <v>14</v>
      </c>
      <c r="AP853" s="175">
        <v>0</v>
      </c>
      <c r="AQ853" s="175">
        <v>14</v>
      </c>
      <c r="AR853" s="175">
        <v>0</v>
      </c>
      <c r="AS853" s="175">
        <v>0</v>
      </c>
      <c r="AT853" s="175">
        <v>0</v>
      </c>
    </row>
    <row r="854" spans="1:46">
      <c r="A854">
        <v>18859</v>
      </c>
      <c r="B854" t="s">
        <v>5733</v>
      </c>
      <c r="C854" t="s">
        <v>5734</v>
      </c>
      <c r="E854" t="s">
        <v>5735</v>
      </c>
      <c r="G854" t="s">
        <v>5736</v>
      </c>
      <c r="H854" t="s">
        <v>347</v>
      </c>
      <c r="J854" t="s">
        <v>605</v>
      </c>
      <c r="K854" t="s">
        <v>606</v>
      </c>
      <c r="L854" t="s">
        <v>4273</v>
      </c>
      <c r="M854" t="s">
        <v>607</v>
      </c>
      <c r="N854" t="s">
        <v>608</v>
      </c>
      <c r="O854" t="s">
        <v>609</v>
      </c>
      <c r="P854" t="s">
        <v>658</v>
      </c>
      <c r="Q854" t="s">
        <v>509</v>
      </c>
      <c r="R854" t="s">
        <v>611</v>
      </c>
      <c r="S854" t="s">
        <v>612</v>
      </c>
      <c r="T854" t="s">
        <v>613</v>
      </c>
      <c r="U854">
        <v>101200</v>
      </c>
      <c r="V854" t="s">
        <v>5737</v>
      </c>
      <c r="W854" t="s">
        <v>615</v>
      </c>
      <c r="X854" t="s">
        <v>4520</v>
      </c>
      <c r="Y854" t="s">
        <v>4276</v>
      </c>
      <c r="Z854" t="s">
        <v>4277</v>
      </c>
      <c r="AA854" t="s">
        <v>4278</v>
      </c>
      <c r="AB854" t="s">
        <v>4521</v>
      </c>
      <c r="AE854">
        <v>-35.332557039999998</v>
      </c>
      <c r="AF854">
        <v>173.22588038000001</v>
      </c>
      <c r="AG854" s="175">
        <v>20</v>
      </c>
      <c r="AH854" s="175">
        <v>6</v>
      </c>
      <c r="AI854" s="175">
        <v>0</v>
      </c>
      <c r="AJ854" s="175">
        <v>0</v>
      </c>
      <c r="AK854" s="175">
        <v>3</v>
      </c>
      <c r="AL854" s="175">
        <v>1</v>
      </c>
      <c r="AM854" s="175">
        <v>2</v>
      </c>
      <c r="AN854" s="175">
        <v>0</v>
      </c>
      <c r="AO854" s="175">
        <v>6</v>
      </c>
      <c r="AP854" s="175">
        <v>0</v>
      </c>
      <c r="AQ854" s="175">
        <v>6</v>
      </c>
      <c r="AR854" s="175">
        <v>0</v>
      </c>
      <c r="AS854" s="175">
        <v>0</v>
      </c>
      <c r="AT854" s="175">
        <v>0</v>
      </c>
    </row>
    <row r="855" spans="1:46">
      <c r="A855">
        <v>18882</v>
      </c>
      <c r="B855" t="s">
        <v>5738</v>
      </c>
      <c r="C855" t="s">
        <v>5739</v>
      </c>
      <c r="E855" t="s">
        <v>5740</v>
      </c>
      <c r="G855" t="s">
        <v>4209</v>
      </c>
      <c r="H855" t="s">
        <v>347</v>
      </c>
      <c r="J855" t="s">
        <v>605</v>
      </c>
      <c r="K855" t="s">
        <v>606</v>
      </c>
      <c r="L855" t="s">
        <v>4273</v>
      </c>
      <c r="M855" t="s">
        <v>607</v>
      </c>
      <c r="N855" t="s">
        <v>812</v>
      </c>
      <c r="O855" t="s">
        <v>609</v>
      </c>
      <c r="P855" t="s">
        <v>658</v>
      </c>
      <c r="Q855" t="s">
        <v>509</v>
      </c>
      <c r="R855" t="s">
        <v>611</v>
      </c>
      <c r="S855" t="s">
        <v>612</v>
      </c>
      <c r="T855" t="s">
        <v>613</v>
      </c>
      <c r="U855">
        <v>100200</v>
      </c>
      <c r="V855" t="s">
        <v>4210</v>
      </c>
      <c r="W855" t="s">
        <v>615</v>
      </c>
      <c r="X855" t="s">
        <v>4520</v>
      </c>
      <c r="Y855" t="s">
        <v>4276</v>
      </c>
      <c r="Z855" t="s">
        <v>4277</v>
      </c>
      <c r="AA855" t="s">
        <v>4278</v>
      </c>
      <c r="AB855" t="s">
        <v>4521</v>
      </c>
      <c r="AE855">
        <v>-35.043486450000003</v>
      </c>
      <c r="AF855">
        <v>173.28584475</v>
      </c>
      <c r="AG855" s="175">
        <v>17</v>
      </c>
      <c r="AH855" s="175">
        <v>5</v>
      </c>
      <c r="AI855" s="175">
        <v>0</v>
      </c>
      <c r="AJ855" s="175">
        <v>4</v>
      </c>
      <c r="AK855" s="175">
        <v>3</v>
      </c>
      <c r="AL855" s="175">
        <v>4</v>
      </c>
      <c r="AM855" s="175">
        <v>3</v>
      </c>
      <c r="AN855" s="175">
        <v>0</v>
      </c>
      <c r="AO855" s="175">
        <v>14</v>
      </c>
      <c r="AP855" s="175">
        <v>0</v>
      </c>
      <c r="AQ855" s="175">
        <v>13</v>
      </c>
      <c r="AR855" s="175">
        <v>1</v>
      </c>
      <c r="AS855" s="175">
        <v>0</v>
      </c>
      <c r="AT855" s="175">
        <v>0</v>
      </c>
    </row>
    <row r="856" spans="1:46">
      <c r="A856">
        <v>18903</v>
      </c>
      <c r="B856" t="s">
        <v>5741</v>
      </c>
      <c r="C856" t="s">
        <v>5742</v>
      </c>
      <c r="E856" t="s">
        <v>5743</v>
      </c>
      <c r="G856" t="s">
        <v>5744</v>
      </c>
      <c r="H856" t="s">
        <v>347</v>
      </c>
      <c r="J856" t="s">
        <v>605</v>
      </c>
      <c r="K856" t="s">
        <v>606</v>
      </c>
      <c r="L856" t="s">
        <v>4273</v>
      </c>
      <c r="M856" t="s">
        <v>607</v>
      </c>
      <c r="N856" t="s">
        <v>812</v>
      </c>
      <c r="O856" t="s">
        <v>609</v>
      </c>
      <c r="P856" t="s">
        <v>658</v>
      </c>
      <c r="Q856" t="s">
        <v>509</v>
      </c>
      <c r="R856" t="s">
        <v>611</v>
      </c>
      <c r="S856" t="s">
        <v>612</v>
      </c>
      <c r="T856" t="s">
        <v>613</v>
      </c>
      <c r="U856">
        <v>100100</v>
      </c>
      <c r="V856" t="s">
        <v>5745</v>
      </c>
      <c r="W856" t="s">
        <v>615</v>
      </c>
      <c r="X856" t="s">
        <v>4520</v>
      </c>
      <c r="Y856" t="s">
        <v>4276</v>
      </c>
      <c r="Z856" t="s">
        <v>4277</v>
      </c>
      <c r="AA856" t="s">
        <v>4278</v>
      </c>
      <c r="AB856" t="s">
        <v>4521</v>
      </c>
      <c r="AE856">
        <v>-34.519677940000001</v>
      </c>
      <c r="AF856">
        <v>172.90690767000001</v>
      </c>
      <c r="AG856" s="175">
        <v>15</v>
      </c>
      <c r="AH856" s="175">
        <v>5</v>
      </c>
      <c r="AI856" s="175">
        <v>0</v>
      </c>
      <c r="AJ856" s="175">
        <v>1</v>
      </c>
      <c r="AK856" s="175">
        <v>0</v>
      </c>
      <c r="AL856" s="175">
        <v>1</v>
      </c>
      <c r="AM856" s="175">
        <v>4</v>
      </c>
      <c r="AN856" s="175">
        <v>0</v>
      </c>
      <c r="AO856" s="175">
        <v>6</v>
      </c>
      <c r="AP856" s="175">
        <v>0</v>
      </c>
      <c r="AQ856" s="175">
        <v>6</v>
      </c>
      <c r="AR856" s="175">
        <v>0</v>
      </c>
      <c r="AS856" s="175">
        <v>0</v>
      </c>
      <c r="AT856" s="175">
        <v>0</v>
      </c>
    </row>
    <row r="857" spans="1:46">
      <c r="A857">
        <v>18908</v>
      </c>
      <c r="B857" t="s">
        <v>5746</v>
      </c>
      <c r="C857" t="s">
        <v>5747</v>
      </c>
      <c r="E857" t="s">
        <v>5748</v>
      </c>
      <c r="G857" t="s">
        <v>5749</v>
      </c>
      <c r="H857" t="s">
        <v>347</v>
      </c>
      <c r="J857" t="s">
        <v>605</v>
      </c>
      <c r="K857" t="s">
        <v>606</v>
      </c>
      <c r="L857" t="s">
        <v>4273</v>
      </c>
      <c r="M857" t="s">
        <v>607</v>
      </c>
      <c r="N857" t="s">
        <v>608</v>
      </c>
      <c r="O857" t="s">
        <v>609</v>
      </c>
      <c r="P857" t="s">
        <v>658</v>
      </c>
      <c r="Q857" t="s">
        <v>509</v>
      </c>
      <c r="R857" t="s">
        <v>611</v>
      </c>
      <c r="S857" t="s">
        <v>612</v>
      </c>
      <c r="T857" t="s">
        <v>613</v>
      </c>
      <c r="U857">
        <v>100100</v>
      </c>
      <c r="V857" t="s">
        <v>5745</v>
      </c>
      <c r="W857" t="s">
        <v>615</v>
      </c>
      <c r="X857" t="s">
        <v>4520</v>
      </c>
      <c r="Y857" t="s">
        <v>4276</v>
      </c>
      <c r="Z857" t="s">
        <v>4277</v>
      </c>
      <c r="AA857" t="s">
        <v>4278</v>
      </c>
      <c r="AB857" t="s">
        <v>4521</v>
      </c>
      <c r="AE857">
        <v>-34.656033010000002</v>
      </c>
      <c r="AF857">
        <v>172.96577599</v>
      </c>
      <c r="AG857" s="175">
        <v>40</v>
      </c>
      <c r="AH857" s="175">
        <v>12</v>
      </c>
      <c r="AI857" s="175">
        <v>3</v>
      </c>
      <c r="AJ857" s="175">
        <v>9</v>
      </c>
      <c r="AK857" s="175">
        <v>6</v>
      </c>
      <c r="AL857" s="175">
        <v>4</v>
      </c>
      <c r="AM857" s="175">
        <v>8</v>
      </c>
      <c r="AN857" s="175">
        <v>0</v>
      </c>
      <c r="AO857" s="175">
        <v>30</v>
      </c>
      <c r="AP857" s="175">
        <v>0</v>
      </c>
      <c r="AQ857" s="175">
        <v>30</v>
      </c>
      <c r="AR857" s="175">
        <v>0</v>
      </c>
      <c r="AS857" s="175">
        <v>0</v>
      </c>
      <c r="AT857" s="175">
        <v>0</v>
      </c>
    </row>
    <row r="858" spans="1:46">
      <c r="A858">
        <v>20000</v>
      </c>
      <c r="B858" t="s">
        <v>5750</v>
      </c>
      <c r="C858" t="s">
        <v>5751</v>
      </c>
      <c r="E858" t="s">
        <v>5752</v>
      </c>
      <c r="F858" t="s">
        <v>921</v>
      </c>
      <c r="G858" t="s">
        <v>737</v>
      </c>
      <c r="H858" t="s">
        <v>449</v>
      </c>
      <c r="I858" t="s">
        <v>4134</v>
      </c>
      <c r="J858" t="s">
        <v>4032</v>
      </c>
      <c r="K858" t="s">
        <v>606</v>
      </c>
      <c r="M858" t="s">
        <v>607</v>
      </c>
      <c r="N858" t="s">
        <v>657</v>
      </c>
      <c r="O858" t="s">
        <v>833</v>
      </c>
      <c r="P858" t="s">
        <v>739</v>
      </c>
      <c r="Q858" t="s">
        <v>467</v>
      </c>
      <c r="R858" t="s">
        <v>724</v>
      </c>
      <c r="S858" t="s">
        <v>767</v>
      </c>
      <c r="T858" t="s">
        <v>613</v>
      </c>
      <c r="U858">
        <v>130700</v>
      </c>
      <c r="V858" t="s">
        <v>5753</v>
      </c>
      <c r="W858" t="s">
        <v>826</v>
      </c>
      <c r="X858" t="s">
        <v>5754</v>
      </c>
      <c r="Y858" t="s">
        <v>5755</v>
      </c>
      <c r="Z858" t="s">
        <v>802</v>
      </c>
      <c r="AA858" t="s">
        <v>5756</v>
      </c>
      <c r="AC858">
        <v>99048</v>
      </c>
      <c r="AD858" t="s">
        <v>835</v>
      </c>
      <c r="AE858">
        <v>-36.814156629999999</v>
      </c>
      <c r="AF858">
        <v>174.79154201</v>
      </c>
      <c r="AG858" s="175">
        <v>35</v>
      </c>
      <c r="AH858" s="175">
        <v>0</v>
      </c>
      <c r="AI858" s="175">
        <v>0</v>
      </c>
      <c r="AJ858" s="175">
        <v>0</v>
      </c>
      <c r="AK858" s="175">
        <v>15</v>
      </c>
      <c r="AL858" s="175">
        <v>17</v>
      </c>
      <c r="AM858" s="175">
        <v>13</v>
      </c>
      <c r="AN858" s="175">
        <v>0</v>
      </c>
      <c r="AO858" s="175">
        <v>45</v>
      </c>
      <c r="AP858" s="175">
        <v>42</v>
      </c>
      <c r="AQ858" s="175">
        <v>0</v>
      </c>
      <c r="AR858" s="175">
        <v>1</v>
      </c>
      <c r="AS858" s="175">
        <v>7</v>
      </c>
      <c r="AT858" s="175">
        <v>3</v>
      </c>
    </row>
    <row r="859" spans="1:46">
      <c r="A859">
        <v>20001</v>
      </c>
      <c r="B859" t="s">
        <v>5757</v>
      </c>
      <c r="C859" t="s">
        <v>5758</v>
      </c>
      <c r="D859" t="s">
        <v>5759</v>
      </c>
      <c r="E859" t="s">
        <v>5760</v>
      </c>
      <c r="F859" t="s">
        <v>841</v>
      </c>
      <c r="G859" t="s">
        <v>737</v>
      </c>
      <c r="H859" t="s">
        <v>449</v>
      </c>
      <c r="J859" t="s">
        <v>605</v>
      </c>
      <c r="K859" t="s">
        <v>606</v>
      </c>
      <c r="M859" t="s">
        <v>607</v>
      </c>
      <c r="N859" t="s">
        <v>657</v>
      </c>
      <c r="O859" t="s">
        <v>823</v>
      </c>
      <c r="P859" t="s">
        <v>739</v>
      </c>
      <c r="Q859" t="s">
        <v>467</v>
      </c>
      <c r="R859" t="s">
        <v>724</v>
      </c>
      <c r="S859" t="s">
        <v>841</v>
      </c>
      <c r="T859" t="s">
        <v>613</v>
      </c>
      <c r="U859">
        <v>127200</v>
      </c>
      <c r="V859" t="s">
        <v>5761</v>
      </c>
      <c r="W859" t="s">
        <v>826</v>
      </c>
      <c r="X859" t="s">
        <v>5762</v>
      </c>
      <c r="Y859" t="s">
        <v>5763</v>
      </c>
      <c r="AA859" t="s">
        <v>4106</v>
      </c>
      <c r="AB859" t="s">
        <v>5764</v>
      </c>
      <c r="AE859">
        <v>-36.798272820000001</v>
      </c>
      <c r="AF859">
        <v>174.75665003</v>
      </c>
      <c r="AG859" s="175">
        <v>42</v>
      </c>
      <c r="AH859" s="175">
        <v>8</v>
      </c>
      <c r="AI859" s="175">
        <v>0</v>
      </c>
      <c r="AJ859" s="175">
        <v>3</v>
      </c>
      <c r="AK859" s="175">
        <v>9</v>
      </c>
      <c r="AL859" s="175">
        <v>5</v>
      </c>
      <c r="AM859" s="175">
        <v>9</v>
      </c>
      <c r="AN859" s="175">
        <v>0</v>
      </c>
      <c r="AO859" s="175">
        <v>26</v>
      </c>
      <c r="AP859" s="175">
        <v>11</v>
      </c>
      <c r="AQ859" s="175">
        <v>5</v>
      </c>
      <c r="AR859" s="175">
        <v>0</v>
      </c>
      <c r="AS859" s="175">
        <v>10</v>
      </c>
      <c r="AT859" s="175">
        <v>1</v>
      </c>
    </row>
    <row r="860" spans="1:46">
      <c r="A860">
        <v>20002</v>
      </c>
      <c r="B860" t="s">
        <v>5765</v>
      </c>
      <c r="C860" t="s">
        <v>5766</v>
      </c>
      <c r="D860" t="s">
        <v>5767</v>
      </c>
      <c r="E860" t="s">
        <v>5768</v>
      </c>
      <c r="F860" t="s">
        <v>3777</v>
      </c>
      <c r="G860" t="s">
        <v>737</v>
      </c>
      <c r="H860" t="s">
        <v>449</v>
      </c>
      <c r="J860" t="s">
        <v>605</v>
      </c>
      <c r="K860" t="s">
        <v>606</v>
      </c>
      <c r="M860" t="s">
        <v>607</v>
      </c>
      <c r="N860" t="s">
        <v>657</v>
      </c>
      <c r="O860" t="s">
        <v>1253</v>
      </c>
      <c r="P860" t="s">
        <v>739</v>
      </c>
      <c r="Q860" t="s">
        <v>467</v>
      </c>
      <c r="R860" t="s">
        <v>724</v>
      </c>
      <c r="S860" t="s">
        <v>740</v>
      </c>
      <c r="T860" t="s">
        <v>613</v>
      </c>
      <c r="U860">
        <v>117300</v>
      </c>
      <c r="V860" t="s">
        <v>5769</v>
      </c>
      <c r="W860" t="s">
        <v>742</v>
      </c>
      <c r="X860" t="s">
        <v>5770</v>
      </c>
      <c r="Y860" t="s">
        <v>5771</v>
      </c>
      <c r="Z860" t="s">
        <v>3777</v>
      </c>
      <c r="AA860" t="s">
        <v>5772</v>
      </c>
      <c r="AB860" t="s">
        <v>5773</v>
      </c>
      <c r="AE860">
        <v>-36.728576869999998</v>
      </c>
      <c r="AF860">
        <v>174.6979876</v>
      </c>
      <c r="AG860" s="175">
        <v>40</v>
      </c>
      <c r="AH860" s="175">
        <v>0</v>
      </c>
      <c r="AI860" s="175">
        <v>0</v>
      </c>
      <c r="AJ860" s="175">
        <v>0</v>
      </c>
      <c r="AK860" s="175">
        <v>5</v>
      </c>
      <c r="AL860" s="175">
        <v>14</v>
      </c>
      <c r="AM860" s="175">
        <v>19</v>
      </c>
      <c r="AN860" s="175">
        <v>1</v>
      </c>
      <c r="AO860" s="175">
        <v>39</v>
      </c>
      <c r="AP860" s="175">
        <v>24</v>
      </c>
      <c r="AQ860" s="175">
        <v>7</v>
      </c>
      <c r="AR860" s="175">
        <v>7</v>
      </c>
      <c r="AS860" s="175">
        <v>11</v>
      </c>
      <c r="AT860" s="175">
        <v>1</v>
      </c>
    </row>
    <row r="861" spans="1:46">
      <c r="A861">
        <v>20004</v>
      </c>
      <c r="B861" t="s">
        <v>5774</v>
      </c>
      <c r="C861" t="s">
        <v>5775</v>
      </c>
      <c r="D861" t="s">
        <v>5776</v>
      </c>
      <c r="E861" t="s">
        <v>5777</v>
      </c>
      <c r="G861" t="s">
        <v>3744</v>
      </c>
      <c r="H861" t="s">
        <v>449</v>
      </c>
      <c r="J861" t="s">
        <v>4032</v>
      </c>
      <c r="K861" t="s">
        <v>606</v>
      </c>
      <c r="M861" t="s">
        <v>607</v>
      </c>
      <c r="N861" t="s">
        <v>657</v>
      </c>
      <c r="O861" t="s">
        <v>609</v>
      </c>
      <c r="P861" t="s">
        <v>658</v>
      </c>
      <c r="Q861" t="s">
        <v>509</v>
      </c>
      <c r="R861" t="s">
        <v>611</v>
      </c>
      <c r="S861" t="s">
        <v>612</v>
      </c>
      <c r="T861" t="s">
        <v>613</v>
      </c>
      <c r="U861">
        <v>102201</v>
      </c>
      <c r="V861" t="s">
        <v>5778</v>
      </c>
      <c r="W861" t="s">
        <v>644</v>
      </c>
      <c r="X861" t="s">
        <v>5779</v>
      </c>
      <c r="Y861" t="s">
        <v>5780</v>
      </c>
      <c r="AA861" t="s">
        <v>4922</v>
      </c>
      <c r="AB861" t="s">
        <v>5781</v>
      </c>
      <c r="AE861">
        <v>-35.194143689999997</v>
      </c>
      <c r="AF861">
        <v>173.94598329999999</v>
      </c>
      <c r="AG861" s="175">
        <v>50</v>
      </c>
      <c r="AH861" s="175">
        <v>10</v>
      </c>
      <c r="AI861" s="175">
        <v>0</v>
      </c>
      <c r="AJ861" s="175">
        <v>8</v>
      </c>
      <c r="AK861" s="175">
        <v>8</v>
      </c>
      <c r="AL861" s="175">
        <v>9</v>
      </c>
      <c r="AM861" s="175">
        <v>17</v>
      </c>
      <c r="AN861" s="175">
        <v>0</v>
      </c>
      <c r="AO861" s="175">
        <v>42</v>
      </c>
      <c r="AP861" s="175">
        <v>33</v>
      </c>
      <c r="AQ861" s="175">
        <v>27</v>
      </c>
      <c r="AR861" s="175">
        <v>7</v>
      </c>
      <c r="AS861" s="175">
        <v>4</v>
      </c>
      <c r="AT861" s="175">
        <v>0</v>
      </c>
    </row>
    <row r="862" spans="1:46">
      <c r="A862">
        <v>20006</v>
      </c>
      <c r="B862" t="s">
        <v>5782</v>
      </c>
      <c r="C862" t="s">
        <v>5783</v>
      </c>
      <c r="D862" t="s">
        <v>5784</v>
      </c>
      <c r="E862" t="s">
        <v>5785</v>
      </c>
      <c r="F862" t="s">
        <v>4101</v>
      </c>
      <c r="G862" t="s">
        <v>737</v>
      </c>
      <c r="H862" t="s">
        <v>449</v>
      </c>
      <c r="J862" t="s">
        <v>605</v>
      </c>
      <c r="K862" t="s">
        <v>606</v>
      </c>
      <c r="M862" t="s">
        <v>607</v>
      </c>
      <c r="N862" t="s">
        <v>657</v>
      </c>
      <c r="O862" t="s">
        <v>1042</v>
      </c>
      <c r="P862" t="s">
        <v>739</v>
      </c>
      <c r="Q862" t="s">
        <v>467</v>
      </c>
      <c r="R862" t="s">
        <v>793</v>
      </c>
      <c r="S862" t="s">
        <v>1043</v>
      </c>
      <c r="T862" t="s">
        <v>794</v>
      </c>
      <c r="U862">
        <v>136100</v>
      </c>
      <c r="V862" t="s">
        <v>4101</v>
      </c>
      <c r="W862" t="s">
        <v>909</v>
      </c>
      <c r="X862" t="s">
        <v>5786</v>
      </c>
      <c r="Y862" t="s">
        <v>5787</v>
      </c>
      <c r="AA862" t="s">
        <v>4106</v>
      </c>
      <c r="AE862">
        <v>-36.859568879999998</v>
      </c>
      <c r="AF862">
        <v>174.76950977999999</v>
      </c>
      <c r="AG862" s="175">
        <v>100</v>
      </c>
      <c r="AH862" s="175">
        <v>40</v>
      </c>
      <c r="AI862" s="175">
        <v>5</v>
      </c>
      <c r="AJ862" s="175">
        <v>18</v>
      </c>
      <c r="AK862" s="175">
        <v>40</v>
      </c>
      <c r="AL862" s="175">
        <v>20</v>
      </c>
      <c r="AM862" s="175">
        <v>27</v>
      </c>
      <c r="AN862" s="175">
        <v>2</v>
      </c>
      <c r="AO862" s="175">
        <v>112</v>
      </c>
      <c r="AP862" s="175">
        <v>83</v>
      </c>
      <c r="AQ862" s="175">
        <v>8</v>
      </c>
      <c r="AR862" s="175">
        <v>14</v>
      </c>
      <c r="AS862" s="175">
        <v>37</v>
      </c>
      <c r="AT862" s="175">
        <v>5</v>
      </c>
    </row>
    <row r="863" spans="1:46">
      <c r="A863">
        <v>20009</v>
      </c>
      <c r="B863" t="s">
        <v>5788</v>
      </c>
      <c r="C863" t="s">
        <v>5789</v>
      </c>
      <c r="D863" t="s">
        <v>5790</v>
      </c>
      <c r="E863" t="s">
        <v>5791</v>
      </c>
      <c r="F863" t="s">
        <v>4987</v>
      </c>
      <c r="G863" t="s">
        <v>737</v>
      </c>
      <c r="H863" t="s">
        <v>449</v>
      </c>
      <c r="J863" t="s">
        <v>605</v>
      </c>
      <c r="K863" t="s">
        <v>606</v>
      </c>
      <c r="M863" t="s">
        <v>607</v>
      </c>
      <c r="N863" t="s">
        <v>657</v>
      </c>
      <c r="O863" t="s">
        <v>1042</v>
      </c>
      <c r="P863" t="s">
        <v>739</v>
      </c>
      <c r="Q863" t="s">
        <v>467</v>
      </c>
      <c r="R863" t="s">
        <v>793</v>
      </c>
      <c r="S863" t="s">
        <v>1043</v>
      </c>
      <c r="T863" t="s">
        <v>794</v>
      </c>
      <c r="U863">
        <v>134800</v>
      </c>
      <c r="V863" t="s">
        <v>5792</v>
      </c>
      <c r="W863" t="s">
        <v>1044</v>
      </c>
      <c r="X863" t="s">
        <v>5793</v>
      </c>
      <c r="Y863" t="s">
        <v>5794</v>
      </c>
      <c r="AA863" t="s">
        <v>4726</v>
      </c>
      <c r="AE863">
        <v>-36.853983049999997</v>
      </c>
      <c r="AF863">
        <v>174.7685893</v>
      </c>
      <c r="AG863" s="175">
        <v>34</v>
      </c>
      <c r="AH863" s="175">
        <v>0</v>
      </c>
      <c r="AI863" s="175">
        <v>0</v>
      </c>
      <c r="AJ863" s="175">
        <v>0</v>
      </c>
      <c r="AK863" s="175">
        <v>8</v>
      </c>
      <c r="AL863" s="175">
        <v>12</v>
      </c>
      <c r="AM863" s="175">
        <v>9</v>
      </c>
      <c r="AN863" s="175">
        <v>0</v>
      </c>
      <c r="AO863" s="175">
        <v>29</v>
      </c>
      <c r="AP863" s="175">
        <v>4</v>
      </c>
      <c r="AQ863" s="175">
        <v>1</v>
      </c>
      <c r="AR863" s="175">
        <v>2</v>
      </c>
      <c r="AS863" s="175">
        <v>19</v>
      </c>
      <c r="AT863" s="175">
        <v>7</v>
      </c>
    </row>
    <row r="864" spans="1:46">
      <c r="A864">
        <v>20010</v>
      </c>
      <c r="B864" t="s">
        <v>5795</v>
      </c>
      <c r="C864" t="s">
        <v>5796</v>
      </c>
      <c r="D864" t="s">
        <v>5797</v>
      </c>
      <c r="E864" t="s">
        <v>5798</v>
      </c>
      <c r="F864" t="s">
        <v>802</v>
      </c>
      <c r="G864" t="s">
        <v>737</v>
      </c>
      <c r="H864" t="s">
        <v>449</v>
      </c>
      <c r="I864" t="s">
        <v>4023</v>
      </c>
      <c r="J864" t="s">
        <v>605</v>
      </c>
      <c r="K864" t="s">
        <v>606</v>
      </c>
      <c r="M864" t="s">
        <v>607</v>
      </c>
      <c r="N864" t="s">
        <v>657</v>
      </c>
      <c r="O864" t="s">
        <v>803</v>
      </c>
      <c r="P864" t="s">
        <v>739</v>
      </c>
      <c r="Q864" t="s">
        <v>467</v>
      </c>
      <c r="R864" t="s">
        <v>793</v>
      </c>
      <c r="S864" t="s">
        <v>855</v>
      </c>
      <c r="T864" t="s">
        <v>794</v>
      </c>
      <c r="U864">
        <v>135000</v>
      </c>
      <c r="V864" t="s">
        <v>5799</v>
      </c>
      <c r="W864" t="s">
        <v>806</v>
      </c>
      <c r="X864" t="s">
        <v>5800</v>
      </c>
      <c r="Y864" t="s">
        <v>5801</v>
      </c>
      <c r="Z864" t="s">
        <v>802</v>
      </c>
      <c r="AA864" t="s">
        <v>4400</v>
      </c>
      <c r="AB864" t="s">
        <v>5802</v>
      </c>
      <c r="AC864">
        <v>99210</v>
      </c>
      <c r="AD864" t="s">
        <v>4027</v>
      </c>
      <c r="AE864">
        <v>-36.90243598</v>
      </c>
      <c r="AF864">
        <v>174.69646700999999</v>
      </c>
      <c r="AG864" s="175">
        <v>50</v>
      </c>
      <c r="AH864" s="175">
        <v>0</v>
      </c>
      <c r="AI864" s="175">
        <v>0</v>
      </c>
      <c r="AJ864" s="175">
        <v>0</v>
      </c>
      <c r="AK864" s="175">
        <v>2</v>
      </c>
      <c r="AL864" s="175">
        <v>20</v>
      </c>
      <c r="AM864" s="175">
        <v>25</v>
      </c>
      <c r="AN864" s="175">
        <v>3</v>
      </c>
      <c r="AO864" s="175">
        <v>50</v>
      </c>
      <c r="AP864" s="175">
        <v>17</v>
      </c>
      <c r="AQ864" s="175">
        <v>4</v>
      </c>
      <c r="AR864" s="175">
        <v>13</v>
      </c>
      <c r="AS864" s="175">
        <v>12</v>
      </c>
      <c r="AT864" s="175">
        <v>13</v>
      </c>
    </row>
    <row r="865" spans="1:46">
      <c r="A865">
        <v>20011</v>
      </c>
      <c r="B865" t="s">
        <v>5803</v>
      </c>
      <c r="C865" t="s">
        <v>5804</v>
      </c>
      <c r="E865" t="s">
        <v>5805</v>
      </c>
      <c r="F865" t="s">
        <v>5224</v>
      </c>
      <c r="G865" t="s">
        <v>737</v>
      </c>
      <c r="H865" t="s">
        <v>449</v>
      </c>
      <c r="J865" t="s">
        <v>4032</v>
      </c>
      <c r="K865" t="s">
        <v>606</v>
      </c>
      <c r="M865" t="s">
        <v>607</v>
      </c>
      <c r="N865" t="s">
        <v>657</v>
      </c>
      <c r="O865" t="s">
        <v>997</v>
      </c>
      <c r="P865" t="s">
        <v>739</v>
      </c>
      <c r="Q865" t="s">
        <v>467</v>
      </c>
      <c r="R865" t="s">
        <v>793</v>
      </c>
      <c r="S865" t="s">
        <v>890</v>
      </c>
      <c r="T865" t="s">
        <v>794</v>
      </c>
      <c r="U865">
        <v>142600</v>
      </c>
      <c r="V865" t="s">
        <v>5806</v>
      </c>
      <c r="W865" t="s">
        <v>945</v>
      </c>
      <c r="X865" t="s">
        <v>5807</v>
      </c>
      <c r="Y865" t="s">
        <v>5805</v>
      </c>
      <c r="Z865" t="s">
        <v>5224</v>
      </c>
      <c r="AA865" t="s">
        <v>4449</v>
      </c>
      <c r="AB865" t="s">
        <v>5808</v>
      </c>
      <c r="AE865">
        <v>-36.909939340000001</v>
      </c>
      <c r="AF865">
        <v>174.77332286999999</v>
      </c>
      <c r="AG865" s="175">
        <v>47</v>
      </c>
      <c r="AH865" s="175">
        <v>25</v>
      </c>
      <c r="AI865" s="175">
        <v>1</v>
      </c>
      <c r="AJ865" s="175">
        <v>7</v>
      </c>
      <c r="AK865" s="175">
        <v>16</v>
      </c>
      <c r="AL865" s="175">
        <v>2</v>
      </c>
      <c r="AM865" s="175">
        <v>1</v>
      </c>
      <c r="AN865" s="175">
        <v>0</v>
      </c>
      <c r="AO865" s="175">
        <v>27</v>
      </c>
      <c r="AP865" s="175">
        <v>16</v>
      </c>
      <c r="AQ865" s="175">
        <v>1</v>
      </c>
      <c r="AR865" s="175">
        <v>0</v>
      </c>
      <c r="AS865" s="175">
        <v>12</v>
      </c>
      <c r="AT865" s="175">
        <v>0</v>
      </c>
    </row>
    <row r="866" spans="1:46">
      <c r="A866">
        <v>20015</v>
      </c>
      <c r="B866" t="s">
        <v>5809</v>
      </c>
      <c r="C866" t="s">
        <v>5810</v>
      </c>
      <c r="E866" t="s">
        <v>5811</v>
      </c>
      <c r="F866" t="s">
        <v>840</v>
      </c>
      <c r="G866" t="s">
        <v>737</v>
      </c>
      <c r="H866" t="s">
        <v>449</v>
      </c>
      <c r="J866" t="s">
        <v>605</v>
      </c>
      <c r="K866" t="s">
        <v>606</v>
      </c>
      <c r="M866" t="s">
        <v>607</v>
      </c>
      <c r="N866" t="s">
        <v>657</v>
      </c>
      <c r="O866" t="s">
        <v>823</v>
      </c>
      <c r="P866" t="s">
        <v>739</v>
      </c>
      <c r="Q866" t="s">
        <v>467</v>
      </c>
      <c r="R866" t="s">
        <v>724</v>
      </c>
      <c r="S866" t="s">
        <v>841</v>
      </c>
      <c r="T866" t="s">
        <v>613</v>
      </c>
      <c r="U866">
        <v>121800</v>
      </c>
      <c r="V866" t="s">
        <v>5812</v>
      </c>
      <c r="W866" t="s">
        <v>826</v>
      </c>
      <c r="X866" t="s">
        <v>4670</v>
      </c>
      <c r="Y866" t="s">
        <v>4671</v>
      </c>
      <c r="AA866" t="s">
        <v>4106</v>
      </c>
      <c r="AB866" t="s">
        <v>4672</v>
      </c>
      <c r="AE866">
        <v>-36.791074180000003</v>
      </c>
      <c r="AF866">
        <v>174.68848668999999</v>
      </c>
      <c r="AG866" s="175">
        <v>30</v>
      </c>
      <c r="AH866" s="175">
        <v>0</v>
      </c>
      <c r="AI866" s="175">
        <v>0</v>
      </c>
      <c r="AJ866" s="175">
        <v>0</v>
      </c>
      <c r="AK866" s="175">
        <v>4</v>
      </c>
      <c r="AL866" s="175">
        <v>11</v>
      </c>
      <c r="AM866" s="175">
        <v>5</v>
      </c>
      <c r="AN866" s="175">
        <v>1</v>
      </c>
      <c r="AO866" s="175">
        <v>21</v>
      </c>
      <c r="AP866" s="175">
        <v>14</v>
      </c>
      <c r="AQ866" s="175">
        <v>6</v>
      </c>
      <c r="AR866" s="175">
        <v>4</v>
      </c>
      <c r="AS866" s="175">
        <v>6</v>
      </c>
      <c r="AT866" s="175">
        <v>0</v>
      </c>
    </row>
    <row r="867" spans="1:46">
      <c r="A867">
        <v>20016</v>
      </c>
      <c r="B867" t="s">
        <v>5813</v>
      </c>
      <c r="C867" t="s">
        <v>5814</v>
      </c>
      <c r="D867" t="s">
        <v>5815</v>
      </c>
      <c r="E867" t="s">
        <v>5816</v>
      </c>
      <c r="F867" t="s">
        <v>840</v>
      </c>
      <c r="G867" t="s">
        <v>737</v>
      </c>
      <c r="H867" t="s">
        <v>449</v>
      </c>
      <c r="J867" t="s">
        <v>4032</v>
      </c>
      <c r="K867" t="s">
        <v>606</v>
      </c>
      <c r="M867" t="s">
        <v>607</v>
      </c>
      <c r="N867" t="s">
        <v>657</v>
      </c>
      <c r="O867" t="s">
        <v>823</v>
      </c>
      <c r="P867" t="s">
        <v>739</v>
      </c>
      <c r="Q867" t="s">
        <v>467</v>
      </c>
      <c r="R867" t="s">
        <v>724</v>
      </c>
      <c r="S867" t="s">
        <v>841</v>
      </c>
      <c r="T867" t="s">
        <v>613</v>
      </c>
      <c r="U867">
        <v>122400</v>
      </c>
      <c r="V867" t="s">
        <v>842</v>
      </c>
      <c r="W867" t="s">
        <v>826</v>
      </c>
      <c r="X867" t="s">
        <v>5817</v>
      </c>
      <c r="Y867" t="s">
        <v>5816</v>
      </c>
      <c r="Z867" t="s">
        <v>840</v>
      </c>
      <c r="AA867" t="s">
        <v>5818</v>
      </c>
      <c r="AB867" t="s">
        <v>5814</v>
      </c>
      <c r="AC867">
        <v>99214</v>
      </c>
      <c r="AD867" t="s">
        <v>843</v>
      </c>
      <c r="AE867">
        <v>-36.793623080000003</v>
      </c>
      <c r="AF867">
        <v>174.69191659000001</v>
      </c>
      <c r="AG867" s="175">
        <v>35</v>
      </c>
      <c r="AH867" s="175">
        <v>8</v>
      </c>
      <c r="AI867" s="175">
        <v>2</v>
      </c>
      <c r="AJ867" s="175">
        <v>4</v>
      </c>
      <c r="AK867" s="175">
        <v>9</v>
      </c>
      <c r="AL867" s="175">
        <v>9</v>
      </c>
      <c r="AM867" s="175">
        <v>15</v>
      </c>
      <c r="AN867" s="175">
        <v>0</v>
      </c>
      <c r="AO867" s="175">
        <v>39</v>
      </c>
      <c r="AP867" s="175">
        <v>34</v>
      </c>
      <c r="AQ867" s="175">
        <v>4</v>
      </c>
      <c r="AR867" s="175">
        <v>2</v>
      </c>
      <c r="AS867" s="175">
        <v>3</v>
      </c>
      <c r="AT867" s="175">
        <v>13</v>
      </c>
    </row>
    <row r="868" spans="1:46">
      <c r="A868">
        <v>20017</v>
      </c>
      <c r="B868" t="s">
        <v>5819</v>
      </c>
      <c r="C868" t="s">
        <v>5820</v>
      </c>
      <c r="D868" t="s">
        <v>5821</v>
      </c>
      <c r="E868" t="s">
        <v>5822</v>
      </c>
      <c r="F868" t="s">
        <v>1225</v>
      </c>
      <c r="G868" t="s">
        <v>737</v>
      </c>
      <c r="H868" t="s">
        <v>449</v>
      </c>
      <c r="J868" t="s">
        <v>4032</v>
      </c>
      <c r="K868" t="s">
        <v>606</v>
      </c>
      <c r="M868" t="s">
        <v>607</v>
      </c>
      <c r="N868" t="s">
        <v>657</v>
      </c>
      <c r="O868" t="s">
        <v>889</v>
      </c>
      <c r="P868" t="s">
        <v>739</v>
      </c>
      <c r="Q868" t="s">
        <v>467</v>
      </c>
      <c r="R868" t="s">
        <v>793</v>
      </c>
      <c r="S868" t="s">
        <v>965</v>
      </c>
      <c r="T868" t="s">
        <v>794</v>
      </c>
      <c r="U868">
        <v>143000</v>
      </c>
      <c r="V868" t="s">
        <v>5823</v>
      </c>
      <c r="W868" t="s">
        <v>909</v>
      </c>
      <c r="X868" t="s">
        <v>5824</v>
      </c>
      <c r="Y868" t="s">
        <v>5825</v>
      </c>
      <c r="Z868" t="s">
        <v>5826</v>
      </c>
      <c r="AA868" t="s">
        <v>5827</v>
      </c>
      <c r="AB868" t="s">
        <v>5828</v>
      </c>
      <c r="AE868">
        <v>-36.853328009999998</v>
      </c>
      <c r="AF868">
        <v>174.86661950999999</v>
      </c>
      <c r="AG868" s="175">
        <v>60</v>
      </c>
      <c r="AH868" s="175">
        <v>20</v>
      </c>
      <c r="AI868" s="175">
        <v>2</v>
      </c>
      <c r="AJ868" s="175">
        <v>11</v>
      </c>
      <c r="AK868" s="175">
        <v>23</v>
      </c>
      <c r="AL868" s="175">
        <v>13</v>
      </c>
      <c r="AM868" s="175">
        <v>17</v>
      </c>
      <c r="AN868" s="175">
        <v>0</v>
      </c>
      <c r="AO868" s="175">
        <v>66</v>
      </c>
      <c r="AP868" s="175">
        <v>53</v>
      </c>
      <c r="AQ868" s="175">
        <v>7</v>
      </c>
      <c r="AR868" s="175">
        <v>1</v>
      </c>
      <c r="AS868" s="175">
        <v>20</v>
      </c>
      <c r="AT868" s="175">
        <v>3</v>
      </c>
    </row>
    <row r="869" spans="1:46">
      <c r="A869">
        <v>20020</v>
      </c>
      <c r="B869" t="s">
        <v>5829</v>
      </c>
      <c r="C869" t="s">
        <v>5830</v>
      </c>
      <c r="E869" t="s">
        <v>5831</v>
      </c>
      <c r="F869" t="s">
        <v>5832</v>
      </c>
      <c r="G869" t="s">
        <v>737</v>
      </c>
      <c r="H869" t="s">
        <v>449</v>
      </c>
      <c r="J869" t="s">
        <v>605</v>
      </c>
      <c r="K869" t="s">
        <v>606</v>
      </c>
      <c r="M869" t="s">
        <v>607</v>
      </c>
      <c r="N869" t="s">
        <v>657</v>
      </c>
      <c r="O869" t="s">
        <v>823</v>
      </c>
      <c r="P869" t="s">
        <v>739</v>
      </c>
      <c r="Q869" t="s">
        <v>467</v>
      </c>
      <c r="R869" t="s">
        <v>724</v>
      </c>
      <c r="S869" t="s">
        <v>841</v>
      </c>
      <c r="T869" t="s">
        <v>613</v>
      </c>
      <c r="U869">
        <v>122802</v>
      </c>
      <c r="V869" t="s">
        <v>5833</v>
      </c>
      <c r="W869" t="s">
        <v>826</v>
      </c>
      <c r="X869" t="s">
        <v>4670</v>
      </c>
      <c r="Y869" t="s">
        <v>4671</v>
      </c>
      <c r="AA869" t="s">
        <v>4106</v>
      </c>
      <c r="AB869" t="s">
        <v>4672</v>
      </c>
      <c r="AE869">
        <v>-36.799763140000003</v>
      </c>
      <c r="AF869">
        <v>174.70182008</v>
      </c>
      <c r="AG869" s="175">
        <v>22</v>
      </c>
      <c r="AH869" s="175">
        <v>0</v>
      </c>
      <c r="AI869" s="175">
        <v>0</v>
      </c>
      <c r="AJ869" s="175">
        <v>0</v>
      </c>
      <c r="AK869" s="175">
        <v>4</v>
      </c>
      <c r="AL869" s="175">
        <v>6</v>
      </c>
      <c r="AM869" s="175">
        <v>9</v>
      </c>
      <c r="AN869" s="175">
        <v>0</v>
      </c>
      <c r="AO869" s="175">
        <v>19</v>
      </c>
      <c r="AP869" s="175">
        <v>9</v>
      </c>
      <c r="AQ869" s="175">
        <v>4</v>
      </c>
      <c r="AR869" s="175">
        <v>4</v>
      </c>
      <c r="AS869" s="175">
        <v>4</v>
      </c>
      <c r="AT869" s="175">
        <v>4</v>
      </c>
    </row>
    <row r="870" spans="1:46">
      <c r="A870">
        <v>20021</v>
      </c>
      <c r="B870" t="s">
        <v>5834</v>
      </c>
      <c r="C870" t="s">
        <v>5835</v>
      </c>
      <c r="D870" t="s">
        <v>5836</v>
      </c>
      <c r="E870" t="s">
        <v>5837</v>
      </c>
      <c r="F870" t="s">
        <v>854</v>
      </c>
      <c r="G870" t="s">
        <v>737</v>
      </c>
      <c r="H870" t="s">
        <v>449</v>
      </c>
      <c r="I870" t="s">
        <v>5838</v>
      </c>
      <c r="J870" t="s">
        <v>605</v>
      </c>
      <c r="K870" t="s">
        <v>606</v>
      </c>
      <c r="M870" t="s">
        <v>607</v>
      </c>
      <c r="N870" t="s">
        <v>657</v>
      </c>
      <c r="O870" t="s">
        <v>803</v>
      </c>
      <c r="P870" t="s">
        <v>739</v>
      </c>
      <c r="Q870" t="s">
        <v>467</v>
      </c>
      <c r="R870" t="s">
        <v>793</v>
      </c>
      <c r="S870" t="s">
        <v>855</v>
      </c>
      <c r="T870" t="s">
        <v>794</v>
      </c>
      <c r="U870">
        <v>137202</v>
      </c>
      <c r="V870" t="s">
        <v>856</v>
      </c>
      <c r="W870" t="s">
        <v>806</v>
      </c>
      <c r="X870" t="s">
        <v>5839</v>
      </c>
      <c r="Y870" t="s">
        <v>5837</v>
      </c>
      <c r="Z870" t="s">
        <v>854</v>
      </c>
      <c r="AA870" t="s">
        <v>4400</v>
      </c>
      <c r="AB870" t="s">
        <v>5835</v>
      </c>
      <c r="AC870">
        <v>99012</v>
      </c>
      <c r="AD870" t="s">
        <v>857</v>
      </c>
      <c r="AE870">
        <v>-36.920464099999997</v>
      </c>
      <c r="AF870">
        <v>174.70202757999999</v>
      </c>
      <c r="AG870" s="175">
        <v>30</v>
      </c>
      <c r="AH870" s="175">
        <v>0</v>
      </c>
      <c r="AI870" s="175">
        <v>0</v>
      </c>
      <c r="AJ870" s="175">
        <v>0</v>
      </c>
      <c r="AK870" s="175">
        <v>5</v>
      </c>
      <c r="AL870" s="175">
        <v>9</v>
      </c>
      <c r="AM870" s="175">
        <v>12</v>
      </c>
      <c r="AN870" s="175">
        <v>0</v>
      </c>
      <c r="AO870" s="175">
        <v>26</v>
      </c>
      <c r="AP870" s="175">
        <v>7</v>
      </c>
      <c r="AQ870" s="175">
        <v>4</v>
      </c>
      <c r="AR870" s="175">
        <v>6</v>
      </c>
      <c r="AS870" s="175">
        <v>15</v>
      </c>
      <c r="AT870" s="175">
        <v>1</v>
      </c>
    </row>
    <row r="871" spans="1:46">
      <c r="A871">
        <v>20024</v>
      </c>
      <c r="B871" t="s">
        <v>5840</v>
      </c>
      <c r="C871" t="s">
        <v>5841</v>
      </c>
      <c r="D871" t="s">
        <v>5842</v>
      </c>
      <c r="E871" t="s">
        <v>5843</v>
      </c>
      <c r="F871" t="s">
        <v>745</v>
      </c>
      <c r="G871" t="s">
        <v>737</v>
      </c>
      <c r="H871" t="s">
        <v>449</v>
      </c>
      <c r="J871" t="s">
        <v>4032</v>
      </c>
      <c r="K871" t="s">
        <v>606</v>
      </c>
      <c r="M871" t="s">
        <v>607</v>
      </c>
      <c r="N871" t="s">
        <v>657</v>
      </c>
      <c r="O871" t="s">
        <v>738</v>
      </c>
      <c r="P871" t="s">
        <v>739</v>
      </c>
      <c r="Q871" t="s">
        <v>467</v>
      </c>
      <c r="R871" t="s">
        <v>724</v>
      </c>
      <c r="S871" t="s">
        <v>740</v>
      </c>
      <c r="T871" t="s">
        <v>613</v>
      </c>
      <c r="U871">
        <v>118700</v>
      </c>
      <c r="V871" t="s">
        <v>5844</v>
      </c>
      <c r="W871" t="s">
        <v>742</v>
      </c>
      <c r="X871" t="s">
        <v>5845</v>
      </c>
      <c r="Y871" t="s">
        <v>5846</v>
      </c>
      <c r="Z871" t="s">
        <v>745</v>
      </c>
      <c r="AA871" t="s">
        <v>4604</v>
      </c>
      <c r="AC871">
        <v>99000</v>
      </c>
      <c r="AD871" t="s">
        <v>769</v>
      </c>
      <c r="AE871">
        <v>-36.721615839999998</v>
      </c>
      <c r="AF871">
        <v>174.74393659</v>
      </c>
      <c r="AG871" s="175">
        <v>39</v>
      </c>
      <c r="AH871" s="175">
        <v>9</v>
      </c>
      <c r="AI871" s="175">
        <v>1</v>
      </c>
      <c r="AJ871" s="175">
        <v>7</v>
      </c>
      <c r="AK871" s="175">
        <v>6</v>
      </c>
      <c r="AL871" s="175">
        <v>13</v>
      </c>
      <c r="AM871" s="175">
        <v>16</v>
      </c>
      <c r="AN871" s="175">
        <v>0</v>
      </c>
      <c r="AO871" s="175">
        <v>43</v>
      </c>
      <c r="AP871" s="175">
        <v>36</v>
      </c>
      <c r="AQ871" s="175">
        <v>3</v>
      </c>
      <c r="AR871" s="175">
        <v>0</v>
      </c>
      <c r="AS871" s="175">
        <v>6</v>
      </c>
      <c r="AT871" s="175">
        <v>4</v>
      </c>
    </row>
    <row r="872" spans="1:46">
      <c r="A872">
        <v>20026</v>
      </c>
      <c r="B872" t="s">
        <v>5847</v>
      </c>
      <c r="C872" t="s">
        <v>5848</v>
      </c>
      <c r="D872" t="s">
        <v>5849</v>
      </c>
      <c r="E872" t="s">
        <v>5850</v>
      </c>
      <c r="F872" t="s">
        <v>854</v>
      </c>
      <c r="G872" t="s">
        <v>737</v>
      </c>
      <c r="H872" t="s">
        <v>449</v>
      </c>
      <c r="J872" t="s">
        <v>4032</v>
      </c>
      <c r="K872" t="s">
        <v>606</v>
      </c>
      <c r="M872" t="s">
        <v>607</v>
      </c>
      <c r="N872" t="s">
        <v>657</v>
      </c>
      <c r="O872" t="s">
        <v>803</v>
      </c>
      <c r="P872" t="s">
        <v>739</v>
      </c>
      <c r="Q872" t="s">
        <v>467</v>
      </c>
      <c r="R872" t="s">
        <v>793</v>
      </c>
      <c r="S872" t="s">
        <v>855</v>
      </c>
      <c r="T872" t="s">
        <v>794</v>
      </c>
      <c r="U872">
        <v>137201</v>
      </c>
      <c r="V872" t="s">
        <v>5851</v>
      </c>
      <c r="W872" t="s">
        <v>806</v>
      </c>
      <c r="X872" t="s">
        <v>5852</v>
      </c>
      <c r="Y872" t="s">
        <v>5850</v>
      </c>
      <c r="Z872" t="s">
        <v>854</v>
      </c>
      <c r="AA872" t="s">
        <v>4400</v>
      </c>
      <c r="AB872" t="s">
        <v>5853</v>
      </c>
      <c r="AC872">
        <v>99012</v>
      </c>
      <c r="AD872" t="s">
        <v>857</v>
      </c>
      <c r="AE872">
        <v>-36.91283902</v>
      </c>
      <c r="AF872">
        <v>174.69375733999999</v>
      </c>
      <c r="AG872" s="175">
        <v>36</v>
      </c>
      <c r="AH872" s="175">
        <v>10</v>
      </c>
      <c r="AI872" s="175">
        <v>1</v>
      </c>
      <c r="AJ872" s="175">
        <v>5</v>
      </c>
      <c r="AK872" s="175">
        <v>12</v>
      </c>
      <c r="AL872" s="175">
        <v>12</v>
      </c>
      <c r="AM872" s="175">
        <v>9</v>
      </c>
      <c r="AN872" s="175">
        <v>0</v>
      </c>
      <c r="AO872" s="175">
        <v>39</v>
      </c>
      <c r="AP872" s="175">
        <v>18</v>
      </c>
      <c r="AQ872" s="175">
        <v>4</v>
      </c>
      <c r="AR872" s="175">
        <v>5</v>
      </c>
      <c r="AS872" s="175">
        <v>18</v>
      </c>
      <c r="AT872" s="175">
        <v>4</v>
      </c>
    </row>
    <row r="873" spans="1:46">
      <c r="A873">
        <v>20027</v>
      </c>
      <c r="B873" t="s">
        <v>5854</v>
      </c>
      <c r="C873" t="s">
        <v>5855</v>
      </c>
      <c r="D873" t="s">
        <v>5856</v>
      </c>
      <c r="E873" t="s">
        <v>5857</v>
      </c>
      <c r="F873" t="s">
        <v>983</v>
      </c>
      <c r="G873" t="s">
        <v>737</v>
      </c>
      <c r="H873" t="s">
        <v>449</v>
      </c>
      <c r="J873" t="s">
        <v>4032</v>
      </c>
      <c r="K873" t="s">
        <v>606</v>
      </c>
      <c r="M873" t="s">
        <v>607</v>
      </c>
      <c r="N873" t="s">
        <v>625</v>
      </c>
      <c r="O873" t="s">
        <v>898</v>
      </c>
      <c r="P873" t="s">
        <v>739</v>
      </c>
      <c r="Q873" t="s">
        <v>467</v>
      </c>
      <c r="R873" t="s">
        <v>724</v>
      </c>
      <c r="S873" t="s">
        <v>984</v>
      </c>
      <c r="T873" t="s">
        <v>613</v>
      </c>
      <c r="U873">
        <v>125701</v>
      </c>
      <c r="V873" t="s">
        <v>5858</v>
      </c>
      <c r="W873" t="s">
        <v>900</v>
      </c>
      <c r="X873" t="s">
        <v>5859</v>
      </c>
      <c r="Y873" t="s">
        <v>5857</v>
      </c>
      <c r="Z873" t="s">
        <v>983</v>
      </c>
      <c r="AA873" t="s">
        <v>4374</v>
      </c>
      <c r="AB873" t="s">
        <v>5860</v>
      </c>
      <c r="AE873">
        <v>-36.865708290000001</v>
      </c>
      <c r="AF873">
        <v>174.61593601999999</v>
      </c>
      <c r="AG873" s="175">
        <v>50</v>
      </c>
      <c r="AH873" s="175">
        <v>12</v>
      </c>
      <c r="AI873" s="175">
        <v>3</v>
      </c>
      <c r="AJ873" s="175">
        <v>7</v>
      </c>
      <c r="AK873" s="175">
        <v>5</v>
      </c>
      <c r="AL873" s="175">
        <v>15</v>
      </c>
      <c r="AM873" s="175">
        <v>18</v>
      </c>
      <c r="AN873" s="175">
        <v>1</v>
      </c>
      <c r="AO873" s="175">
        <v>49</v>
      </c>
      <c r="AP873" s="175">
        <v>14</v>
      </c>
      <c r="AQ873" s="175">
        <v>14</v>
      </c>
      <c r="AR873" s="175">
        <v>20</v>
      </c>
      <c r="AS873" s="175">
        <v>18</v>
      </c>
      <c r="AT873" s="175">
        <v>2</v>
      </c>
    </row>
    <row r="874" spans="1:46">
      <c r="A874">
        <v>20033</v>
      </c>
      <c r="B874" t="s">
        <v>5861</v>
      </c>
      <c r="C874" t="s">
        <v>5862</v>
      </c>
      <c r="D874" t="s">
        <v>5863</v>
      </c>
      <c r="E874" t="s">
        <v>5864</v>
      </c>
      <c r="F874" t="s">
        <v>848</v>
      </c>
      <c r="G874" t="s">
        <v>737</v>
      </c>
      <c r="H874" t="s">
        <v>449</v>
      </c>
      <c r="J874" t="s">
        <v>4032</v>
      </c>
      <c r="K874" t="s">
        <v>606</v>
      </c>
      <c r="M874" t="s">
        <v>607</v>
      </c>
      <c r="N874" t="s">
        <v>657</v>
      </c>
      <c r="O874" t="s">
        <v>823</v>
      </c>
      <c r="P874" t="s">
        <v>739</v>
      </c>
      <c r="Q874" t="s">
        <v>467</v>
      </c>
      <c r="R874" t="s">
        <v>724</v>
      </c>
      <c r="S874" t="s">
        <v>841</v>
      </c>
      <c r="T874" t="s">
        <v>613</v>
      </c>
      <c r="U874">
        <v>126500</v>
      </c>
      <c r="V874" t="s">
        <v>5865</v>
      </c>
      <c r="W874" t="s">
        <v>826</v>
      </c>
      <c r="X874" t="s">
        <v>5866</v>
      </c>
      <c r="Y874" t="s">
        <v>5867</v>
      </c>
      <c r="Z874" t="s">
        <v>848</v>
      </c>
      <c r="AA874" t="s">
        <v>5868</v>
      </c>
      <c r="AB874" t="s">
        <v>5862</v>
      </c>
      <c r="AE874">
        <v>-36.810297929999997</v>
      </c>
      <c r="AF874">
        <v>174.73072017999999</v>
      </c>
      <c r="AG874" s="175">
        <v>37</v>
      </c>
      <c r="AH874" s="175">
        <v>0</v>
      </c>
      <c r="AI874" s="175">
        <v>0</v>
      </c>
      <c r="AJ874" s="175">
        <v>0</v>
      </c>
      <c r="AK874" s="175">
        <v>13</v>
      </c>
      <c r="AL874" s="175">
        <v>13</v>
      </c>
      <c r="AM874" s="175">
        <v>12</v>
      </c>
      <c r="AN874" s="175">
        <v>1</v>
      </c>
      <c r="AO874" s="175">
        <v>39</v>
      </c>
      <c r="AP874" s="175">
        <v>22</v>
      </c>
      <c r="AQ874" s="175">
        <v>2</v>
      </c>
      <c r="AR874" s="175">
        <v>0</v>
      </c>
      <c r="AS874" s="175">
        <v>18</v>
      </c>
      <c r="AT874" s="175">
        <v>5</v>
      </c>
    </row>
    <row r="875" spans="1:46">
      <c r="A875">
        <v>20035</v>
      </c>
      <c r="B875" t="s">
        <v>5869</v>
      </c>
      <c r="C875" t="s">
        <v>5870</v>
      </c>
      <c r="D875" t="s">
        <v>5871</v>
      </c>
      <c r="E875" t="s">
        <v>5872</v>
      </c>
      <c r="F875" t="s">
        <v>848</v>
      </c>
      <c r="G875" t="s">
        <v>737</v>
      </c>
      <c r="H875" t="s">
        <v>449</v>
      </c>
      <c r="J875" t="s">
        <v>4032</v>
      </c>
      <c r="K875" t="s">
        <v>606</v>
      </c>
      <c r="M875" t="s">
        <v>607</v>
      </c>
      <c r="N875" t="s">
        <v>657</v>
      </c>
      <c r="O875" t="s">
        <v>823</v>
      </c>
      <c r="P875" t="s">
        <v>739</v>
      </c>
      <c r="Q875" t="s">
        <v>467</v>
      </c>
      <c r="R875" t="s">
        <v>724</v>
      </c>
      <c r="S875" t="s">
        <v>841</v>
      </c>
      <c r="T875" t="s">
        <v>613</v>
      </c>
      <c r="U875">
        <v>127400</v>
      </c>
      <c r="V875" t="s">
        <v>849</v>
      </c>
      <c r="W875" t="s">
        <v>826</v>
      </c>
      <c r="X875" t="s">
        <v>5873</v>
      </c>
      <c r="Y875" t="s">
        <v>5874</v>
      </c>
      <c r="Z875" t="s">
        <v>848</v>
      </c>
      <c r="AA875" t="s">
        <v>4432</v>
      </c>
      <c r="AB875" t="s">
        <v>5875</v>
      </c>
      <c r="AE875">
        <v>-36.814166890000003</v>
      </c>
      <c r="AF875">
        <v>174.72811475</v>
      </c>
      <c r="AG875" s="175">
        <v>50</v>
      </c>
      <c r="AH875" s="175">
        <v>10</v>
      </c>
      <c r="AI875" s="175">
        <v>1</v>
      </c>
      <c r="AJ875" s="175">
        <v>8</v>
      </c>
      <c r="AK875" s="175">
        <v>10</v>
      </c>
      <c r="AL875" s="175">
        <v>10</v>
      </c>
      <c r="AM875" s="175">
        <v>9</v>
      </c>
      <c r="AN875" s="175">
        <v>0</v>
      </c>
      <c r="AO875" s="175">
        <v>38</v>
      </c>
      <c r="AP875" s="175">
        <v>33</v>
      </c>
      <c r="AQ875" s="175">
        <v>1</v>
      </c>
      <c r="AR875" s="175">
        <v>2</v>
      </c>
      <c r="AS875" s="175">
        <v>4</v>
      </c>
      <c r="AT875" s="175">
        <v>2</v>
      </c>
    </row>
    <row r="876" spans="1:46">
      <c r="A876">
        <v>20036</v>
      </c>
      <c r="B876" t="s">
        <v>5876</v>
      </c>
      <c r="C876" t="s">
        <v>5877</v>
      </c>
      <c r="D876" t="s">
        <v>5878</v>
      </c>
      <c r="E876" t="s">
        <v>5879</v>
      </c>
      <c r="F876" t="s">
        <v>1231</v>
      </c>
      <c r="G876" t="s">
        <v>737</v>
      </c>
      <c r="H876" t="s">
        <v>449</v>
      </c>
      <c r="J876" t="s">
        <v>4032</v>
      </c>
      <c r="K876" t="s">
        <v>606</v>
      </c>
      <c r="M876" t="s">
        <v>607</v>
      </c>
      <c r="N876" t="s">
        <v>4586</v>
      </c>
      <c r="O876" t="s">
        <v>1042</v>
      </c>
      <c r="P876" t="s">
        <v>739</v>
      </c>
      <c r="Q876" t="s">
        <v>467</v>
      </c>
      <c r="R876" t="s">
        <v>793</v>
      </c>
      <c r="S876" t="s">
        <v>943</v>
      </c>
      <c r="T876" t="s">
        <v>794</v>
      </c>
      <c r="U876">
        <v>132100</v>
      </c>
      <c r="V876" t="s">
        <v>5880</v>
      </c>
      <c r="W876" t="s">
        <v>1044</v>
      </c>
      <c r="X876" t="s">
        <v>5881</v>
      </c>
      <c r="Y876" t="s">
        <v>5882</v>
      </c>
      <c r="Z876" t="s">
        <v>1231</v>
      </c>
      <c r="AA876" t="s">
        <v>4481</v>
      </c>
      <c r="AB876" t="s">
        <v>5877</v>
      </c>
      <c r="AE876">
        <v>-36.86276307</v>
      </c>
      <c r="AF876">
        <v>174.72991838999999</v>
      </c>
      <c r="AG876" s="175">
        <v>26</v>
      </c>
      <c r="AH876" s="175">
        <v>8</v>
      </c>
      <c r="AI876" s="175">
        <v>1</v>
      </c>
      <c r="AJ876" s="175">
        <v>4</v>
      </c>
      <c r="AK876" s="175">
        <v>10</v>
      </c>
      <c r="AL876" s="175">
        <v>9</v>
      </c>
      <c r="AM876" s="175">
        <v>6</v>
      </c>
      <c r="AN876" s="175">
        <v>0</v>
      </c>
      <c r="AO876" s="175">
        <v>30</v>
      </c>
      <c r="AP876" s="175">
        <v>29</v>
      </c>
      <c r="AQ876" s="175">
        <v>0</v>
      </c>
      <c r="AR876" s="175">
        <v>4</v>
      </c>
      <c r="AS876" s="175">
        <v>1</v>
      </c>
      <c r="AT876" s="175">
        <v>0</v>
      </c>
    </row>
    <row r="877" spans="1:46">
      <c r="A877">
        <v>20039</v>
      </c>
      <c r="B877" t="s">
        <v>5883</v>
      </c>
      <c r="C877" t="s">
        <v>5884</v>
      </c>
      <c r="D877" t="s">
        <v>5885</v>
      </c>
      <c r="E877" t="s">
        <v>5886</v>
      </c>
      <c r="F877" t="s">
        <v>1102</v>
      </c>
      <c r="G877" t="s">
        <v>737</v>
      </c>
      <c r="H877" t="s">
        <v>449</v>
      </c>
      <c r="I877" t="s">
        <v>5887</v>
      </c>
      <c r="J877" t="s">
        <v>605</v>
      </c>
      <c r="K877" t="s">
        <v>606</v>
      </c>
      <c r="M877" t="s">
        <v>607</v>
      </c>
      <c r="N877" t="s">
        <v>657</v>
      </c>
      <c r="O877" t="s">
        <v>942</v>
      </c>
      <c r="P877" t="s">
        <v>739</v>
      </c>
      <c r="Q877" t="s">
        <v>467</v>
      </c>
      <c r="R877" t="s">
        <v>793</v>
      </c>
      <c r="S877" t="s">
        <v>907</v>
      </c>
      <c r="T877" t="s">
        <v>794</v>
      </c>
      <c r="U877">
        <v>136900</v>
      </c>
      <c r="V877" t="s">
        <v>5888</v>
      </c>
      <c r="W877" t="s">
        <v>945</v>
      </c>
      <c r="X877" t="s">
        <v>5889</v>
      </c>
      <c r="Y877" t="s">
        <v>5886</v>
      </c>
      <c r="Z877" t="s">
        <v>1102</v>
      </c>
      <c r="AA877" t="s">
        <v>5890</v>
      </c>
      <c r="AB877" t="s">
        <v>5884</v>
      </c>
      <c r="AE877">
        <v>-36.872443269999998</v>
      </c>
      <c r="AF877">
        <v>174.75303643999999</v>
      </c>
      <c r="AG877" s="175">
        <v>35</v>
      </c>
      <c r="AH877" s="175">
        <v>0</v>
      </c>
      <c r="AI877" s="175">
        <v>0</v>
      </c>
      <c r="AJ877" s="175">
        <v>0</v>
      </c>
      <c r="AK877" s="175">
        <v>4</v>
      </c>
      <c r="AL877" s="175">
        <v>12</v>
      </c>
      <c r="AM877" s="175">
        <v>11</v>
      </c>
      <c r="AN877" s="175">
        <v>3</v>
      </c>
      <c r="AO877" s="175">
        <v>30</v>
      </c>
      <c r="AP877" s="175">
        <v>11</v>
      </c>
      <c r="AQ877" s="175">
        <v>2</v>
      </c>
      <c r="AR877" s="175">
        <v>2</v>
      </c>
      <c r="AS877" s="175">
        <v>21</v>
      </c>
      <c r="AT877" s="175">
        <v>5</v>
      </c>
    </row>
    <row r="878" spans="1:46">
      <c r="A878">
        <v>20040</v>
      </c>
      <c r="B878" t="s">
        <v>5891</v>
      </c>
      <c r="C878" t="s">
        <v>5892</v>
      </c>
      <c r="D878" t="s">
        <v>5893</v>
      </c>
      <c r="E878" t="s">
        <v>5894</v>
      </c>
      <c r="F878" t="s">
        <v>5895</v>
      </c>
      <c r="G878" t="s">
        <v>737</v>
      </c>
      <c r="H878" t="s">
        <v>449</v>
      </c>
      <c r="J878" t="s">
        <v>4032</v>
      </c>
      <c r="K878" t="s">
        <v>606</v>
      </c>
      <c r="M878" t="s">
        <v>607</v>
      </c>
      <c r="N878" t="s">
        <v>657</v>
      </c>
      <c r="O878" t="s">
        <v>1253</v>
      </c>
      <c r="P878" t="s">
        <v>739</v>
      </c>
      <c r="Q878" t="s">
        <v>467</v>
      </c>
      <c r="R878" t="s">
        <v>724</v>
      </c>
      <c r="S878" t="s">
        <v>824</v>
      </c>
      <c r="T878" t="s">
        <v>613</v>
      </c>
      <c r="U878">
        <v>120400</v>
      </c>
      <c r="V878" t="s">
        <v>4327</v>
      </c>
      <c r="W878" t="s">
        <v>742</v>
      </c>
      <c r="X878" t="s">
        <v>5896</v>
      </c>
      <c r="Y878" t="s">
        <v>5894</v>
      </c>
      <c r="Z878" t="s">
        <v>4082</v>
      </c>
      <c r="AA878" t="s">
        <v>4168</v>
      </c>
      <c r="AE878">
        <v>-36.752757289999998</v>
      </c>
      <c r="AF878">
        <v>174.72059168000001</v>
      </c>
      <c r="AG878" s="175">
        <v>30</v>
      </c>
      <c r="AH878" s="175">
        <v>15</v>
      </c>
      <c r="AI878" s="175">
        <v>0</v>
      </c>
      <c r="AJ878" s="175">
        <v>6</v>
      </c>
      <c r="AK878" s="175">
        <v>11</v>
      </c>
      <c r="AL878" s="175">
        <v>10</v>
      </c>
      <c r="AM878" s="175">
        <v>4</v>
      </c>
      <c r="AN878" s="175">
        <v>0</v>
      </c>
      <c r="AO878" s="175">
        <v>31</v>
      </c>
      <c r="AP878" s="175">
        <v>12</v>
      </c>
      <c r="AQ878" s="175">
        <v>4</v>
      </c>
      <c r="AR878" s="175">
        <v>1</v>
      </c>
      <c r="AS878" s="175">
        <v>19</v>
      </c>
      <c r="AT878" s="175">
        <v>3</v>
      </c>
    </row>
    <row r="879" spans="1:46">
      <c r="A879">
        <v>20041</v>
      </c>
      <c r="B879" t="s">
        <v>5897</v>
      </c>
      <c r="C879" t="s">
        <v>5898</v>
      </c>
      <c r="D879" t="s">
        <v>5899</v>
      </c>
      <c r="E879" t="s">
        <v>5900</v>
      </c>
      <c r="F879" t="s">
        <v>921</v>
      </c>
      <c r="G879" t="s">
        <v>737</v>
      </c>
      <c r="H879" t="s">
        <v>449</v>
      </c>
      <c r="J879" t="s">
        <v>605</v>
      </c>
      <c r="K879" t="s">
        <v>606</v>
      </c>
      <c r="M879" t="s">
        <v>607</v>
      </c>
      <c r="N879" t="s">
        <v>657</v>
      </c>
      <c r="O879" t="s">
        <v>833</v>
      </c>
      <c r="P879" t="s">
        <v>739</v>
      </c>
      <c r="Q879" t="s">
        <v>467</v>
      </c>
      <c r="R879" t="s">
        <v>724</v>
      </c>
      <c r="S879" t="s">
        <v>767</v>
      </c>
      <c r="T879" t="s">
        <v>613</v>
      </c>
      <c r="U879">
        <v>133000</v>
      </c>
      <c r="V879" t="s">
        <v>921</v>
      </c>
      <c r="W879" t="s">
        <v>826</v>
      </c>
      <c r="X879" t="s">
        <v>5901</v>
      </c>
      <c r="Y879" t="s">
        <v>5902</v>
      </c>
      <c r="Z879" t="s">
        <v>921</v>
      </c>
      <c r="AA879" t="s">
        <v>4349</v>
      </c>
      <c r="AB879" t="s">
        <v>5903</v>
      </c>
      <c r="AC879">
        <v>99048</v>
      </c>
      <c r="AD879" t="s">
        <v>835</v>
      </c>
      <c r="AE879">
        <v>-36.829800300000002</v>
      </c>
      <c r="AF879">
        <v>174.79555811</v>
      </c>
      <c r="AG879" s="175">
        <v>25</v>
      </c>
      <c r="AH879" s="175">
        <v>5</v>
      </c>
      <c r="AI879" s="175">
        <v>0</v>
      </c>
      <c r="AJ879" s="175">
        <v>4</v>
      </c>
      <c r="AK879" s="175">
        <v>26</v>
      </c>
      <c r="AL879" s="175">
        <v>17</v>
      </c>
      <c r="AM879" s="175">
        <v>1</v>
      </c>
      <c r="AN879" s="175">
        <v>0</v>
      </c>
      <c r="AO879" s="175">
        <v>48</v>
      </c>
      <c r="AP879" s="175">
        <v>43</v>
      </c>
      <c r="AQ879" s="175">
        <v>8</v>
      </c>
      <c r="AR879" s="175">
        <v>2</v>
      </c>
      <c r="AS879" s="175">
        <v>6</v>
      </c>
      <c r="AT879" s="175">
        <v>4</v>
      </c>
    </row>
    <row r="880" spans="1:46">
      <c r="A880">
        <v>20043</v>
      </c>
      <c r="B880" t="s">
        <v>5904</v>
      </c>
      <c r="C880" t="s">
        <v>5905</v>
      </c>
      <c r="E880" t="s">
        <v>5906</v>
      </c>
      <c r="F880" t="s">
        <v>745</v>
      </c>
      <c r="G880" t="s">
        <v>737</v>
      </c>
      <c r="H880" t="s">
        <v>449</v>
      </c>
      <c r="J880" t="s">
        <v>605</v>
      </c>
      <c r="K880" t="s">
        <v>606</v>
      </c>
      <c r="M880" t="s">
        <v>607</v>
      </c>
      <c r="N880" t="s">
        <v>657</v>
      </c>
      <c r="O880" t="s">
        <v>738</v>
      </c>
      <c r="P880" t="s">
        <v>739</v>
      </c>
      <c r="Q880" t="s">
        <v>467</v>
      </c>
      <c r="R880" t="s">
        <v>724</v>
      </c>
      <c r="S880" t="s">
        <v>740</v>
      </c>
      <c r="T880" t="s">
        <v>613</v>
      </c>
      <c r="U880">
        <v>118300</v>
      </c>
      <c r="V880" t="s">
        <v>774</v>
      </c>
      <c r="W880" t="s">
        <v>742</v>
      </c>
      <c r="X880" t="s">
        <v>5907</v>
      </c>
      <c r="Y880" t="s">
        <v>5908</v>
      </c>
      <c r="Z880" t="s">
        <v>745</v>
      </c>
      <c r="AA880" t="s">
        <v>746</v>
      </c>
      <c r="AB880" t="s">
        <v>5905</v>
      </c>
      <c r="AC880">
        <v>99000</v>
      </c>
      <c r="AD880" t="s">
        <v>769</v>
      </c>
      <c r="AE880">
        <v>-36.715417359999996</v>
      </c>
      <c r="AF880">
        <v>174.74700038</v>
      </c>
      <c r="AG880" s="175">
        <v>32</v>
      </c>
      <c r="AH880" s="175">
        <v>10</v>
      </c>
      <c r="AI880" s="175">
        <v>1</v>
      </c>
      <c r="AJ880" s="175">
        <v>3</v>
      </c>
      <c r="AK880" s="175">
        <v>18</v>
      </c>
      <c r="AL880" s="175">
        <v>12</v>
      </c>
      <c r="AM880" s="175">
        <v>4</v>
      </c>
      <c r="AN880" s="175">
        <v>2</v>
      </c>
      <c r="AO880" s="175">
        <v>40</v>
      </c>
      <c r="AP880" s="175">
        <v>23</v>
      </c>
      <c r="AQ880" s="175">
        <v>9</v>
      </c>
      <c r="AR880" s="175">
        <v>5</v>
      </c>
      <c r="AS880" s="175">
        <v>13</v>
      </c>
      <c r="AT880" s="175">
        <v>3</v>
      </c>
    </row>
    <row r="881" spans="1:46">
      <c r="A881">
        <v>20045</v>
      </c>
      <c r="B881" t="s">
        <v>5909</v>
      </c>
      <c r="C881" t="s">
        <v>5910</v>
      </c>
      <c r="D881" t="s">
        <v>5911</v>
      </c>
      <c r="E881" t="s">
        <v>5912</v>
      </c>
      <c r="F881" t="s">
        <v>1274</v>
      </c>
      <c r="G881" t="s">
        <v>737</v>
      </c>
      <c r="H881" t="s">
        <v>449</v>
      </c>
      <c r="J881" t="s">
        <v>605</v>
      </c>
      <c r="K881" t="s">
        <v>606</v>
      </c>
      <c r="M881" t="s">
        <v>607</v>
      </c>
      <c r="N881" t="s">
        <v>657</v>
      </c>
      <c r="O881" t="s">
        <v>898</v>
      </c>
      <c r="P881" t="s">
        <v>739</v>
      </c>
      <c r="Q881" t="s">
        <v>467</v>
      </c>
      <c r="R881" t="s">
        <v>724</v>
      </c>
      <c r="S881" t="s">
        <v>984</v>
      </c>
      <c r="T881" t="s">
        <v>794</v>
      </c>
      <c r="U881">
        <v>126401</v>
      </c>
      <c r="V881" t="s">
        <v>5913</v>
      </c>
      <c r="W881" t="s">
        <v>900</v>
      </c>
      <c r="X881" t="s">
        <v>5914</v>
      </c>
      <c r="Y881" t="s">
        <v>5915</v>
      </c>
      <c r="Z881" t="s">
        <v>1274</v>
      </c>
      <c r="AA881" t="s">
        <v>5916</v>
      </c>
      <c r="AE881">
        <v>-36.866344820000002</v>
      </c>
      <c r="AF881">
        <v>174.64552963</v>
      </c>
      <c r="AG881" s="175">
        <v>30</v>
      </c>
      <c r="AH881" s="175">
        <v>0</v>
      </c>
      <c r="AI881" s="175">
        <v>0</v>
      </c>
      <c r="AJ881" s="175">
        <v>0</v>
      </c>
      <c r="AK881" s="175">
        <v>10</v>
      </c>
      <c r="AL881" s="175">
        <v>17</v>
      </c>
      <c r="AM881" s="175">
        <v>15</v>
      </c>
      <c r="AN881" s="175">
        <v>1</v>
      </c>
      <c r="AO881" s="175">
        <v>43</v>
      </c>
      <c r="AP881" s="175">
        <v>26</v>
      </c>
      <c r="AQ881" s="175">
        <v>13</v>
      </c>
      <c r="AR881" s="175">
        <v>9</v>
      </c>
      <c r="AS881" s="175">
        <v>7</v>
      </c>
      <c r="AT881" s="175">
        <v>1</v>
      </c>
    </row>
    <row r="882" spans="1:46">
      <c r="A882">
        <v>20049</v>
      </c>
      <c r="B882" t="s">
        <v>5917</v>
      </c>
      <c r="C882" t="s">
        <v>5918</v>
      </c>
      <c r="D882" t="s">
        <v>5919</v>
      </c>
      <c r="E882" t="s">
        <v>5920</v>
      </c>
      <c r="F882" t="s">
        <v>907</v>
      </c>
      <c r="G882" t="s">
        <v>737</v>
      </c>
      <c r="H882" t="s">
        <v>449</v>
      </c>
      <c r="J882" t="s">
        <v>605</v>
      </c>
      <c r="K882" t="s">
        <v>606</v>
      </c>
      <c r="M882" t="s">
        <v>607</v>
      </c>
      <c r="N882" t="s">
        <v>4586</v>
      </c>
      <c r="O882" t="s">
        <v>942</v>
      </c>
      <c r="P882" t="s">
        <v>739</v>
      </c>
      <c r="Q882" t="s">
        <v>467</v>
      </c>
      <c r="R882" t="s">
        <v>793</v>
      </c>
      <c r="S882" t="s">
        <v>907</v>
      </c>
      <c r="T882" t="s">
        <v>794</v>
      </c>
      <c r="U882">
        <v>140200</v>
      </c>
      <c r="V882" t="s">
        <v>1036</v>
      </c>
      <c r="W882" t="s">
        <v>945</v>
      </c>
      <c r="X882" t="s">
        <v>5921</v>
      </c>
      <c r="Y882" t="s">
        <v>5920</v>
      </c>
      <c r="Z882" t="s">
        <v>907</v>
      </c>
      <c r="AA882" t="s">
        <v>4449</v>
      </c>
      <c r="AE882">
        <v>-36.887005649999999</v>
      </c>
      <c r="AF882">
        <v>174.77109783</v>
      </c>
      <c r="AG882" s="175">
        <v>15</v>
      </c>
      <c r="AH882" s="175">
        <v>0</v>
      </c>
      <c r="AI882" s="175">
        <v>0</v>
      </c>
      <c r="AJ882" s="175">
        <v>0</v>
      </c>
      <c r="AK882" s="175">
        <v>17</v>
      </c>
      <c r="AL882" s="175">
        <v>9</v>
      </c>
      <c r="AM882" s="175">
        <v>0</v>
      </c>
      <c r="AN882" s="175">
        <v>0</v>
      </c>
      <c r="AO882" s="175">
        <v>26</v>
      </c>
      <c r="AP882" s="175">
        <v>17</v>
      </c>
      <c r="AQ882" s="175">
        <v>0</v>
      </c>
      <c r="AR882" s="175">
        <v>1</v>
      </c>
      <c r="AS882" s="175">
        <v>5</v>
      </c>
      <c r="AT882" s="175">
        <v>6</v>
      </c>
    </row>
    <row r="883" spans="1:46">
      <c r="A883">
        <v>20050</v>
      </c>
      <c r="B883" t="s">
        <v>5922</v>
      </c>
      <c r="C883" t="s">
        <v>5923</v>
      </c>
      <c r="D883" t="s">
        <v>5924</v>
      </c>
      <c r="E883" t="s">
        <v>5925</v>
      </c>
      <c r="F883" t="s">
        <v>5926</v>
      </c>
      <c r="G883" t="s">
        <v>737</v>
      </c>
      <c r="H883" t="s">
        <v>449</v>
      </c>
      <c r="J883" t="s">
        <v>4032</v>
      </c>
      <c r="K883" t="s">
        <v>606</v>
      </c>
      <c r="M883" t="s">
        <v>607</v>
      </c>
      <c r="N883" t="s">
        <v>657</v>
      </c>
      <c r="O883" t="s">
        <v>833</v>
      </c>
      <c r="P883" t="s">
        <v>739</v>
      </c>
      <c r="Q883" t="s">
        <v>467</v>
      </c>
      <c r="R883" t="s">
        <v>724</v>
      </c>
      <c r="S883" t="s">
        <v>767</v>
      </c>
      <c r="T883" t="s">
        <v>613</v>
      </c>
      <c r="U883">
        <v>121300</v>
      </c>
      <c r="V883" t="s">
        <v>870</v>
      </c>
      <c r="W883" t="s">
        <v>826</v>
      </c>
      <c r="X883" t="s">
        <v>5927</v>
      </c>
      <c r="Y883" t="s">
        <v>5925</v>
      </c>
      <c r="Z883" t="s">
        <v>5926</v>
      </c>
      <c r="AA883" t="s">
        <v>4977</v>
      </c>
      <c r="AB883" t="s">
        <v>5928</v>
      </c>
      <c r="AC883">
        <v>99188</v>
      </c>
      <c r="AD883" t="s">
        <v>871</v>
      </c>
      <c r="AE883">
        <v>-36.753788520000001</v>
      </c>
      <c r="AF883">
        <v>174.73983595000001</v>
      </c>
      <c r="AG883" s="175">
        <v>35</v>
      </c>
      <c r="AH883" s="175">
        <v>0</v>
      </c>
      <c r="AI883" s="175">
        <v>0</v>
      </c>
      <c r="AJ883" s="175">
        <v>0</v>
      </c>
      <c r="AK883" s="175">
        <v>7</v>
      </c>
      <c r="AL883" s="175">
        <v>16</v>
      </c>
      <c r="AM883" s="175">
        <v>13</v>
      </c>
      <c r="AN883" s="175">
        <v>0</v>
      </c>
      <c r="AO883" s="175">
        <v>36</v>
      </c>
      <c r="AP883" s="175">
        <v>6</v>
      </c>
      <c r="AQ883" s="175">
        <v>3</v>
      </c>
      <c r="AR883" s="175">
        <v>2</v>
      </c>
      <c r="AS883" s="175">
        <v>29</v>
      </c>
      <c r="AT883" s="175">
        <v>0</v>
      </c>
    </row>
    <row r="884" spans="1:46">
      <c r="A884">
        <v>20052</v>
      </c>
      <c r="B884" t="s">
        <v>5929</v>
      </c>
      <c r="C884" t="s">
        <v>5930</v>
      </c>
      <c r="E884" t="s">
        <v>5931</v>
      </c>
      <c r="F884" t="s">
        <v>1041</v>
      </c>
      <c r="G884" t="s">
        <v>737</v>
      </c>
      <c r="H884" t="s">
        <v>449</v>
      </c>
      <c r="J884" t="s">
        <v>605</v>
      </c>
      <c r="K884" t="s">
        <v>606</v>
      </c>
      <c r="M884" t="s">
        <v>607</v>
      </c>
      <c r="N884" t="s">
        <v>4586</v>
      </c>
      <c r="O884" t="s">
        <v>1042</v>
      </c>
      <c r="P884" t="s">
        <v>739</v>
      </c>
      <c r="Q884" t="s">
        <v>467</v>
      </c>
      <c r="R884" t="s">
        <v>793</v>
      </c>
      <c r="S884" t="s">
        <v>1043</v>
      </c>
      <c r="T884" t="s">
        <v>794</v>
      </c>
      <c r="U884">
        <v>131801</v>
      </c>
      <c r="V884" t="s">
        <v>1041</v>
      </c>
      <c r="W884" t="s">
        <v>1044</v>
      </c>
      <c r="X884" t="s">
        <v>5932</v>
      </c>
      <c r="Y884" t="s">
        <v>5933</v>
      </c>
      <c r="Z884" t="s">
        <v>4722</v>
      </c>
      <c r="AA884" t="s">
        <v>4314</v>
      </c>
      <c r="AE884">
        <v>-36.852606590000001</v>
      </c>
      <c r="AF884">
        <v>174.75046589999999</v>
      </c>
      <c r="AG884" s="175">
        <v>50</v>
      </c>
      <c r="AH884" s="175">
        <v>12</v>
      </c>
      <c r="AI884" s="175">
        <v>2</v>
      </c>
      <c r="AJ884" s="175">
        <v>8</v>
      </c>
      <c r="AK884" s="175">
        <v>13</v>
      </c>
      <c r="AL884" s="175">
        <v>14</v>
      </c>
      <c r="AM884" s="175">
        <v>10</v>
      </c>
      <c r="AN884" s="175">
        <v>0</v>
      </c>
      <c r="AO884" s="175">
        <v>47</v>
      </c>
      <c r="AP884" s="175">
        <v>33</v>
      </c>
      <c r="AQ884" s="175">
        <v>2</v>
      </c>
      <c r="AR884" s="175">
        <v>1</v>
      </c>
      <c r="AS884" s="175">
        <v>5</v>
      </c>
      <c r="AT884" s="175">
        <v>14</v>
      </c>
    </row>
    <row r="885" spans="1:46">
      <c r="A885">
        <v>20053</v>
      </c>
      <c r="B885" t="s">
        <v>5934</v>
      </c>
      <c r="C885" t="s">
        <v>5935</v>
      </c>
      <c r="D885" t="s">
        <v>5936</v>
      </c>
      <c r="E885" t="s">
        <v>5937</v>
      </c>
      <c r="F885" t="s">
        <v>907</v>
      </c>
      <c r="G885" t="s">
        <v>737</v>
      </c>
      <c r="H885" t="s">
        <v>449</v>
      </c>
      <c r="J885" t="s">
        <v>605</v>
      </c>
      <c r="K885" t="s">
        <v>606</v>
      </c>
      <c r="M885" t="s">
        <v>607</v>
      </c>
      <c r="N885" t="s">
        <v>657</v>
      </c>
      <c r="O885" t="s">
        <v>942</v>
      </c>
      <c r="P885" t="s">
        <v>739</v>
      </c>
      <c r="Q885" t="s">
        <v>467</v>
      </c>
      <c r="R885" t="s">
        <v>793</v>
      </c>
      <c r="S885" t="s">
        <v>907</v>
      </c>
      <c r="T885" t="s">
        <v>794</v>
      </c>
      <c r="U885">
        <v>141500</v>
      </c>
      <c r="V885" t="s">
        <v>5938</v>
      </c>
      <c r="W885" t="s">
        <v>945</v>
      </c>
      <c r="X885" t="s">
        <v>5939</v>
      </c>
      <c r="Y885" t="s">
        <v>5937</v>
      </c>
      <c r="Z885" t="s">
        <v>907</v>
      </c>
      <c r="AA885" t="s">
        <v>4449</v>
      </c>
      <c r="AB885" t="s">
        <v>5940</v>
      </c>
      <c r="AC885">
        <v>99001</v>
      </c>
      <c r="AD885" t="s">
        <v>5941</v>
      </c>
      <c r="AE885">
        <v>-36.896225819999998</v>
      </c>
      <c r="AF885">
        <v>174.7752807</v>
      </c>
      <c r="AG885" s="175">
        <v>37</v>
      </c>
      <c r="AH885" s="175">
        <v>0</v>
      </c>
      <c r="AI885" s="175">
        <v>0</v>
      </c>
      <c r="AJ885" s="175">
        <v>0</v>
      </c>
      <c r="AK885" s="175">
        <v>0</v>
      </c>
      <c r="AL885" s="175">
        <v>19</v>
      </c>
      <c r="AM885" s="175">
        <v>30</v>
      </c>
      <c r="AN885" s="175">
        <v>1</v>
      </c>
      <c r="AO885" s="175">
        <v>50</v>
      </c>
      <c r="AP885" s="175">
        <v>43</v>
      </c>
      <c r="AQ885" s="175">
        <v>1</v>
      </c>
      <c r="AR885" s="175">
        <v>3</v>
      </c>
      <c r="AS885" s="175">
        <v>12</v>
      </c>
      <c r="AT885" s="175">
        <v>2</v>
      </c>
    </row>
    <row r="886" spans="1:46">
      <c r="A886">
        <v>20055</v>
      </c>
      <c r="B886" t="s">
        <v>5942</v>
      </c>
      <c r="C886" t="s">
        <v>5943</v>
      </c>
      <c r="D886" t="s">
        <v>5944</v>
      </c>
      <c r="E886" t="s">
        <v>5945</v>
      </c>
      <c r="F886" t="s">
        <v>4533</v>
      </c>
      <c r="G886" t="s">
        <v>737</v>
      </c>
      <c r="H886" t="s">
        <v>449</v>
      </c>
      <c r="J886" t="s">
        <v>4032</v>
      </c>
      <c r="K886" t="s">
        <v>606</v>
      </c>
      <c r="M886" t="s">
        <v>607</v>
      </c>
      <c r="N886" t="s">
        <v>643</v>
      </c>
      <c r="O886" t="s">
        <v>898</v>
      </c>
      <c r="P886" t="s">
        <v>739</v>
      </c>
      <c r="Q886" t="s">
        <v>467</v>
      </c>
      <c r="R886" t="s">
        <v>724</v>
      </c>
      <c r="S886" t="s">
        <v>804</v>
      </c>
      <c r="T886" t="s">
        <v>794</v>
      </c>
      <c r="U886">
        <v>128902</v>
      </c>
      <c r="V886" t="s">
        <v>5946</v>
      </c>
      <c r="W886" t="s">
        <v>900</v>
      </c>
      <c r="X886" t="s">
        <v>5947</v>
      </c>
      <c r="Y886" t="s">
        <v>5948</v>
      </c>
      <c r="Z886" t="s">
        <v>1268</v>
      </c>
      <c r="AA886" t="s">
        <v>4374</v>
      </c>
      <c r="AB886" t="s">
        <v>5949</v>
      </c>
      <c r="AE886">
        <v>-36.886108419999999</v>
      </c>
      <c r="AF886">
        <v>174.65457028</v>
      </c>
      <c r="AG886" s="175">
        <v>32</v>
      </c>
      <c r="AH886" s="175">
        <v>10</v>
      </c>
      <c r="AI886" s="175">
        <v>1</v>
      </c>
      <c r="AJ886" s="175">
        <v>6</v>
      </c>
      <c r="AK886" s="175">
        <v>6</v>
      </c>
      <c r="AL886" s="175">
        <v>7</v>
      </c>
      <c r="AM886" s="175">
        <v>9</v>
      </c>
      <c r="AN886" s="175">
        <v>0</v>
      </c>
      <c r="AO886" s="175">
        <v>29</v>
      </c>
      <c r="AP886" s="175">
        <v>16</v>
      </c>
      <c r="AQ886" s="175">
        <v>7</v>
      </c>
      <c r="AR886" s="175">
        <v>8</v>
      </c>
      <c r="AS886" s="175">
        <v>8</v>
      </c>
      <c r="AT886" s="175">
        <v>0</v>
      </c>
    </row>
    <row r="887" spans="1:46">
      <c r="A887">
        <v>20056</v>
      </c>
      <c r="B887" t="s">
        <v>5950</v>
      </c>
      <c r="C887" t="s">
        <v>5951</v>
      </c>
      <c r="D887" t="s">
        <v>5952</v>
      </c>
      <c r="E887" t="s">
        <v>5953</v>
      </c>
      <c r="F887" t="s">
        <v>957</v>
      </c>
      <c r="G887" t="s">
        <v>737</v>
      </c>
      <c r="H887" t="s">
        <v>449</v>
      </c>
      <c r="I887" t="s">
        <v>5838</v>
      </c>
      <c r="J887" t="s">
        <v>605</v>
      </c>
      <c r="K887" t="s">
        <v>606</v>
      </c>
      <c r="M887" t="s">
        <v>607</v>
      </c>
      <c r="N887" t="s">
        <v>657</v>
      </c>
      <c r="O887" t="s">
        <v>958</v>
      </c>
      <c r="P887" t="s">
        <v>739</v>
      </c>
      <c r="Q887" t="s">
        <v>467</v>
      </c>
      <c r="R887" t="s">
        <v>724</v>
      </c>
      <c r="S887" t="s">
        <v>804</v>
      </c>
      <c r="T887" t="s">
        <v>794</v>
      </c>
      <c r="U887">
        <v>130901</v>
      </c>
      <c r="V887" t="s">
        <v>1210</v>
      </c>
      <c r="W887" t="s">
        <v>900</v>
      </c>
      <c r="X887" t="s">
        <v>5954</v>
      </c>
      <c r="Y887" t="s">
        <v>5955</v>
      </c>
      <c r="Z887" t="s">
        <v>957</v>
      </c>
      <c r="AA887" t="s">
        <v>5956</v>
      </c>
      <c r="AB887" t="s">
        <v>5957</v>
      </c>
      <c r="AE887">
        <v>-36.917847950000002</v>
      </c>
      <c r="AF887">
        <v>174.64898435999999</v>
      </c>
      <c r="AG887" s="175">
        <v>38</v>
      </c>
      <c r="AH887" s="175">
        <v>0</v>
      </c>
      <c r="AI887" s="175">
        <v>0</v>
      </c>
      <c r="AJ887" s="175">
        <v>0</v>
      </c>
      <c r="AK887" s="175">
        <v>4</v>
      </c>
      <c r="AL887" s="175">
        <v>8</v>
      </c>
      <c r="AM887" s="175">
        <v>8</v>
      </c>
      <c r="AN887" s="175">
        <v>0</v>
      </c>
      <c r="AO887" s="175">
        <v>20</v>
      </c>
      <c r="AP887" s="175">
        <v>5</v>
      </c>
      <c r="AQ887" s="175">
        <v>4</v>
      </c>
      <c r="AR887" s="175">
        <v>8</v>
      </c>
      <c r="AS887" s="175">
        <v>7</v>
      </c>
      <c r="AT887" s="175">
        <v>4</v>
      </c>
    </row>
    <row r="888" spans="1:46">
      <c r="A888">
        <v>20060</v>
      </c>
      <c r="B888" t="s">
        <v>5958</v>
      </c>
      <c r="C888" t="s">
        <v>5959</v>
      </c>
      <c r="D888" t="s">
        <v>5960</v>
      </c>
      <c r="E888" t="s">
        <v>5961</v>
      </c>
      <c r="F888" t="s">
        <v>822</v>
      </c>
      <c r="G888" t="s">
        <v>737</v>
      </c>
      <c r="H888" t="s">
        <v>449</v>
      </c>
      <c r="J888" t="s">
        <v>4032</v>
      </c>
      <c r="K888" t="s">
        <v>606</v>
      </c>
      <c r="M888" t="s">
        <v>607</v>
      </c>
      <c r="N888" t="s">
        <v>657</v>
      </c>
      <c r="O888" t="s">
        <v>823</v>
      </c>
      <c r="P888" t="s">
        <v>739</v>
      </c>
      <c r="Q888" t="s">
        <v>467</v>
      </c>
      <c r="R888" t="s">
        <v>724</v>
      </c>
      <c r="S888" t="s">
        <v>841</v>
      </c>
      <c r="T888" t="s">
        <v>613</v>
      </c>
      <c r="U888">
        <v>125202</v>
      </c>
      <c r="V888" t="s">
        <v>5962</v>
      </c>
      <c r="W888" t="s">
        <v>826</v>
      </c>
      <c r="X888" t="s">
        <v>5963</v>
      </c>
      <c r="Y888" t="s">
        <v>5964</v>
      </c>
      <c r="Z888" t="s">
        <v>841</v>
      </c>
      <c r="AA888" t="s">
        <v>5965</v>
      </c>
      <c r="AE888">
        <v>-36.800114190000002</v>
      </c>
      <c r="AF888">
        <v>174.72394315</v>
      </c>
      <c r="AG888" s="175">
        <v>30</v>
      </c>
      <c r="AH888" s="175">
        <v>12</v>
      </c>
      <c r="AI888" s="175">
        <v>2</v>
      </c>
      <c r="AJ888" s="175">
        <v>7</v>
      </c>
      <c r="AK888" s="175">
        <v>14</v>
      </c>
      <c r="AL888" s="175">
        <v>3</v>
      </c>
      <c r="AM888" s="175">
        <v>7</v>
      </c>
      <c r="AN888" s="175">
        <v>0</v>
      </c>
      <c r="AO888" s="175">
        <v>33</v>
      </c>
      <c r="AP888" s="175">
        <v>30</v>
      </c>
      <c r="AQ888" s="175">
        <v>3</v>
      </c>
      <c r="AR888" s="175">
        <v>0</v>
      </c>
      <c r="AS888" s="175">
        <v>3</v>
      </c>
      <c r="AT888" s="175">
        <v>5</v>
      </c>
    </row>
    <row r="889" spans="1:46">
      <c r="A889">
        <v>20061</v>
      </c>
      <c r="B889" t="s">
        <v>5966</v>
      </c>
      <c r="C889" t="s">
        <v>5967</v>
      </c>
      <c r="D889" t="s">
        <v>5968</v>
      </c>
      <c r="E889" t="s">
        <v>5969</v>
      </c>
      <c r="F889" t="s">
        <v>4831</v>
      </c>
      <c r="G889" t="s">
        <v>737</v>
      </c>
      <c r="H889" t="s">
        <v>449</v>
      </c>
      <c r="J889" t="s">
        <v>4032</v>
      </c>
      <c r="K889" t="s">
        <v>606</v>
      </c>
      <c r="M889" t="s">
        <v>607</v>
      </c>
      <c r="N889" t="s">
        <v>657</v>
      </c>
      <c r="O889" t="s">
        <v>942</v>
      </c>
      <c r="P889" t="s">
        <v>739</v>
      </c>
      <c r="Q889" t="s">
        <v>467</v>
      </c>
      <c r="R889" t="s">
        <v>793</v>
      </c>
      <c r="S889" t="s">
        <v>890</v>
      </c>
      <c r="T889" t="s">
        <v>794</v>
      </c>
      <c r="U889">
        <v>142202</v>
      </c>
      <c r="V889" t="s">
        <v>5970</v>
      </c>
      <c r="W889" t="s">
        <v>945</v>
      </c>
      <c r="X889" t="s">
        <v>5971</v>
      </c>
      <c r="Y889" t="s">
        <v>5972</v>
      </c>
      <c r="Z889" t="s">
        <v>4831</v>
      </c>
      <c r="AA889" t="s">
        <v>4834</v>
      </c>
      <c r="AB889" t="s">
        <v>5973</v>
      </c>
      <c r="AE889">
        <v>-36.89298505</v>
      </c>
      <c r="AF889">
        <v>174.7962517</v>
      </c>
      <c r="AG889" s="175">
        <v>48</v>
      </c>
      <c r="AH889" s="175">
        <v>12</v>
      </c>
      <c r="AI889" s="175">
        <v>3</v>
      </c>
      <c r="AJ889" s="175">
        <v>6</v>
      </c>
      <c r="AK889" s="175">
        <v>11</v>
      </c>
      <c r="AL889" s="175">
        <v>6</v>
      </c>
      <c r="AM889" s="175">
        <v>16</v>
      </c>
      <c r="AN889" s="175">
        <v>0</v>
      </c>
      <c r="AO889" s="175">
        <v>42</v>
      </c>
      <c r="AP889" s="175">
        <v>26</v>
      </c>
      <c r="AQ889" s="175">
        <v>1</v>
      </c>
      <c r="AR889" s="175">
        <v>1</v>
      </c>
      <c r="AS889" s="175">
        <v>11</v>
      </c>
      <c r="AT889" s="175">
        <v>9</v>
      </c>
    </row>
    <row r="890" spans="1:46">
      <c r="A890">
        <v>20062</v>
      </c>
      <c r="B890" t="s">
        <v>5974</v>
      </c>
      <c r="C890" t="s">
        <v>5975</v>
      </c>
      <c r="D890" t="s">
        <v>5976</v>
      </c>
      <c r="E890" t="s">
        <v>5977</v>
      </c>
      <c r="F890" t="s">
        <v>907</v>
      </c>
      <c r="G890" t="s">
        <v>737</v>
      </c>
      <c r="H890" t="s">
        <v>449</v>
      </c>
      <c r="I890" t="s">
        <v>4102</v>
      </c>
      <c r="J890" t="s">
        <v>605</v>
      </c>
      <c r="K890" t="s">
        <v>606</v>
      </c>
      <c r="M890" t="s">
        <v>607</v>
      </c>
      <c r="N890" t="s">
        <v>657</v>
      </c>
      <c r="O890" t="s">
        <v>942</v>
      </c>
      <c r="P890" t="s">
        <v>739</v>
      </c>
      <c r="Q890" t="s">
        <v>467</v>
      </c>
      <c r="R890" t="s">
        <v>793</v>
      </c>
      <c r="S890" t="s">
        <v>907</v>
      </c>
      <c r="T890" t="s">
        <v>794</v>
      </c>
      <c r="U890">
        <v>141500</v>
      </c>
      <c r="V890" t="s">
        <v>5938</v>
      </c>
      <c r="W890" t="s">
        <v>945</v>
      </c>
      <c r="X890" t="s">
        <v>5978</v>
      </c>
      <c r="Y890" t="s">
        <v>5979</v>
      </c>
      <c r="AA890" t="s">
        <v>4106</v>
      </c>
      <c r="AB890" t="s">
        <v>5980</v>
      </c>
      <c r="AE890">
        <v>-36.893943649999997</v>
      </c>
      <c r="AF890">
        <v>174.77998319</v>
      </c>
      <c r="AG890" s="175">
        <v>75</v>
      </c>
      <c r="AH890" s="175">
        <v>40</v>
      </c>
      <c r="AI890" s="175">
        <v>6</v>
      </c>
      <c r="AJ890" s="175">
        <v>14</v>
      </c>
      <c r="AK890" s="175">
        <v>22</v>
      </c>
      <c r="AL890" s="175">
        <v>14</v>
      </c>
      <c r="AM890" s="175">
        <v>12</v>
      </c>
      <c r="AN890" s="175">
        <v>0</v>
      </c>
      <c r="AO890" s="175">
        <v>68</v>
      </c>
      <c r="AP890" s="175">
        <v>36</v>
      </c>
      <c r="AQ890" s="175">
        <v>7</v>
      </c>
      <c r="AR890" s="175">
        <v>8</v>
      </c>
      <c r="AS890" s="175">
        <v>32</v>
      </c>
      <c r="AT890" s="175">
        <v>9</v>
      </c>
    </row>
    <row r="891" spans="1:46">
      <c r="A891">
        <v>20064</v>
      </c>
      <c r="B891" t="s">
        <v>5981</v>
      </c>
      <c r="C891" t="s">
        <v>5982</v>
      </c>
      <c r="D891" t="s">
        <v>5983</v>
      </c>
      <c r="E891" t="s">
        <v>5984</v>
      </c>
      <c r="G891" t="s">
        <v>5985</v>
      </c>
      <c r="H891" t="s">
        <v>449</v>
      </c>
      <c r="I891" t="s">
        <v>4134</v>
      </c>
      <c r="J891" t="s">
        <v>4032</v>
      </c>
      <c r="K891" t="s">
        <v>606</v>
      </c>
      <c r="M891" t="s">
        <v>607</v>
      </c>
      <c r="N891" t="s">
        <v>657</v>
      </c>
      <c r="O891" t="s">
        <v>723</v>
      </c>
      <c r="P891" t="s">
        <v>658</v>
      </c>
      <c r="Q891" t="s">
        <v>467</v>
      </c>
      <c r="R891" t="s">
        <v>724</v>
      </c>
      <c r="S891" t="s">
        <v>725</v>
      </c>
      <c r="T891" t="s">
        <v>613</v>
      </c>
      <c r="U891">
        <v>110900</v>
      </c>
      <c r="V891" t="s">
        <v>5000</v>
      </c>
      <c r="W891" t="s">
        <v>726</v>
      </c>
      <c r="X891" t="s">
        <v>5986</v>
      </c>
      <c r="Y891" t="s">
        <v>5984</v>
      </c>
      <c r="AA891" t="s">
        <v>5987</v>
      </c>
      <c r="AB891" t="s">
        <v>5988</v>
      </c>
      <c r="AC891">
        <v>99122</v>
      </c>
      <c r="AD891" t="s">
        <v>4154</v>
      </c>
      <c r="AE891">
        <v>-36.326161929999998</v>
      </c>
      <c r="AF891">
        <v>174.69638671999999</v>
      </c>
      <c r="AG891" s="175">
        <v>28</v>
      </c>
      <c r="AH891" s="175">
        <v>0</v>
      </c>
      <c r="AI891" s="175">
        <v>0</v>
      </c>
      <c r="AJ891" s="175">
        <v>0</v>
      </c>
      <c r="AK891" s="175">
        <v>3</v>
      </c>
      <c r="AL891" s="175">
        <v>14</v>
      </c>
      <c r="AM891" s="175">
        <v>14</v>
      </c>
      <c r="AN891" s="175">
        <v>1</v>
      </c>
      <c r="AO891" s="175">
        <v>32</v>
      </c>
      <c r="AP891" s="175">
        <v>32</v>
      </c>
      <c r="AQ891" s="175">
        <v>1</v>
      </c>
      <c r="AR891" s="175">
        <v>0</v>
      </c>
      <c r="AS891" s="175">
        <v>2</v>
      </c>
      <c r="AT891" s="175">
        <v>0</v>
      </c>
    </row>
    <row r="892" spans="1:46">
      <c r="A892">
        <v>20065</v>
      </c>
      <c r="B892" t="s">
        <v>5989</v>
      </c>
      <c r="C892" t="s">
        <v>5990</v>
      </c>
      <c r="D892" t="s">
        <v>5991</v>
      </c>
      <c r="E892" t="s">
        <v>5992</v>
      </c>
      <c r="F892" t="s">
        <v>1004</v>
      </c>
      <c r="G892" t="s">
        <v>737</v>
      </c>
      <c r="H892" t="s">
        <v>449</v>
      </c>
      <c r="J892" t="s">
        <v>4032</v>
      </c>
      <c r="K892" t="s">
        <v>606</v>
      </c>
      <c r="M892" t="s">
        <v>607</v>
      </c>
      <c r="N892" t="s">
        <v>657</v>
      </c>
      <c r="O892" t="s">
        <v>1253</v>
      </c>
      <c r="P892" t="s">
        <v>739</v>
      </c>
      <c r="Q892" t="s">
        <v>467</v>
      </c>
      <c r="R892" t="s">
        <v>724</v>
      </c>
      <c r="S892" t="s">
        <v>824</v>
      </c>
      <c r="T892" t="s">
        <v>613</v>
      </c>
      <c r="U892">
        <v>119201</v>
      </c>
      <c r="V892" t="s">
        <v>1004</v>
      </c>
      <c r="W892" t="s">
        <v>742</v>
      </c>
      <c r="X892" t="s">
        <v>5993</v>
      </c>
      <c r="Y892" t="s">
        <v>5992</v>
      </c>
      <c r="Z892" t="s">
        <v>1004</v>
      </c>
      <c r="AA892" t="s">
        <v>4458</v>
      </c>
      <c r="AB892" t="s">
        <v>5990</v>
      </c>
      <c r="AE892">
        <v>-36.800258110000001</v>
      </c>
      <c r="AF892">
        <v>174.64569764000001</v>
      </c>
      <c r="AG892" s="175">
        <v>25</v>
      </c>
      <c r="AH892" s="175">
        <v>0</v>
      </c>
      <c r="AI892" s="175">
        <v>0</v>
      </c>
      <c r="AJ892" s="175">
        <v>0</v>
      </c>
      <c r="AK892" s="175">
        <v>8</v>
      </c>
      <c r="AL892" s="175">
        <v>11</v>
      </c>
      <c r="AM892" s="175">
        <v>14</v>
      </c>
      <c r="AN892" s="175">
        <v>1</v>
      </c>
      <c r="AO892" s="175">
        <v>34</v>
      </c>
      <c r="AP892" s="175">
        <v>25</v>
      </c>
      <c r="AQ892" s="175">
        <v>4</v>
      </c>
      <c r="AR892" s="175">
        <v>4</v>
      </c>
      <c r="AS892" s="175">
        <v>8</v>
      </c>
      <c r="AT892" s="175">
        <v>2</v>
      </c>
    </row>
    <row r="893" spans="1:46">
      <c r="A893">
        <v>20066</v>
      </c>
      <c r="B893" t="s">
        <v>5994</v>
      </c>
      <c r="C893" t="s">
        <v>5995</v>
      </c>
      <c r="D893" t="s">
        <v>5996</v>
      </c>
      <c r="E893" t="s">
        <v>5997</v>
      </c>
      <c r="F893" t="s">
        <v>983</v>
      </c>
      <c r="G893" t="s">
        <v>737</v>
      </c>
      <c r="H893" t="s">
        <v>449</v>
      </c>
      <c r="I893" t="s">
        <v>4134</v>
      </c>
      <c r="J893" t="s">
        <v>605</v>
      </c>
      <c r="K893" t="s">
        <v>606</v>
      </c>
      <c r="M893" t="s">
        <v>607</v>
      </c>
      <c r="N893" t="s">
        <v>657</v>
      </c>
      <c r="O893" t="s">
        <v>898</v>
      </c>
      <c r="P893" t="s">
        <v>739</v>
      </c>
      <c r="Q893" t="s">
        <v>467</v>
      </c>
      <c r="R893" t="s">
        <v>724</v>
      </c>
      <c r="S893" t="s">
        <v>984</v>
      </c>
      <c r="T893" t="s">
        <v>613</v>
      </c>
      <c r="U893">
        <v>124301</v>
      </c>
      <c r="V893" t="s">
        <v>5998</v>
      </c>
      <c r="W893" t="s">
        <v>900</v>
      </c>
      <c r="X893" t="s">
        <v>4013</v>
      </c>
      <c r="Y893" t="s">
        <v>4014</v>
      </c>
      <c r="Z893" t="s">
        <v>4015</v>
      </c>
      <c r="AA893" t="s">
        <v>4016</v>
      </c>
      <c r="AB893" t="s">
        <v>4017</v>
      </c>
      <c r="AE893">
        <v>-36.859457310000003</v>
      </c>
      <c r="AF893">
        <v>174.61202420999999</v>
      </c>
      <c r="AG893" s="175">
        <v>50</v>
      </c>
      <c r="AH893" s="175">
        <v>0</v>
      </c>
      <c r="AI893" s="175">
        <v>0</v>
      </c>
      <c r="AJ893" s="175">
        <v>0</v>
      </c>
      <c r="AK893" s="175">
        <v>10</v>
      </c>
      <c r="AL893" s="175">
        <v>14</v>
      </c>
      <c r="AM893" s="175">
        <v>24</v>
      </c>
      <c r="AN893" s="175">
        <v>0</v>
      </c>
      <c r="AO893" s="175">
        <v>48</v>
      </c>
      <c r="AP893" s="175">
        <v>10</v>
      </c>
      <c r="AQ893" s="175">
        <v>4</v>
      </c>
      <c r="AR893" s="175">
        <v>11</v>
      </c>
      <c r="AS893" s="175">
        <v>34</v>
      </c>
      <c r="AT893" s="175">
        <v>1</v>
      </c>
    </row>
    <row r="894" spans="1:46">
      <c r="A894">
        <v>20067</v>
      </c>
      <c r="B894" t="s">
        <v>5999</v>
      </c>
      <c r="C894" t="s">
        <v>6000</v>
      </c>
      <c r="D894" t="s">
        <v>6001</v>
      </c>
      <c r="E894" t="s">
        <v>6002</v>
      </c>
      <c r="G894" t="s">
        <v>4256</v>
      </c>
      <c r="H894" t="s">
        <v>449</v>
      </c>
      <c r="J894" t="s">
        <v>605</v>
      </c>
      <c r="K894" t="s">
        <v>606</v>
      </c>
      <c r="M894" t="s">
        <v>607</v>
      </c>
      <c r="N894" t="s">
        <v>657</v>
      </c>
      <c r="O894" t="s">
        <v>723</v>
      </c>
      <c r="P894" t="s">
        <v>610</v>
      </c>
      <c r="Q894" t="s">
        <v>467</v>
      </c>
      <c r="R894" t="s">
        <v>724</v>
      </c>
      <c r="S894" t="s">
        <v>725</v>
      </c>
      <c r="T894" t="s">
        <v>613</v>
      </c>
      <c r="U894">
        <v>112401</v>
      </c>
      <c r="V894" t="s">
        <v>4256</v>
      </c>
      <c r="W894" t="s">
        <v>726</v>
      </c>
      <c r="X894" t="s">
        <v>6003</v>
      </c>
      <c r="Y894" t="s">
        <v>6002</v>
      </c>
      <c r="Z894" t="s">
        <v>4256</v>
      </c>
      <c r="AA894" t="s">
        <v>4258</v>
      </c>
      <c r="AE894">
        <v>-36.67394771</v>
      </c>
      <c r="AF894">
        <v>174.45198601999999</v>
      </c>
      <c r="AG894" s="175">
        <v>34</v>
      </c>
      <c r="AH894" s="175">
        <v>6</v>
      </c>
      <c r="AI894" s="175">
        <v>2</v>
      </c>
      <c r="AJ894" s="175">
        <v>8</v>
      </c>
      <c r="AK894" s="175">
        <v>6</v>
      </c>
      <c r="AL894" s="175">
        <v>12</v>
      </c>
      <c r="AM894" s="175">
        <v>7</v>
      </c>
      <c r="AN894" s="175">
        <v>2</v>
      </c>
      <c r="AO894" s="175">
        <v>37</v>
      </c>
      <c r="AP894" s="175">
        <v>35</v>
      </c>
      <c r="AQ894" s="175">
        <v>13</v>
      </c>
      <c r="AR894" s="175">
        <v>3</v>
      </c>
      <c r="AS894" s="175">
        <v>1</v>
      </c>
      <c r="AT894" s="175">
        <v>0</v>
      </c>
    </row>
    <row r="895" spans="1:46">
      <c r="A895">
        <v>20068</v>
      </c>
      <c r="B895" t="s">
        <v>6004</v>
      </c>
      <c r="C895" t="s">
        <v>6005</v>
      </c>
      <c r="D895" t="s">
        <v>6006</v>
      </c>
      <c r="E895" t="s">
        <v>6007</v>
      </c>
      <c r="G895" t="s">
        <v>4201</v>
      </c>
      <c r="H895" t="s">
        <v>449</v>
      </c>
      <c r="J895" t="s">
        <v>4032</v>
      </c>
      <c r="K895" t="s">
        <v>606</v>
      </c>
      <c r="M895" t="s">
        <v>607</v>
      </c>
      <c r="N895" t="s">
        <v>657</v>
      </c>
      <c r="O895" t="s">
        <v>738</v>
      </c>
      <c r="P895" t="s">
        <v>670</v>
      </c>
      <c r="Q895" t="s">
        <v>467</v>
      </c>
      <c r="R895" t="s">
        <v>724</v>
      </c>
      <c r="S895" t="s">
        <v>753</v>
      </c>
      <c r="T895" t="s">
        <v>613</v>
      </c>
      <c r="U895">
        <v>114000</v>
      </c>
      <c r="V895" t="s">
        <v>4202</v>
      </c>
      <c r="W895" t="s">
        <v>742</v>
      </c>
      <c r="X895" t="s">
        <v>6008</v>
      </c>
      <c r="Y895" t="s">
        <v>6009</v>
      </c>
      <c r="AA895" t="s">
        <v>6010</v>
      </c>
      <c r="AC895">
        <v>99069</v>
      </c>
      <c r="AD895" t="s">
        <v>755</v>
      </c>
      <c r="AE895">
        <v>-36.603813979999998</v>
      </c>
      <c r="AF895">
        <v>174.69891154000001</v>
      </c>
      <c r="AG895" s="175">
        <v>34</v>
      </c>
      <c r="AH895" s="175">
        <v>15</v>
      </c>
      <c r="AI895" s="175">
        <v>2</v>
      </c>
      <c r="AJ895" s="175">
        <v>9</v>
      </c>
      <c r="AK895" s="175">
        <v>12</v>
      </c>
      <c r="AL895" s="175">
        <v>6</v>
      </c>
      <c r="AM895" s="175">
        <v>5</v>
      </c>
      <c r="AN895" s="175">
        <v>0</v>
      </c>
      <c r="AO895" s="175">
        <v>34</v>
      </c>
      <c r="AP895" s="175">
        <v>30</v>
      </c>
      <c r="AQ895" s="175">
        <v>7</v>
      </c>
      <c r="AR895" s="175">
        <v>0</v>
      </c>
      <c r="AS895" s="175">
        <v>4</v>
      </c>
      <c r="AT895" s="175">
        <v>0</v>
      </c>
    </row>
    <row r="896" spans="1:46">
      <c r="A896">
        <v>20069</v>
      </c>
      <c r="B896" t="s">
        <v>6011</v>
      </c>
      <c r="C896" t="s">
        <v>6012</v>
      </c>
      <c r="D896" t="s">
        <v>6013</v>
      </c>
      <c r="E896" t="s">
        <v>6014</v>
      </c>
      <c r="F896" t="s">
        <v>848</v>
      </c>
      <c r="G896" t="s">
        <v>737</v>
      </c>
      <c r="H896" t="s">
        <v>449</v>
      </c>
      <c r="J896" t="s">
        <v>605</v>
      </c>
      <c r="K896" t="s">
        <v>606</v>
      </c>
      <c r="M896" t="s">
        <v>607</v>
      </c>
      <c r="N896" t="s">
        <v>657</v>
      </c>
      <c r="O896" t="s">
        <v>823</v>
      </c>
      <c r="P896" t="s">
        <v>739</v>
      </c>
      <c r="Q896" t="s">
        <v>467</v>
      </c>
      <c r="R896" t="s">
        <v>724</v>
      </c>
      <c r="S896" t="s">
        <v>841</v>
      </c>
      <c r="T896" t="s">
        <v>613</v>
      </c>
      <c r="U896">
        <v>127400</v>
      </c>
      <c r="V896" t="s">
        <v>849</v>
      </c>
      <c r="W896" t="s">
        <v>826</v>
      </c>
      <c r="X896" t="s">
        <v>6015</v>
      </c>
      <c r="Y896" t="s">
        <v>6014</v>
      </c>
      <c r="Z896" t="s">
        <v>848</v>
      </c>
      <c r="AA896" t="s">
        <v>5818</v>
      </c>
      <c r="AB896" t="s">
        <v>6016</v>
      </c>
      <c r="AE896">
        <v>-36.816524909999998</v>
      </c>
      <c r="AF896">
        <v>174.73168738000001</v>
      </c>
      <c r="AG896" s="175">
        <v>25</v>
      </c>
      <c r="AH896" s="175">
        <v>10</v>
      </c>
      <c r="AI896" s="175">
        <v>0</v>
      </c>
      <c r="AJ896" s="175">
        <v>1</v>
      </c>
      <c r="AK896" s="175">
        <v>7</v>
      </c>
      <c r="AL896" s="175">
        <v>15</v>
      </c>
      <c r="AM896" s="175">
        <v>7</v>
      </c>
      <c r="AN896" s="175">
        <v>1</v>
      </c>
      <c r="AO896" s="175">
        <v>31</v>
      </c>
      <c r="AP896" s="175">
        <v>29</v>
      </c>
      <c r="AQ896" s="175">
        <v>4</v>
      </c>
      <c r="AR896" s="175">
        <v>0</v>
      </c>
      <c r="AS896" s="175">
        <v>4</v>
      </c>
      <c r="AT896" s="175">
        <v>2</v>
      </c>
    </row>
    <row r="897" spans="1:46">
      <c r="A897">
        <v>20071</v>
      </c>
      <c r="B897" t="s">
        <v>6017</v>
      </c>
      <c r="C897" t="s">
        <v>6018</v>
      </c>
      <c r="E897" t="s">
        <v>6019</v>
      </c>
      <c r="F897" t="s">
        <v>957</v>
      </c>
      <c r="G897" t="s">
        <v>737</v>
      </c>
      <c r="H897" t="s">
        <v>347</v>
      </c>
      <c r="J897" t="s">
        <v>605</v>
      </c>
      <c r="K897" t="s">
        <v>606</v>
      </c>
      <c r="L897" t="s">
        <v>4273</v>
      </c>
      <c r="M897" t="s">
        <v>607</v>
      </c>
      <c r="N897" t="s">
        <v>643</v>
      </c>
      <c r="O897" t="s">
        <v>958</v>
      </c>
      <c r="P897" t="s">
        <v>739</v>
      </c>
      <c r="Q897" t="s">
        <v>467</v>
      </c>
      <c r="R897" t="s">
        <v>724</v>
      </c>
      <c r="S897" t="s">
        <v>804</v>
      </c>
      <c r="T897" t="s">
        <v>794</v>
      </c>
      <c r="U897">
        <v>129000</v>
      </c>
      <c r="V897" t="s">
        <v>6020</v>
      </c>
      <c r="W897" t="s">
        <v>900</v>
      </c>
      <c r="X897" t="s">
        <v>4275</v>
      </c>
      <c r="Y897" t="s">
        <v>4276</v>
      </c>
      <c r="Z897" t="s">
        <v>4277</v>
      </c>
      <c r="AA897" t="s">
        <v>4278</v>
      </c>
      <c r="AE897">
        <v>-36.908038089999998</v>
      </c>
      <c r="AF897">
        <v>174.62977695000001</v>
      </c>
      <c r="AG897" s="175">
        <v>65</v>
      </c>
      <c r="AH897" s="175">
        <v>15</v>
      </c>
      <c r="AI897" s="175">
        <v>1</v>
      </c>
      <c r="AJ897" s="175">
        <v>11</v>
      </c>
      <c r="AK897" s="175">
        <v>14</v>
      </c>
      <c r="AL897" s="175">
        <v>15</v>
      </c>
      <c r="AM897" s="175">
        <v>14</v>
      </c>
      <c r="AN897" s="175">
        <v>0</v>
      </c>
      <c r="AO897" s="175">
        <v>55</v>
      </c>
      <c r="AP897" s="175">
        <v>0</v>
      </c>
      <c r="AQ897" s="175">
        <v>55</v>
      </c>
      <c r="AR897" s="175">
        <v>0</v>
      </c>
      <c r="AS897" s="175">
        <v>0</v>
      </c>
      <c r="AT897" s="175">
        <v>0</v>
      </c>
    </row>
    <row r="898" spans="1:46">
      <c r="A898">
        <v>20074</v>
      </c>
      <c r="B898" t="s">
        <v>6021</v>
      </c>
      <c r="C898" t="s">
        <v>6022</v>
      </c>
      <c r="D898" t="s">
        <v>6023</v>
      </c>
      <c r="E898" t="s">
        <v>6024</v>
      </c>
      <c r="F898" t="s">
        <v>940</v>
      </c>
      <c r="G898" t="s">
        <v>737</v>
      </c>
      <c r="H898" t="s">
        <v>449</v>
      </c>
      <c r="J898" t="s">
        <v>4032</v>
      </c>
      <c r="K898" t="s">
        <v>606</v>
      </c>
      <c r="M898" t="s">
        <v>607</v>
      </c>
      <c r="N898" t="s">
        <v>4586</v>
      </c>
      <c r="O898" t="s">
        <v>942</v>
      </c>
      <c r="P898" t="s">
        <v>739</v>
      </c>
      <c r="Q898" t="s">
        <v>467</v>
      </c>
      <c r="R898" t="s">
        <v>793</v>
      </c>
      <c r="S898" t="s">
        <v>943</v>
      </c>
      <c r="T898" t="s">
        <v>794</v>
      </c>
      <c r="U898">
        <v>135500</v>
      </c>
      <c r="V898" t="s">
        <v>1165</v>
      </c>
      <c r="W898" t="s">
        <v>945</v>
      </c>
      <c r="X898" t="s">
        <v>6025</v>
      </c>
      <c r="Y898" t="s">
        <v>6024</v>
      </c>
      <c r="Z898" t="s">
        <v>940</v>
      </c>
      <c r="AA898" t="s">
        <v>4942</v>
      </c>
      <c r="AB898" t="s">
        <v>6022</v>
      </c>
      <c r="AE898">
        <v>-36.894166380000001</v>
      </c>
      <c r="AF898">
        <v>174.71287447</v>
      </c>
      <c r="AG898" s="175">
        <v>23</v>
      </c>
      <c r="AH898" s="175">
        <v>0</v>
      </c>
      <c r="AI898" s="175">
        <v>0</v>
      </c>
      <c r="AJ898" s="175">
        <v>0</v>
      </c>
      <c r="AK898" s="175">
        <v>10</v>
      </c>
      <c r="AL898" s="175">
        <v>6</v>
      </c>
      <c r="AM898" s="175">
        <v>9</v>
      </c>
      <c r="AN898" s="175">
        <v>1</v>
      </c>
      <c r="AO898" s="175">
        <v>26</v>
      </c>
      <c r="AP898" s="175">
        <v>2</v>
      </c>
      <c r="AQ898" s="175">
        <v>2</v>
      </c>
      <c r="AR898" s="175">
        <v>4</v>
      </c>
      <c r="AS898" s="175">
        <v>13</v>
      </c>
      <c r="AT898" s="175">
        <v>7</v>
      </c>
    </row>
    <row r="899" spans="1:46">
      <c r="A899">
        <v>20075</v>
      </c>
      <c r="B899" t="s">
        <v>6026</v>
      </c>
      <c r="C899" t="s">
        <v>6027</v>
      </c>
      <c r="D899" t="s">
        <v>6028</v>
      </c>
      <c r="E899" t="s">
        <v>6029</v>
      </c>
      <c r="F899" t="s">
        <v>4813</v>
      </c>
      <c r="G899" t="s">
        <v>737</v>
      </c>
      <c r="H899" t="s">
        <v>449</v>
      </c>
      <c r="J899" t="s">
        <v>605</v>
      </c>
      <c r="K899" t="s">
        <v>606</v>
      </c>
      <c r="M899" t="s">
        <v>607</v>
      </c>
      <c r="N899" t="s">
        <v>657</v>
      </c>
      <c r="O899" t="s">
        <v>958</v>
      </c>
      <c r="P899" t="s">
        <v>739</v>
      </c>
      <c r="Q899" t="s">
        <v>467</v>
      </c>
      <c r="R899" t="s">
        <v>724</v>
      </c>
      <c r="S899" t="s">
        <v>804</v>
      </c>
      <c r="T899" t="s">
        <v>794</v>
      </c>
      <c r="U899">
        <v>134700</v>
      </c>
      <c r="V899" t="s">
        <v>4814</v>
      </c>
      <c r="W899" t="s">
        <v>900</v>
      </c>
      <c r="X899" t="s">
        <v>6030</v>
      </c>
      <c r="Y899" t="s">
        <v>6031</v>
      </c>
      <c r="Z899" t="s">
        <v>4813</v>
      </c>
      <c r="AA899" t="s">
        <v>4387</v>
      </c>
      <c r="AE899">
        <v>-36.924156379999999</v>
      </c>
      <c r="AF899">
        <v>174.65539774000001</v>
      </c>
      <c r="AG899" s="175">
        <v>40</v>
      </c>
      <c r="AH899" s="175">
        <v>0</v>
      </c>
      <c r="AI899" s="175">
        <v>0</v>
      </c>
      <c r="AJ899" s="175">
        <v>0</v>
      </c>
      <c r="AK899" s="175">
        <v>3</v>
      </c>
      <c r="AL899" s="175">
        <v>26</v>
      </c>
      <c r="AM899" s="175">
        <v>33</v>
      </c>
      <c r="AN899" s="175">
        <v>1</v>
      </c>
      <c r="AO899" s="175">
        <v>63</v>
      </c>
      <c r="AP899" s="175">
        <v>58</v>
      </c>
      <c r="AQ899" s="175">
        <v>9</v>
      </c>
      <c r="AR899" s="175">
        <v>9</v>
      </c>
      <c r="AS899" s="175">
        <v>13</v>
      </c>
      <c r="AT899" s="175">
        <v>5</v>
      </c>
    </row>
    <row r="900" spans="1:46">
      <c r="A900">
        <v>20079</v>
      </c>
      <c r="B900" t="s">
        <v>6032</v>
      </c>
      <c r="C900" t="s">
        <v>6033</v>
      </c>
      <c r="D900" t="s">
        <v>6034</v>
      </c>
      <c r="E900" t="s">
        <v>6035</v>
      </c>
      <c r="F900" t="s">
        <v>1262</v>
      </c>
      <c r="G900" t="s">
        <v>737</v>
      </c>
      <c r="H900" t="s">
        <v>449</v>
      </c>
      <c r="J900" t="s">
        <v>4032</v>
      </c>
      <c r="K900" t="s">
        <v>606</v>
      </c>
      <c r="M900" t="s">
        <v>607</v>
      </c>
      <c r="N900" t="s">
        <v>657</v>
      </c>
      <c r="O900" t="s">
        <v>833</v>
      </c>
      <c r="P900" t="s">
        <v>739</v>
      </c>
      <c r="Q900" t="s">
        <v>467</v>
      </c>
      <c r="R900" t="s">
        <v>724</v>
      </c>
      <c r="S900" t="s">
        <v>767</v>
      </c>
      <c r="T900" t="s">
        <v>613</v>
      </c>
      <c r="U900">
        <v>128601</v>
      </c>
      <c r="V900" t="s">
        <v>6036</v>
      </c>
      <c r="W900" t="s">
        <v>826</v>
      </c>
      <c r="X900" t="s">
        <v>6037</v>
      </c>
      <c r="Y900" t="s">
        <v>4756</v>
      </c>
      <c r="Z900" t="s">
        <v>4757</v>
      </c>
      <c r="AA900" t="s">
        <v>4758</v>
      </c>
      <c r="AB900" t="s">
        <v>6038</v>
      </c>
      <c r="AC900">
        <v>99188</v>
      </c>
      <c r="AD900" t="s">
        <v>871</v>
      </c>
      <c r="AE900">
        <v>-36.792756560000001</v>
      </c>
      <c r="AF900">
        <v>174.77431946999999</v>
      </c>
      <c r="AG900" s="175">
        <v>50</v>
      </c>
      <c r="AH900" s="175">
        <v>15</v>
      </c>
      <c r="AI900" s="175">
        <v>2</v>
      </c>
      <c r="AJ900" s="175">
        <v>10</v>
      </c>
      <c r="AK900" s="175">
        <v>15</v>
      </c>
      <c r="AL900" s="175">
        <v>14</v>
      </c>
      <c r="AM900" s="175">
        <v>9</v>
      </c>
      <c r="AN900" s="175">
        <v>0</v>
      </c>
      <c r="AO900" s="175">
        <v>50</v>
      </c>
      <c r="AP900" s="175">
        <v>47</v>
      </c>
      <c r="AQ900" s="175">
        <v>2</v>
      </c>
      <c r="AR900" s="175">
        <v>1</v>
      </c>
      <c r="AS900" s="175">
        <v>8</v>
      </c>
      <c r="AT900" s="175">
        <v>0</v>
      </c>
    </row>
    <row r="901" spans="1:46">
      <c r="A901">
        <v>20080</v>
      </c>
      <c r="B901" t="s">
        <v>6039</v>
      </c>
      <c r="C901" t="s">
        <v>6040</v>
      </c>
      <c r="E901" t="s">
        <v>6041</v>
      </c>
      <c r="F901" t="s">
        <v>6042</v>
      </c>
      <c r="G901" t="s">
        <v>737</v>
      </c>
      <c r="H901" t="s">
        <v>449</v>
      </c>
      <c r="J901" t="s">
        <v>4032</v>
      </c>
      <c r="K901" t="s">
        <v>606</v>
      </c>
      <c r="M901" t="s">
        <v>607</v>
      </c>
      <c r="N901" t="s">
        <v>657</v>
      </c>
      <c r="O901" t="s">
        <v>942</v>
      </c>
      <c r="P901" t="s">
        <v>739</v>
      </c>
      <c r="Q901" t="s">
        <v>467</v>
      </c>
      <c r="R901" t="s">
        <v>793</v>
      </c>
      <c r="S901" t="s">
        <v>943</v>
      </c>
      <c r="T901" t="s">
        <v>794</v>
      </c>
      <c r="U901">
        <v>129201</v>
      </c>
      <c r="V901" t="s">
        <v>6043</v>
      </c>
      <c r="W901" t="s">
        <v>945</v>
      </c>
      <c r="X901" t="s">
        <v>6044</v>
      </c>
      <c r="Y901" t="s">
        <v>6045</v>
      </c>
      <c r="Z901" t="s">
        <v>840</v>
      </c>
      <c r="AA901" t="s">
        <v>4432</v>
      </c>
      <c r="AB901" t="s">
        <v>6046</v>
      </c>
      <c r="AE901">
        <v>-36.868616080000002</v>
      </c>
      <c r="AF901">
        <v>174.70868479000001</v>
      </c>
      <c r="AG901" s="175">
        <v>26</v>
      </c>
      <c r="AH901" s="175">
        <v>8</v>
      </c>
      <c r="AI901" s="175">
        <v>2</v>
      </c>
      <c r="AJ901" s="175">
        <v>5</v>
      </c>
      <c r="AK901" s="175">
        <v>3</v>
      </c>
      <c r="AL901" s="175">
        <v>4</v>
      </c>
      <c r="AM901" s="175">
        <v>12</v>
      </c>
      <c r="AN901" s="175">
        <v>0</v>
      </c>
      <c r="AO901" s="175">
        <v>26</v>
      </c>
      <c r="AP901" s="175">
        <v>15</v>
      </c>
      <c r="AQ901" s="175">
        <v>2</v>
      </c>
      <c r="AR901" s="175">
        <v>7</v>
      </c>
      <c r="AS901" s="175">
        <v>6</v>
      </c>
      <c r="AT901" s="175">
        <v>1</v>
      </c>
    </row>
    <row r="902" spans="1:46">
      <c r="A902">
        <v>20082</v>
      </c>
      <c r="B902" t="s">
        <v>6047</v>
      </c>
      <c r="C902" t="s">
        <v>6048</v>
      </c>
      <c r="D902" t="s">
        <v>6049</v>
      </c>
      <c r="E902" t="s">
        <v>6050</v>
      </c>
      <c r="F902" t="s">
        <v>1102</v>
      </c>
      <c r="G902" t="s">
        <v>737</v>
      </c>
      <c r="H902" t="s">
        <v>449</v>
      </c>
      <c r="J902" t="s">
        <v>4032</v>
      </c>
      <c r="K902" t="s">
        <v>606</v>
      </c>
      <c r="M902" t="s">
        <v>607</v>
      </c>
      <c r="N902" t="s">
        <v>4586</v>
      </c>
      <c r="O902" t="s">
        <v>942</v>
      </c>
      <c r="P902" t="s">
        <v>739</v>
      </c>
      <c r="Q902" t="s">
        <v>467</v>
      </c>
      <c r="R902" t="s">
        <v>793</v>
      </c>
      <c r="S902" t="s">
        <v>998</v>
      </c>
      <c r="T902" t="s">
        <v>794</v>
      </c>
      <c r="U902">
        <v>139900</v>
      </c>
      <c r="V902" t="s">
        <v>6051</v>
      </c>
      <c r="W902" t="s">
        <v>945</v>
      </c>
      <c r="X902" t="s">
        <v>6052</v>
      </c>
      <c r="Y902" t="s">
        <v>6053</v>
      </c>
      <c r="Z902" t="s">
        <v>1102</v>
      </c>
      <c r="AA902" t="s">
        <v>5890</v>
      </c>
      <c r="AB902" t="s">
        <v>6048</v>
      </c>
      <c r="AE902">
        <v>-36.895873979999998</v>
      </c>
      <c r="AF902">
        <v>174.75209165000001</v>
      </c>
      <c r="AG902" s="175">
        <v>75</v>
      </c>
      <c r="AH902" s="175">
        <v>25</v>
      </c>
      <c r="AI902" s="175">
        <v>1</v>
      </c>
      <c r="AJ902" s="175">
        <v>15</v>
      </c>
      <c r="AK902" s="175">
        <v>20</v>
      </c>
      <c r="AL902" s="175">
        <v>15</v>
      </c>
      <c r="AM902" s="175">
        <v>16</v>
      </c>
      <c r="AN902" s="175">
        <v>0</v>
      </c>
      <c r="AO902" s="175">
        <v>67</v>
      </c>
      <c r="AP902" s="175">
        <v>54</v>
      </c>
      <c r="AQ902" s="175">
        <v>4</v>
      </c>
      <c r="AR902" s="175">
        <v>8</v>
      </c>
      <c r="AS902" s="175">
        <v>15</v>
      </c>
      <c r="AT902" s="175">
        <v>4</v>
      </c>
    </row>
    <row r="903" spans="1:46">
      <c r="A903">
        <v>20083</v>
      </c>
      <c r="B903" t="s">
        <v>6054</v>
      </c>
      <c r="C903" t="s">
        <v>6055</v>
      </c>
      <c r="D903" t="s">
        <v>6056</v>
      </c>
      <c r="E903" t="s">
        <v>6057</v>
      </c>
      <c r="F903" t="s">
        <v>6058</v>
      </c>
      <c r="G903" t="s">
        <v>737</v>
      </c>
      <c r="H903" t="s">
        <v>449</v>
      </c>
      <c r="J903" t="s">
        <v>4032</v>
      </c>
      <c r="K903" t="s">
        <v>606</v>
      </c>
      <c r="M903" t="s">
        <v>607</v>
      </c>
      <c r="N903" t="s">
        <v>657</v>
      </c>
      <c r="O903" t="s">
        <v>833</v>
      </c>
      <c r="P903" t="s">
        <v>739</v>
      </c>
      <c r="Q903" t="s">
        <v>467</v>
      </c>
      <c r="R903" t="s">
        <v>724</v>
      </c>
      <c r="S903" t="s">
        <v>767</v>
      </c>
      <c r="T903" t="s">
        <v>613</v>
      </c>
      <c r="U903">
        <v>129300</v>
      </c>
      <c r="V903" t="s">
        <v>6059</v>
      </c>
      <c r="W903" t="s">
        <v>826</v>
      </c>
      <c r="X903" t="s">
        <v>4165</v>
      </c>
      <c r="Y903" t="s">
        <v>4166</v>
      </c>
      <c r="Z903" t="s">
        <v>4167</v>
      </c>
      <c r="AA903" t="s">
        <v>4168</v>
      </c>
      <c r="AB903" t="s">
        <v>4169</v>
      </c>
      <c r="AE903">
        <v>-36.80838249</v>
      </c>
      <c r="AF903">
        <v>174.78955152</v>
      </c>
      <c r="AG903" s="175">
        <v>72</v>
      </c>
      <c r="AH903" s="175">
        <v>25</v>
      </c>
      <c r="AI903" s="175">
        <v>1</v>
      </c>
      <c r="AJ903" s="175">
        <v>15</v>
      </c>
      <c r="AK903" s="175">
        <v>18</v>
      </c>
      <c r="AL903" s="175">
        <v>19</v>
      </c>
      <c r="AM903" s="175">
        <v>17</v>
      </c>
      <c r="AN903" s="175">
        <v>1</v>
      </c>
      <c r="AO903" s="175">
        <v>71</v>
      </c>
      <c r="AP903" s="175">
        <v>56</v>
      </c>
      <c r="AQ903" s="175">
        <v>10</v>
      </c>
      <c r="AR903" s="175">
        <v>3</v>
      </c>
      <c r="AS903" s="175">
        <v>19</v>
      </c>
      <c r="AT903" s="175">
        <v>3</v>
      </c>
    </row>
    <row r="904" spans="1:46">
      <c r="A904">
        <v>20084</v>
      </c>
      <c r="B904" t="s">
        <v>6060</v>
      </c>
      <c r="C904" t="s">
        <v>6061</v>
      </c>
      <c r="D904" t="s">
        <v>6062</v>
      </c>
      <c r="E904" t="s">
        <v>6063</v>
      </c>
      <c r="F904" t="s">
        <v>1231</v>
      </c>
      <c r="G904" t="s">
        <v>737</v>
      </c>
      <c r="H904" t="s">
        <v>449</v>
      </c>
      <c r="J904" t="s">
        <v>4032</v>
      </c>
      <c r="K904" t="s">
        <v>606</v>
      </c>
      <c r="M904" t="s">
        <v>607</v>
      </c>
      <c r="N904" t="s">
        <v>657</v>
      </c>
      <c r="O904" t="s">
        <v>1042</v>
      </c>
      <c r="P904" t="s">
        <v>739</v>
      </c>
      <c r="Q904" t="s">
        <v>467</v>
      </c>
      <c r="R904" t="s">
        <v>793</v>
      </c>
      <c r="S904" t="s">
        <v>943</v>
      </c>
      <c r="T904" t="s">
        <v>794</v>
      </c>
      <c r="U904">
        <v>133500</v>
      </c>
      <c r="V904" t="s">
        <v>1232</v>
      </c>
      <c r="W904" t="s">
        <v>1044</v>
      </c>
      <c r="X904" t="s">
        <v>4165</v>
      </c>
      <c r="Y904" t="s">
        <v>4166</v>
      </c>
      <c r="Z904" t="s">
        <v>4167</v>
      </c>
      <c r="AA904" t="s">
        <v>4168</v>
      </c>
      <c r="AB904" t="s">
        <v>4169</v>
      </c>
      <c r="AE904">
        <v>-36.86559338</v>
      </c>
      <c r="AF904">
        <v>174.74656121000001</v>
      </c>
      <c r="AG904" s="175">
        <v>50</v>
      </c>
      <c r="AH904" s="175">
        <v>20</v>
      </c>
      <c r="AI904" s="175">
        <v>2</v>
      </c>
      <c r="AJ904" s="175">
        <v>11</v>
      </c>
      <c r="AK904" s="175">
        <v>14</v>
      </c>
      <c r="AL904" s="175">
        <v>14</v>
      </c>
      <c r="AM904" s="175">
        <v>11</v>
      </c>
      <c r="AN904" s="175">
        <v>0</v>
      </c>
      <c r="AO904" s="175">
        <v>52</v>
      </c>
      <c r="AP904" s="175">
        <v>46</v>
      </c>
      <c r="AQ904" s="175">
        <v>7</v>
      </c>
      <c r="AR904" s="175">
        <v>3</v>
      </c>
      <c r="AS904" s="175">
        <v>4</v>
      </c>
      <c r="AT904" s="175">
        <v>4</v>
      </c>
    </row>
    <row r="905" spans="1:46">
      <c r="A905">
        <v>20085</v>
      </c>
      <c r="B905" t="s">
        <v>6064</v>
      </c>
      <c r="C905" t="s">
        <v>6065</v>
      </c>
      <c r="D905" t="s">
        <v>6066</v>
      </c>
      <c r="E905" t="s">
        <v>6067</v>
      </c>
      <c r="F905" t="s">
        <v>1086</v>
      </c>
      <c r="G905" t="s">
        <v>737</v>
      </c>
      <c r="H905" t="s">
        <v>449</v>
      </c>
      <c r="J905" t="s">
        <v>4032</v>
      </c>
      <c r="K905" t="s">
        <v>606</v>
      </c>
      <c r="M905" t="s">
        <v>607</v>
      </c>
      <c r="N905" t="s">
        <v>657</v>
      </c>
      <c r="O905" t="s">
        <v>833</v>
      </c>
      <c r="P905" t="s">
        <v>739</v>
      </c>
      <c r="Q905" t="s">
        <v>467</v>
      </c>
      <c r="R905" t="s">
        <v>724</v>
      </c>
      <c r="S905" t="s">
        <v>767</v>
      </c>
      <c r="T905" t="s">
        <v>613</v>
      </c>
      <c r="U905">
        <v>125400</v>
      </c>
      <c r="V905" t="s">
        <v>6068</v>
      </c>
      <c r="W905" t="s">
        <v>826</v>
      </c>
      <c r="X905" t="s">
        <v>4165</v>
      </c>
      <c r="Y905" t="s">
        <v>4166</v>
      </c>
      <c r="Z905" t="s">
        <v>4167</v>
      </c>
      <c r="AA905" t="s">
        <v>4168</v>
      </c>
      <c r="AB905" t="s">
        <v>4169</v>
      </c>
      <c r="AC905">
        <v>99188</v>
      </c>
      <c r="AD905" t="s">
        <v>871</v>
      </c>
      <c r="AE905">
        <v>-36.775624870000001</v>
      </c>
      <c r="AF905">
        <v>174.75980100999999</v>
      </c>
      <c r="AG905" s="175">
        <v>50</v>
      </c>
      <c r="AH905" s="175">
        <v>40</v>
      </c>
      <c r="AI905" s="175">
        <v>4</v>
      </c>
      <c r="AJ905" s="175">
        <v>19</v>
      </c>
      <c r="AK905" s="175">
        <v>18</v>
      </c>
      <c r="AL905" s="175">
        <v>15</v>
      </c>
      <c r="AM905" s="175">
        <v>0</v>
      </c>
      <c r="AN905" s="175">
        <v>0</v>
      </c>
      <c r="AO905" s="175">
        <v>56</v>
      </c>
      <c r="AP905" s="175">
        <v>34</v>
      </c>
      <c r="AQ905" s="175">
        <v>4</v>
      </c>
      <c r="AR905" s="175">
        <v>2</v>
      </c>
      <c r="AS905" s="175">
        <v>22</v>
      </c>
      <c r="AT905" s="175">
        <v>3</v>
      </c>
    </row>
    <row r="906" spans="1:46">
      <c r="A906">
        <v>20086</v>
      </c>
      <c r="B906" t="s">
        <v>6069</v>
      </c>
      <c r="C906" t="s">
        <v>6070</v>
      </c>
      <c r="E906" t="s">
        <v>6071</v>
      </c>
      <c r="F906" t="s">
        <v>1086</v>
      </c>
      <c r="G906" t="s">
        <v>737</v>
      </c>
      <c r="H906" t="s">
        <v>449</v>
      </c>
      <c r="J906" t="s">
        <v>4032</v>
      </c>
      <c r="K906" t="s">
        <v>606</v>
      </c>
      <c r="M906" t="s">
        <v>607</v>
      </c>
      <c r="N906" t="s">
        <v>657</v>
      </c>
      <c r="O906" t="s">
        <v>833</v>
      </c>
      <c r="P906" t="s">
        <v>739</v>
      </c>
      <c r="Q906" t="s">
        <v>467</v>
      </c>
      <c r="R906" t="s">
        <v>724</v>
      </c>
      <c r="S906" t="s">
        <v>767</v>
      </c>
      <c r="T906" t="s">
        <v>613</v>
      </c>
      <c r="U906">
        <v>125400</v>
      </c>
      <c r="V906" t="s">
        <v>6068</v>
      </c>
      <c r="W906" t="s">
        <v>826</v>
      </c>
      <c r="X906" t="s">
        <v>4165</v>
      </c>
      <c r="Y906" t="s">
        <v>4166</v>
      </c>
      <c r="Z906" t="s">
        <v>4167</v>
      </c>
      <c r="AA906" t="s">
        <v>4168</v>
      </c>
      <c r="AB906" t="s">
        <v>4169</v>
      </c>
      <c r="AC906">
        <v>99188</v>
      </c>
      <c r="AD906" t="s">
        <v>871</v>
      </c>
      <c r="AE906">
        <v>-36.775400019999999</v>
      </c>
      <c r="AF906">
        <v>174.76009364000001</v>
      </c>
      <c r="AG906" s="175">
        <v>50</v>
      </c>
      <c r="AH906" s="175">
        <v>0</v>
      </c>
      <c r="AI906" s="175">
        <v>0</v>
      </c>
      <c r="AJ906" s="175">
        <v>0</v>
      </c>
      <c r="AK906" s="175">
        <v>0</v>
      </c>
      <c r="AL906" s="175">
        <v>16</v>
      </c>
      <c r="AM906" s="175">
        <v>35</v>
      </c>
      <c r="AN906" s="175">
        <v>0</v>
      </c>
      <c r="AO906" s="175">
        <v>51</v>
      </c>
      <c r="AP906" s="175">
        <v>28</v>
      </c>
      <c r="AQ906" s="175">
        <v>0</v>
      </c>
      <c r="AR906" s="175">
        <v>1</v>
      </c>
      <c r="AS906" s="175">
        <v>26</v>
      </c>
      <c r="AT906" s="175">
        <v>3</v>
      </c>
    </row>
    <row r="907" spans="1:46">
      <c r="A907">
        <v>20087</v>
      </c>
      <c r="B907" t="s">
        <v>6072</v>
      </c>
      <c r="C907" t="s">
        <v>6073</v>
      </c>
      <c r="D907" t="s">
        <v>6074</v>
      </c>
      <c r="E907" t="s">
        <v>6075</v>
      </c>
      <c r="F907" t="s">
        <v>791</v>
      </c>
      <c r="G907" t="s">
        <v>737</v>
      </c>
      <c r="H907" t="s">
        <v>449</v>
      </c>
      <c r="J907" t="s">
        <v>4032</v>
      </c>
      <c r="K907" t="s">
        <v>606</v>
      </c>
      <c r="M907" t="s">
        <v>607</v>
      </c>
      <c r="N907" t="s">
        <v>657</v>
      </c>
      <c r="O907" t="s">
        <v>792</v>
      </c>
      <c r="P907" t="s">
        <v>739</v>
      </c>
      <c r="Q907" t="s">
        <v>467</v>
      </c>
      <c r="R907" t="s">
        <v>793</v>
      </c>
      <c r="S907" t="s">
        <v>791</v>
      </c>
      <c r="T907" t="s">
        <v>794</v>
      </c>
      <c r="U907">
        <v>149300</v>
      </c>
      <c r="V907" t="s">
        <v>4628</v>
      </c>
      <c r="W907" t="s">
        <v>796</v>
      </c>
      <c r="X907" t="s">
        <v>4165</v>
      </c>
      <c r="Y907" t="s">
        <v>4166</v>
      </c>
      <c r="Z907" t="s">
        <v>4167</v>
      </c>
      <c r="AA907" t="s">
        <v>4168</v>
      </c>
      <c r="AB907" t="s">
        <v>4169</v>
      </c>
      <c r="AC907">
        <v>99149</v>
      </c>
      <c r="AD907" t="s">
        <v>883</v>
      </c>
      <c r="AE907">
        <v>-36.89575447</v>
      </c>
      <c r="AF907">
        <v>174.89959350000001</v>
      </c>
      <c r="AG907" s="175">
        <v>100</v>
      </c>
      <c r="AH907" s="175">
        <v>25</v>
      </c>
      <c r="AI907" s="175">
        <v>2</v>
      </c>
      <c r="AJ907" s="175">
        <v>20</v>
      </c>
      <c r="AK907" s="175">
        <v>23</v>
      </c>
      <c r="AL907" s="175">
        <v>21</v>
      </c>
      <c r="AM907" s="175">
        <v>31</v>
      </c>
      <c r="AN907" s="175">
        <v>2</v>
      </c>
      <c r="AO907" s="175">
        <v>99</v>
      </c>
      <c r="AP907" s="175">
        <v>50</v>
      </c>
      <c r="AQ907" s="175">
        <v>6</v>
      </c>
      <c r="AR907" s="175">
        <v>8</v>
      </c>
      <c r="AS907" s="175">
        <v>46</v>
      </c>
      <c r="AT907" s="175">
        <v>7</v>
      </c>
    </row>
    <row r="908" spans="1:46">
      <c r="A908">
        <v>20089</v>
      </c>
      <c r="B908" t="s">
        <v>6076</v>
      </c>
      <c r="C908" t="s">
        <v>6077</v>
      </c>
      <c r="D908" t="s">
        <v>6078</v>
      </c>
      <c r="E908" t="s">
        <v>6079</v>
      </c>
      <c r="F908" t="s">
        <v>6080</v>
      </c>
      <c r="G908" t="s">
        <v>737</v>
      </c>
      <c r="H908" t="s">
        <v>449</v>
      </c>
      <c r="J908" t="s">
        <v>605</v>
      </c>
      <c r="K908" t="s">
        <v>606</v>
      </c>
      <c r="M908" t="s">
        <v>607</v>
      </c>
      <c r="N908" t="s">
        <v>643</v>
      </c>
      <c r="O908" t="s">
        <v>1353</v>
      </c>
      <c r="P908" t="s">
        <v>739</v>
      </c>
      <c r="Q908" t="s">
        <v>467</v>
      </c>
      <c r="R908" t="s">
        <v>814</v>
      </c>
      <c r="S908" t="s">
        <v>1319</v>
      </c>
      <c r="T908" t="s">
        <v>1320</v>
      </c>
      <c r="U908">
        <v>164100</v>
      </c>
      <c r="V908" t="s">
        <v>6081</v>
      </c>
      <c r="W908" t="s">
        <v>1304</v>
      </c>
      <c r="X908" t="s">
        <v>6082</v>
      </c>
      <c r="Y908" t="s">
        <v>6083</v>
      </c>
      <c r="Z908" t="s">
        <v>1319</v>
      </c>
      <c r="AA908" t="s">
        <v>6084</v>
      </c>
      <c r="AB908" t="s">
        <v>6085</v>
      </c>
      <c r="AE908">
        <v>-37.069773840000003</v>
      </c>
      <c r="AF908">
        <v>174.9668738</v>
      </c>
      <c r="AG908" s="175">
        <v>30</v>
      </c>
      <c r="AH908" s="175">
        <v>0</v>
      </c>
      <c r="AI908" s="175">
        <v>0</v>
      </c>
      <c r="AJ908" s="175">
        <v>0</v>
      </c>
      <c r="AK908" s="175">
        <v>5</v>
      </c>
      <c r="AL908" s="175">
        <v>11</v>
      </c>
      <c r="AM908" s="175">
        <v>13</v>
      </c>
      <c r="AN908" s="175">
        <v>1</v>
      </c>
      <c r="AO908" s="175">
        <v>30</v>
      </c>
      <c r="AP908" s="175">
        <v>16</v>
      </c>
      <c r="AQ908" s="175">
        <v>8</v>
      </c>
      <c r="AR908" s="175">
        <v>10</v>
      </c>
      <c r="AS908" s="175">
        <v>7</v>
      </c>
      <c r="AT908" s="175">
        <v>0</v>
      </c>
    </row>
    <row r="909" spans="1:46">
      <c r="A909">
        <v>20090</v>
      </c>
      <c r="B909" t="s">
        <v>6086</v>
      </c>
      <c r="C909" t="s">
        <v>6087</v>
      </c>
      <c r="D909" t="s">
        <v>6088</v>
      </c>
      <c r="E909" t="s">
        <v>6089</v>
      </c>
      <c r="F909" t="s">
        <v>1102</v>
      </c>
      <c r="G909" t="s">
        <v>737</v>
      </c>
      <c r="H909" t="s">
        <v>449</v>
      </c>
      <c r="J909" t="s">
        <v>4032</v>
      </c>
      <c r="K909" t="s">
        <v>606</v>
      </c>
      <c r="M909" t="s">
        <v>607</v>
      </c>
      <c r="N909" t="s">
        <v>657</v>
      </c>
      <c r="O909" t="s">
        <v>942</v>
      </c>
      <c r="P909" t="s">
        <v>739</v>
      </c>
      <c r="Q909" t="s">
        <v>467</v>
      </c>
      <c r="R909" t="s">
        <v>793</v>
      </c>
      <c r="S909" t="s">
        <v>998</v>
      </c>
      <c r="T909" t="s">
        <v>794</v>
      </c>
      <c r="U909">
        <v>139900</v>
      </c>
      <c r="V909" t="s">
        <v>6051</v>
      </c>
      <c r="W909" t="s">
        <v>945</v>
      </c>
      <c r="X909" t="s">
        <v>4165</v>
      </c>
      <c r="Y909" t="s">
        <v>4166</v>
      </c>
      <c r="Z909" t="s">
        <v>4167</v>
      </c>
      <c r="AA909" t="s">
        <v>4168</v>
      </c>
      <c r="AB909" t="s">
        <v>4169</v>
      </c>
      <c r="AE909">
        <v>-36.896908160000002</v>
      </c>
      <c r="AF909">
        <v>174.75702054999999</v>
      </c>
      <c r="AG909" s="175">
        <v>50</v>
      </c>
      <c r="AH909" s="175">
        <v>16</v>
      </c>
      <c r="AI909" s="175">
        <v>0</v>
      </c>
      <c r="AJ909" s="175">
        <v>11</v>
      </c>
      <c r="AK909" s="175">
        <v>15</v>
      </c>
      <c r="AL909" s="175">
        <v>11</v>
      </c>
      <c r="AM909" s="175">
        <v>13</v>
      </c>
      <c r="AN909" s="175">
        <v>0</v>
      </c>
      <c r="AO909" s="175">
        <v>50</v>
      </c>
      <c r="AP909" s="175">
        <v>20</v>
      </c>
      <c r="AQ909" s="175">
        <v>2</v>
      </c>
      <c r="AR909" s="175">
        <v>4</v>
      </c>
      <c r="AS909" s="175">
        <v>33</v>
      </c>
      <c r="AT909" s="175">
        <v>2</v>
      </c>
    </row>
    <row r="910" spans="1:46">
      <c r="A910">
        <v>20096</v>
      </c>
      <c r="B910" t="s">
        <v>6090</v>
      </c>
      <c r="C910" t="s">
        <v>6091</v>
      </c>
      <c r="D910" t="s">
        <v>6092</v>
      </c>
      <c r="E910" t="s">
        <v>6093</v>
      </c>
      <c r="F910" t="s">
        <v>5242</v>
      </c>
      <c r="G910" t="s">
        <v>737</v>
      </c>
      <c r="H910" t="s">
        <v>449</v>
      </c>
      <c r="I910" t="s">
        <v>4134</v>
      </c>
      <c r="J910" t="s">
        <v>4032</v>
      </c>
      <c r="K910" t="s">
        <v>606</v>
      </c>
      <c r="M910" t="s">
        <v>607</v>
      </c>
      <c r="N910" t="s">
        <v>657</v>
      </c>
      <c r="O910" t="s">
        <v>889</v>
      </c>
      <c r="P910" t="s">
        <v>739</v>
      </c>
      <c r="Q910" t="s">
        <v>467</v>
      </c>
      <c r="R910" t="s">
        <v>793</v>
      </c>
      <c r="S910" t="s">
        <v>965</v>
      </c>
      <c r="T910" t="s">
        <v>794</v>
      </c>
      <c r="U910">
        <v>142700</v>
      </c>
      <c r="V910" t="s">
        <v>6094</v>
      </c>
      <c r="W910" t="s">
        <v>909</v>
      </c>
      <c r="X910" t="s">
        <v>6095</v>
      </c>
      <c r="Y910" t="s">
        <v>6096</v>
      </c>
      <c r="Z910" t="s">
        <v>4601</v>
      </c>
      <c r="AA910" t="s">
        <v>4034</v>
      </c>
      <c r="AB910" t="s">
        <v>6097</v>
      </c>
      <c r="AE910">
        <v>-36.857262929999997</v>
      </c>
      <c r="AF910">
        <v>174.84643417000001</v>
      </c>
      <c r="AG910" s="175">
        <v>30</v>
      </c>
      <c r="AH910" s="175">
        <v>0</v>
      </c>
      <c r="AI910" s="175">
        <v>0</v>
      </c>
      <c r="AJ910" s="175">
        <v>0</v>
      </c>
      <c r="AK910" s="175">
        <v>5</v>
      </c>
      <c r="AL910" s="175">
        <v>9</v>
      </c>
      <c r="AM910" s="175">
        <v>6</v>
      </c>
      <c r="AN910" s="175">
        <v>2</v>
      </c>
      <c r="AO910" s="175">
        <v>22</v>
      </c>
      <c r="AP910" s="175">
        <v>15</v>
      </c>
      <c r="AQ910" s="175">
        <v>0</v>
      </c>
      <c r="AR910" s="175">
        <v>0</v>
      </c>
      <c r="AS910" s="175">
        <v>8</v>
      </c>
      <c r="AT910" s="175">
        <v>1</v>
      </c>
    </row>
    <row r="911" spans="1:46">
      <c r="A911">
        <v>20097</v>
      </c>
      <c r="B911" t="s">
        <v>6098</v>
      </c>
      <c r="C911" t="s">
        <v>6099</v>
      </c>
      <c r="D911" t="s">
        <v>6100</v>
      </c>
      <c r="E911" t="s">
        <v>6101</v>
      </c>
      <c r="F911" t="s">
        <v>1262</v>
      </c>
      <c r="G911" t="s">
        <v>737</v>
      </c>
      <c r="H911" t="s">
        <v>449</v>
      </c>
      <c r="J911" t="s">
        <v>4032</v>
      </c>
      <c r="K911" t="s">
        <v>606</v>
      </c>
      <c r="M911" t="s">
        <v>607</v>
      </c>
      <c r="N911" t="s">
        <v>4586</v>
      </c>
      <c r="O911" t="s">
        <v>833</v>
      </c>
      <c r="P911" t="s">
        <v>739</v>
      </c>
      <c r="Q911" t="s">
        <v>467</v>
      </c>
      <c r="R911" t="s">
        <v>724</v>
      </c>
      <c r="S911" t="s">
        <v>767</v>
      </c>
      <c r="T911" t="s">
        <v>613</v>
      </c>
      <c r="U911">
        <v>126801</v>
      </c>
      <c r="V911" t="s">
        <v>1263</v>
      </c>
      <c r="W911" t="s">
        <v>826</v>
      </c>
      <c r="X911" t="s">
        <v>5153</v>
      </c>
      <c r="Y911" t="s">
        <v>6102</v>
      </c>
      <c r="Z911" t="s">
        <v>6103</v>
      </c>
      <c r="AA911" t="s">
        <v>6104</v>
      </c>
      <c r="AC911">
        <v>99188</v>
      </c>
      <c r="AD911" t="s">
        <v>871</v>
      </c>
      <c r="AE911">
        <v>-36.783297730000001</v>
      </c>
      <c r="AF911">
        <v>174.77190125999999</v>
      </c>
      <c r="AG911" s="175">
        <v>45</v>
      </c>
      <c r="AH911" s="175">
        <v>9</v>
      </c>
      <c r="AI911" s="175">
        <v>2</v>
      </c>
      <c r="AJ911" s="175">
        <v>7</v>
      </c>
      <c r="AK911" s="175">
        <v>7</v>
      </c>
      <c r="AL911" s="175">
        <v>13</v>
      </c>
      <c r="AM911" s="175">
        <v>9</v>
      </c>
      <c r="AN911" s="175">
        <v>2</v>
      </c>
      <c r="AO911" s="175">
        <v>40</v>
      </c>
      <c r="AP911" s="175">
        <v>26</v>
      </c>
      <c r="AQ911" s="175">
        <v>0</v>
      </c>
      <c r="AR911" s="175">
        <v>2</v>
      </c>
      <c r="AS911" s="175">
        <v>13</v>
      </c>
      <c r="AT911" s="175">
        <v>4</v>
      </c>
    </row>
    <row r="912" spans="1:46">
      <c r="A912">
        <v>20098</v>
      </c>
      <c r="B912" t="s">
        <v>6105</v>
      </c>
      <c r="C912" t="s">
        <v>6106</v>
      </c>
      <c r="D912" t="s">
        <v>6107</v>
      </c>
      <c r="E912" t="s">
        <v>6108</v>
      </c>
      <c r="F912" t="s">
        <v>940</v>
      </c>
      <c r="G912" t="s">
        <v>737</v>
      </c>
      <c r="H912" t="s">
        <v>449</v>
      </c>
      <c r="J912" t="s">
        <v>4032</v>
      </c>
      <c r="K912" t="s">
        <v>606</v>
      </c>
      <c r="M912" t="s">
        <v>607</v>
      </c>
      <c r="N912" t="s">
        <v>657</v>
      </c>
      <c r="O912" t="s">
        <v>942</v>
      </c>
      <c r="P912" t="s">
        <v>739</v>
      </c>
      <c r="Q912" t="s">
        <v>467</v>
      </c>
      <c r="R912" t="s">
        <v>793</v>
      </c>
      <c r="S912" t="s">
        <v>943</v>
      </c>
      <c r="T912" t="s">
        <v>794</v>
      </c>
      <c r="U912">
        <v>132200</v>
      </c>
      <c r="V912" t="s">
        <v>6109</v>
      </c>
      <c r="W912" t="s">
        <v>945</v>
      </c>
      <c r="X912" t="s">
        <v>4527</v>
      </c>
      <c r="Y912" t="s">
        <v>6108</v>
      </c>
      <c r="Z912" t="s">
        <v>940</v>
      </c>
      <c r="AA912" t="s">
        <v>4942</v>
      </c>
      <c r="AB912" t="s">
        <v>4529</v>
      </c>
      <c r="AE912">
        <v>-36.883266030000001</v>
      </c>
      <c r="AF912">
        <v>174.71482162999999</v>
      </c>
      <c r="AG912" s="175">
        <v>69</v>
      </c>
      <c r="AH912" s="175">
        <v>16</v>
      </c>
      <c r="AI912" s="175">
        <v>2</v>
      </c>
      <c r="AJ912" s="175">
        <v>8</v>
      </c>
      <c r="AK912" s="175">
        <v>8</v>
      </c>
      <c r="AL912" s="175">
        <v>12</v>
      </c>
      <c r="AM912" s="175">
        <v>13</v>
      </c>
      <c r="AN912" s="175">
        <v>0</v>
      </c>
      <c r="AO912" s="175">
        <v>43</v>
      </c>
      <c r="AP912" s="175">
        <v>1</v>
      </c>
      <c r="AQ912" s="175">
        <v>1</v>
      </c>
      <c r="AR912" s="175">
        <v>7</v>
      </c>
      <c r="AS912" s="175">
        <v>35</v>
      </c>
      <c r="AT912" s="175">
        <v>1</v>
      </c>
    </row>
    <row r="913" spans="1:46">
      <c r="A913">
        <v>20099</v>
      </c>
      <c r="B913" t="s">
        <v>6110</v>
      </c>
      <c r="C913" t="s">
        <v>6111</v>
      </c>
      <c r="D913" t="s">
        <v>6112</v>
      </c>
      <c r="E913" t="s">
        <v>6113</v>
      </c>
      <c r="F913" t="s">
        <v>5753</v>
      </c>
      <c r="G913" t="s">
        <v>737</v>
      </c>
      <c r="H913" t="s">
        <v>449</v>
      </c>
      <c r="J913" t="s">
        <v>4032</v>
      </c>
      <c r="K913" t="s">
        <v>606</v>
      </c>
      <c r="M913" t="s">
        <v>607</v>
      </c>
      <c r="N913" t="s">
        <v>657</v>
      </c>
      <c r="O913" t="s">
        <v>833</v>
      </c>
      <c r="P913" t="s">
        <v>739</v>
      </c>
      <c r="Q913" t="s">
        <v>467</v>
      </c>
      <c r="R913" t="s">
        <v>724</v>
      </c>
      <c r="S913" t="s">
        <v>767</v>
      </c>
      <c r="T913" t="s">
        <v>613</v>
      </c>
      <c r="U913">
        <v>130700</v>
      </c>
      <c r="V913" t="s">
        <v>5753</v>
      </c>
      <c r="W913" t="s">
        <v>826</v>
      </c>
      <c r="X913" t="s">
        <v>6114</v>
      </c>
      <c r="Y913" t="s">
        <v>6115</v>
      </c>
      <c r="Z913" t="s">
        <v>4995</v>
      </c>
      <c r="AA913" t="s">
        <v>6116</v>
      </c>
      <c r="AB913" t="s">
        <v>6117</v>
      </c>
      <c r="AE913">
        <v>-36.812634809999999</v>
      </c>
      <c r="AF913">
        <v>174.79650591999999</v>
      </c>
      <c r="AG913" s="175">
        <v>35</v>
      </c>
      <c r="AH913" s="175">
        <v>10</v>
      </c>
      <c r="AI913" s="175">
        <v>1</v>
      </c>
      <c r="AJ913" s="175">
        <v>8</v>
      </c>
      <c r="AK913" s="175">
        <v>5</v>
      </c>
      <c r="AL913" s="175">
        <v>9</v>
      </c>
      <c r="AM913" s="175">
        <v>3</v>
      </c>
      <c r="AN913" s="175">
        <v>0</v>
      </c>
      <c r="AO913" s="175">
        <v>26</v>
      </c>
      <c r="AP913" s="175">
        <v>26</v>
      </c>
      <c r="AQ913" s="175">
        <v>2</v>
      </c>
      <c r="AR913" s="175">
        <v>0</v>
      </c>
      <c r="AS913" s="175">
        <v>1</v>
      </c>
      <c r="AT913" s="175">
        <v>0</v>
      </c>
    </row>
    <row r="914" spans="1:46">
      <c r="A914">
        <v>20100</v>
      </c>
      <c r="B914" t="s">
        <v>6118</v>
      </c>
      <c r="C914" t="s">
        <v>6119</v>
      </c>
      <c r="D914" t="s">
        <v>6120</v>
      </c>
      <c r="E914" t="s">
        <v>6121</v>
      </c>
      <c r="F914" t="s">
        <v>983</v>
      </c>
      <c r="G914" t="s">
        <v>737</v>
      </c>
      <c r="H914" t="s">
        <v>449</v>
      </c>
      <c r="I914" t="s">
        <v>4023</v>
      </c>
      <c r="J914" t="s">
        <v>4032</v>
      </c>
      <c r="K914" t="s">
        <v>606</v>
      </c>
      <c r="M914" t="s">
        <v>607</v>
      </c>
      <c r="N914" t="s">
        <v>625</v>
      </c>
      <c r="O914" t="s">
        <v>898</v>
      </c>
      <c r="P914" t="s">
        <v>739</v>
      </c>
      <c r="Q914" t="s">
        <v>467</v>
      </c>
      <c r="R914" t="s">
        <v>724</v>
      </c>
      <c r="S914" t="s">
        <v>984</v>
      </c>
      <c r="T914" t="s">
        <v>613</v>
      </c>
      <c r="U914">
        <v>125701</v>
      </c>
      <c r="V914" t="s">
        <v>5858</v>
      </c>
      <c r="W914" t="s">
        <v>900</v>
      </c>
      <c r="X914" t="s">
        <v>6122</v>
      </c>
      <c r="Y914" t="s">
        <v>6123</v>
      </c>
      <c r="Z914" t="s">
        <v>983</v>
      </c>
      <c r="AA914" t="s">
        <v>4237</v>
      </c>
      <c r="AE914">
        <v>-36.8685543</v>
      </c>
      <c r="AF914">
        <v>174.62805090000001</v>
      </c>
      <c r="AG914" s="175">
        <v>32</v>
      </c>
      <c r="AH914" s="175">
        <v>0</v>
      </c>
      <c r="AI914" s="175">
        <v>0</v>
      </c>
      <c r="AJ914" s="175">
        <v>0</v>
      </c>
      <c r="AK914" s="175">
        <v>8</v>
      </c>
      <c r="AL914" s="175">
        <v>7</v>
      </c>
      <c r="AM914" s="175">
        <v>12</v>
      </c>
      <c r="AN914" s="175">
        <v>3</v>
      </c>
      <c r="AO914" s="175">
        <v>30</v>
      </c>
      <c r="AP914" s="175">
        <v>2</v>
      </c>
      <c r="AQ914" s="175">
        <v>2</v>
      </c>
      <c r="AR914" s="175">
        <v>7</v>
      </c>
      <c r="AS914" s="175">
        <v>23</v>
      </c>
      <c r="AT914" s="175">
        <v>1</v>
      </c>
    </row>
    <row r="915" spans="1:46">
      <c r="A915">
        <v>20102</v>
      </c>
      <c r="B915" t="s">
        <v>6124</v>
      </c>
      <c r="C915" t="s">
        <v>6125</v>
      </c>
      <c r="D915" t="s">
        <v>6126</v>
      </c>
      <c r="E915" t="s">
        <v>6127</v>
      </c>
      <c r="F915" t="s">
        <v>854</v>
      </c>
      <c r="G915" t="s">
        <v>737</v>
      </c>
      <c r="H915" t="s">
        <v>449</v>
      </c>
      <c r="J915" t="s">
        <v>605</v>
      </c>
      <c r="K915" t="s">
        <v>606</v>
      </c>
      <c r="M915" t="s">
        <v>607</v>
      </c>
      <c r="N915" t="s">
        <v>657</v>
      </c>
      <c r="O915" t="s">
        <v>997</v>
      </c>
      <c r="P915" t="s">
        <v>739</v>
      </c>
      <c r="Q915" t="s">
        <v>467</v>
      </c>
      <c r="R915" t="s">
        <v>793</v>
      </c>
      <c r="S915" t="s">
        <v>998</v>
      </c>
      <c r="T915" t="s">
        <v>794</v>
      </c>
      <c r="U915">
        <v>139601</v>
      </c>
      <c r="V915" t="s">
        <v>4556</v>
      </c>
      <c r="W915" t="s">
        <v>945</v>
      </c>
      <c r="X915" t="s">
        <v>6128</v>
      </c>
      <c r="Y915" t="s">
        <v>6129</v>
      </c>
      <c r="Z915" t="s">
        <v>1108</v>
      </c>
      <c r="AA915" t="s">
        <v>6130</v>
      </c>
      <c r="AB915" t="s">
        <v>6131</v>
      </c>
      <c r="AC915">
        <v>99012</v>
      </c>
      <c r="AD915" t="s">
        <v>857</v>
      </c>
      <c r="AE915">
        <v>-36.917754129999999</v>
      </c>
      <c r="AF915">
        <v>174.71498133</v>
      </c>
      <c r="AG915" s="175">
        <v>30</v>
      </c>
      <c r="AH915" s="175">
        <v>6</v>
      </c>
      <c r="AI915" s="175">
        <v>2</v>
      </c>
      <c r="AJ915" s="175">
        <v>4</v>
      </c>
      <c r="AK915" s="175">
        <v>16</v>
      </c>
      <c r="AL915" s="175">
        <v>10</v>
      </c>
      <c r="AM915" s="175">
        <v>6</v>
      </c>
      <c r="AN915" s="175">
        <v>0</v>
      </c>
      <c r="AO915" s="175">
        <v>38</v>
      </c>
      <c r="AP915" s="175">
        <v>12</v>
      </c>
      <c r="AQ915" s="175">
        <v>1</v>
      </c>
      <c r="AR915" s="175">
        <v>11</v>
      </c>
      <c r="AS915" s="175">
        <v>23</v>
      </c>
      <c r="AT915" s="175">
        <v>2</v>
      </c>
    </row>
    <row r="916" spans="1:46">
      <c r="A916">
        <v>20104</v>
      </c>
      <c r="B916" t="s">
        <v>6132</v>
      </c>
      <c r="C916" t="s">
        <v>6133</v>
      </c>
      <c r="D916" t="s">
        <v>6134</v>
      </c>
      <c r="E916" t="s">
        <v>6135</v>
      </c>
      <c r="F916" t="s">
        <v>1187</v>
      </c>
      <c r="G916" t="s">
        <v>737</v>
      </c>
      <c r="H916" t="s">
        <v>449</v>
      </c>
      <c r="J916" t="s">
        <v>605</v>
      </c>
      <c r="K916" t="s">
        <v>606</v>
      </c>
      <c r="M916" t="s">
        <v>607</v>
      </c>
      <c r="N916" t="s">
        <v>657</v>
      </c>
      <c r="O916" t="s">
        <v>1042</v>
      </c>
      <c r="P916" t="s">
        <v>739</v>
      </c>
      <c r="Q916" t="s">
        <v>467</v>
      </c>
      <c r="R916" t="s">
        <v>793</v>
      </c>
      <c r="S916" t="s">
        <v>1043</v>
      </c>
      <c r="T916" t="s">
        <v>794</v>
      </c>
      <c r="U916">
        <v>131200</v>
      </c>
      <c r="V916" t="s">
        <v>1188</v>
      </c>
      <c r="W916" t="s">
        <v>1044</v>
      </c>
      <c r="X916" t="s">
        <v>4013</v>
      </c>
      <c r="Y916" t="s">
        <v>4014</v>
      </c>
      <c r="Z916" t="s">
        <v>4015</v>
      </c>
      <c r="AA916" t="s">
        <v>4016</v>
      </c>
      <c r="AB916" t="s">
        <v>4017</v>
      </c>
      <c r="AE916">
        <v>-36.853480849999997</v>
      </c>
      <c r="AF916">
        <v>174.74166799</v>
      </c>
      <c r="AG916" s="175">
        <v>53</v>
      </c>
      <c r="AH916" s="175">
        <v>10</v>
      </c>
      <c r="AI916" s="175">
        <v>3</v>
      </c>
      <c r="AJ916" s="175">
        <v>23</v>
      </c>
      <c r="AK916" s="175">
        <v>15</v>
      </c>
      <c r="AL916" s="175">
        <v>24</v>
      </c>
      <c r="AM916" s="175">
        <v>13</v>
      </c>
      <c r="AN916" s="175">
        <v>1</v>
      </c>
      <c r="AO916" s="175">
        <v>79</v>
      </c>
      <c r="AP916" s="175">
        <v>73</v>
      </c>
      <c r="AQ916" s="175">
        <v>8</v>
      </c>
      <c r="AR916" s="175">
        <v>6</v>
      </c>
      <c r="AS916" s="175">
        <v>4</v>
      </c>
      <c r="AT916" s="175">
        <v>7</v>
      </c>
    </row>
    <row r="917" spans="1:46">
      <c r="A917">
        <v>20107</v>
      </c>
      <c r="B917" t="s">
        <v>6136</v>
      </c>
      <c r="C917" t="s">
        <v>6137</v>
      </c>
      <c r="D917" t="s">
        <v>6138</v>
      </c>
      <c r="E917" t="s">
        <v>6139</v>
      </c>
      <c r="F917" t="s">
        <v>1086</v>
      </c>
      <c r="G917" t="s">
        <v>737</v>
      </c>
      <c r="H917" t="s">
        <v>449</v>
      </c>
      <c r="I917" t="s">
        <v>5838</v>
      </c>
      <c r="J917" t="s">
        <v>605</v>
      </c>
      <c r="K917" t="s">
        <v>606</v>
      </c>
      <c r="M917" t="s">
        <v>607</v>
      </c>
      <c r="N917" t="s">
        <v>657</v>
      </c>
      <c r="O917" t="s">
        <v>833</v>
      </c>
      <c r="P917" t="s">
        <v>739</v>
      </c>
      <c r="Q917" t="s">
        <v>467</v>
      </c>
      <c r="R917" t="s">
        <v>724</v>
      </c>
      <c r="S917" t="s">
        <v>767</v>
      </c>
      <c r="T917" t="s">
        <v>613</v>
      </c>
      <c r="U917">
        <v>125900</v>
      </c>
      <c r="V917" t="s">
        <v>1087</v>
      </c>
      <c r="W917" t="s">
        <v>826</v>
      </c>
      <c r="X917" t="s">
        <v>6140</v>
      </c>
      <c r="Y917" t="s">
        <v>6141</v>
      </c>
      <c r="Z917" t="s">
        <v>1086</v>
      </c>
      <c r="AA917" t="s">
        <v>6142</v>
      </c>
      <c r="AB917" t="s">
        <v>6143</v>
      </c>
      <c r="AC917">
        <v>99188</v>
      </c>
      <c r="AD917" t="s">
        <v>871</v>
      </c>
      <c r="AE917">
        <v>-36.773820919999999</v>
      </c>
      <c r="AF917">
        <v>174.7659161</v>
      </c>
      <c r="AG917" s="175">
        <v>58</v>
      </c>
      <c r="AH917" s="175">
        <v>0</v>
      </c>
      <c r="AI917" s="175">
        <v>0</v>
      </c>
      <c r="AJ917" s="175">
        <v>0</v>
      </c>
      <c r="AK917" s="175">
        <v>12</v>
      </c>
      <c r="AL917" s="175">
        <v>24</v>
      </c>
      <c r="AM917" s="175">
        <v>22</v>
      </c>
      <c r="AN917" s="175">
        <v>0</v>
      </c>
      <c r="AO917" s="175">
        <v>58</v>
      </c>
      <c r="AP917" s="175">
        <v>37</v>
      </c>
      <c r="AQ917" s="175">
        <v>7</v>
      </c>
      <c r="AR917" s="175">
        <v>1</v>
      </c>
      <c r="AS917" s="175">
        <v>18</v>
      </c>
      <c r="AT917" s="175">
        <v>8</v>
      </c>
    </row>
    <row r="918" spans="1:46">
      <c r="A918">
        <v>20110</v>
      </c>
      <c r="B918" t="s">
        <v>6144</v>
      </c>
      <c r="C918" t="s">
        <v>6145</v>
      </c>
      <c r="D918" t="s">
        <v>6146</v>
      </c>
      <c r="E918" t="s">
        <v>6147</v>
      </c>
      <c r="G918" t="s">
        <v>4576</v>
      </c>
      <c r="H918" t="s">
        <v>452</v>
      </c>
      <c r="J918" t="s">
        <v>605</v>
      </c>
      <c r="K918" t="s">
        <v>606</v>
      </c>
      <c r="M918" t="s">
        <v>607</v>
      </c>
      <c r="N918" t="s">
        <v>657</v>
      </c>
      <c r="O918" t="s">
        <v>738</v>
      </c>
      <c r="P918" t="s">
        <v>670</v>
      </c>
      <c r="Q918" t="s">
        <v>467</v>
      </c>
      <c r="R918" t="s">
        <v>724</v>
      </c>
      <c r="S918" t="s">
        <v>753</v>
      </c>
      <c r="T918" t="s">
        <v>613</v>
      </c>
      <c r="U918">
        <v>113300</v>
      </c>
      <c r="V918" t="s">
        <v>6148</v>
      </c>
      <c r="W918" t="s">
        <v>742</v>
      </c>
      <c r="X918" t="s">
        <v>743</v>
      </c>
      <c r="Y918" t="s">
        <v>744</v>
      </c>
      <c r="Z918" t="s">
        <v>745</v>
      </c>
      <c r="AA918" t="s">
        <v>746</v>
      </c>
      <c r="AC918">
        <v>99069</v>
      </c>
      <c r="AD918" t="s">
        <v>755</v>
      </c>
      <c r="AE918">
        <v>-36.605465170000002</v>
      </c>
      <c r="AF918">
        <v>174.67891693999999</v>
      </c>
      <c r="AG918" s="175">
        <v>40</v>
      </c>
      <c r="AH918" s="175">
        <v>0</v>
      </c>
      <c r="AI918" s="175">
        <v>0</v>
      </c>
      <c r="AJ918" s="175">
        <v>0</v>
      </c>
      <c r="AK918" s="175">
        <v>7</v>
      </c>
      <c r="AL918" s="175">
        <v>21</v>
      </c>
      <c r="AM918" s="175">
        <v>26</v>
      </c>
      <c r="AN918" s="175">
        <v>2</v>
      </c>
      <c r="AO918" s="175">
        <v>56</v>
      </c>
      <c r="AP918" s="175">
        <v>48</v>
      </c>
      <c r="AQ918" s="175">
        <v>18</v>
      </c>
      <c r="AR918" s="175">
        <v>3</v>
      </c>
      <c r="AS918" s="175">
        <v>8</v>
      </c>
      <c r="AT918" s="175">
        <v>0</v>
      </c>
    </row>
    <row r="919" spans="1:46">
      <c r="A919">
        <v>20111</v>
      </c>
      <c r="B919" t="s">
        <v>6149</v>
      </c>
      <c r="C919" t="s">
        <v>6150</v>
      </c>
      <c r="E919" t="s">
        <v>6151</v>
      </c>
      <c r="F919" t="s">
        <v>1108</v>
      </c>
      <c r="G919" t="s">
        <v>737</v>
      </c>
      <c r="H919" t="s">
        <v>449</v>
      </c>
      <c r="I919" t="s">
        <v>5838</v>
      </c>
      <c r="J919" t="s">
        <v>605</v>
      </c>
      <c r="K919" t="s">
        <v>606</v>
      </c>
      <c r="M919" t="s">
        <v>607</v>
      </c>
      <c r="N919" t="s">
        <v>643</v>
      </c>
      <c r="O919" t="s">
        <v>997</v>
      </c>
      <c r="P919" t="s">
        <v>739</v>
      </c>
      <c r="Q919" t="s">
        <v>467</v>
      </c>
      <c r="R919" t="s">
        <v>793</v>
      </c>
      <c r="S919" t="s">
        <v>998</v>
      </c>
      <c r="T919" t="s">
        <v>794</v>
      </c>
      <c r="U919">
        <v>139801</v>
      </c>
      <c r="V919" t="s">
        <v>6152</v>
      </c>
      <c r="W919" t="s">
        <v>945</v>
      </c>
      <c r="X919" t="s">
        <v>6153</v>
      </c>
      <c r="Y919" t="s">
        <v>6154</v>
      </c>
      <c r="Z919" t="s">
        <v>1108</v>
      </c>
      <c r="AA919" t="s">
        <v>6130</v>
      </c>
      <c r="AB919" t="s">
        <v>6155</v>
      </c>
      <c r="AC919">
        <v>99032</v>
      </c>
      <c r="AD919" t="s">
        <v>6156</v>
      </c>
      <c r="AE919">
        <v>-36.91535021</v>
      </c>
      <c r="AF919">
        <v>174.73017166</v>
      </c>
      <c r="AG919" s="175">
        <v>25</v>
      </c>
      <c r="AH919" s="175">
        <v>0</v>
      </c>
      <c r="AI919" s="175">
        <v>0</v>
      </c>
      <c r="AJ919" s="175">
        <v>0</v>
      </c>
      <c r="AK919" s="175">
        <v>0</v>
      </c>
      <c r="AL919" s="175">
        <v>9</v>
      </c>
      <c r="AM919" s="175">
        <v>15</v>
      </c>
      <c r="AN919" s="175">
        <v>0</v>
      </c>
      <c r="AO919" s="175">
        <v>24</v>
      </c>
      <c r="AP919" s="175">
        <v>1</v>
      </c>
      <c r="AQ919" s="175">
        <v>0</v>
      </c>
      <c r="AR919" s="175">
        <v>5</v>
      </c>
      <c r="AS919" s="175">
        <v>17</v>
      </c>
      <c r="AT919" s="175">
        <v>2</v>
      </c>
    </row>
    <row r="920" spans="1:46">
      <c r="A920">
        <v>20112</v>
      </c>
      <c r="B920" t="s">
        <v>6157</v>
      </c>
      <c r="C920" t="s">
        <v>6158</v>
      </c>
      <c r="D920" t="s">
        <v>6159</v>
      </c>
      <c r="E920" t="s">
        <v>6160</v>
      </c>
      <c r="F920" t="s">
        <v>4929</v>
      </c>
      <c r="G920" t="s">
        <v>737</v>
      </c>
      <c r="H920" t="s">
        <v>449</v>
      </c>
      <c r="J920" t="s">
        <v>4032</v>
      </c>
      <c r="K920" t="s">
        <v>606</v>
      </c>
      <c r="M920" t="s">
        <v>607</v>
      </c>
      <c r="N920" t="s">
        <v>657</v>
      </c>
      <c r="O920" t="s">
        <v>738</v>
      </c>
      <c r="P920" t="s">
        <v>739</v>
      </c>
      <c r="Q920" t="s">
        <v>467</v>
      </c>
      <c r="R920" t="s">
        <v>724</v>
      </c>
      <c r="S920" t="s">
        <v>740</v>
      </c>
      <c r="T920" t="s">
        <v>613</v>
      </c>
      <c r="U920">
        <v>120000</v>
      </c>
      <c r="V920" t="s">
        <v>6161</v>
      </c>
      <c r="W920" t="s">
        <v>742</v>
      </c>
      <c r="X920" t="s">
        <v>6162</v>
      </c>
      <c r="Y920" t="s">
        <v>6163</v>
      </c>
      <c r="Z920" t="s">
        <v>1187</v>
      </c>
      <c r="AA920" t="s">
        <v>4314</v>
      </c>
      <c r="AB920" t="s">
        <v>6158</v>
      </c>
      <c r="AC920">
        <v>99000</v>
      </c>
      <c r="AD920" t="s">
        <v>769</v>
      </c>
      <c r="AE920">
        <v>-36.729523890000003</v>
      </c>
      <c r="AF920">
        <v>174.74919109999999</v>
      </c>
      <c r="AG920" s="175">
        <v>40</v>
      </c>
      <c r="AH920" s="175">
        <v>1</v>
      </c>
      <c r="AI920" s="175">
        <v>0</v>
      </c>
      <c r="AJ920" s="175">
        <v>0</v>
      </c>
      <c r="AK920" s="175">
        <v>7</v>
      </c>
      <c r="AL920" s="175">
        <v>15</v>
      </c>
      <c r="AM920" s="175">
        <v>20</v>
      </c>
      <c r="AN920" s="175">
        <v>0</v>
      </c>
      <c r="AO920" s="175">
        <v>42</v>
      </c>
      <c r="AP920" s="175">
        <v>35</v>
      </c>
      <c r="AQ920" s="175">
        <v>3</v>
      </c>
      <c r="AR920" s="175">
        <v>3</v>
      </c>
      <c r="AS920" s="175">
        <v>4</v>
      </c>
      <c r="AT920" s="175">
        <v>2</v>
      </c>
    </row>
    <row r="921" spans="1:46">
      <c r="A921">
        <v>20115</v>
      </c>
      <c r="B921" t="s">
        <v>6164</v>
      </c>
      <c r="C921" t="s">
        <v>6165</v>
      </c>
      <c r="D921" t="s">
        <v>6166</v>
      </c>
      <c r="E921" t="s">
        <v>6167</v>
      </c>
      <c r="F921" t="s">
        <v>841</v>
      </c>
      <c r="G921" t="s">
        <v>737</v>
      </c>
      <c r="H921" t="s">
        <v>449</v>
      </c>
      <c r="I921" t="s">
        <v>4134</v>
      </c>
      <c r="J921" t="s">
        <v>4032</v>
      </c>
      <c r="K921" t="s">
        <v>606</v>
      </c>
      <c r="M921" t="s">
        <v>607</v>
      </c>
      <c r="N921" t="s">
        <v>657</v>
      </c>
      <c r="O921" t="s">
        <v>823</v>
      </c>
      <c r="P921" t="s">
        <v>739</v>
      </c>
      <c r="Q921" t="s">
        <v>467</v>
      </c>
      <c r="R921" t="s">
        <v>724</v>
      </c>
      <c r="S921" t="s">
        <v>841</v>
      </c>
      <c r="T921" t="s">
        <v>613</v>
      </c>
      <c r="U921">
        <v>127300</v>
      </c>
      <c r="V921" t="s">
        <v>1134</v>
      </c>
      <c r="W921" t="s">
        <v>826</v>
      </c>
      <c r="X921" t="s">
        <v>6168</v>
      </c>
      <c r="Y921" t="s">
        <v>6169</v>
      </c>
      <c r="Z921" t="s">
        <v>752</v>
      </c>
      <c r="AA921" t="s">
        <v>6170</v>
      </c>
      <c r="AB921" t="s">
        <v>6171</v>
      </c>
      <c r="AE921">
        <v>-36.809659310000001</v>
      </c>
      <c r="AF921">
        <v>174.73730402999999</v>
      </c>
      <c r="AG921" s="175">
        <v>45</v>
      </c>
      <c r="AH921" s="175">
        <v>15</v>
      </c>
      <c r="AI921" s="175">
        <v>1</v>
      </c>
      <c r="AJ921" s="175">
        <v>2</v>
      </c>
      <c r="AK921" s="175">
        <v>7</v>
      </c>
      <c r="AL921" s="175">
        <v>2</v>
      </c>
      <c r="AM921" s="175">
        <v>4</v>
      </c>
      <c r="AN921" s="175">
        <v>0</v>
      </c>
      <c r="AO921" s="175">
        <v>16</v>
      </c>
      <c r="AP921" s="175">
        <v>3</v>
      </c>
      <c r="AQ921" s="175">
        <v>7</v>
      </c>
      <c r="AR921" s="175">
        <v>2</v>
      </c>
      <c r="AS921" s="175">
        <v>8</v>
      </c>
      <c r="AT921" s="175">
        <v>0</v>
      </c>
    </row>
    <row r="922" spans="1:46">
      <c r="A922">
        <v>20116</v>
      </c>
      <c r="B922" t="s">
        <v>6172</v>
      </c>
      <c r="C922" t="s">
        <v>4350</v>
      </c>
      <c r="D922" t="s">
        <v>4344</v>
      </c>
      <c r="E922" t="s">
        <v>4348</v>
      </c>
      <c r="F922" t="s">
        <v>921</v>
      </c>
      <c r="G922" t="s">
        <v>737</v>
      </c>
      <c r="H922" t="s">
        <v>449</v>
      </c>
      <c r="J922" t="s">
        <v>605</v>
      </c>
      <c r="K922" t="s">
        <v>606</v>
      </c>
      <c r="M922" t="s">
        <v>607</v>
      </c>
      <c r="N922" t="s">
        <v>657</v>
      </c>
      <c r="O922" t="s">
        <v>833</v>
      </c>
      <c r="P922" t="s">
        <v>739</v>
      </c>
      <c r="Q922" t="s">
        <v>467</v>
      </c>
      <c r="R922" t="s">
        <v>724</v>
      </c>
      <c r="S922" t="s">
        <v>767</v>
      </c>
      <c r="T922" t="s">
        <v>613</v>
      </c>
      <c r="U922">
        <v>131400</v>
      </c>
      <c r="V922" t="s">
        <v>4346</v>
      </c>
      <c r="W922" t="s">
        <v>826</v>
      </c>
      <c r="X922" t="s">
        <v>4347</v>
      </c>
      <c r="Y922" t="s">
        <v>4348</v>
      </c>
      <c r="Z922" t="s">
        <v>921</v>
      </c>
      <c r="AA922" t="s">
        <v>4349</v>
      </c>
      <c r="AB922" t="s">
        <v>4350</v>
      </c>
      <c r="AC922">
        <v>99048</v>
      </c>
      <c r="AD922" t="s">
        <v>835</v>
      </c>
      <c r="AE922">
        <v>-36.829065919999998</v>
      </c>
      <c r="AF922">
        <v>174.78953013</v>
      </c>
      <c r="AG922" s="175">
        <v>50</v>
      </c>
      <c r="AH922" s="175">
        <v>0</v>
      </c>
      <c r="AI922" s="175">
        <v>0</v>
      </c>
      <c r="AJ922" s="175">
        <v>0</v>
      </c>
      <c r="AK922" s="175">
        <v>18</v>
      </c>
      <c r="AL922" s="175">
        <v>9</v>
      </c>
      <c r="AM922" s="175">
        <v>17</v>
      </c>
      <c r="AN922" s="175">
        <v>0</v>
      </c>
      <c r="AO922" s="175">
        <v>44</v>
      </c>
      <c r="AP922" s="175">
        <v>32</v>
      </c>
      <c r="AQ922" s="175">
        <v>20</v>
      </c>
      <c r="AR922" s="175">
        <v>12</v>
      </c>
      <c r="AS922" s="175">
        <v>4</v>
      </c>
      <c r="AT922" s="175">
        <v>2</v>
      </c>
    </row>
    <row r="923" spans="1:46">
      <c r="A923">
        <v>20118</v>
      </c>
      <c r="B923" t="s">
        <v>6173</v>
      </c>
      <c r="C923" t="s">
        <v>6174</v>
      </c>
      <c r="D923" t="s">
        <v>6175</v>
      </c>
      <c r="E923" t="s">
        <v>6176</v>
      </c>
      <c r="F923" t="s">
        <v>841</v>
      </c>
      <c r="G923" t="s">
        <v>737</v>
      </c>
      <c r="H923" t="s">
        <v>449</v>
      </c>
      <c r="I923" t="s">
        <v>5838</v>
      </c>
      <c r="J923" t="s">
        <v>605</v>
      </c>
      <c r="K923" t="s">
        <v>606</v>
      </c>
      <c r="M923" t="s">
        <v>607</v>
      </c>
      <c r="N923" t="s">
        <v>657</v>
      </c>
      <c r="O923" t="s">
        <v>823</v>
      </c>
      <c r="P923" t="s">
        <v>739</v>
      </c>
      <c r="Q923" t="s">
        <v>467</v>
      </c>
      <c r="R923" t="s">
        <v>724</v>
      </c>
      <c r="S923" t="s">
        <v>841</v>
      </c>
      <c r="T923" t="s">
        <v>613</v>
      </c>
      <c r="U923">
        <v>126200</v>
      </c>
      <c r="V923" t="s">
        <v>6177</v>
      </c>
      <c r="W923" t="s">
        <v>826</v>
      </c>
      <c r="X923" t="s">
        <v>6178</v>
      </c>
      <c r="Y923" t="s">
        <v>6176</v>
      </c>
      <c r="Z923" t="s">
        <v>1450</v>
      </c>
      <c r="AA923" t="s">
        <v>5965</v>
      </c>
      <c r="AB923" t="s">
        <v>6179</v>
      </c>
      <c r="AC923">
        <v>99067</v>
      </c>
      <c r="AD923" t="s">
        <v>6180</v>
      </c>
      <c r="AE923">
        <v>-36.795410750000002</v>
      </c>
      <c r="AF923">
        <v>174.73572128000001</v>
      </c>
      <c r="AG923" s="175">
        <v>50</v>
      </c>
      <c r="AH923" s="175">
        <v>8</v>
      </c>
      <c r="AI923" s="175">
        <v>0</v>
      </c>
      <c r="AJ923" s="175">
        <v>3</v>
      </c>
      <c r="AK923" s="175">
        <v>14</v>
      </c>
      <c r="AL923" s="175">
        <v>13</v>
      </c>
      <c r="AM923" s="175">
        <v>14</v>
      </c>
      <c r="AN923" s="175">
        <v>0</v>
      </c>
      <c r="AO923" s="175">
        <v>44</v>
      </c>
      <c r="AP923" s="175">
        <v>14</v>
      </c>
      <c r="AQ923" s="175">
        <v>2</v>
      </c>
      <c r="AR923" s="175">
        <v>1</v>
      </c>
      <c r="AS923" s="175">
        <v>32</v>
      </c>
      <c r="AT923" s="175">
        <v>0</v>
      </c>
    </row>
    <row r="924" spans="1:46">
      <c r="A924">
        <v>20119</v>
      </c>
      <c r="B924" t="s">
        <v>6181</v>
      </c>
      <c r="C924" t="s">
        <v>6182</v>
      </c>
      <c r="D924" t="s">
        <v>6183</v>
      </c>
      <c r="E924" t="s">
        <v>6184</v>
      </c>
      <c r="F924" t="s">
        <v>4437</v>
      </c>
      <c r="G924" t="s">
        <v>737</v>
      </c>
      <c r="H924" t="s">
        <v>449</v>
      </c>
      <c r="J924" t="s">
        <v>605</v>
      </c>
      <c r="K924" t="s">
        <v>606</v>
      </c>
      <c r="M924" t="s">
        <v>607</v>
      </c>
      <c r="N924" t="s">
        <v>657</v>
      </c>
      <c r="O924" t="s">
        <v>823</v>
      </c>
      <c r="P924" t="s">
        <v>739</v>
      </c>
      <c r="Q924" t="s">
        <v>467</v>
      </c>
      <c r="R924" t="s">
        <v>724</v>
      </c>
      <c r="S924" t="s">
        <v>841</v>
      </c>
      <c r="T924" t="s">
        <v>613</v>
      </c>
      <c r="U924">
        <v>128200</v>
      </c>
      <c r="V924" t="s">
        <v>4438</v>
      </c>
      <c r="W924" t="s">
        <v>826</v>
      </c>
      <c r="X924" t="s">
        <v>6185</v>
      </c>
      <c r="Y924" t="s">
        <v>6184</v>
      </c>
      <c r="Z924" t="s">
        <v>4437</v>
      </c>
      <c r="AA924" t="s">
        <v>6186</v>
      </c>
      <c r="AB924" t="s">
        <v>6182</v>
      </c>
      <c r="AE924">
        <v>-36.815948169999999</v>
      </c>
      <c r="AF924">
        <v>174.74529335</v>
      </c>
      <c r="AG924" s="175">
        <v>26</v>
      </c>
      <c r="AH924" s="175">
        <v>10</v>
      </c>
      <c r="AI924" s="175">
        <v>0</v>
      </c>
      <c r="AJ924" s="175">
        <v>3</v>
      </c>
      <c r="AK924" s="175">
        <v>14</v>
      </c>
      <c r="AL924" s="175">
        <v>12</v>
      </c>
      <c r="AM924" s="175">
        <v>1</v>
      </c>
      <c r="AN924" s="175">
        <v>0</v>
      </c>
      <c r="AO924" s="175">
        <v>30</v>
      </c>
      <c r="AP924" s="175">
        <v>29</v>
      </c>
      <c r="AQ924" s="175">
        <v>4</v>
      </c>
      <c r="AR924" s="175">
        <v>1</v>
      </c>
      <c r="AS924" s="175">
        <v>3</v>
      </c>
      <c r="AT924" s="175">
        <v>1</v>
      </c>
    </row>
    <row r="925" spans="1:46">
      <c r="A925">
        <v>20120</v>
      </c>
      <c r="B925" t="s">
        <v>6187</v>
      </c>
      <c r="C925" t="s">
        <v>6188</v>
      </c>
      <c r="E925" t="s">
        <v>6189</v>
      </c>
      <c r="F925" t="s">
        <v>841</v>
      </c>
      <c r="G925" t="s">
        <v>737</v>
      </c>
      <c r="H925" t="s">
        <v>449</v>
      </c>
      <c r="J925" t="s">
        <v>605</v>
      </c>
      <c r="K925" t="s">
        <v>606</v>
      </c>
      <c r="M925" t="s">
        <v>607</v>
      </c>
      <c r="N925" t="s">
        <v>657</v>
      </c>
      <c r="O925" t="s">
        <v>823</v>
      </c>
      <c r="P925" t="s">
        <v>739</v>
      </c>
      <c r="Q925" t="s">
        <v>467</v>
      </c>
      <c r="R925" t="s">
        <v>724</v>
      </c>
      <c r="S925" t="s">
        <v>841</v>
      </c>
      <c r="T925" t="s">
        <v>613</v>
      </c>
      <c r="U925">
        <v>127100</v>
      </c>
      <c r="V925" t="s">
        <v>1129</v>
      </c>
      <c r="W925" t="s">
        <v>826</v>
      </c>
      <c r="X925" t="s">
        <v>5873</v>
      </c>
      <c r="Y925" t="s">
        <v>6190</v>
      </c>
      <c r="Z925" t="s">
        <v>745</v>
      </c>
      <c r="AA925" t="s">
        <v>6191</v>
      </c>
      <c r="AB925" t="s">
        <v>5875</v>
      </c>
      <c r="AE925">
        <v>-36.795144989999997</v>
      </c>
      <c r="AF925">
        <v>174.74577432000001</v>
      </c>
      <c r="AG925" s="175">
        <v>30</v>
      </c>
      <c r="AH925" s="175">
        <v>0</v>
      </c>
      <c r="AI925" s="175">
        <v>0</v>
      </c>
      <c r="AJ925" s="175">
        <v>0</v>
      </c>
      <c r="AK925" s="175">
        <v>9</v>
      </c>
      <c r="AL925" s="175">
        <v>9</v>
      </c>
      <c r="AM925" s="175">
        <v>8</v>
      </c>
      <c r="AN925" s="175">
        <v>0</v>
      </c>
      <c r="AO925" s="175">
        <v>26</v>
      </c>
      <c r="AP925" s="175">
        <v>5</v>
      </c>
      <c r="AQ925" s="175">
        <v>5</v>
      </c>
      <c r="AR925" s="175">
        <v>8</v>
      </c>
      <c r="AS925" s="175">
        <v>9</v>
      </c>
      <c r="AT925" s="175">
        <v>5</v>
      </c>
    </row>
    <row r="926" spans="1:46">
      <c r="A926">
        <v>20121</v>
      </c>
      <c r="B926" t="s">
        <v>6192</v>
      </c>
      <c r="C926" t="s">
        <v>6193</v>
      </c>
      <c r="D926" t="s">
        <v>6194</v>
      </c>
      <c r="E926" t="s">
        <v>6195</v>
      </c>
      <c r="F926" t="s">
        <v>1086</v>
      </c>
      <c r="G926" t="s">
        <v>737</v>
      </c>
      <c r="H926" t="s">
        <v>449</v>
      </c>
      <c r="J926" t="s">
        <v>4032</v>
      </c>
      <c r="K926" t="s">
        <v>606</v>
      </c>
      <c r="M926" t="s">
        <v>607</v>
      </c>
      <c r="N926" t="s">
        <v>657</v>
      </c>
      <c r="O926" t="s">
        <v>833</v>
      </c>
      <c r="P926" t="s">
        <v>739</v>
      </c>
      <c r="Q926" t="s">
        <v>467</v>
      </c>
      <c r="R926" t="s">
        <v>724</v>
      </c>
      <c r="S926" t="s">
        <v>767</v>
      </c>
      <c r="T926" t="s">
        <v>613</v>
      </c>
      <c r="U926">
        <v>126601</v>
      </c>
      <c r="V926" t="s">
        <v>6196</v>
      </c>
      <c r="W926" t="s">
        <v>826</v>
      </c>
      <c r="X926" t="s">
        <v>6197</v>
      </c>
      <c r="Y926" t="s">
        <v>6198</v>
      </c>
      <c r="Z926" t="s">
        <v>1262</v>
      </c>
      <c r="AA926" t="s">
        <v>4356</v>
      </c>
      <c r="AB926" t="s">
        <v>6199</v>
      </c>
      <c r="AE926">
        <v>-36.78074977</v>
      </c>
      <c r="AF926">
        <v>174.75533569999999</v>
      </c>
      <c r="AG926" s="175">
        <v>60</v>
      </c>
      <c r="AH926" s="175">
        <v>24</v>
      </c>
      <c r="AI926" s="175">
        <v>3</v>
      </c>
      <c r="AJ926" s="175">
        <v>14</v>
      </c>
      <c r="AK926" s="175">
        <v>15</v>
      </c>
      <c r="AL926" s="175">
        <v>15</v>
      </c>
      <c r="AM926" s="175">
        <v>9</v>
      </c>
      <c r="AN926" s="175">
        <v>1</v>
      </c>
      <c r="AO926" s="175">
        <v>57</v>
      </c>
      <c r="AP926" s="175">
        <v>40</v>
      </c>
      <c r="AQ926" s="175">
        <v>5</v>
      </c>
      <c r="AR926" s="175">
        <v>2</v>
      </c>
      <c r="AS926" s="175">
        <v>19</v>
      </c>
      <c r="AT926" s="175">
        <v>6</v>
      </c>
    </row>
    <row r="927" spans="1:46">
      <c r="A927">
        <v>20122</v>
      </c>
      <c r="B927" t="s">
        <v>6200</v>
      </c>
      <c r="C927" t="s">
        <v>6201</v>
      </c>
      <c r="E927" t="s">
        <v>6202</v>
      </c>
      <c r="F927" t="s">
        <v>5832</v>
      </c>
      <c r="G927" t="s">
        <v>737</v>
      </c>
      <c r="H927" t="s">
        <v>449</v>
      </c>
      <c r="J927" t="s">
        <v>4032</v>
      </c>
      <c r="K927" t="s">
        <v>606</v>
      </c>
      <c r="M927" t="s">
        <v>607</v>
      </c>
      <c r="N927" t="s">
        <v>657</v>
      </c>
      <c r="O927" t="s">
        <v>823</v>
      </c>
      <c r="P927" t="s">
        <v>739</v>
      </c>
      <c r="Q927" t="s">
        <v>467</v>
      </c>
      <c r="R927" t="s">
        <v>724</v>
      </c>
      <c r="S927" t="s">
        <v>841</v>
      </c>
      <c r="T927" t="s">
        <v>613</v>
      </c>
      <c r="U927">
        <v>122801</v>
      </c>
      <c r="V927" t="s">
        <v>6203</v>
      </c>
      <c r="W927" t="s">
        <v>826</v>
      </c>
      <c r="X927" t="s">
        <v>6204</v>
      </c>
      <c r="Y927" t="s">
        <v>6205</v>
      </c>
      <c r="Z927" t="s">
        <v>907</v>
      </c>
      <c r="AA927" t="s">
        <v>4449</v>
      </c>
      <c r="AB927" t="s">
        <v>6206</v>
      </c>
      <c r="AC927">
        <v>99214</v>
      </c>
      <c r="AD927" t="s">
        <v>843</v>
      </c>
      <c r="AE927">
        <v>-36.790619</v>
      </c>
      <c r="AF927">
        <v>174.70037002999999</v>
      </c>
      <c r="AG927" s="175">
        <v>45</v>
      </c>
      <c r="AH927" s="175">
        <v>10</v>
      </c>
      <c r="AI927" s="175">
        <v>1</v>
      </c>
      <c r="AJ927" s="175">
        <v>7</v>
      </c>
      <c r="AK927" s="175">
        <v>12</v>
      </c>
      <c r="AL927" s="175">
        <v>14</v>
      </c>
      <c r="AM927" s="175">
        <v>11</v>
      </c>
      <c r="AN927" s="175">
        <v>1</v>
      </c>
      <c r="AO927" s="175">
        <v>46</v>
      </c>
      <c r="AP927" s="175">
        <v>45</v>
      </c>
      <c r="AQ927" s="175">
        <v>3</v>
      </c>
      <c r="AR927" s="175">
        <v>8</v>
      </c>
      <c r="AS927" s="175">
        <v>3</v>
      </c>
      <c r="AT927" s="175">
        <v>1</v>
      </c>
    </row>
    <row r="928" spans="1:46">
      <c r="A928">
        <v>20125</v>
      </c>
      <c r="B928" t="s">
        <v>6207</v>
      </c>
      <c r="C928" t="s">
        <v>6208</v>
      </c>
      <c r="D928" t="s">
        <v>6209</v>
      </c>
      <c r="E928" t="s">
        <v>6210</v>
      </c>
      <c r="F928" t="s">
        <v>6211</v>
      </c>
      <c r="G928" t="s">
        <v>737</v>
      </c>
      <c r="H928" t="s">
        <v>449</v>
      </c>
      <c r="J928" t="s">
        <v>605</v>
      </c>
      <c r="K928" t="s">
        <v>606</v>
      </c>
      <c r="M928" t="s">
        <v>607</v>
      </c>
      <c r="N928" t="s">
        <v>657</v>
      </c>
      <c r="O928" t="s">
        <v>914</v>
      </c>
      <c r="P928" t="s">
        <v>739</v>
      </c>
      <c r="Q928" t="s">
        <v>467</v>
      </c>
      <c r="R928" t="s">
        <v>793</v>
      </c>
      <c r="S928" t="s">
        <v>890</v>
      </c>
      <c r="T928" t="s">
        <v>794</v>
      </c>
      <c r="U928">
        <v>143800</v>
      </c>
      <c r="V928" t="s">
        <v>6212</v>
      </c>
      <c r="W928" t="s">
        <v>892</v>
      </c>
      <c r="X928" t="s">
        <v>6213</v>
      </c>
      <c r="Y928" t="s">
        <v>6214</v>
      </c>
      <c r="Z928" t="s">
        <v>4831</v>
      </c>
      <c r="AA928" t="s">
        <v>6215</v>
      </c>
      <c r="AB928" t="s">
        <v>6216</v>
      </c>
      <c r="AE928">
        <v>-36.89820623</v>
      </c>
      <c r="AF928">
        <v>174.79817523</v>
      </c>
      <c r="AG928" s="175">
        <v>40</v>
      </c>
      <c r="AH928" s="175">
        <v>0</v>
      </c>
      <c r="AI928" s="175">
        <v>0</v>
      </c>
      <c r="AJ928" s="175">
        <v>0</v>
      </c>
      <c r="AK928" s="175">
        <v>9</v>
      </c>
      <c r="AL928" s="175">
        <v>16</v>
      </c>
      <c r="AM928" s="175">
        <v>22</v>
      </c>
      <c r="AN928" s="175">
        <v>1</v>
      </c>
      <c r="AO928" s="175">
        <v>48</v>
      </c>
      <c r="AP928" s="175">
        <v>38</v>
      </c>
      <c r="AQ928" s="175">
        <v>4</v>
      </c>
      <c r="AR928" s="175">
        <v>0</v>
      </c>
      <c r="AS928" s="175">
        <v>16</v>
      </c>
      <c r="AT928" s="175">
        <v>1</v>
      </c>
    </row>
    <row r="929" spans="1:46">
      <c r="A929">
        <v>20131</v>
      </c>
      <c r="B929" t="s">
        <v>6217</v>
      </c>
      <c r="C929" t="s">
        <v>6218</v>
      </c>
      <c r="D929" t="s">
        <v>6219</v>
      </c>
      <c r="E929" t="s">
        <v>6220</v>
      </c>
      <c r="F929" t="s">
        <v>1242</v>
      </c>
      <c r="G929" t="s">
        <v>737</v>
      </c>
      <c r="H929" t="s">
        <v>449</v>
      </c>
      <c r="J929" t="s">
        <v>605</v>
      </c>
      <c r="K929" t="s">
        <v>606</v>
      </c>
      <c r="M929" t="s">
        <v>607</v>
      </c>
      <c r="N929" t="s">
        <v>657</v>
      </c>
      <c r="O929" t="s">
        <v>942</v>
      </c>
      <c r="P929" t="s">
        <v>739</v>
      </c>
      <c r="Q929" t="s">
        <v>467</v>
      </c>
      <c r="R929" t="s">
        <v>793</v>
      </c>
      <c r="S929" t="s">
        <v>943</v>
      </c>
      <c r="T929" t="s">
        <v>794</v>
      </c>
      <c r="U929">
        <v>136200</v>
      </c>
      <c r="V929" t="s">
        <v>6221</v>
      </c>
      <c r="W929" t="s">
        <v>945</v>
      </c>
      <c r="X929" t="s">
        <v>4013</v>
      </c>
      <c r="Y929" t="s">
        <v>4014</v>
      </c>
      <c r="Z929" t="s">
        <v>4015</v>
      </c>
      <c r="AA929" t="s">
        <v>4016</v>
      </c>
      <c r="AB929" t="s">
        <v>4017</v>
      </c>
      <c r="AE929">
        <v>-36.873850140000002</v>
      </c>
      <c r="AF929">
        <v>174.74656995999999</v>
      </c>
      <c r="AG929" s="175">
        <v>56</v>
      </c>
      <c r="AH929" s="175">
        <v>18</v>
      </c>
      <c r="AI929" s="175">
        <v>3</v>
      </c>
      <c r="AJ929" s="175">
        <v>15</v>
      </c>
      <c r="AK929" s="175">
        <v>18</v>
      </c>
      <c r="AL929" s="175">
        <v>13</v>
      </c>
      <c r="AM929" s="175">
        <v>13</v>
      </c>
      <c r="AN929" s="175">
        <v>0</v>
      </c>
      <c r="AO929" s="175">
        <v>62</v>
      </c>
      <c r="AP929" s="175">
        <v>49</v>
      </c>
      <c r="AQ929" s="175">
        <v>2</v>
      </c>
      <c r="AR929" s="175">
        <v>3</v>
      </c>
      <c r="AS929" s="175">
        <v>13</v>
      </c>
      <c r="AT929" s="175">
        <v>14</v>
      </c>
    </row>
    <row r="930" spans="1:46">
      <c r="A930">
        <v>20134</v>
      </c>
      <c r="B930" t="s">
        <v>6222</v>
      </c>
      <c r="C930" t="s">
        <v>6223</v>
      </c>
      <c r="E930" t="s">
        <v>6224</v>
      </c>
      <c r="F930" t="s">
        <v>5242</v>
      </c>
      <c r="G930" t="s">
        <v>737</v>
      </c>
      <c r="H930" t="s">
        <v>449</v>
      </c>
      <c r="J930" t="s">
        <v>605</v>
      </c>
      <c r="K930" t="s">
        <v>606</v>
      </c>
      <c r="M930" t="s">
        <v>607</v>
      </c>
      <c r="N930" t="s">
        <v>657</v>
      </c>
      <c r="O930" t="s">
        <v>889</v>
      </c>
      <c r="P930" t="s">
        <v>739</v>
      </c>
      <c r="Q930" t="s">
        <v>467</v>
      </c>
      <c r="R930" t="s">
        <v>793</v>
      </c>
      <c r="S930" t="s">
        <v>965</v>
      </c>
      <c r="T930" t="s">
        <v>794</v>
      </c>
      <c r="U930">
        <v>141802</v>
      </c>
      <c r="V930" t="s">
        <v>5243</v>
      </c>
      <c r="W930" t="s">
        <v>909</v>
      </c>
      <c r="X930" t="s">
        <v>6225</v>
      </c>
      <c r="Y930" t="s">
        <v>6226</v>
      </c>
      <c r="Z930" t="s">
        <v>6227</v>
      </c>
      <c r="AA930" t="s">
        <v>6228</v>
      </c>
      <c r="AB930" t="s">
        <v>6229</v>
      </c>
      <c r="AE930">
        <v>-36.862974440000002</v>
      </c>
      <c r="AF930">
        <v>174.83858685000001</v>
      </c>
      <c r="AG930" s="175">
        <v>38</v>
      </c>
      <c r="AH930" s="175">
        <v>8</v>
      </c>
      <c r="AI930" s="175">
        <v>0</v>
      </c>
      <c r="AJ930" s="175">
        <v>5</v>
      </c>
      <c r="AK930" s="175">
        <v>6</v>
      </c>
      <c r="AL930" s="175">
        <v>12</v>
      </c>
      <c r="AM930" s="175">
        <v>20</v>
      </c>
      <c r="AN930" s="175">
        <v>1</v>
      </c>
      <c r="AO930" s="175">
        <v>44</v>
      </c>
      <c r="AP930" s="175">
        <v>41</v>
      </c>
      <c r="AQ930" s="175">
        <v>5</v>
      </c>
      <c r="AR930" s="175">
        <v>1</v>
      </c>
      <c r="AS930" s="175">
        <v>6</v>
      </c>
      <c r="AT930" s="175">
        <v>3</v>
      </c>
    </row>
    <row r="931" spans="1:46">
      <c r="A931">
        <v>20135</v>
      </c>
      <c r="B931" t="s">
        <v>6230</v>
      </c>
      <c r="C931" t="s">
        <v>6231</v>
      </c>
      <c r="D931" t="s">
        <v>6232</v>
      </c>
      <c r="E931" t="s">
        <v>6233</v>
      </c>
      <c r="F931" t="s">
        <v>906</v>
      </c>
      <c r="G931" t="s">
        <v>737</v>
      </c>
      <c r="H931" t="s">
        <v>449</v>
      </c>
      <c r="J931" t="s">
        <v>4032</v>
      </c>
      <c r="K931" t="s">
        <v>606</v>
      </c>
      <c r="M931" t="s">
        <v>607</v>
      </c>
      <c r="N931" t="s">
        <v>657</v>
      </c>
      <c r="O931" t="s">
        <v>889</v>
      </c>
      <c r="P931" t="s">
        <v>739</v>
      </c>
      <c r="Q931" t="s">
        <v>467</v>
      </c>
      <c r="R931" t="s">
        <v>793</v>
      </c>
      <c r="S931" t="s">
        <v>907</v>
      </c>
      <c r="T931" t="s">
        <v>794</v>
      </c>
      <c r="U931">
        <v>139400</v>
      </c>
      <c r="V931" t="s">
        <v>4464</v>
      </c>
      <c r="W931" t="s">
        <v>909</v>
      </c>
      <c r="X931" t="s">
        <v>6234</v>
      </c>
      <c r="Y931" t="s">
        <v>6235</v>
      </c>
      <c r="Z931" t="s">
        <v>906</v>
      </c>
      <c r="AA931" t="s">
        <v>4138</v>
      </c>
      <c r="AB931" t="s">
        <v>6236</v>
      </c>
      <c r="AE931">
        <v>-36.865576070000003</v>
      </c>
      <c r="AF931">
        <v>174.78927325000001</v>
      </c>
      <c r="AG931" s="175">
        <v>40</v>
      </c>
      <c r="AH931" s="175">
        <v>0</v>
      </c>
      <c r="AI931" s="175">
        <v>0</v>
      </c>
      <c r="AJ931" s="175">
        <v>0</v>
      </c>
      <c r="AK931" s="175">
        <v>11</v>
      </c>
      <c r="AL931" s="175">
        <v>18</v>
      </c>
      <c r="AM931" s="175">
        <v>12</v>
      </c>
      <c r="AN931" s="175">
        <v>0</v>
      </c>
      <c r="AO931" s="175">
        <v>41</v>
      </c>
      <c r="AP931" s="175">
        <v>22</v>
      </c>
      <c r="AQ931" s="175">
        <v>3</v>
      </c>
      <c r="AR931" s="175">
        <v>1</v>
      </c>
      <c r="AS931" s="175">
        <v>21</v>
      </c>
      <c r="AT931" s="175">
        <v>1</v>
      </c>
    </row>
    <row r="932" spans="1:46">
      <c r="A932">
        <v>20140</v>
      </c>
      <c r="B932" t="s">
        <v>6237</v>
      </c>
      <c r="C932" t="s">
        <v>6238</v>
      </c>
      <c r="D932" t="s">
        <v>6239</v>
      </c>
      <c r="E932" t="s">
        <v>6240</v>
      </c>
      <c r="F932" t="s">
        <v>855</v>
      </c>
      <c r="G932" t="s">
        <v>737</v>
      </c>
      <c r="H932" t="s">
        <v>449</v>
      </c>
      <c r="J932" t="s">
        <v>4032</v>
      </c>
      <c r="K932" t="s">
        <v>606</v>
      </c>
      <c r="M932" t="s">
        <v>607</v>
      </c>
      <c r="N932" t="s">
        <v>657</v>
      </c>
      <c r="O932" t="s">
        <v>803</v>
      </c>
      <c r="P932" t="s">
        <v>739</v>
      </c>
      <c r="Q932" t="s">
        <v>467</v>
      </c>
      <c r="R932" t="s">
        <v>724</v>
      </c>
      <c r="S932" t="s">
        <v>855</v>
      </c>
      <c r="T932" t="s">
        <v>794</v>
      </c>
      <c r="U932">
        <v>134900</v>
      </c>
      <c r="V932" t="s">
        <v>6241</v>
      </c>
      <c r="W932" t="s">
        <v>806</v>
      </c>
      <c r="X932" t="s">
        <v>6242</v>
      </c>
      <c r="Y932" t="s">
        <v>6243</v>
      </c>
      <c r="Z932" t="s">
        <v>4813</v>
      </c>
      <c r="AA932" t="s">
        <v>4387</v>
      </c>
      <c r="AB932" t="s">
        <v>6244</v>
      </c>
      <c r="AC932">
        <v>99062</v>
      </c>
      <c r="AD932" t="s">
        <v>978</v>
      </c>
      <c r="AE932">
        <v>-36.915822060000004</v>
      </c>
      <c r="AF932">
        <v>174.67562523000001</v>
      </c>
      <c r="AG932" s="175">
        <v>25</v>
      </c>
      <c r="AH932" s="175">
        <v>0</v>
      </c>
      <c r="AI932" s="175">
        <v>0</v>
      </c>
      <c r="AJ932" s="175">
        <v>0</v>
      </c>
      <c r="AK932" s="175">
        <v>9</v>
      </c>
      <c r="AL932" s="175">
        <v>13</v>
      </c>
      <c r="AM932" s="175">
        <v>11</v>
      </c>
      <c r="AN932" s="175">
        <v>0</v>
      </c>
      <c r="AO932" s="175">
        <v>33</v>
      </c>
      <c r="AP932" s="175">
        <v>25</v>
      </c>
      <c r="AQ932" s="175">
        <v>2</v>
      </c>
      <c r="AR932" s="175">
        <v>8</v>
      </c>
      <c r="AS932" s="175">
        <v>5</v>
      </c>
      <c r="AT932" s="175">
        <v>1</v>
      </c>
    </row>
    <row r="933" spans="1:46">
      <c r="A933">
        <v>20141</v>
      </c>
      <c r="B933" t="s">
        <v>6245</v>
      </c>
      <c r="C933" t="s">
        <v>6246</v>
      </c>
      <c r="D933" t="s">
        <v>6247</v>
      </c>
      <c r="E933" t="s">
        <v>6248</v>
      </c>
      <c r="G933" t="s">
        <v>752</v>
      </c>
      <c r="H933" t="s">
        <v>449</v>
      </c>
      <c r="I933" t="s">
        <v>6249</v>
      </c>
      <c r="J933" t="s">
        <v>605</v>
      </c>
      <c r="K933" t="s">
        <v>606</v>
      </c>
      <c r="M933" t="s">
        <v>607</v>
      </c>
      <c r="N933" t="s">
        <v>657</v>
      </c>
      <c r="O933" t="s">
        <v>738</v>
      </c>
      <c r="P933" t="s">
        <v>670</v>
      </c>
      <c r="Q933" t="s">
        <v>467</v>
      </c>
      <c r="R933" t="s">
        <v>724</v>
      </c>
      <c r="S933" t="s">
        <v>753</v>
      </c>
      <c r="T933" t="s">
        <v>613</v>
      </c>
      <c r="U933">
        <v>114000</v>
      </c>
      <c r="V933" t="s">
        <v>4202</v>
      </c>
      <c r="W933" t="s">
        <v>742</v>
      </c>
      <c r="X933" t="s">
        <v>6250</v>
      </c>
      <c r="Y933" t="s">
        <v>6251</v>
      </c>
      <c r="AA933" t="s">
        <v>4580</v>
      </c>
      <c r="AC933">
        <v>99210</v>
      </c>
      <c r="AD933" t="s">
        <v>4027</v>
      </c>
      <c r="AE933">
        <v>-36.607269780000003</v>
      </c>
      <c r="AF933">
        <v>174.69842130000001</v>
      </c>
      <c r="AG933" s="175">
        <v>30</v>
      </c>
      <c r="AH933" s="175">
        <v>0</v>
      </c>
      <c r="AI933" s="175">
        <v>0</v>
      </c>
      <c r="AJ933" s="175">
        <v>0</v>
      </c>
      <c r="AK933" s="175">
        <v>7</v>
      </c>
      <c r="AL933" s="175">
        <v>4</v>
      </c>
      <c r="AM933" s="175">
        <v>14</v>
      </c>
      <c r="AN933" s="175">
        <v>1</v>
      </c>
      <c r="AO933" s="175">
        <v>26</v>
      </c>
      <c r="AP933" s="175">
        <v>23</v>
      </c>
      <c r="AQ933" s="175">
        <v>2</v>
      </c>
      <c r="AR933" s="175">
        <v>0</v>
      </c>
      <c r="AS933" s="175">
        <v>4</v>
      </c>
      <c r="AT933" s="175">
        <v>1</v>
      </c>
    </row>
    <row r="934" spans="1:46">
      <c r="A934">
        <v>20142</v>
      </c>
      <c r="B934" t="s">
        <v>6252</v>
      </c>
      <c r="C934" t="s">
        <v>6253</v>
      </c>
      <c r="E934" t="s">
        <v>6254</v>
      </c>
      <c r="F934" t="s">
        <v>897</v>
      </c>
      <c r="G934" t="s">
        <v>737</v>
      </c>
      <c r="H934" t="s">
        <v>449</v>
      </c>
      <c r="J934" t="s">
        <v>605</v>
      </c>
      <c r="K934" t="s">
        <v>606</v>
      </c>
      <c r="M934" t="s">
        <v>607</v>
      </c>
      <c r="N934" t="s">
        <v>643</v>
      </c>
      <c r="O934" t="s">
        <v>898</v>
      </c>
      <c r="P934" t="s">
        <v>739</v>
      </c>
      <c r="Q934" t="s">
        <v>467</v>
      </c>
      <c r="R934" t="s">
        <v>724</v>
      </c>
      <c r="S934" t="s">
        <v>824</v>
      </c>
      <c r="T934" t="s">
        <v>613</v>
      </c>
      <c r="U934">
        <v>121701</v>
      </c>
      <c r="V934" t="s">
        <v>927</v>
      </c>
      <c r="W934" t="s">
        <v>900</v>
      </c>
      <c r="X934" t="s">
        <v>6255</v>
      </c>
      <c r="Y934" t="s">
        <v>6256</v>
      </c>
      <c r="Z934" t="s">
        <v>4995</v>
      </c>
      <c r="AA934" t="s">
        <v>6257</v>
      </c>
      <c r="AB934" t="s">
        <v>6258</v>
      </c>
      <c r="AC934">
        <v>99125</v>
      </c>
      <c r="AD934" t="s">
        <v>901</v>
      </c>
      <c r="AE934">
        <v>-36.837092589999997</v>
      </c>
      <c r="AF934">
        <v>174.60084327000001</v>
      </c>
      <c r="AG934" s="175">
        <v>35</v>
      </c>
      <c r="AH934" s="175">
        <v>0</v>
      </c>
      <c r="AI934" s="175">
        <v>0</v>
      </c>
      <c r="AJ934" s="175">
        <v>0</v>
      </c>
      <c r="AK934" s="175">
        <v>5</v>
      </c>
      <c r="AL934" s="175">
        <v>10</v>
      </c>
      <c r="AM934" s="175">
        <v>14</v>
      </c>
      <c r="AN934" s="175">
        <v>0</v>
      </c>
      <c r="AO934" s="175">
        <v>29</v>
      </c>
      <c r="AP934" s="175">
        <v>5</v>
      </c>
      <c r="AQ934" s="175">
        <v>12</v>
      </c>
      <c r="AR934" s="175">
        <v>9</v>
      </c>
      <c r="AS934" s="175">
        <v>5</v>
      </c>
      <c r="AT934" s="175">
        <v>4</v>
      </c>
    </row>
    <row r="935" spans="1:46">
      <c r="A935">
        <v>20143</v>
      </c>
      <c r="B935" t="s">
        <v>6259</v>
      </c>
      <c r="C935" t="s">
        <v>6260</v>
      </c>
      <c r="E935" t="s">
        <v>6261</v>
      </c>
      <c r="F935" t="s">
        <v>906</v>
      </c>
      <c r="G935" t="s">
        <v>737</v>
      </c>
      <c r="H935" t="s">
        <v>449</v>
      </c>
      <c r="I935" t="s">
        <v>5838</v>
      </c>
      <c r="J935" t="s">
        <v>605</v>
      </c>
      <c r="K935" t="s">
        <v>606</v>
      </c>
      <c r="M935" t="s">
        <v>607</v>
      </c>
      <c r="N935" t="s">
        <v>657</v>
      </c>
      <c r="O935" t="s">
        <v>889</v>
      </c>
      <c r="P935" t="s">
        <v>739</v>
      </c>
      <c r="Q935" t="s">
        <v>467</v>
      </c>
      <c r="R935" t="s">
        <v>793</v>
      </c>
      <c r="S935" t="s">
        <v>965</v>
      </c>
      <c r="T935" t="s">
        <v>794</v>
      </c>
      <c r="U935">
        <v>143100</v>
      </c>
      <c r="V935" t="s">
        <v>6262</v>
      </c>
      <c r="W935" t="s">
        <v>909</v>
      </c>
      <c r="X935" t="s">
        <v>6263</v>
      </c>
      <c r="Y935" t="s">
        <v>6261</v>
      </c>
      <c r="Z935" t="s">
        <v>906</v>
      </c>
      <c r="AA935" t="s">
        <v>4138</v>
      </c>
      <c r="AE935">
        <v>-36.88036623</v>
      </c>
      <c r="AF935">
        <v>174.81593097999999</v>
      </c>
      <c r="AG935" s="175">
        <v>55</v>
      </c>
      <c r="AH935" s="175">
        <v>0</v>
      </c>
      <c r="AI935" s="175">
        <v>0</v>
      </c>
      <c r="AJ935" s="175">
        <v>0</v>
      </c>
      <c r="AK935" s="175">
        <v>11</v>
      </c>
      <c r="AL935" s="175">
        <v>26</v>
      </c>
      <c r="AM935" s="175">
        <v>15</v>
      </c>
      <c r="AN935" s="175">
        <v>1</v>
      </c>
      <c r="AO935" s="175">
        <v>53</v>
      </c>
      <c r="AP935" s="175">
        <v>42</v>
      </c>
      <c r="AQ935" s="175">
        <v>2</v>
      </c>
      <c r="AR935" s="175">
        <v>2</v>
      </c>
      <c r="AS935" s="175">
        <v>18</v>
      </c>
      <c r="AT935" s="175">
        <v>0</v>
      </c>
    </row>
    <row r="936" spans="1:46">
      <c r="A936">
        <v>20144</v>
      </c>
      <c r="B936" t="s">
        <v>6264</v>
      </c>
      <c r="C936" t="s">
        <v>6265</v>
      </c>
      <c r="E936" t="s">
        <v>6266</v>
      </c>
      <c r="F936" t="s">
        <v>906</v>
      </c>
      <c r="G936" t="s">
        <v>737</v>
      </c>
      <c r="H936" t="s">
        <v>449</v>
      </c>
      <c r="I936" t="s">
        <v>4134</v>
      </c>
      <c r="J936" t="s">
        <v>4032</v>
      </c>
      <c r="K936" t="s">
        <v>606</v>
      </c>
      <c r="M936" t="s">
        <v>607</v>
      </c>
      <c r="N936" t="s">
        <v>657</v>
      </c>
      <c r="O936" t="s">
        <v>889</v>
      </c>
      <c r="P936" t="s">
        <v>739</v>
      </c>
      <c r="Q936" t="s">
        <v>467</v>
      </c>
      <c r="R936" t="s">
        <v>793</v>
      </c>
      <c r="S936" t="s">
        <v>907</v>
      </c>
      <c r="T936" t="s">
        <v>794</v>
      </c>
      <c r="U936">
        <v>141000</v>
      </c>
      <c r="V936" t="s">
        <v>908</v>
      </c>
      <c r="W936" t="s">
        <v>909</v>
      </c>
      <c r="X936" t="s">
        <v>6267</v>
      </c>
      <c r="Y936" t="s">
        <v>6268</v>
      </c>
      <c r="Z936" t="s">
        <v>6269</v>
      </c>
      <c r="AA936" t="s">
        <v>4423</v>
      </c>
      <c r="AB936" t="s">
        <v>6270</v>
      </c>
      <c r="AE936">
        <v>-36.881061180000003</v>
      </c>
      <c r="AF936">
        <v>174.79486295999999</v>
      </c>
      <c r="AG936" s="175">
        <v>45</v>
      </c>
      <c r="AH936" s="175">
        <v>0</v>
      </c>
      <c r="AI936" s="175">
        <v>0</v>
      </c>
      <c r="AJ936" s="175">
        <v>0</v>
      </c>
      <c r="AK936" s="175">
        <v>4</v>
      </c>
      <c r="AL936" s="175">
        <v>18</v>
      </c>
      <c r="AM936" s="175">
        <v>21</v>
      </c>
      <c r="AN936" s="175">
        <v>4</v>
      </c>
      <c r="AO936" s="175">
        <v>47</v>
      </c>
      <c r="AP936" s="175">
        <v>20</v>
      </c>
      <c r="AQ936" s="175">
        <v>0</v>
      </c>
      <c r="AR936" s="175">
        <v>0</v>
      </c>
      <c r="AS936" s="175">
        <v>29</v>
      </c>
      <c r="AT936" s="175">
        <v>5</v>
      </c>
    </row>
    <row r="937" spans="1:46">
      <c r="A937">
        <v>20145</v>
      </c>
      <c r="B937" t="s">
        <v>6271</v>
      </c>
      <c r="C937" t="s">
        <v>6272</v>
      </c>
      <c r="D937" t="s">
        <v>6273</v>
      </c>
      <c r="E937" t="s">
        <v>6274</v>
      </c>
      <c r="G937" t="s">
        <v>4256</v>
      </c>
      <c r="H937" t="s">
        <v>449</v>
      </c>
      <c r="J937" t="s">
        <v>4032</v>
      </c>
      <c r="K937" t="s">
        <v>606</v>
      </c>
      <c r="M937" t="s">
        <v>607</v>
      </c>
      <c r="N937" t="s">
        <v>657</v>
      </c>
      <c r="O937" t="s">
        <v>723</v>
      </c>
      <c r="P937" t="s">
        <v>658</v>
      </c>
      <c r="Q937" t="s">
        <v>467</v>
      </c>
      <c r="R937" t="s">
        <v>724</v>
      </c>
      <c r="S937" t="s">
        <v>725</v>
      </c>
      <c r="T937" t="s">
        <v>613</v>
      </c>
      <c r="U937">
        <v>112600</v>
      </c>
      <c r="V937" t="s">
        <v>6275</v>
      </c>
      <c r="W937" t="s">
        <v>726</v>
      </c>
      <c r="X937" t="s">
        <v>6276</v>
      </c>
      <c r="Y937" t="s">
        <v>6277</v>
      </c>
      <c r="AA937" t="s">
        <v>6278</v>
      </c>
      <c r="AB937" t="s">
        <v>6272</v>
      </c>
      <c r="AC937">
        <v>99097</v>
      </c>
      <c r="AD937" t="s">
        <v>6279</v>
      </c>
      <c r="AE937">
        <v>-36.71568139</v>
      </c>
      <c r="AF937">
        <v>174.50598726999999</v>
      </c>
      <c r="AG937" s="175">
        <v>70</v>
      </c>
      <c r="AH937" s="175">
        <v>22</v>
      </c>
      <c r="AI937" s="175">
        <v>1</v>
      </c>
      <c r="AJ937" s="175">
        <v>11</v>
      </c>
      <c r="AK937" s="175">
        <v>31</v>
      </c>
      <c r="AL937" s="175">
        <v>18</v>
      </c>
      <c r="AM937" s="175">
        <v>20</v>
      </c>
      <c r="AN937" s="175">
        <v>0</v>
      </c>
      <c r="AO937" s="175">
        <v>81</v>
      </c>
      <c r="AP937" s="175">
        <v>80</v>
      </c>
      <c r="AQ937" s="175">
        <v>17</v>
      </c>
      <c r="AR937" s="175">
        <v>3</v>
      </c>
      <c r="AS937" s="175">
        <v>4</v>
      </c>
      <c r="AT937" s="175">
        <v>4</v>
      </c>
    </row>
    <row r="938" spans="1:46">
      <c r="A938">
        <v>20146</v>
      </c>
      <c r="B938" t="s">
        <v>6280</v>
      </c>
      <c r="C938" t="s">
        <v>6281</v>
      </c>
      <c r="D938" t="s">
        <v>6282</v>
      </c>
      <c r="E938" t="s">
        <v>6283</v>
      </c>
      <c r="F938" t="s">
        <v>1187</v>
      </c>
      <c r="G938" t="s">
        <v>737</v>
      </c>
      <c r="H938" t="s">
        <v>470</v>
      </c>
      <c r="I938" t="s">
        <v>470</v>
      </c>
      <c r="J938" t="s">
        <v>605</v>
      </c>
      <c r="K938" t="s">
        <v>606</v>
      </c>
      <c r="M938" t="s">
        <v>607</v>
      </c>
      <c r="N938" t="s">
        <v>657</v>
      </c>
      <c r="O938" t="s">
        <v>1042</v>
      </c>
      <c r="P938" t="s">
        <v>739</v>
      </c>
      <c r="Q938" t="s">
        <v>467</v>
      </c>
      <c r="R938" t="s">
        <v>793</v>
      </c>
      <c r="S938" t="s">
        <v>1043</v>
      </c>
      <c r="T938" t="s">
        <v>794</v>
      </c>
      <c r="U938">
        <v>131200</v>
      </c>
      <c r="V938" t="s">
        <v>1188</v>
      </c>
      <c r="W938" t="s">
        <v>1044</v>
      </c>
      <c r="X938" t="s">
        <v>6284</v>
      </c>
      <c r="Y938" t="s">
        <v>6285</v>
      </c>
      <c r="Z938" t="s">
        <v>1231</v>
      </c>
      <c r="AA938" t="s">
        <v>4481</v>
      </c>
      <c r="AB938" t="s">
        <v>6281</v>
      </c>
      <c r="AE938">
        <v>-36.85619269</v>
      </c>
      <c r="AF938">
        <v>174.73975082999999</v>
      </c>
      <c r="AG938" s="175">
        <v>30</v>
      </c>
      <c r="AH938" s="175">
        <v>0</v>
      </c>
      <c r="AI938" s="175">
        <v>0</v>
      </c>
      <c r="AJ938" s="175">
        <v>0</v>
      </c>
      <c r="AK938" s="175">
        <v>10</v>
      </c>
      <c r="AL938" s="175">
        <v>2</v>
      </c>
      <c r="AM938" s="175">
        <v>16</v>
      </c>
      <c r="AN938" s="175">
        <v>1</v>
      </c>
      <c r="AO938" s="175">
        <v>29</v>
      </c>
      <c r="AP938" s="175">
        <v>0</v>
      </c>
      <c r="AQ938" s="175">
        <v>29</v>
      </c>
      <c r="AR938" s="175">
        <v>2</v>
      </c>
      <c r="AS938" s="175">
        <v>0</v>
      </c>
      <c r="AT938" s="175">
        <v>1</v>
      </c>
    </row>
    <row r="939" spans="1:46">
      <c r="A939">
        <v>20148</v>
      </c>
      <c r="B939" t="s">
        <v>6286</v>
      </c>
      <c r="C939" t="s">
        <v>6287</v>
      </c>
      <c r="D939" t="s">
        <v>6288</v>
      </c>
      <c r="E939" t="s">
        <v>6289</v>
      </c>
      <c r="F939" t="s">
        <v>1268</v>
      </c>
      <c r="G939" t="s">
        <v>737</v>
      </c>
      <c r="H939" t="s">
        <v>449</v>
      </c>
      <c r="J939" t="s">
        <v>605</v>
      </c>
      <c r="K939" t="s">
        <v>606</v>
      </c>
      <c r="M939" t="s">
        <v>607</v>
      </c>
      <c r="N939" t="s">
        <v>657</v>
      </c>
      <c r="O939" t="s">
        <v>898</v>
      </c>
      <c r="P939" t="s">
        <v>739</v>
      </c>
      <c r="Q939" t="s">
        <v>467</v>
      </c>
      <c r="R939" t="s">
        <v>724</v>
      </c>
      <c r="S939" t="s">
        <v>984</v>
      </c>
      <c r="T939" t="s">
        <v>613</v>
      </c>
      <c r="U939">
        <v>124800</v>
      </c>
      <c r="V939" t="s">
        <v>6290</v>
      </c>
      <c r="W939" t="s">
        <v>900</v>
      </c>
      <c r="X939" t="s">
        <v>6291</v>
      </c>
      <c r="Y939" t="s">
        <v>6289</v>
      </c>
      <c r="Z939" t="s">
        <v>1268</v>
      </c>
      <c r="AA939" t="s">
        <v>4374</v>
      </c>
      <c r="AC939">
        <v>99013</v>
      </c>
      <c r="AD939" t="s">
        <v>1276</v>
      </c>
      <c r="AE939">
        <v>-36.850857050000002</v>
      </c>
      <c r="AF939">
        <v>174.64637411000001</v>
      </c>
      <c r="AG939" s="175">
        <v>40</v>
      </c>
      <c r="AH939" s="175">
        <v>10</v>
      </c>
      <c r="AI939" s="175">
        <v>1</v>
      </c>
      <c r="AJ939" s="175">
        <v>9</v>
      </c>
      <c r="AK939" s="175">
        <v>12</v>
      </c>
      <c r="AL939" s="175">
        <v>12</v>
      </c>
      <c r="AM939" s="175">
        <v>12</v>
      </c>
      <c r="AN939" s="175">
        <v>0</v>
      </c>
      <c r="AO939" s="175">
        <v>46</v>
      </c>
      <c r="AP939" s="175">
        <v>37</v>
      </c>
      <c r="AQ939" s="175">
        <v>13</v>
      </c>
      <c r="AR939" s="175">
        <v>10</v>
      </c>
      <c r="AS939" s="175">
        <v>9</v>
      </c>
      <c r="AT939" s="175">
        <v>6</v>
      </c>
    </row>
    <row r="940" spans="1:46">
      <c r="A940">
        <v>20152</v>
      </c>
      <c r="B940" t="s">
        <v>6292</v>
      </c>
      <c r="C940" t="s">
        <v>6293</v>
      </c>
      <c r="D940" t="s">
        <v>6294</v>
      </c>
      <c r="E940" t="s">
        <v>6295</v>
      </c>
      <c r="F940" t="s">
        <v>897</v>
      </c>
      <c r="G940" t="s">
        <v>737</v>
      </c>
      <c r="H940" t="s">
        <v>449</v>
      </c>
      <c r="I940" t="s">
        <v>6296</v>
      </c>
      <c r="J940" t="s">
        <v>605</v>
      </c>
      <c r="K940" t="s">
        <v>606</v>
      </c>
      <c r="M940" t="s">
        <v>607</v>
      </c>
      <c r="N940" t="s">
        <v>657</v>
      </c>
      <c r="O940" t="s">
        <v>898</v>
      </c>
      <c r="P940" t="s">
        <v>739</v>
      </c>
      <c r="Q940" t="s">
        <v>467</v>
      </c>
      <c r="R940" t="s">
        <v>724</v>
      </c>
      <c r="S940" t="s">
        <v>824</v>
      </c>
      <c r="T940" t="s">
        <v>613</v>
      </c>
      <c r="U940">
        <v>121701</v>
      </c>
      <c r="V940" t="s">
        <v>927</v>
      </c>
      <c r="W940" t="s">
        <v>900</v>
      </c>
      <c r="X940" t="s">
        <v>6297</v>
      </c>
      <c r="Y940" t="s">
        <v>6298</v>
      </c>
      <c r="Z940" t="s">
        <v>897</v>
      </c>
      <c r="AA940" t="s">
        <v>4045</v>
      </c>
      <c r="AB940" t="s">
        <v>6299</v>
      </c>
      <c r="AC940">
        <v>99125</v>
      </c>
      <c r="AD940" t="s">
        <v>901</v>
      </c>
      <c r="AE940">
        <v>-36.845257410000002</v>
      </c>
      <c r="AF940">
        <v>174.61212355999999</v>
      </c>
      <c r="AG940" s="175">
        <v>50</v>
      </c>
      <c r="AH940" s="175">
        <v>0</v>
      </c>
      <c r="AI940" s="175">
        <v>0</v>
      </c>
      <c r="AJ940" s="175">
        <v>0</v>
      </c>
      <c r="AK940" s="175">
        <v>0</v>
      </c>
      <c r="AL940" s="175">
        <v>18</v>
      </c>
      <c r="AM940" s="175">
        <v>16</v>
      </c>
      <c r="AN940" s="175">
        <v>3</v>
      </c>
      <c r="AO940" s="175">
        <v>37</v>
      </c>
      <c r="AP940" s="175">
        <v>7</v>
      </c>
      <c r="AQ940" s="175">
        <v>6</v>
      </c>
      <c r="AR940" s="175">
        <v>11</v>
      </c>
      <c r="AS940" s="175">
        <v>16</v>
      </c>
      <c r="AT940" s="175">
        <v>3</v>
      </c>
    </row>
    <row r="941" spans="1:46">
      <c r="A941">
        <v>20153</v>
      </c>
      <c r="B941" t="s">
        <v>6300</v>
      </c>
      <c r="C941" t="s">
        <v>6301</v>
      </c>
      <c r="D941" t="s">
        <v>6302</v>
      </c>
      <c r="E941" t="s">
        <v>6303</v>
      </c>
      <c r="F941" t="s">
        <v>906</v>
      </c>
      <c r="G941" t="s">
        <v>737</v>
      </c>
      <c r="H941" t="s">
        <v>449</v>
      </c>
      <c r="J941" t="s">
        <v>4032</v>
      </c>
      <c r="K941" t="s">
        <v>606</v>
      </c>
      <c r="M941" t="s">
        <v>607</v>
      </c>
      <c r="N941" t="s">
        <v>657</v>
      </c>
      <c r="O941" t="s">
        <v>889</v>
      </c>
      <c r="P941" t="s">
        <v>739</v>
      </c>
      <c r="Q941" t="s">
        <v>467</v>
      </c>
      <c r="R941" t="s">
        <v>793</v>
      </c>
      <c r="S941" t="s">
        <v>907</v>
      </c>
      <c r="T941" t="s">
        <v>794</v>
      </c>
      <c r="U941">
        <v>139400</v>
      </c>
      <c r="V941" t="s">
        <v>4464</v>
      </c>
      <c r="W941" t="s">
        <v>909</v>
      </c>
      <c r="X941" t="s">
        <v>6304</v>
      </c>
      <c r="Y941" t="s">
        <v>6305</v>
      </c>
      <c r="Z941" t="s">
        <v>4495</v>
      </c>
      <c r="AA941" t="s">
        <v>4498</v>
      </c>
      <c r="AB941" t="s">
        <v>6306</v>
      </c>
      <c r="AE941">
        <v>-36.874563160000001</v>
      </c>
      <c r="AF941">
        <v>174.78435063000001</v>
      </c>
      <c r="AG941" s="175">
        <v>40</v>
      </c>
      <c r="AH941" s="175">
        <v>0</v>
      </c>
      <c r="AI941" s="175">
        <v>0</v>
      </c>
      <c r="AJ941" s="175">
        <v>0</v>
      </c>
      <c r="AK941" s="175">
        <v>15</v>
      </c>
      <c r="AL941" s="175">
        <v>19</v>
      </c>
      <c r="AM941" s="175">
        <v>13</v>
      </c>
      <c r="AN941" s="175">
        <v>1</v>
      </c>
      <c r="AO941" s="175">
        <v>48</v>
      </c>
      <c r="AP941" s="175">
        <v>38</v>
      </c>
      <c r="AQ941" s="175">
        <v>3</v>
      </c>
      <c r="AR941" s="175">
        <v>2</v>
      </c>
      <c r="AS941" s="175">
        <v>13</v>
      </c>
      <c r="AT941" s="175">
        <v>1</v>
      </c>
    </row>
    <row r="942" spans="1:46">
      <c r="A942">
        <v>20156</v>
      </c>
      <c r="B942" t="s">
        <v>6307</v>
      </c>
      <c r="C942" t="s">
        <v>6308</v>
      </c>
      <c r="D942" t="s">
        <v>6309</v>
      </c>
      <c r="E942" t="s">
        <v>6310</v>
      </c>
      <c r="F942" t="s">
        <v>957</v>
      </c>
      <c r="G942" t="s">
        <v>737</v>
      </c>
      <c r="H942" t="s">
        <v>449</v>
      </c>
      <c r="J942" t="s">
        <v>4032</v>
      </c>
      <c r="K942" t="s">
        <v>606</v>
      </c>
      <c r="M942" t="s">
        <v>607</v>
      </c>
      <c r="N942" t="s">
        <v>657</v>
      </c>
      <c r="O942" t="s">
        <v>958</v>
      </c>
      <c r="P942" t="s">
        <v>739</v>
      </c>
      <c r="Q942" t="s">
        <v>467</v>
      </c>
      <c r="R942" t="s">
        <v>724</v>
      </c>
      <c r="S942" t="s">
        <v>804</v>
      </c>
      <c r="T942" t="s">
        <v>794</v>
      </c>
      <c r="U942">
        <v>131500</v>
      </c>
      <c r="V942" t="s">
        <v>6311</v>
      </c>
      <c r="W942" t="s">
        <v>900</v>
      </c>
      <c r="X942" t="s">
        <v>6312</v>
      </c>
      <c r="Y942" t="s">
        <v>6313</v>
      </c>
      <c r="Z942" t="s">
        <v>957</v>
      </c>
      <c r="AA942" t="s">
        <v>6314</v>
      </c>
      <c r="AE942">
        <v>-36.911906799999997</v>
      </c>
      <c r="AF942">
        <v>174.65368179999999</v>
      </c>
      <c r="AG942" s="175">
        <v>140</v>
      </c>
      <c r="AH942" s="175">
        <v>40</v>
      </c>
      <c r="AI942" s="175">
        <v>6</v>
      </c>
      <c r="AJ942" s="175">
        <v>35</v>
      </c>
      <c r="AK942" s="175">
        <v>40</v>
      </c>
      <c r="AL942" s="175">
        <v>35</v>
      </c>
      <c r="AM942" s="175">
        <v>33</v>
      </c>
      <c r="AN942" s="175">
        <v>1</v>
      </c>
      <c r="AO942" s="175">
        <v>150</v>
      </c>
      <c r="AP942" s="175">
        <v>119</v>
      </c>
      <c r="AQ942" s="175">
        <v>19</v>
      </c>
      <c r="AR942" s="175">
        <v>11</v>
      </c>
      <c r="AS942" s="175">
        <v>30</v>
      </c>
      <c r="AT942" s="175">
        <v>15</v>
      </c>
    </row>
    <row r="943" spans="1:46">
      <c r="A943">
        <v>20158</v>
      </c>
      <c r="B943" t="s">
        <v>6315</v>
      </c>
      <c r="C943" t="s">
        <v>6316</v>
      </c>
      <c r="E943" t="s">
        <v>6317</v>
      </c>
      <c r="F943" t="s">
        <v>848</v>
      </c>
      <c r="G943" t="s">
        <v>737</v>
      </c>
      <c r="H943" t="s">
        <v>449</v>
      </c>
      <c r="J943" t="s">
        <v>4032</v>
      </c>
      <c r="K943" t="s">
        <v>606</v>
      </c>
      <c r="M943" t="s">
        <v>607</v>
      </c>
      <c r="N943" t="s">
        <v>657</v>
      </c>
      <c r="O943" t="s">
        <v>823</v>
      </c>
      <c r="P943" t="s">
        <v>739</v>
      </c>
      <c r="Q943" t="s">
        <v>467</v>
      </c>
      <c r="R943" t="s">
        <v>724</v>
      </c>
      <c r="S943" t="s">
        <v>841</v>
      </c>
      <c r="T943" t="s">
        <v>613</v>
      </c>
      <c r="U943">
        <v>125202</v>
      </c>
      <c r="V943" t="s">
        <v>5962</v>
      </c>
      <c r="W943" t="s">
        <v>826</v>
      </c>
      <c r="X943" t="s">
        <v>6318</v>
      </c>
      <c r="Y943" t="s">
        <v>4725</v>
      </c>
      <c r="Z943" t="s">
        <v>1043</v>
      </c>
      <c r="AA943" t="s">
        <v>4726</v>
      </c>
      <c r="AE943">
        <v>-36.80490331</v>
      </c>
      <c r="AF943">
        <v>174.71596840999999</v>
      </c>
      <c r="AG943" s="175">
        <v>60</v>
      </c>
      <c r="AH943" s="175">
        <v>16</v>
      </c>
      <c r="AI943" s="175">
        <v>3</v>
      </c>
      <c r="AJ943" s="175">
        <v>10</v>
      </c>
      <c r="AK943" s="175">
        <v>17</v>
      </c>
      <c r="AL943" s="175">
        <v>12</v>
      </c>
      <c r="AM943" s="175">
        <v>8</v>
      </c>
      <c r="AN943" s="175">
        <v>0</v>
      </c>
      <c r="AO943" s="175">
        <v>50</v>
      </c>
      <c r="AP943" s="175">
        <v>31</v>
      </c>
      <c r="AQ943" s="175">
        <v>4</v>
      </c>
      <c r="AR943" s="175">
        <v>1</v>
      </c>
      <c r="AS943" s="175">
        <v>17</v>
      </c>
      <c r="AT943" s="175">
        <v>5</v>
      </c>
    </row>
    <row r="944" spans="1:46">
      <c r="A944">
        <v>20159</v>
      </c>
      <c r="B944" t="s">
        <v>6319</v>
      </c>
      <c r="C944" t="s">
        <v>6320</v>
      </c>
      <c r="D944" t="s">
        <v>6321</v>
      </c>
      <c r="E944" t="s">
        <v>6322</v>
      </c>
      <c r="F944" t="s">
        <v>906</v>
      </c>
      <c r="G944" t="s">
        <v>737</v>
      </c>
      <c r="H944" t="s">
        <v>449</v>
      </c>
      <c r="J944" t="s">
        <v>605</v>
      </c>
      <c r="K944" t="s">
        <v>606</v>
      </c>
      <c r="M944" t="s">
        <v>607</v>
      </c>
      <c r="N944" t="s">
        <v>657</v>
      </c>
      <c r="O944" t="s">
        <v>889</v>
      </c>
      <c r="P944" t="s">
        <v>739</v>
      </c>
      <c r="Q944" t="s">
        <v>467</v>
      </c>
      <c r="R944" t="s">
        <v>793</v>
      </c>
      <c r="S944" t="s">
        <v>907</v>
      </c>
      <c r="T944" t="s">
        <v>794</v>
      </c>
      <c r="U944">
        <v>141000</v>
      </c>
      <c r="V944" t="s">
        <v>908</v>
      </c>
      <c r="W944" t="s">
        <v>909</v>
      </c>
      <c r="X944" t="s">
        <v>4013</v>
      </c>
      <c r="Y944" t="s">
        <v>4014</v>
      </c>
      <c r="Z944" t="s">
        <v>4015</v>
      </c>
      <c r="AA944" t="s">
        <v>4016</v>
      </c>
      <c r="AB944" t="s">
        <v>4017</v>
      </c>
      <c r="AE944">
        <v>-36.884441150000001</v>
      </c>
      <c r="AF944">
        <v>174.80208213</v>
      </c>
      <c r="AG944" s="175">
        <v>50</v>
      </c>
      <c r="AH944" s="175">
        <v>16</v>
      </c>
      <c r="AI944" s="175">
        <v>1</v>
      </c>
      <c r="AJ944" s="175">
        <v>5</v>
      </c>
      <c r="AK944" s="175">
        <v>13</v>
      </c>
      <c r="AL944" s="175">
        <v>12</v>
      </c>
      <c r="AM944" s="175">
        <v>12</v>
      </c>
      <c r="AN944" s="175">
        <v>1</v>
      </c>
      <c r="AO944" s="175">
        <v>44</v>
      </c>
      <c r="AP944" s="175">
        <v>28</v>
      </c>
      <c r="AQ944" s="175">
        <v>3</v>
      </c>
      <c r="AR944" s="175">
        <v>0</v>
      </c>
      <c r="AS944" s="175">
        <v>15</v>
      </c>
      <c r="AT944" s="175">
        <v>6</v>
      </c>
    </row>
    <row r="945" spans="1:46">
      <c r="A945">
        <v>20162</v>
      </c>
      <c r="B945" t="s">
        <v>6323</v>
      </c>
      <c r="C945" t="s">
        <v>6324</v>
      </c>
      <c r="D945" t="s">
        <v>6325</v>
      </c>
      <c r="E945" t="s">
        <v>6326</v>
      </c>
      <c r="F945" t="s">
        <v>822</v>
      </c>
      <c r="G945" t="s">
        <v>737</v>
      </c>
      <c r="H945" t="s">
        <v>449</v>
      </c>
      <c r="J945" t="s">
        <v>4032</v>
      </c>
      <c r="K945" t="s">
        <v>606</v>
      </c>
      <c r="M945" t="s">
        <v>607</v>
      </c>
      <c r="N945" t="s">
        <v>657</v>
      </c>
      <c r="O945" t="s">
        <v>833</v>
      </c>
      <c r="P945" t="s">
        <v>739</v>
      </c>
      <c r="Q945" t="s">
        <v>467</v>
      </c>
      <c r="R945" t="s">
        <v>724</v>
      </c>
      <c r="S945" t="s">
        <v>767</v>
      </c>
      <c r="T945" t="s">
        <v>613</v>
      </c>
      <c r="U945">
        <v>121300</v>
      </c>
      <c r="V945" t="s">
        <v>870</v>
      </c>
      <c r="W945" t="s">
        <v>826</v>
      </c>
      <c r="X945" t="s">
        <v>6327</v>
      </c>
      <c r="Y945" t="s">
        <v>6328</v>
      </c>
      <c r="Z945" t="s">
        <v>964</v>
      </c>
      <c r="AA945" t="s">
        <v>4840</v>
      </c>
      <c r="AB945" t="s">
        <v>6329</v>
      </c>
      <c r="AE945">
        <v>-36.754507920000002</v>
      </c>
      <c r="AF945">
        <v>174.74021805999999</v>
      </c>
      <c r="AG945" s="175">
        <v>35</v>
      </c>
      <c r="AH945" s="175">
        <v>0</v>
      </c>
      <c r="AI945" s="175">
        <v>0</v>
      </c>
      <c r="AJ945" s="175">
        <v>0</v>
      </c>
      <c r="AK945" s="175">
        <v>0</v>
      </c>
      <c r="AL945" s="175">
        <v>3</v>
      </c>
      <c r="AM945" s="175">
        <v>22</v>
      </c>
      <c r="AN945" s="175">
        <v>0</v>
      </c>
      <c r="AO945" s="175">
        <v>25</v>
      </c>
      <c r="AP945" s="175">
        <v>2</v>
      </c>
      <c r="AQ945" s="175">
        <v>0</v>
      </c>
      <c r="AR945" s="175">
        <v>0</v>
      </c>
      <c r="AS945" s="175">
        <v>21</v>
      </c>
      <c r="AT945" s="175">
        <v>3</v>
      </c>
    </row>
    <row r="946" spans="1:46">
      <c r="A946">
        <v>20165</v>
      </c>
      <c r="B946" t="s">
        <v>6330</v>
      </c>
      <c r="C946" t="s">
        <v>6331</v>
      </c>
      <c r="E946" t="s">
        <v>6332</v>
      </c>
      <c r="F946" t="s">
        <v>3777</v>
      </c>
      <c r="G946" t="s">
        <v>737</v>
      </c>
      <c r="H946" t="s">
        <v>450</v>
      </c>
      <c r="J946" t="s">
        <v>4032</v>
      </c>
      <c r="K946" t="s">
        <v>606</v>
      </c>
      <c r="M946" t="s">
        <v>607</v>
      </c>
      <c r="N946" t="s">
        <v>657</v>
      </c>
      <c r="O946" t="s">
        <v>1253</v>
      </c>
      <c r="P946" t="s">
        <v>739</v>
      </c>
      <c r="Q946" t="s">
        <v>467</v>
      </c>
      <c r="R946" t="s">
        <v>724</v>
      </c>
      <c r="S946" t="s">
        <v>740</v>
      </c>
      <c r="T946" t="s">
        <v>613</v>
      </c>
      <c r="U946">
        <v>117300</v>
      </c>
      <c r="V946" t="s">
        <v>5769</v>
      </c>
      <c r="W946" t="s">
        <v>742</v>
      </c>
      <c r="X946" t="s">
        <v>6333</v>
      </c>
      <c r="Y946" t="s">
        <v>6334</v>
      </c>
      <c r="Z946" t="s">
        <v>3777</v>
      </c>
      <c r="AA946" t="s">
        <v>6335</v>
      </c>
      <c r="AB946" t="s">
        <v>6336</v>
      </c>
      <c r="AC946">
        <v>99095</v>
      </c>
      <c r="AD946" t="s">
        <v>786</v>
      </c>
      <c r="AE946">
        <v>-36.733572909999999</v>
      </c>
      <c r="AF946">
        <v>174.71022905000001</v>
      </c>
      <c r="AG946" s="175">
        <v>60</v>
      </c>
      <c r="AH946" s="175">
        <v>60</v>
      </c>
      <c r="AI946" s="175">
        <v>8</v>
      </c>
      <c r="AJ946" s="175">
        <v>7</v>
      </c>
      <c r="AK946" s="175">
        <v>6</v>
      </c>
      <c r="AL946" s="175">
        <v>12</v>
      </c>
      <c r="AM946" s="175">
        <v>6</v>
      </c>
      <c r="AN946" s="175">
        <v>1</v>
      </c>
      <c r="AO946" s="175">
        <v>40</v>
      </c>
      <c r="AP946" s="175">
        <v>9</v>
      </c>
      <c r="AQ946" s="175">
        <v>0</v>
      </c>
      <c r="AR946" s="175">
        <v>28</v>
      </c>
      <c r="AS946" s="175">
        <v>3</v>
      </c>
      <c r="AT946" s="175">
        <v>5</v>
      </c>
    </row>
    <row r="947" spans="1:46">
      <c r="A947">
        <v>20167</v>
      </c>
      <c r="B947" t="s">
        <v>6337</v>
      </c>
      <c r="C947" t="s">
        <v>6338</v>
      </c>
      <c r="D947" t="s">
        <v>6339</v>
      </c>
      <c r="E947" t="s">
        <v>6340</v>
      </c>
      <c r="F947" t="s">
        <v>802</v>
      </c>
      <c r="G947" t="s">
        <v>737</v>
      </c>
      <c r="H947" t="s">
        <v>449</v>
      </c>
      <c r="J947" t="s">
        <v>4032</v>
      </c>
      <c r="K947" t="s">
        <v>606</v>
      </c>
      <c r="M947" t="s">
        <v>607</v>
      </c>
      <c r="N947" t="s">
        <v>657</v>
      </c>
      <c r="O947" t="s">
        <v>803</v>
      </c>
      <c r="P947" t="s">
        <v>739</v>
      </c>
      <c r="Q947" t="s">
        <v>467</v>
      </c>
      <c r="R947" t="s">
        <v>793</v>
      </c>
      <c r="S947" t="s">
        <v>855</v>
      </c>
      <c r="T947" t="s">
        <v>794</v>
      </c>
      <c r="U947">
        <v>132002</v>
      </c>
      <c r="V947" t="s">
        <v>6341</v>
      </c>
      <c r="W947" t="s">
        <v>806</v>
      </c>
      <c r="X947" t="s">
        <v>6342</v>
      </c>
      <c r="Y947" t="s">
        <v>6343</v>
      </c>
      <c r="Z947" t="s">
        <v>907</v>
      </c>
      <c r="AA947" t="s">
        <v>4449</v>
      </c>
      <c r="AE947">
        <v>-36.888279420000003</v>
      </c>
      <c r="AF947">
        <v>174.70082807</v>
      </c>
      <c r="AG947" s="175">
        <v>50</v>
      </c>
      <c r="AH947" s="175">
        <v>16</v>
      </c>
      <c r="AI947" s="175">
        <v>3</v>
      </c>
      <c r="AJ947" s="175">
        <v>13</v>
      </c>
      <c r="AK947" s="175">
        <v>17</v>
      </c>
      <c r="AL947" s="175">
        <v>14</v>
      </c>
      <c r="AM947" s="175">
        <v>12</v>
      </c>
      <c r="AN947" s="175">
        <v>0</v>
      </c>
      <c r="AO947" s="175">
        <v>59</v>
      </c>
      <c r="AP947" s="175">
        <v>51</v>
      </c>
      <c r="AQ947" s="175">
        <v>6</v>
      </c>
      <c r="AR947" s="175">
        <v>4</v>
      </c>
      <c r="AS947" s="175">
        <v>13</v>
      </c>
      <c r="AT947" s="175">
        <v>1</v>
      </c>
    </row>
    <row r="948" spans="1:46">
      <c r="A948">
        <v>20169</v>
      </c>
      <c r="B948" t="s">
        <v>6344</v>
      </c>
      <c r="C948" t="s">
        <v>6345</v>
      </c>
      <c r="D948" t="s">
        <v>6346</v>
      </c>
      <c r="E948" t="s">
        <v>6347</v>
      </c>
      <c r="F948" t="s">
        <v>822</v>
      </c>
      <c r="G948" t="s">
        <v>737</v>
      </c>
      <c r="H948" t="s">
        <v>449</v>
      </c>
      <c r="J948" t="s">
        <v>4032</v>
      </c>
      <c r="K948" t="s">
        <v>606</v>
      </c>
      <c r="M948" t="s">
        <v>607</v>
      </c>
      <c r="N948" t="s">
        <v>657</v>
      </c>
      <c r="O948" t="s">
        <v>823</v>
      </c>
      <c r="P948" t="s">
        <v>739</v>
      </c>
      <c r="Q948" t="s">
        <v>467</v>
      </c>
      <c r="R948" t="s">
        <v>724</v>
      </c>
      <c r="S948" t="s">
        <v>824</v>
      </c>
      <c r="T948" t="s">
        <v>613</v>
      </c>
      <c r="U948">
        <v>121001</v>
      </c>
      <c r="V948" t="s">
        <v>6348</v>
      </c>
      <c r="W948" t="s">
        <v>826</v>
      </c>
      <c r="X948" t="s">
        <v>6349</v>
      </c>
      <c r="Y948" t="s">
        <v>6350</v>
      </c>
      <c r="Z948" t="s">
        <v>822</v>
      </c>
      <c r="AA948" t="s">
        <v>4604</v>
      </c>
      <c r="AE948">
        <v>-36.768935810000002</v>
      </c>
      <c r="AF948">
        <v>174.71978178000001</v>
      </c>
      <c r="AG948" s="175">
        <v>50</v>
      </c>
      <c r="AH948" s="175">
        <v>12</v>
      </c>
      <c r="AI948" s="175">
        <v>1</v>
      </c>
      <c r="AJ948" s="175">
        <v>3</v>
      </c>
      <c r="AK948" s="175">
        <v>7</v>
      </c>
      <c r="AL948" s="175">
        <v>7</v>
      </c>
      <c r="AM948" s="175">
        <v>8</v>
      </c>
      <c r="AN948" s="175">
        <v>0</v>
      </c>
      <c r="AO948" s="175">
        <v>26</v>
      </c>
      <c r="AP948" s="175">
        <v>16</v>
      </c>
      <c r="AQ948" s="175">
        <v>7</v>
      </c>
      <c r="AR948" s="175">
        <v>2</v>
      </c>
      <c r="AS948" s="175">
        <v>9</v>
      </c>
      <c r="AT948" s="175">
        <v>0</v>
      </c>
    </row>
    <row r="949" spans="1:46">
      <c r="A949">
        <v>20172</v>
      </c>
      <c r="B949" t="s">
        <v>6351</v>
      </c>
      <c r="C949" t="s">
        <v>6352</v>
      </c>
      <c r="D949" t="s">
        <v>6353</v>
      </c>
      <c r="E949" t="s">
        <v>6354</v>
      </c>
      <c r="F949" t="s">
        <v>855</v>
      </c>
      <c r="G949" t="s">
        <v>737</v>
      </c>
      <c r="H949" t="s">
        <v>449</v>
      </c>
      <c r="J949" t="s">
        <v>4032</v>
      </c>
      <c r="K949" t="s">
        <v>606</v>
      </c>
      <c r="M949" t="s">
        <v>607</v>
      </c>
      <c r="N949" t="s">
        <v>657</v>
      </c>
      <c r="O949" t="s">
        <v>803</v>
      </c>
      <c r="P949" t="s">
        <v>739</v>
      </c>
      <c r="Q949" t="s">
        <v>467</v>
      </c>
      <c r="R949" t="s">
        <v>724</v>
      </c>
      <c r="S949" t="s">
        <v>855</v>
      </c>
      <c r="T949" t="s">
        <v>794</v>
      </c>
      <c r="U949">
        <v>134900</v>
      </c>
      <c r="V949" t="s">
        <v>6241</v>
      </c>
      <c r="W949" t="s">
        <v>806</v>
      </c>
      <c r="X949" t="s">
        <v>6355</v>
      </c>
      <c r="Y949" t="s">
        <v>6354</v>
      </c>
      <c r="Z949" t="s">
        <v>855</v>
      </c>
      <c r="AA949" t="s">
        <v>4400</v>
      </c>
      <c r="AE949">
        <v>-36.913312779999998</v>
      </c>
      <c r="AF949">
        <v>174.67423747999999</v>
      </c>
      <c r="AG949" s="175">
        <v>40</v>
      </c>
      <c r="AH949" s="175">
        <v>18</v>
      </c>
      <c r="AI949" s="175">
        <v>0</v>
      </c>
      <c r="AJ949" s="175">
        <v>6</v>
      </c>
      <c r="AK949" s="175">
        <v>13</v>
      </c>
      <c r="AL949" s="175">
        <v>8</v>
      </c>
      <c r="AM949" s="175">
        <v>15</v>
      </c>
      <c r="AN949" s="175">
        <v>0</v>
      </c>
      <c r="AO949" s="175">
        <v>42</v>
      </c>
      <c r="AP949" s="175">
        <v>16</v>
      </c>
      <c r="AQ949" s="175">
        <v>8</v>
      </c>
      <c r="AR949" s="175">
        <v>5</v>
      </c>
      <c r="AS949" s="175">
        <v>21</v>
      </c>
      <c r="AT949" s="175">
        <v>3</v>
      </c>
    </row>
    <row r="950" spans="1:46">
      <c r="A950">
        <v>20173</v>
      </c>
      <c r="B950" t="s">
        <v>6356</v>
      </c>
      <c r="C950" t="s">
        <v>6357</v>
      </c>
      <c r="D950" t="s">
        <v>6358</v>
      </c>
      <c r="E950" t="s">
        <v>6359</v>
      </c>
      <c r="F950" t="s">
        <v>736</v>
      </c>
      <c r="G950" t="s">
        <v>737</v>
      </c>
      <c r="H950" t="s">
        <v>449</v>
      </c>
      <c r="I950" t="s">
        <v>4134</v>
      </c>
      <c r="J950" t="s">
        <v>605</v>
      </c>
      <c r="K950" t="s">
        <v>606</v>
      </c>
      <c r="M950" t="s">
        <v>607</v>
      </c>
      <c r="N950" t="s">
        <v>657</v>
      </c>
      <c r="O950" t="s">
        <v>738</v>
      </c>
      <c r="P950" t="s">
        <v>739</v>
      </c>
      <c r="Q950" t="s">
        <v>467</v>
      </c>
      <c r="R950" t="s">
        <v>724</v>
      </c>
      <c r="S950" t="s">
        <v>740</v>
      </c>
      <c r="T950" t="s">
        <v>613</v>
      </c>
      <c r="U950">
        <v>117500</v>
      </c>
      <c r="V950" t="s">
        <v>741</v>
      </c>
      <c r="W950" t="s">
        <v>742</v>
      </c>
      <c r="X950" t="s">
        <v>6360</v>
      </c>
      <c r="Y950" t="s">
        <v>6361</v>
      </c>
      <c r="Z950" t="s">
        <v>736</v>
      </c>
      <c r="AA950" t="s">
        <v>6362</v>
      </c>
      <c r="AB950" t="s">
        <v>6357</v>
      </c>
      <c r="AE950">
        <v>-36.699550180000003</v>
      </c>
      <c r="AF950">
        <v>174.73288600000001</v>
      </c>
      <c r="AG950" s="175">
        <v>35</v>
      </c>
      <c r="AH950" s="175">
        <v>0</v>
      </c>
      <c r="AI950" s="175">
        <v>0</v>
      </c>
      <c r="AJ950" s="175">
        <v>0</v>
      </c>
      <c r="AK950" s="175">
        <v>0</v>
      </c>
      <c r="AL950" s="175">
        <v>4</v>
      </c>
      <c r="AM950" s="175">
        <v>6</v>
      </c>
      <c r="AN950" s="175">
        <v>7</v>
      </c>
      <c r="AO950" s="175">
        <v>17</v>
      </c>
      <c r="AP950" s="175">
        <v>7</v>
      </c>
      <c r="AQ950" s="175">
        <v>0</v>
      </c>
      <c r="AR950" s="175">
        <v>0</v>
      </c>
      <c r="AS950" s="175">
        <v>9</v>
      </c>
      <c r="AT950" s="175">
        <v>3</v>
      </c>
    </row>
    <row r="951" spans="1:46">
      <c r="A951">
        <v>20176</v>
      </c>
      <c r="B951" t="s">
        <v>6363</v>
      </c>
      <c r="C951" t="s">
        <v>6364</v>
      </c>
      <c r="D951" t="s">
        <v>6365</v>
      </c>
      <c r="E951" t="s">
        <v>6366</v>
      </c>
      <c r="F951" t="s">
        <v>4813</v>
      </c>
      <c r="G951" t="s">
        <v>737</v>
      </c>
      <c r="H951" t="s">
        <v>449</v>
      </c>
      <c r="J951" t="s">
        <v>4032</v>
      </c>
      <c r="K951" t="s">
        <v>606</v>
      </c>
      <c r="M951" t="s">
        <v>607</v>
      </c>
      <c r="N951" t="s">
        <v>4586</v>
      </c>
      <c r="O951" t="s">
        <v>803</v>
      </c>
      <c r="P951" t="s">
        <v>739</v>
      </c>
      <c r="Q951" t="s">
        <v>467</v>
      </c>
      <c r="R951" t="s">
        <v>724</v>
      </c>
      <c r="S951" t="s">
        <v>855</v>
      </c>
      <c r="T951" t="s">
        <v>794</v>
      </c>
      <c r="U951">
        <v>135401</v>
      </c>
      <c r="V951" t="s">
        <v>6367</v>
      </c>
      <c r="W951" t="s">
        <v>806</v>
      </c>
      <c r="X951" t="s">
        <v>6368</v>
      </c>
      <c r="Y951" t="s">
        <v>6366</v>
      </c>
      <c r="Z951" t="s">
        <v>4813</v>
      </c>
      <c r="AA951" t="s">
        <v>6369</v>
      </c>
      <c r="AB951" t="s">
        <v>6364</v>
      </c>
      <c r="AC951">
        <v>99062</v>
      </c>
      <c r="AD951" t="s">
        <v>978</v>
      </c>
      <c r="AE951">
        <v>-36.92760277</v>
      </c>
      <c r="AF951">
        <v>174.66773918000001</v>
      </c>
      <c r="AG951" s="175">
        <v>39</v>
      </c>
      <c r="AH951" s="175">
        <v>0</v>
      </c>
      <c r="AI951" s="175">
        <v>0</v>
      </c>
      <c r="AJ951" s="175">
        <v>0</v>
      </c>
      <c r="AK951" s="175">
        <v>4</v>
      </c>
      <c r="AL951" s="175">
        <v>15</v>
      </c>
      <c r="AM951" s="175">
        <v>10</v>
      </c>
      <c r="AN951" s="175">
        <v>0</v>
      </c>
      <c r="AO951" s="175">
        <v>29</v>
      </c>
      <c r="AP951" s="175">
        <v>22</v>
      </c>
      <c r="AQ951" s="175">
        <v>5</v>
      </c>
      <c r="AR951" s="175">
        <v>3</v>
      </c>
      <c r="AS951" s="175">
        <v>8</v>
      </c>
      <c r="AT951" s="175">
        <v>1</v>
      </c>
    </row>
    <row r="952" spans="1:46">
      <c r="A952">
        <v>20178</v>
      </c>
      <c r="B952" t="s">
        <v>6370</v>
      </c>
      <c r="C952" t="s">
        <v>6371</v>
      </c>
      <c r="E952" t="s">
        <v>6372</v>
      </c>
      <c r="F952" t="s">
        <v>906</v>
      </c>
      <c r="G952" t="s">
        <v>737</v>
      </c>
      <c r="H952" t="s">
        <v>449</v>
      </c>
      <c r="J952" t="s">
        <v>605</v>
      </c>
      <c r="K952" t="s">
        <v>606</v>
      </c>
      <c r="M952" t="s">
        <v>607</v>
      </c>
      <c r="N952" t="s">
        <v>657</v>
      </c>
      <c r="O952" t="s">
        <v>889</v>
      </c>
      <c r="P952" t="s">
        <v>739</v>
      </c>
      <c r="Q952" t="s">
        <v>467</v>
      </c>
      <c r="R952" t="s">
        <v>793</v>
      </c>
      <c r="S952" t="s">
        <v>907</v>
      </c>
      <c r="T952" t="s">
        <v>794</v>
      </c>
      <c r="U952">
        <v>141000</v>
      </c>
      <c r="V952" t="s">
        <v>908</v>
      </c>
      <c r="W952" t="s">
        <v>909</v>
      </c>
      <c r="X952" t="s">
        <v>6373</v>
      </c>
      <c r="Y952" t="s">
        <v>6372</v>
      </c>
      <c r="Z952" t="s">
        <v>906</v>
      </c>
      <c r="AA952" t="s">
        <v>4138</v>
      </c>
      <c r="AB952" t="s">
        <v>6374</v>
      </c>
      <c r="AE952">
        <v>-36.882380609999998</v>
      </c>
      <c r="AF952">
        <v>174.80733617000001</v>
      </c>
      <c r="AG952" s="175">
        <v>43</v>
      </c>
      <c r="AH952" s="175">
        <v>0</v>
      </c>
      <c r="AI952" s="175">
        <v>0</v>
      </c>
      <c r="AJ952" s="175">
        <v>0</v>
      </c>
      <c r="AK952" s="175">
        <v>6</v>
      </c>
      <c r="AL952" s="175">
        <v>18</v>
      </c>
      <c r="AM952" s="175">
        <v>12</v>
      </c>
      <c r="AN952" s="175">
        <v>1</v>
      </c>
      <c r="AO952" s="175">
        <v>37</v>
      </c>
      <c r="AP952" s="175">
        <v>20</v>
      </c>
      <c r="AQ952" s="175">
        <v>1</v>
      </c>
      <c r="AR952" s="175">
        <v>1</v>
      </c>
      <c r="AS952" s="175">
        <v>18</v>
      </c>
      <c r="AT952" s="175">
        <v>0</v>
      </c>
    </row>
    <row r="953" spans="1:46">
      <c r="A953">
        <v>20180</v>
      </c>
      <c r="B953" t="s">
        <v>6375</v>
      </c>
      <c r="C953" t="s">
        <v>6376</v>
      </c>
      <c r="D953" t="s">
        <v>6377</v>
      </c>
      <c r="E953" t="s">
        <v>6378</v>
      </c>
      <c r="F953" t="s">
        <v>3833</v>
      </c>
      <c r="G953" t="s">
        <v>3834</v>
      </c>
      <c r="H953" t="s">
        <v>449</v>
      </c>
      <c r="J953" t="s">
        <v>605</v>
      </c>
      <c r="K953" t="s">
        <v>606</v>
      </c>
      <c r="M953" t="s">
        <v>607</v>
      </c>
      <c r="N953" t="s">
        <v>657</v>
      </c>
      <c r="O953" t="s">
        <v>3835</v>
      </c>
      <c r="P953" t="s">
        <v>610</v>
      </c>
      <c r="Q953" t="s">
        <v>467</v>
      </c>
      <c r="R953" t="s">
        <v>793</v>
      </c>
      <c r="S953" t="s">
        <v>1043</v>
      </c>
      <c r="T953" t="s">
        <v>794</v>
      </c>
      <c r="U953">
        <v>147600</v>
      </c>
      <c r="V953" t="s">
        <v>3833</v>
      </c>
      <c r="W953" t="s">
        <v>1044</v>
      </c>
      <c r="X953" t="s">
        <v>6379</v>
      </c>
      <c r="Y953" t="s">
        <v>6378</v>
      </c>
      <c r="Z953" t="s">
        <v>3833</v>
      </c>
      <c r="AA953" t="s">
        <v>6380</v>
      </c>
      <c r="AB953" t="s">
        <v>6381</v>
      </c>
      <c r="AC953">
        <v>99088</v>
      </c>
      <c r="AD953" t="s">
        <v>3836</v>
      </c>
      <c r="AE953">
        <v>-36.796517940000001</v>
      </c>
      <c r="AF953">
        <v>175.03143424999999</v>
      </c>
      <c r="AG953" s="175">
        <v>30</v>
      </c>
      <c r="AH953" s="175">
        <v>8</v>
      </c>
      <c r="AI953" s="175">
        <v>0</v>
      </c>
      <c r="AJ953" s="175">
        <v>1</v>
      </c>
      <c r="AK953" s="175">
        <v>12</v>
      </c>
      <c r="AL953" s="175">
        <v>17</v>
      </c>
      <c r="AM953" s="175">
        <v>9</v>
      </c>
      <c r="AN953" s="175">
        <v>0</v>
      </c>
      <c r="AO953" s="175">
        <v>39</v>
      </c>
      <c r="AP953" s="175">
        <v>38</v>
      </c>
      <c r="AQ953" s="175">
        <v>8</v>
      </c>
      <c r="AR953" s="175">
        <v>0</v>
      </c>
      <c r="AS953" s="175">
        <v>2</v>
      </c>
      <c r="AT953" s="175">
        <v>2</v>
      </c>
    </row>
    <row r="954" spans="1:46">
      <c r="A954">
        <v>20181</v>
      </c>
      <c r="B954" t="s">
        <v>6382</v>
      </c>
      <c r="C954" t="s">
        <v>6383</v>
      </c>
      <c r="D954" t="s">
        <v>6384</v>
      </c>
      <c r="E954" t="s">
        <v>6385</v>
      </c>
      <c r="F954" t="s">
        <v>841</v>
      </c>
      <c r="G954" t="s">
        <v>737</v>
      </c>
      <c r="H954" t="s">
        <v>449</v>
      </c>
      <c r="J954" t="s">
        <v>4032</v>
      </c>
      <c r="K954" t="s">
        <v>606</v>
      </c>
      <c r="M954" t="s">
        <v>607</v>
      </c>
      <c r="N954" t="s">
        <v>4586</v>
      </c>
      <c r="O954" t="s">
        <v>823</v>
      </c>
      <c r="P954" t="s">
        <v>739</v>
      </c>
      <c r="Q954" t="s">
        <v>467</v>
      </c>
      <c r="R954" t="s">
        <v>724</v>
      </c>
      <c r="S954" t="s">
        <v>841</v>
      </c>
      <c r="T954" t="s">
        <v>613</v>
      </c>
      <c r="U954">
        <v>127300</v>
      </c>
      <c r="V954" t="s">
        <v>1134</v>
      </c>
      <c r="W954" t="s">
        <v>826</v>
      </c>
      <c r="X954" t="s">
        <v>6386</v>
      </c>
      <c r="Y954" t="s">
        <v>6385</v>
      </c>
      <c r="Z954" t="s">
        <v>841</v>
      </c>
      <c r="AA954" t="s">
        <v>5965</v>
      </c>
      <c r="AB954" t="s">
        <v>6383</v>
      </c>
      <c r="AE954">
        <v>-36.80258748</v>
      </c>
      <c r="AF954">
        <v>174.74209475000001</v>
      </c>
      <c r="AG954" s="175">
        <v>50</v>
      </c>
      <c r="AH954" s="175">
        <v>12</v>
      </c>
      <c r="AI954" s="175">
        <v>2</v>
      </c>
      <c r="AJ954" s="175">
        <v>11</v>
      </c>
      <c r="AK954" s="175">
        <v>22</v>
      </c>
      <c r="AL954" s="175">
        <v>16</v>
      </c>
      <c r="AM954" s="175">
        <v>11</v>
      </c>
      <c r="AN954" s="175">
        <v>2</v>
      </c>
      <c r="AO954" s="175">
        <v>64</v>
      </c>
      <c r="AP954" s="175">
        <v>60</v>
      </c>
      <c r="AQ954" s="175">
        <v>7</v>
      </c>
      <c r="AR954" s="175">
        <v>2</v>
      </c>
      <c r="AS954" s="175">
        <v>5</v>
      </c>
      <c r="AT954" s="175">
        <v>1</v>
      </c>
    </row>
    <row r="955" spans="1:46">
      <c r="A955">
        <v>20183</v>
      </c>
      <c r="B955" t="s">
        <v>6387</v>
      </c>
      <c r="C955" t="s">
        <v>6388</v>
      </c>
      <c r="D955" t="s">
        <v>6389</v>
      </c>
      <c r="E955" t="s">
        <v>6390</v>
      </c>
      <c r="F955" t="s">
        <v>6391</v>
      </c>
      <c r="G955" t="s">
        <v>3694</v>
      </c>
      <c r="H955" t="s">
        <v>449</v>
      </c>
      <c r="J955" t="s">
        <v>4032</v>
      </c>
      <c r="K955" t="s">
        <v>606</v>
      </c>
      <c r="M955" t="s">
        <v>607</v>
      </c>
      <c r="N955" t="s">
        <v>657</v>
      </c>
      <c r="O955" t="s">
        <v>738</v>
      </c>
      <c r="P955" t="s">
        <v>670</v>
      </c>
      <c r="Q955" t="s">
        <v>467</v>
      </c>
      <c r="R955" t="s">
        <v>724</v>
      </c>
      <c r="S955" t="s">
        <v>753</v>
      </c>
      <c r="T955" t="s">
        <v>613</v>
      </c>
      <c r="U955">
        <v>115800</v>
      </c>
      <c r="V955" t="s">
        <v>3695</v>
      </c>
      <c r="W955" t="s">
        <v>742</v>
      </c>
      <c r="X955" t="s">
        <v>6392</v>
      </c>
      <c r="Y955" t="s">
        <v>6390</v>
      </c>
      <c r="Z955" t="s">
        <v>6391</v>
      </c>
      <c r="AA955" t="s">
        <v>4528</v>
      </c>
      <c r="AB955" t="s">
        <v>6388</v>
      </c>
      <c r="AC955">
        <v>99095</v>
      </c>
      <c r="AD955" t="s">
        <v>786</v>
      </c>
      <c r="AE955">
        <v>-36.631175769999999</v>
      </c>
      <c r="AF955">
        <v>174.76763765999999</v>
      </c>
      <c r="AG955" s="175">
        <v>48</v>
      </c>
      <c r="AH955" s="175">
        <v>10</v>
      </c>
      <c r="AI955" s="175">
        <v>4</v>
      </c>
      <c r="AJ955" s="175">
        <v>3</v>
      </c>
      <c r="AK955" s="175">
        <v>16</v>
      </c>
      <c r="AL955" s="175">
        <v>15</v>
      </c>
      <c r="AM955" s="175">
        <v>10</v>
      </c>
      <c r="AN955" s="175">
        <v>0</v>
      </c>
      <c r="AO955" s="175">
        <v>48</v>
      </c>
      <c r="AP955" s="175">
        <v>40</v>
      </c>
      <c r="AQ955" s="175">
        <v>5</v>
      </c>
      <c r="AR955" s="175">
        <v>3</v>
      </c>
      <c r="AS955" s="175">
        <v>7</v>
      </c>
      <c r="AT955" s="175">
        <v>1</v>
      </c>
    </row>
    <row r="956" spans="1:46">
      <c r="A956">
        <v>20184</v>
      </c>
      <c r="B956" t="s">
        <v>6393</v>
      </c>
      <c r="D956" t="s">
        <v>6394</v>
      </c>
      <c r="E956" t="s">
        <v>6395</v>
      </c>
      <c r="G956" t="s">
        <v>760</v>
      </c>
      <c r="H956" t="s">
        <v>449</v>
      </c>
      <c r="J956" t="s">
        <v>4032</v>
      </c>
      <c r="K956" t="s">
        <v>606</v>
      </c>
      <c r="M956" t="s">
        <v>607</v>
      </c>
      <c r="N956" t="s">
        <v>657</v>
      </c>
      <c r="O956" t="s">
        <v>723</v>
      </c>
      <c r="P956" t="s">
        <v>610</v>
      </c>
      <c r="Q956" t="s">
        <v>467</v>
      </c>
      <c r="R956" t="s">
        <v>724</v>
      </c>
      <c r="S956" t="s">
        <v>725</v>
      </c>
      <c r="T956" t="s">
        <v>613</v>
      </c>
      <c r="U956">
        <v>111100</v>
      </c>
      <c r="V956" t="s">
        <v>761</v>
      </c>
      <c r="W956" t="s">
        <v>726</v>
      </c>
      <c r="X956" t="s">
        <v>6396</v>
      </c>
      <c r="Y956" t="s">
        <v>6397</v>
      </c>
      <c r="Z956" t="s">
        <v>5832</v>
      </c>
      <c r="AA956" t="s">
        <v>4604</v>
      </c>
      <c r="AB956" t="s">
        <v>6398</v>
      </c>
      <c r="AE956">
        <v>-36.408230359999997</v>
      </c>
      <c r="AF956">
        <v>174.65820011</v>
      </c>
      <c r="AG956" s="175">
        <v>50</v>
      </c>
      <c r="AH956" s="175">
        <v>15</v>
      </c>
      <c r="AI956" s="175">
        <v>2</v>
      </c>
      <c r="AJ956" s="175">
        <v>3</v>
      </c>
      <c r="AK956" s="175">
        <v>6</v>
      </c>
      <c r="AL956" s="175">
        <v>5</v>
      </c>
      <c r="AM956" s="175">
        <v>4</v>
      </c>
      <c r="AN956" s="175">
        <v>0</v>
      </c>
      <c r="AO956" s="175">
        <v>20</v>
      </c>
      <c r="AP956" s="175">
        <v>15</v>
      </c>
      <c r="AQ956" s="175">
        <v>3</v>
      </c>
      <c r="AR956" s="175">
        <v>3</v>
      </c>
      <c r="AS956" s="175">
        <v>1</v>
      </c>
      <c r="AT956" s="175">
        <v>0</v>
      </c>
    </row>
    <row r="957" spans="1:46">
      <c r="A957">
        <v>20185</v>
      </c>
      <c r="B957" t="s">
        <v>6399</v>
      </c>
      <c r="C957" t="s">
        <v>6400</v>
      </c>
      <c r="D957" t="s">
        <v>6401</v>
      </c>
      <c r="E957" t="s">
        <v>6402</v>
      </c>
      <c r="F957" t="s">
        <v>957</v>
      </c>
      <c r="G957" t="s">
        <v>737</v>
      </c>
      <c r="H957" t="s">
        <v>449</v>
      </c>
      <c r="J957" t="s">
        <v>4032</v>
      </c>
      <c r="K957" t="s">
        <v>606</v>
      </c>
      <c r="M957" t="s">
        <v>607</v>
      </c>
      <c r="N957" t="s">
        <v>657</v>
      </c>
      <c r="O957" t="s">
        <v>958</v>
      </c>
      <c r="P957" t="s">
        <v>739</v>
      </c>
      <c r="Q957" t="s">
        <v>467</v>
      </c>
      <c r="R957" t="s">
        <v>724</v>
      </c>
      <c r="S957" t="s">
        <v>804</v>
      </c>
      <c r="T957" t="s">
        <v>794</v>
      </c>
      <c r="U957">
        <v>131500</v>
      </c>
      <c r="V957" t="s">
        <v>6311</v>
      </c>
      <c r="W957" t="s">
        <v>900</v>
      </c>
      <c r="X957" t="s">
        <v>5947</v>
      </c>
      <c r="Y957" t="s">
        <v>5948</v>
      </c>
      <c r="Z957" t="s">
        <v>1268</v>
      </c>
      <c r="AA957" t="s">
        <v>4374</v>
      </c>
      <c r="AB957" t="s">
        <v>5949</v>
      </c>
      <c r="AE957">
        <v>-36.911293739999998</v>
      </c>
      <c r="AF957">
        <v>174.64886877999999</v>
      </c>
      <c r="AG957" s="175">
        <v>32</v>
      </c>
      <c r="AH957" s="175">
        <v>10</v>
      </c>
      <c r="AI957" s="175">
        <v>0</v>
      </c>
      <c r="AJ957" s="175">
        <v>3</v>
      </c>
      <c r="AK957" s="175">
        <v>12</v>
      </c>
      <c r="AL957" s="175">
        <v>9</v>
      </c>
      <c r="AM957" s="175">
        <v>10</v>
      </c>
      <c r="AN957" s="175">
        <v>0</v>
      </c>
      <c r="AO957" s="175">
        <v>34</v>
      </c>
      <c r="AP957" s="175">
        <v>28</v>
      </c>
      <c r="AQ957" s="175">
        <v>6</v>
      </c>
      <c r="AR957" s="175">
        <v>5</v>
      </c>
      <c r="AS957" s="175">
        <v>3</v>
      </c>
      <c r="AT957" s="175">
        <v>2</v>
      </c>
    </row>
    <row r="958" spans="1:46">
      <c r="A958">
        <v>20186</v>
      </c>
      <c r="B958" t="s">
        <v>6403</v>
      </c>
      <c r="C958" t="s">
        <v>6404</v>
      </c>
      <c r="D958" t="s">
        <v>6405</v>
      </c>
      <c r="E958" t="s">
        <v>6406</v>
      </c>
      <c r="F958" t="s">
        <v>840</v>
      </c>
      <c r="G958" t="s">
        <v>737</v>
      </c>
      <c r="H958" t="s">
        <v>449</v>
      </c>
      <c r="J958" t="s">
        <v>4032</v>
      </c>
      <c r="K958" t="s">
        <v>606</v>
      </c>
      <c r="M958" t="s">
        <v>607</v>
      </c>
      <c r="N958" t="s">
        <v>657</v>
      </c>
      <c r="O958" t="s">
        <v>823</v>
      </c>
      <c r="P958" t="s">
        <v>739</v>
      </c>
      <c r="Q958" t="s">
        <v>467</v>
      </c>
      <c r="R958" t="s">
        <v>724</v>
      </c>
      <c r="S958" t="s">
        <v>841</v>
      </c>
      <c r="T958" t="s">
        <v>613</v>
      </c>
      <c r="U958">
        <v>121800</v>
      </c>
      <c r="V958" t="s">
        <v>5812</v>
      </c>
      <c r="W958" t="s">
        <v>826</v>
      </c>
      <c r="X958" t="s">
        <v>6407</v>
      </c>
      <c r="Y958" t="s">
        <v>6408</v>
      </c>
      <c r="AA958" t="s">
        <v>6409</v>
      </c>
      <c r="AB958" t="s">
        <v>6410</v>
      </c>
      <c r="AC958">
        <v>99214</v>
      </c>
      <c r="AD958" t="s">
        <v>843</v>
      </c>
      <c r="AE958">
        <v>-36.798996170000002</v>
      </c>
      <c r="AF958">
        <v>174.68701414</v>
      </c>
      <c r="AG958" s="175">
        <v>60</v>
      </c>
      <c r="AH958" s="175">
        <v>15</v>
      </c>
      <c r="AI958" s="175">
        <v>1</v>
      </c>
      <c r="AJ958" s="175">
        <v>15</v>
      </c>
      <c r="AK958" s="175">
        <v>15</v>
      </c>
      <c r="AL958" s="175">
        <v>13</v>
      </c>
      <c r="AM958" s="175">
        <v>15</v>
      </c>
      <c r="AN958" s="175">
        <v>0</v>
      </c>
      <c r="AO958" s="175">
        <v>59</v>
      </c>
      <c r="AP958" s="175">
        <v>56</v>
      </c>
      <c r="AQ958" s="175">
        <v>11</v>
      </c>
      <c r="AR958" s="175">
        <v>1</v>
      </c>
      <c r="AS958" s="175">
        <v>7</v>
      </c>
      <c r="AT958" s="175">
        <v>3</v>
      </c>
    </row>
    <row r="959" spans="1:46">
      <c r="A959">
        <v>20187</v>
      </c>
      <c r="B959" t="s">
        <v>6411</v>
      </c>
      <c r="C959" t="s">
        <v>6412</v>
      </c>
      <c r="E959" t="s">
        <v>6413</v>
      </c>
      <c r="F959" t="s">
        <v>1102</v>
      </c>
      <c r="G959" t="s">
        <v>737</v>
      </c>
      <c r="H959" t="s">
        <v>449</v>
      </c>
      <c r="J959" t="s">
        <v>605</v>
      </c>
      <c r="K959" t="s">
        <v>606</v>
      </c>
      <c r="M959" t="s">
        <v>607</v>
      </c>
      <c r="N959" t="s">
        <v>657</v>
      </c>
      <c r="O959" t="s">
        <v>942</v>
      </c>
      <c r="P959" t="s">
        <v>739</v>
      </c>
      <c r="Q959" t="s">
        <v>467</v>
      </c>
      <c r="R959" t="s">
        <v>793</v>
      </c>
      <c r="S959" t="s">
        <v>943</v>
      </c>
      <c r="T959" t="s">
        <v>794</v>
      </c>
      <c r="U959">
        <v>136900</v>
      </c>
      <c r="V959" t="s">
        <v>5888</v>
      </c>
      <c r="W959" t="s">
        <v>945</v>
      </c>
      <c r="X959" t="s">
        <v>6414</v>
      </c>
      <c r="Y959" t="s">
        <v>6413</v>
      </c>
      <c r="Z959" t="s">
        <v>1102</v>
      </c>
      <c r="AA959" t="s">
        <v>5890</v>
      </c>
      <c r="AB959" t="s">
        <v>6412</v>
      </c>
      <c r="AE959">
        <v>-36.877305450000001</v>
      </c>
      <c r="AF959">
        <v>174.74975519</v>
      </c>
      <c r="AG959" s="175">
        <v>42</v>
      </c>
      <c r="AH959" s="175">
        <v>12</v>
      </c>
      <c r="AI959" s="175">
        <v>2</v>
      </c>
      <c r="AJ959" s="175">
        <v>10</v>
      </c>
      <c r="AK959" s="175">
        <v>13</v>
      </c>
      <c r="AL959" s="175">
        <v>10</v>
      </c>
      <c r="AM959" s="175">
        <v>12</v>
      </c>
      <c r="AN959" s="175">
        <v>0</v>
      </c>
      <c r="AO959" s="175">
        <v>47</v>
      </c>
      <c r="AP959" s="175">
        <v>37</v>
      </c>
      <c r="AQ959" s="175">
        <v>3</v>
      </c>
      <c r="AR959" s="175">
        <v>6</v>
      </c>
      <c r="AS959" s="175">
        <v>13</v>
      </c>
      <c r="AT959" s="175">
        <v>1</v>
      </c>
    </row>
    <row r="960" spans="1:46">
      <c r="A960">
        <v>20188</v>
      </c>
      <c r="B960" t="s">
        <v>6415</v>
      </c>
      <c r="C960" t="s">
        <v>6416</v>
      </c>
      <c r="D960" t="s">
        <v>6417</v>
      </c>
      <c r="E960" t="s">
        <v>6418</v>
      </c>
      <c r="G960" t="s">
        <v>3694</v>
      </c>
      <c r="H960" t="s">
        <v>449</v>
      </c>
      <c r="I960" t="s">
        <v>5838</v>
      </c>
      <c r="J960" t="s">
        <v>605</v>
      </c>
      <c r="K960" t="s">
        <v>606</v>
      </c>
      <c r="M960" t="s">
        <v>607</v>
      </c>
      <c r="N960" t="s">
        <v>657</v>
      </c>
      <c r="O960" t="s">
        <v>738</v>
      </c>
      <c r="P960" t="s">
        <v>670</v>
      </c>
      <c r="Q960" t="s">
        <v>467</v>
      </c>
      <c r="R960" t="s">
        <v>724</v>
      </c>
      <c r="S960" t="s">
        <v>753</v>
      </c>
      <c r="T960" t="s">
        <v>613</v>
      </c>
      <c r="U960">
        <v>114902</v>
      </c>
      <c r="V960" t="s">
        <v>6419</v>
      </c>
      <c r="W960" t="s">
        <v>742</v>
      </c>
      <c r="X960" t="s">
        <v>6420</v>
      </c>
      <c r="Y960" t="s">
        <v>6421</v>
      </c>
      <c r="Z960" t="s">
        <v>3694</v>
      </c>
      <c r="AA960" t="s">
        <v>5137</v>
      </c>
      <c r="AC960">
        <v>99095</v>
      </c>
      <c r="AD960" t="s">
        <v>786</v>
      </c>
      <c r="AE960">
        <v>-36.636922939999998</v>
      </c>
      <c r="AF960">
        <v>174.74884180999999</v>
      </c>
      <c r="AG960" s="175">
        <v>30</v>
      </c>
      <c r="AH960" s="175">
        <v>0</v>
      </c>
      <c r="AI960" s="175">
        <v>0</v>
      </c>
      <c r="AJ960" s="175">
        <v>0</v>
      </c>
      <c r="AK960" s="175">
        <v>5</v>
      </c>
      <c r="AL960" s="175">
        <v>10</v>
      </c>
      <c r="AM960" s="175">
        <v>16</v>
      </c>
      <c r="AN960" s="175">
        <v>3</v>
      </c>
      <c r="AO960" s="175">
        <v>34</v>
      </c>
      <c r="AP960" s="175">
        <v>31</v>
      </c>
      <c r="AQ960" s="175">
        <v>5</v>
      </c>
      <c r="AR960" s="175">
        <v>2</v>
      </c>
      <c r="AS960" s="175">
        <v>2</v>
      </c>
      <c r="AT960" s="175">
        <v>2</v>
      </c>
    </row>
    <row r="961" spans="1:46">
      <c r="A961">
        <v>20191</v>
      </c>
      <c r="B961" t="s">
        <v>6422</v>
      </c>
      <c r="C961" t="s">
        <v>6423</v>
      </c>
      <c r="D961" t="s">
        <v>6424</v>
      </c>
      <c r="E961" t="s">
        <v>6425</v>
      </c>
      <c r="F961" t="s">
        <v>4813</v>
      </c>
      <c r="G961" t="s">
        <v>737</v>
      </c>
      <c r="H961" t="s">
        <v>449</v>
      </c>
      <c r="J961" t="s">
        <v>605</v>
      </c>
      <c r="K961" t="s">
        <v>606</v>
      </c>
      <c r="M961" t="s">
        <v>607</v>
      </c>
      <c r="N961" t="s">
        <v>657</v>
      </c>
      <c r="O961" t="s">
        <v>958</v>
      </c>
      <c r="P961" t="s">
        <v>739</v>
      </c>
      <c r="Q961" t="s">
        <v>467</v>
      </c>
      <c r="R961" t="s">
        <v>724</v>
      </c>
      <c r="S961" t="s">
        <v>855</v>
      </c>
      <c r="T961" t="s">
        <v>794</v>
      </c>
      <c r="U961">
        <v>134600</v>
      </c>
      <c r="V961" t="s">
        <v>6426</v>
      </c>
      <c r="W961" t="s">
        <v>900</v>
      </c>
      <c r="X961" t="s">
        <v>6427</v>
      </c>
      <c r="Y961" t="s">
        <v>6428</v>
      </c>
      <c r="Z961" t="s">
        <v>4813</v>
      </c>
      <c r="AA961" t="s">
        <v>4387</v>
      </c>
      <c r="AC961">
        <v>99062</v>
      </c>
      <c r="AD961" t="s">
        <v>978</v>
      </c>
      <c r="AE961">
        <v>-36.951613700000003</v>
      </c>
      <c r="AF961">
        <v>174.63131910999999</v>
      </c>
      <c r="AG961" s="175">
        <v>30</v>
      </c>
      <c r="AH961" s="175">
        <v>0</v>
      </c>
      <c r="AI961" s="175">
        <v>0</v>
      </c>
      <c r="AJ961" s="175">
        <v>0</v>
      </c>
      <c r="AK961" s="175">
        <v>6</v>
      </c>
      <c r="AL961" s="175">
        <v>17</v>
      </c>
      <c r="AM961" s="175">
        <v>12</v>
      </c>
      <c r="AN961" s="175">
        <v>3</v>
      </c>
      <c r="AO961" s="175">
        <v>38</v>
      </c>
      <c r="AP961" s="175">
        <v>34</v>
      </c>
      <c r="AQ961" s="175">
        <v>4</v>
      </c>
      <c r="AR961" s="175">
        <v>3</v>
      </c>
      <c r="AS961" s="175">
        <v>4</v>
      </c>
      <c r="AT961" s="175">
        <v>3</v>
      </c>
    </row>
    <row r="962" spans="1:46">
      <c r="A962">
        <v>20195</v>
      </c>
      <c r="B962" t="s">
        <v>6429</v>
      </c>
      <c r="C962" t="s">
        <v>6430</v>
      </c>
      <c r="D962" t="s">
        <v>6431</v>
      </c>
      <c r="E962" t="s">
        <v>6432</v>
      </c>
      <c r="F962" t="s">
        <v>932</v>
      </c>
      <c r="G962" t="s">
        <v>737</v>
      </c>
      <c r="H962" t="s">
        <v>450</v>
      </c>
      <c r="J962" t="s">
        <v>605</v>
      </c>
      <c r="K962" t="s">
        <v>606</v>
      </c>
      <c r="M962" t="s">
        <v>607</v>
      </c>
      <c r="N962" t="s">
        <v>657</v>
      </c>
      <c r="O962" t="s">
        <v>933</v>
      </c>
      <c r="P962" t="s">
        <v>739</v>
      </c>
      <c r="Q962" t="s">
        <v>467</v>
      </c>
      <c r="R962" t="s">
        <v>814</v>
      </c>
      <c r="S962" t="s">
        <v>934</v>
      </c>
      <c r="T962" t="s">
        <v>794</v>
      </c>
      <c r="U962">
        <v>150200</v>
      </c>
      <c r="V962" t="s">
        <v>1025</v>
      </c>
      <c r="W962" t="s">
        <v>817</v>
      </c>
      <c r="X962" t="s">
        <v>6433</v>
      </c>
      <c r="Y962" t="s">
        <v>6434</v>
      </c>
      <c r="Z962" t="s">
        <v>4622</v>
      </c>
      <c r="AA962" t="s">
        <v>4623</v>
      </c>
      <c r="AB962" t="s">
        <v>6435</v>
      </c>
      <c r="AE962">
        <v>-36.970943439999999</v>
      </c>
      <c r="AF962">
        <v>174.79636905999999</v>
      </c>
      <c r="AG962" s="175">
        <v>60</v>
      </c>
      <c r="AH962" s="175">
        <v>60</v>
      </c>
      <c r="AI962" s="175">
        <v>3</v>
      </c>
      <c r="AJ962" s="175">
        <v>7</v>
      </c>
      <c r="AK962" s="175">
        <v>12</v>
      </c>
      <c r="AL962" s="175">
        <v>6</v>
      </c>
      <c r="AM962" s="175">
        <v>9</v>
      </c>
      <c r="AN962" s="175">
        <v>0</v>
      </c>
      <c r="AO962" s="175">
        <v>37</v>
      </c>
      <c r="AP962" s="175">
        <v>32</v>
      </c>
      <c r="AQ962" s="175">
        <v>7</v>
      </c>
      <c r="AR962" s="175">
        <v>5</v>
      </c>
      <c r="AS962" s="175">
        <v>8</v>
      </c>
      <c r="AT962" s="175">
        <v>2</v>
      </c>
    </row>
    <row r="963" spans="1:46">
      <c r="A963">
        <v>20197</v>
      </c>
      <c r="B963" t="s">
        <v>6436</v>
      </c>
      <c r="C963" t="s">
        <v>6437</v>
      </c>
      <c r="D963" t="s">
        <v>6438</v>
      </c>
      <c r="E963" t="s">
        <v>6439</v>
      </c>
      <c r="F963" t="s">
        <v>1187</v>
      </c>
      <c r="G963" t="s">
        <v>737</v>
      </c>
      <c r="H963" t="s">
        <v>449</v>
      </c>
      <c r="I963" t="s">
        <v>4233</v>
      </c>
      <c r="J963" t="s">
        <v>605</v>
      </c>
      <c r="K963" t="s">
        <v>606</v>
      </c>
      <c r="M963" t="s">
        <v>607</v>
      </c>
      <c r="N963" t="s">
        <v>657</v>
      </c>
      <c r="O963" t="s">
        <v>1042</v>
      </c>
      <c r="P963" t="s">
        <v>739</v>
      </c>
      <c r="Q963" t="s">
        <v>467</v>
      </c>
      <c r="R963" t="s">
        <v>793</v>
      </c>
      <c r="S963" t="s">
        <v>1043</v>
      </c>
      <c r="T963" t="s">
        <v>794</v>
      </c>
      <c r="U963">
        <v>131200</v>
      </c>
      <c r="V963" t="s">
        <v>1188</v>
      </c>
      <c r="W963" t="s">
        <v>1044</v>
      </c>
      <c r="X963" t="s">
        <v>6440</v>
      </c>
      <c r="Y963" t="s">
        <v>6285</v>
      </c>
      <c r="Z963" t="s">
        <v>1187</v>
      </c>
      <c r="AA963" t="s">
        <v>4481</v>
      </c>
      <c r="AB963" t="s">
        <v>6437</v>
      </c>
      <c r="AE963">
        <v>-36.85625847</v>
      </c>
      <c r="AF963">
        <v>174.73980069999999</v>
      </c>
      <c r="AG963" s="175">
        <v>50</v>
      </c>
      <c r="AH963" s="175">
        <v>16</v>
      </c>
      <c r="AI963" s="175">
        <v>0</v>
      </c>
      <c r="AJ963" s="175">
        <v>13</v>
      </c>
      <c r="AK963" s="175">
        <v>10</v>
      </c>
      <c r="AL963" s="175">
        <v>11</v>
      </c>
      <c r="AM963" s="175">
        <v>15</v>
      </c>
      <c r="AN963" s="175">
        <v>0</v>
      </c>
      <c r="AO963" s="175">
        <v>49</v>
      </c>
      <c r="AP963" s="175">
        <v>16</v>
      </c>
      <c r="AQ963" s="175">
        <v>17</v>
      </c>
      <c r="AR963" s="175">
        <v>49</v>
      </c>
      <c r="AS963" s="175">
        <v>4</v>
      </c>
      <c r="AT963" s="175">
        <v>1</v>
      </c>
    </row>
    <row r="964" spans="1:46">
      <c r="A964">
        <v>20198</v>
      </c>
      <c r="B964" t="s">
        <v>6441</v>
      </c>
      <c r="C964" t="s">
        <v>6442</v>
      </c>
      <c r="D964" t="s">
        <v>6443</v>
      </c>
      <c r="E964" t="s">
        <v>6444</v>
      </c>
      <c r="F964" t="s">
        <v>3973</v>
      </c>
      <c r="G964" t="s">
        <v>737</v>
      </c>
      <c r="H964" t="s">
        <v>449</v>
      </c>
      <c r="J964" t="s">
        <v>4032</v>
      </c>
      <c r="K964" t="s">
        <v>606</v>
      </c>
      <c r="M964" t="s">
        <v>607</v>
      </c>
      <c r="N964" t="s">
        <v>657</v>
      </c>
      <c r="O964" t="s">
        <v>1253</v>
      </c>
      <c r="P964" t="s">
        <v>739</v>
      </c>
      <c r="Q964" t="s">
        <v>467</v>
      </c>
      <c r="R964" t="s">
        <v>724</v>
      </c>
      <c r="S964" t="s">
        <v>824</v>
      </c>
      <c r="T964" t="s">
        <v>613</v>
      </c>
      <c r="U964">
        <v>118900</v>
      </c>
      <c r="V964" t="s">
        <v>3974</v>
      </c>
      <c r="W964" t="s">
        <v>742</v>
      </c>
      <c r="X964" t="s">
        <v>4165</v>
      </c>
      <c r="Y964" t="s">
        <v>4166</v>
      </c>
      <c r="Z964" t="s">
        <v>4167</v>
      </c>
      <c r="AA964" t="s">
        <v>4168</v>
      </c>
      <c r="AB964" t="s">
        <v>6445</v>
      </c>
      <c r="AE964">
        <v>-36.776252650000004</v>
      </c>
      <c r="AF964">
        <v>174.66998960999999</v>
      </c>
      <c r="AG964" s="175">
        <v>80</v>
      </c>
      <c r="AH964" s="175">
        <v>25</v>
      </c>
      <c r="AI964" s="175">
        <v>1</v>
      </c>
      <c r="AJ964" s="175">
        <v>14</v>
      </c>
      <c r="AK964" s="175">
        <v>15</v>
      </c>
      <c r="AL964" s="175">
        <v>13</v>
      </c>
      <c r="AM964" s="175">
        <v>10</v>
      </c>
      <c r="AN964" s="175">
        <v>0</v>
      </c>
      <c r="AO964" s="175">
        <v>53</v>
      </c>
      <c r="AP964" s="175">
        <v>44</v>
      </c>
      <c r="AQ964" s="175">
        <v>9</v>
      </c>
      <c r="AR964" s="175">
        <v>2</v>
      </c>
      <c r="AS964" s="175">
        <v>8</v>
      </c>
      <c r="AT964" s="175">
        <v>5</v>
      </c>
    </row>
    <row r="965" spans="1:46">
      <c r="A965">
        <v>20199</v>
      </c>
      <c r="B965" t="s">
        <v>6446</v>
      </c>
      <c r="C965" t="s">
        <v>6447</v>
      </c>
      <c r="D965" t="s">
        <v>6448</v>
      </c>
      <c r="E965" t="s">
        <v>6449</v>
      </c>
      <c r="G965" t="s">
        <v>6450</v>
      </c>
      <c r="H965" t="s">
        <v>449</v>
      </c>
      <c r="I965" t="s">
        <v>4134</v>
      </c>
      <c r="J965" t="s">
        <v>4032</v>
      </c>
      <c r="K965" t="s">
        <v>606</v>
      </c>
      <c r="M965" t="s">
        <v>607</v>
      </c>
      <c r="N965" t="s">
        <v>657</v>
      </c>
      <c r="O965" t="s">
        <v>723</v>
      </c>
      <c r="P965" t="s">
        <v>658</v>
      </c>
      <c r="Q965" t="s">
        <v>467</v>
      </c>
      <c r="R965" t="s">
        <v>724</v>
      </c>
      <c r="S965" t="s">
        <v>725</v>
      </c>
      <c r="T965" t="s">
        <v>613</v>
      </c>
      <c r="U965">
        <v>116101</v>
      </c>
      <c r="V965" t="s">
        <v>4455</v>
      </c>
      <c r="W965" t="s">
        <v>726</v>
      </c>
      <c r="X965" t="s">
        <v>6451</v>
      </c>
      <c r="Y965" t="s">
        <v>6452</v>
      </c>
      <c r="Z965" t="s">
        <v>6450</v>
      </c>
      <c r="AA965" t="s">
        <v>6453</v>
      </c>
      <c r="AB965" t="s">
        <v>6454</v>
      </c>
      <c r="AE965">
        <v>-36.762891320000001</v>
      </c>
      <c r="AF965">
        <v>174.57999627999999</v>
      </c>
      <c r="AG965" s="175">
        <v>49</v>
      </c>
      <c r="AH965" s="175">
        <v>10</v>
      </c>
      <c r="AI965" s="175">
        <v>0</v>
      </c>
      <c r="AJ965" s="175">
        <v>4</v>
      </c>
      <c r="AK965" s="175">
        <v>8</v>
      </c>
      <c r="AL965" s="175">
        <v>7</v>
      </c>
      <c r="AM965" s="175">
        <v>16</v>
      </c>
      <c r="AN965" s="175">
        <v>3</v>
      </c>
      <c r="AO965" s="175">
        <v>38</v>
      </c>
      <c r="AP965" s="175">
        <v>28</v>
      </c>
      <c r="AQ965" s="175">
        <v>8</v>
      </c>
      <c r="AR965" s="175">
        <v>3</v>
      </c>
      <c r="AS965" s="175">
        <v>13</v>
      </c>
      <c r="AT965" s="175">
        <v>0</v>
      </c>
    </row>
    <row r="966" spans="1:46">
      <c r="A966">
        <v>20204</v>
      </c>
      <c r="B966" t="s">
        <v>6455</v>
      </c>
      <c r="C966" t="s">
        <v>6456</v>
      </c>
      <c r="D966" t="s">
        <v>6457</v>
      </c>
      <c r="E966" t="s">
        <v>6458</v>
      </c>
      <c r="F966" t="s">
        <v>1114</v>
      </c>
      <c r="G966" t="s">
        <v>737</v>
      </c>
      <c r="H966" t="s">
        <v>449</v>
      </c>
      <c r="J966" t="s">
        <v>4032</v>
      </c>
      <c r="K966" t="s">
        <v>606</v>
      </c>
      <c r="M966" t="s">
        <v>607</v>
      </c>
      <c r="N966" t="s">
        <v>657</v>
      </c>
      <c r="O966" t="s">
        <v>914</v>
      </c>
      <c r="P966" t="s">
        <v>739</v>
      </c>
      <c r="Q966" t="s">
        <v>467</v>
      </c>
      <c r="R966" t="s">
        <v>793</v>
      </c>
      <c r="S966" t="s">
        <v>890</v>
      </c>
      <c r="T966" t="s">
        <v>794</v>
      </c>
      <c r="U966">
        <v>146600</v>
      </c>
      <c r="V966" t="s">
        <v>4337</v>
      </c>
      <c r="W966" t="s">
        <v>892</v>
      </c>
      <c r="X966" t="s">
        <v>4165</v>
      </c>
      <c r="Y966" t="s">
        <v>4166</v>
      </c>
      <c r="Z966" t="s">
        <v>4167</v>
      </c>
      <c r="AA966" t="s">
        <v>4168</v>
      </c>
      <c r="AB966" t="s">
        <v>4169</v>
      </c>
      <c r="AE966">
        <v>-36.912706010000001</v>
      </c>
      <c r="AF966">
        <v>174.82532305000001</v>
      </c>
      <c r="AG966" s="175">
        <v>70</v>
      </c>
      <c r="AH966" s="175">
        <v>25</v>
      </c>
      <c r="AI966" s="175">
        <v>2</v>
      </c>
      <c r="AJ966" s="175">
        <v>14</v>
      </c>
      <c r="AK966" s="175">
        <v>15</v>
      </c>
      <c r="AL966" s="175">
        <v>9</v>
      </c>
      <c r="AM966" s="175">
        <v>14</v>
      </c>
      <c r="AN966" s="175">
        <v>0</v>
      </c>
      <c r="AO966" s="175">
        <v>54</v>
      </c>
      <c r="AP966" s="175">
        <v>28</v>
      </c>
      <c r="AQ966" s="175">
        <v>7</v>
      </c>
      <c r="AR966" s="175">
        <v>11</v>
      </c>
      <c r="AS966" s="175">
        <v>23</v>
      </c>
      <c r="AT966" s="175">
        <v>3</v>
      </c>
    </row>
    <row r="967" spans="1:46">
      <c r="A967">
        <v>20206</v>
      </c>
      <c r="B967" t="s">
        <v>6459</v>
      </c>
      <c r="C967" t="s">
        <v>4315</v>
      </c>
      <c r="D967" t="s">
        <v>6460</v>
      </c>
      <c r="E967" t="s">
        <v>6461</v>
      </c>
      <c r="F967" t="s">
        <v>5273</v>
      </c>
      <c r="G967" t="s">
        <v>737</v>
      </c>
      <c r="H967" t="s">
        <v>449</v>
      </c>
      <c r="J967" t="s">
        <v>4032</v>
      </c>
      <c r="K967" t="s">
        <v>606</v>
      </c>
      <c r="M967" t="s">
        <v>607</v>
      </c>
      <c r="N967" t="s">
        <v>657</v>
      </c>
      <c r="O967" t="s">
        <v>1042</v>
      </c>
      <c r="P967" t="s">
        <v>739</v>
      </c>
      <c r="Q967" t="s">
        <v>467</v>
      </c>
      <c r="R967" t="s">
        <v>793</v>
      </c>
      <c r="S967" t="s">
        <v>1043</v>
      </c>
      <c r="T967" t="s">
        <v>794</v>
      </c>
      <c r="U967">
        <v>131801</v>
      </c>
      <c r="V967" t="s">
        <v>1041</v>
      </c>
      <c r="W967" t="s">
        <v>1044</v>
      </c>
      <c r="X967" t="s">
        <v>6462</v>
      </c>
      <c r="Y967" t="s">
        <v>6463</v>
      </c>
      <c r="Z967" t="s">
        <v>5170</v>
      </c>
      <c r="AA967" t="s">
        <v>5066</v>
      </c>
      <c r="AB967" t="s">
        <v>6464</v>
      </c>
      <c r="AE967">
        <v>-36.857167089999997</v>
      </c>
      <c r="AF967">
        <v>174.75365705999999</v>
      </c>
      <c r="AG967" s="175">
        <v>32</v>
      </c>
      <c r="AH967" s="175">
        <v>12</v>
      </c>
      <c r="AI967" s="175">
        <v>0</v>
      </c>
      <c r="AJ967" s="175">
        <v>0</v>
      </c>
      <c r="AK967" s="175">
        <v>9</v>
      </c>
      <c r="AL967" s="175">
        <v>6</v>
      </c>
      <c r="AM967" s="175">
        <v>1</v>
      </c>
      <c r="AN967" s="175">
        <v>0</v>
      </c>
      <c r="AO967" s="175">
        <v>16</v>
      </c>
      <c r="AP967" s="175">
        <v>11</v>
      </c>
      <c r="AQ967" s="175">
        <v>3</v>
      </c>
      <c r="AR967" s="175">
        <v>3</v>
      </c>
      <c r="AS967" s="175">
        <v>4</v>
      </c>
      <c r="AT967" s="175">
        <v>2</v>
      </c>
    </row>
    <row r="968" spans="1:46">
      <c r="A968">
        <v>20213</v>
      </c>
      <c r="B968" t="s">
        <v>6465</v>
      </c>
      <c r="C968" t="s">
        <v>6466</v>
      </c>
      <c r="D968" t="s">
        <v>6467</v>
      </c>
      <c r="E968" t="s">
        <v>6432</v>
      </c>
      <c r="F968" t="s">
        <v>932</v>
      </c>
      <c r="G968" t="s">
        <v>737</v>
      </c>
      <c r="H968" t="s">
        <v>450</v>
      </c>
      <c r="J968" t="s">
        <v>605</v>
      </c>
      <c r="K968" t="s">
        <v>606</v>
      </c>
      <c r="M968" t="s">
        <v>607</v>
      </c>
      <c r="N968" t="s">
        <v>657</v>
      </c>
      <c r="O968" t="s">
        <v>933</v>
      </c>
      <c r="P968" t="s">
        <v>739</v>
      </c>
      <c r="Q968" t="s">
        <v>467</v>
      </c>
      <c r="R968" t="s">
        <v>814</v>
      </c>
      <c r="S968" t="s">
        <v>934</v>
      </c>
      <c r="T968" t="s">
        <v>794</v>
      </c>
      <c r="U968">
        <v>150200</v>
      </c>
      <c r="V968" t="s">
        <v>1025</v>
      </c>
      <c r="W968" t="s">
        <v>817</v>
      </c>
      <c r="X968" t="s">
        <v>6433</v>
      </c>
      <c r="Y968" t="s">
        <v>6434</v>
      </c>
      <c r="Z968" t="s">
        <v>4622</v>
      </c>
      <c r="AA968" t="s">
        <v>4623</v>
      </c>
      <c r="AB968" t="s">
        <v>6435</v>
      </c>
      <c r="AE968">
        <v>-36.970943439999999</v>
      </c>
      <c r="AF968">
        <v>174.79636908000001</v>
      </c>
      <c r="AG968" s="175">
        <v>0</v>
      </c>
      <c r="AH968" s="175">
        <v>0</v>
      </c>
      <c r="AI968" s="175">
        <v>3</v>
      </c>
      <c r="AJ968" s="175">
        <v>10</v>
      </c>
      <c r="AK968" s="175">
        <v>12</v>
      </c>
      <c r="AL968" s="175">
        <v>5</v>
      </c>
      <c r="AM968" s="175">
        <v>2</v>
      </c>
      <c r="AN968" s="175">
        <v>0</v>
      </c>
      <c r="AO968" s="175">
        <v>32</v>
      </c>
      <c r="AP968" s="175">
        <v>22</v>
      </c>
      <c r="AQ968" s="175">
        <v>5</v>
      </c>
      <c r="AR968" s="175">
        <v>2</v>
      </c>
      <c r="AS968" s="175">
        <v>9</v>
      </c>
      <c r="AT968" s="175">
        <v>1</v>
      </c>
    </row>
    <row r="969" spans="1:46">
      <c r="A969">
        <v>20222</v>
      </c>
      <c r="B969" t="s">
        <v>6468</v>
      </c>
      <c r="C969" t="s">
        <v>6469</v>
      </c>
      <c r="D969" t="s">
        <v>4855</v>
      </c>
      <c r="E969" t="s">
        <v>6470</v>
      </c>
      <c r="F969" t="s">
        <v>863</v>
      </c>
      <c r="G969" t="s">
        <v>737</v>
      </c>
      <c r="H969" t="s">
        <v>449</v>
      </c>
      <c r="J969" t="s">
        <v>4032</v>
      </c>
      <c r="K969" t="s">
        <v>606</v>
      </c>
      <c r="M969" t="s">
        <v>607</v>
      </c>
      <c r="N969" t="s">
        <v>657</v>
      </c>
      <c r="O969" t="s">
        <v>792</v>
      </c>
      <c r="P969" t="s">
        <v>739</v>
      </c>
      <c r="Q969" t="s">
        <v>467</v>
      </c>
      <c r="R969" t="s">
        <v>814</v>
      </c>
      <c r="S969" t="s">
        <v>863</v>
      </c>
      <c r="T969" t="s">
        <v>794</v>
      </c>
      <c r="U969">
        <v>157500</v>
      </c>
      <c r="V969" t="s">
        <v>6471</v>
      </c>
      <c r="W969" t="s">
        <v>796</v>
      </c>
      <c r="X969" t="s">
        <v>4858</v>
      </c>
      <c r="Y969" t="s">
        <v>6472</v>
      </c>
      <c r="Z969" t="s">
        <v>6473</v>
      </c>
      <c r="AA969" t="s">
        <v>6474</v>
      </c>
      <c r="AB969" t="s">
        <v>4862</v>
      </c>
      <c r="AC969">
        <v>99189</v>
      </c>
      <c r="AD969" t="s">
        <v>4514</v>
      </c>
      <c r="AE969">
        <v>-36.965232790000002</v>
      </c>
      <c r="AF969">
        <v>174.90230941999999</v>
      </c>
      <c r="AG969" s="175">
        <v>75</v>
      </c>
      <c r="AH969" s="175">
        <v>35</v>
      </c>
      <c r="AI969" s="175">
        <v>2</v>
      </c>
      <c r="AJ969" s="175">
        <v>9</v>
      </c>
      <c r="AK969" s="175">
        <v>17</v>
      </c>
      <c r="AL969" s="175">
        <v>10</v>
      </c>
      <c r="AM969" s="175">
        <v>27</v>
      </c>
      <c r="AN969" s="175">
        <v>3</v>
      </c>
      <c r="AO969" s="175">
        <v>68</v>
      </c>
      <c r="AP969" s="175">
        <v>19</v>
      </c>
      <c r="AQ969" s="175">
        <v>5</v>
      </c>
      <c r="AR969" s="175">
        <v>11</v>
      </c>
      <c r="AS969" s="175">
        <v>51</v>
      </c>
      <c r="AT969" s="175">
        <v>0</v>
      </c>
    </row>
    <row r="970" spans="1:46">
      <c r="A970">
        <v>20223</v>
      </c>
      <c r="B970" t="s">
        <v>6475</v>
      </c>
      <c r="C970" t="s">
        <v>6476</v>
      </c>
      <c r="E970" t="s">
        <v>6477</v>
      </c>
      <c r="G970" t="s">
        <v>5608</v>
      </c>
      <c r="H970" t="s">
        <v>449</v>
      </c>
      <c r="J970" t="s">
        <v>4032</v>
      </c>
      <c r="K970" t="s">
        <v>606</v>
      </c>
      <c r="M970" t="s">
        <v>607</v>
      </c>
      <c r="N970" t="s">
        <v>657</v>
      </c>
      <c r="O970" t="s">
        <v>669</v>
      </c>
      <c r="P970" t="s">
        <v>610</v>
      </c>
      <c r="Q970" t="s">
        <v>509</v>
      </c>
      <c r="R970" t="s">
        <v>611</v>
      </c>
      <c r="S970" t="s">
        <v>671</v>
      </c>
      <c r="T970" t="s">
        <v>613</v>
      </c>
      <c r="U970">
        <v>108800</v>
      </c>
      <c r="V970" t="s">
        <v>3812</v>
      </c>
      <c r="W970" t="s">
        <v>704</v>
      </c>
      <c r="X970" t="s">
        <v>6478</v>
      </c>
      <c r="Y970" t="s">
        <v>4176</v>
      </c>
      <c r="AA970" t="s">
        <v>4052</v>
      </c>
      <c r="AB970" t="s">
        <v>6479</v>
      </c>
      <c r="AC970">
        <v>99184</v>
      </c>
      <c r="AD970" t="s">
        <v>3813</v>
      </c>
      <c r="AE970">
        <v>-35.904101969999999</v>
      </c>
      <c r="AF970">
        <v>174.4492377</v>
      </c>
      <c r="AG970" s="175">
        <v>58</v>
      </c>
      <c r="AH970" s="175">
        <v>25</v>
      </c>
      <c r="AI970" s="175">
        <v>1</v>
      </c>
      <c r="AJ970" s="175">
        <v>6</v>
      </c>
      <c r="AK970" s="175">
        <v>11</v>
      </c>
      <c r="AL970" s="175">
        <v>11</v>
      </c>
      <c r="AM970" s="175">
        <v>19</v>
      </c>
      <c r="AN970" s="175">
        <v>0</v>
      </c>
      <c r="AO970" s="175">
        <v>48</v>
      </c>
      <c r="AP970" s="175">
        <v>36</v>
      </c>
      <c r="AQ970" s="175">
        <v>11</v>
      </c>
      <c r="AR970" s="175">
        <v>3</v>
      </c>
      <c r="AS970" s="175">
        <v>3</v>
      </c>
      <c r="AT970" s="175">
        <v>3</v>
      </c>
    </row>
    <row r="971" spans="1:46">
      <c r="A971">
        <v>20225</v>
      </c>
      <c r="B971" t="s">
        <v>6480</v>
      </c>
      <c r="C971" t="s">
        <v>6481</v>
      </c>
      <c r="D971" t="s">
        <v>6482</v>
      </c>
      <c r="E971" t="s">
        <v>6483</v>
      </c>
      <c r="F971" t="s">
        <v>1450</v>
      </c>
      <c r="G971" t="s">
        <v>737</v>
      </c>
      <c r="H971" t="s">
        <v>449</v>
      </c>
      <c r="J971" t="s">
        <v>4032</v>
      </c>
      <c r="K971" t="s">
        <v>606</v>
      </c>
      <c r="M971" t="s">
        <v>607</v>
      </c>
      <c r="N971" t="s">
        <v>657</v>
      </c>
      <c r="O971" t="s">
        <v>823</v>
      </c>
      <c r="P971" t="s">
        <v>739</v>
      </c>
      <c r="Q971" t="s">
        <v>467</v>
      </c>
      <c r="R971" t="s">
        <v>724</v>
      </c>
      <c r="S971" t="s">
        <v>841</v>
      </c>
      <c r="T971" t="s">
        <v>613</v>
      </c>
      <c r="U971">
        <v>125600</v>
      </c>
      <c r="V971" t="s">
        <v>6484</v>
      </c>
      <c r="W971" t="s">
        <v>826</v>
      </c>
      <c r="X971" t="s">
        <v>6485</v>
      </c>
      <c r="Y971" t="s">
        <v>6486</v>
      </c>
      <c r="Z971" t="s">
        <v>802</v>
      </c>
      <c r="AA971" t="s">
        <v>4400</v>
      </c>
      <c r="AB971" t="s">
        <v>6487</v>
      </c>
      <c r="AE971">
        <v>-36.790813900000003</v>
      </c>
      <c r="AF971">
        <v>174.72920350000001</v>
      </c>
      <c r="AG971" s="175">
        <v>45</v>
      </c>
      <c r="AH971" s="175">
        <v>16</v>
      </c>
      <c r="AI971" s="175">
        <v>5</v>
      </c>
      <c r="AJ971" s="175">
        <v>12</v>
      </c>
      <c r="AK971" s="175">
        <v>13</v>
      </c>
      <c r="AL971" s="175">
        <v>15</v>
      </c>
      <c r="AM971" s="175">
        <v>9</v>
      </c>
      <c r="AN971" s="175">
        <v>0</v>
      </c>
      <c r="AO971" s="175">
        <v>54</v>
      </c>
      <c r="AP971" s="175">
        <v>43</v>
      </c>
      <c r="AQ971" s="175">
        <v>10</v>
      </c>
      <c r="AR971" s="175">
        <v>2</v>
      </c>
      <c r="AS971" s="175">
        <v>15</v>
      </c>
      <c r="AT971" s="175">
        <v>1</v>
      </c>
    </row>
    <row r="972" spans="1:46">
      <c r="A972">
        <v>20226</v>
      </c>
      <c r="B972" t="s">
        <v>6488</v>
      </c>
      <c r="C972" t="s">
        <v>6489</v>
      </c>
      <c r="D972" t="s">
        <v>6490</v>
      </c>
      <c r="E972" t="s">
        <v>6491</v>
      </c>
      <c r="F972" t="s">
        <v>766</v>
      </c>
      <c r="G972" t="s">
        <v>737</v>
      </c>
      <c r="H972" t="s">
        <v>449</v>
      </c>
      <c r="J972" t="s">
        <v>4032</v>
      </c>
      <c r="K972" t="s">
        <v>606</v>
      </c>
      <c r="M972" t="s">
        <v>607</v>
      </c>
      <c r="N972" t="s">
        <v>657</v>
      </c>
      <c r="O972" t="s">
        <v>738</v>
      </c>
      <c r="P972" t="s">
        <v>739</v>
      </c>
      <c r="Q972" t="s">
        <v>467</v>
      </c>
      <c r="R972" t="s">
        <v>724</v>
      </c>
      <c r="S972" t="s">
        <v>767</v>
      </c>
      <c r="T972" t="s">
        <v>613</v>
      </c>
      <c r="U972">
        <v>120000</v>
      </c>
      <c r="V972" t="s">
        <v>6161</v>
      </c>
      <c r="W972" t="s">
        <v>742</v>
      </c>
      <c r="X972" t="s">
        <v>6492</v>
      </c>
      <c r="Y972" t="s">
        <v>6493</v>
      </c>
      <c r="Z972" t="s">
        <v>6103</v>
      </c>
      <c r="AA972" t="s">
        <v>6104</v>
      </c>
      <c r="AB972" t="s">
        <v>6494</v>
      </c>
      <c r="AC972">
        <v>99000</v>
      </c>
      <c r="AD972" t="s">
        <v>769</v>
      </c>
      <c r="AE972">
        <v>-36.735345340000002</v>
      </c>
      <c r="AF972">
        <v>174.75010415</v>
      </c>
      <c r="AG972" s="175">
        <v>30</v>
      </c>
      <c r="AH972" s="175">
        <v>25</v>
      </c>
      <c r="AI972" s="175">
        <v>4</v>
      </c>
      <c r="AJ972" s="175">
        <v>18</v>
      </c>
      <c r="AK972" s="175">
        <v>17</v>
      </c>
      <c r="AL972" s="175">
        <v>1</v>
      </c>
      <c r="AM972" s="175">
        <v>0</v>
      </c>
      <c r="AN972" s="175">
        <v>0</v>
      </c>
      <c r="AO972" s="175">
        <v>40</v>
      </c>
      <c r="AP972" s="175">
        <v>37</v>
      </c>
      <c r="AQ972" s="175">
        <v>4</v>
      </c>
      <c r="AR972" s="175">
        <v>1</v>
      </c>
      <c r="AS972" s="175">
        <v>3</v>
      </c>
      <c r="AT972" s="175">
        <v>3</v>
      </c>
    </row>
    <row r="973" spans="1:46">
      <c r="A973">
        <v>20228</v>
      </c>
      <c r="B973" t="s">
        <v>6495</v>
      </c>
      <c r="E973" t="s">
        <v>6496</v>
      </c>
      <c r="F973" t="s">
        <v>4101</v>
      </c>
      <c r="G973" t="s">
        <v>737</v>
      </c>
      <c r="H973" t="s">
        <v>451</v>
      </c>
      <c r="I973" t="s">
        <v>4102</v>
      </c>
      <c r="J973" t="s">
        <v>605</v>
      </c>
      <c r="K973" t="s">
        <v>606</v>
      </c>
      <c r="M973" t="s">
        <v>607</v>
      </c>
      <c r="N973" t="s">
        <v>812</v>
      </c>
      <c r="O973" t="s">
        <v>1042</v>
      </c>
      <c r="P973" t="s">
        <v>739</v>
      </c>
      <c r="Q973" t="s">
        <v>467</v>
      </c>
      <c r="R973" t="s">
        <v>793</v>
      </c>
      <c r="S973" t="s">
        <v>1043</v>
      </c>
      <c r="T973" t="s">
        <v>794</v>
      </c>
      <c r="U973">
        <v>136100</v>
      </c>
      <c r="V973" t="s">
        <v>4101</v>
      </c>
      <c r="W973" t="s">
        <v>909</v>
      </c>
      <c r="X973" t="s">
        <v>4103</v>
      </c>
      <c r="Y973" t="s">
        <v>4104</v>
      </c>
      <c r="Z973" t="s">
        <v>4105</v>
      </c>
      <c r="AA973" t="s">
        <v>4106</v>
      </c>
      <c r="AB973" t="s">
        <v>4107</v>
      </c>
      <c r="AC973">
        <v>99188</v>
      </c>
      <c r="AD973" t="s">
        <v>871</v>
      </c>
      <c r="AE973">
        <v>-36.860652289999997</v>
      </c>
      <c r="AF973">
        <v>174.76956178</v>
      </c>
      <c r="AG973" s="175">
        <v>25</v>
      </c>
      <c r="AH973" s="175">
        <v>25</v>
      </c>
      <c r="AI973" s="175"/>
      <c r="AJ973" s="175"/>
      <c r="AK973" s="175"/>
      <c r="AL973" s="175"/>
      <c r="AM973" s="175"/>
      <c r="AN973" s="175"/>
      <c r="AO973" s="175"/>
      <c r="AP973" s="175"/>
      <c r="AQ973" s="175"/>
      <c r="AR973" s="175"/>
      <c r="AS973" s="175"/>
    </row>
    <row r="974" spans="1:46">
      <c r="A974">
        <v>20229</v>
      </c>
      <c r="B974" t="s">
        <v>6497</v>
      </c>
      <c r="C974" t="s">
        <v>6331</v>
      </c>
      <c r="E974" t="s">
        <v>6332</v>
      </c>
      <c r="F974" t="s">
        <v>3777</v>
      </c>
      <c r="G974" t="s">
        <v>737</v>
      </c>
      <c r="H974" t="s">
        <v>450</v>
      </c>
      <c r="J974" t="s">
        <v>4032</v>
      </c>
      <c r="K974" t="s">
        <v>606</v>
      </c>
      <c r="M974" t="s">
        <v>607</v>
      </c>
      <c r="N974" t="s">
        <v>657</v>
      </c>
      <c r="O974" t="s">
        <v>1253</v>
      </c>
      <c r="P974" t="s">
        <v>739</v>
      </c>
      <c r="Q974" t="s">
        <v>467</v>
      </c>
      <c r="R974" t="s">
        <v>724</v>
      </c>
      <c r="S974" t="s">
        <v>740</v>
      </c>
      <c r="T974" t="s">
        <v>613</v>
      </c>
      <c r="U974">
        <v>117300</v>
      </c>
      <c r="V974" t="s">
        <v>5769</v>
      </c>
      <c r="W974" t="s">
        <v>742</v>
      </c>
      <c r="X974" t="s">
        <v>6333</v>
      </c>
      <c r="Y974" t="s">
        <v>6334</v>
      </c>
      <c r="Z974" t="s">
        <v>3777</v>
      </c>
      <c r="AA974" t="s">
        <v>6335</v>
      </c>
      <c r="AB974" t="s">
        <v>6336</v>
      </c>
      <c r="AE974">
        <v>-36.733572909999999</v>
      </c>
      <c r="AF974">
        <v>174.71022905000001</v>
      </c>
      <c r="AG974" s="175">
        <v>80</v>
      </c>
      <c r="AH974" s="175">
        <v>80</v>
      </c>
      <c r="AI974" s="175">
        <v>2</v>
      </c>
      <c r="AJ974" s="175">
        <v>22</v>
      </c>
      <c r="AK974" s="175">
        <v>14</v>
      </c>
      <c r="AL974" s="175">
        <v>15</v>
      </c>
      <c r="AM974" s="175">
        <v>10</v>
      </c>
      <c r="AN974" s="175">
        <v>1</v>
      </c>
      <c r="AO974" s="175">
        <v>64</v>
      </c>
      <c r="AP974" s="175">
        <v>44</v>
      </c>
      <c r="AQ974" s="175">
        <v>6</v>
      </c>
      <c r="AR974" s="175">
        <v>15</v>
      </c>
      <c r="AS974" s="175">
        <v>8</v>
      </c>
      <c r="AT974" s="175">
        <v>2</v>
      </c>
    </row>
    <row r="975" spans="1:46">
      <c r="A975">
        <v>20231</v>
      </c>
      <c r="B975" t="s">
        <v>6498</v>
      </c>
      <c r="C975" t="s">
        <v>6499</v>
      </c>
      <c r="D975" t="s">
        <v>6500</v>
      </c>
      <c r="E975" t="s">
        <v>6501</v>
      </c>
      <c r="F975" t="s">
        <v>822</v>
      </c>
      <c r="G975" t="s">
        <v>737</v>
      </c>
      <c r="H975" t="s">
        <v>449</v>
      </c>
      <c r="J975" t="s">
        <v>4032</v>
      </c>
      <c r="K975" t="s">
        <v>606</v>
      </c>
      <c r="M975" t="s">
        <v>607</v>
      </c>
      <c r="N975" t="s">
        <v>657</v>
      </c>
      <c r="O975" t="s">
        <v>823</v>
      </c>
      <c r="P975" t="s">
        <v>739</v>
      </c>
      <c r="Q975" t="s">
        <v>467</v>
      </c>
      <c r="R975" t="s">
        <v>724</v>
      </c>
      <c r="S975" t="s">
        <v>824</v>
      </c>
      <c r="T975" t="s">
        <v>613</v>
      </c>
      <c r="U975">
        <v>121901</v>
      </c>
      <c r="V975" t="s">
        <v>6502</v>
      </c>
      <c r="W975" t="s">
        <v>826</v>
      </c>
      <c r="X975" t="s">
        <v>6503</v>
      </c>
      <c r="Y975" t="s">
        <v>4725</v>
      </c>
      <c r="Z975" t="s">
        <v>1043</v>
      </c>
      <c r="AA975" t="s">
        <v>4726</v>
      </c>
      <c r="AB975" t="s">
        <v>6504</v>
      </c>
      <c r="AE975">
        <v>-36.766028249999998</v>
      </c>
      <c r="AF975">
        <v>174.72794535</v>
      </c>
      <c r="AG975" s="175">
        <v>53</v>
      </c>
      <c r="AH975" s="175">
        <v>23</v>
      </c>
      <c r="AI975" s="175">
        <v>2</v>
      </c>
      <c r="AJ975" s="175">
        <v>11</v>
      </c>
      <c r="AK975" s="175">
        <v>26</v>
      </c>
      <c r="AL975" s="175">
        <v>7</v>
      </c>
      <c r="AM975" s="175">
        <v>0</v>
      </c>
      <c r="AN975" s="175">
        <v>0</v>
      </c>
      <c r="AO975" s="175">
        <v>46</v>
      </c>
      <c r="AP975" s="175">
        <v>33</v>
      </c>
      <c r="AQ975" s="175">
        <v>8</v>
      </c>
      <c r="AR975" s="175">
        <v>3</v>
      </c>
      <c r="AS975" s="175">
        <v>16</v>
      </c>
      <c r="AT975" s="175">
        <v>4</v>
      </c>
    </row>
    <row r="976" spans="1:46">
      <c r="A976">
        <v>20233</v>
      </c>
      <c r="B976" t="s">
        <v>6505</v>
      </c>
      <c r="C976" t="s">
        <v>6506</v>
      </c>
      <c r="E976" t="s">
        <v>6507</v>
      </c>
      <c r="F976" t="s">
        <v>3777</v>
      </c>
      <c r="G976" t="s">
        <v>4393</v>
      </c>
      <c r="H976" t="s">
        <v>449</v>
      </c>
      <c r="J976" t="s">
        <v>605</v>
      </c>
      <c r="K976" t="s">
        <v>606</v>
      </c>
      <c r="M976" t="s">
        <v>607</v>
      </c>
      <c r="N976" t="s">
        <v>657</v>
      </c>
      <c r="O976" t="s">
        <v>1253</v>
      </c>
      <c r="P976" t="s">
        <v>739</v>
      </c>
      <c r="Q976" t="s">
        <v>467</v>
      </c>
      <c r="R976" t="s">
        <v>724</v>
      </c>
      <c r="S976" t="s">
        <v>740</v>
      </c>
      <c r="T976" t="s">
        <v>613</v>
      </c>
      <c r="U976">
        <v>117300</v>
      </c>
      <c r="V976" t="s">
        <v>5769</v>
      </c>
      <c r="W976" t="s">
        <v>742</v>
      </c>
      <c r="X976" t="s">
        <v>4013</v>
      </c>
      <c r="Y976" t="s">
        <v>4014</v>
      </c>
      <c r="Z976" t="s">
        <v>4015</v>
      </c>
      <c r="AA976" t="s">
        <v>4016</v>
      </c>
      <c r="AB976" t="s">
        <v>4017</v>
      </c>
      <c r="AC976">
        <v>99121</v>
      </c>
      <c r="AD976" t="s">
        <v>747</v>
      </c>
      <c r="AE976">
        <v>-36.728310870000001</v>
      </c>
      <c r="AF976">
        <v>174.70844919999999</v>
      </c>
      <c r="AG976" s="175">
        <v>58</v>
      </c>
      <c r="AH976" s="175">
        <v>20</v>
      </c>
      <c r="AI976" s="175">
        <v>4</v>
      </c>
      <c r="AJ976" s="175">
        <v>10</v>
      </c>
      <c r="AK976" s="175">
        <v>16</v>
      </c>
      <c r="AL976" s="175">
        <v>18</v>
      </c>
      <c r="AM976" s="175">
        <v>8</v>
      </c>
      <c r="AN976" s="175">
        <v>1</v>
      </c>
      <c r="AO976" s="175">
        <v>57</v>
      </c>
      <c r="AP976" s="175">
        <v>20</v>
      </c>
      <c r="AQ976" s="175">
        <v>4</v>
      </c>
      <c r="AR976" s="175">
        <v>2</v>
      </c>
      <c r="AS976" s="175">
        <v>30</v>
      </c>
      <c r="AT976" s="175">
        <v>14</v>
      </c>
    </row>
    <row r="977" spans="1:46">
      <c r="A977">
        <v>20236</v>
      </c>
      <c r="B977" t="s">
        <v>6508</v>
      </c>
      <c r="C977" t="s">
        <v>6509</v>
      </c>
      <c r="D977" t="s">
        <v>6510</v>
      </c>
      <c r="E977" t="s">
        <v>6511</v>
      </c>
      <c r="F977" t="s">
        <v>822</v>
      </c>
      <c r="G977" t="s">
        <v>737</v>
      </c>
      <c r="H977" t="s">
        <v>449</v>
      </c>
      <c r="J977" t="s">
        <v>605</v>
      </c>
      <c r="K977" t="s">
        <v>606</v>
      </c>
      <c r="M977" t="s">
        <v>607</v>
      </c>
      <c r="N977" t="s">
        <v>657</v>
      </c>
      <c r="O977" t="s">
        <v>823</v>
      </c>
      <c r="P977" t="s">
        <v>739</v>
      </c>
      <c r="Q977" t="s">
        <v>467</v>
      </c>
      <c r="R977" t="s">
        <v>724</v>
      </c>
      <c r="S977" t="s">
        <v>824</v>
      </c>
      <c r="T977" t="s">
        <v>613</v>
      </c>
      <c r="U977">
        <v>122101</v>
      </c>
      <c r="V977" t="s">
        <v>6512</v>
      </c>
      <c r="W977" t="s">
        <v>826</v>
      </c>
      <c r="X977" t="s">
        <v>4013</v>
      </c>
      <c r="Y977" t="s">
        <v>4014</v>
      </c>
      <c r="Z977" t="s">
        <v>4015</v>
      </c>
      <c r="AA977" t="s">
        <v>4016</v>
      </c>
      <c r="AB977" t="s">
        <v>4017</v>
      </c>
      <c r="AE977">
        <v>-36.774867999999998</v>
      </c>
      <c r="AF977">
        <v>174.71809135000001</v>
      </c>
      <c r="AG977" s="175">
        <v>100</v>
      </c>
      <c r="AH977" s="175">
        <v>25</v>
      </c>
      <c r="AI977" s="175">
        <v>4</v>
      </c>
      <c r="AJ977" s="175">
        <v>22</v>
      </c>
      <c r="AK977" s="175">
        <v>31</v>
      </c>
      <c r="AL977" s="175">
        <v>26</v>
      </c>
      <c r="AM977" s="175">
        <v>31</v>
      </c>
      <c r="AN977" s="175">
        <v>1</v>
      </c>
      <c r="AO977" s="175">
        <v>115</v>
      </c>
      <c r="AP977" s="175">
        <v>55</v>
      </c>
      <c r="AQ977" s="175">
        <v>16</v>
      </c>
      <c r="AR977" s="175">
        <v>7</v>
      </c>
      <c r="AS977" s="175">
        <v>54</v>
      </c>
      <c r="AT977" s="175">
        <v>13</v>
      </c>
    </row>
    <row r="978" spans="1:46">
      <c r="A978">
        <v>20238</v>
      </c>
      <c r="B978" t="s">
        <v>6513</v>
      </c>
      <c r="C978" t="s">
        <v>6514</v>
      </c>
      <c r="D978" t="s">
        <v>6515</v>
      </c>
      <c r="E978" t="s">
        <v>6516</v>
      </c>
      <c r="F978" t="s">
        <v>4022</v>
      </c>
      <c r="G978" t="s">
        <v>737</v>
      </c>
      <c r="H978" t="s">
        <v>449</v>
      </c>
      <c r="J978" t="s">
        <v>4032</v>
      </c>
      <c r="K978" t="s">
        <v>606</v>
      </c>
      <c r="M978" t="s">
        <v>607</v>
      </c>
      <c r="N978" t="s">
        <v>4586</v>
      </c>
      <c r="O978" t="s">
        <v>1253</v>
      </c>
      <c r="P978" t="s">
        <v>739</v>
      </c>
      <c r="Q978" t="s">
        <v>467</v>
      </c>
      <c r="R978" t="s">
        <v>724</v>
      </c>
      <c r="S978" t="s">
        <v>824</v>
      </c>
      <c r="T978" t="s">
        <v>613</v>
      </c>
      <c r="U978">
        <v>120400</v>
      </c>
      <c r="V978" t="s">
        <v>4327</v>
      </c>
      <c r="W978" t="s">
        <v>742</v>
      </c>
      <c r="X978" t="s">
        <v>6517</v>
      </c>
      <c r="Y978" t="s">
        <v>6518</v>
      </c>
      <c r="Z978" t="s">
        <v>4249</v>
      </c>
      <c r="AA978" t="s">
        <v>4168</v>
      </c>
      <c r="AB978" t="s">
        <v>6519</v>
      </c>
      <c r="AE978">
        <v>-36.755927380000003</v>
      </c>
      <c r="AF978">
        <v>174.72040441999999</v>
      </c>
      <c r="AG978" s="175">
        <v>34</v>
      </c>
      <c r="AH978" s="175">
        <v>5</v>
      </c>
      <c r="AI978" s="175">
        <v>2</v>
      </c>
      <c r="AJ978" s="175">
        <v>2</v>
      </c>
      <c r="AK978" s="175">
        <v>6</v>
      </c>
      <c r="AL978" s="175">
        <v>7</v>
      </c>
      <c r="AM978" s="175">
        <v>5</v>
      </c>
      <c r="AN978" s="175">
        <v>1</v>
      </c>
      <c r="AO978" s="175">
        <v>23</v>
      </c>
      <c r="AP978" s="175">
        <v>5</v>
      </c>
      <c r="AQ978" s="175">
        <v>2</v>
      </c>
      <c r="AR978" s="175">
        <v>1</v>
      </c>
      <c r="AS978" s="175">
        <v>18</v>
      </c>
      <c r="AT978" s="175">
        <v>1</v>
      </c>
    </row>
    <row r="979" spans="1:46">
      <c r="A979">
        <v>20242</v>
      </c>
      <c r="B979" t="s">
        <v>6520</v>
      </c>
      <c r="C979" t="s">
        <v>6521</v>
      </c>
      <c r="D979" t="s">
        <v>6522</v>
      </c>
      <c r="E979" t="s">
        <v>6523</v>
      </c>
      <c r="F979" t="s">
        <v>4082</v>
      </c>
      <c r="G979" t="s">
        <v>737</v>
      </c>
      <c r="H979" t="s">
        <v>449</v>
      </c>
      <c r="J979" t="s">
        <v>4032</v>
      </c>
      <c r="K979" t="s">
        <v>606</v>
      </c>
      <c r="M979" t="s">
        <v>607</v>
      </c>
      <c r="N979" t="s">
        <v>657</v>
      </c>
      <c r="O979" t="s">
        <v>1253</v>
      </c>
      <c r="P979" t="s">
        <v>739</v>
      </c>
      <c r="Q979" t="s">
        <v>467</v>
      </c>
      <c r="R979" t="s">
        <v>724</v>
      </c>
      <c r="S979" t="s">
        <v>740</v>
      </c>
      <c r="T979" t="s">
        <v>613</v>
      </c>
      <c r="U979">
        <v>118600</v>
      </c>
      <c r="V979" t="s">
        <v>4082</v>
      </c>
      <c r="W979" t="s">
        <v>742</v>
      </c>
      <c r="X979" t="s">
        <v>6524</v>
      </c>
      <c r="Y979" t="s">
        <v>4725</v>
      </c>
      <c r="Z979" t="s">
        <v>1043</v>
      </c>
      <c r="AA979" t="s">
        <v>4726</v>
      </c>
      <c r="AB979" t="s">
        <v>6521</v>
      </c>
      <c r="AE979">
        <v>-36.743099440000002</v>
      </c>
      <c r="AF979">
        <v>174.69347010000001</v>
      </c>
      <c r="AG979" s="175">
        <v>95</v>
      </c>
      <c r="AH979" s="175">
        <v>25</v>
      </c>
      <c r="AI979" s="175">
        <v>1</v>
      </c>
      <c r="AJ979" s="175">
        <v>10</v>
      </c>
      <c r="AK979" s="175">
        <v>10</v>
      </c>
      <c r="AL979" s="175">
        <v>16</v>
      </c>
      <c r="AM979" s="175">
        <v>19</v>
      </c>
      <c r="AN979" s="175">
        <v>1</v>
      </c>
      <c r="AO979" s="175">
        <v>57</v>
      </c>
      <c r="AP979" s="175">
        <v>16</v>
      </c>
      <c r="AQ979" s="175">
        <v>3</v>
      </c>
      <c r="AR979" s="175">
        <v>4</v>
      </c>
      <c r="AS979" s="175">
        <v>37</v>
      </c>
      <c r="AT979" s="175">
        <v>4</v>
      </c>
    </row>
    <row r="980" spans="1:46">
      <c r="A980">
        <v>20243</v>
      </c>
      <c r="B980" t="s">
        <v>6525</v>
      </c>
      <c r="C980" t="s">
        <v>6526</v>
      </c>
      <c r="D980" t="s">
        <v>6527</v>
      </c>
      <c r="E980" t="s">
        <v>6528</v>
      </c>
      <c r="F980" t="s">
        <v>766</v>
      </c>
      <c r="G980" t="s">
        <v>737</v>
      </c>
      <c r="H980" t="s">
        <v>449</v>
      </c>
      <c r="J980" t="s">
        <v>4032</v>
      </c>
      <c r="K980" t="s">
        <v>606</v>
      </c>
      <c r="M980" t="s">
        <v>607</v>
      </c>
      <c r="N980" t="s">
        <v>657</v>
      </c>
      <c r="O980" t="s">
        <v>1253</v>
      </c>
      <c r="P980" t="s">
        <v>739</v>
      </c>
      <c r="Q980" t="s">
        <v>467</v>
      </c>
      <c r="R980" t="s">
        <v>724</v>
      </c>
      <c r="S980" t="s">
        <v>740</v>
      </c>
      <c r="T980" t="s">
        <v>613</v>
      </c>
      <c r="U980">
        <v>118600</v>
      </c>
      <c r="V980" t="s">
        <v>4082</v>
      </c>
      <c r="W980" t="s">
        <v>742</v>
      </c>
      <c r="X980" t="s">
        <v>6529</v>
      </c>
      <c r="Y980" t="s">
        <v>6528</v>
      </c>
      <c r="Z980" t="s">
        <v>766</v>
      </c>
      <c r="AA980" t="s">
        <v>4168</v>
      </c>
      <c r="AB980" t="s">
        <v>6526</v>
      </c>
      <c r="AC980">
        <v>99000</v>
      </c>
      <c r="AD980" t="s">
        <v>769</v>
      </c>
      <c r="AE980">
        <v>-36.740810119999999</v>
      </c>
      <c r="AF980">
        <v>174.7248262</v>
      </c>
      <c r="AG980" s="175">
        <v>85</v>
      </c>
      <c r="AH980" s="175">
        <v>25</v>
      </c>
      <c r="AI980" s="175">
        <v>4</v>
      </c>
      <c r="AJ980" s="175">
        <v>11</v>
      </c>
      <c r="AK980" s="175">
        <v>17</v>
      </c>
      <c r="AL980" s="175">
        <v>20</v>
      </c>
      <c r="AM980" s="175">
        <v>23</v>
      </c>
      <c r="AN980" s="175">
        <v>0</v>
      </c>
      <c r="AO980" s="175">
        <v>75</v>
      </c>
      <c r="AP980" s="175">
        <v>23</v>
      </c>
      <c r="AQ980" s="175">
        <v>6</v>
      </c>
      <c r="AR980" s="175">
        <v>4</v>
      </c>
      <c r="AS980" s="175">
        <v>55</v>
      </c>
      <c r="AT980" s="175">
        <v>1</v>
      </c>
    </row>
    <row r="981" spans="1:46">
      <c r="A981">
        <v>20245</v>
      </c>
      <c r="B981" t="s">
        <v>6530</v>
      </c>
      <c r="C981" t="s">
        <v>6246</v>
      </c>
      <c r="E981" t="s">
        <v>6531</v>
      </c>
      <c r="G981" t="s">
        <v>4576</v>
      </c>
      <c r="H981" t="s">
        <v>449</v>
      </c>
      <c r="J981" t="s">
        <v>605</v>
      </c>
      <c r="K981" t="s">
        <v>606</v>
      </c>
      <c r="M981" t="s">
        <v>607</v>
      </c>
      <c r="N981" t="s">
        <v>4586</v>
      </c>
      <c r="O981" t="s">
        <v>738</v>
      </c>
      <c r="P981" t="s">
        <v>670</v>
      </c>
      <c r="Q981" t="s">
        <v>467</v>
      </c>
      <c r="R981" t="s">
        <v>724</v>
      </c>
      <c r="S981" t="s">
        <v>753</v>
      </c>
      <c r="T981" t="s">
        <v>613</v>
      </c>
      <c r="U981">
        <v>113300</v>
      </c>
      <c r="V981" t="s">
        <v>6148</v>
      </c>
      <c r="W981" t="s">
        <v>742</v>
      </c>
      <c r="X981" t="s">
        <v>6250</v>
      </c>
      <c r="Y981" t="s">
        <v>6251</v>
      </c>
      <c r="AA981" t="s">
        <v>4580</v>
      </c>
      <c r="AC981">
        <v>99210</v>
      </c>
      <c r="AD981" t="s">
        <v>4027</v>
      </c>
      <c r="AE981">
        <v>-36.606998519999998</v>
      </c>
      <c r="AF981">
        <v>174.67778810999999</v>
      </c>
      <c r="AG981" s="175">
        <v>60</v>
      </c>
      <c r="AH981" s="175">
        <v>0</v>
      </c>
      <c r="AI981" s="175">
        <v>0</v>
      </c>
      <c r="AJ981" s="175">
        <v>0</v>
      </c>
      <c r="AK981" s="175">
        <v>18</v>
      </c>
      <c r="AL981" s="175">
        <v>25</v>
      </c>
      <c r="AM981" s="175">
        <v>37</v>
      </c>
      <c r="AN981" s="175">
        <v>2</v>
      </c>
      <c r="AO981" s="175">
        <v>82</v>
      </c>
      <c r="AP981" s="175">
        <v>59</v>
      </c>
      <c r="AQ981" s="175">
        <v>2</v>
      </c>
      <c r="AR981" s="175">
        <v>2</v>
      </c>
      <c r="AS981" s="175">
        <v>29</v>
      </c>
      <c r="AT981" s="175">
        <v>0</v>
      </c>
    </row>
    <row r="982" spans="1:46">
      <c r="A982">
        <v>20247</v>
      </c>
      <c r="B982" t="s">
        <v>6532</v>
      </c>
      <c r="C982" t="s">
        <v>6533</v>
      </c>
      <c r="D982" t="s">
        <v>6534</v>
      </c>
      <c r="E982" t="s">
        <v>6535</v>
      </c>
      <c r="F982" t="s">
        <v>983</v>
      </c>
      <c r="G982" t="s">
        <v>737</v>
      </c>
      <c r="H982" t="s">
        <v>449</v>
      </c>
      <c r="J982" t="s">
        <v>4032</v>
      </c>
      <c r="K982" t="s">
        <v>606</v>
      </c>
      <c r="M982" t="s">
        <v>607</v>
      </c>
      <c r="N982" t="s">
        <v>643</v>
      </c>
      <c r="O982" t="s">
        <v>898</v>
      </c>
      <c r="P982" t="s">
        <v>739</v>
      </c>
      <c r="Q982" t="s">
        <v>467</v>
      </c>
      <c r="R982" t="s">
        <v>724</v>
      </c>
      <c r="S982" t="s">
        <v>984</v>
      </c>
      <c r="T982" t="s">
        <v>613</v>
      </c>
      <c r="U982">
        <v>125701</v>
      </c>
      <c r="V982" t="s">
        <v>5858</v>
      </c>
      <c r="W982" t="s">
        <v>900</v>
      </c>
      <c r="X982" t="s">
        <v>6536</v>
      </c>
      <c r="Y982" t="s">
        <v>4725</v>
      </c>
      <c r="Z982" t="s">
        <v>1043</v>
      </c>
      <c r="AA982" t="s">
        <v>4726</v>
      </c>
      <c r="AB982" t="s">
        <v>6537</v>
      </c>
      <c r="AE982">
        <v>-36.865131650000002</v>
      </c>
      <c r="AF982">
        <v>174.6150461</v>
      </c>
      <c r="AG982" s="175">
        <v>125</v>
      </c>
      <c r="AH982" s="175">
        <v>35</v>
      </c>
      <c r="AI982" s="175">
        <v>3</v>
      </c>
      <c r="AJ982" s="175">
        <v>11</v>
      </c>
      <c r="AK982" s="175">
        <v>19</v>
      </c>
      <c r="AL982" s="175">
        <v>20</v>
      </c>
      <c r="AM982" s="175">
        <v>23</v>
      </c>
      <c r="AN982" s="175">
        <v>1</v>
      </c>
      <c r="AO982" s="175">
        <v>77</v>
      </c>
      <c r="AP982" s="175">
        <v>38</v>
      </c>
      <c r="AQ982" s="175">
        <v>35</v>
      </c>
      <c r="AR982" s="175">
        <v>26</v>
      </c>
      <c r="AS982" s="175">
        <v>14</v>
      </c>
      <c r="AT982" s="175">
        <v>9</v>
      </c>
    </row>
    <row r="983" spans="1:46">
      <c r="A983">
        <v>20249</v>
      </c>
      <c r="B983" t="s">
        <v>6538</v>
      </c>
      <c r="C983" t="s">
        <v>6539</v>
      </c>
      <c r="E983" t="s">
        <v>6540</v>
      </c>
      <c r="F983" t="s">
        <v>848</v>
      </c>
      <c r="G983" t="s">
        <v>737</v>
      </c>
      <c r="H983" t="s">
        <v>449</v>
      </c>
      <c r="I983" t="s">
        <v>4134</v>
      </c>
      <c r="J983" t="s">
        <v>4032</v>
      </c>
      <c r="K983" t="s">
        <v>606</v>
      </c>
      <c r="M983" t="s">
        <v>607</v>
      </c>
      <c r="N983" t="s">
        <v>4586</v>
      </c>
      <c r="O983" t="s">
        <v>823</v>
      </c>
      <c r="P983" t="s">
        <v>739</v>
      </c>
      <c r="Q983" t="s">
        <v>467</v>
      </c>
      <c r="R983" t="s">
        <v>724</v>
      </c>
      <c r="S983" t="s">
        <v>841</v>
      </c>
      <c r="T983" t="s">
        <v>613</v>
      </c>
      <c r="U983">
        <v>127400</v>
      </c>
      <c r="V983" t="s">
        <v>849</v>
      </c>
      <c r="W983" t="s">
        <v>826</v>
      </c>
      <c r="X983" t="s">
        <v>6541</v>
      </c>
      <c r="Y983" t="s">
        <v>6540</v>
      </c>
      <c r="Z983" t="s">
        <v>848</v>
      </c>
      <c r="AA983" t="s">
        <v>4432</v>
      </c>
      <c r="AE983">
        <v>-36.816562500000003</v>
      </c>
      <c r="AF983">
        <v>174.73151139999999</v>
      </c>
      <c r="AG983" s="175">
        <v>30</v>
      </c>
      <c r="AH983" s="175">
        <v>0</v>
      </c>
      <c r="AI983" s="175">
        <v>0</v>
      </c>
      <c r="AJ983" s="175">
        <v>0</v>
      </c>
      <c r="AK983" s="175">
        <v>10</v>
      </c>
      <c r="AL983" s="175">
        <v>12</v>
      </c>
      <c r="AM983" s="175">
        <v>10</v>
      </c>
      <c r="AN983" s="175">
        <v>0</v>
      </c>
      <c r="AO983" s="175">
        <v>32</v>
      </c>
      <c r="AP983" s="175">
        <v>28</v>
      </c>
      <c r="AQ983" s="175">
        <v>3</v>
      </c>
      <c r="AR983" s="175">
        <v>3</v>
      </c>
      <c r="AS983" s="175">
        <v>6</v>
      </c>
      <c r="AT983" s="175">
        <v>0</v>
      </c>
    </row>
    <row r="984" spans="1:46">
      <c r="A984">
        <v>20250</v>
      </c>
      <c r="B984" t="s">
        <v>6542</v>
      </c>
      <c r="C984" t="s">
        <v>6543</v>
      </c>
      <c r="D984" t="s">
        <v>6544</v>
      </c>
      <c r="E984" t="s">
        <v>6545</v>
      </c>
      <c r="F984" t="s">
        <v>983</v>
      </c>
      <c r="G984" t="s">
        <v>737</v>
      </c>
      <c r="H984" t="s">
        <v>449</v>
      </c>
      <c r="J984" t="s">
        <v>4032</v>
      </c>
      <c r="K984" t="s">
        <v>606</v>
      </c>
      <c r="M984" t="s">
        <v>607</v>
      </c>
      <c r="N984" t="s">
        <v>643</v>
      </c>
      <c r="O984" t="s">
        <v>898</v>
      </c>
      <c r="P984" t="s">
        <v>739</v>
      </c>
      <c r="Q984" t="s">
        <v>467</v>
      </c>
      <c r="R984" t="s">
        <v>724</v>
      </c>
      <c r="S984" t="s">
        <v>984</v>
      </c>
      <c r="T984" t="s">
        <v>613</v>
      </c>
      <c r="U984">
        <v>123800</v>
      </c>
      <c r="V984" t="s">
        <v>1200</v>
      </c>
      <c r="W984" t="s">
        <v>900</v>
      </c>
      <c r="X984" t="s">
        <v>6546</v>
      </c>
      <c r="Y984" t="s">
        <v>6545</v>
      </c>
      <c r="Z984" t="s">
        <v>983</v>
      </c>
      <c r="AA984" t="s">
        <v>4034</v>
      </c>
      <c r="AB984" t="s">
        <v>6543</v>
      </c>
      <c r="AE984">
        <v>-36.86248509</v>
      </c>
      <c r="AF984">
        <v>174.61167297</v>
      </c>
      <c r="AG984" s="175">
        <v>27</v>
      </c>
      <c r="AH984" s="175">
        <v>8</v>
      </c>
      <c r="AI984" s="175">
        <v>0</v>
      </c>
      <c r="AJ984" s="175">
        <v>2</v>
      </c>
      <c r="AK984" s="175">
        <v>10</v>
      </c>
      <c r="AL984" s="175">
        <v>4</v>
      </c>
      <c r="AM984" s="175">
        <v>8</v>
      </c>
      <c r="AN984" s="175">
        <v>1</v>
      </c>
      <c r="AO984" s="175">
        <v>25</v>
      </c>
      <c r="AP984" s="175">
        <v>11</v>
      </c>
      <c r="AQ984" s="175">
        <v>13</v>
      </c>
      <c r="AR984" s="175">
        <v>12</v>
      </c>
      <c r="AS984" s="175">
        <v>2</v>
      </c>
      <c r="AT984" s="175">
        <v>1</v>
      </c>
    </row>
    <row r="985" spans="1:46">
      <c r="A985">
        <v>20251</v>
      </c>
      <c r="B985" t="s">
        <v>6547</v>
      </c>
      <c r="C985" t="s">
        <v>6548</v>
      </c>
      <c r="D985" t="s">
        <v>6549</v>
      </c>
      <c r="E985" t="s">
        <v>6550</v>
      </c>
      <c r="F985" t="s">
        <v>1262</v>
      </c>
      <c r="G985" t="s">
        <v>737</v>
      </c>
      <c r="H985" t="s">
        <v>449</v>
      </c>
      <c r="J985" t="s">
        <v>4032</v>
      </c>
      <c r="K985" t="s">
        <v>606</v>
      </c>
      <c r="M985" t="s">
        <v>607</v>
      </c>
      <c r="N985" t="s">
        <v>657</v>
      </c>
      <c r="O985" t="s">
        <v>833</v>
      </c>
      <c r="P985" t="s">
        <v>739</v>
      </c>
      <c r="Q985" t="s">
        <v>467</v>
      </c>
      <c r="R985" t="s">
        <v>724</v>
      </c>
      <c r="S985" t="s">
        <v>767</v>
      </c>
      <c r="T985" t="s">
        <v>613</v>
      </c>
      <c r="U985">
        <v>126601</v>
      </c>
      <c r="V985" t="s">
        <v>6196</v>
      </c>
      <c r="W985" t="s">
        <v>826</v>
      </c>
      <c r="X985" t="s">
        <v>6551</v>
      </c>
      <c r="Y985" t="s">
        <v>6552</v>
      </c>
      <c r="Z985" t="s">
        <v>6227</v>
      </c>
      <c r="AA985" t="s">
        <v>6228</v>
      </c>
      <c r="AB985" t="s">
        <v>6553</v>
      </c>
      <c r="AE985">
        <v>-36.7884812</v>
      </c>
      <c r="AF985">
        <v>174.76309552000001</v>
      </c>
      <c r="AG985" s="175">
        <v>70</v>
      </c>
      <c r="AH985" s="175">
        <v>6</v>
      </c>
      <c r="AI985" s="175">
        <v>0</v>
      </c>
      <c r="AJ985" s="175">
        <v>4</v>
      </c>
      <c r="AK985" s="175">
        <v>13</v>
      </c>
      <c r="AL985" s="175">
        <v>23</v>
      </c>
      <c r="AM985" s="175">
        <v>16</v>
      </c>
      <c r="AN985" s="175">
        <v>3</v>
      </c>
      <c r="AO985" s="175">
        <v>59</v>
      </c>
      <c r="AP985" s="175">
        <v>21</v>
      </c>
      <c r="AQ985" s="175">
        <v>2</v>
      </c>
      <c r="AR985" s="175">
        <v>2</v>
      </c>
      <c r="AS985" s="175">
        <v>46</v>
      </c>
      <c r="AT985" s="175">
        <v>1</v>
      </c>
    </row>
    <row r="986" spans="1:46">
      <c r="A986">
        <v>20256</v>
      </c>
      <c r="B986" t="s">
        <v>6554</v>
      </c>
      <c r="C986" t="s">
        <v>6555</v>
      </c>
      <c r="D986" t="s">
        <v>6556</v>
      </c>
      <c r="E986" t="s">
        <v>6557</v>
      </c>
      <c r="F986" t="s">
        <v>1262</v>
      </c>
      <c r="G986" t="s">
        <v>737</v>
      </c>
      <c r="H986" t="s">
        <v>449</v>
      </c>
      <c r="J986" t="s">
        <v>4032</v>
      </c>
      <c r="K986" t="s">
        <v>606</v>
      </c>
      <c r="M986" t="s">
        <v>607</v>
      </c>
      <c r="N986" t="s">
        <v>657</v>
      </c>
      <c r="O986" t="s">
        <v>833</v>
      </c>
      <c r="P986" t="s">
        <v>739</v>
      </c>
      <c r="Q986" t="s">
        <v>467</v>
      </c>
      <c r="R986" t="s">
        <v>724</v>
      </c>
      <c r="S986" t="s">
        <v>767</v>
      </c>
      <c r="T986" t="s">
        <v>613</v>
      </c>
      <c r="U986">
        <v>126801</v>
      </c>
      <c r="V986" t="s">
        <v>1263</v>
      </c>
      <c r="W986" t="s">
        <v>826</v>
      </c>
      <c r="X986" t="s">
        <v>6558</v>
      </c>
      <c r="Y986" t="s">
        <v>4248</v>
      </c>
      <c r="Z986" t="s">
        <v>4249</v>
      </c>
      <c r="AA986" t="s">
        <v>4250</v>
      </c>
      <c r="AB986" t="s">
        <v>6559</v>
      </c>
      <c r="AC986">
        <v>99188</v>
      </c>
      <c r="AD986" t="s">
        <v>871</v>
      </c>
      <c r="AE986">
        <v>-36.787454279999999</v>
      </c>
      <c r="AF986">
        <v>174.76898363999999</v>
      </c>
      <c r="AG986" s="175">
        <v>70</v>
      </c>
      <c r="AH986" s="175">
        <v>25</v>
      </c>
      <c r="AI986" s="175">
        <v>2</v>
      </c>
      <c r="AJ986" s="175">
        <v>10</v>
      </c>
      <c r="AK986" s="175">
        <v>11</v>
      </c>
      <c r="AL986" s="175">
        <v>11</v>
      </c>
      <c r="AM986" s="175">
        <v>16</v>
      </c>
      <c r="AN986" s="175">
        <v>0</v>
      </c>
      <c r="AO986" s="175">
        <v>50</v>
      </c>
      <c r="AP986" s="175">
        <v>23</v>
      </c>
      <c r="AQ986" s="175">
        <v>8</v>
      </c>
      <c r="AR986" s="175">
        <v>0</v>
      </c>
      <c r="AS986" s="175">
        <v>23</v>
      </c>
      <c r="AT986" s="175">
        <v>7</v>
      </c>
    </row>
    <row r="987" spans="1:46">
      <c r="A987">
        <v>20259</v>
      </c>
      <c r="B987" t="s">
        <v>6560</v>
      </c>
      <c r="C987" t="s">
        <v>6561</v>
      </c>
      <c r="E987" t="s">
        <v>6562</v>
      </c>
      <c r="G987" t="s">
        <v>784</v>
      </c>
      <c r="H987" t="s">
        <v>449</v>
      </c>
      <c r="J987" t="s">
        <v>4032</v>
      </c>
      <c r="K987" t="s">
        <v>606</v>
      </c>
      <c r="M987" t="s">
        <v>607</v>
      </c>
      <c r="N987" t="s">
        <v>657</v>
      </c>
      <c r="O987" t="s">
        <v>738</v>
      </c>
      <c r="P987" t="s">
        <v>670</v>
      </c>
      <c r="Q987" t="s">
        <v>467</v>
      </c>
      <c r="R987" t="s">
        <v>724</v>
      </c>
      <c r="S987" t="s">
        <v>753</v>
      </c>
      <c r="T987" t="s">
        <v>613</v>
      </c>
      <c r="U987">
        <v>114400</v>
      </c>
      <c r="V987" t="s">
        <v>5186</v>
      </c>
      <c r="W987" t="s">
        <v>742</v>
      </c>
      <c r="X987" t="s">
        <v>6563</v>
      </c>
      <c r="Y987" t="s">
        <v>6564</v>
      </c>
      <c r="AA987" t="s">
        <v>6565</v>
      </c>
      <c r="AC987">
        <v>99095</v>
      </c>
      <c r="AD987" t="s">
        <v>786</v>
      </c>
      <c r="AE987">
        <v>-36.617537419999998</v>
      </c>
      <c r="AF987">
        <v>174.71360227</v>
      </c>
      <c r="AG987" s="175">
        <v>70</v>
      </c>
      <c r="AH987" s="175">
        <v>25</v>
      </c>
      <c r="AI987" s="175">
        <v>4</v>
      </c>
      <c r="AJ987" s="175">
        <v>11</v>
      </c>
      <c r="AK987" s="175">
        <v>19</v>
      </c>
      <c r="AL987" s="175">
        <v>16</v>
      </c>
      <c r="AM987" s="175">
        <v>9</v>
      </c>
      <c r="AN987" s="175">
        <v>2</v>
      </c>
      <c r="AO987" s="175">
        <v>61</v>
      </c>
      <c r="AP987" s="175">
        <v>56</v>
      </c>
      <c r="AQ987" s="175">
        <v>19</v>
      </c>
      <c r="AR987" s="175">
        <v>8</v>
      </c>
      <c r="AS987" s="175">
        <v>4</v>
      </c>
      <c r="AT987" s="175">
        <v>0</v>
      </c>
    </row>
    <row r="988" spans="1:46">
      <c r="A988">
        <v>20260</v>
      </c>
      <c r="B988" t="s">
        <v>6566</v>
      </c>
      <c r="C988" t="s">
        <v>6567</v>
      </c>
      <c r="D988" t="s">
        <v>6568</v>
      </c>
      <c r="E988" t="s">
        <v>6569</v>
      </c>
      <c r="F988" t="s">
        <v>5242</v>
      </c>
      <c r="G988" t="s">
        <v>737</v>
      </c>
      <c r="H988" t="s">
        <v>449</v>
      </c>
      <c r="J988" t="s">
        <v>4032</v>
      </c>
      <c r="K988" t="s">
        <v>606</v>
      </c>
      <c r="M988" t="s">
        <v>607</v>
      </c>
      <c r="N988" t="s">
        <v>657</v>
      </c>
      <c r="O988" t="s">
        <v>889</v>
      </c>
      <c r="P988" t="s">
        <v>739</v>
      </c>
      <c r="Q988" t="s">
        <v>467</v>
      </c>
      <c r="R988" t="s">
        <v>793</v>
      </c>
      <c r="S988" t="s">
        <v>965</v>
      </c>
      <c r="T988" t="s">
        <v>794</v>
      </c>
      <c r="U988">
        <v>141801</v>
      </c>
      <c r="V988" t="s">
        <v>6570</v>
      </c>
      <c r="W988" t="s">
        <v>909</v>
      </c>
      <c r="X988" t="s">
        <v>4165</v>
      </c>
      <c r="Y988" t="s">
        <v>4166</v>
      </c>
      <c r="Z988" t="s">
        <v>4167</v>
      </c>
      <c r="AA988" t="s">
        <v>4168</v>
      </c>
      <c r="AB988" t="s">
        <v>4169</v>
      </c>
      <c r="AC988">
        <v>99100</v>
      </c>
      <c r="AD988" t="s">
        <v>1146</v>
      </c>
      <c r="AE988">
        <v>-36.852742839999998</v>
      </c>
      <c r="AF988">
        <v>174.84307989999999</v>
      </c>
      <c r="AG988" s="175">
        <v>50</v>
      </c>
      <c r="AH988" s="175">
        <v>20</v>
      </c>
      <c r="AI988" s="175">
        <v>0</v>
      </c>
      <c r="AJ988" s="175">
        <v>11</v>
      </c>
      <c r="AK988" s="175">
        <v>15</v>
      </c>
      <c r="AL988" s="175">
        <v>16</v>
      </c>
      <c r="AM988" s="175">
        <v>15</v>
      </c>
      <c r="AN988" s="175">
        <v>0</v>
      </c>
      <c r="AO988" s="175">
        <v>57</v>
      </c>
      <c r="AP988" s="175">
        <v>53</v>
      </c>
      <c r="AQ988" s="175">
        <v>5</v>
      </c>
      <c r="AR988" s="175">
        <v>3</v>
      </c>
      <c r="AS988" s="175">
        <v>5</v>
      </c>
      <c r="AT988" s="175">
        <v>3</v>
      </c>
    </row>
    <row r="989" spans="1:46">
      <c r="A989">
        <v>20262</v>
      </c>
      <c r="B989" t="s">
        <v>6571</v>
      </c>
      <c r="C989" t="s">
        <v>6572</v>
      </c>
      <c r="D989" t="s">
        <v>6573</v>
      </c>
      <c r="E989" t="s">
        <v>6574</v>
      </c>
      <c r="G989" t="s">
        <v>6575</v>
      </c>
      <c r="H989" t="s">
        <v>452</v>
      </c>
      <c r="J989" t="s">
        <v>605</v>
      </c>
      <c r="K989" t="s">
        <v>606</v>
      </c>
      <c r="M989" t="s">
        <v>607</v>
      </c>
      <c r="N989" t="s">
        <v>657</v>
      </c>
      <c r="O989" t="s">
        <v>723</v>
      </c>
      <c r="P989" t="s">
        <v>610</v>
      </c>
      <c r="Q989" t="s">
        <v>467</v>
      </c>
      <c r="R989" t="s">
        <v>724</v>
      </c>
      <c r="S989" t="s">
        <v>725</v>
      </c>
      <c r="T989" t="s">
        <v>613</v>
      </c>
      <c r="U989">
        <v>111700</v>
      </c>
      <c r="V989" t="s">
        <v>6575</v>
      </c>
      <c r="W989" t="s">
        <v>726</v>
      </c>
      <c r="X989" t="s">
        <v>727</v>
      </c>
      <c r="Y989" t="s">
        <v>728</v>
      </c>
      <c r="Z989" t="s">
        <v>729</v>
      </c>
      <c r="AA989" t="s">
        <v>730</v>
      </c>
      <c r="AB989" t="s">
        <v>731</v>
      </c>
      <c r="AE989">
        <v>-36.421222030000003</v>
      </c>
      <c r="AF989">
        <v>174.72323157</v>
      </c>
      <c r="AG989" s="175">
        <v>30</v>
      </c>
      <c r="AH989" s="175">
        <v>0</v>
      </c>
      <c r="AI989" s="175">
        <v>0</v>
      </c>
      <c r="AJ989" s="175">
        <v>0</v>
      </c>
      <c r="AK989" s="175">
        <v>7</v>
      </c>
      <c r="AL989" s="175">
        <v>17</v>
      </c>
      <c r="AM989" s="175">
        <v>18</v>
      </c>
      <c r="AN989" s="175">
        <v>1</v>
      </c>
      <c r="AO989" s="175">
        <v>43</v>
      </c>
      <c r="AP989" s="175">
        <v>41</v>
      </c>
      <c r="AQ989" s="175">
        <v>7</v>
      </c>
      <c r="AR989" s="175">
        <v>1</v>
      </c>
      <c r="AS989" s="175">
        <v>2</v>
      </c>
      <c r="AT989" s="175">
        <v>1</v>
      </c>
    </row>
    <row r="990" spans="1:46">
      <c r="A990">
        <v>20263</v>
      </c>
      <c r="B990" t="s">
        <v>6576</v>
      </c>
      <c r="C990" t="s">
        <v>6577</v>
      </c>
      <c r="D990" t="s">
        <v>6578</v>
      </c>
      <c r="E990" t="s">
        <v>6579</v>
      </c>
      <c r="F990" t="s">
        <v>907</v>
      </c>
      <c r="G990" t="s">
        <v>737</v>
      </c>
      <c r="H990" t="s">
        <v>449</v>
      </c>
      <c r="J990" t="s">
        <v>605</v>
      </c>
      <c r="K990" t="s">
        <v>606</v>
      </c>
      <c r="M990" t="s">
        <v>607</v>
      </c>
      <c r="N990" t="s">
        <v>657</v>
      </c>
      <c r="O990" t="s">
        <v>942</v>
      </c>
      <c r="P990" t="s">
        <v>739</v>
      </c>
      <c r="Q990" t="s">
        <v>467</v>
      </c>
      <c r="R990" t="s">
        <v>793</v>
      </c>
      <c r="S990" t="s">
        <v>907</v>
      </c>
      <c r="T990" t="s">
        <v>794</v>
      </c>
      <c r="U990">
        <v>138700</v>
      </c>
      <c r="V990" t="s">
        <v>6580</v>
      </c>
      <c r="W990" t="s">
        <v>945</v>
      </c>
      <c r="X990" t="s">
        <v>4013</v>
      </c>
      <c r="Y990" t="s">
        <v>4014</v>
      </c>
      <c r="Z990" t="s">
        <v>4015</v>
      </c>
      <c r="AA990" t="s">
        <v>4016</v>
      </c>
      <c r="AB990" t="s">
        <v>4017</v>
      </c>
      <c r="AE990">
        <v>-36.881287380000003</v>
      </c>
      <c r="AF990">
        <v>174.77161622</v>
      </c>
      <c r="AG990" s="175">
        <v>65</v>
      </c>
      <c r="AH990" s="175">
        <v>20</v>
      </c>
      <c r="AI990" s="175">
        <v>3</v>
      </c>
      <c r="AJ990" s="175">
        <v>17</v>
      </c>
      <c r="AK990" s="175">
        <v>12</v>
      </c>
      <c r="AL990" s="175">
        <v>14</v>
      </c>
      <c r="AM990" s="175">
        <v>17</v>
      </c>
      <c r="AN990" s="175">
        <v>1</v>
      </c>
      <c r="AO990" s="175">
        <v>64</v>
      </c>
      <c r="AP990" s="175">
        <v>24</v>
      </c>
      <c r="AQ990" s="175">
        <v>3</v>
      </c>
      <c r="AR990" s="175">
        <v>8</v>
      </c>
      <c r="AS990" s="175">
        <v>34</v>
      </c>
      <c r="AT990" s="175">
        <v>12</v>
      </c>
    </row>
    <row r="991" spans="1:46">
      <c r="A991">
        <v>20264</v>
      </c>
      <c r="B991" t="s">
        <v>6581</v>
      </c>
      <c r="C991" t="s">
        <v>6582</v>
      </c>
      <c r="D991" t="s">
        <v>6583</v>
      </c>
      <c r="E991" t="s">
        <v>6584</v>
      </c>
      <c r="F991" t="s">
        <v>6042</v>
      </c>
      <c r="G991" t="s">
        <v>737</v>
      </c>
      <c r="H991" t="s">
        <v>449</v>
      </c>
      <c r="J991" t="s">
        <v>605</v>
      </c>
      <c r="K991" t="s">
        <v>606</v>
      </c>
      <c r="M991" t="s">
        <v>607</v>
      </c>
      <c r="N991" t="s">
        <v>657</v>
      </c>
      <c r="O991" t="s">
        <v>942</v>
      </c>
      <c r="P991" t="s">
        <v>739</v>
      </c>
      <c r="Q991" t="s">
        <v>467</v>
      </c>
      <c r="R991" t="s">
        <v>793</v>
      </c>
      <c r="S991" t="s">
        <v>943</v>
      </c>
      <c r="T991" t="s">
        <v>794</v>
      </c>
      <c r="U991">
        <v>129902</v>
      </c>
      <c r="V991" t="s">
        <v>6585</v>
      </c>
      <c r="W991" t="s">
        <v>945</v>
      </c>
      <c r="X991" t="s">
        <v>6586</v>
      </c>
      <c r="Y991" t="s">
        <v>6584</v>
      </c>
      <c r="Z991" t="s">
        <v>6042</v>
      </c>
      <c r="AA991" t="s">
        <v>6587</v>
      </c>
      <c r="AB991" t="s">
        <v>6582</v>
      </c>
      <c r="AE991">
        <v>-36.86898017</v>
      </c>
      <c r="AF991">
        <v>174.71035577000001</v>
      </c>
      <c r="AG991" s="175">
        <v>22</v>
      </c>
      <c r="AH991" s="175">
        <v>0</v>
      </c>
      <c r="AI991" s="175">
        <v>0</v>
      </c>
      <c r="AJ991" s="175">
        <v>0</v>
      </c>
      <c r="AK991" s="175">
        <v>6</v>
      </c>
      <c r="AL991" s="175">
        <v>17</v>
      </c>
      <c r="AM991" s="175">
        <v>10</v>
      </c>
      <c r="AN991" s="175">
        <v>0</v>
      </c>
      <c r="AO991" s="175">
        <v>33</v>
      </c>
      <c r="AP991" s="175">
        <v>30</v>
      </c>
      <c r="AQ991" s="175">
        <v>2</v>
      </c>
      <c r="AR991" s="175">
        <v>2</v>
      </c>
      <c r="AS991" s="175">
        <v>2</v>
      </c>
      <c r="AT991" s="175">
        <v>2</v>
      </c>
    </row>
    <row r="992" spans="1:46">
      <c r="A992">
        <v>20265</v>
      </c>
      <c r="B992" t="s">
        <v>6588</v>
      </c>
      <c r="C992" t="s">
        <v>6589</v>
      </c>
      <c r="D992" t="s">
        <v>6590</v>
      </c>
      <c r="E992" t="s">
        <v>6591</v>
      </c>
      <c r="F992" t="s">
        <v>940</v>
      </c>
      <c r="G992" t="s">
        <v>737</v>
      </c>
      <c r="H992" t="s">
        <v>449</v>
      </c>
      <c r="J992" t="s">
        <v>605</v>
      </c>
      <c r="K992" t="s">
        <v>606</v>
      </c>
      <c r="M992" t="s">
        <v>607</v>
      </c>
      <c r="N992" t="s">
        <v>657</v>
      </c>
      <c r="O992" t="s">
        <v>942</v>
      </c>
      <c r="P992" t="s">
        <v>739</v>
      </c>
      <c r="Q992" t="s">
        <v>467</v>
      </c>
      <c r="R992" t="s">
        <v>793</v>
      </c>
      <c r="S992" t="s">
        <v>943</v>
      </c>
      <c r="T992" t="s">
        <v>794</v>
      </c>
      <c r="U992">
        <v>134200</v>
      </c>
      <c r="V992" t="s">
        <v>944</v>
      </c>
      <c r="W992" t="s">
        <v>945</v>
      </c>
      <c r="X992" t="s">
        <v>6592</v>
      </c>
      <c r="Y992" t="s">
        <v>6591</v>
      </c>
      <c r="Z992" t="s">
        <v>4589</v>
      </c>
      <c r="AA992" t="s">
        <v>4942</v>
      </c>
      <c r="AB992" t="s">
        <v>6589</v>
      </c>
      <c r="AC992">
        <v>99150</v>
      </c>
      <c r="AD992" t="s">
        <v>946</v>
      </c>
      <c r="AE992">
        <v>-36.891613810000003</v>
      </c>
      <c r="AF992">
        <v>174.72506995000001</v>
      </c>
      <c r="AG992" s="175">
        <v>60</v>
      </c>
      <c r="AH992" s="175">
        <v>30</v>
      </c>
      <c r="AI992" s="175">
        <v>2</v>
      </c>
      <c r="AJ992" s="175">
        <v>16</v>
      </c>
      <c r="AK992" s="175">
        <v>21</v>
      </c>
      <c r="AL992" s="175">
        <v>10</v>
      </c>
      <c r="AM992" s="175">
        <v>10</v>
      </c>
      <c r="AN992" s="175">
        <v>1</v>
      </c>
      <c r="AO992" s="175">
        <v>60</v>
      </c>
      <c r="AP992" s="175">
        <v>47</v>
      </c>
      <c r="AQ992" s="175">
        <v>4</v>
      </c>
      <c r="AR992" s="175">
        <v>2</v>
      </c>
      <c r="AS992" s="175">
        <v>20</v>
      </c>
      <c r="AT992" s="175">
        <v>4</v>
      </c>
    </row>
    <row r="993" spans="1:46">
      <c r="A993">
        <v>20267</v>
      </c>
      <c r="B993" t="s">
        <v>6593</v>
      </c>
      <c r="E993" t="s">
        <v>4100</v>
      </c>
      <c r="F993" t="s">
        <v>4101</v>
      </c>
      <c r="G993" t="s">
        <v>737</v>
      </c>
      <c r="H993" t="s">
        <v>451</v>
      </c>
      <c r="I993" t="s">
        <v>4102</v>
      </c>
      <c r="J993" t="s">
        <v>605</v>
      </c>
      <c r="K993" t="s">
        <v>606</v>
      </c>
      <c r="M993" t="s">
        <v>607</v>
      </c>
      <c r="N993" t="s">
        <v>812</v>
      </c>
      <c r="O993" t="s">
        <v>1042</v>
      </c>
      <c r="P993" t="s">
        <v>739</v>
      </c>
      <c r="Q993" t="s">
        <v>467</v>
      </c>
      <c r="R993" t="s">
        <v>793</v>
      </c>
      <c r="S993" t="s">
        <v>1043</v>
      </c>
      <c r="T993" t="s">
        <v>794</v>
      </c>
      <c r="U993">
        <v>136100</v>
      </c>
      <c r="V993" t="s">
        <v>4101</v>
      </c>
      <c r="W993" t="s">
        <v>909</v>
      </c>
      <c r="X993" t="s">
        <v>4103</v>
      </c>
      <c r="Y993" t="s">
        <v>4104</v>
      </c>
      <c r="Z993" t="s">
        <v>4105</v>
      </c>
      <c r="AA993" t="s">
        <v>4106</v>
      </c>
      <c r="AB993" t="s">
        <v>4107</v>
      </c>
      <c r="AE993">
        <v>-36.860656560000002</v>
      </c>
      <c r="AF993">
        <v>174.76947483999999</v>
      </c>
      <c r="AG993" s="175">
        <v>32</v>
      </c>
      <c r="AH993" s="175">
        <v>32</v>
      </c>
      <c r="AI993" s="175"/>
      <c r="AJ993" s="175"/>
      <c r="AK993" s="175"/>
      <c r="AL993" s="175"/>
      <c r="AM993" s="175"/>
      <c r="AN993" s="175"/>
      <c r="AO993" s="175"/>
      <c r="AP993" s="175"/>
      <c r="AQ993" s="175"/>
      <c r="AR993" s="175"/>
      <c r="AS993" s="175"/>
    </row>
    <row r="994" spans="1:46">
      <c r="A994">
        <v>20268</v>
      </c>
      <c r="B994" t="s">
        <v>6594</v>
      </c>
      <c r="C994" t="s">
        <v>6595</v>
      </c>
      <c r="D994" t="s">
        <v>6596</v>
      </c>
      <c r="E994" t="s">
        <v>6597</v>
      </c>
      <c r="F994" t="s">
        <v>957</v>
      </c>
      <c r="G994" t="s">
        <v>737</v>
      </c>
      <c r="H994" t="s">
        <v>468</v>
      </c>
      <c r="I994" t="s">
        <v>4233</v>
      </c>
      <c r="J994" t="s">
        <v>605</v>
      </c>
      <c r="K994" t="s">
        <v>606</v>
      </c>
      <c r="M994" t="s">
        <v>607</v>
      </c>
      <c r="N994" t="s">
        <v>625</v>
      </c>
      <c r="O994" t="s">
        <v>958</v>
      </c>
      <c r="P994" t="s">
        <v>739</v>
      </c>
      <c r="Q994" t="s">
        <v>467</v>
      </c>
      <c r="R994" t="s">
        <v>724</v>
      </c>
      <c r="S994" t="s">
        <v>804</v>
      </c>
      <c r="T994" t="s">
        <v>794</v>
      </c>
      <c r="U994">
        <v>130801</v>
      </c>
      <c r="V994" t="s">
        <v>959</v>
      </c>
      <c r="W994" t="s">
        <v>900</v>
      </c>
      <c r="X994" t="s">
        <v>6598</v>
      </c>
      <c r="Y994" t="s">
        <v>6599</v>
      </c>
      <c r="Z994" t="s">
        <v>855</v>
      </c>
      <c r="AA994" t="s">
        <v>4400</v>
      </c>
      <c r="AB994" t="s">
        <v>6600</v>
      </c>
      <c r="AE994">
        <v>-36.909310580000003</v>
      </c>
      <c r="AF994">
        <v>174.65230278999999</v>
      </c>
      <c r="AG994" s="175">
        <v>35</v>
      </c>
      <c r="AH994" s="175">
        <v>10</v>
      </c>
      <c r="AI994" s="175">
        <v>0</v>
      </c>
      <c r="AJ994" s="175">
        <v>4</v>
      </c>
      <c r="AK994" s="175">
        <v>4</v>
      </c>
      <c r="AL994" s="175">
        <v>9</v>
      </c>
      <c r="AM994" s="175">
        <v>3</v>
      </c>
      <c r="AN994" s="175">
        <v>0</v>
      </c>
      <c r="AO994" s="175">
        <v>20</v>
      </c>
      <c r="AP994" s="175">
        <v>2</v>
      </c>
      <c r="AQ994" s="175">
        <v>4</v>
      </c>
      <c r="AR994" s="175">
        <v>20</v>
      </c>
      <c r="AS994" s="175">
        <v>0</v>
      </c>
      <c r="AT994" s="175">
        <v>0</v>
      </c>
    </row>
    <row r="995" spans="1:46">
      <c r="A995">
        <v>20280</v>
      </c>
      <c r="B995" t="s">
        <v>6601</v>
      </c>
      <c r="C995" t="s">
        <v>6602</v>
      </c>
      <c r="D995" t="s">
        <v>6603</v>
      </c>
      <c r="E995" t="s">
        <v>6604</v>
      </c>
      <c r="F995" t="s">
        <v>802</v>
      </c>
      <c r="G995" t="s">
        <v>737</v>
      </c>
      <c r="H995" t="s">
        <v>449</v>
      </c>
      <c r="J995" t="s">
        <v>605</v>
      </c>
      <c r="K995" t="s">
        <v>606</v>
      </c>
      <c r="M995" t="s">
        <v>607</v>
      </c>
      <c r="N995" t="s">
        <v>657</v>
      </c>
      <c r="O995" t="s">
        <v>803</v>
      </c>
      <c r="P995" t="s">
        <v>739</v>
      </c>
      <c r="Q995" t="s">
        <v>467</v>
      </c>
      <c r="R995" t="s">
        <v>793</v>
      </c>
      <c r="S995" t="s">
        <v>855</v>
      </c>
      <c r="T995" t="s">
        <v>794</v>
      </c>
      <c r="U995">
        <v>137100</v>
      </c>
      <c r="V995" t="s">
        <v>6605</v>
      </c>
      <c r="W995" t="s">
        <v>806</v>
      </c>
      <c r="X995" t="s">
        <v>4013</v>
      </c>
      <c r="Y995" t="s">
        <v>4014</v>
      </c>
      <c r="Z995" t="s">
        <v>4015</v>
      </c>
      <c r="AA995" t="s">
        <v>4016</v>
      </c>
      <c r="AB995" t="s">
        <v>4017</v>
      </c>
      <c r="AE995">
        <v>-36.907028109999999</v>
      </c>
      <c r="AF995">
        <v>174.70013627</v>
      </c>
      <c r="AG995" s="175">
        <v>95</v>
      </c>
      <c r="AH995" s="175">
        <v>25</v>
      </c>
      <c r="AI995" s="175">
        <v>1</v>
      </c>
      <c r="AJ995" s="175">
        <v>15</v>
      </c>
      <c r="AK995" s="175">
        <v>24</v>
      </c>
      <c r="AL995" s="175">
        <v>24</v>
      </c>
      <c r="AM995" s="175">
        <v>27</v>
      </c>
      <c r="AN995" s="175">
        <v>0</v>
      </c>
      <c r="AO995" s="175">
        <v>91</v>
      </c>
      <c r="AP995" s="175">
        <v>4</v>
      </c>
      <c r="AQ995" s="175">
        <v>3</v>
      </c>
      <c r="AR995" s="175">
        <v>8</v>
      </c>
      <c r="AS995" s="175">
        <v>76</v>
      </c>
      <c r="AT995" s="175">
        <v>5</v>
      </c>
    </row>
    <row r="996" spans="1:46">
      <c r="A996">
        <v>20286</v>
      </c>
      <c r="B996" t="s">
        <v>6606</v>
      </c>
      <c r="C996" t="s">
        <v>6607</v>
      </c>
      <c r="D996" t="s">
        <v>6608</v>
      </c>
      <c r="E996" t="s">
        <v>6609</v>
      </c>
      <c r="F996" t="s">
        <v>802</v>
      </c>
      <c r="G996" t="s">
        <v>737</v>
      </c>
      <c r="H996" t="s">
        <v>449</v>
      </c>
      <c r="J996" t="s">
        <v>4032</v>
      </c>
      <c r="K996" t="s">
        <v>606</v>
      </c>
      <c r="M996" t="s">
        <v>607</v>
      </c>
      <c r="N996" t="s">
        <v>643</v>
      </c>
      <c r="O996" t="s">
        <v>803</v>
      </c>
      <c r="P996" t="s">
        <v>739</v>
      </c>
      <c r="Q996" t="s">
        <v>467</v>
      </c>
      <c r="R996" t="s">
        <v>793</v>
      </c>
      <c r="S996" t="s">
        <v>804</v>
      </c>
      <c r="T996" t="s">
        <v>794</v>
      </c>
      <c r="U996">
        <v>131700</v>
      </c>
      <c r="V996" t="s">
        <v>4699</v>
      </c>
      <c r="W996" t="s">
        <v>806</v>
      </c>
      <c r="X996" t="s">
        <v>6610</v>
      </c>
      <c r="Y996" t="s">
        <v>6611</v>
      </c>
      <c r="Z996" t="s">
        <v>4040</v>
      </c>
      <c r="AA996" t="s">
        <v>4045</v>
      </c>
      <c r="AB996" t="s">
        <v>6612</v>
      </c>
      <c r="AE996">
        <v>-36.895913589999999</v>
      </c>
      <c r="AF996">
        <v>174.68254357999999</v>
      </c>
      <c r="AG996" s="175">
        <v>33</v>
      </c>
      <c r="AH996" s="175">
        <v>8</v>
      </c>
      <c r="AI996" s="175">
        <v>2</v>
      </c>
      <c r="AJ996" s="175">
        <v>6</v>
      </c>
      <c r="AK996" s="175">
        <v>10</v>
      </c>
      <c r="AL996" s="175">
        <v>8</v>
      </c>
      <c r="AM996" s="175">
        <v>6</v>
      </c>
      <c r="AN996" s="175">
        <v>0</v>
      </c>
      <c r="AO996" s="175">
        <v>32</v>
      </c>
      <c r="AP996" s="175">
        <v>12</v>
      </c>
      <c r="AQ996" s="175">
        <v>10</v>
      </c>
      <c r="AR996" s="175">
        <v>12</v>
      </c>
      <c r="AS996" s="175">
        <v>11</v>
      </c>
      <c r="AT996" s="175">
        <v>0</v>
      </c>
    </row>
    <row r="997" spans="1:46">
      <c r="A997">
        <v>20287</v>
      </c>
      <c r="B997" t="s">
        <v>6613</v>
      </c>
      <c r="C997" t="s">
        <v>6614</v>
      </c>
      <c r="D997" t="s">
        <v>6615</v>
      </c>
      <c r="E997" t="s">
        <v>6616</v>
      </c>
      <c r="F997" t="s">
        <v>1274</v>
      </c>
      <c r="G997" t="s">
        <v>737</v>
      </c>
      <c r="H997" t="s">
        <v>449</v>
      </c>
      <c r="J997" t="s">
        <v>605</v>
      </c>
      <c r="K997" t="s">
        <v>606</v>
      </c>
      <c r="M997" t="s">
        <v>607</v>
      </c>
      <c r="N997" t="s">
        <v>657</v>
      </c>
      <c r="O997" t="s">
        <v>898</v>
      </c>
      <c r="P997" t="s">
        <v>739</v>
      </c>
      <c r="Q997" t="s">
        <v>467</v>
      </c>
      <c r="R997" t="s">
        <v>724</v>
      </c>
      <c r="S997" t="s">
        <v>984</v>
      </c>
      <c r="T997" t="s">
        <v>794</v>
      </c>
      <c r="U997">
        <v>127701</v>
      </c>
      <c r="V997" t="s">
        <v>6617</v>
      </c>
      <c r="W997" t="s">
        <v>900</v>
      </c>
      <c r="X997" t="s">
        <v>6618</v>
      </c>
      <c r="Y997" t="s">
        <v>6616</v>
      </c>
      <c r="Z997" t="s">
        <v>6619</v>
      </c>
      <c r="AA997" t="s">
        <v>4374</v>
      </c>
      <c r="AB997" t="s">
        <v>6614</v>
      </c>
      <c r="AC997">
        <v>99013</v>
      </c>
      <c r="AD997" t="s">
        <v>1276</v>
      </c>
      <c r="AE997">
        <v>-36.87086394</v>
      </c>
      <c r="AF997">
        <v>174.65081810999999</v>
      </c>
      <c r="AG997" s="175">
        <v>30</v>
      </c>
      <c r="AH997" s="175">
        <v>0</v>
      </c>
      <c r="AI997" s="175">
        <v>0</v>
      </c>
      <c r="AJ997" s="175">
        <v>0</v>
      </c>
      <c r="AK997" s="175">
        <v>4</v>
      </c>
      <c r="AL997" s="175">
        <v>5</v>
      </c>
      <c r="AM997" s="175">
        <v>21</v>
      </c>
      <c r="AN997" s="175">
        <v>2</v>
      </c>
      <c r="AO997" s="175">
        <v>32</v>
      </c>
      <c r="AP997" s="175">
        <v>20</v>
      </c>
      <c r="AQ997" s="175">
        <v>2</v>
      </c>
      <c r="AR997" s="175">
        <v>7</v>
      </c>
      <c r="AS997" s="175">
        <v>7</v>
      </c>
      <c r="AT997" s="175">
        <v>4</v>
      </c>
    </row>
    <row r="998" spans="1:46">
      <c r="A998">
        <v>20289</v>
      </c>
      <c r="B998" t="s">
        <v>6620</v>
      </c>
      <c r="C998" t="s">
        <v>6621</v>
      </c>
      <c r="D998" t="s">
        <v>6622</v>
      </c>
      <c r="E998" t="s">
        <v>6623</v>
      </c>
      <c r="F998" t="s">
        <v>6624</v>
      </c>
      <c r="G998" t="s">
        <v>737</v>
      </c>
      <c r="H998" t="s">
        <v>449</v>
      </c>
      <c r="J998" t="s">
        <v>605</v>
      </c>
      <c r="K998" t="s">
        <v>606</v>
      </c>
      <c r="M998" t="s">
        <v>607</v>
      </c>
      <c r="N998" t="s">
        <v>643</v>
      </c>
      <c r="O998" t="s">
        <v>958</v>
      </c>
      <c r="P998" t="s">
        <v>739</v>
      </c>
      <c r="Q998" t="s">
        <v>467</v>
      </c>
      <c r="R998" t="s">
        <v>724</v>
      </c>
      <c r="S998" t="s">
        <v>804</v>
      </c>
      <c r="T998" t="s">
        <v>794</v>
      </c>
      <c r="U998">
        <v>129000</v>
      </c>
      <c r="V998" t="s">
        <v>6020</v>
      </c>
      <c r="W998" t="s">
        <v>900</v>
      </c>
      <c r="X998" t="s">
        <v>4013</v>
      </c>
      <c r="Y998" t="s">
        <v>4014</v>
      </c>
      <c r="Z998" t="s">
        <v>4015</v>
      </c>
      <c r="AA998" t="s">
        <v>4016</v>
      </c>
      <c r="AB998" t="s">
        <v>4017</v>
      </c>
      <c r="AE998">
        <v>-36.901886269999999</v>
      </c>
      <c r="AF998">
        <v>174.63010362</v>
      </c>
      <c r="AG998" s="175">
        <v>40</v>
      </c>
      <c r="AH998" s="175">
        <v>0</v>
      </c>
      <c r="AI998" s="175">
        <v>0</v>
      </c>
      <c r="AJ998" s="175">
        <v>0</v>
      </c>
      <c r="AK998" s="175">
        <v>15</v>
      </c>
      <c r="AL998" s="175">
        <v>10</v>
      </c>
      <c r="AM998" s="175">
        <v>20</v>
      </c>
      <c r="AN998" s="175">
        <v>1</v>
      </c>
      <c r="AO998" s="175">
        <v>46</v>
      </c>
      <c r="AP998" s="175">
        <v>15</v>
      </c>
      <c r="AQ998" s="175">
        <v>16</v>
      </c>
      <c r="AR998" s="175">
        <v>20</v>
      </c>
      <c r="AS998" s="175">
        <v>19</v>
      </c>
      <c r="AT998" s="175">
        <v>0</v>
      </c>
    </row>
    <row r="999" spans="1:46">
      <c r="A999">
        <v>20290</v>
      </c>
      <c r="B999" t="s">
        <v>6625</v>
      </c>
      <c r="C999" t="s">
        <v>6626</v>
      </c>
      <c r="D999" t="s">
        <v>6431</v>
      </c>
      <c r="E999" t="s">
        <v>6432</v>
      </c>
      <c r="F999" t="s">
        <v>932</v>
      </c>
      <c r="G999" t="s">
        <v>737</v>
      </c>
      <c r="H999" t="s">
        <v>450</v>
      </c>
      <c r="J999" t="s">
        <v>605</v>
      </c>
      <c r="K999" t="s">
        <v>606</v>
      </c>
      <c r="M999" t="s">
        <v>607</v>
      </c>
      <c r="N999" t="s">
        <v>657</v>
      </c>
      <c r="O999" t="s">
        <v>933</v>
      </c>
      <c r="P999" t="s">
        <v>739</v>
      </c>
      <c r="Q999" t="s">
        <v>467</v>
      </c>
      <c r="R999" t="s">
        <v>814</v>
      </c>
      <c r="S999" t="s">
        <v>934</v>
      </c>
      <c r="T999" t="s">
        <v>794</v>
      </c>
      <c r="U999">
        <v>150200</v>
      </c>
      <c r="V999" t="s">
        <v>1025</v>
      </c>
      <c r="W999" t="s">
        <v>817</v>
      </c>
      <c r="X999" t="s">
        <v>6433</v>
      </c>
      <c r="Y999" t="s">
        <v>6434</v>
      </c>
      <c r="Z999" t="s">
        <v>4622</v>
      </c>
      <c r="AA999" t="s">
        <v>4623</v>
      </c>
      <c r="AB999" t="s">
        <v>6435</v>
      </c>
      <c r="AE999">
        <v>-36.970943439999999</v>
      </c>
      <c r="AF999">
        <v>174.79636905999999</v>
      </c>
      <c r="AG999" s="175">
        <v>60</v>
      </c>
      <c r="AH999" s="175">
        <v>60</v>
      </c>
      <c r="AI999" s="175">
        <v>5</v>
      </c>
      <c r="AJ999" s="175">
        <v>7</v>
      </c>
      <c r="AK999" s="175">
        <v>10</v>
      </c>
      <c r="AL999" s="175">
        <v>7</v>
      </c>
      <c r="AM999" s="175">
        <v>0</v>
      </c>
      <c r="AN999" s="175">
        <v>0</v>
      </c>
      <c r="AO999" s="175">
        <v>29</v>
      </c>
      <c r="AP999" s="175">
        <v>18</v>
      </c>
      <c r="AQ999" s="175">
        <v>3</v>
      </c>
      <c r="AR999" s="175">
        <v>2</v>
      </c>
      <c r="AS999" s="175">
        <v>11</v>
      </c>
      <c r="AT999" s="175">
        <v>2</v>
      </c>
    </row>
    <row r="1000" spans="1:46">
      <c r="A1000">
        <v>20292</v>
      </c>
      <c r="B1000" t="s">
        <v>6627</v>
      </c>
      <c r="C1000" t="s">
        <v>6628</v>
      </c>
      <c r="D1000" t="s">
        <v>6629</v>
      </c>
      <c r="E1000" t="s">
        <v>6630</v>
      </c>
      <c r="F1000" t="s">
        <v>6058</v>
      </c>
      <c r="G1000" t="s">
        <v>737</v>
      </c>
      <c r="H1000" t="s">
        <v>449</v>
      </c>
      <c r="J1000" t="s">
        <v>605</v>
      </c>
      <c r="K1000" t="s">
        <v>606</v>
      </c>
      <c r="M1000" t="s">
        <v>607</v>
      </c>
      <c r="N1000" t="s">
        <v>657</v>
      </c>
      <c r="O1000" t="s">
        <v>833</v>
      </c>
      <c r="P1000" t="s">
        <v>739</v>
      </c>
      <c r="Q1000" t="s">
        <v>467</v>
      </c>
      <c r="R1000" t="s">
        <v>724</v>
      </c>
      <c r="S1000" t="s">
        <v>767</v>
      </c>
      <c r="T1000" t="s">
        <v>613</v>
      </c>
      <c r="U1000">
        <v>129300</v>
      </c>
      <c r="V1000" t="s">
        <v>6059</v>
      </c>
      <c r="W1000" t="s">
        <v>826</v>
      </c>
      <c r="X1000" t="s">
        <v>6631</v>
      </c>
      <c r="Y1000" t="s">
        <v>6632</v>
      </c>
      <c r="AA1000" t="s">
        <v>4356</v>
      </c>
      <c r="AB1000" t="s">
        <v>6633</v>
      </c>
      <c r="AC1000">
        <v>99048</v>
      </c>
      <c r="AD1000" t="s">
        <v>835</v>
      </c>
      <c r="AE1000">
        <v>-36.806895969999999</v>
      </c>
      <c r="AF1000">
        <v>174.79091897000001</v>
      </c>
      <c r="AG1000" s="175">
        <v>21</v>
      </c>
      <c r="AH1000" s="175">
        <v>5</v>
      </c>
      <c r="AI1000" s="175">
        <v>0</v>
      </c>
      <c r="AJ1000" s="175">
        <v>1</v>
      </c>
      <c r="AK1000" s="175">
        <v>7</v>
      </c>
      <c r="AL1000" s="175">
        <v>14</v>
      </c>
      <c r="AM1000" s="175">
        <v>5</v>
      </c>
      <c r="AN1000" s="175">
        <v>3</v>
      </c>
      <c r="AO1000" s="175">
        <v>30</v>
      </c>
      <c r="AP1000" s="175">
        <v>20</v>
      </c>
      <c r="AQ1000" s="175">
        <v>4</v>
      </c>
      <c r="AR1000" s="175">
        <v>1</v>
      </c>
      <c r="AS1000" s="175">
        <v>7</v>
      </c>
      <c r="AT1000" s="175">
        <v>2</v>
      </c>
    </row>
    <row r="1001" spans="1:46">
      <c r="A1001">
        <v>20293</v>
      </c>
      <c r="B1001" t="s">
        <v>6634</v>
      </c>
      <c r="C1001" t="s">
        <v>6635</v>
      </c>
      <c r="D1001" t="s">
        <v>6636</v>
      </c>
      <c r="E1001" t="s">
        <v>6637</v>
      </c>
      <c r="F1001" t="s">
        <v>5926</v>
      </c>
      <c r="G1001" t="s">
        <v>737</v>
      </c>
      <c r="H1001" t="s">
        <v>449</v>
      </c>
      <c r="I1001" t="s">
        <v>4134</v>
      </c>
      <c r="J1001" t="s">
        <v>4032</v>
      </c>
      <c r="K1001" t="s">
        <v>606</v>
      </c>
      <c r="M1001" t="s">
        <v>607</v>
      </c>
      <c r="N1001" t="s">
        <v>657</v>
      </c>
      <c r="O1001" t="s">
        <v>833</v>
      </c>
      <c r="P1001" t="s">
        <v>739</v>
      </c>
      <c r="Q1001" t="s">
        <v>467</v>
      </c>
      <c r="R1001" t="s">
        <v>724</v>
      </c>
      <c r="S1001" t="s">
        <v>767</v>
      </c>
      <c r="T1001" t="s">
        <v>613</v>
      </c>
      <c r="U1001">
        <v>121200</v>
      </c>
      <c r="V1001" t="s">
        <v>6638</v>
      </c>
      <c r="W1001" t="s">
        <v>826</v>
      </c>
      <c r="X1001" t="s">
        <v>6639</v>
      </c>
      <c r="Y1001" t="s">
        <v>6637</v>
      </c>
      <c r="Z1001" t="s">
        <v>5926</v>
      </c>
      <c r="AA1001" t="s">
        <v>4977</v>
      </c>
      <c r="AC1001">
        <v>99000</v>
      </c>
      <c r="AD1001" t="s">
        <v>769</v>
      </c>
      <c r="AE1001">
        <v>-36.760488690000003</v>
      </c>
      <c r="AF1001">
        <v>174.73795537000001</v>
      </c>
      <c r="AG1001" s="175">
        <v>28</v>
      </c>
      <c r="AH1001" s="175">
        <v>0</v>
      </c>
      <c r="AI1001" s="175">
        <v>0</v>
      </c>
      <c r="AJ1001" s="175">
        <v>0</v>
      </c>
      <c r="AK1001" s="175">
        <v>2</v>
      </c>
      <c r="AL1001" s="175">
        <v>12</v>
      </c>
      <c r="AM1001" s="175">
        <v>10</v>
      </c>
      <c r="AN1001" s="175">
        <v>1</v>
      </c>
      <c r="AO1001" s="175">
        <v>25</v>
      </c>
      <c r="AP1001" s="175">
        <v>6</v>
      </c>
      <c r="AQ1001" s="175">
        <v>1</v>
      </c>
      <c r="AR1001" s="175">
        <v>0</v>
      </c>
      <c r="AS1001" s="175">
        <v>20</v>
      </c>
      <c r="AT1001" s="175">
        <v>4</v>
      </c>
    </row>
    <row r="1002" spans="1:46">
      <c r="A1002">
        <v>20294</v>
      </c>
      <c r="B1002" t="s">
        <v>6640</v>
      </c>
      <c r="C1002" t="s">
        <v>6641</v>
      </c>
      <c r="D1002" t="s">
        <v>6642</v>
      </c>
      <c r="E1002" t="s">
        <v>6643</v>
      </c>
      <c r="F1002" t="s">
        <v>6391</v>
      </c>
      <c r="G1002" t="s">
        <v>3694</v>
      </c>
      <c r="H1002" t="s">
        <v>449</v>
      </c>
      <c r="J1002" t="s">
        <v>4032</v>
      </c>
      <c r="K1002" t="s">
        <v>606</v>
      </c>
      <c r="M1002" t="s">
        <v>607</v>
      </c>
      <c r="N1002" t="s">
        <v>657</v>
      </c>
      <c r="O1002" t="s">
        <v>738</v>
      </c>
      <c r="P1002" t="s">
        <v>670</v>
      </c>
      <c r="Q1002" t="s">
        <v>467</v>
      </c>
      <c r="R1002" t="s">
        <v>724</v>
      </c>
      <c r="S1002" t="s">
        <v>753</v>
      </c>
      <c r="T1002" t="s">
        <v>613</v>
      </c>
      <c r="U1002">
        <v>115800</v>
      </c>
      <c r="V1002" t="s">
        <v>3695</v>
      </c>
      <c r="W1002" t="s">
        <v>742</v>
      </c>
      <c r="X1002" t="s">
        <v>6644</v>
      </c>
      <c r="Y1002" t="s">
        <v>6645</v>
      </c>
      <c r="AA1002" t="s">
        <v>6646</v>
      </c>
      <c r="AB1002" t="s">
        <v>6647</v>
      </c>
      <c r="AE1002">
        <v>-36.63292921</v>
      </c>
      <c r="AF1002">
        <v>174.76171409</v>
      </c>
      <c r="AG1002" s="175">
        <v>30</v>
      </c>
      <c r="AH1002" s="175">
        <v>12</v>
      </c>
      <c r="AI1002" s="175">
        <v>1</v>
      </c>
      <c r="AJ1002" s="175">
        <v>6</v>
      </c>
      <c r="AK1002" s="175">
        <v>10</v>
      </c>
      <c r="AL1002" s="175">
        <v>12</v>
      </c>
      <c r="AM1002" s="175">
        <v>9</v>
      </c>
      <c r="AN1002" s="175">
        <v>0</v>
      </c>
      <c r="AO1002" s="175">
        <v>38</v>
      </c>
      <c r="AP1002" s="175">
        <v>38</v>
      </c>
      <c r="AQ1002" s="175">
        <v>4</v>
      </c>
      <c r="AR1002" s="175">
        <v>2</v>
      </c>
      <c r="AS1002" s="175">
        <v>3</v>
      </c>
      <c r="AT1002" s="175">
        <v>2</v>
      </c>
    </row>
    <row r="1003" spans="1:46">
      <c r="A1003">
        <v>20295</v>
      </c>
      <c r="B1003" t="s">
        <v>6648</v>
      </c>
      <c r="C1003" t="s">
        <v>6649</v>
      </c>
      <c r="D1003" t="s">
        <v>6650</v>
      </c>
      <c r="E1003" t="s">
        <v>6651</v>
      </c>
      <c r="F1003" t="s">
        <v>932</v>
      </c>
      <c r="G1003" t="s">
        <v>737</v>
      </c>
      <c r="H1003" t="s">
        <v>449</v>
      </c>
      <c r="J1003" t="s">
        <v>605</v>
      </c>
      <c r="K1003" t="s">
        <v>606</v>
      </c>
      <c r="M1003" t="s">
        <v>607</v>
      </c>
      <c r="N1003" t="s">
        <v>608</v>
      </c>
      <c r="O1003" t="s">
        <v>933</v>
      </c>
      <c r="P1003" t="s">
        <v>739</v>
      </c>
      <c r="Q1003" t="s">
        <v>467</v>
      </c>
      <c r="R1003" t="s">
        <v>814</v>
      </c>
      <c r="S1003" t="s">
        <v>934</v>
      </c>
      <c r="T1003" t="s">
        <v>794</v>
      </c>
      <c r="U1003">
        <v>149400</v>
      </c>
      <c r="V1003" t="s">
        <v>6652</v>
      </c>
      <c r="W1003" t="s">
        <v>817</v>
      </c>
      <c r="X1003" t="s">
        <v>6653</v>
      </c>
      <c r="Y1003" t="s">
        <v>4166</v>
      </c>
      <c r="Z1003" t="s">
        <v>4167</v>
      </c>
      <c r="AA1003" t="s">
        <v>4026</v>
      </c>
      <c r="AB1003" t="s">
        <v>4169</v>
      </c>
      <c r="AC1003">
        <v>99124</v>
      </c>
      <c r="AD1003" t="s">
        <v>4646</v>
      </c>
      <c r="AE1003">
        <v>-36.954585799999997</v>
      </c>
      <c r="AF1003">
        <v>174.81531668</v>
      </c>
      <c r="AG1003" s="175">
        <v>110</v>
      </c>
      <c r="AH1003" s="175">
        <v>35</v>
      </c>
      <c r="AI1003" s="175">
        <v>8</v>
      </c>
      <c r="AJ1003" s="175">
        <v>17</v>
      </c>
      <c r="AK1003" s="175">
        <v>27</v>
      </c>
      <c r="AL1003" s="175">
        <v>26</v>
      </c>
      <c r="AM1003" s="175">
        <v>22</v>
      </c>
      <c r="AN1003" s="175">
        <v>1</v>
      </c>
      <c r="AO1003" s="175">
        <v>101</v>
      </c>
      <c r="AP1003" s="175">
        <v>19</v>
      </c>
      <c r="AQ1003" s="175">
        <v>38</v>
      </c>
      <c r="AR1003" s="175">
        <v>78</v>
      </c>
      <c r="AS1003" s="175">
        <v>18</v>
      </c>
      <c r="AT1003" s="175">
        <v>1</v>
      </c>
    </row>
    <row r="1004" spans="1:46">
      <c r="A1004">
        <v>20300</v>
      </c>
      <c r="B1004" t="s">
        <v>6654</v>
      </c>
      <c r="C1004" t="s">
        <v>6655</v>
      </c>
      <c r="E1004" t="s">
        <v>6656</v>
      </c>
      <c r="F1004" t="s">
        <v>855</v>
      </c>
      <c r="G1004" t="s">
        <v>737</v>
      </c>
      <c r="H1004" t="s">
        <v>449</v>
      </c>
      <c r="J1004" t="s">
        <v>4032</v>
      </c>
      <c r="K1004" t="s">
        <v>606</v>
      </c>
      <c r="M1004" t="s">
        <v>607</v>
      </c>
      <c r="N1004" t="s">
        <v>657</v>
      </c>
      <c r="O1004" t="s">
        <v>803</v>
      </c>
      <c r="P1004" t="s">
        <v>739</v>
      </c>
      <c r="Q1004" t="s">
        <v>467</v>
      </c>
      <c r="R1004" t="s">
        <v>724</v>
      </c>
      <c r="S1004" t="s">
        <v>855</v>
      </c>
      <c r="T1004" t="s">
        <v>794</v>
      </c>
      <c r="U1004">
        <v>135600</v>
      </c>
      <c r="V1004" t="s">
        <v>6657</v>
      </c>
      <c r="W1004" t="s">
        <v>806</v>
      </c>
      <c r="X1004" t="s">
        <v>6658</v>
      </c>
      <c r="Y1004" t="s">
        <v>6656</v>
      </c>
      <c r="Z1004" t="s">
        <v>855</v>
      </c>
      <c r="AA1004" t="s">
        <v>4400</v>
      </c>
      <c r="AB1004" t="s">
        <v>6655</v>
      </c>
      <c r="AE1004">
        <v>-36.915017509999998</v>
      </c>
      <c r="AF1004">
        <v>174.69057441999999</v>
      </c>
      <c r="AG1004" s="175">
        <v>45</v>
      </c>
      <c r="AH1004" s="175">
        <v>10</v>
      </c>
      <c r="AI1004" s="175">
        <v>1</v>
      </c>
      <c r="AJ1004" s="175">
        <v>5</v>
      </c>
      <c r="AK1004" s="175">
        <v>12</v>
      </c>
      <c r="AL1004" s="175">
        <v>11</v>
      </c>
      <c r="AM1004" s="175">
        <v>12</v>
      </c>
      <c r="AN1004" s="175">
        <v>1</v>
      </c>
      <c r="AO1004" s="175">
        <v>42</v>
      </c>
      <c r="AP1004" s="175">
        <v>2</v>
      </c>
      <c r="AQ1004" s="175">
        <v>1</v>
      </c>
      <c r="AR1004" s="175">
        <v>2</v>
      </c>
      <c r="AS1004" s="175">
        <v>32</v>
      </c>
      <c r="AT1004" s="175">
        <v>6</v>
      </c>
    </row>
    <row r="1005" spans="1:46">
      <c r="A1005">
        <v>20301</v>
      </c>
      <c r="B1005" t="s">
        <v>6659</v>
      </c>
      <c r="C1005" t="s">
        <v>6660</v>
      </c>
      <c r="D1005" t="s">
        <v>6661</v>
      </c>
      <c r="E1005" t="s">
        <v>6662</v>
      </c>
      <c r="F1005" t="s">
        <v>1274</v>
      </c>
      <c r="G1005" t="s">
        <v>737</v>
      </c>
      <c r="H1005" t="s">
        <v>449</v>
      </c>
      <c r="J1005" t="s">
        <v>605</v>
      </c>
      <c r="K1005" t="s">
        <v>606</v>
      </c>
      <c r="M1005" t="s">
        <v>607</v>
      </c>
      <c r="N1005" t="s">
        <v>657</v>
      </c>
      <c r="O1005" t="s">
        <v>898</v>
      </c>
      <c r="P1005" t="s">
        <v>739</v>
      </c>
      <c r="Q1005" t="s">
        <v>467</v>
      </c>
      <c r="R1005" t="s">
        <v>724</v>
      </c>
      <c r="S1005" t="s">
        <v>984</v>
      </c>
      <c r="T1005" t="s">
        <v>794</v>
      </c>
      <c r="U1005">
        <v>127001</v>
      </c>
      <c r="V1005" t="s">
        <v>6663</v>
      </c>
      <c r="W1005" t="s">
        <v>900</v>
      </c>
      <c r="X1005" t="s">
        <v>6664</v>
      </c>
      <c r="Y1005" t="s">
        <v>6665</v>
      </c>
      <c r="Z1005" t="s">
        <v>6666</v>
      </c>
      <c r="AA1005" t="s">
        <v>6667</v>
      </c>
      <c r="AB1005" t="s">
        <v>6668</v>
      </c>
      <c r="AE1005">
        <v>-36.861068179999997</v>
      </c>
      <c r="AF1005">
        <v>174.64512528</v>
      </c>
      <c r="AG1005" s="175">
        <v>35</v>
      </c>
      <c r="AH1005" s="175">
        <v>0</v>
      </c>
      <c r="AI1005" s="175">
        <v>0</v>
      </c>
      <c r="AJ1005" s="175">
        <v>0</v>
      </c>
      <c r="AK1005" s="175">
        <v>0</v>
      </c>
      <c r="AL1005" s="175">
        <v>24</v>
      </c>
      <c r="AM1005" s="175">
        <v>21</v>
      </c>
      <c r="AN1005" s="175">
        <v>0</v>
      </c>
      <c r="AO1005" s="175">
        <v>45</v>
      </c>
      <c r="AP1005" s="175">
        <v>32</v>
      </c>
      <c r="AQ1005" s="175">
        <v>16</v>
      </c>
      <c r="AR1005" s="175">
        <v>8</v>
      </c>
      <c r="AS1005" s="175">
        <v>10</v>
      </c>
      <c r="AT1005" s="175">
        <v>1</v>
      </c>
    </row>
    <row r="1006" spans="1:46">
      <c r="A1006">
        <v>20307</v>
      </c>
      <c r="B1006" t="s">
        <v>6669</v>
      </c>
      <c r="C1006" t="s">
        <v>6670</v>
      </c>
      <c r="E1006" t="s">
        <v>6671</v>
      </c>
      <c r="F1006" t="s">
        <v>832</v>
      </c>
      <c r="G1006" t="s">
        <v>737</v>
      </c>
      <c r="H1006" t="s">
        <v>347</v>
      </c>
      <c r="J1006" t="s">
        <v>605</v>
      </c>
      <c r="K1006" t="s">
        <v>606</v>
      </c>
      <c r="L1006" t="s">
        <v>4273</v>
      </c>
      <c r="M1006" t="s">
        <v>607</v>
      </c>
      <c r="N1006" t="s">
        <v>657</v>
      </c>
      <c r="O1006" t="s">
        <v>833</v>
      </c>
      <c r="P1006" t="s">
        <v>739</v>
      </c>
      <c r="Q1006" t="s">
        <v>467</v>
      </c>
      <c r="R1006" t="s">
        <v>724</v>
      </c>
      <c r="S1006" t="s">
        <v>767</v>
      </c>
      <c r="T1006" t="s">
        <v>613</v>
      </c>
      <c r="U1006">
        <v>129400</v>
      </c>
      <c r="V1006" t="s">
        <v>834</v>
      </c>
      <c r="W1006" t="s">
        <v>826</v>
      </c>
      <c r="X1006" t="s">
        <v>6672</v>
      </c>
      <c r="Y1006" t="s">
        <v>4276</v>
      </c>
      <c r="Z1006" t="s">
        <v>4277</v>
      </c>
      <c r="AA1006" t="s">
        <v>4278</v>
      </c>
      <c r="AB1006" t="s">
        <v>6673</v>
      </c>
      <c r="AE1006">
        <v>-36.810687020000003</v>
      </c>
      <c r="AF1006">
        <v>174.78834863</v>
      </c>
      <c r="AG1006" s="175">
        <v>16</v>
      </c>
      <c r="AH1006" s="175">
        <v>4</v>
      </c>
      <c r="AI1006" s="175">
        <v>0</v>
      </c>
      <c r="AJ1006" s="175">
        <v>2</v>
      </c>
      <c r="AK1006" s="175">
        <v>1</v>
      </c>
      <c r="AL1006" s="175">
        <v>4</v>
      </c>
      <c r="AM1006" s="175">
        <v>1</v>
      </c>
      <c r="AN1006" s="175">
        <v>0</v>
      </c>
      <c r="AO1006" s="175">
        <v>8</v>
      </c>
      <c r="AP1006" s="175">
        <v>0</v>
      </c>
      <c r="AQ1006" s="175">
        <v>7</v>
      </c>
      <c r="AR1006" s="175">
        <v>0</v>
      </c>
      <c r="AS1006" s="175">
        <v>0</v>
      </c>
      <c r="AT1006" s="175">
        <v>1</v>
      </c>
    </row>
    <row r="1007" spans="1:46">
      <c r="A1007">
        <v>20310</v>
      </c>
      <c r="B1007" t="s">
        <v>6674</v>
      </c>
      <c r="C1007" t="s">
        <v>6675</v>
      </c>
      <c r="D1007" t="s">
        <v>6676</v>
      </c>
      <c r="E1007" t="s">
        <v>6677</v>
      </c>
      <c r="F1007" t="s">
        <v>6624</v>
      </c>
      <c r="G1007" t="s">
        <v>737</v>
      </c>
      <c r="H1007" t="s">
        <v>449</v>
      </c>
      <c r="J1007" t="s">
        <v>4032</v>
      </c>
      <c r="K1007" t="s">
        <v>606</v>
      </c>
      <c r="M1007" t="s">
        <v>607</v>
      </c>
      <c r="N1007" t="s">
        <v>657</v>
      </c>
      <c r="O1007" t="s">
        <v>898</v>
      </c>
      <c r="P1007" t="s">
        <v>739</v>
      </c>
      <c r="Q1007" t="s">
        <v>467</v>
      </c>
      <c r="R1007" t="s">
        <v>724</v>
      </c>
      <c r="S1007" t="s">
        <v>804</v>
      </c>
      <c r="T1007" t="s">
        <v>794</v>
      </c>
      <c r="U1007">
        <v>129101</v>
      </c>
      <c r="V1007" t="s">
        <v>6678</v>
      </c>
      <c r="W1007" t="s">
        <v>900</v>
      </c>
      <c r="X1007" t="s">
        <v>6679</v>
      </c>
      <c r="Y1007" t="s">
        <v>6680</v>
      </c>
      <c r="Z1007" t="s">
        <v>983</v>
      </c>
      <c r="AA1007" t="s">
        <v>4374</v>
      </c>
      <c r="AB1007" t="s">
        <v>6681</v>
      </c>
      <c r="AE1007">
        <v>-36.89485956</v>
      </c>
      <c r="AF1007">
        <v>174.63927798</v>
      </c>
      <c r="AG1007" s="175">
        <v>37</v>
      </c>
      <c r="AH1007" s="175">
        <v>8</v>
      </c>
      <c r="AI1007" s="175">
        <v>0</v>
      </c>
      <c r="AJ1007" s="175">
        <v>10</v>
      </c>
      <c r="AK1007" s="175">
        <v>11</v>
      </c>
      <c r="AL1007" s="175">
        <v>11</v>
      </c>
      <c r="AM1007" s="175">
        <v>9</v>
      </c>
      <c r="AN1007" s="175">
        <v>1</v>
      </c>
      <c r="AO1007" s="175">
        <v>42</v>
      </c>
      <c r="AP1007" s="175">
        <v>32</v>
      </c>
      <c r="AQ1007" s="175">
        <v>3</v>
      </c>
      <c r="AR1007" s="175">
        <v>3</v>
      </c>
      <c r="AS1007" s="175">
        <v>11</v>
      </c>
      <c r="AT1007" s="175">
        <v>4</v>
      </c>
    </row>
    <row r="1008" spans="1:46">
      <c r="A1008">
        <v>20318</v>
      </c>
      <c r="B1008" t="s">
        <v>6682</v>
      </c>
      <c r="C1008" t="s">
        <v>6683</v>
      </c>
      <c r="E1008" t="s">
        <v>6684</v>
      </c>
      <c r="F1008" t="s">
        <v>4508</v>
      </c>
      <c r="G1008" t="s">
        <v>737</v>
      </c>
      <c r="H1008" t="s">
        <v>347</v>
      </c>
      <c r="J1008" t="s">
        <v>605</v>
      </c>
      <c r="K1008" t="s">
        <v>606</v>
      </c>
      <c r="L1008" t="s">
        <v>4273</v>
      </c>
      <c r="M1008" t="s">
        <v>607</v>
      </c>
      <c r="N1008" t="s">
        <v>608</v>
      </c>
      <c r="O1008" t="s">
        <v>914</v>
      </c>
      <c r="P1008" t="s">
        <v>739</v>
      </c>
      <c r="Q1008" t="s">
        <v>467</v>
      </c>
      <c r="R1008" t="s">
        <v>793</v>
      </c>
      <c r="S1008" t="s">
        <v>815</v>
      </c>
      <c r="T1008" t="s">
        <v>794</v>
      </c>
      <c r="U1008">
        <v>147001</v>
      </c>
      <c r="V1008" t="s">
        <v>6685</v>
      </c>
      <c r="W1008" t="s">
        <v>892</v>
      </c>
      <c r="X1008" t="s">
        <v>4275</v>
      </c>
      <c r="Y1008" t="s">
        <v>4276</v>
      </c>
      <c r="Z1008" t="s">
        <v>4277</v>
      </c>
      <c r="AA1008" t="s">
        <v>4278</v>
      </c>
      <c r="AE1008">
        <v>-36.89190516</v>
      </c>
      <c r="AF1008">
        <v>174.85909849999999</v>
      </c>
      <c r="AG1008" s="175">
        <v>86</v>
      </c>
      <c r="AH1008" s="175">
        <v>25</v>
      </c>
      <c r="AI1008" s="175">
        <v>6</v>
      </c>
      <c r="AJ1008" s="175">
        <v>16</v>
      </c>
      <c r="AK1008" s="175">
        <v>23</v>
      </c>
      <c r="AL1008" s="175">
        <v>20</v>
      </c>
      <c r="AM1008" s="175">
        <v>14</v>
      </c>
      <c r="AN1008" s="175">
        <v>0</v>
      </c>
      <c r="AO1008" s="175">
        <v>79</v>
      </c>
      <c r="AP1008" s="175">
        <v>0</v>
      </c>
      <c r="AQ1008" s="175">
        <v>78</v>
      </c>
      <c r="AR1008" s="175">
        <v>0</v>
      </c>
      <c r="AS1008" s="175">
        <v>0</v>
      </c>
      <c r="AT1008" s="175">
        <v>1</v>
      </c>
    </row>
    <row r="1009" spans="1:46">
      <c r="A1009">
        <v>20319</v>
      </c>
      <c r="B1009" t="s">
        <v>6686</v>
      </c>
      <c r="C1009" t="s">
        <v>6687</v>
      </c>
      <c r="E1009" t="s">
        <v>6688</v>
      </c>
      <c r="F1009" t="s">
        <v>822</v>
      </c>
      <c r="G1009" t="s">
        <v>737</v>
      </c>
      <c r="H1009" t="s">
        <v>347</v>
      </c>
      <c r="J1009" t="s">
        <v>605</v>
      </c>
      <c r="K1009" t="s">
        <v>606</v>
      </c>
      <c r="L1009" t="s">
        <v>4273</v>
      </c>
      <c r="M1009" t="s">
        <v>607</v>
      </c>
      <c r="N1009" t="s">
        <v>657</v>
      </c>
      <c r="O1009" t="s">
        <v>823</v>
      </c>
      <c r="P1009" t="s">
        <v>739</v>
      </c>
      <c r="Q1009" t="s">
        <v>467</v>
      </c>
      <c r="R1009" t="s">
        <v>724</v>
      </c>
      <c r="S1009" t="s">
        <v>841</v>
      </c>
      <c r="T1009" t="s">
        <v>613</v>
      </c>
      <c r="U1009">
        <v>124000</v>
      </c>
      <c r="V1009" t="s">
        <v>1066</v>
      </c>
      <c r="W1009" t="s">
        <v>826</v>
      </c>
      <c r="X1009" t="s">
        <v>6672</v>
      </c>
      <c r="Y1009" t="s">
        <v>4276</v>
      </c>
      <c r="Z1009" t="s">
        <v>4277</v>
      </c>
      <c r="AA1009" t="s">
        <v>4278</v>
      </c>
      <c r="AB1009" t="s">
        <v>6673</v>
      </c>
      <c r="AE1009">
        <v>-36.780241879999998</v>
      </c>
      <c r="AF1009">
        <v>174.72216069999999</v>
      </c>
      <c r="AG1009" s="175">
        <v>30</v>
      </c>
      <c r="AH1009" s="175">
        <v>8</v>
      </c>
      <c r="AI1009" s="175">
        <v>0</v>
      </c>
      <c r="AJ1009" s="175">
        <v>5</v>
      </c>
      <c r="AK1009" s="175">
        <v>6</v>
      </c>
      <c r="AL1009" s="175">
        <v>8</v>
      </c>
      <c r="AM1009" s="175">
        <v>3</v>
      </c>
      <c r="AN1009" s="175">
        <v>0</v>
      </c>
      <c r="AO1009" s="175">
        <v>22</v>
      </c>
      <c r="AP1009" s="175">
        <v>0</v>
      </c>
      <c r="AQ1009" s="175">
        <v>22</v>
      </c>
      <c r="AR1009" s="175">
        <v>0</v>
      </c>
      <c r="AS1009" s="175">
        <v>0</v>
      </c>
      <c r="AT1009" s="175">
        <v>0</v>
      </c>
    </row>
    <row r="1010" spans="1:46">
      <c r="A1010">
        <v>20320</v>
      </c>
      <c r="B1010" t="s">
        <v>6689</v>
      </c>
      <c r="C1010" t="s">
        <v>6690</v>
      </c>
      <c r="D1010" t="s">
        <v>6691</v>
      </c>
      <c r="E1010" t="s">
        <v>6692</v>
      </c>
      <c r="F1010" t="s">
        <v>1004</v>
      </c>
      <c r="G1010" t="s">
        <v>737</v>
      </c>
      <c r="H1010" t="s">
        <v>449</v>
      </c>
      <c r="J1010" t="s">
        <v>4032</v>
      </c>
      <c r="K1010" t="s">
        <v>606</v>
      </c>
      <c r="M1010" t="s">
        <v>607</v>
      </c>
      <c r="N1010" t="s">
        <v>657</v>
      </c>
      <c r="O1010" t="s">
        <v>1253</v>
      </c>
      <c r="P1010" t="s">
        <v>739</v>
      </c>
      <c r="Q1010" t="s">
        <v>467</v>
      </c>
      <c r="R1010" t="s">
        <v>724</v>
      </c>
      <c r="S1010" t="s">
        <v>824</v>
      </c>
      <c r="T1010" t="s">
        <v>613</v>
      </c>
      <c r="U1010">
        <v>120301</v>
      </c>
      <c r="V1010" t="s">
        <v>6693</v>
      </c>
      <c r="W1010" t="s">
        <v>742</v>
      </c>
      <c r="X1010" t="s">
        <v>6694</v>
      </c>
      <c r="Y1010" t="s">
        <v>6692</v>
      </c>
      <c r="Z1010" t="s">
        <v>1004</v>
      </c>
      <c r="AA1010" t="s">
        <v>4458</v>
      </c>
      <c r="AB1010" t="s">
        <v>6690</v>
      </c>
      <c r="AC1010">
        <v>99129</v>
      </c>
      <c r="AD1010" t="s">
        <v>1006</v>
      </c>
      <c r="AE1010">
        <v>-36.811123240000001</v>
      </c>
      <c r="AF1010">
        <v>174.63333879000001</v>
      </c>
      <c r="AG1010" s="175">
        <v>43</v>
      </c>
      <c r="AH1010" s="175">
        <v>0</v>
      </c>
      <c r="AI1010" s="175">
        <v>0</v>
      </c>
      <c r="AJ1010" s="175">
        <v>0</v>
      </c>
      <c r="AK1010" s="175">
        <v>14</v>
      </c>
      <c r="AL1010" s="175">
        <v>8</v>
      </c>
      <c r="AM1010" s="175">
        <v>19</v>
      </c>
      <c r="AN1010" s="175">
        <v>1</v>
      </c>
      <c r="AO1010" s="175">
        <v>42</v>
      </c>
      <c r="AP1010" s="175">
        <v>16</v>
      </c>
      <c r="AQ1010" s="175">
        <v>2</v>
      </c>
      <c r="AR1010" s="175">
        <v>2</v>
      </c>
      <c r="AS1010" s="175">
        <v>24</v>
      </c>
      <c r="AT1010" s="175">
        <v>4</v>
      </c>
    </row>
    <row r="1011" spans="1:46">
      <c r="A1011">
        <v>20322</v>
      </c>
      <c r="B1011" t="s">
        <v>6695</v>
      </c>
      <c r="C1011" t="s">
        <v>6696</v>
      </c>
      <c r="D1011" t="s">
        <v>6697</v>
      </c>
      <c r="E1011" t="s">
        <v>6698</v>
      </c>
      <c r="F1011" t="s">
        <v>1231</v>
      </c>
      <c r="G1011" t="s">
        <v>737</v>
      </c>
      <c r="H1011" t="s">
        <v>449</v>
      </c>
      <c r="J1011" t="s">
        <v>4032</v>
      </c>
      <c r="K1011" t="s">
        <v>606</v>
      </c>
      <c r="M1011" t="s">
        <v>607</v>
      </c>
      <c r="N1011" t="s">
        <v>657</v>
      </c>
      <c r="O1011" t="s">
        <v>1042</v>
      </c>
      <c r="P1011" t="s">
        <v>739</v>
      </c>
      <c r="Q1011" t="s">
        <v>467</v>
      </c>
      <c r="R1011" t="s">
        <v>793</v>
      </c>
      <c r="S1011" t="s">
        <v>943</v>
      </c>
      <c r="T1011" t="s">
        <v>794</v>
      </c>
      <c r="U1011">
        <v>132100</v>
      </c>
      <c r="V1011" t="s">
        <v>5880</v>
      </c>
      <c r="W1011" t="s">
        <v>1044</v>
      </c>
      <c r="X1011" t="s">
        <v>6699</v>
      </c>
      <c r="Y1011" t="s">
        <v>4725</v>
      </c>
      <c r="Z1011" t="s">
        <v>1043</v>
      </c>
      <c r="AA1011" t="s">
        <v>4726</v>
      </c>
      <c r="AB1011" t="s">
        <v>6700</v>
      </c>
      <c r="AE1011">
        <v>-36.862428860000001</v>
      </c>
      <c r="AF1011">
        <v>174.73274282</v>
      </c>
      <c r="AG1011" s="175">
        <v>68</v>
      </c>
      <c r="AH1011" s="175">
        <v>18</v>
      </c>
      <c r="AI1011" s="175">
        <v>2</v>
      </c>
      <c r="AJ1011" s="175">
        <v>9</v>
      </c>
      <c r="AK1011" s="175">
        <v>7</v>
      </c>
      <c r="AL1011" s="175">
        <v>6</v>
      </c>
      <c r="AM1011" s="175">
        <v>5</v>
      </c>
      <c r="AN1011" s="175">
        <v>0</v>
      </c>
      <c r="AO1011" s="175">
        <v>29</v>
      </c>
      <c r="AP1011" s="175">
        <v>23</v>
      </c>
      <c r="AQ1011" s="175">
        <v>4</v>
      </c>
      <c r="AR1011" s="175">
        <v>0</v>
      </c>
      <c r="AS1011" s="175">
        <v>6</v>
      </c>
      <c r="AT1011" s="175">
        <v>4</v>
      </c>
    </row>
    <row r="1012" spans="1:46">
      <c r="A1012">
        <v>20324</v>
      </c>
      <c r="B1012" t="s">
        <v>6701</v>
      </c>
      <c r="C1012" t="s">
        <v>6702</v>
      </c>
      <c r="D1012" t="s">
        <v>6703</v>
      </c>
      <c r="E1012" t="s">
        <v>6704</v>
      </c>
      <c r="F1012" t="s">
        <v>5832</v>
      </c>
      <c r="G1012" t="s">
        <v>737</v>
      </c>
      <c r="H1012" t="s">
        <v>449</v>
      </c>
      <c r="J1012" t="s">
        <v>4032</v>
      </c>
      <c r="K1012" t="s">
        <v>606</v>
      </c>
      <c r="M1012" t="s">
        <v>607</v>
      </c>
      <c r="N1012" t="s">
        <v>643</v>
      </c>
      <c r="O1012" t="s">
        <v>823</v>
      </c>
      <c r="P1012" t="s">
        <v>739</v>
      </c>
      <c r="Q1012" t="s">
        <v>467</v>
      </c>
      <c r="R1012" t="s">
        <v>724</v>
      </c>
      <c r="S1012" t="s">
        <v>841</v>
      </c>
      <c r="T1012" t="s">
        <v>613</v>
      </c>
      <c r="U1012">
        <v>122801</v>
      </c>
      <c r="V1012" t="s">
        <v>6203</v>
      </c>
      <c r="W1012" t="s">
        <v>826</v>
      </c>
      <c r="X1012" t="s">
        <v>5035</v>
      </c>
      <c r="Y1012" t="s">
        <v>6705</v>
      </c>
      <c r="AA1012" t="s">
        <v>4432</v>
      </c>
      <c r="AB1012" t="s">
        <v>6706</v>
      </c>
      <c r="AC1012">
        <v>99214</v>
      </c>
      <c r="AD1012" t="s">
        <v>843</v>
      </c>
      <c r="AE1012">
        <v>-36.794518060000001</v>
      </c>
      <c r="AF1012">
        <v>174.7011181</v>
      </c>
      <c r="AG1012" s="175">
        <v>32</v>
      </c>
      <c r="AH1012" s="175">
        <v>10</v>
      </c>
      <c r="AI1012" s="175">
        <v>0</v>
      </c>
      <c r="AJ1012" s="175">
        <v>8</v>
      </c>
      <c r="AK1012" s="175">
        <v>5</v>
      </c>
      <c r="AL1012" s="175">
        <v>9</v>
      </c>
      <c r="AM1012" s="175">
        <v>14</v>
      </c>
      <c r="AN1012" s="175">
        <v>0</v>
      </c>
      <c r="AO1012" s="175">
        <v>36</v>
      </c>
      <c r="AP1012" s="175">
        <v>23</v>
      </c>
      <c r="AQ1012" s="175">
        <v>9</v>
      </c>
      <c r="AR1012" s="175">
        <v>6</v>
      </c>
      <c r="AS1012" s="175">
        <v>9</v>
      </c>
      <c r="AT1012" s="175">
        <v>3</v>
      </c>
    </row>
    <row r="1013" spans="1:46">
      <c r="A1013">
        <v>20327</v>
      </c>
      <c r="B1013" t="s">
        <v>6707</v>
      </c>
      <c r="C1013" t="s">
        <v>6708</v>
      </c>
      <c r="D1013" t="s">
        <v>6709</v>
      </c>
      <c r="E1013" t="s">
        <v>6710</v>
      </c>
      <c r="F1013" t="s">
        <v>983</v>
      </c>
      <c r="G1013" t="s">
        <v>737</v>
      </c>
      <c r="H1013" t="s">
        <v>449</v>
      </c>
      <c r="I1013" t="s">
        <v>4023</v>
      </c>
      <c r="J1013" t="s">
        <v>605</v>
      </c>
      <c r="K1013" t="s">
        <v>606</v>
      </c>
      <c r="M1013" t="s">
        <v>607</v>
      </c>
      <c r="N1013" t="s">
        <v>657</v>
      </c>
      <c r="O1013" t="s">
        <v>898</v>
      </c>
      <c r="P1013" t="s">
        <v>739</v>
      </c>
      <c r="Q1013" t="s">
        <v>467</v>
      </c>
      <c r="R1013" t="s">
        <v>724</v>
      </c>
      <c r="S1013" t="s">
        <v>984</v>
      </c>
      <c r="T1013" t="s">
        <v>613</v>
      </c>
      <c r="U1013">
        <v>125100</v>
      </c>
      <c r="V1013" t="s">
        <v>4372</v>
      </c>
      <c r="W1013" t="s">
        <v>900</v>
      </c>
      <c r="X1013" t="s">
        <v>6711</v>
      </c>
      <c r="Y1013" t="s">
        <v>6712</v>
      </c>
      <c r="AA1013" t="s">
        <v>4237</v>
      </c>
      <c r="AB1013" t="s">
        <v>6708</v>
      </c>
      <c r="AC1013">
        <v>99210</v>
      </c>
      <c r="AD1013" t="s">
        <v>4027</v>
      </c>
      <c r="AE1013">
        <v>-36.858781039999997</v>
      </c>
      <c r="AF1013">
        <v>174.6345493</v>
      </c>
      <c r="AG1013" s="175">
        <v>65</v>
      </c>
      <c r="AH1013" s="175">
        <v>20</v>
      </c>
      <c r="AI1013" s="175">
        <v>1</v>
      </c>
      <c r="AJ1013" s="175">
        <v>10</v>
      </c>
      <c r="AK1013" s="175">
        <v>16</v>
      </c>
      <c r="AL1013" s="175">
        <v>14</v>
      </c>
      <c r="AM1013" s="175">
        <v>25</v>
      </c>
      <c r="AN1013" s="175">
        <v>1</v>
      </c>
      <c r="AO1013" s="175">
        <v>67</v>
      </c>
      <c r="AP1013" s="175">
        <v>39</v>
      </c>
      <c r="AQ1013" s="175">
        <v>6</v>
      </c>
      <c r="AR1013" s="175">
        <v>15</v>
      </c>
      <c r="AS1013" s="175">
        <v>24</v>
      </c>
      <c r="AT1013" s="175">
        <v>8</v>
      </c>
    </row>
    <row r="1014" spans="1:46">
      <c r="A1014">
        <v>20328</v>
      </c>
      <c r="B1014" t="s">
        <v>6713</v>
      </c>
      <c r="C1014" t="s">
        <v>6714</v>
      </c>
      <c r="D1014" t="s">
        <v>6715</v>
      </c>
      <c r="E1014" t="s">
        <v>6716</v>
      </c>
      <c r="F1014" t="s">
        <v>921</v>
      </c>
      <c r="G1014" t="s">
        <v>737</v>
      </c>
      <c r="H1014" t="s">
        <v>449</v>
      </c>
      <c r="J1014" t="s">
        <v>605</v>
      </c>
      <c r="K1014" t="s">
        <v>606</v>
      </c>
      <c r="M1014" t="s">
        <v>607</v>
      </c>
      <c r="N1014" t="s">
        <v>657</v>
      </c>
      <c r="O1014" t="s">
        <v>833</v>
      </c>
      <c r="P1014" t="s">
        <v>739</v>
      </c>
      <c r="Q1014" t="s">
        <v>467</v>
      </c>
      <c r="R1014" t="s">
        <v>724</v>
      </c>
      <c r="S1014" t="s">
        <v>767</v>
      </c>
      <c r="T1014" t="s">
        <v>613</v>
      </c>
      <c r="U1014">
        <v>133000</v>
      </c>
      <c r="V1014" t="s">
        <v>921</v>
      </c>
      <c r="W1014" t="s">
        <v>826</v>
      </c>
      <c r="X1014" t="s">
        <v>6717</v>
      </c>
      <c r="Y1014" t="s">
        <v>6716</v>
      </c>
      <c r="Z1014" t="s">
        <v>921</v>
      </c>
      <c r="AA1014" t="s">
        <v>6718</v>
      </c>
      <c r="AB1014" t="s">
        <v>6714</v>
      </c>
      <c r="AE1014">
        <v>-36.823968950000001</v>
      </c>
      <c r="AF1014">
        <v>174.79773026999999</v>
      </c>
      <c r="AG1014" s="175">
        <v>60</v>
      </c>
      <c r="AH1014" s="175">
        <v>20</v>
      </c>
      <c r="AI1014" s="175">
        <v>1</v>
      </c>
      <c r="AJ1014" s="175">
        <v>11</v>
      </c>
      <c r="AK1014" s="175">
        <v>16</v>
      </c>
      <c r="AL1014" s="175">
        <v>18</v>
      </c>
      <c r="AM1014" s="175">
        <v>12</v>
      </c>
      <c r="AN1014" s="175">
        <v>0</v>
      </c>
      <c r="AO1014" s="175">
        <v>58</v>
      </c>
      <c r="AP1014" s="175">
        <v>51</v>
      </c>
      <c r="AQ1014" s="175">
        <v>4</v>
      </c>
      <c r="AR1014" s="175">
        <v>3</v>
      </c>
      <c r="AS1014" s="175">
        <v>7</v>
      </c>
      <c r="AT1014" s="175">
        <v>3</v>
      </c>
    </row>
    <row r="1015" spans="1:46">
      <c r="A1015">
        <v>20329</v>
      </c>
      <c r="B1015" t="s">
        <v>6719</v>
      </c>
      <c r="C1015" t="s">
        <v>6720</v>
      </c>
      <c r="D1015" t="s">
        <v>6721</v>
      </c>
      <c r="E1015" t="s">
        <v>6722</v>
      </c>
      <c r="F1015" t="s">
        <v>4813</v>
      </c>
      <c r="G1015" t="s">
        <v>737</v>
      </c>
      <c r="H1015" t="s">
        <v>449</v>
      </c>
      <c r="J1015" t="s">
        <v>4032</v>
      </c>
      <c r="K1015" t="s">
        <v>606</v>
      </c>
      <c r="M1015" t="s">
        <v>607</v>
      </c>
      <c r="N1015" t="s">
        <v>657</v>
      </c>
      <c r="O1015" t="s">
        <v>958</v>
      </c>
      <c r="P1015" t="s">
        <v>739</v>
      </c>
      <c r="Q1015" t="s">
        <v>467</v>
      </c>
      <c r="R1015" t="s">
        <v>724</v>
      </c>
      <c r="S1015" t="s">
        <v>804</v>
      </c>
      <c r="T1015" t="s">
        <v>794</v>
      </c>
      <c r="U1015">
        <v>134700</v>
      </c>
      <c r="V1015" t="s">
        <v>4814</v>
      </c>
      <c r="W1015" t="s">
        <v>900</v>
      </c>
      <c r="X1015" t="s">
        <v>6723</v>
      </c>
      <c r="Y1015" t="s">
        <v>6724</v>
      </c>
      <c r="Z1015" t="s">
        <v>1199</v>
      </c>
      <c r="AA1015" t="s">
        <v>4034</v>
      </c>
      <c r="AE1015">
        <v>-36.926388160000002</v>
      </c>
      <c r="AF1015">
        <v>174.65436621000001</v>
      </c>
      <c r="AG1015" s="175">
        <v>24</v>
      </c>
      <c r="AH1015" s="175">
        <v>10</v>
      </c>
      <c r="AI1015" s="175">
        <v>2</v>
      </c>
      <c r="AJ1015" s="175">
        <v>10</v>
      </c>
      <c r="AK1015" s="175">
        <v>11</v>
      </c>
      <c r="AL1015" s="175">
        <v>3</v>
      </c>
      <c r="AM1015" s="175">
        <v>2</v>
      </c>
      <c r="AN1015" s="175">
        <v>0</v>
      </c>
      <c r="AO1015" s="175">
        <v>28</v>
      </c>
      <c r="AP1015" s="175">
        <v>26</v>
      </c>
      <c r="AQ1015" s="175">
        <v>8</v>
      </c>
      <c r="AR1015" s="175">
        <v>0</v>
      </c>
      <c r="AS1015" s="175">
        <v>3</v>
      </c>
      <c r="AT1015" s="175">
        <v>0</v>
      </c>
    </row>
    <row r="1016" spans="1:46">
      <c r="A1016">
        <v>20333</v>
      </c>
      <c r="B1016" t="s">
        <v>6725</v>
      </c>
      <c r="C1016" t="s">
        <v>6726</v>
      </c>
      <c r="D1016" t="s">
        <v>6727</v>
      </c>
      <c r="E1016" t="s">
        <v>6728</v>
      </c>
      <c r="G1016" t="s">
        <v>4454</v>
      </c>
      <c r="H1016" t="s">
        <v>449</v>
      </c>
      <c r="I1016" t="s">
        <v>4041</v>
      </c>
      <c r="J1016" t="s">
        <v>4032</v>
      </c>
      <c r="K1016" t="s">
        <v>606</v>
      </c>
      <c r="M1016" t="s">
        <v>607</v>
      </c>
      <c r="N1016" t="s">
        <v>657</v>
      </c>
      <c r="O1016" t="s">
        <v>723</v>
      </c>
      <c r="P1016" t="s">
        <v>610</v>
      </c>
      <c r="Q1016" t="s">
        <v>467</v>
      </c>
      <c r="R1016" t="s">
        <v>724</v>
      </c>
      <c r="S1016" t="s">
        <v>725</v>
      </c>
      <c r="T1016" t="s">
        <v>613</v>
      </c>
      <c r="U1016">
        <v>115001</v>
      </c>
      <c r="V1016" t="s">
        <v>6729</v>
      </c>
      <c r="W1016" t="s">
        <v>726</v>
      </c>
      <c r="X1016" t="s">
        <v>6730</v>
      </c>
      <c r="Y1016" t="s">
        <v>6731</v>
      </c>
      <c r="Z1016" t="s">
        <v>4454</v>
      </c>
      <c r="AA1016" t="s">
        <v>6732</v>
      </c>
      <c r="AE1016">
        <v>-36.769168870000001</v>
      </c>
      <c r="AF1016">
        <v>174.5518768</v>
      </c>
      <c r="AG1016" s="175">
        <v>70</v>
      </c>
      <c r="AH1016" s="175">
        <v>36</v>
      </c>
      <c r="AI1016" s="175">
        <v>8</v>
      </c>
      <c r="AJ1016" s="175">
        <v>19</v>
      </c>
      <c r="AK1016" s="175">
        <v>14</v>
      </c>
      <c r="AL1016" s="175">
        <v>29</v>
      </c>
      <c r="AM1016" s="175">
        <v>13</v>
      </c>
      <c r="AN1016" s="175">
        <v>0</v>
      </c>
      <c r="AO1016" s="175">
        <v>83</v>
      </c>
      <c r="AP1016" s="175">
        <v>75</v>
      </c>
      <c r="AQ1016" s="175">
        <v>8</v>
      </c>
      <c r="AR1016" s="175">
        <v>3</v>
      </c>
      <c r="AS1016" s="175">
        <v>8</v>
      </c>
      <c r="AT1016" s="175">
        <v>2</v>
      </c>
    </row>
    <row r="1017" spans="1:46">
      <c r="A1017">
        <v>20334</v>
      </c>
      <c r="B1017" t="s">
        <v>6733</v>
      </c>
      <c r="C1017" t="s">
        <v>6734</v>
      </c>
      <c r="E1017" t="s">
        <v>6735</v>
      </c>
      <c r="F1017" t="s">
        <v>766</v>
      </c>
      <c r="G1017" t="s">
        <v>737</v>
      </c>
      <c r="H1017" t="s">
        <v>449</v>
      </c>
      <c r="J1017" t="s">
        <v>4032</v>
      </c>
      <c r="K1017" t="s">
        <v>606</v>
      </c>
      <c r="M1017" t="s">
        <v>607</v>
      </c>
      <c r="N1017" t="s">
        <v>4586</v>
      </c>
      <c r="O1017" t="s">
        <v>1253</v>
      </c>
      <c r="P1017" t="s">
        <v>739</v>
      </c>
      <c r="Q1017" t="s">
        <v>467</v>
      </c>
      <c r="R1017" t="s">
        <v>724</v>
      </c>
      <c r="S1017" t="s">
        <v>740</v>
      </c>
      <c r="T1017" t="s">
        <v>613</v>
      </c>
      <c r="U1017">
        <v>118600</v>
      </c>
      <c r="V1017" t="s">
        <v>4082</v>
      </c>
      <c r="W1017" t="s">
        <v>742</v>
      </c>
      <c r="X1017" t="s">
        <v>6736</v>
      </c>
      <c r="Y1017" t="s">
        <v>6737</v>
      </c>
      <c r="Z1017" t="s">
        <v>4082</v>
      </c>
      <c r="AA1017" t="s">
        <v>6738</v>
      </c>
      <c r="AB1017" t="s">
        <v>6739</v>
      </c>
      <c r="AC1017">
        <v>99000</v>
      </c>
      <c r="AD1017" t="s">
        <v>769</v>
      </c>
      <c r="AE1017">
        <v>-36.745072280000002</v>
      </c>
      <c r="AF1017">
        <v>174.7331647</v>
      </c>
      <c r="AG1017" s="175">
        <v>83</v>
      </c>
      <c r="AH1017" s="175">
        <v>25</v>
      </c>
      <c r="AI1017" s="175">
        <v>2</v>
      </c>
      <c r="AJ1017" s="175">
        <v>14</v>
      </c>
      <c r="AK1017" s="175">
        <v>16</v>
      </c>
      <c r="AL1017" s="175">
        <v>22</v>
      </c>
      <c r="AM1017" s="175">
        <v>12</v>
      </c>
      <c r="AN1017" s="175">
        <v>1</v>
      </c>
      <c r="AO1017" s="175">
        <v>67</v>
      </c>
      <c r="AP1017" s="175">
        <v>36</v>
      </c>
      <c r="AQ1017" s="175">
        <v>5</v>
      </c>
      <c r="AR1017" s="175">
        <v>0</v>
      </c>
      <c r="AS1017" s="175">
        <v>34</v>
      </c>
      <c r="AT1017" s="175">
        <v>4</v>
      </c>
    </row>
    <row r="1018" spans="1:46">
      <c r="A1018">
        <v>20336</v>
      </c>
      <c r="B1018" t="s">
        <v>6740</v>
      </c>
      <c r="C1018" t="s">
        <v>6741</v>
      </c>
      <c r="D1018" t="s">
        <v>6742</v>
      </c>
      <c r="E1018" t="s">
        <v>6743</v>
      </c>
      <c r="G1018" t="s">
        <v>6744</v>
      </c>
      <c r="H1018" t="s">
        <v>449</v>
      </c>
      <c r="J1018" t="s">
        <v>605</v>
      </c>
      <c r="K1018" t="s">
        <v>606</v>
      </c>
      <c r="M1018" t="s">
        <v>607</v>
      </c>
      <c r="N1018" t="s">
        <v>657</v>
      </c>
      <c r="O1018" t="s">
        <v>723</v>
      </c>
      <c r="P1018" t="s">
        <v>626</v>
      </c>
      <c r="Q1018" t="s">
        <v>467</v>
      </c>
      <c r="R1018" t="s">
        <v>724</v>
      </c>
      <c r="S1018" t="s">
        <v>725</v>
      </c>
      <c r="T1018" t="s">
        <v>613</v>
      </c>
      <c r="U1018">
        <v>110400</v>
      </c>
      <c r="V1018" t="s">
        <v>6745</v>
      </c>
      <c r="W1018" t="s">
        <v>726</v>
      </c>
      <c r="X1018" t="s">
        <v>6746</v>
      </c>
      <c r="Y1018" t="s">
        <v>6747</v>
      </c>
      <c r="Z1018" t="s">
        <v>6744</v>
      </c>
      <c r="AA1018" t="s">
        <v>6748</v>
      </c>
      <c r="AE1018">
        <v>-36.291209330000001</v>
      </c>
      <c r="AF1018">
        <v>174.80309109000001</v>
      </c>
      <c r="AG1018" s="175">
        <v>28</v>
      </c>
      <c r="AH1018" s="175">
        <v>8</v>
      </c>
      <c r="AI1018" s="175">
        <v>0</v>
      </c>
      <c r="AJ1018" s="175">
        <v>2</v>
      </c>
      <c r="AK1018" s="175">
        <v>5</v>
      </c>
      <c r="AL1018" s="175">
        <v>2</v>
      </c>
      <c r="AM1018" s="175">
        <v>14</v>
      </c>
      <c r="AN1018" s="175">
        <v>2</v>
      </c>
      <c r="AO1018" s="175">
        <v>25</v>
      </c>
      <c r="AP1018" s="175">
        <v>24</v>
      </c>
      <c r="AQ1018" s="175">
        <v>11</v>
      </c>
      <c r="AR1018" s="175">
        <v>2</v>
      </c>
      <c r="AS1018" s="175">
        <v>0</v>
      </c>
      <c r="AT1018" s="175">
        <v>1</v>
      </c>
    </row>
    <row r="1019" spans="1:46">
      <c r="A1019">
        <v>20337</v>
      </c>
      <c r="B1019" t="s">
        <v>6749</v>
      </c>
      <c r="C1019" t="s">
        <v>6750</v>
      </c>
      <c r="D1019" t="s">
        <v>6751</v>
      </c>
      <c r="E1019" t="s">
        <v>6752</v>
      </c>
      <c r="G1019" t="s">
        <v>6753</v>
      </c>
      <c r="H1019" t="s">
        <v>449</v>
      </c>
      <c r="J1019" t="s">
        <v>605</v>
      </c>
      <c r="K1019" t="s">
        <v>606</v>
      </c>
      <c r="M1019" t="s">
        <v>607</v>
      </c>
      <c r="N1019" t="s">
        <v>657</v>
      </c>
      <c r="O1019" t="s">
        <v>958</v>
      </c>
      <c r="P1019" t="s">
        <v>626</v>
      </c>
      <c r="Q1019" t="s">
        <v>467</v>
      </c>
      <c r="R1019" t="s">
        <v>724</v>
      </c>
      <c r="S1019" t="s">
        <v>855</v>
      </c>
      <c r="T1019" t="s">
        <v>794</v>
      </c>
      <c r="U1019">
        <v>124100</v>
      </c>
      <c r="V1019" t="s">
        <v>6753</v>
      </c>
      <c r="W1019" t="s">
        <v>900</v>
      </c>
      <c r="X1019" t="s">
        <v>6754</v>
      </c>
      <c r="Y1019" t="s">
        <v>6755</v>
      </c>
      <c r="Z1019" t="s">
        <v>6753</v>
      </c>
      <c r="AA1019" t="s">
        <v>6756</v>
      </c>
      <c r="AB1019" t="s">
        <v>6750</v>
      </c>
      <c r="AE1019">
        <v>-36.942596510000001</v>
      </c>
      <c r="AF1019">
        <v>174.46463489999999</v>
      </c>
      <c r="AG1019" s="175">
        <v>27</v>
      </c>
      <c r="AH1019" s="175">
        <v>5</v>
      </c>
      <c r="AI1019" s="175">
        <v>0</v>
      </c>
      <c r="AJ1019" s="175">
        <v>3</v>
      </c>
      <c r="AK1019" s="175">
        <v>6</v>
      </c>
      <c r="AL1019" s="175">
        <v>2</v>
      </c>
      <c r="AM1019" s="175">
        <v>9</v>
      </c>
      <c r="AN1019" s="175">
        <v>0</v>
      </c>
      <c r="AO1019" s="175">
        <v>20</v>
      </c>
      <c r="AP1019" s="175">
        <v>16</v>
      </c>
      <c r="AQ1019" s="175">
        <v>9</v>
      </c>
      <c r="AR1019" s="175">
        <v>0</v>
      </c>
      <c r="AS1019" s="175">
        <v>1</v>
      </c>
      <c r="AT1019" s="175">
        <v>7</v>
      </c>
    </row>
    <row r="1020" spans="1:46">
      <c r="A1020">
        <v>20348</v>
      </c>
      <c r="B1020" t="s">
        <v>6757</v>
      </c>
      <c r="C1020" t="s">
        <v>6430</v>
      </c>
      <c r="D1020" t="s">
        <v>6431</v>
      </c>
      <c r="E1020" t="s">
        <v>6432</v>
      </c>
      <c r="F1020" t="s">
        <v>932</v>
      </c>
      <c r="G1020" t="s">
        <v>737</v>
      </c>
      <c r="H1020" t="s">
        <v>450</v>
      </c>
      <c r="J1020" t="s">
        <v>605</v>
      </c>
      <c r="K1020" t="s">
        <v>606</v>
      </c>
      <c r="M1020" t="s">
        <v>607</v>
      </c>
      <c r="N1020" t="s">
        <v>657</v>
      </c>
      <c r="O1020" t="s">
        <v>933</v>
      </c>
      <c r="P1020" t="s">
        <v>739</v>
      </c>
      <c r="Q1020" t="s">
        <v>467</v>
      </c>
      <c r="R1020" t="s">
        <v>814</v>
      </c>
      <c r="S1020" t="s">
        <v>934</v>
      </c>
      <c r="T1020" t="s">
        <v>794</v>
      </c>
      <c r="U1020">
        <v>150200</v>
      </c>
      <c r="V1020" t="s">
        <v>1025</v>
      </c>
      <c r="W1020" t="s">
        <v>817</v>
      </c>
      <c r="X1020" t="s">
        <v>6433</v>
      </c>
      <c r="Y1020" t="s">
        <v>6434</v>
      </c>
      <c r="Z1020" t="s">
        <v>4622</v>
      </c>
      <c r="AA1020" t="s">
        <v>4623</v>
      </c>
      <c r="AB1020" t="s">
        <v>6435</v>
      </c>
      <c r="AE1020">
        <v>-36.970943400000003</v>
      </c>
      <c r="AF1020">
        <v>174.79636905999999</v>
      </c>
      <c r="AG1020" s="175">
        <v>60</v>
      </c>
      <c r="AH1020" s="175">
        <v>60</v>
      </c>
      <c r="AI1020" s="175">
        <v>4</v>
      </c>
      <c r="AJ1020" s="175">
        <v>9</v>
      </c>
      <c r="AK1020" s="175">
        <v>14</v>
      </c>
      <c r="AL1020" s="175">
        <v>5</v>
      </c>
      <c r="AM1020" s="175">
        <v>5</v>
      </c>
      <c r="AN1020" s="175">
        <v>0</v>
      </c>
      <c r="AO1020" s="175">
        <v>37</v>
      </c>
      <c r="AP1020" s="175">
        <v>16</v>
      </c>
      <c r="AQ1020" s="175">
        <v>4</v>
      </c>
      <c r="AR1020" s="175">
        <v>5</v>
      </c>
      <c r="AS1020" s="175">
        <v>17</v>
      </c>
      <c r="AT1020" s="175">
        <v>5</v>
      </c>
    </row>
    <row r="1021" spans="1:46">
      <c r="A1021">
        <v>20349</v>
      </c>
      <c r="B1021" t="s">
        <v>6758</v>
      </c>
      <c r="C1021" t="s">
        <v>6759</v>
      </c>
      <c r="E1021" t="s">
        <v>6760</v>
      </c>
      <c r="F1021" t="s">
        <v>1268</v>
      </c>
      <c r="G1021" t="s">
        <v>737</v>
      </c>
      <c r="H1021" t="s">
        <v>347</v>
      </c>
      <c r="J1021" t="s">
        <v>605</v>
      </c>
      <c r="K1021" t="s">
        <v>606</v>
      </c>
      <c r="L1021" t="s">
        <v>4273</v>
      </c>
      <c r="M1021" t="s">
        <v>607</v>
      </c>
      <c r="N1021" t="s">
        <v>643</v>
      </c>
      <c r="O1021" t="s">
        <v>898</v>
      </c>
      <c r="P1021" t="s">
        <v>739</v>
      </c>
      <c r="Q1021" t="s">
        <v>467</v>
      </c>
      <c r="R1021" t="s">
        <v>724</v>
      </c>
      <c r="S1021" t="s">
        <v>984</v>
      </c>
      <c r="T1021" t="s">
        <v>613</v>
      </c>
      <c r="U1021">
        <v>124800</v>
      </c>
      <c r="V1021" t="s">
        <v>6290</v>
      </c>
      <c r="W1021" t="s">
        <v>900</v>
      </c>
      <c r="X1021" t="s">
        <v>6672</v>
      </c>
      <c r="Y1021" t="s">
        <v>4276</v>
      </c>
      <c r="Z1021" t="s">
        <v>4277</v>
      </c>
      <c r="AA1021" t="s">
        <v>4278</v>
      </c>
      <c r="AB1021" t="s">
        <v>6673</v>
      </c>
      <c r="AE1021">
        <v>-36.850878530000003</v>
      </c>
      <c r="AF1021">
        <v>174.64637855000001</v>
      </c>
      <c r="AG1021" s="175">
        <v>30</v>
      </c>
      <c r="AH1021" s="175">
        <v>5</v>
      </c>
      <c r="AI1021" s="175">
        <v>0</v>
      </c>
      <c r="AJ1021" s="175">
        <v>2</v>
      </c>
      <c r="AK1021" s="175">
        <v>5</v>
      </c>
      <c r="AL1021" s="175">
        <v>5</v>
      </c>
      <c r="AM1021" s="175">
        <v>3</v>
      </c>
      <c r="AN1021" s="175">
        <v>0</v>
      </c>
      <c r="AO1021" s="175">
        <v>15</v>
      </c>
      <c r="AP1021" s="175">
        <v>0</v>
      </c>
      <c r="AQ1021" s="175">
        <v>15</v>
      </c>
      <c r="AR1021" s="175">
        <v>0</v>
      </c>
      <c r="AS1021" s="175">
        <v>0</v>
      </c>
      <c r="AT1021" s="175">
        <v>0</v>
      </c>
    </row>
    <row r="1022" spans="1:46">
      <c r="A1022">
        <v>20362</v>
      </c>
      <c r="B1022" t="s">
        <v>6761</v>
      </c>
      <c r="C1022" t="s">
        <v>6762</v>
      </c>
      <c r="D1022" t="s">
        <v>6763</v>
      </c>
      <c r="E1022" t="s">
        <v>6764</v>
      </c>
      <c r="F1022" t="s">
        <v>1102</v>
      </c>
      <c r="G1022" t="s">
        <v>737</v>
      </c>
      <c r="H1022" t="s">
        <v>449</v>
      </c>
      <c r="I1022" t="s">
        <v>4134</v>
      </c>
      <c r="J1022" t="s">
        <v>4032</v>
      </c>
      <c r="K1022" t="s">
        <v>606</v>
      </c>
      <c r="M1022" t="s">
        <v>607</v>
      </c>
      <c r="N1022" t="s">
        <v>657</v>
      </c>
      <c r="O1022" t="s">
        <v>942</v>
      </c>
      <c r="P1022" t="s">
        <v>739</v>
      </c>
      <c r="Q1022" t="s">
        <v>467</v>
      </c>
      <c r="R1022" t="s">
        <v>793</v>
      </c>
      <c r="S1022" t="s">
        <v>907</v>
      </c>
      <c r="T1022" t="s">
        <v>794</v>
      </c>
      <c r="U1022">
        <v>136900</v>
      </c>
      <c r="V1022" t="s">
        <v>5888</v>
      </c>
      <c r="W1022" t="s">
        <v>945</v>
      </c>
      <c r="X1022" t="s">
        <v>6765</v>
      </c>
      <c r="Y1022" t="s">
        <v>6764</v>
      </c>
      <c r="Z1022" t="s">
        <v>1102</v>
      </c>
      <c r="AA1022" t="s">
        <v>5890</v>
      </c>
      <c r="AB1022" t="s">
        <v>6766</v>
      </c>
      <c r="AE1022">
        <v>-36.880885960000001</v>
      </c>
      <c r="AF1022">
        <v>174.75185131000001</v>
      </c>
      <c r="AG1022" s="175">
        <v>40</v>
      </c>
      <c r="AH1022" s="175">
        <v>0</v>
      </c>
      <c r="AI1022" s="175">
        <v>0</v>
      </c>
      <c r="AJ1022" s="175">
        <v>0</v>
      </c>
      <c r="AK1022" s="175">
        <v>5</v>
      </c>
      <c r="AL1022" s="175">
        <v>10</v>
      </c>
      <c r="AM1022" s="175">
        <v>27</v>
      </c>
      <c r="AN1022" s="175">
        <v>2</v>
      </c>
      <c r="AO1022" s="175">
        <v>44</v>
      </c>
      <c r="AP1022" s="175">
        <v>17</v>
      </c>
      <c r="AQ1022" s="175">
        <v>2</v>
      </c>
      <c r="AR1022" s="175">
        <v>1</v>
      </c>
      <c r="AS1022" s="175">
        <v>34</v>
      </c>
      <c r="AT1022" s="175">
        <v>0</v>
      </c>
    </row>
    <row r="1023" spans="1:46">
      <c r="A1023">
        <v>20365</v>
      </c>
      <c r="B1023" t="s">
        <v>6767</v>
      </c>
      <c r="C1023" t="s">
        <v>6768</v>
      </c>
      <c r="D1023" t="s">
        <v>4217</v>
      </c>
      <c r="E1023" t="s">
        <v>6769</v>
      </c>
      <c r="F1023" t="s">
        <v>848</v>
      </c>
      <c r="G1023" t="s">
        <v>737</v>
      </c>
      <c r="H1023" t="s">
        <v>449</v>
      </c>
      <c r="J1023" t="s">
        <v>4032</v>
      </c>
      <c r="K1023" t="s">
        <v>606</v>
      </c>
      <c r="M1023" t="s">
        <v>607</v>
      </c>
      <c r="N1023" t="s">
        <v>657</v>
      </c>
      <c r="O1023" t="s">
        <v>823</v>
      </c>
      <c r="P1023" t="s">
        <v>739</v>
      </c>
      <c r="Q1023" t="s">
        <v>467</v>
      </c>
      <c r="R1023" t="s">
        <v>724</v>
      </c>
      <c r="S1023" t="s">
        <v>841</v>
      </c>
      <c r="T1023" t="s">
        <v>613</v>
      </c>
      <c r="U1023">
        <v>124401</v>
      </c>
      <c r="V1023" t="s">
        <v>6770</v>
      </c>
      <c r="W1023" t="s">
        <v>826</v>
      </c>
      <c r="X1023" t="s">
        <v>4220</v>
      </c>
      <c r="Y1023" t="s">
        <v>4221</v>
      </c>
      <c r="Z1023" t="s">
        <v>4222</v>
      </c>
      <c r="AA1023" t="s">
        <v>4223</v>
      </c>
      <c r="AE1023">
        <v>-36.803881199999999</v>
      </c>
      <c r="AF1023">
        <v>174.70203766</v>
      </c>
      <c r="AG1023" s="175">
        <v>30</v>
      </c>
      <c r="AH1023" s="175">
        <v>0</v>
      </c>
      <c r="AI1023" s="175">
        <v>0</v>
      </c>
      <c r="AJ1023" s="175">
        <v>0</v>
      </c>
      <c r="AK1023" s="175">
        <v>0</v>
      </c>
      <c r="AL1023" s="175">
        <v>8</v>
      </c>
      <c r="AM1023" s="175">
        <v>14</v>
      </c>
      <c r="AN1023" s="175">
        <v>2</v>
      </c>
      <c r="AO1023" s="175">
        <v>24</v>
      </c>
      <c r="AP1023" s="175">
        <v>13</v>
      </c>
      <c r="AQ1023" s="175">
        <v>3</v>
      </c>
      <c r="AR1023" s="175">
        <v>0</v>
      </c>
      <c r="AS1023" s="175">
        <v>7</v>
      </c>
      <c r="AT1023" s="175">
        <v>6</v>
      </c>
    </row>
    <row r="1024" spans="1:46">
      <c r="A1024">
        <v>20371</v>
      </c>
      <c r="B1024" t="s">
        <v>6771</v>
      </c>
      <c r="C1024" t="s">
        <v>6772</v>
      </c>
      <c r="E1024" t="s">
        <v>6773</v>
      </c>
      <c r="F1024" t="s">
        <v>5926</v>
      </c>
      <c r="G1024" t="s">
        <v>737</v>
      </c>
      <c r="H1024" t="s">
        <v>449</v>
      </c>
      <c r="J1024" t="s">
        <v>4032</v>
      </c>
      <c r="K1024" t="s">
        <v>606</v>
      </c>
      <c r="M1024" t="s">
        <v>607</v>
      </c>
      <c r="N1024" t="s">
        <v>657</v>
      </c>
      <c r="O1024" t="s">
        <v>833</v>
      </c>
      <c r="P1024" t="s">
        <v>739</v>
      </c>
      <c r="Q1024" t="s">
        <v>467</v>
      </c>
      <c r="R1024" t="s">
        <v>724</v>
      </c>
      <c r="S1024" t="s">
        <v>767</v>
      </c>
      <c r="T1024" t="s">
        <v>613</v>
      </c>
      <c r="U1024">
        <v>121200</v>
      </c>
      <c r="V1024" t="s">
        <v>6638</v>
      </c>
      <c r="W1024" t="s">
        <v>826</v>
      </c>
      <c r="X1024" t="s">
        <v>6774</v>
      </c>
      <c r="Y1024" t="s">
        <v>6775</v>
      </c>
      <c r="AA1024" t="s">
        <v>4604</v>
      </c>
      <c r="AB1024" t="s">
        <v>6776</v>
      </c>
      <c r="AE1024">
        <v>-36.75332409</v>
      </c>
      <c r="AF1024">
        <v>174.73268970000001</v>
      </c>
      <c r="AG1024" s="175">
        <v>35</v>
      </c>
      <c r="AH1024" s="175">
        <v>15</v>
      </c>
      <c r="AI1024" s="175">
        <v>2</v>
      </c>
      <c r="AJ1024" s="175">
        <v>6</v>
      </c>
      <c r="AK1024" s="175">
        <v>4</v>
      </c>
      <c r="AL1024" s="175">
        <v>7</v>
      </c>
      <c r="AM1024" s="175">
        <v>1</v>
      </c>
      <c r="AN1024" s="175">
        <v>0</v>
      </c>
      <c r="AO1024" s="175">
        <v>20</v>
      </c>
      <c r="AP1024" s="175">
        <v>15</v>
      </c>
      <c r="AQ1024" s="175">
        <v>1</v>
      </c>
      <c r="AR1024" s="175">
        <v>1</v>
      </c>
      <c r="AS1024" s="175">
        <v>6</v>
      </c>
      <c r="AT1024" s="175">
        <v>0</v>
      </c>
    </row>
    <row r="1025" spans="1:46">
      <c r="A1025">
        <v>20382</v>
      </c>
      <c r="B1025" t="s">
        <v>6777</v>
      </c>
      <c r="C1025" t="s">
        <v>6778</v>
      </c>
      <c r="D1025" t="s">
        <v>6779</v>
      </c>
      <c r="E1025" t="s">
        <v>6780</v>
      </c>
      <c r="F1025" t="s">
        <v>906</v>
      </c>
      <c r="G1025" t="s">
        <v>737</v>
      </c>
      <c r="H1025" t="s">
        <v>449</v>
      </c>
      <c r="J1025" t="s">
        <v>4032</v>
      </c>
      <c r="K1025" t="s">
        <v>606</v>
      </c>
      <c r="M1025" t="s">
        <v>607</v>
      </c>
      <c r="N1025" t="s">
        <v>657</v>
      </c>
      <c r="O1025" t="s">
        <v>889</v>
      </c>
      <c r="P1025" t="s">
        <v>739</v>
      </c>
      <c r="Q1025" t="s">
        <v>467</v>
      </c>
      <c r="R1025" t="s">
        <v>793</v>
      </c>
      <c r="S1025" t="s">
        <v>965</v>
      </c>
      <c r="T1025" t="s">
        <v>794</v>
      </c>
      <c r="U1025">
        <v>143100</v>
      </c>
      <c r="V1025" t="s">
        <v>6262</v>
      </c>
      <c r="W1025" t="s">
        <v>909</v>
      </c>
      <c r="X1025" t="s">
        <v>4165</v>
      </c>
      <c r="Y1025" t="s">
        <v>4166</v>
      </c>
      <c r="Z1025" t="s">
        <v>4167</v>
      </c>
      <c r="AA1025" t="s">
        <v>4168</v>
      </c>
      <c r="AB1025" t="s">
        <v>4169</v>
      </c>
      <c r="AE1025">
        <v>-36.884356009999998</v>
      </c>
      <c r="AF1025">
        <v>174.80520876</v>
      </c>
      <c r="AG1025" s="175">
        <v>70</v>
      </c>
      <c r="AH1025" s="175">
        <v>20</v>
      </c>
      <c r="AI1025" s="175">
        <v>4</v>
      </c>
      <c r="AJ1025" s="175">
        <v>13</v>
      </c>
      <c r="AK1025" s="175">
        <v>16</v>
      </c>
      <c r="AL1025" s="175">
        <v>20</v>
      </c>
      <c r="AM1025" s="175">
        <v>12</v>
      </c>
      <c r="AN1025" s="175">
        <v>0</v>
      </c>
      <c r="AO1025" s="175">
        <v>65</v>
      </c>
      <c r="AP1025" s="175">
        <v>41</v>
      </c>
      <c r="AQ1025" s="175">
        <v>8</v>
      </c>
      <c r="AR1025" s="175">
        <v>2</v>
      </c>
      <c r="AS1025" s="175">
        <v>32</v>
      </c>
      <c r="AT1025" s="175">
        <v>3</v>
      </c>
    </row>
    <row r="1026" spans="1:46">
      <c r="A1026">
        <v>20442</v>
      </c>
      <c r="B1026" t="s">
        <v>6781</v>
      </c>
      <c r="C1026" t="s">
        <v>4909</v>
      </c>
      <c r="D1026" t="s">
        <v>4910</v>
      </c>
      <c r="E1026" t="s">
        <v>6782</v>
      </c>
      <c r="F1026" t="s">
        <v>957</v>
      </c>
      <c r="G1026" t="s">
        <v>737</v>
      </c>
      <c r="H1026" t="s">
        <v>449</v>
      </c>
      <c r="J1026" t="s">
        <v>4032</v>
      </c>
      <c r="K1026" t="s">
        <v>606</v>
      </c>
      <c r="M1026" t="s">
        <v>607</v>
      </c>
      <c r="N1026" t="s">
        <v>657</v>
      </c>
      <c r="O1026" t="s">
        <v>958</v>
      </c>
      <c r="P1026" t="s">
        <v>739</v>
      </c>
      <c r="Q1026" t="s">
        <v>467</v>
      </c>
      <c r="R1026" t="s">
        <v>724</v>
      </c>
      <c r="S1026" t="s">
        <v>804</v>
      </c>
      <c r="T1026" t="s">
        <v>794</v>
      </c>
      <c r="U1026">
        <v>132501</v>
      </c>
      <c r="V1026" t="s">
        <v>4912</v>
      </c>
      <c r="W1026" t="s">
        <v>900</v>
      </c>
      <c r="X1026" t="s">
        <v>4913</v>
      </c>
      <c r="Y1026" t="s">
        <v>4911</v>
      </c>
      <c r="Z1026" t="s">
        <v>957</v>
      </c>
      <c r="AA1026" t="s">
        <v>4915</v>
      </c>
      <c r="AB1026" t="s">
        <v>4909</v>
      </c>
      <c r="AC1026">
        <v>99062</v>
      </c>
      <c r="AD1026" t="s">
        <v>978</v>
      </c>
      <c r="AE1026">
        <v>-36.922527199999998</v>
      </c>
      <c r="AF1026">
        <v>174.6485299</v>
      </c>
      <c r="AG1026" s="175">
        <v>25</v>
      </c>
      <c r="AH1026" s="175">
        <v>20</v>
      </c>
      <c r="AI1026" s="175">
        <v>3</v>
      </c>
      <c r="AJ1026" s="175">
        <v>13</v>
      </c>
      <c r="AK1026" s="175">
        <v>13</v>
      </c>
      <c r="AL1026" s="175">
        <v>0</v>
      </c>
      <c r="AM1026" s="175">
        <v>0</v>
      </c>
      <c r="AN1026" s="175">
        <v>0</v>
      </c>
      <c r="AO1026" s="175">
        <v>29</v>
      </c>
      <c r="AP1026" s="175">
        <v>29</v>
      </c>
      <c r="AQ1026" s="175">
        <v>2</v>
      </c>
      <c r="AR1026" s="175">
        <v>2</v>
      </c>
      <c r="AS1026" s="175">
        <v>3</v>
      </c>
      <c r="AT1026" s="175">
        <v>2</v>
      </c>
    </row>
    <row r="1027" spans="1:46">
      <c r="A1027">
        <v>20443</v>
      </c>
      <c r="B1027" t="s">
        <v>6783</v>
      </c>
      <c r="C1027" t="s">
        <v>6784</v>
      </c>
      <c r="D1027" t="s">
        <v>6785</v>
      </c>
      <c r="E1027" t="s">
        <v>6786</v>
      </c>
      <c r="F1027" t="s">
        <v>1231</v>
      </c>
      <c r="G1027" t="s">
        <v>737</v>
      </c>
      <c r="H1027" t="s">
        <v>449</v>
      </c>
      <c r="I1027" t="s">
        <v>4134</v>
      </c>
      <c r="J1027" t="s">
        <v>4032</v>
      </c>
      <c r="K1027" t="s">
        <v>606</v>
      </c>
      <c r="M1027" t="s">
        <v>607</v>
      </c>
      <c r="N1027" t="s">
        <v>657</v>
      </c>
      <c r="O1027" t="s">
        <v>1042</v>
      </c>
      <c r="P1027" t="s">
        <v>739</v>
      </c>
      <c r="Q1027" t="s">
        <v>467</v>
      </c>
      <c r="R1027" t="s">
        <v>793</v>
      </c>
      <c r="S1027" t="s">
        <v>943</v>
      </c>
      <c r="T1027" t="s">
        <v>794</v>
      </c>
      <c r="U1027">
        <v>131600</v>
      </c>
      <c r="V1027" t="s">
        <v>4982</v>
      </c>
      <c r="W1027" t="s">
        <v>1044</v>
      </c>
      <c r="X1027" t="s">
        <v>6787</v>
      </c>
      <c r="Y1027" t="s">
        <v>6788</v>
      </c>
      <c r="Z1027" t="s">
        <v>1187</v>
      </c>
      <c r="AA1027" t="s">
        <v>4481</v>
      </c>
      <c r="AE1027">
        <v>-36.854005000000001</v>
      </c>
      <c r="AF1027">
        <v>174.7337225</v>
      </c>
      <c r="AG1027" s="175">
        <v>30</v>
      </c>
      <c r="AH1027" s="175">
        <v>2</v>
      </c>
      <c r="AI1027" s="175">
        <v>0</v>
      </c>
      <c r="AJ1027" s="175">
        <v>0</v>
      </c>
      <c r="AK1027" s="175">
        <v>14</v>
      </c>
      <c r="AL1027" s="175">
        <v>9</v>
      </c>
      <c r="AM1027" s="175">
        <v>15</v>
      </c>
      <c r="AN1027" s="175">
        <v>0</v>
      </c>
      <c r="AO1027" s="175">
        <v>38</v>
      </c>
      <c r="AP1027" s="175">
        <v>35</v>
      </c>
      <c r="AQ1027" s="175">
        <v>0</v>
      </c>
      <c r="AR1027" s="175">
        <v>0</v>
      </c>
      <c r="AS1027" s="175">
        <v>7</v>
      </c>
      <c r="AT1027" s="175">
        <v>3</v>
      </c>
    </row>
    <row r="1028" spans="1:46">
      <c r="A1028">
        <v>20445</v>
      </c>
      <c r="B1028" t="s">
        <v>6789</v>
      </c>
      <c r="C1028" t="s">
        <v>6790</v>
      </c>
      <c r="D1028" t="s">
        <v>6791</v>
      </c>
      <c r="E1028" t="s">
        <v>6792</v>
      </c>
      <c r="F1028" t="s">
        <v>1262</v>
      </c>
      <c r="G1028" t="s">
        <v>737</v>
      </c>
      <c r="H1028" t="s">
        <v>449</v>
      </c>
      <c r="J1028" t="s">
        <v>4032</v>
      </c>
      <c r="K1028" t="s">
        <v>606</v>
      </c>
      <c r="M1028" t="s">
        <v>607</v>
      </c>
      <c r="N1028" t="s">
        <v>657</v>
      </c>
      <c r="O1028" t="s">
        <v>833</v>
      </c>
      <c r="P1028" t="s">
        <v>739</v>
      </c>
      <c r="Q1028" t="s">
        <v>467</v>
      </c>
      <c r="R1028" t="s">
        <v>724</v>
      </c>
      <c r="S1028" t="s">
        <v>767</v>
      </c>
      <c r="T1028" t="s">
        <v>613</v>
      </c>
      <c r="U1028">
        <v>126601</v>
      </c>
      <c r="V1028" t="s">
        <v>6196</v>
      </c>
      <c r="W1028" t="s">
        <v>826</v>
      </c>
      <c r="X1028" t="s">
        <v>6793</v>
      </c>
      <c r="Y1028" t="s">
        <v>6792</v>
      </c>
      <c r="Z1028" t="s">
        <v>1262</v>
      </c>
      <c r="AA1028" t="s">
        <v>4356</v>
      </c>
      <c r="AB1028" t="s">
        <v>6790</v>
      </c>
      <c r="AC1028">
        <v>99188</v>
      </c>
      <c r="AD1028" t="s">
        <v>871</v>
      </c>
      <c r="AE1028">
        <v>-36.789967920000002</v>
      </c>
      <c r="AF1028">
        <v>174.76054289000001</v>
      </c>
      <c r="AG1028" s="175">
        <v>34</v>
      </c>
      <c r="AH1028" s="175">
        <v>12</v>
      </c>
      <c r="AI1028" s="175">
        <v>0</v>
      </c>
      <c r="AJ1028" s="175">
        <v>13</v>
      </c>
      <c r="AK1028" s="175">
        <v>17</v>
      </c>
      <c r="AL1028" s="175">
        <v>6</v>
      </c>
      <c r="AM1028" s="175">
        <v>13</v>
      </c>
      <c r="AN1028" s="175">
        <v>1</v>
      </c>
      <c r="AO1028" s="175">
        <v>50</v>
      </c>
      <c r="AP1028" s="175">
        <v>37</v>
      </c>
      <c r="AQ1028" s="175">
        <v>2</v>
      </c>
      <c r="AR1028" s="175">
        <v>1</v>
      </c>
      <c r="AS1028" s="175">
        <v>14</v>
      </c>
      <c r="AT1028" s="175">
        <v>4</v>
      </c>
    </row>
    <row r="1029" spans="1:46">
      <c r="A1029">
        <v>20446</v>
      </c>
      <c r="B1029" t="s">
        <v>6794</v>
      </c>
      <c r="D1029" t="s">
        <v>6795</v>
      </c>
      <c r="E1029" t="s">
        <v>6796</v>
      </c>
      <c r="F1029" t="s">
        <v>1144</v>
      </c>
      <c r="G1029" t="s">
        <v>737</v>
      </c>
      <c r="H1029" t="s">
        <v>449</v>
      </c>
      <c r="I1029" t="s">
        <v>4134</v>
      </c>
      <c r="J1029" t="s">
        <v>4032</v>
      </c>
      <c r="K1029" t="s">
        <v>606</v>
      </c>
      <c r="M1029" t="s">
        <v>607</v>
      </c>
      <c r="N1029" t="s">
        <v>657</v>
      </c>
      <c r="O1029" t="s">
        <v>889</v>
      </c>
      <c r="P1029" t="s">
        <v>739</v>
      </c>
      <c r="Q1029" t="s">
        <v>467</v>
      </c>
      <c r="R1029" t="s">
        <v>793</v>
      </c>
      <c r="S1029" t="s">
        <v>965</v>
      </c>
      <c r="T1029" t="s">
        <v>794</v>
      </c>
      <c r="U1029">
        <v>139201</v>
      </c>
      <c r="V1029" t="s">
        <v>1145</v>
      </c>
      <c r="W1029" t="s">
        <v>909</v>
      </c>
      <c r="X1029" t="s">
        <v>6797</v>
      </c>
      <c r="Y1029" t="s">
        <v>6798</v>
      </c>
      <c r="Z1029" t="s">
        <v>1144</v>
      </c>
      <c r="AA1029" t="s">
        <v>4498</v>
      </c>
      <c r="AB1029" t="s">
        <v>6799</v>
      </c>
      <c r="AC1029">
        <v>99100</v>
      </c>
      <c r="AD1029" t="s">
        <v>1146</v>
      </c>
      <c r="AE1029">
        <v>-36.857636429999999</v>
      </c>
      <c r="AF1029">
        <v>174.81400493000001</v>
      </c>
      <c r="AG1029" s="175">
        <v>45</v>
      </c>
      <c r="AH1029" s="175">
        <v>5</v>
      </c>
      <c r="AI1029" s="175">
        <v>0</v>
      </c>
      <c r="AJ1029" s="175">
        <v>5</v>
      </c>
      <c r="AK1029" s="175">
        <v>14</v>
      </c>
      <c r="AL1029" s="175">
        <v>10</v>
      </c>
      <c r="AM1029" s="175">
        <v>17</v>
      </c>
      <c r="AN1029" s="175">
        <v>2</v>
      </c>
      <c r="AO1029" s="175">
        <v>48</v>
      </c>
      <c r="AP1029" s="175">
        <v>42</v>
      </c>
      <c r="AQ1029" s="175">
        <v>2</v>
      </c>
      <c r="AR1029" s="175">
        <v>0</v>
      </c>
      <c r="AS1029" s="175">
        <v>9</v>
      </c>
      <c r="AT1029" s="175">
        <v>1</v>
      </c>
    </row>
    <row r="1030" spans="1:46">
      <c r="A1030">
        <v>20448</v>
      </c>
      <c r="B1030" t="s">
        <v>6800</v>
      </c>
      <c r="C1030" t="s">
        <v>6801</v>
      </c>
      <c r="D1030" t="s">
        <v>6802</v>
      </c>
      <c r="E1030" t="s">
        <v>6803</v>
      </c>
      <c r="F1030" t="s">
        <v>976</v>
      </c>
      <c r="G1030" t="s">
        <v>737</v>
      </c>
      <c r="H1030" t="s">
        <v>449</v>
      </c>
      <c r="J1030" t="s">
        <v>4032</v>
      </c>
      <c r="K1030" t="s">
        <v>606</v>
      </c>
      <c r="M1030" t="s">
        <v>607</v>
      </c>
      <c r="N1030" t="s">
        <v>657</v>
      </c>
      <c r="O1030" t="s">
        <v>803</v>
      </c>
      <c r="P1030" t="s">
        <v>739</v>
      </c>
      <c r="Q1030" t="s">
        <v>467</v>
      </c>
      <c r="R1030" t="s">
        <v>724</v>
      </c>
      <c r="S1030" t="s">
        <v>855</v>
      </c>
      <c r="T1030" t="s">
        <v>794</v>
      </c>
      <c r="U1030">
        <v>138000</v>
      </c>
      <c r="V1030" t="s">
        <v>6804</v>
      </c>
      <c r="W1030" t="s">
        <v>806</v>
      </c>
      <c r="X1030" t="s">
        <v>6805</v>
      </c>
      <c r="Y1030" t="s">
        <v>4725</v>
      </c>
      <c r="Z1030" t="s">
        <v>1043</v>
      </c>
      <c r="AA1030" t="s">
        <v>4726</v>
      </c>
      <c r="AB1030" t="s">
        <v>6806</v>
      </c>
      <c r="AE1030">
        <v>-36.927786640000001</v>
      </c>
      <c r="AF1030">
        <v>174.6894824</v>
      </c>
      <c r="AG1030" s="175">
        <v>75</v>
      </c>
      <c r="AH1030" s="175">
        <v>20</v>
      </c>
      <c r="AI1030" s="175">
        <v>3</v>
      </c>
      <c r="AJ1030" s="175">
        <v>18</v>
      </c>
      <c r="AK1030" s="175">
        <v>21</v>
      </c>
      <c r="AL1030" s="175">
        <v>18</v>
      </c>
      <c r="AM1030" s="175">
        <v>20</v>
      </c>
      <c r="AN1030" s="175">
        <v>0</v>
      </c>
      <c r="AO1030" s="175">
        <v>80</v>
      </c>
      <c r="AP1030" s="175">
        <v>65</v>
      </c>
      <c r="AQ1030" s="175">
        <v>9</v>
      </c>
      <c r="AR1030" s="175">
        <v>11</v>
      </c>
      <c r="AS1030" s="175">
        <v>21</v>
      </c>
      <c r="AT1030" s="175">
        <v>2</v>
      </c>
    </row>
    <row r="1031" spans="1:46">
      <c r="A1031">
        <v>20449</v>
      </c>
      <c r="B1031" t="s">
        <v>6807</v>
      </c>
      <c r="C1031" t="s">
        <v>6808</v>
      </c>
      <c r="D1031" t="s">
        <v>6809</v>
      </c>
      <c r="E1031" t="s">
        <v>6810</v>
      </c>
      <c r="F1031" t="s">
        <v>1274</v>
      </c>
      <c r="G1031" t="s">
        <v>737</v>
      </c>
      <c r="H1031" t="s">
        <v>449</v>
      </c>
      <c r="J1031" t="s">
        <v>4032</v>
      </c>
      <c r="K1031" t="s">
        <v>606</v>
      </c>
      <c r="M1031" t="s">
        <v>607</v>
      </c>
      <c r="N1031" t="s">
        <v>657</v>
      </c>
      <c r="O1031" t="s">
        <v>898</v>
      </c>
      <c r="P1031" t="s">
        <v>739</v>
      </c>
      <c r="Q1031" t="s">
        <v>467</v>
      </c>
      <c r="R1031" t="s">
        <v>724</v>
      </c>
      <c r="S1031" t="s">
        <v>984</v>
      </c>
      <c r="T1031" t="s">
        <v>794</v>
      </c>
      <c r="U1031">
        <v>127001</v>
      </c>
      <c r="V1031" t="s">
        <v>6663</v>
      </c>
      <c r="W1031" t="s">
        <v>900</v>
      </c>
      <c r="X1031" t="s">
        <v>6811</v>
      </c>
      <c r="Y1031" t="s">
        <v>6812</v>
      </c>
      <c r="Z1031" t="s">
        <v>1274</v>
      </c>
      <c r="AA1031" t="s">
        <v>4374</v>
      </c>
      <c r="AB1031" t="s">
        <v>6808</v>
      </c>
      <c r="AE1031">
        <v>-36.862108569999997</v>
      </c>
      <c r="AF1031">
        <v>174.64832569999999</v>
      </c>
      <c r="AG1031" s="175">
        <v>50</v>
      </c>
      <c r="AH1031" s="175">
        <v>15</v>
      </c>
      <c r="AI1031" s="175">
        <v>0</v>
      </c>
      <c r="AJ1031" s="175">
        <v>12</v>
      </c>
      <c r="AK1031" s="175">
        <v>13</v>
      </c>
      <c r="AL1031" s="175">
        <v>11</v>
      </c>
      <c r="AM1031" s="175">
        <v>13</v>
      </c>
      <c r="AN1031" s="175">
        <v>0</v>
      </c>
      <c r="AO1031" s="175">
        <v>49</v>
      </c>
      <c r="AP1031" s="175">
        <v>32</v>
      </c>
      <c r="AQ1031" s="175">
        <v>11</v>
      </c>
      <c r="AR1031" s="175">
        <v>8</v>
      </c>
      <c r="AS1031" s="175">
        <v>15</v>
      </c>
      <c r="AT1031" s="175">
        <v>5</v>
      </c>
    </row>
    <row r="1032" spans="1:46">
      <c r="A1032">
        <v>20458</v>
      </c>
      <c r="B1032" t="s">
        <v>6813</v>
      </c>
      <c r="C1032" t="s">
        <v>6814</v>
      </c>
      <c r="D1032" t="s">
        <v>6815</v>
      </c>
      <c r="E1032" t="s">
        <v>6816</v>
      </c>
      <c r="F1032" t="s">
        <v>897</v>
      </c>
      <c r="G1032" t="s">
        <v>737</v>
      </c>
      <c r="H1032" t="s">
        <v>449</v>
      </c>
      <c r="J1032" t="s">
        <v>4032</v>
      </c>
      <c r="K1032" t="s">
        <v>606</v>
      </c>
      <c r="M1032" t="s">
        <v>607</v>
      </c>
      <c r="N1032" t="s">
        <v>643</v>
      </c>
      <c r="O1032" t="s">
        <v>898</v>
      </c>
      <c r="P1032" t="s">
        <v>739</v>
      </c>
      <c r="Q1032" t="s">
        <v>467</v>
      </c>
      <c r="R1032" t="s">
        <v>724</v>
      </c>
      <c r="S1032" t="s">
        <v>824</v>
      </c>
      <c r="T1032" t="s">
        <v>613</v>
      </c>
      <c r="U1032">
        <v>120600</v>
      </c>
      <c r="V1032" t="s">
        <v>6817</v>
      </c>
      <c r="W1032" t="s">
        <v>900</v>
      </c>
      <c r="X1032" t="s">
        <v>6818</v>
      </c>
      <c r="Y1032" t="s">
        <v>6816</v>
      </c>
      <c r="Z1032" t="s">
        <v>897</v>
      </c>
      <c r="AA1032" t="s">
        <v>4045</v>
      </c>
      <c r="AB1032" t="s">
        <v>6814</v>
      </c>
      <c r="AC1032">
        <v>99125</v>
      </c>
      <c r="AD1032" t="s">
        <v>901</v>
      </c>
      <c r="AE1032">
        <v>-36.839261610000001</v>
      </c>
      <c r="AF1032">
        <v>174.61090440000001</v>
      </c>
      <c r="AG1032" s="175">
        <v>65</v>
      </c>
      <c r="AH1032" s="175">
        <v>15</v>
      </c>
      <c r="AI1032" s="175">
        <v>0</v>
      </c>
      <c r="AJ1032" s="175">
        <v>0</v>
      </c>
      <c r="AK1032" s="175">
        <v>2</v>
      </c>
      <c r="AL1032" s="175">
        <v>8</v>
      </c>
      <c r="AM1032" s="175">
        <v>7</v>
      </c>
      <c r="AN1032" s="175">
        <v>1</v>
      </c>
      <c r="AO1032" s="175">
        <v>18</v>
      </c>
      <c r="AP1032" s="175">
        <v>5</v>
      </c>
      <c r="AQ1032" s="175">
        <v>7</v>
      </c>
      <c r="AR1032" s="175">
        <v>7</v>
      </c>
      <c r="AS1032" s="175">
        <v>5</v>
      </c>
      <c r="AT1032" s="175">
        <v>2</v>
      </c>
    </row>
    <row r="1033" spans="1:46">
      <c r="A1033">
        <v>20465</v>
      </c>
      <c r="B1033" t="s">
        <v>6819</v>
      </c>
      <c r="C1033" t="s">
        <v>6820</v>
      </c>
      <c r="D1033" t="s">
        <v>6821</v>
      </c>
      <c r="E1033" t="s">
        <v>6822</v>
      </c>
      <c r="F1033" t="s">
        <v>766</v>
      </c>
      <c r="G1033" t="s">
        <v>737</v>
      </c>
      <c r="H1033" t="s">
        <v>449</v>
      </c>
      <c r="J1033" t="s">
        <v>4032</v>
      </c>
      <c r="K1033" t="s">
        <v>606</v>
      </c>
      <c r="M1033" t="s">
        <v>607</v>
      </c>
      <c r="N1033" t="s">
        <v>657</v>
      </c>
      <c r="O1033" t="s">
        <v>1253</v>
      </c>
      <c r="P1033" t="s">
        <v>739</v>
      </c>
      <c r="Q1033" t="s">
        <v>467</v>
      </c>
      <c r="R1033" t="s">
        <v>724</v>
      </c>
      <c r="S1033" t="s">
        <v>740</v>
      </c>
      <c r="T1033" t="s">
        <v>613</v>
      </c>
      <c r="U1033">
        <v>118600</v>
      </c>
      <c r="V1033" t="s">
        <v>4082</v>
      </c>
      <c r="W1033" t="s">
        <v>742</v>
      </c>
      <c r="X1033" t="s">
        <v>4165</v>
      </c>
      <c r="Y1033" t="s">
        <v>4166</v>
      </c>
      <c r="Z1033" t="s">
        <v>4167</v>
      </c>
      <c r="AA1033" t="s">
        <v>4168</v>
      </c>
      <c r="AB1033" t="s">
        <v>4169</v>
      </c>
      <c r="AE1033">
        <v>-36.747895919999998</v>
      </c>
      <c r="AF1033">
        <v>174.7309688</v>
      </c>
      <c r="AG1033" s="175">
        <v>147</v>
      </c>
      <c r="AH1033" s="175">
        <v>40</v>
      </c>
      <c r="AI1033" s="175">
        <v>5</v>
      </c>
      <c r="AJ1033" s="175">
        <v>27</v>
      </c>
      <c r="AK1033" s="175">
        <v>21</v>
      </c>
      <c r="AL1033" s="175">
        <v>27</v>
      </c>
      <c r="AM1033" s="175">
        <v>14</v>
      </c>
      <c r="AN1033" s="175">
        <v>1</v>
      </c>
      <c r="AO1033" s="175">
        <v>95</v>
      </c>
      <c r="AP1033" s="175">
        <v>64</v>
      </c>
      <c r="AQ1033" s="175">
        <v>28</v>
      </c>
      <c r="AR1033" s="175">
        <v>9</v>
      </c>
      <c r="AS1033" s="175">
        <v>26</v>
      </c>
      <c r="AT1033" s="175">
        <v>3</v>
      </c>
    </row>
    <row r="1034" spans="1:46">
      <c r="A1034">
        <v>20466</v>
      </c>
      <c r="B1034" t="s">
        <v>6823</v>
      </c>
      <c r="C1034" t="s">
        <v>6824</v>
      </c>
      <c r="E1034" t="s">
        <v>6825</v>
      </c>
      <c r="F1034" t="s">
        <v>1102</v>
      </c>
      <c r="G1034" t="s">
        <v>737</v>
      </c>
      <c r="H1034" t="s">
        <v>449</v>
      </c>
      <c r="J1034" t="s">
        <v>4032</v>
      </c>
      <c r="K1034" t="s">
        <v>606</v>
      </c>
      <c r="M1034" t="s">
        <v>607</v>
      </c>
      <c r="N1034" t="s">
        <v>657</v>
      </c>
      <c r="O1034" t="s">
        <v>942</v>
      </c>
      <c r="P1034" t="s">
        <v>739</v>
      </c>
      <c r="Q1034" t="s">
        <v>467</v>
      </c>
      <c r="R1034" t="s">
        <v>793</v>
      </c>
      <c r="S1034" t="s">
        <v>998</v>
      </c>
      <c r="T1034" t="s">
        <v>794</v>
      </c>
      <c r="U1034">
        <v>139300</v>
      </c>
      <c r="V1034" t="s">
        <v>6826</v>
      </c>
      <c r="W1034" t="s">
        <v>945</v>
      </c>
      <c r="X1034" t="s">
        <v>6827</v>
      </c>
      <c r="Y1034" t="s">
        <v>6828</v>
      </c>
      <c r="Z1034" t="s">
        <v>6269</v>
      </c>
      <c r="AA1034" t="s">
        <v>4423</v>
      </c>
      <c r="AB1034" t="s">
        <v>6829</v>
      </c>
      <c r="AE1034">
        <v>-36.89046527</v>
      </c>
      <c r="AF1034">
        <v>174.75269435999999</v>
      </c>
      <c r="AG1034" s="175">
        <v>35</v>
      </c>
      <c r="AH1034" s="175">
        <v>8</v>
      </c>
      <c r="AI1034" s="175">
        <v>1</v>
      </c>
      <c r="AJ1034" s="175">
        <v>4</v>
      </c>
      <c r="AK1034" s="175">
        <v>9</v>
      </c>
      <c r="AL1034" s="175">
        <v>6</v>
      </c>
      <c r="AM1034" s="175">
        <v>12</v>
      </c>
      <c r="AN1034" s="175">
        <v>0</v>
      </c>
      <c r="AO1034" s="175">
        <v>32</v>
      </c>
      <c r="AP1034" s="175">
        <v>20</v>
      </c>
      <c r="AQ1034" s="175">
        <v>2</v>
      </c>
      <c r="AR1034" s="175">
        <v>2</v>
      </c>
      <c r="AS1034" s="175">
        <v>14</v>
      </c>
      <c r="AT1034" s="175">
        <v>1</v>
      </c>
    </row>
    <row r="1035" spans="1:46">
      <c r="A1035">
        <v>20468</v>
      </c>
      <c r="B1035" t="s">
        <v>6830</v>
      </c>
      <c r="C1035" t="s">
        <v>6831</v>
      </c>
      <c r="D1035" t="s">
        <v>6832</v>
      </c>
      <c r="E1035" t="s">
        <v>6833</v>
      </c>
      <c r="F1035" t="s">
        <v>906</v>
      </c>
      <c r="G1035" t="s">
        <v>737</v>
      </c>
      <c r="H1035" t="s">
        <v>449</v>
      </c>
      <c r="J1035" t="s">
        <v>605</v>
      </c>
      <c r="K1035" t="s">
        <v>606</v>
      </c>
      <c r="M1035" t="s">
        <v>607</v>
      </c>
      <c r="N1035" t="s">
        <v>657</v>
      </c>
      <c r="O1035" t="s">
        <v>889</v>
      </c>
      <c r="P1035" t="s">
        <v>739</v>
      </c>
      <c r="Q1035" t="s">
        <v>467</v>
      </c>
      <c r="R1035" t="s">
        <v>793</v>
      </c>
      <c r="S1035" t="s">
        <v>965</v>
      </c>
      <c r="T1035" t="s">
        <v>794</v>
      </c>
      <c r="U1035">
        <v>142400</v>
      </c>
      <c r="V1035" t="s">
        <v>6834</v>
      </c>
      <c r="W1035" t="s">
        <v>909</v>
      </c>
      <c r="X1035" t="s">
        <v>4013</v>
      </c>
      <c r="Y1035" t="s">
        <v>4014</v>
      </c>
      <c r="Z1035" t="s">
        <v>4015</v>
      </c>
      <c r="AA1035" t="s">
        <v>4016</v>
      </c>
      <c r="AB1035" t="s">
        <v>4017</v>
      </c>
      <c r="AE1035">
        <v>-36.876770909999998</v>
      </c>
      <c r="AF1035">
        <v>174.81815800000001</v>
      </c>
      <c r="AG1035" s="175">
        <v>45</v>
      </c>
      <c r="AH1035" s="175">
        <v>10</v>
      </c>
      <c r="AI1035" s="175">
        <v>2</v>
      </c>
      <c r="AJ1035" s="175">
        <v>10</v>
      </c>
      <c r="AK1035" s="175">
        <v>7</v>
      </c>
      <c r="AL1035" s="175">
        <v>14</v>
      </c>
      <c r="AM1035" s="175">
        <v>16</v>
      </c>
      <c r="AN1035" s="175">
        <v>1</v>
      </c>
      <c r="AO1035" s="175">
        <v>50</v>
      </c>
      <c r="AP1035" s="175">
        <v>34</v>
      </c>
      <c r="AQ1035" s="175">
        <v>3</v>
      </c>
      <c r="AR1035" s="175">
        <v>2</v>
      </c>
      <c r="AS1035" s="175">
        <v>15</v>
      </c>
      <c r="AT1035" s="175">
        <v>9</v>
      </c>
    </row>
    <row r="1036" spans="1:46">
      <c r="A1036">
        <v>20472</v>
      </c>
      <c r="B1036" t="s">
        <v>6835</v>
      </c>
      <c r="C1036" t="s">
        <v>6836</v>
      </c>
      <c r="E1036" t="s">
        <v>6837</v>
      </c>
      <c r="F1036" t="s">
        <v>983</v>
      </c>
      <c r="G1036" t="s">
        <v>737</v>
      </c>
      <c r="H1036" t="s">
        <v>449</v>
      </c>
      <c r="J1036" t="s">
        <v>4032</v>
      </c>
      <c r="K1036" t="s">
        <v>606</v>
      </c>
      <c r="M1036" t="s">
        <v>607</v>
      </c>
      <c r="N1036" t="s">
        <v>643</v>
      </c>
      <c r="O1036" t="s">
        <v>898</v>
      </c>
      <c r="P1036" t="s">
        <v>739</v>
      </c>
      <c r="Q1036" t="s">
        <v>467</v>
      </c>
      <c r="R1036" t="s">
        <v>724</v>
      </c>
      <c r="S1036" t="s">
        <v>984</v>
      </c>
      <c r="T1036" t="s">
        <v>613</v>
      </c>
      <c r="U1036">
        <v>124900</v>
      </c>
      <c r="V1036" t="s">
        <v>1205</v>
      </c>
      <c r="W1036" t="s">
        <v>900</v>
      </c>
      <c r="X1036" t="s">
        <v>6838</v>
      </c>
      <c r="Y1036" t="s">
        <v>6839</v>
      </c>
      <c r="Z1036" t="s">
        <v>855</v>
      </c>
      <c r="AA1036" t="s">
        <v>4604</v>
      </c>
      <c r="AB1036" t="s">
        <v>6840</v>
      </c>
      <c r="AE1036">
        <v>-36.856864430000002</v>
      </c>
      <c r="AF1036">
        <v>174.62585028000001</v>
      </c>
      <c r="AG1036" s="175">
        <v>30</v>
      </c>
      <c r="AH1036" s="175">
        <v>10</v>
      </c>
      <c r="AI1036" s="175">
        <v>4</v>
      </c>
      <c r="AJ1036" s="175">
        <v>2</v>
      </c>
      <c r="AK1036" s="175">
        <v>8</v>
      </c>
      <c r="AL1036" s="175">
        <v>6</v>
      </c>
      <c r="AM1036" s="175">
        <v>9</v>
      </c>
      <c r="AN1036" s="175">
        <v>0</v>
      </c>
      <c r="AO1036" s="175">
        <v>29</v>
      </c>
      <c r="AP1036" s="175">
        <v>20</v>
      </c>
      <c r="AQ1036" s="175">
        <v>8</v>
      </c>
      <c r="AR1036" s="175">
        <v>8</v>
      </c>
      <c r="AS1036" s="175">
        <v>5</v>
      </c>
      <c r="AT1036" s="175">
        <v>1</v>
      </c>
    </row>
    <row r="1037" spans="1:46">
      <c r="A1037">
        <v>20477</v>
      </c>
      <c r="B1037" t="s">
        <v>6841</v>
      </c>
      <c r="C1037" t="s">
        <v>6842</v>
      </c>
      <c r="D1037" t="s">
        <v>6843</v>
      </c>
      <c r="E1037" t="s">
        <v>6844</v>
      </c>
      <c r="F1037" t="s">
        <v>5926</v>
      </c>
      <c r="G1037" t="s">
        <v>737</v>
      </c>
      <c r="H1037" t="s">
        <v>449</v>
      </c>
      <c r="J1037" t="s">
        <v>605</v>
      </c>
      <c r="K1037" t="s">
        <v>606</v>
      </c>
      <c r="M1037" t="s">
        <v>607</v>
      </c>
      <c r="N1037" t="s">
        <v>657</v>
      </c>
      <c r="O1037" t="s">
        <v>833</v>
      </c>
      <c r="P1037" t="s">
        <v>739</v>
      </c>
      <c r="Q1037" t="s">
        <v>467</v>
      </c>
      <c r="R1037" t="s">
        <v>724</v>
      </c>
      <c r="S1037" t="s">
        <v>767</v>
      </c>
      <c r="T1037" t="s">
        <v>613</v>
      </c>
      <c r="U1037">
        <v>121200</v>
      </c>
      <c r="V1037" t="s">
        <v>6638</v>
      </c>
      <c r="W1037" t="s">
        <v>826</v>
      </c>
      <c r="X1037" t="s">
        <v>6845</v>
      </c>
      <c r="Y1037" t="s">
        <v>6844</v>
      </c>
      <c r="Z1037" t="s">
        <v>5926</v>
      </c>
      <c r="AA1037" t="s">
        <v>6846</v>
      </c>
      <c r="AB1037" t="s">
        <v>6847</v>
      </c>
      <c r="AC1037">
        <v>99188</v>
      </c>
      <c r="AD1037" t="s">
        <v>871</v>
      </c>
      <c r="AE1037">
        <v>-36.758915000000002</v>
      </c>
      <c r="AF1037">
        <v>174.74098475</v>
      </c>
      <c r="AG1037" s="175">
        <v>25</v>
      </c>
      <c r="AH1037" s="175">
        <v>8</v>
      </c>
      <c r="AI1037" s="175">
        <v>0</v>
      </c>
      <c r="AJ1037" s="175">
        <v>2</v>
      </c>
      <c r="AK1037" s="175">
        <v>12</v>
      </c>
      <c r="AL1037" s="175">
        <v>8</v>
      </c>
      <c r="AM1037" s="175">
        <v>4</v>
      </c>
      <c r="AN1037" s="175">
        <v>4</v>
      </c>
      <c r="AO1037" s="175">
        <v>30</v>
      </c>
      <c r="AP1037" s="175">
        <v>9</v>
      </c>
      <c r="AQ1037" s="175">
        <v>3</v>
      </c>
      <c r="AR1037" s="175">
        <v>2</v>
      </c>
      <c r="AS1037" s="175">
        <v>20</v>
      </c>
      <c r="AT1037" s="175">
        <v>0</v>
      </c>
    </row>
    <row r="1038" spans="1:46">
      <c r="A1038">
        <v>20478</v>
      </c>
      <c r="B1038" t="s">
        <v>6848</v>
      </c>
      <c r="C1038" t="s">
        <v>6849</v>
      </c>
      <c r="D1038" t="s">
        <v>6850</v>
      </c>
      <c r="E1038" t="s">
        <v>6851</v>
      </c>
      <c r="F1038" t="s">
        <v>940</v>
      </c>
      <c r="G1038" t="s">
        <v>737</v>
      </c>
      <c r="H1038" t="s">
        <v>449</v>
      </c>
      <c r="J1038" t="s">
        <v>4032</v>
      </c>
      <c r="K1038" t="s">
        <v>606</v>
      </c>
      <c r="M1038" t="s">
        <v>607</v>
      </c>
      <c r="N1038" t="s">
        <v>657</v>
      </c>
      <c r="O1038" t="s">
        <v>942</v>
      </c>
      <c r="P1038" t="s">
        <v>739</v>
      </c>
      <c r="Q1038" t="s">
        <v>467</v>
      </c>
      <c r="R1038" t="s">
        <v>793</v>
      </c>
      <c r="S1038" t="s">
        <v>943</v>
      </c>
      <c r="T1038" t="s">
        <v>794</v>
      </c>
      <c r="U1038">
        <v>132200</v>
      </c>
      <c r="V1038" t="s">
        <v>6109</v>
      </c>
      <c r="W1038" t="s">
        <v>945</v>
      </c>
      <c r="X1038" t="s">
        <v>6852</v>
      </c>
      <c r="Y1038" t="s">
        <v>6853</v>
      </c>
      <c r="Z1038" t="s">
        <v>1231</v>
      </c>
      <c r="AA1038" t="s">
        <v>4481</v>
      </c>
      <c r="AB1038" t="s">
        <v>6854</v>
      </c>
      <c r="AE1038">
        <v>-36.872097519999997</v>
      </c>
      <c r="AF1038">
        <v>174.71025922999999</v>
      </c>
      <c r="AG1038" s="175">
        <v>30</v>
      </c>
      <c r="AH1038" s="175">
        <v>10</v>
      </c>
      <c r="AI1038" s="175">
        <v>0</v>
      </c>
      <c r="AJ1038" s="175">
        <v>8</v>
      </c>
      <c r="AK1038" s="175">
        <v>9</v>
      </c>
      <c r="AL1038" s="175">
        <v>8</v>
      </c>
      <c r="AM1038" s="175">
        <v>7</v>
      </c>
      <c r="AN1038" s="175">
        <v>1</v>
      </c>
      <c r="AO1038" s="175">
        <v>33</v>
      </c>
      <c r="AP1038" s="175">
        <v>33</v>
      </c>
      <c r="AQ1038" s="175">
        <v>6</v>
      </c>
      <c r="AR1038" s="175">
        <v>1</v>
      </c>
      <c r="AS1038" s="175">
        <v>6</v>
      </c>
      <c r="AT1038" s="175">
        <v>1</v>
      </c>
    </row>
    <row r="1039" spans="1:46">
      <c r="A1039">
        <v>20481</v>
      </c>
      <c r="B1039" t="s">
        <v>6855</v>
      </c>
      <c r="C1039" t="s">
        <v>6856</v>
      </c>
      <c r="E1039" t="s">
        <v>6857</v>
      </c>
      <c r="F1039" t="s">
        <v>983</v>
      </c>
      <c r="G1039" t="s">
        <v>737</v>
      </c>
      <c r="H1039" t="s">
        <v>347</v>
      </c>
      <c r="J1039" t="s">
        <v>605</v>
      </c>
      <c r="K1039" t="s">
        <v>606</v>
      </c>
      <c r="L1039" t="s">
        <v>4273</v>
      </c>
      <c r="M1039" t="s">
        <v>607</v>
      </c>
      <c r="N1039" t="s">
        <v>643</v>
      </c>
      <c r="O1039" t="s">
        <v>898</v>
      </c>
      <c r="P1039" t="s">
        <v>739</v>
      </c>
      <c r="Q1039" t="s">
        <v>467</v>
      </c>
      <c r="R1039" t="s">
        <v>724</v>
      </c>
      <c r="S1039" t="s">
        <v>984</v>
      </c>
      <c r="T1039" t="s">
        <v>613</v>
      </c>
      <c r="U1039">
        <v>126702</v>
      </c>
      <c r="V1039" t="s">
        <v>985</v>
      </c>
      <c r="W1039" t="s">
        <v>900</v>
      </c>
      <c r="X1039" t="s">
        <v>6672</v>
      </c>
      <c r="Y1039" t="s">
        <v>4276</v>
      </c>
      <c r="Z1039" t="s">
        <v>4277</v>
      </c>
      <c r="AA1039" t="s">
        <v>4278</v>
      </c>
      <c r="AB1039" t="s">
        <v>6673</v>
      </c>
      <c r="AE1039">
        <v>-36.881879089999998</v>
      </c>
      <c r="AF1039">
        <v>174.62676056999999</v>
      </c>
      <c r="AG1039" s="175">
        <v>30</v>
      </c>
      <c r="AH1039" s="175">
        <v>5</v>
      </c>
      <c r="AI1039" s="175">
        <v>0</v>
      </c>
      <c r="AJ1039" s="175">
        <v>3</v>
      </c>
      <c r="AK1039" s="175">
        <v>8</v>
      </c>
      <c r="AL1039" s="175">
        <v>7</v>
      </c>
      <c r="AM1039" s="175">
        <v>3</v>
      </c>
      <c r="AN1039" s="175">
        <v>0</v>
      </c>
      <c r="AO1039" s="175">
        <v>21</v>
      </c>
      <c r="AP1039" s="175">
        <v>0</v>
      </c>
      <c r="AQ1039" s="175">
        <v>20</v>
      </c>
      <c r="AR1039" s="175">
        <v>0</v>
      </c>
      <c r="AS1039" s="175">
        <v>0</v>
      </c>
      <c r="AT1039" s="175">
        <v>1</v>
      </c>
    </row>
    <row r="1040" spans="1:46">
      <c r="A1040">
        <v>20482</v>
      </c>
      <c r="B1040" t="s">
        <v>6858</v>
      </c>
      <c r="C1040" t="s">
        <v>6859</v>
      </c>
      <c r="E1040" t="s">
        <v>6860</v>
      </c>
      <c r="F1040" t="s">
        <v>1120</v>
      </c>
      <c r="G1040" t="s">
        <v>737</v>
      </c>
      <c r="H1040" t="s">
        <v>347</v>
      </c>
      <c r="J1040" t="s">
        <v>605</v>
      </c>
      <c r="K1040" t="s">
        <v>606</v>
      </c>
      <c r="L1040" t="s">
        <v>4273</v>
      </c>
      <c r="M1040" t="s">
        <v>607</v>
      </c>
      <c r="N1040" t="s">
        <v>608</v>
      </c>
      <c r="O1040" t="s">
        <v>813</v>
      </c>
      <c r="P1040" t="s">
        <v>739</v>
      </c>
      <c r="Q1040" t="s">
        <v>467</v>
      </c>
      <c r="R1040" t="s">
        <v>814</v>
      </c>
      <c r="S1040" t="s">
        <v>815</v>
      </c>
      <c r="T1040" t="s">
        <v>794</v>
      </c>
      <c r="U1040">
        <v>154001</v>
      </c>
      <c r="V1040" t="s">
        <v>1139</v>
      </c>
      <c r="W1040" t="s">
        <v>817</v>
      </c>
      <c r="X1040" t="s">
        <v>4275</v>
      </c>
      <c r="Y1040" t="s">
        <v>4276</v>
      </c>
      <c r="Z1040" t="s">
        <v>4277</v>
      </c>
      <c r="AA1040" t="s">
        <v>4278</v>
      </c>
      <c r="AE1040">
        <v>-36.96701358</v>
      </c>
      <c r="AF1040">
        <v>174.84279101000001</v>
      </c>
      <c r="AG1040" s="175">
        <v>25</v>
      </c>
      <c r="AH1040" s="175">
        <v>6</v>
      </c>
      <c r="AI1040" s="175">
        <v>1</v>
      </c>
      <c r="AJ1040" s="175">
        <v>4</v>
      </c>
      <c r="AK1040" s="175">
        <v>3</v>
      </c>
      <c r="AL1040" s="175">
        <v>5</v>
      </c>
      <c r="AM1040" s="175">
        <v>1</v>
      </c>
      <c r="AN1040" s="175">
        <v>0</v>
      </c>
      <c r="AO1040" s="175">
        <v>14</v>
      </c>
      <c r="AP1040" s="175">
        <v>0</v>
      </c>
      <c r="AQ1040" s="175">
        <v>11</v>
      </c>
      <c r="AR1040" s="175">
        <v>3</v>
      </c>
      <c r="AS1040" s="175">
        <v>0</v>
      </c>
      <c r="AT1040" s="175">
        <v>0</v>
      </c>
    </row>
    <row r="1041" spans="1:46">
      <c r="A1041">
        <v>20485</v>
      </c>
      <c r="B1041" t="s">
        <v>6861</v>
      </c>
      <c r="C1041" t="s">
        <v>6862</v>
      </c>
      <c r="D1041" t="s">
        <v>6863</v>
      </c>
      <c r="E1041" t="s">
        <v>6864</v>
      </c>
      <c r="F1041" t="s">
        <v>841</v>
      </c>
      <c r="G1041" t="s">
        <v>737</v>
      </c>
      <c r="H1041" t="s">
        <v>449</v>
      </c>
      <c r="J1041" t="s">
        <v>4032</v>
      </c>
      <c r="K1041" t="s">
        <v>606</v>
      </c>
      <c r="M1041" t="s">
        <v>607</v>
      </c>
      <c r="N1041" t="s">
        <v>657</v>
      </c>
      <c r="O1041" t="s">
        <v>823</v>
      </c>
      <c r="P1041" t="s">
        <v>739</v>
      </c>
      <c r="Q1041" t="s">
        <v>467</v>
      </c>
      <c r="R1041" t="s">
        <v>724</v>
      </c>
      <c r="S1041" t="s">
        <v>841</v>
      </c>
      <c r="T1041" t="s">
        <v>613</v>
      </c>
      <c r="U1041">
        <v>127300</v>
      </c>
      <c r="V1041" t="s">
        <v>1134</v>
      </c>
      <c r="W1041" t="s">
        <v>826</v>
      </c>
      <c r="X1041" t="s">
        <v>6865</v>
      </c>
      <c r="Y1041" t="s">
        <v>6866</v>
      </c>
      <c r="Z1041" t="s">
        <v>736</v>
      </c>
      <c r="AA1041" t="s">
        <v>4604</v>
      </c>
      <c r="AC1041">
        <v>99067</v>
      </c>
      <c r="AD1041" t="s">
        <v>6180</v>
      </c>
      <c r="AE1041">
        <v>-36.810471370000002</v>
      </c>
      <c r="AF1041">
        <v>174.7402175</v>
      </c>
      <c r="AG1041" s="175">
        <v>37</v>
      </c>
      <c r="AH1041" s="175">
        <v>10</v>
      </c>
      <c r="AI1041" s="175">
        <v>0</v>
      </c>
      <c r="AJ1041" s="175">
        <v>9</v>
      </c>
      <c r="AK1041" s="175">
        <v>14</v>
      </c>
      <c r="AL1041" s="175">
        <v>8</v>
      </c>
      <c r="AM1041" s="175">
        <v>14</v>
      </c>
      <c r="AN1041" s="175">
        <v>0</v>
      </c>
      <c r="AO1041" s="175">
        <v>45</v>
      </c>
      <c r="AP1041" s="175">
        <v>39</v>
      </c>
      <c r="AQ1041" s="175">
        <v>4</v>
      </c>
      <c r="AR1041" s="175">
        <v>1</v>
      </c>
      <c r="AS1041" s="175">
        <v>2</v>
      </c>
      <c r="AT1041" s="175">
        <v>2</v>
      </c>
    </row>
    <row r="1042" spans="1:46">
      <c r="A1042">
        <v>20486</v>
      </c>
      <c r="B1042" t="s">
        <v>6867</v>
      </c>
      <c r="C1042" t="s">
        <v>6868</v>
      </c>
      <c r="D1042" t="s">
        <v>6869</v>
      </c>
      <c r="E1042" t="s">
        <v>6870</v>
      </c>
      <c r="F1042" t="s">
        <v>1187</v>
      </c>
      <c r="G1042" t="s">
        <v>737</v>
      </c>
      <c r="H1042" t="s">
        <v>449</v>
      </c>
      <c r="I1042" t="s">
        <v>6871</v>
      </c>
      <c r="J1042" t="s">
        <v>605</v>
      </c>
      <c r="K1042" t="s">
        <v>606</v>
      </c>
      <c r="M1042" t="s">
        <v>607</v>
      </c>
      <c r="N1042" t="s">
        <v>657</v>
      </c>
      <c r="O1042" t="s">
        <v>1042</v>
      </c>
      <c r="P1042" t="s">
        <v>739</v>
      </c>
      <c r="Q1042" t="s">
        <v>467</v>
      </c>
      <c r="R1042" t="s">
        <v>793</v>
      </c>
      <c r="S1042" t="s">
        <v>1043</v>
      </c>
      <c r="T1042" t="s">
        <v>794</v>
      </c>
      <c r="U1042">
        <v>131200</v>
      </c>
      <c r="V1042" t="s">
        <v>1188</v>
      </c>
      <c r="W1042" t="s">
        <v>1044</v>
      </c>
      <c r="X1042" t="s">
        <v>6872</v>
      </c>
      <c r="Y1042" t="s">
        <v>6873</v>
      </c>
      <c r="Z1042" t="s">
        <v>4589</v>
      </c>
      <c r="AA1042" t="s">
        <v>6874</v>
      </c>
      <c r="AB1042" t="s">
        <v>6875</v>
      </c>
      <c r="AE1042">
        <v>-36.849094739999998</v>
      </c>
      <c r="AF1042">
        <v>174.74377985999999</v>
      </c>
      <c r="AG1042" s="175">
        <v>20</v>
      </c>
      <c r="AH1042" s="175">
        <v>4</v>
      </c>
      <c r="AI1042" s="175">
        <v>0</v>
      </c>
      <c r="AJ1042" s="175">
        <v>4</v>
      </c>
      <c r="AK1042" s="175">
        <v>9</v>
      </c>
      <c r="AL1042" s="175">
        <v>4</v>
      </c>
      <c r="AM1042" s="175">
        <v>2</v>
      </c>
      <c r="AN1042" s="175">
        <v>0</v>
      </c>
      <c r="AO1042" s="175">
        <v>19</v>
      </c>
      <c r="AP1042" s="175">
        <v>16</v>
      </c>
      <c r="AQ1042" s="175">
        <v>2</v>
      </c>
      <c r="AR1042" s="175">
        <v>1</v>
      </c>
      <c r="AS1042" s="175">
        <v>4</v>
      </c>
      <c r="AT1042" s="175">
        <v>2</v>
      </c>
    </row>
    <row r="1043" spans="1:46">
      <c r="A1043">
        <v>20487</v>
      </c>
      <c r="B1043" t="s">
        <v>6876</v>
      </c>
      <c r="C1043" t="s">
        <v>6877</v>
      </c>
      <c r="D1043" t="s">
        <v>6878</v>
      </c>
      <c r="E1043" t="s">
        <v>6879</v>
      </c>
      <c r="F1043" t="s">
        <v>4495</v>
      </c>
      <c r="G1043" t="s">
        <v>737</v>
      </c>
      <c r="H1043" t="s">
        <v>301</v>
      </c>
      <c r="J1043" t="s">
        <v>605</v>
      </c>
      <c r="K1043" t="s">
        <v>606</v>
      </c>
      <c r="M1043" t="s">
        <v>607</v>
      </c>
      <c r="N1043" t="s">
        <v>657</v>
      </c>
      <c r="O1043" t="s">
        <v>889</v>
      </c>
      <c r="P1043" t="s">
        <v>739</v>
      </c>
      <c r="Q1043" t="s">
        <v>467</v>
      </c>
      <c r="R1043" t="s">
        <v>793</v>
      </c>
      <c r="S1043" t="s">
        <v>965</v>
      </c>
      <c r="T1043" t="s">
        <v>794</v>
      </c>
      <c r="U1043">
        <v>144001</v>
      </c>
      <c r="V1043" t="s">
        <v>6880</v>
      </c>
      <c r="W1043" t="s">
        <v>909</v>
      </c>
      <c r="X1043" t="s">
        <v>6881</v>
      </c>
      <c r="Y1043" t="s">
        <v>5253</v>
      </c>
      <c r="AA1043" t="s">
        <v>5254</v>
      </c>
      <c r="AB1043" t="s">
        <v>6882</v>
      </c>
      <c r="AE1043">
        <v>-36.85302188</v>
      </c>
      <c r="AF1043">
        <v>174.87158160000001</v>
      </c>
      <c r="AG1043" s="175">
        <v>30</v>
      </c>
      <c r="AH1043" s="175">
        <v>15</v>
      </c>
      <c r="AI1043" s="175">
        <v>5</v>
      </c>
      <c r="AJ1043" s="175">
        <v>8</v>
      </c>
      <c r="AK1043" s="175">
        <v>18</v>
      </c>
      <c r="AL1043" s="175">
        <v>12</v>
      </c>
      <c r="AM1043" s="175">
        <v>8</v>
      </c>
      <c r="AN1043" s="175">
        <v>2</v>
      </c>
      <c r="AO1043" s="175">
        <v>53</v>
      </c>
      <c r="AP1043" s="175">
        <v>49</v>
      </c>
      <c r="AQ1043" s="175">
        <v>3</v>
      </c>
      <c r="AR1043" s="175">
        <v>1</v>
      </c>
      <c r="AS1043" s="175">
        <v>9</v>
      </c>
      <c r="AT1043" s="175">
        <v>4</v>
      </c>
    </row>
    <row r="1044" spans="1:46">
      <c r="A1044">
        <v>20489</v>
      </c>
      <c r="B1044" t="s">
        <v>6883</v>
      </c>
      <c r="C1044" t="s">
        <v>6884</v>
      </c>
      <c r="D1044" t="s">
        <v>6885</v>
      </c>
      <c r="E1044" t="s">
        <v>6886</v>
      </c>
      <c r="F1044" t="s">
        <v>1199</v>
      </c>
      <c r="G1044" t="s">
        <v>737</v>
      </c>
      <c r="H1044" t="s">
        <v>449</v>
      </c>
      <c r="I1044" t="s">
        <v>4233</v>
      </c>
      <c r="J1044" t="s">
        <v>605</v>
      </c>
      <c r="K1044" t="s">
        <v>606</v>
      </c>
      <c r="M1044" t="s">
        <v>607</v>
      </c>
      <c r="N1044" t="s">
        <v>625</v>
      </c>
      <c r="O1044" t="s">
        <v>898</v>
      </c>
      <c r="P1044" t="s">
        <v>739</v>
      </c>
      <c r="Q1044" t="s">
        <v>467</v>
      </c>
      <c r="R1044" t="s">
        <v>724</v>
      </c>
      <c r="S1044" t="s">
        <v>984</v>
      </c>
      <c r="T1044" t="s">
        <v>613</v>
      </c>
      <c r="U1044">
        <v>123000</v>
      </c>
      <c r="V1044" t="s">
        <v>3823</v>
      </c>
      <c r="W1044" t="s">
        <v>900</v>
      </c>
      <c r="X1044" t="s">
        <v>6887</v>
      </c>
      <c r="Y1044" t="s">
        <v>6888</v>
      </c>
      <c r="Z1044" t="s">
        <v>1199</v>
      </c>
      <c r="AA1044" t="s">
        <v>4034</v>
      </c>
      <c r="AE1044">
        <v>-36.86294831</v>
      </c>
      <c r="AF1044">
        <v>174.60151375000001</v>
      </c>
      <c r="AG1044" s="175">
        <v>24</v>
      </c>
      <c r="AH1044" s="175">
        <v>6</v>
      </c>
      <c r="AI1044" s="175">
        <v>0</v>
      </c>
      <c r="AJ1044" s="175">
        <v>3</v>
      </c>
      <c r="AK1044" s="175">
        <v>3</v>
      </c>
      <c r="AL1044" s="175">
        <v>3</v>
      </c>
      <c r="AM1044" s="175">
        <v>4</v>
      </c>
      <c r="AN1044" s="175">
        <v>0</v>
      </c>
      <c r="AO1044" s="175">
        <v>13</v>
      </c>
      <c r="AP1044" s="175">
        <v>0</v>
      </c>
      <c r="AQ1044" s="175">
        <v>1</v>
      </c>
      <c r="AR1044" s="175">
        <v>13</v>
      </c>
      <c r="AS1044" s="175">
        <v>0</v>
      </c>
      <c r="AT1044" s="175">
        <v>0</v>
      </c>
    </row>
    <row r="1045" spans="1:46">
      <c r="A1045">
        <v>20491</v>
      </c>
      <c r="B1045" t="s">
        <v>6889</v>
      </c>
      <c r="C1045" t="s">
        <v>6890</v>
      </c>
      <c r="D1045" t="s">
        <v>6891</v>
      </c>
      <c r="E1045" t="s">
        <v>6892</v>
      </c>
      <c r="F1045" t="s">
        <v>1144</v>
      </c>
      <c r="G1045" t="s">
        <v>737</v>
      </c>
      <c r="H1045" t="s">
        <v>449</v>
      </c>
      <c r="I1045" t="s">
        <v>6893</v>
      </c>
      <c r="J1045" t="s">
        <v>605</v>
      </c>
      <c r="K1045" t="s">
        <v>606</v>
      </c>
      <c r="M1045" t="s">
        <v>607</v>
      </c>
      <c r="N1045" t="s">
        <v>657</v>
      </c>
      <c r="O1045" t="s">
        <v>889</v>
      </c>
      <c r="P1045" t="s">
        <v>739</v>
      </c>
      <c r="Q1045" t="s">
        <v>467</v>
      </c>
      <c r="R1045" t="s">
        <v>793</v>
      </c>
      <c r="S1045" t="s">
        <v>965</v>
      </c>
      <c r="T1045" t="s">
        <v>794</v>
      </c>
      <c r="U1045">
        <v>140100</v>
      </c>
      <c r="V1045" t="s">
        <v>6894</v>
      </c>
      <c r="W1045" t="s">
        <v>909</v>
      </c>
      <c r="X1045" t="s">
        <v>6895</v>
      </c>
      <c r="Y1045" t="s">
        <v>6892</v>
      </c>
      <c r="Z1045" t="s">
        <v>1144</v>
      </c>
      <c r="AA1045" t="s">
        <v>4498</v>
      </c>
      <c r="AB1045" t="s">
        <v>6890</v>
      </c>
      <c r="AE1045">
        <v>-36.860694160000001</v>
      </c>
      <c r="AF1045">
        <v>174.82123193999999</v>
      </c>
      <c r="AG1045" s="175">
        <v>25</v>
      </c>
      <c r="AH1045" s="175">
        <v>5</v>
      </c>
      <c r="AI1045" s="175">
        <v>0</v>
      </c>
      <c r="AJ1045" s="175">
        <v>3</v>
      </c>
      <c r="AK1045" s="175">
        <v>8</v>
      </c>
      <c r="AL1045" s="175">
        <v>7</v>
      </c>
      <c r="AM1045" s="175">
        <v>3</v>
      </c>
      <c r="AN1045" s="175">
        <v>0</v>
      </c>
      <c r="AO1045" s="175">
        <v>21</v>
      </c>
      <c r="AP1045" s="175">
        <v>18</v>
      </c>
      <c r="AQ1045" s="175">
        <v>5</v>
      </c>
      <c r="AR1045" s="175">
        <v>3</v>
      </c>
      <c r="AS1045" s="175">
        <v>3</v>
      </c>
      <c r="AT1045" s="175">
        <v>1</v>
      </c>
    </row>
    <row r="1046" spans="1:46">
      <c r="A1046">
        <v>20493</v>
      </c>
      <c r="B1046" t="s">
        <v>6896</v>
      </c>
      <c r="C1046" t="s">
        <v>6897</v>
      </c>
      <c r="E1046" t="s">
        <v>6898</v>
      </c>
      <c r="F1046" t="s">
        <v>1102</v>
      </c>
      <c r="G1046" t="s">
        <v>737</v>
      </c>
      <c r="H1046" t="s">
        <v>449</v>
      </c>
      <c r="J1046" t="s">
        <v>4032</v>
      </c>
      <c r="K1046" t="s">
        <v>606</v>
      </c>
      <c r="M1046" t="s">
        <v>607</v>
      </c>
      <c r="N1046" t="s">
        <v>657</v>
      </c>
      <c r="O1046" t="s">
        <v>942</v>
      </c>
      <c r="P1046" t="s">
        <v>739</v>
      </c>
      <c r="Q1046" t="s">
        <v>467</v>
      </c>
      <c r="R1046" t="s">
        <v>793</v>
      </c>
      <c r="S1046" t="s">
        <v>943</v>
      </c>
      <c r="T1046" t="s">
        <v>794</v>
      </c>
      <c r="U1046">
        <v>136900</v>
      </c>
      <c r="V1046" t="s">
        <v>5888</v>
      </c>
      <c r="W1046" t="s">
        <v>945</v>
      </c>
      <c r="X1046" t="s">
        <v>6899</v>
      </c>
      <c r="Y1046" t="s">
        <v>6900</v>
      </c>
      <c r="Z1046" t="s">
        <v>5170</v>
      </c>
      <c r="AA1046" t="s">
        <v>5066</v>
      </c>
      <c r="AB1046" t="s">
        <v>6901</v>
      </c>
      <c r="AE1046">
        <v>-36.876263399999999</v>
      </c>
      <c r="AF1046">
        <v>174.7497765</v>
      </c>
      <c r="AG1046" s="175">
        <v>27</v>
      </c>
      <c r="AH1046" s="175">
        <v>0</v>
      </c>
      <c r="AI1046" s="175">
        <v>0</v>
      </c>
      <c r="AJ1046" s="175">
        <v>0</v>
      </c>
      <c r="AK1046" s="175">
        <v>12</v>
      </c>
      <c r="AL1046" s="175">
        <v>2</v>
      </c>
      <c r="AM1046" s="175">
        <v>4</v>
      </c>
      <c r="AN1046" s="175">
        <v>2</v>
      </c>
      <c r="AO1046" s="175">
        <v>20</v>
      </c>
      <c r="AP1046" s="175">
        <v>14</v>
      </c>
      <c r="AQ1046" s="175">
        <v>1</v>
      </c>
      <c r="AR1046" s="175">
        <v>1</v>
      </c>
      <c r="AS1046" s="175">
        <v>7</v>
      </c>
      <c r="AT1046" s="175">
        <v>1</v>
      </c>
    </row>
    <row r="1047" spans="1:46">
      <c r="A1047">
        <v>20494</v>
      </c>
      <c r="B1047" t="s">
        <v>6902</v>
      </c>
      <c r="C1047" t="s">
        <v>6903</v>
      </c>
      <c r="E1047" t="s">
        <v>6904</v>
      </c>
      <c r="F1047" t="s">
        <v>854</v>
      </c>
      <c r="G1047" t="s">
        <v>737</v>
      </c>
      <c r="H1047" t="s">
        <v>449</v>
      </c>
      <c r="J1047" t="s">
        <v>4032</v>
      </c>
      <c r="K1047" t="s">
        <v>606</v>
      </c>
      <c r="M1047" t="s">
        <v>607</v>
      </c>
      <c r="N1047" t="s">
        <v>657</v>
      </c>
      <c r="O1047" t="s">
        <v>803</v>
      </c>
      <c r="P1047" t="s">
        <v>739</v>
      </c>
      <c r="Q1047" t="s">
        <v>467</v>
      </c>
      <c r="R1047" t="s">
        <v>793</v>
      </c>
      <c r="S1047" t="s">
        <v>855</v>
      </c>
      <c r="T1047" t="s">
        <v>794</v>
      </c>
      <c r="U1047">
        <v>138901</v>
      </c>
      <c r="V1047" t="s">
        <v>6905</v>
      </c>
      <c r="W1047" t="s">
        <v>806</v>
      </c>
      <c r="X1047" t="s">
        <v>6906</v>
      </c>
      <c r="Y1047" t="s">
        <v>6907</v>
      </c>
      <c r="Z1047" t="s">
        <v>907</v>
      </c>
      <c r="AA1047" t="s">
        <v>4449</v>
      </c>
      <c r="AE1047">
        <v>-36.923255400000002</v>
      </c>
      <c r="AF1047">
        <v>174.69971473999999</v>
      </c>
      <c r="AG1047" s="175">
        <v>40</v>
      </c>
      <c r="AH1047" s="175">
        <v>10</v>
      </c>
      <c r="AI1047" s="175">
        <v>1</v>
      </c>
      <c r="AJ1047" s="175">
        <v>4</v>
      </c>
      <c r="AK1047" s="175">
        <v>6</v>
      </c>
      <c r="AL1047" s="175">
        <v>9</v>
      </c>
      <c r="AM1047" s="175">
        <v>13</v>
      </c>
      <c r="AN1047" s="175">
        <v>0</v>
      </c>
      <c r="AO1047" s="175">
        <v>33</v>
      </c>
      <c r="AP1047" s="175">
        <v>19</v>
      </c>
      <c r="AQ1047" s="175">
        <v>3</v>
      </c>
      <c r="AR1047" s="175">
        <v>5</v>
      </c>
      <c r="AS1047" s="175">
        <v>13</v>
      </c>
      <c r="AT1047" s="175">
        <v>0</v>
      </c>
    </row>
    <row r="1048" spans="1:46">
      <c r="A1048">
        <v>20495</v>
      </c>
      <c r="B1048" t="s">
        <v>6908</v>
      </c>
      <c r="C1048" t="s">
        <v>6909</v>
      </c>
      <c r="E1048" t="s">
        <v>6910</v>
      </c>
      <c r="F1048" t="s">
        <v>4813</v>
      </c>
      <c r="G1048" t="s">
        <v>737</v>
      </c>
      <c r="H1048" t="s">
        <v>449</v>
      </c>
      <c r="I1048" t="s">
        <v>4298</v>
      </c>
      <c r="J1048" t="s">
        <v>605</v>
      </c>
      <c r="K1048" t="s">
        <v>606</v>
      </c>
      <c r="M1048" t="s">
        <v>607</v>
      </c>
      <c r="N1048" t="s">
        <v>657</v>
      </c>
      <c r="O1048" t="s">
        <v>958</v>
      </c>
      <c r="P1048" t="s">
        <v>739</v>
      </c>
      <c r="Q1048" t="s">
        <v>467</v>
      </c>
      <c r="R1048" t="s">
        <v>724</v>
      </c>
      <c r="S1048" t="s">
        <v>855</v>
      </c>
      <c r="T1048" t="s">
        <v>794</v>
      </c>
      <c r="U1048">
        <v>134600</v>
      </c>
      <c r="V1048" t="s">
        <v>6426</v>
      </c>
      <c r="W1048" t="s">
        <v>900</v>
      </c>
      <c r="X1048" t="s">
        <v>6911</v>
      </c>
      <c r="Y1048" t="s">
        <v>6912</v>
      </c>
      <c r="Z1048" t="s">
        <v>4813</v>
      </c>
      <c r="AA1048" t="s">
        <v>6913</v>
      </c>
      <c r="AB1048" t="s">
        <v>6909</v>
      </c>
      <c r="AE1048">
        <v>-36.951844629999997</v>
      </c>
      <c r="AF1048">
        <v>174.64075187</v>
      </c>
      <c r="AG1048" s="175">
        <v>81</v>
      </c>
      <c r="AH1048" s="175">
        <v>0</v>
      </c>
      <c r="AI1048" s="175">
        <v>0</v>
      </c>
      <c r="AJ1048" s="175">
        <v>0</v>
      </c>
      <c r="AK1048" s="175">
        <v>1</v>
      </c>
      <c r="AL1048" s="175">
        <v>16</v>
      </c>
      <c r="AM1048" s="175">
        <v>14</v>
      </c>
      <c r="AN1048" s="175">
        <v>23</v>
      </c>
      <c r="AO1048" s="175">
        <v>54</v>
      </c>
      <c r="AP1048" s="175">
        <v>44</v>
      </c>
      <c r="AQ1048" s="175">
        <v>9</v>
      </c>
      <c r="AR1048" s="175">
        <v>3</v>
      </c>
      <c r="AS1048" s="175">
        <v>12</v>
      </c>
      <c r="AT1048" s="175">
        <v>1</v>
      </c>
    </row>
    <row r="1049" spans="1:46">
      <c r="A1049">
        <v>20502</v>
      </c>
      <c r="B1049" t="s">
        <v>6914</v>
      </c>
      <c r="C1049" t="s">
        <v>6915</v>
      </c>
      <c r="D1049" t="s">
        <v>6916</v>
      </c>
      <c r="E1049" t="s">
        <v>6917</v>
      </c>
      <c r="G1049" t="s">
        <v>784</v>
      </c>
      <c r="H1049" t="s">
        <v>449</v>
      </c>
      <c r="I1049" t="s">
        <v>4023</v>
      </c>
      <c r="J1049" t="s">
        <v>4032</v>
      </c>
      <c r="K1049" t="s">
        <v>606</v>
      </c>
      <c r="M1049" t="s">
        <v>607</v>
      </c>
      <c r="N1049" t="s">
        <v>657</v>
      </c>
      <c r="O1049" t="s">
        <v>738</v>
      </c>
      <c r="P1049" t="s">
        <v>670</v>
      </c>
      <c r="Q1049" t="s">
        <v>467</v>
      </c>
      <c r="R1049" t="s">
        <v>724</v>
      </c>
      <c r="S1049" t="s">
        <v>753</v>
      </c>
      <c r="T1049" t="s">
        <v>613</v>
      </c>
      <c r="U1049">
        <v>114600</v>
      </c>
      <c r="V1049" t="s">
        <v>785</v>
      </c>
      <c r="W1049" t="s">
        <v>742</v>
      </c>
      <c r="X1049" t="s">
        <v>6918</v>
      </c>
      <c r="Y1049" t="s">
        <v>6919</v>
      </c>
      <c r="Z1049" t="s">
        <v>906</v>
      </c>
      <c r="AA1049" t="s">
        <v>4138</v>
      </c>
      <c r="AB1049" t="s">
        <v>6915</v>
      </c>
      <c r="AC1049">
        <v>99095</v>
      </c>
      <c r="AD1049" t="s">
        <v>786</v>
      </c>
      <c r="AE1049">
        <v>-36.622603849999997</v>
      </c>
      <c r="AF1049">
        <v>174.72478090000001</v>
      </c>
      <c r="AG1049" s="175">
        <v>48</v>
      </c>
      <c r="AH1049" s="175">
        <v>0</v>
      </c>
      <c r="AI1049" s="175">
        <v>0</v>
      </c>
      <c r="AJ1049" s="175">
        <v>0</v>
      </c>
      <c r="AK1049" s="175">
        <v>12</v>
      </c>
      <c r="AL1049" s="175">
        <v>20</v>
      </c>
      <c r="AM1049" s="175">
        <v>23</v>
      </c>
      <c r="AN1049" s="175">
        <v>3</v>
      </c>
      <c r="AO1049" s="175">
        <v>58</v>
      </c>
      <c r="AP1049" s="175">
        <v>55</v>
      </c>
      <c r="AQ1049" s="175">
        <v>7</v>
      </c>
      <c r="AR1049" s="175">
        <v>2</v>
      </c>
      <c r="AS1049" s="175">
        <v>5</v>
      </c>
      <c r="AT1049" s="175">
        <v>2</v>
      </c>
    </row>
    <row r="1050" spans="1:46">
      <c r="A1050">
        <v>20503</v>
      </c>
      <c r="B1050" t="s">
        <v>6920</v>
      </c>
      <c r="C1050" t="s">
        <v>6921</v>
      </c>
      <c r="E1050" t="s">
        <v>6922</v>
      </c>
      <c r="F1050" t="s">
        <v>6666</v>
      </c>
      <c r="G1050" t="s">
        <v>737</v>
      </c>
      <c r="H1050" t="s">
        <v>449</v>
      </c>
      <c r="I1050" t="s">
        <v>4134</v>
      </c>
      <c r="J1050" t="s">
        <v>4032</v>
      </c>
      <c r="K1050" t="s">
        <v>606</v>
      </c>
      <c r="M1050" t="s">
        <v>607</v>
      </c>
      <c r="N1050" t="s">
        <v>4586</v>
      </c>
      <c r="O1050" t="s">
        <v>898</v>
      </c>
      <c r="P1050" t="s">
        <v>739</v>
      </c>
      <c r="Q1050" t="s">
        <v>467</v>
      </c>
      <c r="R1050" t="s">
        <v>724</v>
      </c>
      <c r="S1050" t="s">
        <v>824</v>
      </c>
      <c r="T1050" t="s">
        <v>613</v>
      </c>
      <c r="U1050">
        <v>119800</v>
      </c>
      <c r="V1050" t="s">
        <v>1005</v>
      </c>
      <c r="W1050" t="s">
        <v>900</v>
      </c>
      <c r="X1050" t="s">
        <v>6923</v>
      </c>
      <c r="Y1050" t="s">
        <v>6924</v>
      </c>
      <c r="Z1050" t="s">
        <v>6925</v>
      </c>
      <c r="AA1050" t="s">
        <v>6926</v>
      </c>
      <c r="AB1050" t="s">
        <v>6921</v>
      </c>
      <c r="AE1050">
        <v>-36.819671049999997</v>
      </c>
      <c r="AF1050">
        <v>174.62717476</v>
      </c>
      <c r="AG1050" s="175">
        <v>45</v>
      </c>
      <c r="AH1050" s="175">
        <v>0</v>
      </c>
      <c r="AI1050" s="175">
        <v>0</v>
      </c>
      <c r="AJ1050" s="175">
        <v>0</v>
      </c>
      <c r="AK1050" s="175">
        <v>8</v>
      </c>
      <c r="AL1050" s="175">
        <v>12</v>
      </c>
      <c r="AM1050" s="175">
        <v>14</v>
      </c>
      <c r="AN1050" s="175">
        <v>2</v>
      </c>
      <c r="AO1050" s="175">
        <v>36</v>
      </c>
      <c r="AP1050" s="175">
        <v>9</v>
      </c>
      <c r="AQ1050" s="175">
        <v>2</v>
      </c>
      <c r="AR1050" s="175">
        <v>1</v>
      </c>
      <c r="AS1050" s="175">
        <v>29</v>
      </c>
      <c r="AT1050" s="175">
        <v>1</v>
      </c>
    </row>
    <row r="1051" spans="1:46">
      <c r="A1051">
        <v>20508</v>
      </c>
      <c r="B1051" t="s">
        <v>6927</v>
      </c>
      <c r="C1051" t="s">
        <v>6499</v>
      </c>
      <c r="D1051" t="s">
        <v>6928</v>
      </c>
      <c r="E1051" t="s">
        <v>6929</v>
      </c>
      <c r="F1051" t="s">
        <v>822</v>
      </c>
      <c r="G1051" t="s">
        <v>737</v>
      </c>
      <c r="H1051" t="s">
        <v>449</v>
      </c>
      <c r="J1051" t="s">
        <v>4032</v>
      </c>
      <c r="K1051" t="s">
        <v>606</v>
      </c>
      <c r="M1051" t="s">
        <v>607</v>
      </c>
      <c r="N1051" t="s">
        <v>657</v>
      </c>
      <c r="O1051" t="s">
        <v>823</v>
      </c>
      <c r="P1051" t="s">
        <v>739</v>
      </c>
      <c r="Q1051" t="s">
        <v>467</v>
      </c>
      <c r="R1051" t="s">
        <v>724</v>
      </c>
      <c r="S1051" t="s">
        <v>824</v>
      </c>
      <c r="T1051" t="s">
        <v>613</v>
      </c>
      <c r="U1051">
        <v>121901</v>
      </c>
      <c r="V1051" t="s">
        <v>6502</v>
      </c>
      <c r="W1051" t="s">
        <v>826</v>
      </c>
      <c r="X1051" t="s">
        <v>6503</v>
      </c>
      <c r="Y1051" t="s">
        <v>4725</v>
      </c>
      <c r="Z1051" t="s">
        <v>1043</v>
      </c>
      <c r="AA1051" t="s">
        <v>4726</v>
      </c>
      <c r="AB1051" t="s">
        <v>6504</v>
      </c>
      <c r="AE1051">
        <v>-36.765905500000002</v>
      </c>
      <c r="AF1051">
        <v>174.72830601999999</v>
      </c>
      <c r="AG1051" s="175">
        <v>45</v>
      </c>
      <c r="AH1051" s="175">
        <v>0</v>
      </c>
      <c r="AI1051" s="175">
        <v>0</v>
      </c>
      <c r="AJ1051" s="175">
        <v>0</v>
      </c>
      <c r="AK1051" s="175">
        <v>0</v>
      </c>
      <c r="AL1051" s="175">
        <v>10</v>
      </c>
      <c r="AM1051" s="175">
        <v>26</v>
      </c>
      <c r="AN1051" s="175">
        <v>1</v>
      </c>
      <c r="AO1051" s="175">
        <v>37</v>
      </c>
      <c r="AP1051" s="175">
        <v>18</v>
      </c>
      <c r="AQ1051" s="175">
        <v>4</v>
      </c>
      <c r="AR1051" s="175">
        <v>2</v>
      </c>
      <c r="AS1051" s="175">
        <v>17</v>
      </c>
      <c r="AT1051" s="175">
        <v>1</v>
      </c>
    </row>
    <row r="1052" spans="1:46">
      <c r="A1052">
        <v>20509</v>
      </c>
      <c r="B1052" t="s">
        <v>6930</v>
      </c>
      <c r="C1052" t="s">
        <v>6931</v>
      </c>
      <c r="D1052" t="s">
        <v>6932</v>
      </c>
      <c r="E1052" t="s">
        <v>6933</v>
      </c>
      <c r="G1052" t="s">
        <v>760</v>
      </c>
      <c r="H1052" t="s">
        <v>449</v>
      </c>
      <c r="J1052" t="s">
        <v>4032</v>
      </c>
      <c r="K1052" t="s">
        <v>606</v>
      </c>
      <c r="M1052" t="s">
        <v>607</v>
      </c>
      <c r="N1052" t="s">
        <v>657</v>
      </c>
      <c r="O1052" t="s">
        <v>723</v>
      </c>
      <c r="P1052" t="s">
        <v>610</v>
      </c>
      <c r="Q1052" t="s">
        <v>467</v>
      </c>
      <c r="R1052" t="s">
        <v>724</v>
      </c>
      <c r="S1052" t="s">
        <v>725</v>
      </c>
      <c r="T1052" t="s">
        <v>613</v>
      </c>
      <c r="U1052">
        <v>111300</v>
      </c>
      <c r="V1052" t="s">
        <v>6934</v>
      </c>
      <c r="W1052" t="s">
        <v>726</v>
      </c>
      <c r="X1052" t="s">
        <v>6935</v>
      </c>
      <c r="Y1052" t="s">
        <v>6936</v>
      </c>
      <c r="Z1052" t="s">
        <v>4201</v>
      </c>
      <c r="AA1052" t="s">
        <v>6937</v>
      </c>
      <c r="AE1052">
        <v>-36.400190279999997</v>
      </c>
      <c r="AF1052">
        <v>174.6651785</v>
      </c>
      <c r="AG1052" s="175">
        <v>50</v>
      </c>
      <c r="AH1052" s="175">
        <v>15</v>
      </c>
      <c r="AI1052" s="175">
        <v>0</v>
      </c>
      <c r="AJ1052" s="175">
        <v>0</v>
      </c>
      <c r="AK1052" s="175">
        <v>18</v>
      </c>
      <c r="AL1052" s="175">
        <v>14</v>
      </c>
      <c r="AM1052" s="175">
        <v>14</v>
      </c>
      <c r="AN1052" s="175">
        <v>1</v>
      </c>
      <c r="AO1052" s="175">
        <v>47</v>
      </c>
      <c r="AP1052" s="175">
        <v>38</v>
      </c>
      <c r="AQ1052" s="175">
        <v>12</v>
      </c>
      <c r="AR1052" s="175">
        <v>7</v>
      </c>
      <c r="AS1052" s="175">
        <v>3</v>
      </c>
      <c r="AT1052" s="175">
        <v>1</v>
      </c>
    </row>
    <row r="1053" spans="1:46">
      <c r="A1053">
        <v>20511</v>
      </c>
      <c r="B1053" t="s">
        <v>6938</v>
      </c>
      <c r="C1053" t="s">
        <v>6939</v>
      </c>
      <c r="D1053" t="s">
        <v>6940</v>
      </c>
      <c r="E1053" t="s">
        <v>6941</v>
      </c>
      <c r="F1053" t="s">
        <v>1121</v>
      </c>
      <c r="G1053" t="s">
        <v>737</v>
      </c>
      <c r="H1053" t="s">
        <v>449</v>
      </c>
      <c r="I1053" t="s">
        <v>5017</v>
      </c>
      <c r="J1053" t="s">
        <v>4032</v>
      </c>
      <c r="K1053" t="s">
        <v>606</v>
      </c>
      <c r="M1053" t="s">
        <v>607</v>
      </c>
      <c r="N1053" t="s">
        <v>608</v>
      </c>
      <c r="O1053" t="s">
        <v>1301</v>
      </c>
      <c r="P1053" t="s">
        <v>739</v>
      </c>
      <c r="Q1053" t="s">
        <v>467</v>
      </c>
      <c r="R1053" t="s">
        <v>814</v>
      </c>
      <c r="S1053" t="s">
        <v>1121</v>
      </c>
      <c r="T1053" t="s">
        <v>794</v>
      </c>
      <c r="U1053">
        <v>160100</v>
      </c>
      <c r="V1053" t="s">
        <v>6942</v>
      </c>
      <c r="W1053" t="s">
        <v>1304</v>
      </c>
      <c r="X1053" t="s">
        <v>6943</v>
      </c>
      <c r="Y1053" t="s">
        <v>6944</v>
      </c>
      <c r="Z1053" t="s">
        <v>913</v>
      </c>
      <c r="AA1053" t="s">
        <v>6945</v>
      </c>
      <c r="AE1053">
        <v>-37.018562930000002</v>
      </c>
      <c r="AF1053">
        <v>174.88837806000001</v>
      </c>
      <c r="AG1053" s="175">
        <v>50</v>
      </c>
      <c r="AH1053" s="175">
        <v>15</v>
      </c>
      <c r="AI1053" s="175">
        <v>4</v>
      </c>
      <c r="AJ1053" s="175">
        <v>4</v>
      </c>
      <c r="AK1053" s="175">
        <v>6</v>
      </c>
      <c r="AL1053" s="175">
        <v>16</v>
      </c>
      <c r="AM1053" s="175">
        <v>9</v>
      </c>
      <c r="AN1053" s="175">
        <v>0</v>
      </c>
      <c r="AO1053" s="175">
        <v>39</v>
      </c>
      <c r="AP1053" s="175">
        <v>6</v>
      </c>
      <c r="AQ1053" s="175">
        <v>28</v>
      </c>
      <c r="AR1053" s="175">
        <v>20</v>
      </c>
      <c r="AS1053" s="175">
        <v>3</v>
      </c>
      <c r="AT1053" s="175">
        <v>1</v>
      </c>
    </row>
    <row r="1054" spans="1:46">
      <c r="A1054">
        <v>20514</v>
      </c>
      <c r="B1054" t="s">
        <v>6946</v>
      </c>
      <c r="C1054" t="s">
        <v>6947</v>
      </c>
      <c r="D1054" t="s">
        <v>6948</v>
      </c>
      <c r="E1054" t="s">
        <v>6949</v>
      </c>
      <c r="F1054" t="s">
        <v>6950</v>
      </c>
      <c r="G1054" t="s">
        <v>737</v>
      </c>
      <c r="H1054" t="s">
        <v>449</v>
      </c>
      <c r="J1054" t="s">
        <v>4032</v>
      </c>
      <c r="K1054" t="s">
        <v>606</v>
      </c>
      <c r="M1054" t="s">
        <v>607</v>
      </c>
      <c r="N1054" t="s">
        <v>608</v>
      </c>
      <c r="O1054" t="s">
        <v>942</v>
      </c>
      <c r="P1054" t="s">
        <v>739</v>
      </c>
      <c r="Q1054" t="s">
        <v>467</v>
      </c>
      <c r="R1054" t="s">
        <v>793</v>
      </c>
      <c r="S1054" t="s">
        <v>804</v>
      </c>
      <c r="T1054" t="s">
        <v>794</v>
      </c>
      <c r="U1054">
        <v>131100</v>
      </c>
      <c r="V1054" t="s">
        <v>6950</v>
      </c>
      <c r="W1054" t="s">
        <v>945</v>
      </c>
      <c r="X1054" t="s">
        <v>6951</v>
      </c>
      <c r="Y1054" t="s">
        <v>6952</v>
      </c>
      <c r="Z1054" t="s">
        <v>983</v>
      </c>
      <c r="AA1054" t="s">
        <v>4604</v>
      </c>
      <c r="AE1054">
        <v>-36.883820329999999</v>
      </c>
      <c r="AF1054">
        <v>174.69787536000001</v>
      </c>
      <c r="AG1054" s="175">
        <v>40</v>
      </c>
      <c r="AH1054" s="175">
        <v>14</v>
      </c>
      <c r="AI1054" s="175">
        <v>2</v>
      </c>
      <c r="AJ1054" s="175">
        <v>6</v>
      </c>
      <c r="AK1054" s="175">
        <v>5</v>
      </c>
      <c r="AL1054" s="175">
        <v>15</v>
      </c>
      <c r="AM1054" s="175">
        <v>6</v>
      </c>
      <c r="AN1054" s="175">
        <v>0</v>
      </c>
      <c r="AO1054" s="175">
        <v>34</v>
      </c>
      <c r="AP1054" s="175">
        <v>15</v>
      </c>
      <c r="AQ1054" s="175">
        <v>10</v>
      </c>
      <c r="AR1054" s="175">
        <v>11</v>
      </c>
      <c r="AS1054" s="175">
        <v>10</v>
      </c>
      <c r="AT1054" s="175">
        <v>4</v>
      </c>
    </row>
    <row r="1055" spans="1:46">
      <c r="A1055">
        <v>20518</v>
      </c>
      <c r="B1055" t="s">
        <v>6953</v>
      </c>
      <c r="C1055" t="s">
        <v>6954</v>
      </c>
      <c r="E1055" t="s">
        <v>6955</v>
      </c>
      <c r="F1055" t="s">
        <v>6666</v>
      </c>
      <c r="G1055" t="s">
        <v>737</v>
      </c>
      <c r="H1055" t="s">
        <v>347</v>
      </c>
      <c r="J1055" t="s">
        <v>605</v>
      </c>
      <c r="K1055" t="s">
        <v>606</v>
      </c>
      <c r="L1055" t="s">
        <v>4273</v>
      </c>
      <c r="M1055" t="s">
        <v>607</v>
      </c>
      <c r="N1055" t="s">
        <v>625</v>
      </c>
      <c r="O1055" t="s">
        <v>898</v>
      </c>
      <c r="P1055" t="s">
        <v>739</v>
      </c>
      <c r="Q1055" t="s">
        <v>467</v>
      </c>
      <c r="R1055" t="s">
        <v>724</v>
      </c>
      <c r="S1055" t="s">
        <v>824</v>
      </c>
      <c r="T1055" t="s">
        <v>613</v>
      </c>
      <c r="U1055">
        <v>119800</v>
      </c>
      <c r="V1055" t="s">
        <v>1005</v>
      </c>
      <c r="W1055" t="s">
        <v>900</v>
      </c>
      <c r="X1055" t="s">
        <v>6672</v>
      </c>
      <c r="Y1055" t="s">
        <v>4276</v>
      </c>
      <c r="Z1055" t="s">
        <v>4277</v>
      </c>
      <c r="AA1055" t="s">
        <v>4278</v>
      </c>
      <c r="AB1055" t="s">
        <v>6673</v>
      </c>
      <c r="AE1055">
        <v>-36.81632132</v>
      </c>
      <c r="AF1055">
        <v>174.62761143</v>
      </c>
      <c r="AG1055" s="175">
        <v>28</v>
      </c>
      <c r="AH1055" s="175">
        <v>8</v>
      </c>
      <c r="AI1055" s="175">
        <v>1</v>
      </c>
      <c r="AJ1055" s="175">
        <v>4</v>
      </c>
      <c r="AK1055" s="175">
        <v>7</v>
      </c>
      <c r="AL1055" s="175">
        <v>5</v>
      </c>
      <c r="AM1055" s="175">
        <v>3</v>
      </c>
      <c r="AN1055" s="175">
        <v>0</v>
      </c>
      <c r="AO1055" s="175">
        <v>20</v>
      </c>
      <c r="AP1055" s="175">
        <v>0</v>
      </c>
      <c r="AQ1055" s="175">
        <v>20</v>
      </c>
      <c r="AR1055" s="175">
        <v>0</v>
      </c>
      <c r="AS1055" s="175">
        <v>0</v>
      </c>
      <c r="AT1055" s="175">
        <v>0</v>
      </c>
    </row>
    <row r="1056" spans="1:46">
      <c r="A1056">
        <v>20521</v>
      </c>
      <c r="B1056" t="s">
        <v>6956</v>
      </c>
      <c r="C1056" t="s">
        <v>6957</v>
      </c>
      <c r="D1056" t="s">
        <v>6958</v>
      </c>
      <c r="E1056" t="s">
        <v>6959</v>
      </c>
      <c r="F1056" t="s">
        <v>822</v>
      </c>
      <c r="G1056" t="s">
        <v>737</v>
      </c>
      <c r="H1056" t="s">
        <v>449</v>
      </c>
      <c r="J1056" t="s">
        <v>4032</v>
      </c>
      <c r="K1056" t="s">
        <v>606</v>
      </c>
      <c r="M1056" t="s">
        <v>607</v>
      </c>
      <c r="N1056" t="s">
        <v>657</v>
      </c>
      <c r="O1056" t="s">
        <v>823</v>
      </c>
      <c r="P1056" t="s">
        <v>739</v>
      </c>
      <c r="Q1056" t="s">
        <v>467</v>
      </c>
      <c r="R1056" t="s">
        <v>724</v>
      </c>
      <c r="S1056" t="s">
        <v>841</v>
      </c>
      <c r="T1056" t="s">
        <v>613</v>
      </c>
      <c r="U1056">
        <v>124600</v>
      </c>
      <c r="V1056" t="s">
        <v>6960</v>
      </c>
      <c r="W1056" t="s">
        <v>826</v>
      </c>
      <c r="X1056" t="s">
        <v>6961</v>
      </c>
      <c r="Y1056" t="s">
        <v>6962</v>
      </c>
      <c r="Z1056" t="s">
        <v>822</v>
      </c>
      <c r="AA1056" t="s">
        <v>6963</v>
      </c>
      <c r="AB1056" t="s">
        <v>6957</v>
      </c>
      <c r="AE1056">
        <v>-36.784813309999997</v>
      </c>
      <c r="AF1056">
        <v>174.73401676</v>
      </c>
      <c r="AG1056" s="175">
        <v>38</v>
      </c>
      <c r="AH1056" s="175">
        <v>13</v>
      </c>
      <c r="AI1056" s="175">
        <v>4</v>
      </c>
      <c r="AJ1056" s="175">
        <v>10</v>
      </c>
      <c r="AK1056" s="175">
        <v>9</v>
      </c>
      <c r="AL1056" s="175">
        <v>10</v>
      </c>
      <c r="AM1056" s="175">
        <v>8</v>
      </c>
      <c r="AN1056" s="175">
        <v>0</v>
      </c>
      <c r="AO1056" s="175">
        <v>41</v>
      </c>
      <c r="AP1056" s="175">
        <v>12</v>
      </c>
      <c r="AQ1056" s="175">
        <v>4</v>
      </c>
      <c r="AR1056" s="175">
        <v>5</v>
      </c>
      <c r="AS1056" s="175">
        <v>28</v>
      </c>
      <c r="AT1056" s="175">
        <v>5</v>
      </c>
    </row>
    <row r="1057" spans="1:46">
      <c r="A1057">
        <v>20525</v>
      </c>
      <c r="B1057" t="s">
        <v>6964</v>
      </c>
      <c r="C1057" t="s">
        <v>6965</v>
      </c>
      <c r="D1057" t="s">
        <v>6966</v>
      </c>
      <c r="E1057" t="s">
        <v>6967</v>
      </c>
      <c r="F1057" t="s">
        <v>6968</v>
      </c>
      <c r="G1057" t="s">
        <v>3834</v>
      </c>
      <c r="H1057" t="s">
        <v>449</v>
      </c>
      <c r="I1057" t="s">
        <v>4298</v>
      </c>
      <c r="J1057" t="s">
        <v>605</v>
      </c>
      <c r="K1057" t="s">
        <v>606</v>
      </c>
      <c r="M1057" t="s">
        <v>607</v>
      </c>
      <c r="N1057" t="s">
        <v>657</v>
      </c>
      <c r="O1057" t="s">
        <v>3835</v>
      </c>
      <c r="P1057" t="s">
        <v>610</v>
      </c>
      <c r="Q1057" t="s">
        <v>467</v>
      </c>
      <c r="R1057" t="s">
        <v>793</v>
      </c>
      <c r="S1057" t="s">
        <v>1043</v>
      </c>
      <c r="T1057" t="s">
        <v>794</v>
      </c>
      <c r="U1057">
        <v>144600</v>
      </c>
      <c r="V1057" t="s">
        <v>6969</v>
      </c>
      <c r="W1057" t="s">
        <v>1044</v>
      </c>
      <c r="X1057" t="s">
        <v>6970</v>
      </c>
      <c r="Y1057" t="s">
        <v>6971</v>
      </c>
      <c r="Z1057" t="s">
        <v>3834</v>
      </c>
      <c r="AA1057" t="s">
        <v>6380</v>
      </c>
      <c r="AE1057">
        <v>-36.773898729999999</v>
      </c>
      <c r="AF1057">
        <v>175.00620361</v>
      </c>
      <c r="AG1057" s="175">
        <v>44</v>
      </c>
      <c r="AH1057" s="175">
        <v>0</v>
      </c>
      <c r="AI1057" s="175">
        <v>0</v>
      </c>
      <c r="AJ1057" s="175">
        <v>0</v>
      </c>
      <c r="AK1057" s="175">
        <v>7</v>
      </c>
      <c r="AL1057" s="175">
        <v>9</v>
      </c>
      <c r="AM1057" s="175">
        <v>9</v>
      </c>
      <c r="AN1057" s="175">
        <v>2</v>
      </c>
      <c r="AO1057" s="175">
        <v>27</v>
      </c>
      <c r="AP1057" s="175">
        <v>26</v>
      </c>
      <c r="AQ1057" s="175">
        <v>4</v>
      </c>
      <c r="AR1057" s="175">
        <v>2</v>
      </c>
      <c r="AS1057" s="175">
        <v>5</v>
      </c>
      <c r="AT1057" s="175">
        <v>3</v>
      </c>
    </row>
    <row r="1058" spans="1:46">
      <c r="A1058">
        <v>20527</v>
      </c>
      <c r="B1058" t="s">
        <v>6972</v>
      </c>
      <c r="C1058" t="s">
        <v>6973</v>
      </c>
      <c r="D1058" t="s">
        <v>6974</v>
      </c>
      <c r="E1058" t="s">
        <v>6975</v>
      </c>
      <c r="F1058" t="s">
        <v>976</v>
      </c>
      <c r="G1058" t="s">
        <v>737</v>
      </c>
      <c r="H1058" t="s">
        <v>449</v>
      </c>
      <c r="J1058" t="s">
        <v>4032</v>
      </c>
      <c r="K1058" t="s">
        <v>606</v>
      </c>
      <c r="M1058" t="s">
        <v>607</v>
      </c>
      <c r="N1058" t="s">
        <v>657</v>
      </c>
      <c r="O1058" t="s">
        <v>803</v>
      </c>
      <c r="P1058" t="s">
        <v>739</v>
      </c>
      <c r="Q1058" t="s">
        <v>467</v>
      </c>
      <c r="R1058" t="s">
        <v>724</v>
      </c>
      <c r="S1058" t="s">
        <v>855</v>
      </c>
      <c r="T1058" t="s">
        <v>794</v>
      </c>
      <c r="U1058">
        <v>137300</v>
      </c>
      <c r="V1058" t="s">
        <v>977</v>
      </c>
      <c r="W1058" t="s">
        <v>806</v>
      </c>
      <c r="X1058" t="s">
        <v>6976</v>
      </c>
      <c r="Y1058" t="s">
        <v>6975</v>
      </c>
      <c r="Z1058" t="s">
        <v>976</v>
      </c>
      <c r="AA1058" t="s">
        <v>4387</v>
      </c>
      <c r="AB1058" t="s">
        <v>6977</v>
      </c>
      <c r="AE1058">
        <v>-36.929557780000003</v>
      </c>
      <c r="AF1058">
        <v>174.67373273000001</v>
      </c>
      <c r="AG1058" s="175">
        <v>49</v>
      </c>
      <c r="AH1058" s="175">
        <v>14</v>
      </c>
      <c r="AI1058" s="175">
        <v>0</v>
      </c>
      <c r="AJ1058" s="175">
        <v>9</v>
      </c>
      <c r="AK1058" s="175">
        <v>18</v>
      </c>
      <c r="AL1058" s="175">
        <v>13</v>
      </c>
      <c r="AM1058" s="175">
        <v>12</v>
      </c>
      <c r="AN1058" s="175">
        <v>0</v>
      </c>
      <c r="AO1058" s="175">
        <v>52</v>
      </c>
      <c r="AP1058" s="175">
        <v>50</v>
      </c>
      <c r="AQ1058" s="175">
        <v>9</v>
      </c>
      <c r="AR1058" s="175">
        <v>3</v>
      </c>
      <c r="AS1058" s="175">
        <v>4</v>
      </c>
      <c r="AT1058" s="175">
        <v>4</v>
      </c>
    </row>
    <row r="1059" spans="1:46">
      <c r="A1059">
        <v>20528</v>
      </c>
      <c r="B1059" t="s">
        <v>6978</v>
      </c>
      <c r="C1059" t="s">
        <v>6979</v>
      </c>
      <c r="D1059" t="s">
        <v>6980</v>
      </c>
      <c r="E1059" t="s">
        <v>6981</v>
      </c>
      <c r="F1059" t="s">
        <v>1108</v>
      </c>
      <c r="G1059" t="s">
        <v>737</v>
      </c>
      <c r="H1059" t="s">
        <v>449</v>
      </c>
      <c r="I1059" t="s">
        <v>4233</v>
      </c>
      <c r="J1059" t="s">
        <v>605</v>
      </c>
      <c r="K1059" t="s">
        <v>606</v>
      </c>
      <c r="M1059" t="s">
        <v>607</v>
      </c>
      <c r="N1059" t="s">
        <v>625</v>
      </c>
      <c r="O1059" t="s">
        <v>997</v>
      </c>
      <c r="P1059" t="s">
        <v>739</v>
      </c>
      <c r="Q1059" t="s">
        <v>467</v>
      </c>
      <c r="R1059" t="s">
        <v>793</v>
      </c>
      <c r="S1059" t="s">
        <v>998</v>
      </c>
      <c r="T1059" t="s">
        <v>794</v>
      </c>
      <c r="U1059">
        <v>140700</v>
      </c>
      <c r="V1059" t="s">
        <v>6982</v>
      </c>
      <c r="W1059" t="s">
        <v>945</v>
      </c>
      <c r="X1059" t="s">
        <v>6983</v>
      </c>
      <c r="Y1059" t="s">
        <v>6984</v>
      </c>
      <c r="Z1059" t="s">
        <v>1108</v>
      </c>
      <c r="AA1059" t="s">
        <v>6130</v>
      </c>
      <c r="AB1059" t="s">
        <v>6985</v>
      </c>
      <c r="AE1059">
        <v>-36.915172470000002</v>
      </c>
      <c r="AF1059">
        <v>174.73055704000001</v>
      </c>
      <c r="AG1059" s="175">
        <v>52</v>
      </c>
      <c r="AH1059" s="175">
        <v>8</v>
      </c>
      <c r="AI1059" s="175">
        <v>3</v>
      </c>
      <c r="AJ1059" s="175">
        <v>4</v>
      </c>
      <c r="AK1059" s="175">
        <v>12</v>
      </c>
      <c r="AL1059" s="175">
        <v>16</v>
      </c>
      <c r="AM1059" s="175">
        <v>11</v>
      </c>
      <c r="AN1059" s="175">
        <v>1</v>
      </c>
      <c r="AO1059" s="175">
        <v>47</v>
      </c>
      <c r="AP1059" s="175">
        <v>2</v>
      </c>
      <c r="AQ1059" s="175">
        <v>4</v>
      </c>
      <c r="AR1059" s="175">
        <v>43</v>
      </c>
      <c r="AS1059" s="175">
        <v>2</v>
      </c>
      <c r="AT1059" s="175">
        <v>0</v>
      </c>
    </row>
    <row r="1060" spans="1:46">
      <c r="A1060">
        <v>20529</v>
      </c>
      <c r="B1060" t="s">
        <v>6986</v>
      </c>
      <c r="C1060" t="s">
        <v>6987</v>
      </c>
      <c r="D1060" t="s">
        <v>6988</v>
      </c>
      <c r="E1060" t="s">
        <v>6989</v>
      </c>
      <c r="F1060" t="s">
        <v>6666</v>
      </c>
      <c r="G1060" t="s">
        <v>737</v>
      </c>
      <c r="H1060" t="s">
        <v>449</v>
      </c>
      <c r="J1060" t="s">
        <v>605</v>
      </c>
      <c r="K1060" t="s">
        <v>606</v>
      </c>
      <c r="M1060" t="s">
        <v>607</v>
      </c>
      <c r="N1060" t="s">
        <v>643</v>
      </c>
      <c r="O1060" t="s">
        <v>898</v>
      </c>
      <c r="P1060" t="s">
        <v>739</v>
      </c>
      <c r="Q1060" t="s">
        <v>467</v>
      </c>
      <c r="R1060" t="s">
        <v>724</v>
      </c>
      <c r="S1060" t="s">
        <v>824</v>
      </c>
      <c r="T1060" t="s">
        <v>613</v>
      </c>
      <c r="U1060">
        <v>119800</v>
      </c>
      <c r="V1060" t="s">
        <v>1005</v>
      </c>
      <c r="W1060" t="s">
        <v>900</v>
      </c>
      <c r="X1060" t="s">
        <v>6990</v>
      </c>
      <c r="Y1060" t="s">
        <v>6991</v>
      </c>
      <c r="Z1060" t="s">
        <v>6269</v>
      </c>
      <c r="AA1060" t="s">
        <v>4423</v>
      </c>
      <c r="AB1060" t="s">
        <v>6992</v>
      </c>
      <c r="AC1060">
        <v>99125</v>
      </c>
      <c r="AD1060" t="s">
        <v>901</v>
      </c>
      <c r="AE1060">
        <v>-36.821224780000001</v>
      </c>
      <c r="AF1060">
        <v>174.62783353</v>
      </c>
      <c r="AG1060" s="175">
        <v>70</v>
      </c>
      <c r="AH1060" s="175">
        <v>20</v>
      </c>
      <c r="AI1060" s="175">
        <v>3</v>
      </c>
      <c r="AJ1060" s="175">
        <v>12</v>
      </c>
      <c r="AK1060" s="175">
        <v>9</v>
      </c>
      <c r="AL1060" s="175">
        <v>23</v>
      </c>
      <c r="AM1060" s="175">
        <v>13</v>
      </c>
      <c r="AN1060" s="175">
        <v>1</v>
      </c>
      <c r="AO1060" s="175">
        <v>61</v>
      </c>
      <c r="AP1060" s="175">
        <v>24</v>
      </c>
      <c r="AQ1060" s="175">
        <v>10</v>
      </c>
      <c r="AR1060" s="175">
        <v>14</v>
      </c>
      <c r="AS1060" s="175">
        <v>22</v>
      </c>
      <c r="AT1060" s="175">
        <v>6</v>
      </c>
    </row>
    <row r="1061" spans="1:46">
      <c r="A1061">
        <v>20533</v>
      </c>
      <c r="B1061" t="s">
        <v>6993</v>
      </c>
      <c r="C1061" t="s">
        <v>5804</v>
      </c>
      <c r="E1061" t="s">
        <v>6994</v>
      </c>
      <c r="F1061" t="s">
        <v>5224</v>
      </c>
      <c r="G1061" t="s">
        <v>737</v>
      </c>
      <c r="H1061" t="s">
        <v>449</v>
      </c>
      <c r="J1061" t="s">
        <v>4032</v>
      </c>
      <c r="K1061" t="s">
        <v>606</v>
      </c>
      <c r="M1061" t="s">
        <v>607</v>
      </c>
      <c r="N1061" t="s">
        <v>657</v>
      </c>
      <c r="O1061" t="s">
        <v>997</v>
      </c>
      <c r="P1061" t="s">
        <v>739</v>
      </c>
      <c r="Q1061" t="s">
        <v>467</v>
      </c>
      <c r="R1061" t="s">
        <v>793</v>
      </c>
      <c r="S1061" t="s">
        <v>890</v>
      </c>
      <c r="T1061" t="s">
        <v>794</v>
      </c>
      <c r="U1061">
        <v>142600</v>
      </c>
      <c r="V1061" t="s">
        <v>5806</v>
      </c>
      <c r="W1061" t="s">
        <v>945</v>
      </c>
      <c r="X1061" t="s">
        <v>5807</v>
      </c>
      <c r="Y1061" t="s">
        <v>5805</v>
      </c>
      <c r="Z1061" t="s">
        <v>5224</v>
      </c>
      <c r="AA1061" t="s">
        <v>4449</v>
      </c>
      <c r="AB1061" t="s">
        <v>5808</v>
      </c>
      <c r="AE1061">
        <v>-36.910818329999998</v>
      </c>
      <c r="AF1061">
        <v>174.77137200000001</v>
      </c>
      <c r="AG1061" s="175">
        <v>32</v>
      </c>
      <c r="AH1061" s="175">
        <v>0</v>
      </c>
      <c r="AI1061" s="175">
        <v>0</v>
      </c>
      <c r="AJ1061" s="175">
        <v>0</v>
      </c>
      <c r="AK1061" s="175">
        <v>0</v>
      </c>
      <c r="AL1061" s="175">
        <v>14</v>
      </c>
      <c r="AM1061" s="175">
        <v>18</v>
      </c>
      <c r="AN1061" s="175">
        <v>2</v>
      </c>
      <c r="AO1061" s="175">
        <v>34</v>
      </c>
      <c r="AP1061" s="175">
        <v>16</v>
      </c>
      <c r="AQ1061" s="175">
        <v>1</v>
      </c>
      <c r="AR1061" s="175">
        <v>2</v>
      </c>
      <c r="AS1061" s="175">
        <v>18</v>
      </c>
      <c r="AT1061" s="175">
        <v>2</v>
      </c>
    </row>
    <row r="1062" spans="1:46">
      <c r="A1062">
        <v>20535</v>
      </c>
      <c r="B1062" t="s">
        <v>6995</v>
      </c>
      <c r="C1062" t="s">
        <v>4169</v>
      </c>
      <c r="D1062" t="s">
        <v>6821</v>
      </c>
      <c r="E1062" t="s">
        <v>6822</v>
      </c>
      <c r="F1062" t="s">
        <v>766</v>
      </c>
      <c r="G1062" t="s">
        <v>737</v>
      </c>
      <c r="H1062" t="s">
        <v>449</v>
      </c>
      <c r="J1062" t="s">
        <v>4032</v>
      </c>
      <c r="K1062" t="s">
        <v>606</v>
      </c>
      <c r="M1062" t="s">
        <v>607</v>
      </c>
      <c r="N1062" t="s">
        <v>657</v>
      </c>
      <c r="O1062" t="s">
        <v>1253</v>
      </c>
      <c r="P1062" t="s">
        <v>739</v>
      </c>
      <c r="Q1062" t="s">
        <v>467</v>
      </c>
      <c r="R1062" t="s">
        <v>724</v>
      </c>
      <c r="S1062" t="s">
        <v>740</v>
      </c>
      <c r="T1062" t="s">
        <v>613</v>
      </c>
      <c r="U1062">
        <v>118600</v>
      </c>
      <c r="V1062" t="s">
        <v>4082</v>
      </c>
      <c r="W1062" t="s">
        <v>742</v>
      </c>
      <c r="X1062" t="s">
        <v>4165</v>
      </c>
      <c r="Y1062" t="s">
        <v>4166</v>
      </c>
      <c r="Z1062" t="s">
        <v>4167</v>
      </c>
      <c r="AA1062" t="s">
        <v>4168</v>
      </c>
      <c r="AB1062" t="s">
        <v>4169</v>
      </c>
      <c r="AE1062">
        <v>-36.747874670000002</v>
      </c>
      <c r="AF1062">
        <v>174.73097379999999</v>
      </c>
      <c r="AG1062" s="175">
        <v>30</v>
      </c>
      <c r="AH1062" s="175">
        <v>0</v>
      </c>
      <c r="AI1062" s="175">
        <v>0</v>
      </c>
      <c r="AJ1062" s="175">
        <v>0</v>
      </c>
      <c r="AK1062" s="175">
        <v>0</v>
      </c>
      <c r="AL1062" s="175">
        <v>8</v>
      </c>
      <c r="AM1062" s="175">
        <v>6</v>
      </c>
      <c r="AN1062" s="175">
        <v>1</v>
      </c>
      <c r="AO1062" s="175">
        <v>15</v>
      </c>
      <c r="AP1062" s="175">
        <v>8</v>
      </c>
      <c r="AQ1062" s="175">
        <v>3</v>
      </c>
      <c r="AR1062" s="175">
        <v>2</v>
      </c>
      <c r="AS1062" s="175">
        <v>6</v>
      </c>
      <c r="AT1062" s="175">
        <v>0</v>
      </c>
    </row>
    <row r="1063" spans="1:46">
      <c r="A1063">
        <v>20536</v>
      </c>
      <c r="B1063" t="s">
        <v>6996</v>
      </c>
      <c r="C1063" t="s">
        <v>6997</v>
      </c>
      <c r="D1063" t="s">
        <v>6998</v>
      </c>
      <c r="E1063" t="s">
        <v>6999</v>
      </c>
      <c r="F1063" t="s">
        <v>1225</v>
      </c>
      <c r="G1063" t="s">
        <v>737</v>
      </c>
      <c r="H1063" t="s">
        <v>449</v>
      </c>
      <c r="I1063" t="s">
        <v>6893</v>
      </c>
      <c r="J1063" t="s">
        <v>605</v>
      </c>
      <c r="K1063" t="s">
        <v>606</v>
      </c>
      <c r="M1063" t="s">
        <v>607</v>
      </c>
      <c r="N1063" t="s">
        <v>657</v>
      </c>
      <c r="O1063" t="s">
        <v>889</v>
      </c>
      <c r="P1063" t="s">
        <v>739</v>
      </c>
      <c r="Q1063" t="s">
        <v>467</v>
      </c>
      <c r="R1063" t="s">
        <v>793</v>
      </c>
      <c r="S1063" t="s">
        <v>965</v>
      </c>
      <c r="T1063" t="s">
        <v>794</v>
      </c>
      <c r="U1063">
        <v>143000</v>
      </c>
      <c r="V1063" t="s">
        <v>5823</v>
      </c>
      <c r="W1063" t="s">
        <v>909</v>
      </c>
      <c r="X1063" t="s">
        <v>7000</v>
      </c>
      <c r="Y1063" t="s">
        <v>7001</v>
      </c>
      <c r="Z1063" t="s">
        <v>6227</v>
      </c>
      <c r="AA1063" t="s">
        <v>6228</v>
      </c>
      <c r="AE1063">
        <v>-36.8547966</v>
      </c>
      <c r="AF1063">
        <v>174.86039</v>
      </c>
      <c r="AG1063" s="175">
        <v>33</v>
      </c>
      <c r="AH1063" s="175">
        <v>0</v>
      </c>
      <c r="AI1063" s="175">
        <v>0</v>
      </c>
      <c r="AJ1063" s="175">
        <v>0</v>
      </c>
      <c r="AK1063" s="175">
        <v>18</v>
      </c>
      <c r="AL1063" s="175">
        <v>14</v>
      </c>
      <c r="AM1063" s="175">
        <v>17</v>
      </c>
      <c r="AN1063" s="175">
        <v>2</v>
      </c>
      <c r="AO1063" s="175">
        <v>51</v>
      </c>
      <c r="AP1063" s="175">
        <v>49</v>
      </c>
      <c r="AQ1063" s="175">
        <v>3</v>
      </c>
      <c r="AR1063" s="175">
        <v>0</v>
      </c>
      <c r="AS1063" s="175">
        <v>5</v>
      </c>
      <c r="AT1063" s="175">
        <v>2</v>
      </c>
    </row>
    <row r="1064" spans="1:46">
      <c r="A1064">
        <v>20541</v>
      </c>
      <c r="B1064" t="s">
        <v>7002</v>
      </c>
      <c r="C1064" t="s">
        <v>7003</v>
      </c>
      <c r="D1064" t="s">
        <v>7004</v>
      </c>
      <c r="E1064" t="s">
        <v>7005</v>
      </c>
      <c r="F1064" t="s">
        <v>3777</v>
      </c>
      <c r="G1064" t="s">
        <v>4393</v>
      </c>
      <c r="H1064" t="s">
        <v>449</v>
      </c>
      <c r="J1064" t="s">
        <v>4032</v>
      </c>
      <c r="K1064" t="s">
        <v>606</v>
      </c>
      <c r="M1064" t="s">
        <v>607</v>
      </c>
      <c r="N1064" t="s">
        <v>4586</v>
      </c>
      <c r="O1064" t="s">
        <v>1253</v>
      </c>
      <c r="P1064" t="s">
        <v>739</v>
      </c>
      <c r="Q1064" t="s">
        <v>467</v>
      </c>
      <c r="R1064" t="s">
        <v>724</v>
      </c>
      <c r="S1064" t="s">
        <v>740</v>
      </c>
      <c r="T1064" t="s">
        <v>613</v>
      </c>
      <c r="U1064">
        <v>117400</v>
      </c>
      <c r="V1064" t="s">
        <v>3778</v>
      </c>
      <c r="W1064" t="s">
        <v>742</v>
      </c>
      <c r="X1064" t="s">
        <v>7006</v>
      </c>
      <c r="Y1064" t="s">
        <v>7007</v>
      </c>
      <c r="Z1064" t="s">
        <v>3777</v>
      </c>
      <c r="AA1064" t="s">
        <v>6335</v>
      </c>
      <c r="AB1064" t="s">
        <v>7008</v>
      </c>
      <c r="AE1064">
        <v>-36.743737549999999</v>
      </c>
      <c r="AF1064">
        <v>174.69272430000001</v>
      </c>
      <c r="AG1064" s="175">
        <v>50</v>
      </c>
      <c r="AH1064" s="175">
        <v>0</v>
      </c>
      <c r="AI1064" s="175">
        <v>0</v>
      </c>
      <c r="AJ1064" s="175">
        <v>0</v>
      </c>
      <c r="AK1064" s="175">
        <v>0</v>
      </c>
      <c r="AL1064" s="175">
        <v>0</v>
      </c>
      <c r="AM1064" s="175">
        <v>40</v>
      </c>
      <c r="AN1064" s="175">
        <v>7</v>
      </c>
      <c r="AO1064" s="175">
        <v>47</v>
      </c>
      <c r="AP1064" s="175">
        <v>20</v>
      </c>
      <c r="AQ1064" s="175">
        <v>1</v>
      </c>
      <c r="AR1064" s="175">
        <v>1</v>
      </c>
      <c r="AS1064" s="175">
        <v>33</v>
      </c>
      <c r="AT1064" s="175">
        <v>2</v>
      </c>
    </row>
    <row r="1065" spans="1:46">
      <c r="A1065">
        <v>20544</v>
      </c>
      <c r="B1065" t="s">
        <v>7009</v>
      </c>
      <c r="C1065" t="s">
        <v>7010</v>
      </c>
      <c r="D1065" t="s">
        <v>7011</v>
      </c>
      <c r="E1065" t="s">
        <v>7012</v>
      </c>
      <c r="F1065" t="s">
        <v>822</v>
      </c>
      <c r="G1065" t="s">
        <v>737</v>
      </c>
      <c r="H1065" t="s">
        <v>449</v>
      </c>
      <c r="I1065" t="s">
        <v>4023</v>
      </c>
      <c r="J1065" t="s">
        <v>4032</v>
      </c>
      <c r="K1065" t="s">
        <v>606</v>
      </c>
      <c r="M1065" t="s">
        <v>607</v>
      </c>
      <c r="N1065" t="s">
        <v>657</v>
      </c>
      <c r="O1065" t="s">
        <v>823</v>
      </c>
      <c r="P1065" t="s">
        <v>739</v>
      </c>
      <c r="Q1065" t="s">
        <v>467</v>
      </c>
      <c r="R1065" t="s">
        <v>724</v>
      </c>
      <c r="S1065" t="s">
        <v>841</v>
      </c>
      <c r="T1065" t="s">
        <v>613</v>
      </c>
      <c r="U1065">
        <v>123100</v>
      </c>
      <c r="V1065" t="s">
        <v>971</v>
      </c>
      <c r="W1065" t="s">
        <v>826</v>
      </c>
      <c r="X1065" t="s">
        <v>7013</v>
      </c>
      <c r="Y1065" t="s">
        <v>7014</v>
      </c>
      <c r="AA1065" t="s">
        <v>5237</v>
      </c>
      <c r="AB1065" t="s">
        <v>7010</v>
      </c>
      <c r="AE1065">
        <v>-36.785993410000003</v>
      </c>
      <c r="AF1065">
        <v>174.71479355</v>
      </c>
      <c r="AG1065" s="175">
        <v>45</v>
      </c>
      <c r="AH1065" s="175">
        <v>0</v>
      </c>
      <c r="AI1065" s="175">
        <v>0</v>
      </c>
      <c r="AJ1065" s="175">
        <v>0</v>
      </c>
      <c r="AK1065" s="175">
        <v>6</v>
      </c>
      <c r="AL1065" s="175">
        <v>11</v>
      </c>
      <c r="AM1065" s="175">
        <v>8</v>
      </c>
      <c r="AN1065" s="175">
        <v>0</v>
      </c>
      <c r="AO1065" s="175">
        <v>25</v>
      </c>
      <c r="AP1065" s="175">
        <v>7</v>
      </c>
      <c r="AQ1065" s="175">
        <v>1</v>
      </c>
      <c r="AR1065" s="175">
        <v>1</v>
      </c>
      <c r="AS1065" s="175">
        <v>18</v>
      </c>
      <c r="AT1065" s="175">
        <v>5</v>
      </c>
    </row>
    <row r="1066" spans="1:46">
      <c r="A1066">
        <v>20545</v>
      </c>
      <c r="B1066" t="s">
        <v>7015</v>
      </c>
      <c r="C1066" t="s">
        <v>7016</v>
      </c>
      <c r="D1066" t="s">
        <v>7017</v>
      </c>
      <c r="E1066" t="s">
        <v>7018</v>
      </c>
      <c r="F1066" t="s">
        <v>7019</v>
      </c>
      <c r="G1066" t="s">
        <v>737</v>
      </c>
      <c r="H1066" t="s">
        <v>449</v>
      </c>
      <c r="J1066" t="s">
        <v>4032</v>
      </c>
      <c r="K1066" t="s">
        <v>606</v>
      </c>
      <c r="M1066" t="s">
        <v>607</v>
      </c>
      <c r="N1066" t="s">
        <v>657</v>
      </c>
      <c r="O1066" t="s">
        <v>889</v>
      </c>
      <c r="P1066" t="s">
        <v>739</v>
      </c>
      <c r="Q1066" t="s">
        <v>467</v>
      </c>
      <c r="R1066" t="s">
        <v>793</v>
      </c>
      <c r="S1066" t="s">
        <v>965</v>
      </c>
      <c r="T1066" t="s">
        <v>794</v>
      </c>
      <c r="U1066">
        <v>144500</v>
      </c>
      <c r="V1066" t="s">
        <v>1237</v>
      </c>
      <c r="W1066" t="s">
        <v>892</v>
      </c>
      <c r="X1066" t="s">
        <v>7020</v>
      </c>
      <c r="Y1066" t="s">
        <v>7021</v>
      </c>
      <c r="Z1066" t="s">
        <v>4194</v>
      </c>
      <c r="AA1066" t="s">
        <v>4551</v>
      </c>
      <c r="AE1066">
        <v>-36.875291699999998</v>
      </c>
      <c r="AF1066">
        <v>174.84747404000001</v>
      </c>
      <c r="AG1066" s="175">
        <v>26</v>
      </c>
      <c r="AH1066" s="175">
        <v>10</v>
      </c>
      <c r="AI1066" s="175">
        <v>0</v>
      </c>
      <c r="AJ1066" s="175">
        <v>5</v>
      </c>
      <c r="AK1066" s="175">
        <v>7</v>
      </c>
      <c r="AL1066" s="175">
        <v>3</v>
      </c>
      <c r="AM1066" s="175">
        <v>2</v>
      </c>
      <c r="AN1066" s="175">
        <v>0</v>
      </c>
      <c r="AO1066" s="175">
        <v>17</v>
      </c>
      <c r="AP1066" s="175">
        <v>12</v>
      </c>
      <c r="AQ1066" s="175">
        <v>2</v>
      </c>
      <c r="AR1066" s="175">
        <v>0</v>
      </c>
      <c r="AS1066" s="175">
        <v>7</v>
      </c>
      <c r="AT1066" s="175">
        <v>1</v>
      </c>
    </row>
    <row r="1067" spans="1:46">
      <c r="A1067">
        <v>20546</v>
      </c>
      <c r="B1067" t="s">
        <v>7022</v>
      </c>
      <c r="C1067" t="s">
        <v>7023</v>
      </c>
      <c r="D1067" t="s">
        <v>7024</v>
      </c>
      <c r="E1067" t="s">
        <v>7025</v>
      </c>
      <c r="F1067" t="s">
        <v>4508</v>
      </c>
      <c r="G1067" t="s">
        <v>737</v>
      </c>
      <c r="H1067" t="s">
        <v>449</v>
      </c>
      <c r="I1067" t="s">
        <v>4134</v>
      </c>
      <c r="J1067" t="s">
        <v>4032</v>
      </c>
      <c r="K1067" t="s">
        <v>606</v>
      </c>
      <c r="M1067" t="s">
        <v>607</v>
      </c>
      <c r="N1067" t="s">
        <v>643</v>
      </c>
      <c r="O1067" t="s">
        <v>914</v>
      </c>
      <c r="P1067" t="s">
        <v>739</v>
      </c>
      <c r="Q1067" t="s">
        <v>467</v>
      </c>
      <c r="R1067" t="s">
        <v>793</v>
      </c>
      <c r="S1067" t="s">
        <v>815</v>
      </c>
      <c r="T1067" t="s">
        <v>794</v>
      </c>
      <c r="U1067">
        <v>147100</v>
      </c>
      <c r="V1067" t="s">
        <v>4509</v>
      </c>
      <c r="W1067" t="s">
        <v>892</v>
      </c>
      <c r="X1067" t="s">
        <v>7026</v>
      </c>
      <c r="Y1067" t="s">
        <v>4725</v>
      </c>
      <c r="Z1067" t="s">
        <v>1043</v>
      </c>
      <c r="AA1067" t="s">
        <v>4726</v>
      </c>
      <c r="AB1067" t="s">
        <v>7027</v>
      </c>
      <c r="AE1067">
        <v>-36.900493699999998</v>
      </c>
      <c r="AF1067">
        <v>174.84788699999999</v>
      </c>
      <c r="AG1067" s="175">
        <v>40</v>
      </c>
      <c r="AH1067" s="175">
        <v>0</v>
      </c>
      <c r="AI1067" s="175">
        <v>0</v>
      </c>
      <c r="AJ1067" s="175">
        <v>0</v>
      </c>
      <c r="AK1067" s="175">
        <v>9</v>
      </c>
      <c r="AL1067" s="175">
        <v>8</v>
      </c>
      <c r="AM1067" s="175">
        <v>20</v>
      </c>
      <c r="AN1067" s="175">
        <v>1</v>
      </c>
      <c r="AO1067" s="175">
        <v>38</v>
      </c>
      <c r="AP1067" s="175">
        <v>3</v>
      </c>
      <c r="AQ1067" s="175">
        <v>1</v>
      </c>
      <c r="AR1067" s="175">
        <v>6</v>
      </c>
      <c r="AS1067" s="175">
        <v>29</v>
      </c>
      <c r="AT1067" s="175">
        <v>2</v>
      </c>
    </row>
    <row r="1068" spans="1:46">
      <c r="A1068">
        <v>20547</v>
      </c>
      <c r="B1068" t="s">
        <v>7028</v>
      </c>
      <c r="C1068" t="s">
        <v>7029</v>
      </c>
      <c r="D1068" t="s">
        <v>7030</v>
      </c>
      <c r="E1068" t="s">
        <v>7031</v>
      </c>
      <c r="F1068" t="s">
        <v>6666</v>
      </c>
      <c r="G1068" t="s">
        <v>737</v>
      </c>
      <c r="H1068" t="s">
        <v>449</v>
      </c>
      <c r="J1068" t="s">
        <v>4032</v>
      </c>
      <c r="K1068" t="s">
        <v>606</v>
      </c>
      <c r="M1068" t="s">
        <v>607</v>
      </c>
      <c r="N1068" t="s">
        <v>657</v>
      </c>
      <c r="O1068" t="s">
        <v>898</v>
      </c>
      <c r="P1068" t="s">
        <v>739</v>
      </c>
      <c r="Q1068" t="s">
        <v>467</v>
      </c>
      <c r="R1068" t="s">
        <v>724</v>
      </c>
      <c r="S1068" t="s">
        <v>824</v>
      </c>
      <c r="T1068" t="s">
        <v>613</v>
      </c>
      <c r="U1068">
        <v>119800</v>
      </c>
      <c r="V1068" t="s">
        <v>1005</v>
      </c>
      <c r="W1068" t="s">
        <v>900</v>
      </c>
      <c r="X1068" t="s">
        <v>7032</v>
      </c>
      <c r="Y1068" t="s">
        <v>7033</v>
      </c>
      <c r="AA1068" t="s">
        <v>4168</v>
      </c>
      <c r="AC1068">
        <v>99129</v>
      </c>
      <c r="AD1068" t="s">
        <v>1006</v>
      </c>
      <c r="AE1068">
        <v>-36.81588593</v>
      </c>
      <c r="AF1068">
        <v>174.62727765</v>
      </c>
      <c r="AG1068" s="175">
        <v>50</v>
      </c>
      <c r="AH1068" s="175">
        <v>14</v>
      </c>
      <c r="AI1068" s="175">
        <v>4</v>
      </c>
      <c r="AJ1068" s="175">
        <v>9</v>
      </c>
      <c r="AK1068" s="175">
        <v>19</v>
      </c>
      <c r="AL1068" s="175">
        <v>14</v>
      </c>
      <c r="AM1068" s="175">
        <v>7</v>
      </c>
      <c r="AN1068" s="175">
        <v>1</v>
      </c>
      <c r="AO1068" s="175">
        <v>54</v>
      </c>
      <c r="AP1068" s="175">
        <v>23</v>
      </c>
      <c r="AQ1068" s="175">
        <v>9</v>
      </c>
      <c r="AR1068" s="175">
        <v>6</v>
      </c>
      <c r="AS1068" s="175">
        <v>31</v>
      </c>
      <c r="AT1068" s="175">
        <v>2</v>
      </c>
    </row>
    <row r="1069" spans="1:46">
      <c r="A1069">
        <v>20549</v>
      </c>
      <c r="B1069" t="s">
        <v>7034</v>
      </c>
      <c r="C1069" t="s">
        <v>7035</v>
      </c>
      <c r="D1069" t="s">
        <v>7036</v>
      </c>
      <c r="E1069" t="s">
        <v>7037</v>
      </c>
      <c r="F1069" t="s">
        <v>3777</v>
      </c>
      <c r="G1069" t="s">
        <v>4393</v>
      </c>
      <c r="H1069" t="s">
        <v>449</v>
      </c>
      <c r="I1069" t="s">
        <v>4023</v>
      </c>
      <c r="J1069" t="s">
        <v>4032</v>
      </c>
      <c r="K1069" t="s">
        <v>606</v>
      </c>
      <c r="M1069" t="s">
        <v>607</v>
      </c>
      <c r="N1069" t="s">
        <v>657</v>
      </c>
      <c r="O1069" t="s">
        <v>1253</v>
      </c>
      <c r="P1069" t="s">
        <v>739</v>
      </c>
      <c r="Q1069" t="s">
        <v>467</v>
      </c>
      <c r="R1069" t="s">
        <v>724</v>
      </c>
      <c r="S1069" t="s">
        <v>740</v>
      </c>
      <c r="T1069" t="s">
        <v>613</v>
      </c>
      <c r="U1069">
        <v>119100</v>
      </c>
      <c r="V1069" t="s">
        <v>7038</v>
      </c>
      <c r="W1069" t="s">
        <v>742</v>
      </c>
      <c r="X1069" t="s">
        <v>7039</v>
      </c>
      <c r="Y1069" t="s">
        <v>4756</v>
      </c>
      <c r="Z1069" t="s">
        <v>4757</v>
      </c>
      <c r="AA1069" t="s">
        <v>4758</v>
      </c>
      <c r="AB1069" t="s">
        <v>7035</v>
      </c>
      <c r="AE1069">
        <v>-36.75617776</v>
      </c>
      <c r="AF1069">
        <v>174.69928598000001</v>
      </c>
      <c r="AG1069" s="175">
        <v>70</v>
      </c>
      <c r="AH1069" s="175">
        <v>25</v>
      </c>
      <c r="AI1069" s="175">
        <v>1</v>
      </c>
      <c r="AJ1069" s="175">
        <v>15</v>
      </c>
      <c r="AK1069" s="175">
        <v>14</v>
      </c>
      <c r="AL1069" s="175">
        <v>14</v>
      </c>
      <c r="AM1069" s="175">
        <v>11</v>
      </c>
      <c r="AN1069" s="175">
        <v>1</v>
      </c>
      <c r="AO1069" s="175">
        <v>56</v>
      </c>
      <c r="AP1069" s="175">
        <v>38</v>
      </c>
      <c r="AQ1069" s="175">
        <v>3</v>
      </c>
      <c r="AR1069" s="175">
        <v>3</v>
      </c>
      <c r="AS1069" s="175">
        <v>19</v>
      </c>
      <c r="AT1069" s="175">
        <v>4</v>
      </c>
    </row>
    <row r="1070" spans="1:46">
      <c r="A1070">
        <v>20550</v>
      </c>
      <c r="B1070" t="s">
        <v>7040</v>
      </c>
      <c r="C1070" t="s">
        <v>7041</v>
      </c>
      <c r="E1070" t="s">
        <v>7042</v>
      </c>
      <c r="F1070" t="s">
        <v>766</v>
      </c>
      <c r="G1070" t="s">
        <v>737</v>
      </c>
      <c r="H1070" t="s">
        <v>449</v>
      </c>
      <c r="J1070" t="s">
        <v>4032</v>
      </c>
      <c r="K1070" t="s">
        <v>606</v>
      </c>
      <c r="M1070" t="s">
        <v>607</v>
      </c>
      <c r="N1070" t="s">
        <v>657</v>
      </c>
      <c r="O1070" t="s">
        <v>833</v>
      </c>
      <c r="P1070" t="s">
        <v>739</v>
      </c>
      <c r="Q1070" t="s">
        <v>467</v>
      </c>
      <c r="R1070" t="s">
        <v>724</v>
      </c>
      <c r="S1070" t="s">
        <v>767</v>
      </c>
      <c r="T1070" t="s">
        <v>613</v>
      </c>
      <c r="U1070">
        <v>121300</v>
      </c>
      <c r="V1070" t="s">
        <v>870</v>
      </c>
      <c r="W1070" t="s">
        <v>826</v>
      </c>
      <c r="X1070" t="s">
        <v>7043</v>
      </c>
      <c r="Y1070" t="s">
        <v>7044</v>
      </c>
      <c r="Z1070" t="s">
        <v>5926</v>
      </c>
      <c r="AA1070" t="s">
        <v>7045</v>
      </c>
      <c r="AB1070" t="s">
        <v>7046</v>
      </c>
      <c r="AE1070">
        <v>-36.747061119999998</v>
      </c>
      <c r="AF1070">
        <v>174.73978099999999</v>
      </c>
      <c r="AG1070" s="175">
        <v>41</v>
      </c>
      <c r="AH1070" s="175">
        <v>4</v>
      </c>
      <c r="AI1070" s="175">
        <v>0</v>
      </c>
      <c r="AJ1070" s="175">
        <v>0</v>
      </c>
      <c r="AK1070" s="175">
        <v>10</v>
      </c>
      <c r="AL1070" s="175">
        <v>9</v>
      </c>
      <c r="AM1070" s="175">
        <v>16</v>
      </c>
      <c r="AN1070" s="175">
        <v>0</v>
      </c>
      <c r="AO1070" s="175">
        <v>35</v>
      </c>
      <c r="AP1070" s="175">
        <v>23</v>
      </c>
      <c r="AQ1070" s="175">
        <v>0</v>
      </c>
      <c r="AR1070" s="175">
        <v>0</v>
      </c>
      <c r="AS1070" s="175">
        <v>19</v>
      </c>
      <c r="AT1070" s="175">
        <v>0</v>
      </c>
    </row>
    <row r="1071" spans="1:46">
      <c r="A1071">
        <v>20553</v>
      </c>
      <c r="B1071" t="s">
        <v>7047</v>
      </c>
      <c r="C1071" t="s">
        <v>7048</v>
      </c>
      <c r="D1071" t="s">
        <v>7049</v>
      </c>
      <c r="E1071" t="s">
        <v>7050</v>
      </c>
      <c r="G1071" t="s">
        <v>4454</v>
      </c>
      <c r="H1071" t="s">
        <v>449</v>
      </c>
      <c r="J1071" t="s">
        <v>4032</v>
      </c>
      <c r="K1071" t="s">
        <v>606</v>
      </c>
      <c r="M1071" t="s">
        <v>607</v>
      </c>
      <c r="N1071" t="s">
        <v>657</v>
      </c>
      <c r="O1071" t="s">
        <v>723</v>
      </c>
      <c r="P1071" t="s">
        <v>610</v>
      </c>
      <c r="Q1071" t="s">
        <v>467</v>
      </c>
      <c r="R1071" t="s">
        <v>724</v>
      </c>
      <c r="S1071" t="s">
        <v>725</v>
      </c>
      <c r="T1071" t="s">
        <v>613</v>
      </c>
      <c r="U1071">
        <v>115002</v>
      </c>
      <c r="V1071" t="s">
        <v>7051</v>
      </c>
      <c r="W1071" t="s">
        <v>726</v>
      </c>
      <c r="X1071" t="s">
        <v>7052</v>
      </c>
      <c r="Y1071" t="s">
        <v>5552</v>
      </c>
      <c r="Z1071" t="s">
        <v>1151</v>
      </c>
      <c r="AA1071" t="s">
        <v>5553</v>
      </c>
      <c r="AB1071" t="s">
        <v>7053</v>
      </c>
      <c r="AE1071">
        <v>-36.776805039999999</v>
      </c>
      <c r="AF1071">
        <v>174.55561940000001</v>
      </c>
      <c r="AG1071" s="175">
        <v>36</v>
      </c>
      <c r="AH1071" s="175">
        <v>0</v>
      </c>
      <c r="AI1071" s="175">
        <v>0</v>
      </c>
      <c r="AJ1071" s="175">
        <v>0</v>
      </c>
      <c r="AK1071" s="175">
        <v>8</v>
      </c>
      <c r="AL1071" s="175">
        <v>19</v>
      </c>
      <c r="AM1071" s="175">
        <v>17</v>
      </c>
      <c r="AN1071" s="175">
        <v>3</v>
      </c>
      <c r="AO1071" s="175">
        <v>47</v>
      </c>
      <c r="AP1071" s="175">
        <v>42</v>
      </c>
      <c r="AQ1071" s="175">
        <v>4</v>
      </c>
      <c r="AR1071" s="175">
        <v>1</v>
      </c>
      <c r="AS1071" s="175">
        <v>6</v>
      </c>
      <c r="AT1071" s="175">
        <v>0</v>
      </c>
    </row>
    <row r="1072" spans="1:46">
      <c r="A1072">
        <v>20560</v>
      </c>
      <c r="B1072" t="s">
        <v>7054</v>
      </c>
      <c r="C1072" t="s">
        <v>7055</v>
      </c>
      <c r="D1072" t="s">
        <v>7056</v>
      </c>
      <c r="E1072" t="s">
        <v>7057</v>
      </c>
      <c r="F1072" t="s">
        <v>7058</v>
      </c>
      <c r="G1072" t="s">
        <v>3694</v>
      </c>
      <c r="H1072" t="s">
        <v>449</v>
      </c>
      <c r="J1072" t="s">
        <v>4032</v>
      </c>
      <c r="K1072" t="s">
        <v>606</v>
      </c>
      <c r="M1072" t="s">
        <v>607</v>
      </c>
      <c r="N1072" t="s">
        <v>657</v>
      </c>
      <c r="O1072" t="s">
        <v>738</v>
      </c>
      <c r="P1072" t="s">
        <v>670</v>
      </c>
      <c r="Q1072" t="s">
        <v>467</v>
      </c>
      <c r="R1072" t="s">
        <v>724</v>
      </c>
      <c r="S1072" t="s">
        <v>753</v>
      </c>
      <c r="T1072" t="s">
        <v>613</v>
      </c>
      <c r="U1072">
        <v>115700</v>
      </c>
      <c r="V1072" t="s">
        <v>7059</v>
      </c>
      <c r="W1072" t="s">
        <v>742</v>
      </c>
      <c r="X1072" t="s">
        <v>7060</v>
      </c>
      <c r="Y1072" t="s">
        <v>7061</v>
      </c>
      <c r="Z1072" t="s">
        <v>4201</v>
      </c>
      <c r="AA1072" t="s">
        <v>4204</v>
      </c>
      <c r="AB1072" t="s">
        <v>7062</v>
      </c>
      <c r="AC1072">
        <v>99095</v>
      </c>
      <c r="AD1072" t="s">
        <v>786</v>
      </c>
      <c r="AE1072">
        <v>-36.609921540000002</v>
      </c>
      <c r="AF1072">
        <v>174.79877997</v>
      </c>
      <c r="AG1072" s="175">
        <v>30</v>
      </c>
      <c r="AH1072" s="175">
        <v>0</v>
      </c>
      <c r="AI1072" s="175">
        <v>0</v>
      </c>
      <c r="AJ1072" s="175">
        <v>0</v>
      </c>
      <c r="AK1072" s="175">
        <v>6</v>
      </c>
      <c r="AL1072" s="175">
        <v>15</v>
      </c>
      <c r="AM1072" s="175">
        <v>16</v>
      </c>
      <c r="AN1072" s="175">
        <v>4</v>
      </c>
      <c r="AO1072" s="175">
        <v>41</v>
      </c>
      <c r="AP1072" s="175">
        <v>28</v>
      </c>
      <c r="AQ1072" s="175">
        <v>4</v>
      </c>
      <c r="AR1072" s="175">
        <v>0</v>
      </c>
      <c r="AS1072" s="175">
        <v>9</v>
      </c>
      <c r="AT1072" s="175">
        <v>7</v>
      </c>
    </row>
    <row r="1073" spans="1:46">
      <c r="A1073">
        <v>20562</v>
      </c>
      <c r="B1073" t="s">
        <v>7063</v>
      </c>
      <c r="C1073" t="s">
        <v>7064</v>
      </c>
      <c r="D1073" t="s">
        <v>7065</v>
      </c>
      <c r="E1073" t="s">
        <v>7066</v>
      </c>
      <c r="F1073" t="s">
        <v>906</v>
      </c>
      <c r="G1073" t="s">
        <v>737</v>
      </c>
      <c r="H1073" t="s">
        <v>449</v>
      </c>
      <c r="J1073" t="s">
        <v>4032</v>
      </c>
      <c r="K1073" t="s">
        <v>606</v>
      </c>
      <c r="M1073" t="s">
        <v>607</v>
      </c>
      <c r="N1073" t="s">
        <v>4586</v>
      </c>
      <c r="O1073" t="s">
        <v>942</v>
      </c>
      <c r="P1073" t="s">
        <v>739</v>
      </c>
      <c r="Q1073" t="s">
        <v>467</v>
      </c>
      <c r="R1073" t="s">
        <v>793</v>
      </c>
      <c r="S1073" t="s">
        <v>907</v>
      </c>
      <c r="T1073" t="s">
        <v>794</v>
      </c>
      <c r="U1073">
        <v>140300</v>
      </c>
      <c r="V1073" t="s">
        <v>4569</v>
      </c>
      <c r="W1073" t="s">
        <v>945</v>
      </c>
      <c r="X1073" t="s">
        <v>5302</v>
      </c>
      <c r="Y1073" t="s">
        <v>4756</v>
      </c>
      <c r="Z1073" t="s">
        <v>4757</v>
      </c>
      <c r="AA1073" t="s">
        <v>4758</v>
      </c>
      <c r="AB1073" t="s">
        <v>5303</v>
      </c>
      <c r="AE1073">
        <v>-36.883414629999997</v>
      </c>
      <c r="AF1073">
        <v>174.78646886000001</v>
      </c>
      <c r="AG1073" s="175">
        <v>50</v>
      </c>
      <c r="AH1073" s="175">
        <v>12</v>
      </c>
      <c r="AI1073" s="175">
        <v>2</v>
      </c>
      <c r="AJ1073" s="175">
        <v>11</v>
      </c>
      <c r="AK1073" s="175">
        <v>15</v>
      </c>
      <c r="AL1073" s="175">
        <v>13</v>
      </c>
      <c r="AM1073" s="175">
        <v>12</v>
      </c>
      <c r="AN1073" s="175">
        <v>0</v>
      </c>
      <c r="AO1073" s="175">
        <v>53</v>
      </c>
      <c r="AP1073" s="175">
        <v>33</v>
      </c>
      <c r="AQ1073" s="175">
        <v>4</v>
      </c>
      <c r="AR1073" s="175">
        <v>1</v>
      </c>
      <c r="AS1073" s="175">
        <v>27</v>
      </c>
      <c r="AT1073" s="175">
        <v>3</v>
      </c>
    </row>
    <row r="1074" spans="1:46">
      <c r="A1074">
        <v>20563</v>
      </c>
      <c r="B1074" t="s">
        <v>7067</v>
      </c>
      <c r="C1074" t="s">
        <v>7068</v>
      </c>
      <c r="D1074" t="s">
        <v>7069</v>
      </c>
      <c r="E1074" t="s">
        <v>7070</v>
      </c>
      <c r="F1074" t="s">
        <v>854</v>
      </c>
      <c r="G1074" t="s">
        <v>737</v>
      </c>
      <c r="H1074" t="s">
        <v>449</v>
      </c>
      <c r="I1074" t="s">
        <v>4023</v>
      </c>
      <c r="J1074" t="s">
        <v>605</v>
      </c>
      <c r="K1074" t="s">
        <v>606</v>
      </c>
      <c r="M1074" t="s">
        <v>607</v>
      </c>
      <c r="N1074" t="s">
        <v>657</v>
      </c>
      <c r="O1074" t="s">
        <v>803</v>
      </c>
      <c r="P1074" t="s">
        <v>739</v>
      </c>
      <c r="Q1074" t="s">
        <v>467</v>
      </c>
      <c r="R1074" t="s">
        <v>793</v>
      </c>
      <c r="S1074" t="s">
        <v>998</v>
      </c>
      <c r="T1074" t="s">
        <v>794</v>
      </c>
      <c r="U1074">
        <v>138301</v>
      </c>
      <c r="V1074" t="s">
        <v>7071</v>
      </c>
      <c r="W1074" t="s">
        <v>806</v>
      </c>
      <c r="X1074" t="s">
        <v>7072</v>
      </c>
      <c r="Y1074" t="s">
        <v>7073</v>
      </c>
      <c r="Z1074" t="s">
        <v>854</v>
      </c>
      <c r="AA1074" t="s">
        <v>7074</v>
      </c>
      <c r="AB1074" t="s">
        <v>7075</v>
      </c>
      <c r="AC1074">
        <v>99012</v>
      </c>
      <c r="AD1074" t="s">
        <v>857</v>
      </c>
      <c r="AE1074">
        <v>-36.912964789999997</v>
      </c>
      <c r="AF1074">
        <v>174.71504677999999</v>
      </c>
      <c r="AG1074" s="175">
        <v>50</v>
      </c>
      <c r="AH1074" s="175">
        <v>0</v>
      </c>
      <c r="AI1074" s="175">
        <v>0</v>
      </c>
      <c r="AJ1074" s="175">
        <v>0</v>
      </c>
      <c r="AK1074" s="175">
        <v>6</v>
      </c>
      <c r="AL1074" s="175">
        <v>15</v>
      </c>
      <c r="AM1074" s="175">
        <v>18</v>
      </c>
      <c r="AN1074" s="175">
        <v>1</v>
      </c>
      <c r="AO1074" s="175">
        <v>40</v>
      </c>
      <c r="AP1074" s="175">
        <v>10</v>
      </c>
      <c r="AQ1074" s="175">
        <v>4</v>
      </c>
      <c r="AR1074" s="175">
        <v>14</v>
      </c>
      <c r="AS1074" s="175">
        <v>22</v>
      </c>
      <c r="AT1074" s="175">
        <v>1</v>
      </c>
    </row>
    <row r="1075" spans="1:46">
      <c r="A1075">
        <v>20564</v>
      </c>
      <c r="B1075" t="s">
        <v>7076</v>
      </c>
      <c r="C1075" t="s">
        <v>7077</v>
      </c>
      <c r="D1075" t="s">
        <v>7078</v>
      </c>
      <c r="E1075" t="s">
        <v>7079</v>
      </c>
      <c r="F1075" t="s">
        <v>4495</v>
      </c>
      <c r="G1075" t="s">
        <v>737</v>
      </c>
      <c r="H1075" t="s">
        <v>449</v>
      </c>
      <c r="I1075" t="s">
        <v>6893</v>
      </c>
      <c r="J1075" t="s">
        <v>605</v>
      </c>
      <c r="K1075" t="s">
        <v>606</v>
      </c>
      <c r="M1075" t="s">
        <v>607</v>
      </c>
      <c r="N1075" t="s">
        <v>657</v>
      </c>
      <c r="O1075" t="s">
        <v>889</v>
      </c>
      <c r="P1075" t="s">
        <v>739</v>
      </c>
      <c r="Q1075" t="s">
        <v>467</v>
      </c>
      <c r="R1075" t="s">
        <v>793</v>
      </c>
      <c r="S1075" t="s">
        <v>965</v>
      </c>
      <c r="T1075" t="s">
        <v>794</v>
      </c>
      <c r="U1075">
        <v>145102</v>
      </c>
      <c r="V1075" t="s">
        <v>4790</v>
      </c>
      <c r="W1075" t="s">
        <v>909</v>
      </c>
      <c r="X1075" t="s">
        <v>7080</v>
      </c>
      <c r="Y1075" t="s">
        <v>7079</v>
      </c>
      <c r="Z1075" t="s">
        <v>4495</v>
      </c>
      <c r="AA1075" t="s">
        <v>4498</v>
      </c>
      <c r="AE1075">
        <v>-36.862135270000003</v>
      </c>
      <c r="AF1075">
        <v>174.87433014999999</v>
      </c>
      <c r="AG1075" s="175">
        <v>30</v>
      </c>
      <c r="AH1075" s="175">
        <v>0</v>
      </c>
      <c r="AI1075" s="175">
        <v>0</v>
      </c>
      <c r="AJ1075" s="175">
        <v>0</v>
      </c>
      <c r="AK1075" s="175">
        <v>8</v>
      </c>
      <c r="AL1075" s="175">
        <v>9</v>
      </c>
      <c r="AM1075" s="175">
        <v>17</v>
      </c>
      <c r="AN1075" s="175">
        <v>4</v>
      </c>
      <c r="AO1075" s="175">
        <v>38</v>
      </c>
      <c r="AP1075" s="175">
        <v>25</v>
      </c>
      <c r="AQ1075" s="175">
        <v>0</v>
      </c>
      <c r="AR1075" s="175">
        <v>0</v>
      </c>
      <c r="AS1075" s="175">
        <v>11</v>
      </c>
      <c r="AT1075" s="175">
        <v>6</v>
      </c>
    </row>
    <row r="1076" spans="1:46">
      <c r="A1076">
        <v>20565</v>
      </c>
      <c r="B1076" t="s">
        <v>7081</v>
      </c>
      <c r="C1076" t="s">
        <v>7082</v>
      </c>
      <c r="D1076" t="s">
        <v>7083</v>
      </c>
      <c r="E1076" t="s">
        <v>7084</v>
      </c>
      <c r="F1076" t="s">
        <v>5224</v>
      </c>
      <c r="G1076" t="s">
        <v>737</v>
      </c>
      <c r="H1076" t="s">
        <v>449</v>
      </c>
      <c r="J1076" t="s">
        <v>4032</v>
      </c>
      <c r="K1076" t="s">
        <v>606</v>
      </c>
      <c r="M1076" t="s">
        <v>607</v>
      </c>
      <c r="N1076" t="s">
        <v>657</v>
      </c>
      <c r="O1076" t="s">
        <v>997</v>
      </c>
      <c r="P1076" t="s">
        <v>739</v>
      </c>
      <c r="Q1076" t="s">
        <v>467</v>
      </c>
      <c r="R1076" t="s">
        <v>793</v>
      </c>
      <c r="S1076" t="s">
        <v>890</v>
      </c>
      <c r="T1076" t="s">
        <v>794</v>
      </c>
      <c r="U1076">
        <v>142600</v>
      </c>
      <c r="V1076" t="s">
        <v>5806</v>
      </c>
      <c r="W1076" t="s">
        <v>945</v>
      </c>
      <c r="X1076" t="s">
        <v>7085</v>
      </c>
      <c r="Y1076" t="s">
        <v>7086</v>
      </c>
      <c r="Z1076" t="s">
        <v>5170</v>
      </c>
      <c r="AA1076" t="s">
        <v>5066</v>
      </c>
      <c r="AE1076">
        <v>-36.910938870000003</v>
      </c>
      <c r="AF1076">
        <v>174.77224378</v>
      </c>
      <c r="AG1076" s="175">
        <v>47</v>
      </c>
      <c r="AH1076" s="175">
        <v>15</v>
      </c>
      <c r="AI1076" s="175">
        <v>0</v>
      </c>
      <c r="AJ1076" s="175">
        <v>9</v>
      </c>
      <c r="AK1076" s="175">
        <v>13</v>
      </c>
      <c r="AL1076" s="175">
        <v>12</v>
      </c>
      <c r="AM1076" s="175">
        <v>11</v>
      </c>
      <c r="AN1076" s="175">
        <v>0</v>
      </c>
      <c r="AO1076" s="175">
        <v>45</v>
      </c>
      <c r="AP1076" s="175">
        <v>6</v>
      </c>
      <c r="AQ1076" s="175">
        <v>5</v>
      </c>
      <c r="AR1076" s="175">
        <v>2</v>
      </c>
      <c r="AS1076" s="175">
        <v>28</v>
      </c>
      <c r="AT1076" s="175">
        <v>12</v>
      </c>
    </row>
    <row r="1077" spans="1:46">
      <c r="A1077">
        <v>20566</v>
      </c>
      <c r="B1077" t="s">
        <v>7087</v>
      </c>
      <c r="C1077" t="s">
        <v>7088</v>
      </c>
      <c r="D1077" t="s">
        <v>7089</v>
      </c>
      <c r="E1077" t="s">
        <v>7090</v>
      </c>
      <c r="F1077" t="s">
        <v>841</v>
      </c>
      <c r="G1077" t="s">
        <v>737</v>
      </c>
      <c r="H1077" t="s">
        <v>449</v>
      </c>
      <c r="J1077" t="s">
        <v>4032</v>
      </c>
      <c r="K1077" t="s">
        <v>606</v>
      </c>
      <c r="M1077" t="s">
        <v>607</v>
      </c>
      <c r="N1077" t="s">
        <v>657</v>
      </c>
      <c r="O1077" t="s">
        <v>823</v>
      </c>
      <c r="P1077" t="s">
        <v>739</v>
      </c>
      <c r="Q1077" t="s">
        <v>467</v>
      </c>
      <c r="R1077" t="s">
        <v>724</v>
      </c>
      <c r="S1077" t="s">
        <v>841</v>
      </c>
      <c r="T1077" t="s">
        <v>613</v>
      </c>
      <c r="U1077">
        <v>127100</v>
      </c>
      <c r="V1077" t="s">
        <v>1129</v>
      </c>
      <c r="W1077" t="s">
        <v>826</v>
      </c>
      <c r="X1077" t="s">
        <v>7091</v>
      </c>
      <c r="Y1077" t="s">
        <v>7092</v>
      </c>
      <c r="Z1077" t="s">
        <v>940</v>
      </c>
      <c r="AA1077" t="s">
        <v>4942</v>
      </c>
      <c r="AB1077" t="s">
        <v>7088</v>
      </c>
      <c r="AE1077">
        <v>-36.79836753</v>
      </c>
      <c r="AF1077">
        <v>174.74356011</v>
      </c>
      <c r="AG1077" s="175">
        <v>62</v>
      </c>
      <c r="AH1077" s="175">
        <v>12</v>
      </c>
      <c r="AI1077" s="175">
        <v>0</v>
      </c>
      <c r="AJ1077" s="175">
        <v>9</v>
      </c>
      <c r="AK1077" s="175">
        <v>21</v>
      </c>
      <c r="AL1077" s="175">
        <v>19</v>
      </c>
      <c r="AM1077" s="175">
        <v>8</v>
      </c>
      <c r="AN1077" s="175">
        <v>0</v>
      </c>
      <c r="AO1077" s="175">
        <v>57</v>
      </c>
      <c r="AP1077" s="175">
        <v>24</v>
      </c>
      <c r="AQ1077" s="175">
        <v>3</v>
      </c>
      <c r="AR1077" s="175">
        <v>3</v>
      </c>
      <c r="AS1077" s="175">
        <v>33</v>
      </c>
      <c r="AT1077" s="175">
        <v>3</v>
      </c>
    </row>
    <row r="1078" spans="1:46">
      <c r="A1078">
        <v>20574</v>
      </c>
      <c r="B1078" t="s">
        <v>7093</v>
      </c>
      <c r="C1078" t="s">
        <v>7094</v>
      </c>
      <c r="D1078" t="s">
        <v>7095</v>
      </c>
      <c r="E1078" t="s">
        <v>7096</v>
      </c>
      <c r="F1078" t="s">
        <v>802</v>
      </c>
      <c r="G1078" t="s">
        <v>737</v>
      </c>
      <c r="H1078" t="s">
        <v>449</v>
      </c>
      <c r="J1078" t="s">
        <v>605</v>
      </c>
      <c r="K1078" t="s">
        <v>606</v>
      </c>
      <c r="M1078" t="s">
        <v>607</v>
      </c>
      <c r="N1078" t="s">
        <v>657</v>
      </c>
      <c r="O1078" t="s">
        <v>803</v>
      </c>
      <c r="P1078" t="s">
        <v>739</v>
      </c>
      <c r="Q1078" t="s">
        <v>467</v>
      </c>
      <c r="R1078" t="s">
        <v>793</v>
      </c>
      <c r="S1078" t="s">
        <v>804</v>
      </c>
      <c r="T1078" t="s">
        <v>794</v>
      </c>
      <c r="U1078">
        <v>132001</v>
      </c>
      <c r="V1078" t="s">
        <v>805</v>
      </c>
      <c r="W1078" t="s">
        <v>806</v>
      </c>
      <c r="X1078" t="s">
        <v>7097</v>
      </c>
      <c r="Y1078" t="s">
        <v>7098</v>
      </c>
      <c r="Z1078" t="s">
        <v>802</v>
      </c>
      <c r="AA1078" t="s">
        <v>7099</v>
      </c>
      <c r="AB1078" t="s">
        <v>7100</v>
      </c>
      <c r="AE1078">
        <v>-36.891547490000001</v>
      </c>
      <c r="AF1078">
        <v>174.69113919</v>
      </c>
      <c r="AG1078" s="175">
        <v>33</v>
      </c>
      <c r="AH1078" s="175">
        <v>9</v>
      </c>
      <c r="AI1078" s="175">
        <v>2</v>
      </c>
      <c r="AJ1078" s="175">
        <v>4</v>
      </c>
      <c r="AK1078" s="175">
        <v>7</v>
      </c>
      <c r="AL1078" s="175">
        <v>8</v>
      </c>
      <c r="AM1078" s="175">
        <v>4</v>
      </c>
      <c r="AN1078" s="175">
        <v>0</v>
      </c>
      <c r="AO1078" s="175">
        <v>25</v>
      </c>
      <c r="AP1078" s="175">
        <v>17</v>
      </c>
      <c r="AQ1078" s="175">
        <v>2</v>
      </c>
      <c r="AR1078" s="175">
        <v>5</v>
      </c>
      <c r="AS1078" s="175">
        <v>8</v>
      </c>
      <c r="AT1078" s="175">
        <v>0</v>
      </c>
    </row>
    <row r="1079" spans="1:46">
      <c r="A1079">
        <v>20575</v>
      </c>
      <c r="B1079" t="s">
        <v>7101</v>
      </c>
      <c r="C1079" t="s">
        <v>7102</v>
      </c>
      <c r="D1079" t="s">
        <v>7103</v>
      </c>
      <c r="E1079" t="s">
        <v>7104</v>
      </c>
      <c r="F1079" t="s">
        <v>913</v>
      </c>
      <c r="G1079" t="s">
        <v>737</v>
      </c>
      <c r="H1079" t="s">
        <v>449</v>
      </c>
      <c r="J1079" t="s">
        <v>605</v>
      </c>
      <c r="K1079" t="s">
        <v>606</v>
      </c>
      <c r="M1079" t="s">
        <v>607</v>
      </c>
      <c r="N1079" t="s">
        <v>657</v>
      </c>
      <c r="O1079" t="s">
        <v>914</v>
      </c>
      <c r="P1079" t="s">
        <v>739</v>
      </c>
      <c r="Q1079" t="s">
        <v>467</v>
      </c>
      <c r="R1079" t="s">
        <v>793</v>
      </c>
      <c r="S1079" t="s">
        <v>890</v>
      </c>
      <c r="T1079" t="s">
        <v>794</v>
      </c>
      <c r="U1079">
        <v>145000</v>
      </c>
      <c r="V1079" t="s">
        <v>915</v>
      </c>
      <c r="W1079" t="s">
        <v>892</v>
      </c>
      <c r="X1079" t="s">
        <v>4013</v>
      </c>
      <c r="Y1079" t="s">
        <v>4014</v>
      </c>
      <c r="Z1079" t="s">
        <v>4015</v>
      </c>
      <c r="AA1079" t="s">
        <v>4016</v>
      </c>
      <c r="AB1079" t="s">
        <v>4017</v>
      </c>
      <c r="AC1079">
        <v>99190</v>
      </c>
      <c r="AD1079" t="s">
        <v>916</v>
      </c>
      <c r="AE1079">
        <v>-36.916544250000001</v>
      </c>
      <c r="AF1079">
        <v>174.78961396</v>
      </c>
      <c r="AG1079" s="175">
        <v>80</v>
      </c>
      <c r="AH1079" s="175">
        <v>20</v>
      </c>
      <c r="AI1079" s="175">
        <v>2</v>
      </c>
      <c r="AJ1079" s="175">
        <v>12</v>
      </c>
      <c r="AK1079" s="175">
        <v>20</v>
      </c>
      <c r="AL1079" s="175">
        <v>24</v>
      </c>
      <c r="AM1079" s="175">
        <v>17</v>
      </c>
      <c r="AN1079" s="175">
        <v>1</v>
      </c>
      <c r="AO1079" s="175">
        <v>76</v>
      </c>
      <c r="AP1079" s="175">
        <v>21</v>
      </c>
      <c r="AQ1079" s="175">
        <v>19</v>
      </c>
      <c r="AR1079" s="175">
        <v>26</v>
      </c>
      <c r="AS1079" s="175">
        <v>28</v>
      </c>
      <c r="AT1079" s="175">
        <v>15</v>
      </c>
    </row>
    <row r="1080" spans="1:46">
      <c r="A1080">
        <v>20577</v>
      </c>
      <c r="B1080" t="s">
        <v>7105</v>
      </c>
      <c r="C1080" t="s">
        <v>7106</v>
      </c>
      <c r="D1080" t="s">
        <v>7107</v>
      </c>
      <c r="E1080" t="s">
        <v>7108</v>
      </c>
      <c r="F1080" t="s">
        <v>855</v>
      </c>
      <c r="G1080" t="s">
        <v>737</v>
      </c>
      <c r="H1080" t="s">
        <v>449</v>
      </c>
      <c r="J1080" t="s">
        <v>4032</v>
      </c>
      <c r="K1080" t="s">
        <v>606</v>
      </c>
      <c r="M1080" t="s">
        <v>607</v>
      </c>
      <c r="N1080" t="s">
        <v>657</v>
      </c>
      <c r="O1080" t="s">
        <v>803</v>
      </c>
      <c r="P1080" t="s">
        <v>739</v>
      </c>
      <c r="Q1080" t="s">
        <v>467</v>
      </c>
      <c r="R1080" t="s">
        <v>724</v>
      </c>
      <c r="S1080" t="s">
        <v>855</v>
      </c>
      <c r="T1080" t="s">
        <v>794</v>
      </c>
      <c r="U1080">
        <v>136502</v>
      </c>
      <c r="V1080" t="s">
        <v>7109</v>
      </c>
      <c r="W1080" t="s">
        <v>806</v>
      </c>
      <c r="X1080" t="s">
        <v>7110</v>
      </c>
      <c r="Y1080" t="s">
        <v>7111</v>
      </c>
      <c r="Z1080" t="s">
        <v>996</v>
      </c>
      <c r="AA1080" t="s">
        <v>7112</v>
      </c>
      <c r="AB1080" t="s">
        <v>7106</v>
      </c>
      <c r="AE1080">
        <v>-36.923430400000001</v>
      </c>
      <c r="AF1080">
        <v>174.68456165000001</v>
      </c>
      <c r="AG1080" s="175">
        <v>28</v>
      </c>
      <c r="AH1080" s="175">
        <v>0</v>
      </c>
      <c r="AI1080" s="175">
        <v>0</v>
      </c>
      <c r="AJ1080" s="175">
        <v>0</v>
      </c>
      <c r="AK1080" s="175">
        <v>8</v>
      </c>
      <c r="AL1080" s="175">
        <v>11</v>
      </c>
      <c r="AM1080" s="175">
        <v>9</v>
      </c>
      <c r="AN1080" s="175">
        <v>1</v>
      </c>
      <c r="AO1080" s="175">
        <v>29</v>
      </c>
      <c r="AP1080" s="175">
        <v>13</v>
      </c>
      <c r="AQ1080" s="175">
        <v>5</v>
      </c>
      <c r="AR1080" s="175">
        <v>2</v>
      </c>
      <c r="AS1080" s="175">
        <v>13</v>
      </c>
      <c r="AT1080" s="175">
        <v>1</v>
      </c>
    </row>
    <row r="1081" spans="1:46">
      <c r="A1081">
        <v>20578</v>
      </c>
      <c r="B1081" t="s">
        <v>7113</v>
      </c>
      <c r="C1081" t="s">
        <v>7114</v>
      </c>
      <c r="E1081" t="s">
        <v>7115</v>
      </c>
      <c r="F1081" t="s">
        <v>983</v>
      </c>
      <c r="G1081" t="s">
        <v>737</v>
      </c>
      <c r="H1081" t="s">
        <v>347</v>
      </c>
      <c r="J1081" t="s">
        <v>605</v>
      </c>
      <c r="K1081" t="s">
        <v>606</v>
      </c>
      <c r="L1081" t="s">
        <v>4273</v>
      </c>
      <c r="M1081" t="s">
        <v>607</v>
      </c>
      <c r="N1081" t="s">
        <v>625</v>
      </c>
      <c r="O1081" t="s">
        <v>898</v>
      </c>
      <c r="P1081" t="s">
        <v>739</v>
      </c>
      <c r="Q1081" t="s">
        <v>467</v>
      </c>
      <c r="R1081" t="s">
        <v>724</v>
      </c>
      <c r="S1081" t="s">
        <v>984</v>
      </c>
      <c r="T1081" t="s">
        <v>613</v>
      </c>
      <c r="U1081">
        <v>124900</v>
      </c>
      <c r="V1081" t="s">
        <v>1205</v>
      </c>
      <c r="W1081" t="s">
        <v>900</v>
      </c>
      <c r="X1081" t="s">
        <v>6672</v>
      </c>
      <c r="Y1081" t="s">
        <v>4276</v>
      </c>
      <c r="Z1081" t="s">
        <v>4277</v>
      </c>
      <c r="AA1081" t="s">
        <v>4278</v>
      </c>
      <c r="AB1081" t="s">
        <v>6673</v>
      </c>
      <c r="AE1081">
        <v>-36.861251420000002</v>
      </c>
      <c r="AF1081">
        <v>174.62634679999999</v>
      </c>
      <c r="AG1081" s="175">
        <v>22</v>
      </c>
      <c r="AH1081" s="175">
        <v>4</v>
      </c>
      <c r="AI1081" s="175">
        <v>0</v>
      </c>
      <c r="AJ1081" s="175">
        <v>4</v>
      </c>
      <c r="AK1081" s="175">
        <v>2</v>
      </c>
      <c r="AL1081" s="175">
        <v>5</v>
      </c>
      <c r="AM1081" s="175">
        <v>4</v>
      </c>
      <c r="AN1081" s="175">
        <v>0</v>
      </c>
      <c r="AO1081" s="175">
        <v>15</v>
      </c>
      <c r="AP1081" s="175">
        <v>0</v>
      </c>
      <c r="AQ1081" s="175">
        <v>12</v>
      </c>
      <c r="AR1081" s="175">
        <v>3</v>
      </c>
      <c r="AS1081" s="175">
        <v>0</v>
      </c>
      <c r="AT1081" s="175">
        <v>0</v>
      </c>
    </row>
    <row r="1082" spans="1:46">
      <c r="A1082">
        <v>20579</v>
      </c>
      <c r="B1082" t="s">
        <v>7116</v>
      </c>
      <c r="C1082" t="s">
        <v>7117</v>
      </c>
      <c r="E1082" t="s">
        <v>7118</v>
      </c>
      <c r="F1082" t="s">
        <v>897</v>
      </c>
      <c r="G1082" t="s">
        <v>737</v>
      </c>
      <c r="H1082" t="s">
        <v>347</v>
      </c>
      <c r="J1082" t="s">
        <v>605</v>
      </c>
      <c r="K1082" t="s">
        <v>606</v>
      </c>
      <c r="L1082" t="s">
        <v>4273</v>
      </c>
      <c r="M1082" t="s">
        <v>607</v>
      </c>
      <c r="N1082" t="s">
        <v>625</v>
      </c>
      <c r="O1082" t="s">
        <v>898</v>
      </c>
      <c r="P1082" t="s">
        <v>739</v>
      </c>
      <c r="Q1082" t="s">
        <v>467</v>
      </c>
      <c r="R1082" t="s">
        <v>724</v>
      </c>
      <c r="S1082" t="s">
        <v>725</v>
      </c>
      <c r="T1082" t="s">
        <v>613</v>
      </c>
      <c r="U1082">
        <v>119600</v>
      </c>
      <c r="V1082" t="s">
        <v>4900</v>
      </c>
      <c r="W1082" t="s">
        <v>900</v>
      </c>
      <c r="X1082" t="s">
        <v>6672</v>
      </c>
      <c r="Y1082" t="s">
        <v>4276</v>
      </c>
      <c r="Z1082" t="s">
        <v>4277</v>
      </c>
      <c r="AA1082" t="s">
        <v>4278</v>
      </c>
      <c r="AB1082" t="s">
        <v>6673</v>
      </c>
      <c r="AE1082">
        <v>-36.82951697</v>
      </c>
      <c r="AF1082">
        <v>174.61003024999999</v>
      </c>
      <c r="AG1082" s="175">
        <v>50</v>
      </c>
      <c r="AH1082" s="175">
        <v>15</v>
      </c>
      <c r="AI1082" s="175">
        <v>3</v>
      </c>
      <c r="AJ1082" s="175">
        <v>9</v>
      </c>
      <c r="AK1082" s="175">
        <v>10</v>
      </c>
      <c r="AL1082" s="175">
        <v>10</v>
      </c>
      <c r="AM1082" s="175">
        <v>5</v>
      </c>
      <c r="AN1082" s="175">
        <v>0</v>
      </c>
      <c r="AO1082" s="175">
        <v>37</v>
      </c>
      <c r="AP1082" s="175">
        <v>0</v>
      </c>
      <c r="AQ1082" s="175">
        <v>35</v>
      </c>
      <c r="AR1082" s="175">
        <v>0</v>
      </c>
      <c r="AS1082" s="175">
        <v>0</v>
      </c>
      <c r="AT1082" s="175">
        <v>2</v>
      </c>
    </row>
    <row r="1083" spans="1:46">
      <c r="A1083">
        <v>20581</v>
      </c>
      <c r="B1083" t="s">
        <v>7119</v>
      </c>
      <c r="C1083" t="s">
        <v>7120</v>
      </c>
      <c r="D1083" t="s">
        <v>7121</v>
      </c>
      <c r="E1083" t="s">
        <v>7122</v>
      </c>
      <c r="F1083" t="s">
        <v>4495</v>
      </c>
      <c r="G1083" t="s">
        <v>737</v>
      </c>
      <c r="H1083" t="s">
        <v>449</v>
      </c>
      <c r="I1083" t="s">
        <v>4134</v>
      </c>
      <c r="J1083" t="s">
        <v>4032</v>
      </c>
      <c r="K1083" t="s">
        <v>606</v>
      </c>
      <c r="M1083" t="s">
        <v>607</v>
      </c>
      <c r="N1083" t="s">
        <v>4586</v>
      </c>
      <c r="O1083" t="s">
        <v>889</v>
      </c>
      <c r="P1083" t="s">
        <v>739</v>
      </c>
      <c r="Q1083" t="s">
        <v>467</v>
      </c>
      <c r="R1083" t="s">
        <v>793</v>
      </c>
      <c r="S1083" t="s">
        <v>965</v>
      </c>
      <c r="T1083" t="s">
        <v>794</v>
      </c>
      <c r="U1083">
        <v>145101</v>
      </c>
      <c r="V1083" t="s">
        <v>1226</v>
      </c>
      <c r="W1083" t="s">
        <v>909</v>
      </c>
      <c r="X1083" t="s">
        <v>7123</v>
      </c>
      <c r="Y1083" t="s">
        <v>7124</v>
      </c>
      <c r="Z1083" t="s">
        <v>6227</v>
      </c>
      <c r="AA1083" t="s">
        <v>6228</v>
      </c>
      <c r="AE1083">
        <v>-36.865729700000003</v>
      </c>
      <c r="AF1083">
        <v>174.86063200000001</v>
      </c>
      <c r="AG1083" s="175">
        <v>45</v>
      </c>
      <c r="AH1083" s="175">
        <v>0</v>
      </c>
      <c r="AI1083" s="175">
        <v>0</v>
      </c>
      <c r="AJ1083" s="175">
        <v>0</v>
      </c>
      <c r="AK1083" s="175">
        <v>6</v>
      </c>
      <c r="AL1083" s="175">
        <v>5</v>
      </c>
      <c r="AM1083" s="175">
        <v>16</v>
      </c>
      <c r="AN1083" s="175">
        <v>2</v>
      </c>
      <c r="AO1083" s="175">
        <v>29</v>
      </c>
      <c r="AP1083" s="175">
        <v>13</v>
      </c>
      <c r="AQ1083" s="175">
        <v>1</v>
      </c>
      <c r="AR1083" s="175">
        <v>0</v>
      </c>
      <c r="AS1083" s="175">
        <v>18</v>
      </c>
      <c r="AT1083" s="175">
        <v>3</v>
      </c>
    </row>
    <row r="1084" spans="1:46">
      <c r="A1084">
        <v>20583</v>
      </c>
      <c r="B1084" t="s">
        <v>7125</v>
      </c>
      <c r="C1084" t="s">
        <v>7126</v>
      </c>
      <c r="D1084" t="s">
        <v>7127</v>
      </c>
      <c r="E1084" t="s">
        <v>7128</v>
      </c>
      <c r="F1084" t="s">
        <v>4987</v>
      </c>
      <c r="G1084" t="s">
        <v>737</v>
      </c>
      <c r="H1084" t="s">
        <v>449</v>
      </c>
      <c r="J1084" t="s">
        <v>605</v>
      </c>
      <c r="K1084" t="s">
        <v>606</v>
      </c>
      <c r="L1084" t="s">
        <v>4273</v>
      </c>
      <c r="M1084" t="s">
        <v>607</v>
      </c>
      <c r="N1084" t="s">
        <v>657</v>
      </c>
      <c r="O1084" t="s">
        <v>1042</v>
      </c>
      <c r="P1084" t="s">
        <v>739</v>
      </c>
      <c r="Q1084" t="s">
        <v>467</v>
      </c>
      <c r="R1084" t="s">
        <v>793</v>
      </c>
      <c r="S1084" t="s">
        <v>1043</v>
      </c>
      <c r="T1084" t="s">
        <v>794</v>
      </c>
      <c r="U1084">
        <v>134800</v>
      </c>
      <c r="V1084" t="s">
        <v>5792</v>
      </c>
      <c r="W1084" t="s">
        <v>1044</v>
      </c>
      <c r="X1084" t="s">
        <v>5793</v>
      </c>
      <c r="Y1084" t="s">
        <v>4276</v>
      </c>
      <c r="Z1084" t="s">
        <v>4277</v>
      </c>
      <c r="AA1084" t="s">
        <v>4278</v>
      </c>
      <c r="AE1084">
        <v>-36.851998209999998</v>
      </c>
      <c r="AF1084">
        <v>174.77297028000001</v>
      </c>
      <c r="AG1084" s="175">
        <v>25</v>
      </c>
      <c r="AH1084" s="175">
        <v>8</v>
      </c>
      <c r="AI1084" s="175">
        <v>0</v>
      </c>
      <c r="AJ1084" s="175">
        <v>1</v>
      </c>
      <c r="AK1084" s="175">
        <v>7</v>
      </c>
      <c r="AL1084" s="175">
        <v>11</v>
      </c>
      <c r="AM1084" s="175">
        <v>5</v>
      </c>
      <c r="AN1084" s="175">
        <v>0</v>
      </c>
      <c r="AO1084" s="175">
        <v>24</v>
      </c>
      <c r="AP1084" s="175">
        <v>0</v>
      </c>
      <c r="AQ1084" s="175">
        <v>22</v>
      </c>
      <c r="AR1084" s="175">
        <v>0</v>
      </c>
      <c r="AS1084" s="175">
        <v>0</v>
      </c>
      <c r="AT1084" s="175">
        <v>2</v>
      </c>
    </row>
    <row r="1085" spans="1:46">
      <c r="A1085">
        <v>20584</v>
      </c>
      <c r="B1085" t="s">
        <v>7129</v>
      </c>
      <c r="C1085" t="s">
        <v>7130</v>
      </c>
      <c r="D1085" t="s">
        <v>7131</v>
      </c>
      <c r="E1085" t="s">
        <v>7132</v>
      </c>
      <c r="F1085" t="s">
        <v>907</v>
      </c>
      <c r="G1085" t="s">
        <v>737</v>
      </c>
      <c r="H1085" t="s">
        <v>449</v>
      </c>
      <c r="J1085" t="s">
        <v>4032</v>
      </c>
      <c r="K1085" t="s">
        <v>606</v>
      </c>
      <c r="M1085" t="s">
        <v>607</v>
      </c>
      <c r="N1085" t="s">
        <v>657</v>
      </c>
      <c r="O1085" t="s">
        <v>942</v>
      </c>
      <c r="P1085" t="s">
        <v>739</v>
      </c>
      <c r="Q1085" t="s">
        <v>467</v>
      </c>
      <c r="R1085" t="s">
        <v>793</v>
      </c>
      <c r="S1085" t="s">
        <v>907</v>
      </c>
      <c r="T1085" t="s">
        <v>794</v>
      </c>
      <c r="U1085">
        <v>140300</v>
      </c>
      <c r="V1085" t="s">
        <v>4569</v>
      </c>
      <c r="W1085" t="s">
        <v>945</v>
      </c>
      <c r="X1085" t="s">
        <v>7133</v>
      </c>
      <c r="Y1085" t="s">
        <v>4137</v>
      </c>
      <c r="Z1085" t="s">
        <v>906</v>
      </c>
      <c r="AA1085" t="s">
        <v>4138</v>
      </c>
      <c r="AE1085">
        <v>-36.876938819999999</v>
      </c>
      <c r="AF1085">
        <v>174.78057577000001</v>
      </c>
      <c r="AG1085" s="175">
        <v>49</v>
      </c>
      <c r="AH1085" s="175">
        <v>15</v>
      </c>
      <c r="AI1085" s="175">
        <v>3</v>
      </c>
      <c r="AJ1085" s="175">
        <v>3</v>
      </c>
      <c r="AK1085" s="175">
        <v>4</v>
      </c>
      <c r="AL1085" s="175">
        <v>4</v>
      </c>
      <c r="AM1085" s="175">
        <v>6</v>
      </c>
      <c r="AN1085" s="175">
        <v>0</v>
      </c>
      <c r="AO1085" s="175">
        <v>20</v>
      </c>
      <c r="AP1085" s="175">
        <v>11</v>
      </c>
      <c r="AQ1085" s="175">
        <v>4</v>
      </c>
      <c r="AR1085" s="175">
        <v>4</v>
      </c>
      <c r="AS1085" s="175">
        <v>12</v>
      </c>
      <c r="AT1085" s="175">
        <v>0</v>
      </c>
    </row>
    <row r="1086" spans="1:46">
      <c r="A1086">
        <v>20585</v>
      </c>
      <c r="B1086" t="s">
        <v>7134</v>
      </c>
      <c r="C1086" t="s">
        <v>7135</v>
      </c>
      <c r="D1086" t="s">
        <v>7136</v>
      </c>
      <c r="E1086" t="s">
        <v>7137</v>
      </c>
      <c r="F1086" t="s">
        <v>745</v>
      </c>
      <c r="G1086" t="s">
        <v>737</v>
      </c>
      <c r="H1086" t="s">
        <v>449</v>
      </c>
      <c r="J1086" t="s">
        <v>4032</v>
      </c>
      <c r="K1086" t="s">
        <v>606</v>
      </c>
      <c r="M1086" t="s">
        <v>607</v>
      </c>
      <c r="N1086" t="s">
        <v>4586</v>
      </c>
      <c r="O1086" t="s">
        <v>738</v>
      </c>
      <c r="P1086" t="s">
        <v>739</v>
      </c>
      <c r="Q1086" t="s">
        <v>467</v>
      </c>
      <c r="R1086" t="s">
        <v>724</v>
      </c>
      <c r="S1086" t="s">
        <v>740</v>
      </c>
      <c r="T1086" t="s">
        <v>613</v>
      </c>
      <c r="U1086">
        <v>117900</v>
      </c>
      <c r="V1086" t="s">
        <v>7138</v>
      </c>
      <c r="W1086" t="s">
        <v>742</v>
      </c>
      <c r="X1086" t="s">
        <v>7139</v>
      </c>
      <c r="Y1086" t="s">
        <v>7140</v>
      </c>
      <c r="Z1086" t="s">
        <v>745</v>
      </c>
      <c r="AA1086" t="s">
        <v>6104</v>
      </c>
      <c r="AB1086" t="s">
        <v>7135</v>
      </c>
      <c r="AC1086">
        <v>99121</v>
      </c>
      <c r="AD1086" t="s">
        <v>747</v>
      </c>
      <c r="AE1086">
        <v>-36.708444749999998</v>
      </c>
      <c r="AF1086">
        <v>174.74717647</v>
      </c>
      <c r="AG1086" s="175">
        <v>35</v>
      </c>
      <c r="AH1086" s="175">
        <v>8</v>
      </c>
      <c r="AI1086" s="175">
        <v>0</v>
      </c>
      <c r="AJ1086" s="175">
        <v>4</v>
      </c>
      <c r="AK1086" s="175">
        <v>5</v>
      </c>
      <c r="AL1086" s="175">
        <v>9</v>
      </c>
      <c r="AM1086" s="175">
        <v>12</v>
      </c>
      <c r="AN1086" s="175">
        <v>1</v>
      </c>
      <c r="AO1086" s="175">
        <v>31</v>
      </c>
      <c r="AP1086" s="175">
        <v>22</v>
      </c>
      <c r="AQ1086" s="175">
        <v>1</v>
      </c>
      <c r="AR1086" s="175">
        <v>2</v>
      </c>
      <c r="AS1086" s="175">
        <v>6</v>
      </c>
      <c r="AT1086" s="175">
        <v>4</v>
      </c>
    </row>
    <row r="1087" spans="1:46">
      <c r="A1087">
        <v>20586</v>
      </c>
      <c r="B1087" t="s">
        <v>7141</v>
      </c>
      <c r="C1087" t="s">
        <v>7142</v>
      </c>
      <c r="D1087" t="s">
        <v>7143</v>
      </c>
      <c r="E1087" t="s">
        <v>7144</v>
      </c>
      <c r="F1087" t="s">
        <v>983</v>
      </c>
      <c r="G1087" t="s">
        <v>737</v>
      </c>
      <c r="H1087" t="s">
        <v>449</v>
      </c>
      <c r="J1087" t="s">
        <v>4032</v>
      </c>
      <c r="K1087" t="s">
        <v>606</v>
      </c>
      <c r="M1087" t="s">
        <v>607</v>
      </c>
      <c r="N1087" t="s">
        <v>657</v>
      </c>
      <c r="O1087" t="s">
        <v>898</v>
      </c>
      <c r="P1087" t="s">
        <v>739</v>
      </c>
      <c r="Q1087" t="s">
        <v>467</v>
      </c>
      <c r="R1087" t="s">
        <v>724</v>
      </c>
      <c r="S1087" t="s">
        <v>984</v>
      </c>
      <c r="T1087" t="s">
        <v>794</v>
      </c>
      <c r="U1087">
        <v>127900</v>
      </c>
      <c r="V1087" t="s">
        <v>7145</v>
      </c>
      <c r="W1087" t="s">
        <v>900</v>
      </c>
      <c r="X1087" t="s">
        <v>7146</v>
      </c>
      <c r="Y1087" t="s">
        <v>7147</v>
      </c>
      <c r="Z1087" t="s">
        <v>1242</v>
      </c>
      <c r="AA1087" t="s">
        <v>4449</v>
      </c>
      <c r="AB1087" t="s">
        <v>7142</v>
      </c>
      <c r="AE1087">
        <v>-36.872371029999996</v>
      </c>
      <c r="AF1087">
        <v>174.63849615999999</v>
      </c>
      <c r="AG1087" s="175">
        <v>38</v>
      </c>
      <c r="AH1087" s="175">
        <v>14</v>
      </c>
      <c r="AI1087" s="175">
        <v>3</v>
      </c>
      <c r="AJ1087" s="175">
        <v>7</v>
      </c>
      <c r="AK1087" s="175">
        <v>8</v>
      </c>
      <c r="AL1087" s="175">
        <v>13</v>
      </c>
      <c r="AM1087" s="175">
        <v>5</v>
      </c>
      <c r="AN1087" s="175">
        <v>1</v>
      </c>
      <c r="AO1087" s="175">
        <v>37</v>
      </c>
      <c r="AP1087" s="175">
        <v>18</v>
      </c>
      <c r="AQ1087" s="175">
        <v>7</v>
      </c>
      <c r="AR1087" s="175">
        <v>2</v>
      </c>
      <c r="AS1087" s="175">
        <v>15</v>
      </c>
      <c r="AT1087" s="175">
        <v>5</v>
      </c>
    </row>
    <row r="1088" spans="1:46">
      <c r="A1088">
        <v>20589</v>
      </c>
      <c r="B1088" t="s">
        <v>7148</v>
      </c>
      <c r="C1088" t="s">
        <v>7149</v>
      </c>
      <c r="D1088" t="s">
        <v>7150</v>
      </c>
      <c r="E1088" t="s">
        <v>7151</v>
      </c>
      <c r="F1088" t="s">
        <v>983</v>
      </c>
      <c r="G1088" t="s">
        <v>737</v>
      </c>
      <c r="H1088" t="s">
        <v>449</v>
      </c>
      <c r="J1088" t="s">
        <v>4032</v>
      </c>
      <c r="K1088" t="s">
        <v>606</v>
      </c>
      <c r="M1088" t="s">
        <v>607</v>
      </c>
      <c r="N1088" t="s">
        <v>657</v>
      </c>
      <c r="O1088" t="s">
        <v>898</v>
      </c>
      <c r="P1088" t="s">
        <v>739</v>
      </c>
      <c r="Q1088" t="s">
        <v>467</v>
      </c>
      <c r="R1088" t="s">
        <v>724</v>
      </c>
      <c r="S1088" t="s">
        <v>984</v>
      </c>
      <c r="T1088" t="s">
        <v>794</v>
      </c>
      <c r="U1088">
        <v>127900</v>
      </c>
      <c r="V1088" t="s">
        <v>7145</v>
      </c>
      <c r="W1088" t="s">
        <v>900</v>
      </c>
      <c r="X1088" t="s">
        <v>7152</v>
      </c>
      <c r="Y1088" t="s">
        <v>4725</v>
      </c>
      <c r="Z1088" t="s">
        <v>1043</v>
      </c>
      <c r="AA1088" t="s">
        <v>4726</v>
      </c>
      <c r="AB1088" t="s">
        <v>7153</v>
      </c>
      <c r="AE1088">
        <v>-36.882779720000002</v>
      </c>
      <c r="AF1088">
        <v>174.64285877</v>
      </c>
      <c r="AG1088" s="175">
        <v>59</v>
      </c>
      <c r="AH1088" s="175">
        <v>9</v>
      </c>
      <c r="AI1088" s="175">
        <v>2</v>
      </c>
      <c r="AJ1088" s="175">
        <v>6</v>
      </c>
      <c r="AK1088" s="175">
        <v>11</v>
      </c>
      <c r="AL1088" s="175">
        <v>15</v>
      </c>
      <c r="AM1088" s="175">
        <v>9</v>
      </c>
      <c r="AN1088" s="175">
        <v>1</v>
      </c>
      <c r="AO1088" s="175">
        <v>44</v>
      </c>
      <c r="AP1088" s="175">
        <v>22</v>
      </c>
      <c r="AQ1088" s="175">
        <v>6</v>
      </c>
      <c r="AR1088" s="175">
        <v>8</v>
      </c>
      <c r="AS1088" s="175">
        <v>13</v>
      </c>
      <c r="AT1088" s="175">
        <v>5</v>
      </c>
    </row>
    <row r="1089" spans="1:46">
      <c r="A1089">
        <v>22002</v>
      </c>
      <c r="B1089" t="s">
        <v>7154</v>
      </c>
      <c r="C1089" t="s">
        <v>7155</v>
      </c>
      <c r="D1089" t="s">
        <v>7156</v>
      </c>
      <c r="E1089" t="s">
        <v>7157</v>
      </c>
      <c r="F1089" t="s">
        <v>4533</v>
      </c>
      <c r="G1089" t="s">
        <v>737</v>
      </c>
      <c r="H1089" t="s">
        <v>301</v>
      </c>
      <c r="J1089" t="s">
        <v>605</v>
      </c>
      <c r="K1089" t="s">
        <v>606</v>
      </c>
      <c r="M1089" t="s">
        <v>607</v>
      </c>
      <c r="N1089" t="s">
        <v>657</v>
      </c>
      <c r="O1089" t="s">
        <v>803</v>
      </c>
      <c r="P1089" t="s">
        <v>739</v>
      </c>
      <c r="Q1089" t="s">
        <v>467</v>
      </c>
      <c r="R1089" t="s">
        <v>724</v>
      </c>
      <c r="S1089" t="s">
        <v>804</v>
      </c>
      <c r="T1089" t="s">
        <v>794</v>
      </c>
      <c r="U1089">
        <v>129501</v>
      </c>
      <c r="V1089" t="s">
        <v>7158</v>
      </c>
      <c r="W1089" t="s">
        <v>806</v>
      </c>
      <c r="X1089" t="s">
        <v>7159</v>
      </c>
      <c r="Y1089" t="s">
        <v>5253</v>
      </c>
      <c r="AA1089" t="s">
        <v>5254</v>
      </c>
      <c r="AE1089">
        <v>-36.894011030000001</v>
      </c>
      <c r="AF1089">
        <v>174.65494677000001</v>
      </c>
      <c r="AG1089" s="175">
        <v>30</v>
      </c>
      <c r="AH1089" s="175">
        <v>15</v>
      </c>
      <c r="AI1089" s="175">
        <v>2</v>
      </c>
      <c r="AJ1089" s="175">
        <v>5</v>
      </c>
      <c r="AK1089" s="175">
        <v>8</v>
      </c>
      <c r="AL1089" s="175">
        <v>6</v>
      </c>
      <c r="AM1089" s="175">
        <v>2</v>
      </c>
      <c r="AN1089" s="175">
        <v>0</v>
      </c>
      <c r="AO1089" s="175">
        <v>23</v>
      </c>
      <c r="AP1089" s="175">
        <v>17</v>
      </c>
      <c r="AQ1089" s="175">
        <v>5</v>
      </c>
      <c r="AR1089" s="175">
        <v>2</v>
      </c>
      <c r="AS1089" s="175">
        <v>3</v>
      </c>
      <c r="AT1089" s="175">
        <v>2</v>
      </c>
    </row>
    <row r="1090" spans="1:46">
      <c r="A1090">
        <v>22003</v>
      </c>
      <c r="B1090" t="s">
        <v>7160</v>
      </c>
      <c r="C1090" t="s">
        <v>7161</v>
      </c>
      <c r="D1090" t="s">
        <v>7156</v>
      </c>
      <c r="E1090" t="s">
        <v>7162</v>
      </c>
      <c r="F1090" t="s">
        <v>957</v>
      </c>
      <c r="G1090" t="s">
        <v>737</v>
      </c>
      <c r="H1090" t="s">
        <v>301</v>
      </c>
      <c r="J1090" t="s">
        <v>605</v>
      </c>
      <c r="K1090" t="s">
        <v>606</v>
      </c>
      <c r="M1090" t="s">
        <v>607</v>
      </c>
      <c r="N1090" t="s">
        <v>657</v>
      </c>
      <c r="O1090" t="s">
        <v>958</v>
      </c>
      <c r="P1090" t="s">
        <v>739</v>
      </c>
      <c r="Q1090" t="s">
        <v>467</v>
      </c>
      <c r="R1090" t="s">
        <v>724</v>
      </c>
      <c r="S1090" t="s">
        <v>804</v>
      </c>
      <c r="T1090" t="s">
        <v>794</v>
      </c>
      <c r="U1090">
        <v>130901</v>
      </c>
      <c r="V1090" t="s">
        <v>1210</v>
      </c>
      <c r="W1090" t="s">
        <v>900</v>
      </c>
      <c r="X1090" t="s">
        <v>7159</v>
      </c>
      <c r="Y1090" t="s">
        <v>5253</v>
      </c>
      <c r="AA1090" t="s">
        <v>5254</v>
      </c>
      <c r="AE1090">
        <v>-36.915724969999999</v>
      </c>
      <c r="AF1090">
        <v>174.64762787000001</v>
      </c>
      <c r="AG1090" s="175">
        <v>30</v>
      </c>
      <c r="AH1090" s="175">
        <v>20</v>
      </c>
      <c r="AI1090" s="175">
        <v>18</v>
      </c>
      <c r="AJ1090" s="175">
        <v>7</v>
      </c>
      <c r="AK1090" s="175">
        <v>8</v>
      </c>
      <c r="AL1090" s="175">
        <v>9</v>
      </c>
      <c r="AM1090" s="175">
        <v>6</v>
      </c>
      <c r="AN1090" s="175">
        <v>1</v>
      </c>
      <c r="AO1090" s="175">
        <v>49</v>
      </c>
      <c r="AP1090" s="175">
        <v>44</v>
      </c>
      <c r="AQ1090" s="175">
        <v>4</v>
      </c>
      <c r="AR1090" s="175">
        <v>3</v>
      </c>
      <c r="AS1090" s="175">
        <v>2</v>
      </c>
      <c r="AT1090" s="175">
        <v>5</v>
      </c>
    </row>
    <row r="1091" spans="1:46">
      <c r="A1091">
        <v>22004</v>
      </c>
      <c r="B1091" t="s">
        <v>7163</v>
      </c>
      <c r="C1091" t="s">
        <v>7164</v>
      </c>
      <c r="D1091" t="s">
        <v>7165</v>
      </c>
      <c r="E1091" t="s">
        <v>7166</v>
      </c>
      <c r="G1091" t="s">
        <v>4256</v>
      </c>
      <c r="H1091" t="s">
        <v>301</v>
      </c>
      <c r="J1091" t="s">
        <v>605</v>
      </c>
      <c r="K1091" t="s">
        <v>606</v>
      </c>
      <c r="M1091" t="s">
        <v>607</v>
      </c>
      <c r="N1091" t="s">
        <v>657</v>
      </c>
      <c r="O1091" t="s">
        <v>723</v>
      </c>
      <c r="P1091" t="s">
        <v>610</v>
      </c>
      <c r="Q1091" t="s">
        <v>467</v>
      </c>
      <c r="R1091" t="s">
        <v>724</v>
      </c>
      <c r="S1091" t="s">
        <v>725</v>
      </c>
      <c r="T1091" t="s">
        <v>613</v>
      </c>
      <c r="U1091">
        <v>112401</v>
      </c>
      <c r="V1091" t="s">
        <v>4256</v>
      </c>
      <c r="W1091" t="s">
        <v>726</v>
      </c>
      <c r="X1091" t="s">
        <v>7159</v>
      </c>
      <c r="Y1091" t="s">
        <v>5253</v>
      </c>
      <c r="AA1091" t="s">
        <v>5254</v>
      </c>
      <c r="AE1091">
        <v>-36.67143738</v>
      </c>
      <c r="AF1091">
        <v>174.45235212</v>
      </c>
      <c r="AG1091" s="175">
        <v>30</v>
      </c>
      <c r="AH1091" s="175">
        <v>20</v>
      </c>
      <c r="AI1091" s="175">
        <v>7</v>
      </c>
      <c r="AJ1091" s="175">
        <v>2</v>
      </c>
      <c r="AK1091" s="175">
        <v>1</v>
      </c>
      <c r="AL1091" s="175">
        <v>0</v>
      </c>
      <c r="AM1091" s="175">
        <v>3</v>
      </c>
      <c r="AN1091" s="175">
        <v>0</v>
      </c>
      <c r="AO1091" s="175">
        <v>13</v>
      </c>
      <c r="AP1091" s="175">
        <v>13</v>
      </c>
      <c r="AQ1091" s="175">
        <v>1</v>
      </c>
      <c r="AR1091" s="175">
        <v>1</v>
      </c>
      <c r="AS1091" s="175">
        <v>2</v>
      </c>
      <c r="AT1091" s="175">
        <v>0</v>
      </c>
    </row>
    <row r="1092" spans="1:46">
      <c r="A1092">
        <v>22006</v>
      </c>
      <c r="B1092" t="s">
        <v>7167</v>
      </c>
      <c r="C1092" t="s">
        <v>7168</v>
      </c>
      <c r="D1092" t="s">
        <v>7156</v>
      </c>
      <c r="E1092" t="s">
        <v>7169</v>
      </c>
      <c r="F1092" t="s">
        <v>983</v>
      </c>
      <c r="G1092" t="s">
        <v>737</v>
      </c>
      <c r="H1092" t="s">
        <v>301</v>
      </c>
      <c r="J1092" t="s">
        <v>605</v>
      </c>
      <c r="K1092" t="s">
        <v>606</v>
      </c>
      <c r="M1092" t="s">
        <v>607</v>
      </c>
      <c r="N1092" t="s">
        <v>625</v>
      </c>
      <c r="O1092" t="s">
        <v>898</v>
      </c>
      <c r="P1092" t="s">
        <v>739</v>
      </c>
      <c r="Q1092" t="s">
        <v>467</v>
      </c>
      <c r="R1092" t="s">
        <v>724</v>
      </c>
      <c r="S1092" t="s">
        <v>804</v>
      </c>
      <c r="T1092" t="s">
        <v>613</v>
      </c>
      <c r="U1092">
        <v>128301</v>
      </c>
      <c r="V1092" t="s">
        <v>7170</v>
      </c>
      <c r="W1092" t="s">
        <v>900</v>
      </c>
      <c r="X1092" t="s">
        <v>7159</v>
      </c>
      <c r="Y1092" t="s">
        <v>5253</v>
      </c>
      <c r="AA1092" t="s">
        <v>5254</v>
      </c>
      <c r="AE1092">
        <v>-36.898426180000001</v>
      </c>
      <c r="AF1092">
        <v>174.62114417999999</v>
      </c>
      <c r="AG1092" s="175">
        <v>30</v>
      </c>
      <c r="AH1092" s="175">
        <v>20</v>
      </c>
      <c r="AI1092" s="175">
        <v>5</v>
      </c>
      <c r="AJ1092" s="175">
        <v>2</v>
      </c>
      <c r="AK1092" s="175">
        <v>8</v>
      </c>
      <c r="AL1092" s="175">
        <v>1</v>
      </c>
      <c r="AM1092" s="175">
        <v>0</v>
      </c>
      <c r="AN1092" s="175">
        <v>0</v>
      </c>
      <c r="AO1092" s="175">
        <v>16</v>
      </c>
      <c r="AP1092" s="175">
        <v>14</v>
      </c>
      <c r="AQ1092" s="175">
        <v>3</v>
      </c>
      <c r="AR1092" s="175">
        <v>2</v>
      </c>
      <c r="AS1092" s="175">
        <v>0</v>
      </c>
      <c r="AT1092" s="175">
        <v>1</v>
      </c>
    </row>
    <row r="1093" spans="1:46">
      <c r="A1093">
        <v>22008</v>
      </c>
      <c r="B1093" t="s">
        <v>7171</v>
      </c>
      <c r="C1093" t="s">
        <v>7172</v>
      </c>
      <c r="D1093" t="s">
        <v>7156</v>
      </c>
      <c r="E1093" t="s">
        <v>7173</v>
      </c>
      <c r="G1093" t="s">
        <v>4454</v>
      </c>
      <c r="H1093" t="s">
        <v>301</v>
      </c>
      <c r="J1093" t="s">
        <v>605</v>
      </c>
      <c r="K1093" t="s">
        <v>606</v>
      </c>
      <c r="M1093" t="s">
        <v>607</v>
      </c>
      <c r="N1093" t="s">
        <v>657</v>
      </c>
      <c r="O1093" t="s">
        <v>723</v>
      </c>
      <c r="P1093" t="s">
        <v>610</v>
      </c>
      <c r="Q1093" t="s">
        <v>467</v>
      </c>
      <c r="R1093" t="s">
        <v>724</v>
      </c>
      <c r="S1093" t="s">
        <v>725</v>
      </c>
      <c r="T1093" t="s">
        <v>613</v>
      </c>
      <c r="U1093">
        <v>115001</v>
      </c>
      <c r="V1093" t="s">
        <v>6729</v>
      </c>
      <c r="W1093" t="s">
        <v>726</v>
      </c>
      <c r="X1093" t="s">
        <v>7159</v>
      </c>
      <c r="Y1093" t="s">
        <v>5253</v>
      </c>
      <c r="AA1093" t="s">
        <v>5254</v>
      </c>
      <c r="AE1093">
        <v>-36.771074550000002</v>
      </c>
      <c r="AF1093">
        <v>174.54765732999999</v>
      </c>
      <c r="AG1093" s="175">
        <v>30</v>
      </c>
      <c r="AH1093" s="175">
        <v>20</v>
      </c>
      <c r="AI1093" s="175">
        <v>19</v>
      </c>
      <c r="AJ1093" s="175">
        <v>8</v>
      </c>
      <c r="AK1093" s="175">
        <v>7</v>
      </c>
      <c r="AL1093" s="175">
        <v>7</v>
      </c>
      <c r="AM1093" s="175">
        <v>4</v>
      </c>
      <c r="AN1093" s="175">
        <v>0</v>
      </c>
      <c r="AO1093" s="175">
        <v>45</v>
      </c>
      <c r="AP1093" s="175">
        <v>41</v>
      </c>
      <c r="AQ1093" s="175">
        <v>6</v>
      </c>
      <c r="AR1093" s="175">
        <v>6</v>
      </c>
      <c r="AS1093" s="175">
        <v>9</v>
      </c>
      <c r="AT1093" s="175">
        <v>1</v>
      </c>
    </row>
    <row r="1094" spans="1:46">
      <c r="A1094">
        <v>22009</v>
      </c>
      <c r="B1094" t="s">
        <v>7174</v>
      </c>
      <c r="C1094" t="s">
        <v>7175</v>
      </c>
      <c r="D1094" t="s">
        <v>7176</v>
      </c>
      <c r="E1094" t="s">
        <v>7177</v>
      </c>
      <c r="F1094" t="s">
        <v>897</v>
      </c>
      <c r="G1094" t="s">
        <v>737</v>
      </c>
      <c r="H1094" t="s">
        <v>301</v>
      </c>
      <c r="J1094" t="s">
        <v>605</v>
      </c>
      <c r="K1094" t="s">
        <v>606</v>
      </c>
      <c r="M1094" t="s">
        <v>607</v>
      </c>
      <c r="N1094" t="s">
        <v>643</v>
      </c>
      <c r="O1094" t="s">
        <v>898</v>
      </c>
      <c r="P1094" t="s">
        <v>739</v>
      </c>
      <c r="Q1094" t="s">
        <v>467</v>
      </c>
      <c r="R1094" t="s">
        <v>724</v>
      </c>
      <c r="S1094" t="s">
        <v>824</v>
      </c>
      <c r="T1094" t="s">
        <v>613</v>
      </c>
      <c r="U1094">
        <v>122501</v>
      </c>
      <c r="V1094" t="s">
        <v>4771</v>
      </c>
      <c r="W1094" t="s">
        <v>900</v>
      </c>
      <c r="X1094" t="s">
        <v>7159</v>
      </c>
      <c r="Y1094" t="s">
        <v>5253</v>
      </c>
      <c r="AA1094" t="s">
        <v>5254</v>
      </c>
      <c r="AE1094">
        <v>-36.84287088</v>
      </c>
      <c r="AF1094">
        <v>174.61294853000001</v>
      </c>
      <c r="AG1094" s="175">
        <v>30</v>
      </c>
      <c r="AH1094" s="175">
        <v>15</v>
      </c>
      <c r="AI1094" s="175">
        <v>24</v>
      </c>
      <c r="AJ1094" s="175">
        <v>6</v>
      </c>
      <c r="AK1094" s="175">
        <v>6</v>
      </c>
      <c r="AL1094" s="175">
        <v>4</v>
      </c>
      <c r="AM1094" s="175">
        <v>2</v>
      </c>
      <c r="AN1094" s="175">
        <v>0</v>
      </c>
      <c r="AO1094" s="175">
        <v>42</v>
      </c>
      <c r="AP1094" s="175">
        <v>34</v>
      </c>
      <c r="AQ1094" s="175">
        <v>4</v>
      </c>
      <c r="AR1094" s="175">
        <v>2</v>
      </c>
      <c r="AS1094" s="175">
        <v>6</v>
      </c>
      <c r="AT1094" s="175">
        <v>7</v>
      </c>
    </row>
    <row r="1095" spans="1:46">
      <c r="A1095">
        <v>22010</v>
      </c>
      <c r="B1095" t="s">
        <v>7178</v>
      </c>
      <c r="C1095" t="s">
        <v>7179</v>
      </c>
      <c r="D1095" t="s">
        <v>7156</v>
      </c>
      <c r="E1095" t="s">
        <v>7180</v>
      </c>
      <c r="F1095" t="s">
        <v>1199</v>
      </c>
      <c r="G1095" t="s">
        <v>737</v>
      </c>
      <c r="H1095" t="s">
        <v>301</v>
      </c>
      <c r="J1095" t="s">
        <v>605</v>
      </c>
      <c r="K1095" t="s">
        <v>606</v>
      </c>
      <c r="M1095" t="s">
        <v>607</v>
      </c>
      <c r="N1095" t="s">
        <v>643</v>
      </c>
      <c r="O1095" t="s">
        <v>898</v>
      </c>
      <c r="P1095" t="s">
        <v>739</v>
      </c>
      <c r="Q1095" t="s">
        <v>467</v>
      </c>
      <c r="R1095" t="s">
        <v>724</v>
      </c>
      <c r="S1095" t="s">
        <v>984</v>
      </c>
      <c r="T1095" t="s">
        <v>613</v>
      </c>
      <c r="U1095">
        <v>123800</v>
      </c>
      <c r="V1095" t="s">
        <v>1200</v>
      </c>
      <c r="W1095" t="s">
        <v>900</v>
      </c>
      <c r="X1095" t="s">
        <v>7159</v>
      </c>
      <c r="Y1095" t="s">
        <v>5253</v>
      </c>
      <c r="AA1095" t="s">
        <v>5254</v>
      </c>
      <c r="AE1095">
        <v>-36.86450293</v>
      </c>
      <c r="AF1095">
        <v>174.60271041999999</v>
      </c>
      <c r="AG1095" s="175">
        <v>30</v>
      </c>
      <c r="AH1095" s="175">
        <v>20</v>
      </c>
      <c r="AI1095" s="175">
        <v>10</v>
      </c>
      <c r="AJ1095" s="175">
        <v>10</v>
      </c>
      <c r="AK1095" s="175">
        <v>2</v>
      </c>
      <c r="AL1095" s="175">
        <v>3</v>
      </c>
      <c r="AM1095" s="175">
        <v>0</v>
      </c>
      <c r="AN1095" s="175">
        <v>0</v>
      </c>
      <c r="AO1095" s="175">
        <v>25</v>
      </c>
      <c r="AP1095" s="175">
        <v>22</v>
      </c>
      <c r="AQ1095" s="175">
        <v>6</v>
      </c>
      <c r="AR1095" s="175">
        <v>4</v>
      </c>
      <c r="AS1095" s="175">
        <v>4</v>
      </c>
      <c r="AT1095" s="175">
        <v>1</v>
      </c>
    </row>
    <row r="1096" spans="1:46">
      <c r="A1096">
        <v>22011</v>
      </c>
      <c r="B1096" t="s">
        <v>7181</v>
      </c>
      <c r="C1096" t="s">
        <v>7179</v>
      </c>
      <c r="D1096" t="s">
        <v>7156</v>
      </c>
      <c r="E1096" t="s">
        <v>7182</v>
      </c>
      <c r="F1096" t="s">
        <v>983</v>
      </c>
      <c r="G1096" t="s">
        <v>737</v>
      </c>
      <c r="H1096" t="s">
        <v>301</v>
      </c>
      <c r="J1096" t="s">
        <v>605</v>
      </c>
      <c r="K1096" t="s">
        <v>606</v>
      </c>
      <c r="M1096" t="s">
        <v>607</v>
      </c>
      <c r="N1096" t="s">
        <v>657</v>
      </c>
      <c r="O1096" t="s">
        <v>958</v>
      </c>
      <c r="P1096" t="s">
        <v>658</v>
      </c>
      <c r="Q1096" t="s">
        <v>467</v>
      </c>
      <c r="R1096" t="s">
        <v>724</v>
      </c>
      <c r="S1096" t="s">
        <v>855</v>
      </c>
      <c r="T1096" t="s">
        <v>613</v>
      </c>
      <c r="U1096">
        <v>121100</v>
      </c>
      <c r="V1096" t="s">
        <v>4042</v>
      </c>
      <c r="W1096" t="s">
        <v>900</v>
      </c>
      <c r="X1096" t="s">
        <v>7159</v>
      </c>
      <c r="Y1096" t="s">
        <v>5253</v>
      </c>
      <c r="AA1096" t="s">
        <v>5254</v>
      </c>
      <c r="AE1096">
        <v>-36.867403660000001</v>
      </c>
      <c r="AF1096">
        <v>174.57437003999999</v>
      </c>
      <c r="AG1096" s="175">
        <v>30</v>
      </c>
      <c r="AH1096" s="175">
        <v>15</v>
      </c>
      <c r="AI1096" s="175">
        <v>11</v>
      </c>
      <c r="AJ1096" s="175">
        <v>7</v>
      </c>
      <c r="AK1096" s="175">
        <v>8</v>
      </c>
      <c r="AL1096" s="175">
        <v>6</v>
      </c>
      <c r="AM1096" s="175">
        <v>7</v>
      </c>
      <c r="AN1096" s="175">
        <v>1</v>
      </c>
      <c r="AO1096" s="175">
        <v>40</v>
      </c>
      <c r="AP1096" s="175">
        <v>34</v>
      </c>
      <c r="AQ1096" s="175">
        <v>10</v>
      </c>
      <c r="AR1096" s="175">
        <v>5</v>
      </c>
      <c r="AS1096" s="175">
        <v>8</v>
      </c>
      <c r="AT1096" s="175">
        <v>2</v>
      </c>
    </row>
    <row r="1097" spans="1:46">
      <c r="A1097">
        <v>22013</v>
      </c>
      <c r="B1097" t="s">
        <v>7183</v>
      </c>
      <c r="C1097" t="s">
        <v>7184</v>
      </c>
      <c r="D1097" t="s">
        <v>7156</v>
      </c>
      <c r="E1097" t="s">
        <v>7185</v>
      </c>
      <c r="G1097" t="s">
        <v>7186</v>
      </c>
      <c r="H1097" t="s">
        <v>301</v>
      </c>
      <c r="J1097" t="s">
        <v>605</v>
      </c>
      <c r="K1097" t="s">
        <v>606</v>
      </c>
      <c r="M1097" t="s">
        <v>607</v>
      </c>
      <c r="N1097" t="s">
        <v>657</v>
      </c>
      <c r="O1097" t="s">
        <v>958</v>
      </c>
      <c r="P1097" t="s">
        <v>658</v>
      </c>
      <c r="Q1097" t="s">
        <v>467</v>
      </c>
      <c r="R1097" t="s">
        <v>724</v>
      </c>
      <c r="S1097" t="s">
        <v>855</v>
      </c>
      <c r="T1097" t="s">
        <v>794</v>
      </c>
      <c r="U1097">
        <v>127601</v>
      </c>
      <c r="V1097" t="s">
        <v>7186</v>
      </c>
      <c r="W1097" t="s">
        <v>900</v>
      </c>
      <c r="X1097" t="s">
        <v>7159</v>
      </c>
      <c r="Y1097" t="s">
        <v>5253</v>
      </c>
      <c r="AA1097" t="s">
        <v>5254</v>
      </c>
      <c r="AE1097">
        <v>-36.931237199999998</v>
      </c>
      <c r="AF1097">
        <v>174.58052588000001</v>
      </c>
      <c r="AG1097" s="175">
        <v>30</v>
      </c>
      <c r="AH1097" s="175">
        <v>15</v>
      </c>
      <c r="AI1097" s="175">
        <v>19</v>
      </c>
      <c r="AJ1097" s="175">
        <v>7</v>
      </c>
      <c r="AK1097" s="175">
        <v>3</v>
      </c>
      <c r="AL1097" s="175">
        <v>3</v>
      </c>
      <c r="AM1097" s="175">
        <v>2</v>
      </c>
      <c r="AN1097" s="175">
        <v>0</v>
      </c>
      <c r="AO1097" s="175">
        <v>34</v>
      </c>
      <c r="AP1097" s="175">
        <v>33</v>
      </c>
      <c r="AQ1097" s="175">
        <v>7</v>
      </c>
      <c r="AR1097" s="175">
        <v>3</v>
      </c>
      <c r="AS1097" s="175">
        <v>3</v>
      </c>
      <c r="AT1097" s="175">
        <v>2</v>
      </c>
    </row>
    <row r="1098" spans="1:46">
      <c r="A1098">
        <v>22014</v>
      </c>
      <c r="B1098" t="s">
        <v>7187</v>
      </c>
      <c r="C1098" t="s">
        <v>7188</v>
      </c>
      <c r="D1098" t="s">
        <v>7156</v>
      </c>
      <c r="E1098" t="s">
        <v>7189</v>
      </c>
      <c r="G1098" t="s">
        <v>4383</v>
      </c>
      <c r="H1098" t="s">
        <v>301</v>
      </c>
      <c r="J1098" t="s">
        <v>605</v>
      </c>
      <c r="K1098" t="s">
        <v>606</v>
      </c>
      <c r="M1098" t="s">
        <v>607</v>
      </c>
      <c r="N1098" t="s">
        <v>657</v>
      </c>
      <c r="O1098" t="s">
        <v>723</v>
      </c>
      <c r="P1098" t="s">
        <v>610</v>
      </c>
      <c r="Q1098" t="s">
        <v>467</v>
      </c>
      <c r="R1098" t="s">
        <v>724</v>
      </c>
      <c r="S1098" t="s">
        <v>725</v>
      </c>
      <c r="T1098" t="s">
        <v>613</v>
      </c>
      <c r="U1098">
        <v>114201</v>
      </c>
      <c r="V1098" t="s">
        <v>4383</v>
      </c>
      <c r="W1098" t="s">
        <v>726</v>
      </c>
      <c r="X1098" t="s">
        <v>7159</v>
      </c>
      <c r="Y1098" t="s">
        <v>5253</v>
      </c>
      <c r="AA1098" t="s">
        <v>5254</v>
      </c>
      <c r="AE1098">
        <v>-36.774100920000002</v>
      </c>
      <c r="AF1098">
        <v>174.49002247999999</v>
      </c>
      <c r="AG1098" s="175">
        <v>30</v>
      </c>
      <c r="AH1098" s="175">
        <v>15</v>
      </c>
      <c r="AI1098" s="175">
        <v>0</v>
      </c>
      <c r="AJ1098" s="175">
        <v>4</v>
      </c>
      <c r="AK1098" s="175">
        <v>4</v>
      </c>
      <c r="AL1098" s="175">
        <v>7</v>
      </c>
      <c r="AM1098" s="175">
        <v>0</v>
      </c>
      <c r="AN1098" s="175">
        <v>0</v>
      </c>
      <c r="AO1098" s="175">
        <v>15</v>
      </c>
      <c r="AP1098" s="175">
        <v>15</v>
      </c>
      <c r="AQ1098" s="175">
        <v>0</v>
      </c>
      <c r="AR1098" s="175">
        <v>0</v>
      </c>
      <c r="AS1098" s="175">
        <v>1</v>
      </c>
      <c r="AT1098" s="175">
        <v>0</v>
      </c>
    </row>
    <row r="1099" spans="1:46">
      <c r="A1099">
        <v>22015</v>
      </c>
      <c r="B1099" t="s">
        <v>7190</v>
      </c>
      <c r="C1099" t="s">
        <v>7191</v>
      </c>
      <c r="D1099" t="s">
        <v>7192</v>
      </c>
      <c r="E1099" t="s">
        <v>7193</v>
      </c>
      <c r="F1099" t="s">
        <v>6666</v>
      </c>
      <c r="G1099" t="s">
        <v>737</v>
      </c>
      <c r="H1099" t="s">
        <v>301</v>
      </c>
      <c r="J1099" t="s">
        <v>605</v>
      </c>
      <c r="K1099" t="s">
        <v>606</v>
      </c>
      <c r="M1099" t="s">
        <v>607</v>
      </c>
      <c r="N1099" t="s">
        <v>657</v>
      </c>
      <c r="O1099" t="s">
        <v>898</v>
      </c>
      <c r="P1099" t="s">
        <v>739</v>
      </c>
      <c r="Q1099" t="s">
        <v>467</v>
      </c>
      <c r="R1099" t="s">
        <v>724</v>
      </c>
      <c r="S1099" t="s">
        <v>824</v>
      </c>
      <c r="T1099" t="s">
        <v>613</v>
      </c>
      <c r="U1099">
        <v>119800</v>
      </c>
      <c r="V1099" t="s">
        <v>1005</v>
      </c>
      <c r="W1099" t="s">
        <v>900</v>
      </c>
      <c r="X1099" t="s">
        <v>7159</v>
      </c>
      <c r="Y1099" t="s">
        <v>5253</v>
      </c>
      <c r="AA1099" t="s">
        <v>5254</v>
      </c>
      <c r="AE1099">
        <v>-36.823456909999997</v>
      </c>
      <c r="AF1099">
        <v>174.62237574</v>
      </c>
      <c r="AG1099" s="175">
        <v>30</v>
      </c>
      <c r="AH1099" s="175">
        <v>20</v>
      </c>
      <c r="AI1099" s="175">
        <v>33</v>
      </c>
      <c r="AJ1099" s="175">
        <v>7</v>
      </c>
      <c r="AK1099" s="175">
        <v>9</v>
      </c>
      <c r="AL1099" s="175">
        <v>7</v>
      </c>
      <c r="AM1099" s="175">
        <v>0</v>
      </c>
      <c r="AN1099" s="175">
        <v>0</v>
      </c>
      <c r="AO1099" s="175">
        <v>56</v>
      </c>
      <c r="AP1099" s="175">
        <v>44</v>
      </c>
      <c r="AQ1099" s="175">
        <v>5</v>
      </c>
      <c r="AR1099" s="175">
        <v>3</v>
      </c>
      <c r="AS1099" s="175">
        <v>18</v>
      </c>
      <c r="AT1099" s="175">
        <v>3</v>
      </c>
    </row>
    <row r="1100" spans="1:46">
      <c r="A1100">
        <v>22016</v>
      </c>
      <c r="B1100" t="s">
        <v>7194</v>
      </c>
      <c r="C1100" t="s">
        <v>7195</v>
      </c>
      <c r="D1100" t="s">
        <v>7196</v>
      </c>
      <c r="E1100" t="s">
        <v>7197</v>
      </c>
      <c r="F1100" t="s">
        <v>1041</v>
      </c>
      <c r="G1100" t="s">
        <v>737</v>
      </c>
      <c r="H1100" t="s">
        <v>301</v>
      </c>
      <c r="J1100" t="s">
        <v>605</v>
      </c>
      <c r="K1100" t="s">
        <v>606</v>
      </c>
      <c r="M1100" t="s">
        <v>607</v>
      </c>
      <c r="N1100" t="s">
        <v>657</v>
      </c>
      <c r="O1100" t="s">
        <v>1042</v>
      </c>
      <c r="P1100" t="s">
        <v>739</v>
      </c>
      <c r="Q1100" t="s">
        <v>467</v>
      </c>
      <c r="R1100" t="s">
        <v>793</v>
      </c>
      <c r="S1100" t="s">
        <v>1043</v>
      </c>
      <c r="T1100" t="s">
        <v>794</v>
      </c>
      <c r="U1100">
        <v>131801</v>
      </c>
      <c r="V1100" t="s">
        <v>1041</v>
      </c>
      <c r="W1100" t="s">
        <v>1044</v>
      </c>
      <c r="X1100" t="s">
        <v>6881</v>
      </c>
      <c r="Y1100" t="s">
        <v>5253</v>
      </c>
      <c r="AA1100" t="s">
        <v>5254</v>
      </c>
      <c r="AB1100" t="s">
        <v>6882</v>
      </c>
      <c r="AE1100">
        <v>-36.852060639999998</v>
      </c>
      <c r="AF1100">
        <v>174.74969680000001</v>
      </c>
      <c r="AG1100" s="175">
        <v>28</v>
      </c>
      <c r="AH1100" s="175">
        <v>15</v>
      </c>
      <c r="AI1100" s="175">
        <v>1</v>
      </c>
      <c r="AJ1100" s="175">
        <v>3</v>
      </c>
      <c r="AK1100" s="175">
        <v>6</v>
      </c>
      <c r="AL1100" s="175">
        <v>5</v>
      </c>
      <c r="AM1100" s="175">
        <v>1</v>
      </c>
      <c r="AN1100" s="175">
        <v>0</v>
      </c>
      <c r="AO1100" s="175">
        <v>16</v>
      </c>
      <c r="AP1100" s="175">
        <v>13</v>
      </c>
      <c r="AQ1100" s="175">
        <v>4</v>
      </c>
      <c r="AR1100" s="175">
        <v>2</v>
      </c>
      <c r="AS1100" s="175">
        <v>6</v>
      </c>
      <c r="AT1100" s="175">
        <v>0</v>
      </c>
    </row>
    <row r="1101" spans="1:46">
      <c r="A1101">
        <v>22019</v>
      </c>
      <c r="B1101" t="s">
        <v>7198</v>
      </c>
      <c r="C1101" t="s">
        <v>7199</v>
      </c>
      <c r="D1101" t="s">
        <v>6878</v>
      </c>
      <c r="E1101" t="s">
        <v>7200</v>
      </c>
      <c r="F1101" t="s">
        <v>854</v>
      </c>
      <c r="G1101" t="s">
        <v>737</v>
      </c>
      <c r="H1101" t="s">
        <v>301</v>
      </c>
      <c r="J1101" t="s">
        <v>605</v>
      </c>
      <c r="K1101" t="s">
        <v>606</v>
      </c>
      <c r="M1101" t="s">
        <v>607</v>
      </c>
      <c r="N1101" t="s">
        <v>657</v>
      </c>
      <c r="O1101" t="s">
        <v>803</v>
      </c>
      <c r="P1101" t="s">
        <v>739</v>
      </c>
      <c r="Q1101" t="s">
        <v>467</v>
      </c>
      <c r="R1101" t="s">
        <v>793</v>
      </c>
      <c r="S1101" t="s">
        <v>855</v>
      </c>
      <c r="T1101" t="s">
        <v>794</v>
      </c>
      <c r="U1101">
        <v>138901</v>
      </c>
      <c r="V1101" t="s">
        <v>6905</v>
      </c>
      <c r="W1101" t="s">
        <v>806</v>
      </c>
      <c r="X1101" t="s">
        <v>6881</v>
      </c>
      <c r="Y1101" t="s">
        <v>5253</v>
      </c>
      <c r="AA1101" t="s">
        <v>5254</v>
      </c>
      <c r="AB1101" t="s">
        <v>6882</v>
      </c>
      <c r="AE1101">
        <v>-36.924600839999997</v>
      </c>
      <c r="AF1101">
        <v>174.70193506000001</v>
      </c>
      <c r="AG1101" s="175">
        <v>30</v>
      </c>
      <c r="AH1101" s="175">
        <v>15</v>
      </c>
      <c r="AI1101" s="175">
        <v>1</v>
      </c>
      <c r="AJ1101" s="175">
        <v>9</v>
      </c>
      <c r="AK1101" s="175">
        <v>10</v>
      </c>
      <c r="AL1101" s="175">
        <v>4</v>
      </c>
      <c r="AM1101" s="175">
        <v>4</v>
      </c>
      <c r="AN1101" s="175">
        <v>0</v>
      </c>
      <c r="AO1101" s="175">
        <v>28</v>
      </c>
      <c r="AP1101" s="175">
        <v>21</v>
      </c>
      <c r="AQ1101" s="175">
        <v>1</v>
      </c>
      <c r="AR1101" s="175">
        <v>2</v>
      </c>
      <c r="AS1101" s="175">
        <v>7</v>
      </c>
      <c r="AT1101" s="175">
        <v>3</v>
      </c>
    </row>
    <row r="1102" spans="1:46">
      <c r="A1102">
        <v>22020</v>
      </c>
      <c r="B1102" t="s">
        <v>7201</v>
      </c>
      <c r="C1102" t="s">
        <v>7202</v>
      </c>
      <c r="D1102" t="s">
        <v>6878</v>
      </c>
      <c r="E1102" t="s">
        <v>7203</v>
      </c>
      <c r="F1102" t="s">
        <v>1102</v>
      </c>
      <c r="G1102" t="s">
        <v>737</v>
      </c>
      <c r="H1102" t="s">
        <v>301</v>
      </c>
      <c r="J1102" t="s">
        <v>605</v>
      </c>
      <c r="K1102" t="s">
        <v>606</v>
      </c>
      <c r="M1102" t="s">
        <v>607</v>
      </c>
      <c r="N1102" t="s">
        <v>657</v>
      </c>
      <c r="O1102" t="s">
        <v>942</v>
      </c>
      <c r="P1102" t="s">
        <v>739</v>
      </c>
      <c r="Q1102" t="s">
        <v>467</v>
      </c>
      <c r="R1102" t="s">
        <v>793</v>
      </c>
      <c r="S1102" t="s">
        <v>907</v>
      </c>
      <c r="T1102" t="s">
        <v>794</v>
      </c>
      <c r="U1102">
        <v>139000</v>
      </c>
      <c r="V1102" t="s">
        <v>5313</v>
      </c>
      <c r="W1102" t="s">
        <v>945</v>
      </c>
      <c r="X1102" t="s">
        <v>6881</v>
      </c>
      <c r="Y1102" t="s">
        <v>5253</v>
      </c>
      <c r="AA1102" t="s">
        <v>5254</v>
      </c>
      <c r="AB1102" t="s">
        <v>6882</v>
      </c>
      <c r="AE1102">
        <v>-36.883548220000002</v>
      </c>
      <c r="AF1102">
        <v>174.76419068999999</v>
      </c>
      <c r="AG1102" s="175">
        <v>30</v>
      </c>
      <c r="AH1102" s="175">
        <v>15</v>
      </c>
      <c r="AI1102" s="175">
        <v>21</v>
      </c>
      <c r="AJ1102" s="175">
        <v>4</v>
      </c>
      <c r="AK1102" s="175">
        <v>5</v>
      </c>
      <c r="AL1102" s="175">
        <v>9</v>
      </c>
      <c r="AM1102" s="175">
        <v>4</v>
      </c>
      <c r="AN1102" s="175">
        <v>1</v>
      </c>
      <c r="AO1102" s="175">
        <v>44</v>
      </c>
      <c r="AP1102" s="175">
        <v>36</v>
      </c>
      <c r="AQ1102" s="175">
        <v>3</v>
      </c>
      <c r="AR1102" s="175">
        <v>1</v>
      </c>
      <c r="AS1102" s="175">
        <v>11</v>
      </c>
      <c r="AT1102" s="175">
        <v>4</v>
      </c>
    </row>
    <row r="1103" spans="1:46">
      <c r="A1103">
        <v>22022</v>
      </c>
      <c r="B1103" t="s">
        <v>7204</v>
      </c>
      <c r="C1103" t="s">
        <v>7205</v>
      </c>
      <c r="D1103" t="s">
        <v>6878</v>
      </c>
      <c r="E1103" t="s">
        <v>7206</v>
      </c>
      <c r="F1103" t="s">
        <v>4722</v>
      </c>
      <c r="G1103" t="s">
        <v>737</v>
      </c>
      <c r="H1103" t="s">
        <v>301</v>
      </c>
      <c r="J1103" t="s">
        <v>605</v>
      </c>
      <c r="K1103" t="s">
        <v>606</v>
      </c>
      <c r="M1103" t="s">
        <v>607</v>
      </c>
      <c r="N1103" t="s">
        <v>657</v>
      </c>
      <c r="O1103" t="s">
        <v>1042</v>
      </c>
      <c r="P1103" t="s">
        <v>739</v>
      </c>
      <c r="Q1103" t="s">
        <v>467</v>
      </c>
      <c r="R1103" t="s">
        <v>793</v>
      </c>
      <c r="S1103" t="s">
        <v>1043</v>
      </c>
      <c r="T1103" t="s">
        <v>794</v>
      </c>
      <c r="U1103">
        <v>129700</v>
      </c>
      <c r="V1103" t="s">
        <v>4722</v>
      </c>
      <c r="W1103" t="s">
        <v>1044</v>
      </c>
      <c r="X1103" t="s">
        <v>6881</v>
      </c>
      <c r="Y1103" t="s">
        <v>5253</v>
      </c>
      <c r="AA1103" t="s">
        <v>5254</v>
      </c>
      <c r="AB1103" t="s">
        <v>6882</v>
      </c>
      <c r="AE1103">
        <v>-36.848111000000003</v>
      </c>
      <c r="AF1103">
        <v>174.72992869999999</v>
      </c>
      <c r="AG1103" s="175">
        <v>30</v>
      </c>
      <c r="AH1103" s="175">
        <v>15</v>
      </c>
      <c r="AI1103" s="175">
        <v>11</v>
      </c>
      <c r="AJ1103" s="175">
        <v>5</v>
      </c>
      <c r="AK1103" s="175">
        <v>2</v>
      </c>
      <c r="AL1103" s="175">
        <v>4</v>
      </c>
      <c r="AM1103" s="175">
        <v>2</v>
      </c>
      <c r="AN1103" s="175">
        <v>1</v>
      </c>
      <c r="AO1103" s="175">
        <v>25</v>
      </c>
      <c r="AP1103" s="175">
        <v>20</v>
      </c>
      <c r="AQ1103" s="175">
        <v>3</v>
      </c>
      <c r="AR1103" s="175">
        <v>0</v>
      </c>
      <c r="AS1103" s="175">
        <v>6</v>
      </c>
      <c r="AT1103" s="175">
        <v>4</v>
      </c>
    </row>
    <row r="1104" spans="1:46">
      <c r="A1104">
        <v>22023</v>
      </c>
      <c r="B1104" t="s">
        <v>7207</v>
      </c>
      <c r="C1104" t="s">
        <v>7208</v>
      </c>
      <c r="D1104" t="s">
        <v>6878</v>
      </c>
      <c r="E1104" t="s">
        <v>7209</v>
      </c>
      <c r="F1104" t="s">
        <v>996</v>
      </c>
      <c r="G1104" t="s">
        <v>737</v>
      </c>
      <c r="H1104" t="s">
        <v>301</v>
      </c>
      <c r="J1104" t="s">
        <v>605</v>
      </c>
      <c r="K1104" t="s">
        <v>606</v>
      </c>
      <c r="M1104" t="s">
        <v>607</v>
      </c>
      <c r="N1104" t="s">
        <v>657</v>
      </c>
      <c r="O1104" t="s">
        <v>997</v>
      </c>
      <c r="P1104" t="s">
        <v>739</v>
      </c>
      <c r="Q1104" t="s">
        <v>467</v>
      </c>
      <c r="R1104" t="s">
        <v>793</v>
      </c>
      <c r="S1104" t="s">
        <v>998</v>
      </c>
      <c r="T1104" t="s">
        <v>794</v>
      </c>
      <c r="U1104">
        <v>142901</v>
      </c>
      <c r="V1104" t="s">
        <v>7210</v>
      </c>
      <c r="W1104" t="s">
        <v>945</v>
      </c>
      <c r="X1104" t="s">
        <v>7159</v>
      </c>
      <c r="Y1104" t="s">
        <v>5253</v>
      </c>
      <c r="AA1104" t="s">
        <v>5254</v>
      </c>
      <c r="AE1104">
        <v>-36.918884130000002</v>
      </c>
      <c r="AF1104">
        <v>174.75440739999999</v>
      </c>
      <c r="AG1104" s="175">
        <v>30</v>
      </c>
      <c r="AH1104" s="175">
        <v>15</v>
      </c>
      <c r="AI1104" s="175">
        <v>23</v>
      </c>
      <c r="AJ1104" s="175">
        <v>3</v>
      </c>
      <c r="AK1104" s="175">
        <v>9</v>
      </c>
      <c r="AL1104" s="175">
        <v>5</v>
      </c>
      <c r="AM1104" s="175">
        <v>3</v>
      </c>
      <c r="AN1104" s="175">
        <v>1</v>
      </c>
      <c r="AO1104" s="175">
        <v>44</v>
      </c>
      <c r="AP1104" s="175">
        <v>33</v>
      </c>
      <c r="AQ1104" s="175">
        <v>3</v>
      </c>
      <c r="AR1104" s="175">
        <v>3</v>
      </c>
      <c r="AS1104" s="175">
        <v>15</v>
      </c>
      <c r="AT1104" s="175">
        <v>8</v>
      </c>
    </row>
    <row r="1105" spans="1:46">
      <c r="A1105">
        <v>22024</v>
      </c>
      <c r="B1105" t="s">
        <v>7211</v>
      </c>
      <c r="C1105" t="s">
        <v>7208</v>
      </c>
      <c r="D1105" t="s">
        <v>7212</v>
      </c>
      <c r="E1105" t="s">
        <v>7213</v>
      </c>
      <c r="G1105" t="s">
        <v>3783</v>
      </c>
      <c r="H1105" t="s">
        <v>301</v>
      </c>
      <c r="J1105" t="s">
        <v>605</v>
      </c>
      <c r="K1105" t="s">
        <v>606</v>
      </c>
      <c r="M1105" t="s">
        <v>607</v>
      </c>
      <c r="N1105" t="s">
        <v>657</v>
      </c>
      <c r="O1105" t="s">
        <v>958</v>
      </c>
      <c r="P1105" t="s">
        <v>739</v>
      </c>
      <c r="Q1105" t="s">
        <v>467</v>
      </c>
      <c r="R1105" t="s">
        <v>724</v>
      </c>
      <c r="S1105" t="s">
        <v>855</v>
      </c>
      <c r="T1105" t="s">
        <v>794</v>
      </c>
      <c r="U1105">
        <v>137500</v>
      </c>
      <c r="V1105" t="s">
        <v>3783</v>
      </c>
      <c r="W1105" t="s">
        <v>900</v>
      </c>
      <c r="X1105" t="s">
        <v>7159</v>
      </c>
      <c r="Y1105" t="s">
        <v>5253</v>
      </c>
      <c r="AA1105" t="s">
        <v>5254</v>
      </c>
      <c r="AE1105">
        <v>-36.963457429999998</v>
      </c>
      <c r="AF1105">
        <v>174.62779348000001</v>
      </c>
      <c r="AG1105" s="175">
        <v>25</v>
      </c>
      <c r="AH1105" s="175">
        <v>15</v>
      </c>
      <c r="AI1105" s="175">
        <v>2</v>
      </c>
      <c r="AJ1105" s="175">
        <v>2</v>
      </c>
      <c r="AK1105" s="175">
        <v>3</v>
      </c>
      <c r="AL1105" s="175">
        <v>2</v>
      </c>
      <c r="AM1105" s="175">
        <v>2</v>
      </c>
      <c r="AN1105" s="175">
        <v>0</v>
      </c>
      <c r="AO1105" s="175">
        <v>11</v>
      </c>
      <c r="AP1105" s="175">
        <v>11</v>
      </c>
      <c r="AQ1105" s="175">
        <v>2</v>
      </c>
      <c r="AR1105" s="175">
        <v>0</v>
      </c>
      <c r="AS1105" s="175">
        <v>2</v>
      </c>
      <c r="AT1105" s="175">
        <v>0</v>
      </c>
    </row>
    <row r="1106" spans="1:46">
      <c r="A1106">
        <v>22025</v>
      </c>
      <c r="B1106" t="s">
        <v>7214</v>
      </c>
      <c r="C1106" t="s">
        <v>7215</v>
      </c>
      <c r="D1106" t="s">
        <v>6878</v>
      </c>
      <c r="E1106" t="s">
        <v>7216</v>
      </c>
      <c r="F1106" t="s">
        <v>1102</v>
      </c>
      <c r="G1106" t="s">
        <v>737</v>
      </c>
      <c r="H1106" t="s">
        <v>301</v>
      </c>
      <c r="J1106" t="s">
        <v>605</v>
      </c>
      <c r="K1106" t="s">
        <v>606</v>
      </c>
      <c r="M1106" t="s">
        <v>607</v>
      </c>
      <c r="N1106" t="s">
        <v>657</v>
      </c>
      <c r="O1106" t="s">
        <v>942</v>
      </c>
      <c r="P1106" t="s">
        <v>739</v>
      </c>
      <c r="Q1106" t="s">
        <v>467</v>
      </c>
      <c r="R1106" t="s">
        <v>793</v>
      </c>
      <c r="S1106" t="s">
        <v>998</v>
      </c>
      <c r="T1106" t="s">
        <v>794</v>
      </c>
      <c r="U1106">
        <v>139900</v>
      </c>
      <c r="V1106" t="s">
        <v>6051</v>
      </c>
      <c r="W1106" t="s">
        <v>945</v>
      </c>
      <c r="X1106" t="s">
        <v>6881</v>
      </c>
      <c r="Y1106" t="s">
        <v>5253</v>
      </c>
      <c r="AA1106" t="s">
        <v>5254</v>
      </c>
      <c r="AB1106" t="s">
        <v>6882</v>
      </c>
      <c r="AE1106">
        <v>-36.893740680000001</v>
      </c>
      <c r="AF1106">
        <v>174.7552652</v>
      </c>
      <c r="AG1106" s="175">
        <v>30</v>
      </c>
      <c r="AH1106" s="175">
        <v>15</v>
      </c>
      <c r="AI1106" s="175">
        <v>15</v>
      </c>
      <c r="AJ1106" s="175">
        <v>3</v>
      </c>
      <c r="AK1106" s="175">
        <v>9</v>
      </c>
      <c r="AL1106" s="175">
        <v>4</v>
      </c>
      <c r="AM1106" s="175">
        <v>6</v>
      </c>
      <c r="AN1106" s="175">
        <v>1</v>
      </c>
      <c r="AO1106" s="175">
        <v>38</v>
      </c>
      <c r="AP1106" s="175">
        <v>27</v>
      </c>
      <c r="AQ1106" s="175">
        <v>1</v>
      </c>
      <c r="AR1106" s="175">
        <v>1</v>
      </c>
      <c r="AS1106" s="175">
        <v>15</v>
      </c>
      <c r="AT1106" s="175">
        <v>6</v>
      </c>
    </row>
    <row r="1107" spans="1:46">
      <c r="A1107">
        <v>22026</v>
      </c>
      <c r="B1107" t="s">
        <v>7217</v>
      </c>
      <c r="C1107" t="s">
        <v>7218</v>
      </c>
      <c r="D1107" t="s">
        <v>6878</v>
      </c>
      <c r="E1107" t="s">
        <v>7219</v>
      </c>
      <c r="F1107" t="s">
        <v>7220</v>
      </c>
      <c r="G1107" t="s">
        <v>737</v>
      </c>
      <c r="H1107" t="s">
        <v>301</v>
      </c>
      <c r="J1107" t="s">
        <v>605</v>
      </c>
      <c r="K1107" t="s">
        <v>606</v>
      </c>
      <c r="M1107" t="s">
        <v>607</v>
      </c>
      <c r="N1107" t="s">
        <v>657</v>
      </c>
      <c r="O1107" t="s">
        <v>942</v>
      </c>
      <c r="P1107" t="s">
        <v>739</v>
      </c>
      <c r="Q1107" t="s">
        <v>467</v>
      </c>
      <c r="R1107" t="s">
        <v>793</v>
      </c>
      <c r="S1107" t="s">
        <v>943</v>
      </c>
      <c r="T1107" t="s">
        <v>794</v>
      </c>
      <c r="U1107">
        <v>134400</v>
      </c>
      <c r="V1107" t="s">
        <v>7221</v>
      </c>
      <c r="W1107" t="s">
        <v>945</v>
      </c>
      <c r="X1107" t="s">
        <v>6881</v>
      </c>
      <c r="Y1107" t="s">
        <v>5253</v>
      </c>
      <c r="AA1107" t="s">
        <v>5254</v>
      </c>
      <c r="AB1107" t="s">
        <v>6882</v>
      </c>
      <c r="AE1107">
        <v>-36.872634429999998</v>
      </c>
      <c r="AF1107">
        <v>174.73721183999999</v>
      </c>
      <c r="AG1107" s="175">
        <v>29</v>
      </c>
      <c r="AH1107" s="175">
        <v>15</v>
      </c>
      <c r="AI1107" s="175">
        <v>17</v>
      </c>
      <c r="AJ1107" s="175">
        <v>8</v>
      </c>
      <c r="AK1107" s="175">
        <v>4</v>
      </c>
      <c r="AL1107" s="175">
        <v>5</v>
      </c>
      <c r="AM1107" s="175">
        <v>1</v>
      </c>
      <c r="AN1107" s="175">
        <v>1</v>
      </c>
      <c r="AO1107" s="175">
        <v>36</v>
      </c>
      <c r="AP1107" s="175">
        <v>32</v>
      </c>
      <c r="AQ1107" s="175">
        <v>2</v>
      </c>
      <c r="AR1107" s="175">
        <v>0</v>
      </c>
      <c r="AS1107" s="175">
        <v>5</v>
      </c>
      <c r="AT1107" s="175">
        <v>0</v>
      </c>
    </row>
    <row r="1108" spans="1:46">
      <c r="A1108">
        <v>22027</v>
      </c>
      <c r="B1108" t="s">
        <v>7222</v>
      </c>
      <c r="C1108" t="s">
        <v>7223</v>
      </c>
      <c r="D1108" t="s">
        <v>6878</v>
      </c>
      <c r="E1108" t="s">
        <v>7224</v>
      </c>
      <c r="F1108" t="s">
        <v>940</v>
      </c>
      <c r="G1108" t="s">
        <v>737</v>
      </c>
      <c r="H1108" t="s">
        <v>301</v>
      </c>
      <c r="J1108" t="s">
        <v>605</v>
      </c>
      <c r="K1108" t="s">
        <v>606</v>
      </c>
      <c r="M1108" t="s">
        <v>607</v>
      </c>
      <c r="N1108" t="s">
        <v>657</v>
      </c>
      <c r="O1108" t="s">
        <v>942</v>
      </c>
      <c r="P1108" t="s">
        <v>739</v>
      </c>
      <c r="Q1108" t="s">
        <v>467</v>
      </c>
      <c r="R1108" t="s">
        <v>793</v>
      </c>
      <c r="S1108" t="s">
        <v>943</v>
      </c>
      <c r="T1108" t="s">
        <v>794</v>
      </c>
      <c r="U1108">
        <v>131900</v>
      </c>
      <c r="V1108" t="s">
        <v>1220</v>
      </c>
      <c r="W1108" t="s">
        <v>945</v>
      </c>
      <c r="X1108" t="s">
        <v>7159</v>
      </c>
      <c r="Y1108" t="s">
        <v>5253</v>
      </c>
      <c r="AA1108" t="s">
        <v>5254</v>
      </c>
      <c r="AE1108">
        <v>-36.885071430000004</v>
      </c>
      <c r="AF1108">
        <v>174.7045205</v>
      </c>
      <c r="AG1108" s="175">
        <v>30</v>
      </c>
      <c r="AH1108" s="175">
        <v>15</v>
      </c>
      <c r="AI1108" s="175">
        <v>4</v>
      </c>
      <c r="AJ1108" s="175">
        <v>4</v>
      </c>
      <c r="AK1108" s="175">
        <v>6</v>
      </c>
      <c r="AL1108" s="175">
        <v>8</v>
      </c>
      <c r="AM1108" s="175">
        <v>4</v>
      </c>
      <c r="AN1108" s="175">
        <v>0</v>
      </c>
      <c r="AO1108" s="175">
        <v>26</v>
      </c>
      <c r="AP1108" s="175">
        <v>23</v>
      </c>
      <c r="AQ1108" s="175">
        <v>2</v>
      </c>
      <c r="AR1108" s="175">
        <v>0</v>
      </c>
      <c r="AS1108" s="175">
        <v>4</v>
      </c>
      <c r="AT1108" s="175">
        <v>5</v>
      </c>
    </row>
    <row r="1109" spans="1:46">
      <c r="A1109">
        <v>22028</v>
      </c>
      <c r="B1109" t="s">
        <v>7225</v>
      </c>
      <c r="C1109" t="s">
        <v>7226</v>
      </c>
      <c r="D1109" t="s">
        <v>6878</v>
      </c>
      <c r="E1109" t="s">
        <v>7227</v>
      </c>
      <c r="F1109" t="s">
        <v>906</v>
      </c>
      <c r="G1109" t="s">
        <v>737</v>
      </c>
      <c r="H1109" t="s">
        <v>301</v>
      </c>
      <c r="J1109" t="s">
        <v>605</v>
      </c>
      <c r="K1109" t="s">
        <v>606</v>
      </c>
      <c r="M1109" t="s">
        <v>607</v>
      </c>
      <c r="N1109" t="s">
        <v>657</v>
      </c>
      <c r="O1109" t="s">
        <v>889</v>
      </c>
      <c r="P1109" t="s">
        <v>739</v>
      </c>
      <c r="Q1109" t="s">
        <v>467</v>
      </c>
      <c r="R1109" t="s">
        <v>793</v>
      </c>
      <c r="S1109" t="s">
        <v>907</v>
      </c>
      <c r="T1109" t="s">
        <v>794</v>
      </c>
      <c r="U1109">
        <v>139400</v>
      </c>
      <c r="V1109" t="s">
        <v>4464</v>
      </c>
      <c r="W1109" t="s">
        <v>909</v>
      </c>
      <c r="X1109" t="s">
        <v>6881</v>
      </c>
      <c r="Y1109" t="s">
        <v>5253</v>
      </c>
      <c r="AA1109" t="s">
        <v>5254</v>
      </c>
      <c r="AB1109" t="s">
        <v>6882</v>
      </c>
      <c r="AE1109">
        <v>-36.866006470000002</v>
      </c>
      <c r="AF1109">
        <v>174.78977560000001</v>
      </c>
      <c r="AG1109" s="175">
        <v>25</v>
      </c>
      <c r="AH1109" s="175">
        <v>15</v>
      </c>
      <c r="AI1109" s="175">
        <v>11</v>
      </c>
      <c r="AJ1109" s="175">
        <v>6</v>
      </c>
      <c r="AK1109" s="175">
        <v>8</v>
      </c>
      <c r="AL1109" s="175">
        <v>7</v>
      </c>
      <c r="AM1109" s="175">
        <v>10</v>
      </c>
      <c r="AN1109" s="175">
        <v>0</v>
      </c>
      <c r="AO1109" s="175">
        <v>42</v>
      </c>
      <c r="AP1109" s="175">
        <v>28</v>
      </c>
      <c r="AQ1109" s="175">
        <v>0</v>
      </c>
      <c r="AR1109" s="175">
        <v>0</v>
      </c>
      <c r="AS1109" s="175">
        <v>14</v>
      </c>
      <c r="AT1109" s="175">
        <v>8</v>
      </c>
    </row>
    <row r="1110" spans="1:46">
      <c r="A1110">
        <v>22029</v>
      </c>
      <c r="B1110" t="s">
        <v>7228</v>
      </c>
      <c r="C1110" t="s">
        <v>7229</v>
      </c>
      <c r="D1110" t="s">
        <v>6878</v>
      </c>
      <c r="E1110" t="s">
        <v>7230</v>
      </c>
      <c r="F1110" t="s">
        <v>7231</v>
      </c>
      <c r="G1110" t="s">
        <v>737</v>
      </c>
      <c r="H1110" t="s">
        <v>301</v>
      </c>
      <c r="J1110" t="s">
        <v>605</v>
      </c>
      <c r="K1110" t="s">
        <v>606</v>
      </c>
      <c r="M1110" t="s">
        <v>607</v>
      </c>
      <c r="N1110" t="s">
        <v>657</v>
      </c>
      <c r="O1110" t="s">
        <v>803</v>
      </c>
      <c r="P1110" t="s">
        <v>739</v>
      </c>
      <c r="Q1110" t="s">
        <v>467</v>
      </c>
      <c r="R1110" t="s">
        <v>793</v>
      </c>
      <c r="S1110" t="s">
        <v>998</v>
      </c>
      <c r="T1110" t="s">
        <v>794</v>
      </c>
      <c r="U1110">
        <v>138301</v>
      </c>
      <c r="V1110" t="s">
        <v>7071</v>
      </c>
      <c r="W1110" t="s">
        <v>806</v>
      </c>
      <c r="X1110" t="s">
        <v>6881</v>
      </c>
      <c r="Y1110" t="s">
        <v>5253</v>
      </c>
      <c r="AA1110" t="s">
        <v>5254</v>
      </c>
      <c r="AB1110" t="s">
        <v>6882</v>
      </c>
      <c r="AE1110">
        <v>-36.908366219999998</v>
      </c>
      <c r="AF1110">
        <v>174.7113884</v>
      </c>
      <c r="AG1110" s="175">
        <v>30</v>
      </c>
      <c r="AH1110" s="175">
        <v>15</v>
      </c>
      <c r="AI1110" s="175">
        <v>1</v>
      </c>
      <c r="AJ1110" s="175">
        <v>3</v>
      </c>
      <c r="AK1110" s="175">
        <v>7</v>
      </c>
      <c r="AL1110" s="175">
        <v>6</v>
      </c>
      <c r="AM1110" s="175">
        <v>4</v>
      </c>
      <c r="AN1110" s="175">
        <v>1</v>
      </c>
      <c r="AO1110" s="175">
        <v>22</v>
      </c>
      <c r="AP1110" s="175">
        <v>12</v>
      </c>
      <c r="AQ1110" s="175">
        <v>0</v>
      </c>
      <c r="AR1110" s="175">
        <v>0</v>
      </c>
      <c r="AS1110" s="175">
        <v>9</v>
      </c>
      <c r="AT1110" s="175">
        <v>3</v>
      </c>
    </row>
    <row r="1111" spans="1:46">
      <c r="A1111">
        <v>22032</v>
      </c>
      <c r="B1111" t="s">
        <v>7232</v>
      </c>
      <c r="C1111" t="s">
        <v>7233</v>
      </c>
      <c r="D1111" t="s">
        <v>7234</v>
      </c>
      <c r="E1111" t="s">
        <v>7235</v>
      </c>
      <c r="F1111" t="s">
        <v>4813</v>
      </c>
      <c r="G1111" t="s">
        <v>737</v>
      </c>
      <c r="H1111" t="s">
        <v>301</v>
      </c>
      <c r="J1111" t="s">
        <v>605</v>
      </c>
      <c r="K1111" t="s">
        <v>606</v>
      </c>
      <c r="M1111" t="s">
        <v>607</v>
      </c>
      <c r="N1111" t="s">
        <v>657</v>
      </c>
      <c r="O1111" t="s">
        <v>958</v>
      </c>
      <c r="P1111" t="s">
        <v>739</v>
      </c>
      <c r="Q1111" t="s">
        <v>467</v>
      </c>
      <c r="R1111" t="s">
        <v>724</v>
      </c>
      <c r="S1111" t="s">
        <v>855</v>
      </c>
      <c r="T1111" t="s">
        <v>794</v>
      </c>
      <c r="U1111">
        <v>136700</v>
      </c>
      <c r="V1111" t="s">
        <v>7236</v>
      </c>
      <c r="W1111" t="s">
        <v>900</v>
      </c>
      <c r="X1111" t="s">
        <v>7237</v>
      </c>
      <c r="Y1111" t="s">
        <v>5253</v>
      </c>
      <c r="AA1111" t="s">
        <v>5254</v>
      </c>
      <c r="AE1111">
        <v>-36.93930039</v>
      </c>
      <c r="AF1111">
        <v>174.65560823000001</v>
      </c>
      <c r="AG1111" s="175">
        <v>30</v>
      </c>
      <c r="AH1111" s="175">
        <v>15</v>
      </c>
      <c r="AI1111" s="175">
        <v>10</v>
      </c>
      <c r="AJ1111" s="175">
        <v>10</v>
      </c>
      <c r="AK1111" s="175">
        <v>6</v>
      </c>
      <c r="AL1111" s="175">
        <v>7</v>
      </c>
      <c r="AM1111" s="175">
        <v>2</v>
      </c>
      <c r="AN1111" s="175">
        <v>0</v>
      </c>
      <c r="AO1111" s="175">
        <v>35</v>
      </c>
      <c r="AP1111" s="175">
        <v>31</v>
      </c>
      <c r="AQ1111" s="175">
        <v>7</v>
      </c>
      <c r="AR1111" s="175">
        <v>1</v>
      </c>
      <c r="AS1111" s="175">
        <v>5</v>
      </c>
      <c r="AT1111" s="175">
        <v>5</v>
      </c>
    </row>
    <row r="1112" spans="1:46">
      <c r="A1112">
        <v>22033</v>
      </c>
      <c r="B1112" t="s">
        <v>7238</v>
      </c>
      <c r="C1112" t="s">
        <v>7239</v>
      </c>
      <c r="E1112" t="s">
        <v>7240</v>
      </c>
      <c r="F1112" t="s">
        <v>913</v>
      </c>
      <c r="G1112" t="s">
        <v>737</v>
      </c>
      <c r="H1112" t="s">
        <v>301</v>
      </c>
      <c r="J1112" t="s">
        <v>605</v>
      </c>
      <c r="K1112" t="s">
        <v>606</v>
      </c>
      <c r="M1112" t="s">
        <v>607</v>
      </c>
      <c r="N1112" t="s">
        <v>657</v>
      </c>
      <c r="O1112" t="s">
        <v>914</v>
      </c>
      <c r="P1112" t="s">
        <v>739</v>
      </c>
      <c r="Q1112" t="s">
        <v>467</v>
      </c>
      <c r="R1112" t="s">
        <v>793</v>
      </c>
      <c r="S1112" t="s">
        <v>890</v>
      </c>
      <c r="T1112" t="s">
        <v>794</v>
      </c>
      <c r="U1112">
        <v>144101</v>
      </c>
      <c r="V1112" t="s">
        <v>7241</v>
      </c>
      <c r="W1112" t="s">
        <v>892</v>
      </c>
      <c r="X1112" t="s">
        <v>6881</v>
      </c>
      <c r="Y1112" t="s">
        <v>5253</v>
      </c>
      <c r="AA1112" t="s">
        <v>5254</v>
      </c>
      <c r="AB1112" t="s">
        <v>6882</v>
      </c>
      <c r="AC1112">
        <v>99190</v>
      </c>
      <c r="AD1112" t="s">
        <v>916</v>
      </c>
      <c r="AE1112">
        <v>-36.921967629999997</v>
      </c>
      <c r="AF1112">
        <v>174.78094060000001</v>
      </c>
      <c r="AG1112" s="175">
        <v>30</v>
      </c>
      <c r="AH1112" s="175">
        <v>15</v>
      </c>
      <c r="AI1112" s="175">
        <v>24</v>
      </c>
      <c r="AJ1112" s="175">
        <v>5</v>
      </c>
      <c r="AK1112" s="175">
        <v>3</v>
      </c>
      <c r="AL1112" s="175">
        <v>1</v>
      </c>
      <c r="AM1112" s="175">
        <v>5</v>
      </c>
      <c r="AN1112" s="175">
        <v>2</v>
      </c>
      <c r="AO1112" s="175">
        <v>40</v>
      </c>
      <c r="AP1112" s="175">
        <v>36</v>
      </c>
      <c r="AQ1112" s="175">
        <v>3</v>
      </c>
      <c r="AR1112" s="175">
        <v>2</v>
      </c>
      <c r="AS1112" s="175">
        <v>3</v>
      </c>
      <c r="AT1112" s="175">
        <v>3</v>
      </c>
    </row>
    <row r="1113" spans="1:46">
      <c r="A1113">
        <v>22035</v>
      </c>
      <c r="B1113" t="s">
        <v>7242</v>
      </c>
      <c r="C1113" t="s">
        <v>7243</v>
      </c>
      <c r="D1113" t="s">
        <v>7244</v>
      </c>
      <c r="E1113" t="s">
        <v>7245</v>
      </c>
      <c r="F1113" t="s">
        <v>7246</v>
      </c>
      <c r="G1113" t="s">
        <v>7247</v>
      </c>
      <c r="H1113" t="s">
        <v>301</v>
      </c>
      <c r="J1113" t="s">
        <v>605</v>
      </c>
      <c r="K1113" t="s">
        <v>606</v>
      </c>
      <c r="M1113" t="s">
        <v>607</v>
      </c>
      <c r="N1113" t="s">
        <v>643</v>
      </c>
      <c r="O1113" t="s">
        <v>7248</v>
      </c>
      <c r="P1113" t="s">
        <v>658</v>
      </c>
      <c r="Q1113" t="s">
        <v>467</v>
      </c>
      <c r="R1113" t="s">
        <v>793</v>
      </c>
      <c r="S1113" t="s">
        <v>1043</v>
      </c>
      <c r="T1113" t="s">
        <v>613</v>
      </c>
      <c r="U1113">
        <v>111801</v>
      </c>
      <c r="V1113" t="s">
        <v>7249</v>
      </c>
      <c r="W1113" t="s">
        <v>1044</v>
      </c>
      <c r="X1113" t="s">
        <v>7159</v>
      </c>
      <c r="Y1113" t="s">
        <v>5253</v>
      </c>
      <c r="AA1113" t="s">
        <v>5254</v>
      </c>
      <c r="AE1113">
        <v>-36.257966779999997</v>
      </c>
      <c r="AF1113">
        <v>175.47230340999999</v>
      </c>
      <c r="AG1113" s="175">
        <v>30</v>
      </c>
      <c r="AH1113" s="175">
        <v>15</v>
      </c>
      <c r="AI1113" s="175">
        <v>3</v>
      </c>
      <c r="AJ1113" s="175">
        <v>3</v>
      </c>
      <c r="AK1113" s="175">
        <v>3</v>
      </c>
      <c r="AL1113" s="175">
        <v>0</v>
      </c>
      <c r="AM1113" s="175">
        <v>1</v>
      </c>
      <c r="AN1113" s="175">
        <v>0</v>
      </c>
      <c r="AO1113" s="175">
        <v>10</v>
      </c>
      <c r="AP1113" s="175">
        <v>9</v>
      </c>
      <c r="AQ1113" s="175">
        <v>3</v>
      </c>
      <c r="AR1113" s="175">
        <v>3</v>
      </c>
      <c r="AS1113" s="175">
        <v>1</v>
      </c>
      <c r="AT1113" s="175">
        <v>1</v>
      </c>
    </row>
    <row r="1114" spans="1:46">
      <c r="A1114">
        <v>22038</v>
      </c>
      <c r="B1114" t="s">
        <v>7250</v>
      </c>
      <c r="C1114" t="s">
        <v>7251</v>
      </c>
      <c r="D1114" t="s">
        <v>7252</v>
      </c>
      <c r="E1114" t="s">
        <v>7253</v>
      </c>
      <c r="F1114" t="s">
        <v>848</v>
      </c>
      <c r="G1114" t="s">
        <v>737</v>
      </c>
      <c r="H1114" t="s">
        <v>301</v>
      </c>
      <c r="J1114" t="s">
        <v>605</v>
      </c>
      <c r="K1114" t="s">
        <v>606</v>
      </c>
      <c r="M1114" t="s">
        <v>607</v>
      </c>
      <c r="N1114" t="s">
        <v>657</v>
      </c>
      <c r="O1114" t="s">
        <v>823</v>
      </c>
      <c r="P1114" t="s">
        <v>739</v>
      </c>
      <c r="Q1114" t="s">
        <v>467</v>
      </c>
      <c r="R1114" t="s">
        <v>724</v>
      </c>
      <c r="S1114" t="s">
        <v>841</v>
      </c>
      <c r="T1114" t="s">
        <v>613</v>
      </c>
      <c r="U1114">
        <v>126500</v>
      </c>
      <c r="V1114" t="s">
        <v>5865</v>
      </c>
      <c r="W1114" t="s">
        <v>826</v>
      </c>
      <c r="X1114" t="s">
        <v>7159</v>
      </c>
      <c r="Y1114" t="s">
        <v>5253</v>
      </c>
      <c r="AA1114" t="s">
        <v>5254</v>
      </c>
      <c r="AE1114">
        <v>-36.805876859999998</v>
      </c>
      <c r="AF1114">
        <v>174.72430815000001</v>
      </c>
      <c r="AG1114" s="175">
        <v>30</v>
      </c>
      <c r="AH1114" s="175">
        <v>15</v>
      </c>
      <c r="AI1114" s="175">
        <v>3</v>
      </c>
      <c r="AJ1114" s="175">
        <v>7</v>
      </c>
      <c r="AK1114" s="175">
        <v>9</v>
      </c>
      <c r="AL1114" s="175">
        <v>9</v>
      </c>
      <c r="AM1114" s="175">
        <v>12</v>
      </c>
      <c r="AN1114" s="175">
        <v>1</v>
      </c>
      <c r="AO1114" s="175">
        <v>41</v>
      </c>
      <c r="AP1114" s="175">
        <v>41</v>
      </c>
      <c r="AQ1114" s="175">
        <v>2</v>
      </c>
      <c r="AR1114" s="175">
        <v>1</v>
      </c>
      <c r="AS1114" s="175">
        <v>3</v>
      </c>
      <c r="AT1114" s="175">
        <v>2</v>
      </c>
    </row>
    <row r="1115" spans="1:46">
      <c r="A1115">
        <v>22039</v>
      </c>
      <c r="B1115" t="s">
        <v>7254</v>
      </c>
      <c r="C1115" t="s">
        <v>7255</v>
      </c>
      <c r="D1115" t="s">
        <v>7156</v>
      </c>
      <c r="E1115" t="s">
        <v>7256</v>
      </c>
      <c r="G1115" t="s">
        <v>7257</v>
      </c>
      <c r="H1115" t="s">
        <v>301</v>
      </c>
      <c r="J1115" t="s">
        <v>605</v>
      </c>
      <c r="K1115" t="s">
        <v>606</v>
      </c>
      <c r="M1115" t="s">
        <v>607</v>
      </c>
      <c r="N1115" t="s">
        <v>657</v>
      </c>
      <c r="O1115" t="s">
        <v>723</v>
      </c>
      <c r="P1115" t="s">
        <v>658</v>
      </c>
      <c r="Q1115" t="s">
        <v>467</v>
      </c>
      <c r="R1115" t="s">
        <v>724</v>
      </c>
      <c r="S1115" t="s">
        <v>753</v>
      </c>
      <c r="T1115" t="s">
        <v>613</v>
      </c>
      <c r="U1115">
        <v>115501</v>
      </c>
      <c r="V1115" t="s">
        <v>7257</v>
      </c>
      <c r="W1115" t="s">
        <v>726</v>
      </c>
      <c r="X1115" t="s">
        <v>7159</v>
      </c>
      <c r="Y1115" t="s">
        <v>5253</v>
      </c>
      <c r="AA1115" t="s">
        <v>5254</v>
      </c>
      <c r="AE1115">
        <v>-36.717030280000003</v>
      </c>
      <c r="AF1115">
        <v>174.64388357999999</v>
      </c>
      <c r="AG1115" s="175">
        <v>30</v>
      </c>
      <c r="AH1115" s="175">
        <v>20</v>
      </c>
      <c r="AI1115" s="175">
        <v>16</v>
      </c>
      <c r="AJ1115" s="175">
        <v>4</v>
      </c>
      <c r="AK1115" s="175">
        <v>7</v>
      </c>
      <c r="AL1115" s="175">
        <v>6</v>
      </c>
      <c r="AM1115" s="175">
        <v>6</v>
      </c>
      <c r="AN1115" s="175">
        <v>0</v>
      </c>
      <c r="AO1115" s="175">
        <v>39</v>
      </c>
      <c r="AP1115" s="175">
        <v>32</v>
      </c>
      <c r="AQ1115" s="175">
        <v>3</v>
      </c>
      <c r="AR1115" s="175">
        <v>0</v>
      </c>
      <c r="AS1115" s="175">
        <v>4</v>
      </c>
      <c r="AT1115" s="175">
        <v>3</v>
      </c>
    </row>
    <row r="1116" spans="1:46">
      <c r="A1116">
        <v>22041</v>
      </c>
      <c r="B1116" t="s">
        <v>7258</v>
      </c>
      <c r="C1116" t="s">
        <v>7259</v>
      </c>
      <c r="D1116" t="s">
        <v>7165</v>
      </c>
      <c r="E1116" t="s">
        <v>7260</v>
      </c>
      <c r="F1116" t="s">
        <v>3973</v>
      </c>
      <c r="G1116" t="s">
        <v>737</v>
      </c>
      <c r="H1116" t="s">
        <v>301</v>
      </c>
      <c r="J1116" t="s">
        <v>605</v>
      </c>
      <c r="K1116" t="s">
        <v>606</v>
      </c>
      <c r="M1116" t="s">
        <v>607</v>
      </c>
      <c r="N1116" t="s">
        <v>657</v>
      </c>
      <c r="O1116" t="s">
        <v>1253</v>
      </c>
      <c r="P1116" t="s">
        <v>739</v>
      </c>
      <c r="Q1116" t="s">
        <v>467</v>
      </c>
      <c r="R1116" t="s">
        <v>724</v>
      </c>
      <c r="S1116" t="s">
        <v>824</v>
      </c>
      <c r="T1116" t="s">
        <v>613</v>
      </c>
      <c r="U1116">
        <v>118900</v>
      </c>
      <c r="V1116" t="s">
        <v>3974</v>
      </c>
      <c r="W1116" t="s">
        <v>742</v>
      </c>
      <c r="X1116" t="s">
        <v>7159</v>
      </c>
      <c r="Y1116" t="s">
        <v>5253</v>
      </c>
      <c r="AA1116" t="s">
        <v>5254</v>
      </c>
      <c r="AE1116">
        <v>-36.774942160000002</v>
      </c>
      <c r="AF1116">
        <v>174.67252811</v>
      </c>
      <c r="AG1116" s="175">
        <v>30</v>
      </c>
      <c r="AH1116" s="175">
        <v>15</v>
      </c>
      <c r="AI1116" s="175">
        <v>16</v>
      </c>
      <c r="AJ1116" s="175">
        <v>8</v>
      </c>
      <c r="AK1116" s="175">
        <v>9</v>
      </c>
      <c r="AL1116" s="175">
        <v>7</v>
      </c>
      <c r="AM1116" s="175">
        <v>4</v>
      </c>
      <c r="AN1116" s="175">
        <v>0</v>
      </c>
      <c r="AO1116" s="175">
        <v>44</v>
      </c>
      <c r="AP1116" s="175">
        <v>38</v>
      </c>
      <c r="AQ1116" s="175">
        <v>4</v>
      </c>
      <c r="AR1116" s="175">
        <v>0</v>
      </c>
      <c r="AS1116" s="175">
        <v>5</v>
      </c>
      <c r="AT1116" s="175">
        <v>0</v>
      </c>
    </row>
    <row r="1117" spans="1:46">
      <c r="A1117">
        <v>22042</v>
      </c>
      <c r="B1117" t="s">
        <v>7261</v>
      </c>
      <c r="C1117" t="s">
        <v>7262</v>
      </c>
      <c r="D1117" t="s">
        <v>7165</v>
      </c>
      <c r="E1117" t="s">
        <v>7263</v>
      </c>
      <c r="G1117" t="s">
        <v>4264</v>
      </c>
      <c r="H1117" t="s">
        <v>301</v>
      </c>
      <c r="J1117" t="s">
        <v>605</v>
      </c>
      <c r="K1117" t="s">
        <v>606</v>
      </c>
      <c r="M1117" t="s">
        <v>607</v>
      </c>
      <c r="N1117" t="s">
        <v>657</v>
      </c>
      <c r="O1117" t="s">
        <v>723</v>
      </c>
      <c r="P1117" t="s">
        <v>626</v>
      </c>
      <c r="Q1117" t="s">
        <v>467</v>
      </c>
      <c r="R1117" t="s">
        <v>724</v>
      </c>
      <c r="S1117" t="s">
        <v>725</v>
      </c>
      <c r="T1117" t="s">
        <v>613</v>
      </c>
      <c r="U1117">
        <v>111601</v>
      </c>
      <c r="V1117" t="s">
        <v>4264</v>
      </c>
      <c r="W1117" t="s">
        <v>726</v>
      </c>
      <c r="X1117" t="s">
        <v>7159</v>
      </c>
      <c r="Y1117" t="s">
        <v>5253</v>
      </c>
      <c r="AA1117" t="s">
        <v>5254</v>
      </c>
      <c r="AE1117">
        <v>-36.632578129999999</v>
      </c>
      <c r="AF1117">
        <v>174.50002083999999</v>
      </c>
      <c r="AG1117" s="175">
        <v>29</v>
      </c>
      <c r="AH1117" s="175">
        <v>15</v>
      </c>
      <c r="AI1117" s="175">
        <v>4</v>
      </c>
      <c r="AJ1117" s="175">
        <v>3</v>
      </c>
      <c r="AK1117" s="175">
        <v>2</v>
      </c>
      <c r="AL1117" s="175">
        <v>3</v>
      </c>
      <c r="AM1117" s="175">
        <v>4</v>
      </c>
      <c r="AN1117" s="175">
        <v>0</v>
      </c>
      <c r="AO1117" s="175">
        <v>16</v>
      </c>
      <c r="AP1117" s="175">
        <v>16</v>
      </c>
      <c r="AQ1117" s="175">
        <v>0</v>
      </c>
      <c r="AR1117" s="175">
        <v>0</v>
      </c>
      <c r="AS1117" s="175">
        <v>0</v>
      </c>
      <c r="AT1117" s="175">
        <v>0</v>
      </c>
    </row>
    <row r="1118" spans="1:46">
      <c r="A1118">
        <v>22043</v>
      </c>
      <c r="B1118" t="s">
        <v>7264</v>
      </c>
      <c r="C1118" t="s">
        <v>7265</v>
      </c>
      <c r="D1118" t="s">
        <v>7165</v>
      </c>
      <c r="E1118" t="s">
        <v>7266</v>
      </c>
      <c r="F1118" t="s">
        <v>766</v>
      </c>
      <c r="G1118" t="s">
        <v>737</v>
      </c>
      <c r="H1118" t="s">
        <v>301</v>
      </c>
      <c r="J1118" t="s">
        <v>605</v>
      </c>
      <c r="K1118" t="s">
        <v>606</v>
      </c>
      <c r="M1118" t="s">
        <v>607</v>
      </c>
      <c r="N1118" t="s">
        <v>657</v>
      </c>
      <c r="O1118" t="s">
        <v>738</v>
      </c>
      <c r="P1118" t="s">
        <v>739</v>
      </c>
      <c r="Q1118" t="s">
        <v>467</v>
      </c>
      <c r="R1118" t="s">
        <v>724</v>
      </c>
      <c r="S1118" t="s">
        <v>767</v>
      </c>
      <c r="T1118" t="s">
        <v>613</v>
      </c>
      <c r="U1118">
        <v>122200</v>
      </c>
      <c r="V1118" t="s">
        <v>6103</v>
      </c>
      <c r="W1118" t="s">
        <v>742</v>
      </c>
      <c r="X1118" t="s">
        <v>7159</v>
      </c>
      <c r="Y1118" t="s">
        <v>5253</v>
      </c>
      <c r="AA1118" t="s">
        <v>5254</v>
      </c>
      <c r="AE1118">
        <v>-36.746454980000003</v>
      </c>
      <c r="AF1118">
        <v>174.75183029999999</v>
      </c>
      <c r="AG1118" s="175">
        <v>30</v>
      </c>
      <c r="AH1118" s="175">
        <v>15</v>
      </c>
      <c r="AI1118" s="175">
        <v>12</v>
      </c>
      <c r="AJ1118" s="175">
        <v>4</v>
      </c>
      <c r="AK1118" s="175">
        <v>13</v>
      </c>
      <c r="AL1118" s="175">
        <v>7</v>
      </c>
      <c r="AM1118" s="175">
        <v>5</v>
      </c>
      <c r="AN1118" s="175">
        <v>0</v>
      </c>
      <c r="AO1118" s="175">
        <v>41</v>
      </c>
      <c r="AP1118" s="175">
        <v>28</v>
      </c>
      <c r="AQ1118" s="175">
        <v>2</v>
      </c>
      <c r="AR1118" s="175">
        <v>2</v>
      </c>
      <c r="AS1118" s="175">
        <v>15</v>
      </c>
      <c r="AT1118" s="175">
        <v>3</v>
      </c>
    </row>
    <row r="1119" spans="1:46">
      <c r="A1119">
        <v>22044</v>
      </c>
      <c r="B1119" t="s">
        <v>7267</v>
      </c>
      <c r="C1119" t="s">
        <v>7268</v>
      </c>
      <c r="D1119" t="s">
        <v>7165</v>
      </c>
      <c r="E1119" t="s">
        <v>7269</v>
      </c>
      <c r="G1119" t="s">
        <v>5985</v>
      </c>
      <c r="H1119" t="s">
        <v>301</v>
      </c>
      <c r="J1119" t="s">
        <v>605</v>
      </c>
      <c r="K1119" t="s">
        <v>606</v>
      </c>
      <c r="M1119" t="s">
        <v>607</v>
      </c>
      <c r="N1119" t="s">
        <v>657</v>
      </c>
      <c r="O1119" t="s">
        <v>723</v>
      </c>
      <c r="P1119" t="s">
        <v>626</v>
      </c>
      <c r="Q1119" t="s">
        <v>467</v>
      </c>
      <c r="R1119" t="s">
        <v>724</v>
      </c>
      <c r="S1119" t="s">
        <v>725</v>
      </c>
      <c r="T1119" t="s">
        <v>613</v>
      </c>
      <c r="U1119">
        <v>110900</v>
      </c>
      <c r="V1119" t="s">
        <v>5000</v>
      </c>
      <c r="W1119" t="s">
        <v>726</v>
      </c>
      <c r="X1119" t="s">
        <v>7159</v>
      </c>
      <c r="Y1119" t="s">
        <v>5253</v>
      </c>
      <c r="AA1119" t="s">
        <v>5254</v>
      </c>
      <c r="AE1119">
        <v>-36.351992869999997</v>
      </c>
      <c r="AF1119">
        <v>174.71641704000001</v>
      </c>
      <c r="AG1119" s="175">
        <v>30</v>
      </c>
      <c r="AH1119" s="175">
        <v>15</v>
      </c>
      <c r="AI1119" s="175">
        <v>0</v>
      </c>
      <c r="AJ1119" s="175">
        <v>2</v>
      </c>
      <c r="AK1119" s="175">
        <v>4</v>
      </c>
      <c r="AL1119" s="175">
        <v>1</v>
      </c>
      <c r="AM1119" s="175">
        <v>2</v>
      </c>
      <c r="AN1119" s="175">
        <v>0</v>
      </c>
      <c r="AO1119" s="175">
        <v>9</v>
      </c>
      <c r="AP1119" s="175">
        <v>8</v>
      </c>
      <c r="AQ1119" s="175">
        <v>3</v>
      </c>
      <c r="AR1119" s="175">
        <v>1</v>
      </c>
      <c r="AS1119" s="175">
        <v>0</v>
      </c>
      <c r="AT1119" s="175">
        <v>0</v>
      </c>
    </row>
    <row r="1120" spans="1:46">
      <c r="A1120">
        <v>22045</v>
      </c>
      <c r="B1120" t="s">
        <v>7270</v>
      </c>
      <c r="C1120" t="s">
        <v>7271</v>
      </c>
      <c r="D1120" t="s">
        <v>7272</v>
      </c>
      <c r="E1120" t="s">
        <v>7273</v>
      </c>
      <c r="F1120" t="s">
        <v>921</v>
      </c>
      <c r="G1120" t="s">
        <v>737</v>
      </c>
      <c r="H1120" t="s">
        <v>301</v>
      </c>
      <c r="J1120" t="s">
        <v>605</v>
      </c>
      <c r="K1120" t="s">
        <v>606</v>
      </c>
      <c r="M1120" t="s">
        <v>607</v>
      </c>
      <c r="N1120" t="s">
        <v>657</v>
      </c>
      <c r="O1120" t="s">
        <v>833</v>
      </c>
      <c r="P1120" t="s">
        <v>739</v>
      </c>
      <c r="Q1120" t="s">
        <v>467</v>
      </c>
      <c r="R1120" t="s">
        <v>724</v>
      </c>
      <c r="S1120" t="s">
        <v>767</v>
      </c>
      <c r="T1120" t="s">
        <v>613</v>
      </c>
      <c r="U1120">
        <v>130700</v>
      </c>
      <c r="V1120" t="s">
        <v>5753</v>
      </c>
      <c r="W1120" t="s">
        <v>826</v>
      </c>
      <c r="X1120" t="s">
        <v>7159</v>
      </c>
      <c r="Y1120" t="s">
        <v>5253</v>
      </c>
      <c r="AA1120" t="s">
        <v>5254</v>
      </c>
      <c r="AC1120">
        <v>99048</v>
      </c>
      <c r="AD1120" t="s">
        <v>835</v>
      </c>
      <c r="AE1120">
        <v>-36.814315389999997</v>
      </c>
      <c r="AF1120">
        <v>174.79898519</v>
      </c>
      <c r="AG1120" s="175">
        <v>30</v>
      </c>
      <c r="AH1120" s="175">
        <v>15</v>
      </c>
      <c r="AI1120" s="175">
        <v>13</v>
      </c>
      <c r="AJ1120" s="175">
        <v>7</v>
      </c>
      <c r="AK1120" s="175">
        <v>3</v>
      </c>
      <c r="AL1120" s="175">
        <v>7</v>
      </c>
      <c r="AM1120" s="175">
        <v>4</v>
      </c>
      <c r="AN1120" s="175">
        <v>0</v>
      </c>
      <c r="AO1120" s="175">
        <v>34</v>
      </c>
      <c r="AP1120" s="175">
        <v>34</v>
      </c>
      <c r="AQ1120" s="175">
        <v>2</v>
      </c>
      <c r="AR1120" s="175">
        <v>1</v>
      </c>
      <c r="AS1120" s="175">
        <v>4</v>
      </c>
      <c r="AT1120" s="175">
        <v>0</v>
      </c>
    </row>
    <row r="1121" spans="1:46">
      <c r="A1121">
        <v>22047</v>
      </c>
      <c r="B1121" t="s">
        <v>7274</v>
      </c>
      <c r="C1121" t="s">
        <v>7275</v>
      </c>
      <c r="D1121" t="s">
        <v>7276</v>
      </c>
      <c r="E1121" t="s">
        <v>7277</v>
      </c>
      <c r="F1121" t="s">
        <v>841</v>
      </c>
      <c r="G1121" t="s">
        <v>737</v>
      </c>
      <c r="H1121" t="s">
        <v>301</v>
      </c>
      <c r="J1121" t="s">
        <v>605</v>
      </c>
      <c r="K1121" t="s">
        <v>606</v>
      </c>
      <c r="M1121" t="s">
        <v>607</v>
      </c>
      <c r="N1121" t="s">
        <v>657</v>
      </c>
      <c r="O1121" t="s">
        <v>823</v>
      </c>
      <c r="P1121" t="s">
        <v>739</v>
      </c>
      <c r="Q1121" t="s">
        <v>467</v>
      </c>
      <c r="R1121" t="s">
        <v>724</v>
      </c>
      <c r="S1121" t="s">
        <v>841</v>
      </c>
      <c r="T1121" t="s">
        <v>613</v>
      </c>
      <c r="U1121">
        <v>125600</v>
      </c>
      <c r="V1121" t="s">
        <v>6484</v>
      </c>
      <c r="W1121" t="s">
        <v>826</v>
      </c>
      <c r="X1121" t="s">
        <v>7159</v>
      </c>
      <c r="Y1121" t="s">
        <v>5253</v>
      </c>
      <c r="AA1121" t="s">
        <v>5254</v>
      </c>
      <c r="AE1121">
        <v>-36.791329849999997</v>
      </c>
      <c r="AF1121">
        <v>174.74173865</v>
      </c>
      <c r="AG1121" s="175">
        <v>28</v>
      </c>
      <c r="AH1121" s="175">
        <v>20</v>
      </c>
      <c r="AI1121" s="175">
        <v>26</v>
      </c>
      <c r="AJ1121" s="175">
        <v>5</v>
      </c>
      <c r="AK1121" s="175">
        <v>3</v>
      </c>
      <c r="AL1121" s="175">
        <v>3</v>
      </c>
      <c r="AM1121" s="175">
        <v>3</v>
      </c>
      <c r="AN1121" s="175">
        <v>1</v>
      </c>
      <c r="AO1121" s="175">
        <v>41</v>
      </c>
      <c r="AP1121" s="175">
        <v>35</v>
      </c>
      <c r="AQ1121" s="175">
        <v>7</v>
      </c>
      <c r="AR1121" s="175">
        <v>2</v>
      </c>
      <c r="AS1121" s="175">
        <v>8</v>
      </c>
      <c r="AT1121" s="175">
        <v>1</v>
      </c>
    </row>
    <row r="1122" spans="1:46">
      <c r="A1122">
        <v>22048</v>
      </c>
      <c r="B1122" t="s">
        <v>7278</v>
      </c>
      <c r="C1122" t="s">
        <v>7279</v>
      </c>
      <c r="D1122" t="s">
        <v>7280</v>
      </c>
      <c r="E1122" t="s">
        <v>7281</v>
      </c>
      <c r="G1122" t="s">
        <v>4201</v>
      </c>
      <c r="H1122" t="s">
        <v>301</v>
      </c>
      <c r="J1122" t="s">
        <v>605</v>
      </c>
      <c r="K1122" t="s">
        <v>606</v>
      </c>
      <c r="M1122" t="s">
        <v>607</v>
      </c>
      <c r="N1122" t="s">
        <v>657</v>
      </c>
      <c r="O1122" t="s">
        <v>738</v>
      </c>
      <c r="P1122" t="s">
        <v>670</v>
      </c>
      <c r="Q1122" t="s">
        <v>467</v>
      </c>
      <c r="R1122" t="s">
        <v>724</v>
      </c>
      <c r="S1122" t="s">
        <v>753</v>
      </c>
      <c r="T1122" t="s">
        <v>613</v>
      </c>
      <c r="U1122">
        <v>114000</v>
      </c>
      <c r="V1122" t="s">
        <v>4202</v>
      </c>
      <c r="W1122" t="s">
        <v>742</v>
      </c>
      <c r="X1122" t="s">
        <v>7159</v>
      </c>
      <c r="Y1122" t="s">
        <v>5253</v>
      </c>
      <c r="AA1122" t="s">
        <v>5254</v>
      </c>
      <c r="AE1122">
        <v>-36.605431439999997</v>
      </c>
      <c r="AF1122">
        <v>174.70137546000001</v>
      </c>
      <c r="AG1122" s="175">
        <v>30</v>
      </c>
      <c r="AH1122" s="175">
        <v>15</v>
      </c>
      <c r="AI1122" s="175">
        <v>12</v>
      </c>
      <c r="AJ1122" s="175">
        <v>13</v>
      </c>
      <c r="AK1122" s="175">
        <v>11</v>
      </c>
      <c r="AL1122" s="175">
        <v>9</v>
      </c>
      <c r="AM1122" s="175">
        <v>4</v>
      </c>
      <c r="AN1122" s="175">
        <v>1</v>
      </c>
      <c r="AO1122" s="175">
        <v>50</v>
      </c>
      <c r="AP1122" s="175">
        <v>42</v>
      </c>
      <c r="AQ1122" s="175">
        <v>6</v>
      </c>
      <c r="AR1122" s="175">
        <v>2</v>
      </c>
      <c r="AS1122" s="175">
        <v>7</v>
      </c>
      <c r="AT1122" s="175">
        <v>3</v>
      </c>
    </row>
    <row r="1123" spans="1:46">
      <c r="A1123">
        <v>22050</v>
      </c>
      <c r="B1123" t="s">
        <v>7282</v>
      </c>
      <c r="C1123" t="s">
        <v>7283</v>
      </c>
      <c r="D1123" t="s">
        <v>7165</v>
      </c>
      <c r="E1123" t="s">
        <v>7284</v>
      </c>
      <c r="G1123" t="s">
        <v>4576</v>
      </c>
      <c r="H1123" t="s">
        <v>301</v>
      </c>
      <c r="J1123" t="s">
        <v>605</v>
      </c>
      <c r="K1123" t="s">
        <v>606</v>
      </c>
      <c r="M1123" t="s">
        <v>607</v>
      </c>
      <c r="N1123" t="s">
        <v>657</v>
      </c>
      <c r="O1123" t="s">
        <v>738</v>
      </c>
      <c r="P1123" t="s">
        <v>670</v>
      </c>
      <c r="Q1123" t="s">
        <v>467</v>
      </c>
      <c r="R1123" t="s">
        <v>724</v>
      </c>
      <c r="S1123" t="s">
        <v>753</v>
      </c>
      <c r="T1123" t="s">
        <v>613</v>
      </c>
      <c r="U1123">
        <v>113800</v>
      </c>
      <c r="V1123" t="s">
        <v>7285</v>
      </c>
      <c r="W1123" t="s">
        <v>742</v>
      </c>
      <c r="X1123" t="s">
        <v>7159</v>
      </c>
      <c r="Y1123" t="s">
        <v>5253</v>
      </c>
      <c r="AA1123" t="s">
        <v>5254</v>
      </c>
      <c r="AE1123">
        <v>-36.61594023</v>
      </c>
      <c r="AF1123">
        <v>174.67805440000001</v>
      </c>
      <c r="AG1123" s="175">
        <v>30</v>
      </c>
      <c r="AH1123" s="175">
        <v>15</v>
      </c>
      <c r="AI1123" s="175">
        <v>32</v>
      </c>
      <c r="AJ1123" s="175">
        <v>10</v>
      </c>
      <c r="AK1123" s="175">
        <v>3</v>
      </c>
      <c r="AL1123" s="175">
        <v>4</v>
      </c>
      <c r="AM1123" s="175">
        <v>6</v>
      </c>
      <c r="AN1123" s="175">
        <v>1</v>
      </c>
      <c r="AO1123" s="175">
        <v>56</v>
      </c>
      <c r="AP1123" s="175">
        <v>52</v>
      </c>
      <c r="AQ1123" s="175">
        <v>9</v>
      </c>
      <c r="AR1123" s="175">
        <v>2</v>
      </c>
      <c r="AS1123" s="175">
        <v>4</v>
      </c>
      <c r="AT1123" s="175">
        <v>0</v>
      </c>
    </row>
    <row r="1124" spans="1:46">
      <c r="A1124">
        <v>22051</v>
      </c>
      <c r="B1124" t="s">
        <v>7286</v>
      </c>
      <c r="C1124" t="s">
        <v>7287</v>
      </c>
      <c r="D1124" t="s">
        <v>7288</v>
      </c>
      <c r="E1124" t="s">
        <v>7289</v>
      </c>
      <c r="F1124" t="s">
        <v>1262</v>
      </c>
      <c r="G1124" t="s">
        <v>737</v>
      </c>
      <c r="H1124" t="s">
        <v>301</v>
      </c>
      <c r="J1124" t="s">
        <v>605</v>
      </c>
      <c r="K1124" t="s">
        <v>606</v>
      </c>
      <c r="M1124" t="s">
        <v>607</v>
      </c>
      <c r="N1124" t="s">
        <v>657</v>
      </c>
      <c r="O1124" t="s">
        <v>833</v>
      </c>
      <c r="P1124" t="s">
        <v>739</v>
      </c>
      <c r="Q1124" t="s">
        <v>467</v>
      </c>
      <c r="R1124" t="s">
        <v>724</v>
      </c>
      <c r="S1124" t="s">
        <v>767</v>
      </c>
      <c r="T1124" t="s">
        <v>613</v>
      </c>
      <c r="U1124">
        <v>126601</v>
      </c>
      <c r="V1124" t="s">
        <v>6196</v>
      </c>
      <c r="W1124" t="s">
        <v>826</v>
      </c>
      <c r="X1124" t="s">
        <v>7159</v>
      </c>
      <c r="Y1124" t="s">
        <v>5253</v>
      </c>
      <c r="AA1124" t="s">
        <v>5254</v>
      </c>
      <c r="AE1124">
        <v>-36.789473870000002</v>
      </c>
      <c r="AF1124">
        <v>174.7681493</v>
      </c>
      <c r="AG1124" s="175">
        <v>30</v>
      </c>
      <c r="AH1124" s="175">
        <v>15</v>
      </c>
      <c r="AI1124" s="175">
        <v>24</v>
      </c>
      <c r="AJ1124" s="175">
        <v>4</v>
      </c>
      <c r="AK1124" s="175">
        <v>4</v>
      </c>
      <c r="AL1124" s="175">
        <v>2</v>
      </c>
      <c r="AM1124" s="175">
        <v>0</v>
      </c>
      <c r="AN1124" s="175">
        <v>0</v>
      </c>
      <c r="AO1124" s="175">
        <v>34</v>
      </c>
      <c r="AP1124" s="175">
        <v>25</v>
      </c>
      <c r="AQ1124" s="175">
        <v>3</v>
      </c>
      <c r="AR1124" s="175">
        <v>0</v>
      </c>
      <c r="AS1124" s="175">
        <v>10</v>
      </c>
      <c r="AT1124" s="175">
        <v>2</v>
      </c>
    </row>
    <row r="1125" spans="1:46">
      <c r="A1125">
        <v>22052</v>
      </c>
      <c r="B1125" t="s">
        <v>7290</v>
      </c>
      <c r="C1125" t="s">
        <v>7291</v>
      </c>
      <c r="D1125" t="s">
        <v>7292</v>
      </c>
      <c r="E1125" t="s">
        <v>7293</v>
      </c>
      <c r="F1125" t="s">
        <v>921</v>
      </c>
      <c r="G1125" t="s">
        <v>737</v>
      </c>
      <c r="H1125" t="s">
        <v>301</v>
      </c>
      <c r="J1125" t="s">
        <v>605</v>
      </c>
      <c r="K1125" t="s">
        <v>606</v>
      </c>
      <c r="M1125" t="s">
        <v>607</v>
      </c>
      <c r="N1125" t="s">
        <v>657</v>
      </c>
      <c r="O1125" t="s">
        <v>833</v>
      </c>
      <c r="P1125" t="s">
        <v>739</v>
      </c>
      <c r="Q1125" t="s">
        <v>467</v>
      </c>
      <c r="R1125" t="s">
        <v>724</v>
      </c>
      <c r="S1125" t="s">
        <v>767</v>
      </c>
      <c r="T1125" t="s">
        <v>613</v>
      </c>
      <c r="U1125">
        <v>133000</v>
      </c>
      <c r="V1125" t="s">
        <v>921</v>
      </c>
      <c r="W1125" t="s">
        <v>826</v>
      </c>
      <c r="X1125" t="s">
        <v>7159</v>
      </c>
      <c r="Y1125" t="s">
        <v>5253</v>
      </c>
      <c r="AA1125" t="s">
        <v>5254</v>
      </c>
      <c r="AE1125">
        <v>-36.828433099999998</v>
      </c>
      <c r="AF1125">
        <v>174.79868458000001</v>
      </c>
      <c r="AG1125" s="175">
        <v>29</v>
      </c>
      <c r="AH1125" s="175">
        <v>10</v>
      </c>
      <c r="AI1125" s="175">
        <v>1</v>
      </c>
      <c r="AJ1125" s="175">
        <v>6</v>
      </c>
      <c r="AK1125" s="175">
        <v>7</v>
      </c>
      <c r="AL1125" s="175">
        <v>3</v>
      </c>
      <c r="AM1125" s="175">
        <v>6</v>
      </c>
      <c r="AN1125" s="175">
        <v>0</v>
      </c>
      <c r="AO1125" s="175">
        <v>23</v>
      </c>
      <c r="AP1125" s="175">
        <v>21</v>
      </c>
      <c r="AQ1125" s="175">
        <v>3</v>
      </c>
      <c r="AR1125" s="175">
        <v>0</v>
      </c>
      <c r="AS1125" s="175">
        <v>0</v>
      </c>
      <c r="AT1125" s="175">
        <v>2</v>
      </c>
    </row>
    <row r="1126" spans="1:46">
      <c r="A1126">
        <v>22053</v>
      </c>
      <c r="B1126" t="s">
        <v>7294</v>
      </c>
      <c r="C1126" t="s">
        <v>7295</v>
      </c>
      <c r="D1126" t="s">
        <v>7165</v>
      </c>
      <c r="E1126" t="s">
        <v>7296</v>
      </c>
      <c r="F1126" t="s">
        <v>736</v>
      </c>
      <c r="G1126" t="s">
        <v>737</v>
      </c>
      <c r="H1126" t="s">
        <v>301</v>
      </c>
      <c r="J1126" t="s">
        <v>605</v>
      </c>
      <c r="K1126" t="s">
        <v>606</v>
      </c>
      <c r="M1126" t="s">
        <v>607</v>
      </c>
      <c r="N1126" t="s">
        <v>657</v>
      </c>
      <c r="O1126" t="s">
        <v>738</v>
      </c>
      <c r="P1126" t="s">
        <v>739</v>
      </c>
      <c r="Q1126" t="s">
        <v>467</v>
      </c>
      <c r="R1126" t="s">
        <v>724</v>
      </c>
      <c r="S1126" t="s">
        <v>740</v>
      </c>
      <c r="T1126" t="s">
        <v>613</v>
      </c>
      <c r="U1126">
        <v>117201</v>
      </c>
      <c r="V1126" t="s">
        <v>7297</v>
      </c>
      <c r="W1126" t="s">
        <v>742</v>
      </c>
      <c r="X1126" t="s">
        <v>7159</v>
      </c>
      <c r="Y1126" t="s">
        <v>5253</v>
      </c>
      <c r="AA1126" t="s">
        <v>5254</v>
      </c>
      <c r="AE1126">
        <v>-36.695515839999999</v>
      </c>
      <c r="AF1126">
        <v>174.75036545</v>
      </c>
      <c r="AG1126" s="175">
        <v>29</v>
      </c>
      <c r="AH1126" s="175">
        <v>15</v>
      </c>
      <c r="AI1126" s="175">
        <v>11</v>
      </c>
      <c r="AJ1126" s="175">
        <v>4</v>
      </c>
      <c r="AK1126" s="175">
        <v>10</v>
      </c>
      <c r="AL1126" s="175">
        <v>3</v>
      </c>
      <c r="AM1126" s="175">
        <v>6</v>
      </c>
      <c r="AN1126" s="175">
        <v>4</v>
      </c>
      <c r="AO1126" s="175">
        <v>38</v>
      </c>
      <c r="AP1126" s="175">
        <v>30</v>
      </c>
      <c r="AQ1126" s="175">
        <v>0</v>
      </c>
      <c r="AR1126" s="175">
        <v>1</v>
      </c>
      <c r="AS1126" s="175">
        <v>10</v>
      </c>
      <c r="AT1126" s="175">
        <v>0</v>
      </c>
    </row>
    <row r="1127" spans="1:46">
      <c r="A1127">
        <v>22055</v>
      </c>
      <c r="B1127" t="s">
        <v>7298</v>
      </c>
      <c r="C1127" t="s">
        <v>7299</v>
      </c>
      <c r="D1127" t="s">
        <v>7300</v>
      </c>
      <c r="E1127" t="s">
        <v>7301</v>
      </c>
      <c r="F1127" t="s">
        <v>7302</v>
      </c>
      <c r="G1127" t="s">
        <v>3834</v>
      </c>
      <c r="H1127" t="s">
        <v>301</v>
      </c>
      <c r="J1127" t="s">
        <v>605</v>
      </c>
      <c r="K1127" t="s">
        <v>606</v>
      </c>
      <c r="M1127" t="s">
        <v>607</v>
      </c>
      <c r="N1127" t="s">
        <v>657</v>
      </c>
      <c r="O1127" t="s">
        <v>3835</v>
      </c>
      <c r="P1127" t="s">
        <v>610</v>
      </c>
      <c r="Q1127" t="s">
        <v>467</v>
      </c>
      <c r="R1127" t="s">
        <v>793</v>
      </c>
      <c r="S1127" t="s">
        <v>1043</v>
      </c>
      <c r="T1127" t="s">
        <v>794</v>
      </c>
      <c r="U1127">
        <v>148700</v>
      </c>
      <c r="V1127" t="s">
        <v>7302</v>
      </c>
      <c r="W1127" t="s">
        <v>1044</v>
      </c>
      <c r="X1127" t="s">
        <v>6881</v>
      </c>
      <c r="Y1127" t="s">
        <v>5253</v>
      </c>
      <c r="AA1127" t="s">
        <v>5254</v>
      </c>
      <c r="AB1127" t="s">
        <v>6882</v>
      </c>
      <c r="AC1127">
        <v>99088</v>
      </c>
      <c r="AD1127" t="s">
        <v>3836</v>
      </c>
      <c r="AE1127">
        <v>-36.800511999999998</v>
      </c>
      <c r="AF1127">
        <v>175.04436505999999</v>
      </c>
      <c r="AG1127" s="175">
        <v>30</v>
      </c>
      <c r="AH1127" s="175">
        <v>15</v>
      </c>
      <c r="AI1127" s="175">
        <v>7</v>
      </c>
      <c r="AJ1127" s="175">
        <v>5</v>
      </c>
      <c r="AK1127" s="175">
        <v>9</v>
      </c>
      <c r="AL1127" s="175">
        <v>3</v>
      </c>
      <c r="AM1127" s="175">
        <v>7</v>
      </c>
      <c r="AN1127" s="175">
        <v>0</v>
      </c>
      <c r="AO1127" s="175">
        <v>31</v>
      </c>
      <c r="AP1127" s="175">
        <v>28</v>
      </c>
      <c r="AQ1127" s="175">
        <v>3</v>
      </c>
      <c r="AR1127" s="175">
        <v>1</v>
      </c>
      <c r="AS1127" s="175">
        <v>2</v>
      </c>
      <c r="AT1127" s="175">
        <v>6</v>
      </c>
    </row>
    <row r="1128" spans="1:46">
      <c r="A1128">
        <v>22056</v>
      </c>
      <c r="B1128" t="s">
        <v>7303</v>
      </c>
      <c r="C1128" t="s">
        <v>7304</v>
      </c>
      <c r="D1128" t="s">
        <v>7165</v>
      </c>
      <c r="E1128" t="s">
        <v>7305</v>
      </c>
      <c r="G1128" t="s">
        <v>760</v>
      </c>
      <c r="H1128" t="s">
        <v>301</v>
      </c>
      <c r="J1128" t="s">
        <v>605</v>
      </c>
      <c r="K1128" t="s">
        <v>606</v>
      </c>
      <c r="M1128" t="s">
        <v>607</v>
      </c>
      <c r="N1128" t="s">
        <v>657</v>
      </c>
      <c r="O1128" t="s">
        <v>723</v>
      </c>
      <c r="P1128" t="s">
        <v>610</v>
      </c>
      <c r="Q1128" t="s">
        <v>467</v>
      </c>
      <c r="R1128" t="s">
        <v>724</v>
      </c>
      <c r="S1128" t="s">
        <v>725</v>
      </c>
      <c r="T1128" t="s">
        <v>613</v>
      </c>
      <c r="U1128">
        <v>111300</v>
      </c>
      <c r="V1128" t="s">
        <v>6934</v>
      </c>
      <c r="W1128" t="s">
        <v>726</v>
      </c>
      <c r="X1128" t="s">
        <v>7159</v>
      </c>
      <c r="Y1128" t="s">
        <v>5253</v>
      </c>
      <c r="AA1128" t="s">
        <v>5254</v>
      </c>
      <c r="AE1128">
        <v>-36.401673209999998</v>
      </c>
      <c r="AF1128">
        <v>174.66386348</v>
      </c>
      <c r="AG1128" s="175">
        <v>30</v>
      </c>
      <c r="AH1128" s="175">
        <v>15</v>
      </c>
      <c r="AI1128" s="175">
        <v>12</v>
      </c>
      <c r="AJ1128" s="175">
        <v>4</v>
      </c>
      <c r="AK1128" s="175">
        <v>7</v>
      </c>
      <c r="AL1128" s="175">
        <v>3</v>
      </c>
      <c r="AM1128" s="175">
        <v>2</v>
      </c>
      <c r="AN1128" s="175">
        <v>1</v>
      </c>
      <c r="AO1128" s="175">
        <v>29</v>
      </c>
      <c r="AP1128" s="175">
        <v>26</v>
      </c>
      <c r="AQ1128" s="175">
        <v>2</v>
      </c>
      <c r="AR1128" s="175">
        <v>1</v>
      </c>
      <c r="AS1128" s="175">
        <v>1</v>
      </c>
      <c r="AT1128" s="175">
        <v>1</v>
      </c>
    </row>
    <row r="1129" spans="1:46">
      <c r="A1129">
        <v>22057</v>
      </c>
      <c r="B1129" t="s">
        <v>7306</v>
      </c>
      <c r="C1129" t="s">
        <v>7307</v>
      </c>
      <c r="D1129" t="s">
        <v>7165</v>
      </c>
      <c r="E1129" t="s">
        <v>7308</v>
      </c>
      <c r="G1129" t="s">
        <v>3694</v>
      </c>
      <c r="H1129" t="s">
        <v>301</v>
      </c>
      <c r="J1129" t="s">
        <v>605</v>
      </c>
      <c r="K1129" t="s">
        <v>606</v>
      </c>
      <c r="M1129" t="s">
        <v>607</v>
      </c>
      <c r="N1129" t="s">
        <v>657</v>
      </c>
      <c r="O1129" t="s">
        <v>738</v>
      </c>
      <c r="P1129" t="s">
        <v>670</v>
      </c>
      <c r="Q1129" t="s">
        <v>467</v>
      </c>
      <c r="R1129" t="s">
        <v>724</v>
      </c>
      <c r="S1129" t="s">
        <v>753</v>
      </c>
      <c r="T1129" t="s">
        <v>613</v>
      </c>
      <c r="U1129">
        <v>115200</v>
      </c>
      <c r="V1129" t="s">
        <v>7309</v>
      </c>
      <c r="W1129" t="s">
        <v>742</v>
      </c>
      <c r="X1129" t="s">
        <v>7159</v>
      </c>
      <c r="Y1129" t="s">
        <v>5253</v>
      </c>
      <c r="AA1129" t="s">
        <v>5254</v>
      </c>
      <c r="AE1129">
        <v>-36.63203197</v>
      </c>
      <c r="AF1129">
        <v>174.74910659</v>
      </c>
      <c r="AG1129" s="175">
        <v>30</v>
      </c>
      <c r="AH1129" s="175">
        <v>15</v>
      </c>
      <c r="AI1129" s="175">
        <v>6</v>
      </c>
      <c r="AJ1129" s="175">
        <v>7</v>
      </c>
      <c r="AK1129" s="175">
        <v>10</v>
      </c>
      <c r="AL1129" s="175">
        <v>7</v>
      </c>
      <c r="AM1129" s="175">
        <v>7</v>
      </c>
      <c r="AN1129" s="175">
        <v>1</v>
      </c>
      <c r="AO1129" s="175">
        <v>38</v>
      </c>
      <c r="AP1129" s="175">
        <v>38</v>
      </c>
      <c r="AQ1129" s="175">
        <v>8</v>
      </c>
      <c r="AR1129" s="175">
        <v>0</v>
      </c>
      <c r="AS1129" s="175">
        <v>2</v>
      </c>
      <c r="AT1129" s="175">
        <v>2</v>
      </c>
    </row>
    <row r="1130" spans="1:46">
      <c r="A1130">
        <v>22058</v>
      </c>
      <c r="B1130" t="s">
        <v>7310</v>
      </c>
      <c r="C1130" t="s">
        <v>7311</v>
      </c>
      <c r="D1130" t="s">
        <v>7156</v>
      </c>
      <c r="E1130" t="s">
        <v>7312</v>
      </c>
      <c r="F1130" t="s">
        <v>822</v>
      </c>
      <c r="G1130" t="s">
        <v>737</v>
      </c>
      <c r="H1130" t="s">
        <v>301</v>
      </c>
      <c r="J1130" t="s">
        <v>605</v>
      </c>
      <c r="K1130" t="s">
        <v>606</v>
      </c>
      <c r="M1130" t="s">
        <v>607</v>
      </c>
      <c r="N1130" t="s">
        <v>657</v>
      </c>
      <c r="O1130" t="s">
        <v>823</v>
      </c>
      <c r="P1130" t="s">
        <v>739</v>
      </c>
      <c r="Q1130" t="s">
        <v>467</v>
      </c>
      <c r="R1130" t="s">
        <v>724</v>
      </c>
      <c r="S1130" t="s">
        <v>841</v>
      </c>
      <c r="T1130" t="s">
        <v>613</v>
      </c>
      <c r="U1130">
        <v>123300</v>
      </c>
      <c r="V1130" t="s">
        <v>7313</v>
      </c>
      <c r="W1130" t="s">
        <v>826</v>
      </c>
      <c r="X1130" t="s">
        <v>7159</v>
      </c>
      <c r="Y1130" t="s">
        <v>5253</v>
      </c>
      <c r="AA1130" t="s">
        <v>5254</v>
      </c>
      <c r="AE1130">
        <v>-36.78748942</v>
      </c>
      <c r="AF1130">
        <v>174.71167453999999</v>
      </c>
      <c r="AG1130" s="175">
        <v>30</v>
      </c>
      <c r="AH1130" s="175">
        <v>15</v>
      </c>
      <c r="AI1130" s="175">
        <v>18</v>
      </c>
      <c r="AJ1130" s="175">
        <v>3</v>
      </c>
      <c r="AK1130" s="175">
        <v>8</v>
      </c>
      <c r="AL1130" s="175">
        <v>4</v>
      </c>
      <c r="AM1130" s="175">
        <v>2</v>
      </c>
      <c r="AN1130" s="175">
        <v>2</v>
      </c>
      <c r="AO1130" s="175">
        <v>37</v>
      </c>
      <c r="AP1130" s="175">
        <v>31</v>
      </c>
      <c r="AQ1130" s="175">
        <v>9</v>
      </c>
      <c r="AR1130" s="175">
        <v>4</v>
      </c>
      <c r="AS1130" s="175">
        <v>8</v>
      </c>
      <c r="AT1130" s="175">
        <v>1</v>
      </c>
    </row>
    <row r="1131" spans="1:46">
      <c r="A1131">
        <v>22059</v>
      </c>
      <c r="B1131" t="s">
        <v>7314</v>
      </c>
      <c r="C1131" t="s">
        <v>7315</v>
      </c>
      <c r="E1131" t="s">
        <v>7316</v>
      </c>
      <c r="F1131" t="s">
        <v>888</v>
      </c>
      <c r="G1131" t="s">
        <v>737</v>
      </c>
      <c r="H1131" t="s">
        <v>301</v>
      </c>
      <c r="J1131" t="s">
        <v>605</v>
      </c>
      <c r="K1131" t="s">
        <v>606</v>
      </c>
      <c r="M1131" t="s">
        <v>607</v>
      </c>
      <c r="N1131" t="s">
        <v>657</v>
      </c>
      <c r="O1131" t="s">
        <v>889</v>
      </c>
      <c r="P1131" t="s">
        <v>739</v>
      </c>
      <c r="Q1131" t="s">
        <v>467</v>
      </c>
      <c r="R1131" t="s">
        <v>793</v>
      </c>
      <c r="S1131" t="s">
        <v>890</v>
      </c>
      <c r="T1131" t="s">
        <v>794</v>
      </c>
      <c r="U1131">
        <v>144400</v>
      </c>
      <c r="V1131" t="s">
        <v>891</v>
      </c>
      <c r="W1131" t="s">
        <v>892</v>
      </c>
      <c r="X1131" t="s">
        <v>6881</v>
      </c>
      <c r="Y1131" t="s">
        <v>5253</v>
      </c>
      <c r="AA1131" t="s">
        <v>5254</v>
      </c>
      <c r="AB1131" t="s">
        <v>6882</v>
      </c>
      <c r="AE1131">
        <v>-36.894396229999998</v>
      </c>
      <c r="AF1131">
        <v>174.82093942</v>
      </c>
      <c r="AG1131" s="175">
        <v>25</v>
      </c>
      <c r="AH1131" s="175">
        <v>20</v>
      </c>
      <c r="AI1131" s="175">
        <v>19</v>
      </c>
      <c r="AJ1131" s="175">
        <v>27</v>
      </c>
      <c r="AK1131" s="175">
        <v>13</v>
      </c>
      <c r="AL1131" s="175">
        <v>6</v>
      </c>
      <c r="AM1131" s="175">
        <v>4</v>
      </c>
      <c r="AN1131" s="175">
        <v>0</v>
      </c>
      <c r="AO1131" s="175">
        <v>69</v>
      </c>
      <c r="AP1131" s="175">
        <v>60</v>
      </c>
      <c r="AQ1131" s="175">
        <v>1</v>
      </c>
      <c r="AR1131" s="175">
        <v>1</v>
      </c>
      <c r="AS1131" s="175">
        <v>8</v>
      </c>
      <c r="AT1131" s="175">
        <v>6</v>
      </c>
    </row>
    <row r="1132" spans="1:46">
      <c r="A1132">
        <v>22060</v>
      </c>
      <c r="B1132" t="s">
        <v>7317</v>
      </c>
      <c r="C1132" t="s">
        <v>7208</v>
      </c>
      <c r="D1132" t="s">
        <v>7196</v>
      </c>
      <c r="E1132" t="s">
        <v>7318</v>
      </c>
      <c r="F1132" t="s">
        <v>964</v>
      </c>
      <c r="G1132" t="s">
        <v>737</v>
      </c>
      <c r="H1132" t="s">
        <v>301</v>
      </c>
      <c r="J1132" t="s">
        <v>605</v>
      </c>
      <c r="K1132" t="s">
        <v>606</v>
      </c>
      <c r="M1132" t="s">
        <v>607</v>
      </c>
      <c r="N1132" t="s">
        <v>625</v>
      </c>
      <c r="O1132" t="s">
        <v>914</v>
      </c>
      <c r="P1132" t="s">
        <v>739</v>
      </c>
      <c r="Q1132" t="s">
        <v>467</v>
      </c>
      <c r="R1132" t="s">
        <v>793</v>
      </c>
      <c r="S1132" t="s">
        <v>965</v>
      </c>
      <c r="T1132" t="s">
        <v>794</v>
      </c>
      <c r="U1132">
        <v>145800</v>
      </c>
      <c r="V1132" t="s">
        <v>966</v>
      </c>
      <c r="W1132" t="s">
        <v>892</v>
      </c>
      <c r="X1132" t="s">
        <v>6881</v>
      </c>
      <c r="Y1132" t="s">
        <v>5253</v>
      </c>
      <c r="AA1132" t="s">
        <v>5254</v>
      </c>
      <c r="AB1132" t="s">
        <v>6882</v>
      </c>
      <c r="AE1132">
        <v>-36.877776079999997</v>
      </c>
      <c r="AF1132">
        <v>174.86845335999999</v>
      </c>
      <c r="AG1132" s="175">
        <v>25</v>
      </c>
      <c r="AH1132" s="175">
        <v>15</v>
      </c>
      <c r="AI1132" s="175">
        <v>10</v>
      </c>
      <c r="AJ1132" s="175">
        <v>6</v>
      </c>
      <c r="AK1132" s="175">
        <v>6</v>
      </c>
      <c r="AL1132" s="175">
        <v>3</v>
      </c>
      <c r="AM1132" s="175">
        <v>5</v>
      </c>
      <c r="AN1132" s="175">
        <v>0</v>
      </c>
      <c r="AO1132" s="175">
        <v>30</v>
      </c>
      <c r="AP1132" s="175">
        <v>25</v>
      </c>
      <c r="AQ1132" s="175">
        <v>4</v>
      </c>
      <c r="AR1132" s="175">
        <v>4</v>
      </c>
      <c r="AS1132" s="175">
        <v>7</v>
      </c>
      <c r="AT1132" s="175">
        <v>3</v>
      </c>
    </row>
    <row r="1133" spans="1:46">
      <c r="A1133">
        <v>22061</v>
      </c>
      <c r="B1133" t="s">
        <v>7319</v>
      </c>
      <c r="C1133" t="s">
        <v>7320</v>
      </c>
      <c r="D1133" t="s">
        <v>6878</v>
      </c>
      <c r="E1133" t="s">
        <v>7321</v>
      </c>
      <c r="F1133" t="s">
        <v>1114</v>
      </c>
      <c r="G1133" t="s">
        <v>737</v>
      </c>
      <c r="H1133" t="s">
        <v>301</v>
      </c>
      <c r="J1133" t="s">
        <v>605</v>
      </c>
      <c r="K1133" t="s">
        <v>606</v>
      </c>
      <c r="M1133" t="s">
        <v>607</v>
      </c>
      <c r="N1133" t="s">
        <v>643</v>
      </c>
      <c r="O1133" t="s">
        <v>914</v>
      </c>
      <c r="P1133" t="s">
        <v>739</v>
      </c>
      <c r="Q1133" t="s">
        <v>467</v>
      </c>
      <c r="R1133" t="s">
        <v>793</v>
      </c>
      <c r="S1133" t="s">
        <v>890</v>
      </c>
      <c r="T1133" t="s">
        <v>794</v>
      </c>
      <c r="U1133">
        <v>146201</v>
      </c>
      <c r="V1133" t="s">
        <v>5265</v>
      </c>
      <c r="W1133" t="s">
        <v>892</v>
      </c>
      <c r="X1133" t="s">
        <v>6881</v>
      </c>
      <c r="Y1133" t="s">
        <v>5253</v>
      </c>
      <c r="AA1133" t="s">
        <v>5254</v>
      </c>
      <c r="AB1133" t="s">
        <v>6882</v>
      </c>
      <c r="AE1133">
        <v>-36.90683567</v>
      </c>
      <c r="AF1133">
        <v>174.82942345999999</v>
      </c>
      <c r="AG1133" s="175">
        <v>30</v>
      </c>
      <c r="AH1133" s="175">
        <v>20</v>
      </c>
      <c r="AI1133" s="175">
        <v>25</v>
      </c>
      <c r="AJ1133" s="175">
        <v>8</v>
      </c>
      <c r="AK1133" s="175">
        <v>5</v>
      </c>
      <c r="AL1133" s="175">
        <v>2</v>
      </c>
      <c r="AM1133" s="175">
        <v>4</v>
      </c>
      <c r="AN1133" s="175">
        <v>0</v>
      </c>
      <c r="AO1133" s="175">
        <v>44</v>
      </c>
      <c r="AP1133" s="175">
        <v>37</v>
      </c>
      <c r="AQ1133" s="175">
        <v>3</v>
      </c>
      <c r="AR1133" s="175">
        <v>3</v>
      </c>
      <c r="AS1133" s="175">
        <v>7</v>
      </c>
      <c r="AT1133" s="175">
        <v>1</v>
      </c>
    </row>
    <row r="1134" spans="1:46">
      <c r="A1134">
        <v>25000</v>
      </c>
      <c r="B1134" t="s">
        <v>7322</v>
      </c>
      <c r="C1134" t="s">
        <v>7323</v>
      </c>
      <c r="D1134" t="s">
        <v>7324</v>
      </c>
      <c r="E1134" t="s">
        <v>7325</v>
      </c>
      <c r="F1134" t="s">
        <v>888</v>
      </c>
      <c r="G1134" t="s">
        <v>737</v>
      </c>
      <c r="H1134" t="s">
        <v>449</v>
      </c>
      <c r="J1134" t="s">
        <v>4032</v>
      </c>
      <c r="K1134" t="s">
        <v>606</v>
      </c>
      <c r="M1134" t="s">
        <v>607</v>
      </c>
      <c r="N1134" t="s">
        <v>657</v>
      </c>
      <c r="O1134" t="s">
        <v>914</v>
      </c>
      <c r="P1134" t="s">
        <v>739</v>
      </c>
      <c r="Q1134" t="s">
        <v>467</v>
      </c>
      <c r="R1134" t="s">
        <v>793</v>
      </c>
      <c r="S1134" t="s">
        <v>890</v>
      </c>
      <c r="T1134" t="s">
        <v>794</v>
      </c>
      <c r="U1134">
        <v>144201</v>
      </c>
      <c r="V1134" t="s">
        <v>7326</v>
      </c>
      <c r="W1134" t="s">
        <v>892</v>
      </c>
      <c r="X1134" t="s">
        <v>7327</v>
      </c>
      <c r="Y1134" t="s">
        <v>4725</v>
      </c>
      <c r="Z1134" t="s">
        <v>1043</v>
      </c>
      <c r="AA1134" t="s">
        <v>4726</v>
      </c>
      <c r="AB1134" t="s">
        <v>7328</v>
      </c>
      <c r="AE1134">
        <v>-36.901806809999997</v>
      </c>
      <c r="AF1134">
        <v>174.80688411</v>
      </c>
      <c r="AG1134" s="175">
        <v>50</v>
      </c>
      <c r="AH1134" s="175">
        <v>10</v>
      </c>
      <c r="AI1134" s="175">
        <v>2</v>
      </c>
      <c r="AJ1134" s="175">
        <v>6</v>
      </c>
      <c r="AK1134" s="175">
        <v>5</v>
      </c>
      <c r="AL1134" s="175">
        <v>3</v>
      </c>
      <c r="AM1134" s="175">
        <v>5</v>
      </c>
      <c r="AN1134" s="175">
        <v>0</v>
      </c>
      <c r="AO1134" s="175">
        <v>21</v>
      </c>
      <c r="AP1134" s="175">
        <v>5</v>
      </c>
      <c r="AQ1134" s="175">
        <v>1</v>
      </c>
      <c r="AR1134" s="175">
        <v>4</v>
      </c>
      <c r="AS1134" s="175">
        <v>18</v>
      </c>
      <c r="AT1134" s="175">
        <v>4</v>
      </c>
    </row>
    <row r="1135" spans="1:46">
      <c r="A1135">
        <v>25003</v>
      </c>
      <c r="B1135" t="s">
        <v>7329</v>
      </c>
      <c r="C1135" t="s">
        <v>7330</v>
      </c>
      <c r="D1135" t="s">
        <v>7331</v>
      </c>
      <c r="E1135" t="s">
        <v>7332</v>
      </c>
      <c r="F1135" t="s">
        <v>5084</v>
      </c>
      <c r="G1135" t="s">
        <v>737</v>
      </c>
      <c r="H1135" t="s">
        <v>449</v>
      </c>
      <c r="J1135" t="s">
        <v>4032</v>
      </c>
      <c r="K1135" t="s">
        <v>606</v>
      </c>
      <c r="M1135" t="s">
        <v>607</v>
      </c>
      <c r="N1135" t="s">
        <v>657</v>
      </c>
      <c r="O1135" t="s">
        <v>1353</v>
      </c>
      <c r="P1135" t="s">
        <v>739</v>
      </c>
      <c r="Q1135" t="s">
        <v>467</v>
      </c>
      <c r="R1135" t="s">
        <v>814</v>
      </c>
      <c r="S1135" t="s">
        <v>1319</v>
      </c>
      <c r="T1135" t="s">
        <v>1320</v>
      </c>
      <c r="U1135">
        <v>162500</v>
      </c>
      <c r="V1135" t="s">
        <v>5085</v>
      </c>
      <c r="W1135" t="s">
        <v>1304</v>
      </c>
      <c r="X1135" t="s">
        <v>7333</v>
      </c>
      <c r="Y1135" t="s">
        <v>7334</v>
      </c>
      <c r="Z1135" t="s">
        <v>1319</v>
      </c>
      <c r="AA1135" t="s">
        <v>6084</v>
      </c>
      <c r="AB1135" t="s">
        <v>7335</v>
      </c>
      <c r="AE1135">
        <v>-37.069358979999997</v>
      </c>
      <c r="AF1135">
        <v>174.9264211</v>
      </c>
      <c r="AG1135" s="175">
        <v>140</v>
      </c>
      <c r="AH1135" s="175">
        <v>0</v>
      </c>
      <c r="AI1135" s="175">
        <v>0</v>
      </c>
      <c r="AJ1135" s="175">
        <v>0</v>
      </c>
      <c r="AK1135" s="175">
        <v>26</v>
      </c>
      <c r="AL1135" s="175">
        <v>32</v>
      </c>
      <c r="AM1135" s="175">
        <v>33</v>
      </c>
      <c r="AN1135" s="175">
        <v>0</v>
      </c>
      <c r="AO1135" s="175">
        <v>91</v>
      </c>
      <c r="AP1135" s="175">
        <v>57</v>
      </c>
      <c r="AQ1135" s="175">
        <v>12</v>
      </c>
      <c r="AR1135" s="175">
        <v>5</v>
      </c>
      <c r="AS1135" s="175">
        <v>35</v>
      </c>
      <c r="AT1135" s="175">
        <v>3</v>
      </c>
    </row>
    <row r="1136" spans="1:46">
      <c r="A1136">
        <v>25004</v>
      </c>
      <c r="B1136" t="s">
        <v>7336</v>
      </c>
      <c r="C1136" t="s">
        <v>7337</v>
      </c>
      <c r="D1136" t="s">
        <v>7338</v>
      </c>
      <c r="E1136" t="s">
        <v>7339</v>
      </c>
      <c r="F1136" t="s">
        <v>4271</v>
      </c>
      <c r="G1136" t="s">
        <v>737</v>
      </c>
      <c r="H1136" t="s">
        <v>449</v>
      </c>
      <c r="J1136" t="s">
        <v>4032</v>
      </c>
      <c r="K1136" t="s">
        <v>606</v>
      </c>
      <c r="M1136" t="s">
        <v>607</v>
      </c>
      <c r="N1136" t="s">
        <v>625</v>
      </c>
      <c r="O1136" t="s">
        <v>1301</v>
      </c>
      <c r="P1136" t="s">
        <v>739</v>
      </c>
      <c r="Q1136" t="s">
        <v>467</v>
      </c>
      <c r="R1136" t="s">
        <v>814</v>
      </c>
      <c r="S1136" t="s">
        <v>1121</v>
      </c>
      <c r="T1136" t="s">
        <v>794</v>
      </c>
      <c r="U1136">
        <v>160700</v>
      </c>
      <c r="V1136" t="s">
        <v>7340</v>
      </c>
      <c r="W1136" t="s">
        <v>1304</v>
      </c>
      <c r="X1136" t="s">
        <v>7341</v>
      </c>
      <c r="Y1136" t="s">
        <v>7339</v>
      </c>
      <c r="Z1136" t="s">
        <v>4271</v>
      </c>
      <c r="AA1136" t="s">
        <v>5268</v>
      </c>
      <c r="AC1136">
        <v>99211</v>
      </c>
      <c r="AD1136" t="s">
        <v>7342</v>
      </c>
      <c r="AE1136">
        <v>-37.049569060000003</v>
      </c>
      <c r="AF1136">
        <v>174.85910199</v>
      </c>
      <c r="AG1136" s="175">
        <v>40</v>
      </c>
      <c r="AH1136" s="175">
        <v>10</v>
      </c>
      <c r="AI1136" s="175">
        <v>1</v>
      </c>
      <c r="AJ1136" s="175">
        <v>7</v>
      </c>
      <c r="AK1136" s="175">
        <v>4</v>
      </c>
      <c r="AL1136" s="175">
        <v>6</v>
      </c>
      <c r="AM1136" s="175">
        <v>8</v>
      </c>
      <c r="AN1136" s="175">
        <v>1</v>
      </c>
      <c r="AO1136" s="175">
        <v>27</v>
      </c>
      <c r="AP1136" s="175">
        <v>7</v>
      </c>
      <c r="AQ1136" s="175">
        <v>11</v>
      </c>
      <c r="AR1136" s="175">
        <v>13</v>
      </c>
      <c r="AS1136" s="175">
        <v>10</v>
      </c>
      <c r="AT1136" s="175">
        <v>0</v>
      </c>
    </row>
    <row r="1137" spans="1:46">
      <c r="A1137">
        <v>25005</v>
      </c>
      <c r="B1137" t="s">
        <v>7343</v>
      </c>
      <c r="C1137" t="s">
        <v>7344</v>
      </c>
      <c r="E1137" t="s">
        <v>7345</v>
      </c>
      <c r="F1137" t="s">
        <v>932</v>
      </c>
      <c r="G1137" t="s">
        <v>737</v>
      </c>
      <c r="H1137" t="s">
        <v>449</v>
      </c>
      <c r="I1137" t="s">
        <v>4642</v>
      </c>
      <c r="J1137" t="s">
        <v>605</v>
      </c>
      <c r="K1137" t="s">
        <v>606</v>
      </c>
      <c r="M1137" t="s">
        <v>607</v>
      </c>
      <c r="N1137" t="s">
        <v>625</v>
      </c>
      <c r="O1137" t="s">
        <v>933</v>
      </c>
      <c r="P1137" t="s">
        <v>739</v>
      </c>
      <c r="Q1137" t="s">
        <v>467</v>
      </c>
      <c r="R1137" t="s">
        <v>814</v>
      </c>
      <c r="S1137" t="s">
        <v>934</v>
      </c>
      <c r="T1137" t="s">
        <v>794</v>
      </c>
      <c r="U1137">
        <v>150200</v>
      </c>
      <c r="V1137" t="s">
        <v>1025</v>
      </c>
      <c r="W1137" t="s">
        <v>817</v>
      </c>
      <c r="X1137" t="s">
        <v>7346</v>
      </c>
      <c r="Y1137" t="s">
        <v>7347</v>
      </c>
      <c r="Z1137" t="s">
        <v>932</v>
      </c>
      <c r="AA1137" t="s">
        <v>7348</v>
      </c>
      <c r="AB1137" t="s">
        <v>7344</v>
      </c>
      <c r="AE1137">
        <v>-36.971570739999997</v>
      </c>
      <c r="AF1137">
        <v>174.80338739999999</v>
      </c>
      <c r="AG1137" s="175">
        <v>30</v>
      </c>
      <c r="AH1137" s="175">
        <v>0</v>
      </c>
      <c r="AI1137" s="175">
        <v>0</v>
      </c>
      <c r="AJ1137" s="175">
        <v>0</v>
      </c>
      <c r="AK1137" s="175">
        <v>8</v>
      </c>
      <c r="AL1137" s="175">
        <v>2</v>
      </c>
      <c r="AM1137" s="175">
        <v>9</v>
      </c>
      <c r="AN1137" s="175">
        <v>2</v>
      </c>
      <c r="AO1137" s="175">
        <v>21</v>
      </c>
      <c r="AP1137" s="175">
        <v>0</v>
      </c>
      <c r="AQ1137" s="175">
        <v>0</v>
      </c>
      <c r="AR1137" s="175">
        <v>21</v>
      </c>
      <c r="AS1137" s="175">
        <v>1</v>
      </c>
      <c r="AT1137" s="175">
        <v>1</v>
      </c>
    </row>
    <row r="1138" spans="1:46">
      <c r="A1138">
        <v>25006</v>
      </c>
      <c r="B1138" t="s">
        <v>7349</v>
      </c>
      <c r="C1138" t="s">
        <v>7350</v>
      </c>
      <c r="D1138" t="s">
        <v>7351</v>
      </c>
      <c r="E1138" t="s">
        <v>6432</v>
      </c>
      <c r="F1138" t="s">
        <v>932</v>
      </c>
      <c r="G1138" t="s">
        <v>737</v>
      </c>
      <c r="H1138" t="s">
        <v>449</v>
      </c>
      <c r="J1138" t="s">
        <v>605</v>
      </c>
      <c r="K1138" t="s">
        <v>606</v>
      </c>
      <c r="M1138" t="s">
        <v>607</v>
      </c>
      <c r="N1138" t="s">
        <v>608</v>
      </c>
      <c r="O1138" t="s">
        <v>933</v>
      </c>
      <c r="P1138" t="s">
        <v>739</v>
      </c>
      <c r="Q1138" t="s">
        <v>467</v>
      </c>
      <c r="R1138" t="s">
        <v>814</v>
      </c>
      <c r="S1138" t="s">
        <v>934</v>
      </c>
      <c r="T1138" t="s">
        <v>794</v>
      </c>
      <c r="U1138">
        <v>150200</v>
      </c>
      <c r="V1138" t="s">
        <v>1025</v>
      </c>
      <c r="W1138" t="s">
        <v>817</v>
      </c>
      <c r="X1138" t="s">
        <v>7352</v>
      </c>
      <c r="Y1138" t="s">
        <v>6434</v>
      </c>
      <c r="Z1138" t="s">
        <v>4622</v>
      </c>
      <c r="AA1138" t="s">
        <v>4623</v>
      </c>
      <c r="AB1138" t="s">
        <v>7353</v>
      </c>
      <c r="AE1138">
        <v>-36.970870830000003</v>
      </c>
      <c r="AF1138">
        <v>174.79616630000001</v>
      </c>
      <c r="AG1138" s="175">
        <v>90</v>
      </c>
      <c r="AH1138" s="175">
        <v>20</v>
      </c>
      <c r="AI1138" s="175">
        <v>4</v>
      </c>
      <c r="AJ1138" s="175">
        <v>5</v>
      </c>
      <c r="AK1138" s="175">
        <v>22</v>
      </c>
      <c r="AL1138" s="175">
        <v>19</v>
      </c>
      <c r="AM1138" s="175">
        <v>9</v>
      </c>
      <c r="AN1138" s="175">
        <v>0</v>
      </c>
      <c r="AO1138" s="175">
        <v>59</v>
      </c>
      <c r="AP1138" s="175">
        <v>13</v>
      </c>
      <c r="AQ1138" s="175">
        <v>9</v>
      </c>
      <c r="AR1138" s="175">
        <v>29</v>
      </c>
      <c r="AS1138" s="175">
        <v>20</v>
      </c>
      <c r="AT1138" s="175">
        <v>2</v>
      </c>
    </row>
    <row r="1139" spans="1:46">
      <c r="A1139">
        <v>25007</v>
      </c>
      <c r="B1139" t="s">
        <v>7354</v>
      </c>
      <c r="C1139" t="s">
        <v>7355</v>
      </c>
      <c r="D1139" t="s">
        <v>7356</v>
      </c>
      <c r="E1139" t="s">
        <v>7357</v>
      </c>
      <c r="F1139" t="s">
        <v>7358</v>
      </c>
      <c r="G1139" t="s">
        <v>737</v>
      </c>
      <c r="H1139" t="s">
        <v>449</v>
      </c>
      <c r="J1139" t="s">
        <v>4032</v>
      </c>
      <c r="K1139" t="s">
        <v>606</v>
      </c>
      <c r="M1139" t="s">
        <v>607</v>
      </c>
      <c r="N1139" t="s">
        <v>4586</v>
      </c>
      <c r="O1139" t="s">
        <v>792</v>
      </c>
      <c r="P1139" t="s">
        <v>739</v>
      </c>
      <c r="Q1139" t="s">
        <v>467</v>
      </c>
      <c r="R1139" t="s">
        <v>793</v>
      </c>
      <c r="S1139" t="s">
        <v>791</v>
      </c>
      <c r="T1139" t="s">
        <v>794</v>
      </c>
      <c r="U1139">
        <v>150400</v>
      </c>
      <c r="V1139" t="s">
        <v>7359</v>
      </c>
      <c r="W1139" t="s">
        <v>796</v>
      </c>
      <c r="X1139" t="s">
        <v>7360</v>
      </c>
      <c r="Y1139" t="s">
        <v>7361</v>
      </c>
      <c r="AA1139" t="s">
        <v>5237</v>
      </c>
      <c r="AB1139" t="s">
        <v>7362</v>
      </c>
      <c r="AE1139">
        <v>-36.892867709999997</v>
      </c>
      <c r="AF1139">
        <v>174.91512533</v>
      </c>
      <c r="AG1139" s="175">
        <v>30</v>
      </c>
      <c r="AH1139" s="175">
        <v>0</v>
      </c>
      <c r="AI1139" s="175">
        <v>0</v>
      </c>
      <c r="AJ1139" s="175">
        <v>0</v>
      </c>
      <c r="AK1139" s="175">
        <v>8</v>
      </c>
      <c r="AL1139" s="175">
        <v>17</v>
      </c>
      <c r="AM1139" s="175">
        <v>17</v>
      </c>
      <c r="AN1139" s="175">
        <v>0</v>
      </c>
      <c r="AO1139" s="175">
        <v>42</v>
      </c>
      <c r="AP1139" s="175">
        <v>30</v>
      </c>
      <c r="AQ1139" s="175">
        <v>2</v>
      </c>
      <c r="AR1139" s="175">
        <v>1</v>
      </c>
      <c r="AS1139" s="175">
        <v>11</v>
      </c>
      <c r="AT1139" s="175">
        <v>8</v>
      </c>
    </row>
    <row r="1140" spans="1:46">
      <c r="A1140">
        <v>25009</v>
      </c>
      <c r="B1140" t="s">
        <v>7363</v>
      </c>
      <c r="C1140" t="s">
        <v>7364</v>
      </c>
      <c r="E1140" t="s">
        <v>7365</v>
      </c>
      <c r="F1140" t="s">
        <v>862</v>
      </c>
      <c r="G1140" t="s">
        <v>737</v>
      </c>
      <c r="H1140" t="s">
        <v>449</v>
      </c>
      <c r="J1140" t="s">
        <v>4032</v>
      </c>
      <c r="K1140" t="s">
        <v>606</v>
      </c>
      <c r="M1140" t="s">
        <v>607</v>
      </c>
      <c r="N1140" t="s">
        <v>657</v>
      </c>
      <c r="O1140" t="s">
        <v>792</v>
      </c>
      <c r="P1140" t="s">
        <v>739</v>
      </c>
      <c r="Q1140" t="s">
        <v>467</v>
      </c>
      <c r="R1140" t="s">
        <v>793</v>
      </c>
      <c r="S1140" t="s">
        <v>791</v>
      </c>
      <c r="T1140" t="s">
        <v>794</v>
      </c>
      <c r="U1140">
        <v>152000</v>
      </c>
      <c r="V1140" t="s">
        <v>1011</v>
      </c>
      <c r="W1140" t="s">
        <v>796</v>
      </c>
      <c r="X1140" t="s">
        <v>7366</v>
      </c>
      <c r="Y1140" t="s">
        <v>7367</v>
      </c>
      <c r="Z1140" t="s">
        <v>862</v>
      </c>
      <c r="AA1140" t="s">
        <v>7368</v>
      </c>
      <c r="AB1140" t="s">
        <v>7364</v>
      </c>
      <c r="AE1140">
        <v>-36.899224920000002</v>
      </c>
      <c r="AF1140">
        <v>174.92092980999999</v>
      </c>
      <c r="AG1140" s="175">
        <v>35</v>
      </c>
      <c r="AH1140" s="175">
        <v>0</v>
      </c>
      <c r="AI1140" s="175">
        <v>0</v>
      </c>
      <c r="AJ1140" s="175">
        <v>0</v>
      </c>
      <c r="AK1140" s="175">
        <v>9</v>
      </c>
      <c r="AL1140" s="175">
        <v>9</v>
      </c>
      <c r="AM1140" s="175">
        <v>11</v>
      </c>
      <c r="AN1140" s="175">
        <v>0</v>
      </c>
      <c r="AO1140" s="175">
        <v>29</v>
      </c>
      <c r="AP1140" s="175">
        <v>23</v>
      </c>
      <c r="AQ1140" s="175">
        <v>1</v>
      </c>
      <c r="AR1140" s="175">
        <v>1</v>
      </c>
      <c r="AS1140" s="175">
        <v>8</v>
      </c>
      <c r="AT1140" s="175">
        <v>2</v>
      </c>
    </row>
    <row r="1141" spans="1:46">
      <c r="A1141">
        <v>25012</v>
      </c>
      <c r="B1141" t="s">
        <v>7369</v>
      </c>
      <c r="C1141" t="s">
        <v>7370</v>
      </c>
      <c r="D1141" t="s">
        <v>7371</v>
      </c>
      <c r="E1141" t="s">
        <v>7372</v>
      </c>
      <c r="F1141" t="s">
        <v>1030</v>
      </c>
      <c r="G1141" t="s">
        <v>737</v>
      </c>
      <c r="H1141" t="s">
        <v>449</v>
      </c>
      <c r="J1141" t="s">
        <v>4032</v>
      </c>
      <c r="K1141" t="s">
        <v>606</v>
      </c>
      <c r="M1141" t="s">
        <v>607</v>
      </c>
      <c r="N1141" t="s">
        <v>625</v>
      </c>
      <c r="O1141" t="s">
        <v>933</v>
      </c>
      <c r="P1141" t="s">
        <v>739</v>
      </c>
      <c r="Q1141" t="s">
        <v>467</v>
      </c>
      <c r="R1141" t="s">
        <v>814</v>
      </c>
      <c r="S1141" t="s">
        <v>934</v>
      </c>
      <c r="T1141" t="s">
        <v>794</v>
      </c>
      <c r="U1141">
        <v>152101</v>
      </c>
      <c r="V1141" t="s">
        <v>7373</v>
      </c>
      <c r="W1141" t="s">
        <v>817</v>
      </c>
      <c r="X1141" t="s">
        <v>7374</v>
      </c>
      <c r="Y1141" t="s">
        <v>7375</v>
      </c>
      <c r="Z1141" t="s">
        <v>848</v>
      </c>
      <c r="AA1141" t="s">
        <v>4432</v>
      </c>
      <c r="AB1141" t="s">
        <v>7376</v>
      </c>
      <c r="AC1141">
        <v>99124</v>
      </c>
      <c r="AD1141" t="s">
        <v>4646</v>
      </c>
      <c r="AE1141">
        <v>-36.965535430000003</v>
      </c>
      <c r="AF1141">
        <v>174.82813607</v>
      </c>
      <c r="AG1141" s="175">
        <v>35</v>
      </c>
      <c r="AH1141" s="175">
        <v>10</v>
      </c>
      <c r="AI1141" s="175">
        <v>4</v>
      </c>
      <c r="AJ1141" s="175">
        <v>6</v>
      </c>
      <c r="AK1141" s="175">
        <v>6</v>
      </c>
      <c r="AL1141" s="175">
        <v>10</v>
      </c>
      <c r="AM1141" s="175">
        <v>11</v>
      </c>
      <c r="AN1141" s="175">
        <v>3</v>
      </c>
      <c r="AO1141" s="175">
        <v>40</v>
      </c>
      <c r="AP1141" s="175">
        <v>4</v>
      </c>
      <c r="AQ1141" s="175">
        <v>5</v>
      </c>
      <c r="AR1141" s="175">
        <v>27</v>
      </c>
      <c r="AS1141" s="175">
        <v>14</v>
      </c>
      <c r="AT1141" s="175">
        <v>1</v>
      </c>
    </row>
    <row r="1142" spans="1:46">
      <c r="A1142">
        <v>25013</v>
      </c>
      <c r="B1142" t="s">
        <v>7377</v>
      </c>
      <c r="C1142" t="s">
        <v>7378</v>
      </c>
      <c r="D1142" t="s">
        <v>7379</v>
      </c>
      <c r="E1142" t="s">
        <v>7380</v>
      </c>
      <c r="F1142" t="s">
        <v>791</v>
      </c>
      <c r="G1142" t="s">
        <v>737</v>
      </c>
      <c r="H1142" t="s">
        <v>449</v>
      </c>
      <c r="I1142" t="s">
        <v>4134</v>
      </c>
      <c r="J1142" t="s">
        <v>4032</v>
      </c>
      <c r="K1142" t="s">
        <v>606</v>
      </c>
      <c r="M1142" t="s">
        <v>607</v>
      </c>
      <c r="N1142" t="s">
        <v>657</v>
      </c>
      <c r="O1142" t="s">
        <v>792</v>
      </c>
      <c r="P1142" t="s">
        <v>739</v>
      </c>
      <c r="Q1142" t="s">
        <v>467</v>
      </c>
      <c r="R1142" t="s">
        <v>793</v>
      </c>
      <c r="S1142" t="s">
        <v>791</v>
      </c>
      <c r="T1142" t="s">
        <v>794</v>
      </c>
      <c r="U1142">
        <v>149800</v>
      </c>
      <c r="V1142" t="s">
        <v>5322</v>
      </c>
      <c r="W1142" t="s">
        <v>796</v>
      </c>
      <c r="X1142" t="s">
        <v>7381</v>
      </c>
      <c r="Y1142" t="s">
        <v>7382</v>
      </c>
      <c r="Z1142" t="s">
        <v>1292</v>
      </c>
      <c r="AA1142" t="s">
        <v>7383</v>
      </c>
      <c r="AB1142" t="s">
        <v>7378</v>
      </c>
      <c r="AE1142">
        <v>-36.914206569999997</v>
      </c>
      <c r="AF1142">
        <v>174.88285414000001</v>
      </c>
      <c r="AG1142" s="175">
        <v>39</v>
      </c>
      <c r="AH1142" s="175">
        <v>0</v>
      </c>
      <c r="AI1142" s="175">
        <v>0</v>
      </c>
      <c r="AJ1142" s="175">
        <v>0</v>
      </c>
      <c r="AK1142" s="175">
        <v>7</v>
      </c>
      <c r="AL1142" s="175">
        <v>11</v>
      </c>
      <c r="AM1142" s="175">
        <v>16</v>
      </c>
      <c r="AN1142" s="175">
        <v>2</v>
      </c>
      <c r="AO1142" s="175">
        <v>36</v>
      </c>
      <c r="AP1142" s="175">
        <v>4</v>
      </c>
      <c r="AQ1142" s="175">
        <v>1</v>
      </c>
      <c r="AR1142" s="175">
        <v>2</v>
      </c>
      <c r="AS1142" s="175">
        <v>34</v>
      </c>
      <c r="AT1142" s="175">
        <v>0</v>
      </c>
    </row>
    <row r="1143" spans="1:46">
      <c r="A1143">
        <v>25015</v>
      </c>
      <c r="B1143" t="s">
        <v>7384</v>
      </c>
      <c r="C1143" t="s">
        <v>7385</v>
      </c>
      <c r="D1143" t="s">
        <v>7386</v>
      </c>
      <c r="E1143" t="s">
        <v>7387</v>
      </c>
      <c r="F1143" t="s">
        <v>862</v>
      </c>
      <c r="G1143" t="s">
        <v>737</v>
      </c>
      <c r="H1143" t="s">
        <v>449</v>
      </c>
      <c r="I1143" t="s">
        <v>5838</v>
      </c>
      <c r="J1143" t="s">
        <v>605</v>
      </c>
      <c r="K1143" t="s">
        <v>606</v>
      </c>
      <c r="M1143" t="s">
        <v>607</v>
      </c>
      <c r="N1143" t="s">
        <v>657</v>
      </c>
      <c r="O1143" t="s">
        <v>792</v>
      </c>
      <c r="P1143" t="s">
        <v>739</v>
      </c>
      <c r="Q1143" t="s">
        <v>467</v>
      </c>
      <c r="R1143" t="s">
        <v>793</v>
      </c>
      <c r="S1143" t="s">
        <v>791</v>
      </c>
      <c r="T1143" t="s">
        <v>794</v>
      </c>
      <c r="U1143">
        <v>152000</v>
      </c>
      <c r="V1143" t="s">
        <v>1011</v>
      </c>
      <c r="W1143" t="s">
        <v>796</v>
      </c>
      <c r="X1143" t="s">
        <v>7388</v>
      </c>
      <c r="Y1143" t="s">
        <v>7389</v>
      </c>
      <c r="Z1143" t="s">
        <v>7390</v>
      </c>
      <c r="AA1143" t="s">
        <v>5237</v>
      </c>
      <c r="AB1143" t="s">
        <v>7391</v>
      </c>
      <c r="AC1143">
        <v>99127</v>
      </c>
      <c r="AD1143" t="s">
        <v>4007</v>
      </c>
      <c r="AE1143">
        <v>-36.893430379999998</v>
      </c>
      <c r="AF1143">
        <v>174.9297014</v>
      </c>
      <c r="AG1143" s="175">
        <v>50</v>
      </c>
      <c r="AH1143" s="175">
        <v>0</v>
      </c>
      <c r="AI1143" s="175">
        <v>0</v>
      </c>
      <c r="AJ1143" s="175">
        <v>0</v>
      </c>
      <c r="AK1143" s="175">
        <v>0</v>
      </c>
      <c r="AL1143" s="175">
        <v>10</v>
      </c>
      <c r="AM1143" s="175">
        <v>12</v>
      </c>
      <c r="AN1143" s="175">
        <v>3</v>
      </c>
      <c r="AO1143" s="175">
        <v>25</v>
      </c>
      <c r="AP1143" s="175">
        <v>9</v>
      </c>
      <c r="AQ1143" s="175">
        <v>2</v>
      </c>
      <c r="AR1143" s="175">
        <v>0</v>
      </c>
      <c r="AS1143" s="175">
        <v>15</v>
      </c>
      <c r="AT1143" s="175">
        <v>2</v>
      </c>
    </row>
    <row r="1144" spans="1:46">
      <c r="A1144">
        <v>25017</v>
      </c>
      <c r="B1144" t="s">
        <v>7392</v>
      </c>
      <c r="C1144" t="s">
        <v>7393</v>
      </c>
      <c r="D1144" t="s">
        <v>7394</v>
      </c>
      <c r="E1144" t="s">
        <v>990</v>
      </c>
      <c r="F1144" t="s">
        <v>862</v>
      </c>
      <c r="G1144" t="s">
        <v>737</v>
      </c>
      <c r="H1144" t="s">
        <v>449</v>
      </c>
      <c r="J1144" t="s">
        <v>4032</v>
      </c>
      <c r="K1144" t="s">
        <v>606</v>
      </c>
      <c r="M1144" t="s">
        <v>607</v>
      </c>
      <c r="N1144" t="s">
        <v>657</v>
      </c>
      <c r="O1144" t="s">
        <v>792</v>
      </c>
      <c r="P1144" t="s">
        <v>739</v>
      </c>
      <c r="Q1144" t="s">
        <v>467</v>
      </c>
      <c r="R1144" t="s">
        <v>793</v>
      </c>
      <c r="S1144" t="s">
        <v>791</v>
      </c>
      <c r="T1144" t="s">
        <v>794</v>
      </c>
      <c r="U1144">
        <v>152201</v>
      </c>
      <c r="V1144" t="s">
        <v>991</v>
      </c>
      <c r="W1144" t="s">
        <v>796</v>
      </c>
      <c r="X1144" t="s">
        <v>4838</v>
      </c>
      <c r="Y1144" t="s">
        <v>4839</v>
      </c>
      <c r="Z1144" t="s">
        <v>964</v>
      </c>
      <c r="AA1144" t="s">
        <v>4840</v>
      </c>
      <c r="AB1144" t="s">
        <v>4841</v>
      </c>
      <c r="AE1144">
        <v>-36.899211690000001</v>
      </c>
      <c r="AF1144">
        <v>174.91552218999999</v>
      </c>
      <c r="AG1144" s="175">
        <v>50</v>
      </c>
      <c r="AH1144" s="175">
        <v>15</v>
      </c>
      <c r="AI1144" s="175">
        <v>1</v>
      </c>
      <c r="AJ1144" s="175">
        <v>3</v>
      </c>
      <c r="AK1144" s="175">
        <v>9</v>
      </c>
      <c r="AL1144" s="175">
        <v>8</v>
      </c>
      <c r="AM1144" s="175">
        <v>10</v>
      </c>
      <c r="AN1144" s="175">
        <v>0</v>
      </c>
      <c r="AO1144" s="175">
        <v>31</v>
      </c>
      <c r="AP1144" s="175">
        <v>22</v>
      </c>
      <c r="AQ1144" s="175">
        <v>0</v>
      </c>
      <c r="AR1144" s="175">
        <v>2</v>
      </c>
      <c r="AS1144" s="175">
        <v>10</v>
      </c>
      <c r="AT1144" s="175">
        <v>2</v>
      </c>
    </row>
    <row r="1145" spans="1:46">
      <c r="A1145">
        <v>25019</v>
      </c>
      <c r="B1145" t="s">
        <v>7395</v>
      </c>
      <c r="C1145" t="s">
        <v>7396</v>
      </c>
      <c r="D1145" t="s">
        <v>7397</v>
      </c>
      <c r="E1145" t="s">
        <v>7398</v>
      </c>
      <c r="F1145" t="s">
        <v>1121</v>
      </c>
      <c r="G1145" t="s">
        <v>737</v>
      </c>
      <c r="H1145" t="s">
        <v>449</v>
      </c>
      <c r="I1145" t="s">
        <v>5838</v>
      </c>
      <c r="J1145" t="s">
        <v>605</v>
      </c>
      <c r="K1145" t="s">
        <v>606</v>
      </c>
      <c r="M1145" t="s">
        <v>607</v>
      </c>
      <c r="N1145" t="s">
        <v>643</v>
      </c>
      <c r="O1145" t="s">
        <v>1301</v>
      </c>
      <c r="P1145" t="s">
        <v>739</v>
      </c>
      <c r="Q1145" t="s">
        <v>467</v>
      </c>
      <c r="R1145" t="s">
        <v>814</v>
      </c>
      <c r="S1145" t="s">
        <v>1121</v>
      </c>
      <c r="T1145" t="s">
        <v>794</v>
      </c>
      <c r="U1145">
        <v>160100</v>
      </c>
      <c r="V1145" t="s">
        <v>6942</v>
      </c>
      <c r="W1145" t="s">
        <v>1304</v>
      </c>
      <c r="X1145" t="s">
        <v>7399</v>
      </c>
      <c r="Y1145" t="s">
        <v>7400</v>
      </c>
      <c r="Z1145" t="s">
        <v>1121</v>
      </c>
      <c r="AA1145" t="s">
        <v>7401</v>
      </c>
      <c r="AB1145" t="s">
        <v>7402</v>
      </c>
      <c r="AE1145">
        <v>-37.023123380000001</v>
      </c>
      <c r="AF1145">
        <v>174.89294846999999</v>
      </c>
      <c r="AG1145" s="175">
        <v>30</v>
      </c>
      <c r="AH1145" s="175">
        <v>0</v>
      </c>
      <c r="AI1145" s="175">
        <v>0</v>
      </c>
      <c r="AJ1145" s="175">
        <v>0</v>
      </c>
      <c r="AK1145" s="175">
        <v>3</v>
      </c>
      <c r="AL1145" s="175">
        <v>11</v>
      </c>
      <c r="AM1145" s="175">
        <v>15</v>
      </c>
      <c r="AN1145" s="175">
        <v>2</v>
      </c>
      <c r="AO1145" s="175">
        <v>31</v>
      </c>
      <c r="AP1145" s="175">
        <v>6</v>
      </c>
      <c r="AQ1145" s="175">
        <v>3</v>
      </c>
      <c r="AR1145" s="175">
        <v>11</v>
      </c>
      <c r="AS1145" s="175">
        <v>8</v>
      </c>
      <c r="AT1145" s="175">
        <v>9</v>
      </c>
    </row>
    <row r="1146" spans="1:46">
      <c r="A1146">
        <v>25026</v>
      </c>
      <c r="B1146" t="s">
        <v>7403</v>
      </c>
      <c r="C1146" t="s">
        <v>7404</v>
      </c>
      <c r="D1146" t="s">
        <v>5069</v>
      </c>
      <c r="E1146" t="s">
        <v>7405</v>
      </c>
      <c r="F1146" t="s">
        <v>1030</v>
      </c>
      <c r="G1146" t="s">
        <v>737</v>
      </c>
      <c r="H1146" t="s">
        <v>449</v>
      </c>
      <c r="J1146" t="s">
        <v>4032</v>
      </c>
      <c r="K1146" t="s">
        <v>606</v>
      </c>
      <c r="M1146" t="s">
        <v>607</v>
      </c>
      <c r="N1146" t="s">
        <v>625</v>
      </c>
      <c r="O1146" t="s">
        <v>813</v>
      </c>
      <c r="P1146" t="s">
        <v>739</v>
      </c>
      <c r="Q1146" t="s">
        <v>467</v>
      </c>
      <c r="R1146" t="s">
        <v>814</v>
      </c>
      <c r="S1146" t="s">
        <v>934</v>
      </c>
      <c r="T1146" t="s">
        <v>794</v>
      </c>
      <c r="U1146">
        <v>153600</v>
      </c>
      <c r="V1146" t="s">
        <v>4935</v>
      </c>
      <c r="W1146" t="s">
        <v>817</v>
      </c>
      <c r="X1146" t="s">
        <v>5072</v>
      </c>
      <c r="Y1146" t="s">
        <v>5073</v>
      </c>
      <c r="Z1146" t="s">
        <v>854</v>
      </c>
      <c r="AA1146" t="s">
        <v>4400</v>
      </c>
      <c r="AB1146" t="s">
        <v>5074</v>
      </c>
      <c r="AE1146">
        <v>-36.974669280000001</v>
      </c>
      <c r="AF1146">
        <v>174.83549726999999</v>
      </c>
      <c r="AG1146" s="175">
        <v>30</v>
      </c>
      <c r="AH1146" s="175">
        <v>10</v>
      </c>
      <c r="AI1146" s="175">
        <v>0</v>
      </c>
      <c r="AJ1146" s="175">
        <v>4</v>
      </c>
      <c r="AK1146" s="175">
        <v>8</v>
      </c>
      <c r="AL1146" s="175">
        <v>6</v>
      </c>
      <c r="AM1146" s="175">
        <v>12</v>
      </c>
      <c r="AN1146" s="175">
        <v>1</v>
      </c>
      <c r="AO1146" s="175">
        <v>31</v>
      </c>
      <c r="AP1146" s="175">
        <v>1</v>
      </c>
      <c r="AQ1146" s="175">
        <v>7</v>
      </c>
      <c r="AR1146" s="175">
        <v>19</v>
      </c>
      <c r="AS1146" s="175">
        <v>12</v>
      </c>
      <c r="AT1146" s="175">
        <v>0</v>
      </c>
    </row>
    <row r="1147" spans="1:46">
      <c r="A1147">
        <v>25029</v>
      </c>
      <c r="B1147" t="s">
        <v>7406</v>
      </c>
      <c r="C1147" t="s">
        <v>7407</v>
      </c>
      <c r="D1147" t="s">
        <v>7408</v>
      </c>
      <c r="E1147" t="s">
        <v>7409</v>
      </c>
      <c r="F1147" t="s">
        <v>5170</v>
      </c>
      <c r="G1147" t="s">
        <v>4272</v>
      </c>
      <c r="H1147" t="s">
        <v>449</v>
      </c>
      <c r="J1147" t="s">
        <v>4032</v>
      </c>
      <c r="K1147" t="s">
        <v>606</v>
      </c>
      <c r="M1147" t="s">
        <v>607</v>
      </c>
      <c r="N1147" t="s">
        <v>657</v>
      </c>
      <c r="O1147" t="s">
        <v>792</v>
      </c>
      <c r="P1147" t="s">
        <v>739</v>
      </c>
      <c r="Q1147" t="s">
        <v>467</v>
      </c>
      <c r="R1147" t="s">
        <v>793</v>
      </c>
      <c r="S1147" t="s">
        <v>863</v>
      </c>
      <c r="T1147" t="s">
        <v>794</v>
      </c>
      <c r="U1147">
        <v>156601</v>
      </c>
      <c r="V1147" t="s">
        <v>7410</v>
      </c>
      <c r="W1147" t="s">
        <v>796</v>
      </c>
      <c r="X1147" t="s">
        <v>7411</v>
      </c>
      <c r="Y1147" t="s">
        <v>7409</v>
      </c>
      <c r="Z1147" t="s">
        <v>5170</v>
      </c>
      <c r="AA1147" t="s">
        <v>4340</v>
      </c>
      <c r="AE1147">
        <v>-36.950754420000003</v>
      </c>
      <c r="AF1147">
        <v>174.90635717000001</v>
      </c>
      <c r="AG1147" s="175">
        <v>50</v>
      </c>
      <c r="AH1147" s="175">
        <v>20</v>
      </c>
      <c r="AI1147" s="175">
        <v>1</v>
      </c>
      <c r="AJ1147" s="175">
        <v>6</v>
      </c>
      <c r="AK1147" s="175">
        <v>8</v>
      </c>
      <c r="AL1147" s="175">
        <v>14</v>
      </c>
      <c r="AM1147" s="175">
        <v>8</v>
      </c>
      <c r="AN1147" s="175">
        <v>0</v>
      </c>
      <c r="AO1147" s="175">
        <v>37</v>
      </c>
      <c r="AP1147" s="175">
        <v>12</v>
      </c>
      <c r="AQ1147" s="175">
        <v>7</v>
      </c>
      <c r="AR1147" s="175">
        <v>3</v>
      </c>
      <c r="AS1147" s="175">
        <v>21</v>
      </c>
      <c r="AT1147" s="175">
        <v>2</v>
      </c>
    </row>
    <row r="1148" spans="1:46">
      <c r="A1148">
        <v>25030</v>
      </c>
      <c r="B1148" t="s">
        <v>7412</v>
      </c>
      <c r="C1148" t="s">
        <v>7413</v>
      </c>
      <c r="D1148" t="s">
        <v>7414</v>
      </c>
      <c r="E1148" t="s">
        <v>7415</v>
      </c>
      <c r="F1148" t="s">
        <v>811</v>
      </c>
      <c r="G1148" t="s">
        <v>737</v>
      </c>
      <c r="H1148" t="s">
        <v>449</v>
      </c>
      <c r="J1148" t="s">
        <v>605</v>
      </c>
      <c r="K1148" t="s">
        <v>606</v>
      </c>
      <c r="M1148" t="s">
        <v>607</v>
      </c>
      <c r="N1148" t="s">
        <v>625</v>
      </c>
      <c r="O1148" t="s">
        <v>813</v>
      </c>
      <c r="P1148" t="s">
        <v>739</v>
      </c>
      <c r="Q1148" t="s">
        <v>467</v>
      </c>
      <c r="R1148" t="s">
        <v>814</v>
      </c>
      <c r="S1148" t="s">
        <v>815</v>
      </c>
      <c r="T1148" t="s">
        <v>794</v>
      </c>
      <c r="U1148">
        <v>154400</v>
      </c>
      <c r="V1148" t="s">
        <v>7416</v>
      </c>
      <c r="W1148" t="s">
        <v>817</v>
      </c>
      <c r="X1148" t="s">
        <v>7417</v>
      </c>
      <c r="Y1148" t="s">
        <v>7418</v>
      </c>
      <c r="AA1148" t="s">
        <v>7419</v>
      </c>
      <c r="AB1148" t="s">
        <v>7420</v>
      </c>
      <c r="AE1148">
        <v>-36.954261750000001</v>
      </c>
      <c r="AF1148">
        <v>174.87210304000001</v>
      </c>
      <c r="AG1148" s="175">
        <v>70</v>
      </c>
      <c r="AH1148" s="175">
        <v>30</v>
      </c>
      <c r="AI1148" s="175">
        <v>1</v>
      </c>
      <c r="AJ1148" s="175">
        <v>4</v>
      </c>
      <c r="AK1148" s="175">
        <v>12</v>
      </c>
      <c r="AL1148" s="175">
        <v>12</v>
      </c>
      <c r="AM1148" s="175">
        <v>16</v>
      </c>
      <c r="AN1148" s="175">
        <v>0</v>
      </c>
      <c r="AO1148" s="175">
        <v>45</v>
      </c>
      <c r="AP1148" s="175">
        <v>10</v>
      </c>
      <c r="AQ1148" s="175">
        <v>13</v>
      </c>
      <c r="AR1148" s="175">
        <v>28</v>
      </c>
      <c r="AS1148" s="175">
        <v>17</v>
      </c>
      <c r="AT1148" s="175">
        <v>0</v>
      </c>
    </row>
    <row r="1149" spans="1:46">
      <c r="A1149">
        <v>25031</v>
      </c>
      <c r="B1149" t="s">
        <v>7421</v>
      </c>
      <c r="C1149" t="s">
        <v>7422</v>
      </c>
      <c r="E1149" t="s">
        <v>7423</v>
      </c>
      <c r="F1149" t="s">
        <v>1121</v>
      </c>
      <c r="G1149" t="s">
        <v>737</v>
      </c>
      <c r="H1149" t="s">
        <v>347</v>
      </c>
      <c r="J1149" t="s">
        <v>605</v>
      </c>
      <c r="K1149" t="s">
        <v>606</v>
      </c>
      <c r="L1149" t="s">
        <v>4273</v>
      </c>
      <c r="M1149" t="s">
        <v>607</v>
      </c>
      <c r="N1149" t="s">
        <v>625</v>
      </c>
      <c r="O1149" t="s">
        <v>1301</v>
      </c>
      <c r="P1149" t="s">
        <v>739</v>
      </c>
      <c r="Q1149" t="s">
        <v>467</v>
      </c>
      <c r="R1149" t="s">
        <v>814</v>
      </c>
      <c r="S1149" t="s">
        <v>1121</v>
      </c>
      <c r="T1149" t="s">
        <v>794</v>
      </c>
      <c r="U1149">
        <v>160100</v>
      </c>
      <c r="V1149" t="s">
        <v>6942</v>
      </c>
      <c r="W1149" t="s">
        <v>1304</v>
      </c>
      <c r="X1149" t="s">
        <v>4275</v>
      </c>
      <c r="Y1149" t="s">
        <v>4276</v>
      </c>
      <c r="Z1149" t="s">
        <v>4277</v>
      </c>
      <c r="AA1149" t="s">
        <v>4278</v>
      </c>
      <c r="AE1149">
        <v>-37.023262969999998</v>
      </c>
      <c r="AF1149">
        <v>174.88921703</v>
      </c>
      <c r="AG1149" s="175">
        <v>40</v>
      </c>
      <c r="AH1149" s="175">
        <v>9</v>
      </c>
      <c r="AI1149" s="175">
        <v>1</v>
      </c>
      <c r="AJ1149" s="175">
        <v>4</v>
      </c>
      <c r="AK1149" s="175">
        <v>9</v>
      </c>
      <c r="AL1149" s="175">
        <v>6</v>
      </c>
      <c r="AM1149" s="175">
        <v>8</v>
      </c>
      <c r="AN1149" s="175">
        <v>0</v>
      </c>
      <c r="AO1149" s="175">
        <v>28</v>
      </c>
      <c r="AP1149" s="175">
        <v>0</v>
      </c>
      <c r="AQ1149" s="175">
        <v>26</v>
      </c>
      <c r="AR1149" s="175">
        <v>1</v>
      </c>
      <c r="AS1149" s="175">
        <v>0</v>
      </c>
      <c r="AT1149" s="175">
        <v>1</v>
      </c>
    </row>
    <row r="1150" spans="1:46">
      <c r="A1150">
        <v>25032</v>
      </c>
      <c r="B1150" t="s">
        <v>7424</v>
      </c>
      <c r="C1150" t="s">
        <v>1308</v>
      </c>
      <c r="D1150" t="s">
        <v>1357</v>
      </c>
      <c r="E1150" t="s">
        <v>7425</v>
      </c>
      <c r="F1150" t="s">
        <v>1121</v>
      </c>
      <c r="G1150" t="s">
        <v>737</v>
      </c>
      <c r="H1150" t="s">
        <v>452</v>
      </c>
      <c r="J1150" t="s">
        <v>605</v>
      </c>
      <c r="K1150" t="s">
        <v>606</v>
      </c>
      <c r="M1150" t="s">
        <v>607</v>
      </c>
      <c r="N1150" t="s">
        <v>812</v>
      </c>
      <c r="O1150" t="s">
        <v>1301</v>
      </c>
      <c r="P1150" t="s">
        <v>739</v>
      </c>
      <c r="Q1150" t="s">
        <v>467</v>
      </c>
      <c r="R1150" t="s">
        <v>814</v>
      </c>
      <c r="S1150" t="s">
        <v>1121</v>
      </c>
      <c r="T1150" t="s">
        <v>794</v>
      </c>
      <c r="U1150">
        <v>160000</v>
      </c>
      <c r="V1150" t="s">
        <v>7426</v>
      </c>
      <c r="W1150" t="s">
        <v>1304</v>
      </c>
      <c r="X1150" t="s">
        <v>1305</v>
      </c>
      <c r="Y1150" t="s">
        <v>1306</v>
      </c>
      <c r="Z1150" t="s">
        <v>1302</v>
      </c>
      <c r="AA1150" t="s">
        <v>1307</v>
      </c>
      <c r="AB1150" t="s">
        <v>1308</v>
      </c>
      <c r="AC1150">
        <v>99187</v>
      </c>
      <c r="AD1150" t="s">
        <v>1342</v>
      </c>
      <c r="AE1150">
        <v>-37.025031269999999</v>
      </c>
      <c r="AF1150">
        <v>174.87681108000001</v>
      </c>
      <c r="AG1150" s="175">
        <v>30</v>
      </c>
      <c r="AH1150" s="175">
        <v>0</v>
      </c>
      <c r="AI1150" s="175">
        <v>0</v>
      </c>
      <c r="AJ1150" s="175">
        <v>0</v>
      </c>
      <c r="AK1150" s="175">
        <v>4</v>
      </c>
      <c r="AL1150" s="175">
        <v>9</v>
      </c>
      <c r="AM1150" s="175">
        <v>17</v>
      </c>
      <c r="AN1150" s="175">
        <v>1</v>
      </c>
      <c r="AO1150" s="175">
        <v>31</v>
      </c>
      <c r="AP1150" s="175">
        <v>6</v>
      </c>
      <c r="AQ1150" s="175">
        <v>12</v>
      </c>
      <c r="AR1150" s="175">
        <v>13</v>
      </c>
      <c r="AS1150" s="175">
        <v>12</v>
      </c>
      <c r="AT1150" s="175">
        <v>1</v>
      </c>
    </row>
    <row r="1151" spans="1:46">
      <c r="A1151">
        <v>25035</v>
      </c>
      <c r="B1151" t="s">
        <v>7427</v>
      </c>
      <c r="C1151" t="s">
        <v>7428</v>
      </c>
      <c r="D1151" t="s">
        <v>7429</v>
      </c>
      <c r="E1151" t="s">
        <v>7430</v>
      </c>
      <c r="F1151" t="s">
        <v>1120</v>
      </c>
      <c r="G1151" t="s">
        <v>737</v>
      </c>
      <c r="H1151" t="s">
        <v>449</v>
      </c>
      <c r="J1151" t="s">
        <v>605</v>
      </c>
      <c r="K1151" t="s">
        <v>606</v>
      </c>
      <c r="M1151" t="s">
        <v>607</v>
      </c>
      <c r="N1151" t="s">
        <v>657</v>
      </c>
      <c r="O1151" t="s">
        <v>813</v>
      </c>
      <c r="P1151" t="s">
        <v>739</v>
      </c>
      <c r="Q1151" t="s">
        <v>467</v>
      </c>
      <c r="R1151" t="s">
        <v>814</v>
      </c>
      <c r="S1151" t="s">
        <v>815</v>
      </c>
      <c r="T1151" t="s">
        <v>794</v>
      </c>
      <c r="U1151">
        <v>152700</v>
      </c>
      <c r="V1151" t="s">
        <v>4823</v>
      </c>
      <c r="W1151" t="s">
        <v>817</v>
      </c>
      <c r="X1151" t="s">
        <v>7431</v>
      </c>
      <c r="Y1151" t="s">
        <v>7432</v>
      </c>
      <c r="Z1151" t="s">
        <v>1157</v>
      </c>
      <c r="AA1151" t="s">
        <v>4826</v>
      </c>
      <c r="AE1151">
        <v>-36.963455459999999</v>
      </c>
      <c r="AF1151">
        <v>174.84022345</v>
      </c>
      <c r="AG1151" s="175">
        <v>90</v>
      </c>
      <c r="AH1151" s="175">
        <v>30</v>
      </c>
      <c r="AI1151" s="175">
        <v>2</v>
      </c>
      <c r="AJ1151" s="175">
        <v>27</v>
      </c>
      <c r="AK1151" s="175">
        <v>23</v>
      </c>
      <c r="AL1151" s="175">
        <v>17</v>
      </c>
      <c r="AM1151" s="175">
        <v>23</v>
      </c>
      <c r="AN1151" s="175">
        <v>2</v>
      </c>
      <c r="AO1151" s="175">
        <v>94</v>
      </c>
      <c r="AP1151" s="175">
        <v>49</v>
      </c>
      <c r="AQ1151" s="175">
        <v>14</v>
      </c>
      <c r="AR1151" s="175">
        <v>29</v>
      </c>
      <c r="AS1151" s="175">
        <v>21</v>
      </c>
      <c r="AT1151" s="175">
        <v>6</v>
      </c>
    </row>
    <row r="1152" spans="1:46">
      <c r="A1152">
        <v>25036</v>
      </c>
      <c r="B1152" t="s">
        <v>7433</v>
      </c>
      <c r="C1152" t="s">
        <v>7434</v>
      </c>
      <c r="D1152" t="s">
        <v>7435</v>
      </c>
      <c r="E1152" t="s">
        <v>7436</v>
      </c>
      <c r="G1152" t="s">
        <v>4133</v>
      </c>
      <c r="H1152" t="s">
        <v>449</v>
      </c>
      <c r="J1152" t="s">
        <v>4032</v>
      </c>
      <c r="K1152" t="s">
        <v>606</v>
      </c>
      <c r="M1152" t="s">
        <v>607</v>
      </c>
      <c r="N1152" t="s">
        <v>657</v>
      </c>
      <c r="O1152" t="s">
        <v>1353</v>
      </c>
      <c r="P1152" t="s">
        <v>739</v>
      </c>
      <c r="Q1152" t="s">
        <v>467</v>
      </c>
      <c r="R1152" t="s">
        <v>814</v>
      </c>
      <c r="S1152" t="s">
        <v>1319</v>
      </c>
      <c r="T1152" t="s">
        <v>1320</v>
      </c>
      <c r="U1152">
        <v>164302</v>
      </c>
      <c r="V1152" t="s">
        <v>4135</v>
      </c>
      <c r="W1152" t="s">
        <v>1304</v>
      </c>
      <c r="X1152" t="s">
        <v>7437</v>
      </c>
      <c r="Y1152" t="s">
        <v>7438</v>
      </c>
      <c r="Z1152" t="s">
        <v>1120</v>
      </c>
      <c r="AA1152" t="s">
        <v>7439</v>
      </c>
      <c r="AB1152" t="s">
        <v>7440</v>
      </c>
      <c r="AE1152">
        <v>-37.097898720000003</v>
      </c>
      <c r="AF1152">
        <v>174.94688500000001</v>
      </c>
      <c r="AG1152" s="175">
        <v>30</v>
      </c>
      <c r="AH1152" s="175">
        <v>10</v>
      </c>
      <c r="AI1152" s="175">
        <v>2</v>
      </c>
      <c r="AJ1152" s="175">
        <v>7</v>
      </c>
      <c r="AK1152" s="175">
        <v>7</v>
      </c>
      <c r="AL1152" s="175">
        <v>11</v>
      </c>
      <c r="AM1152" s="175">
        <v>7</v>
      </c>
      <c r="AN1152" s="175">
        <v>0</v>
      </c>
      <c r="AO1152" s="175">
        <v>34</v>
      </c>
      <c r="AP1152" s="175">
        <v>23</v>
      </c>
      <c r="AQ1152" s="175">
        <v>8</v>
      </c>
      <c r="AR1152" s="175">
        <v>3</v>
      </c>
      <c r="AS1152" s="175">
        <v>6</v>
      </c>
      <c r="AT1152" s="175">
        <v>4</v>
      </c>
    </row>
    <row r="1153" spans="1:46">
      <c r="A1153">
        <v>25041</v>
      </c>
      <c r="B1153" t="s">
        <v>7441</v>
      </c>
      <c r="C1153" t="s">
        <v>7442</v>
      </c>
      <c r="D1153" t="s">
        <v>7443</v>
      </c>
      <c r="E1153" t="s">
        <v>7444</v>
      </c>
      <c r="F1153" t="s">
        <v>791</v>
      </c>
      <c r="G1153" t="s">
        <v>737</v>
      </c>
      <c r="H1153" t="s">
        <v>449</v>
      </c>
      <c r="I1153" t="s">
        <v>5838</v>
      </c>
      <c r="J1153" t="s">
        <v>605</v>
      </c>
      <c r="K1153" t="s">
        <v>606</v>
      </c>
      <c r="M1153" t="s">
        <v>607</v>
      </c>
      <c r="N1153" t="s">
        <v>657</v>
      </c>
      <c r="O1153" t="s">
        <v>792</v>
      </c>
      <c r="P1153" t="s">
        <v>739</v>
      </c>
      <c r="Q1153" t="s">
        <v>467</v>
      </c>
      <c r="R1153" t="s">
        <v>793</v>
      </c>
      <c r="S1153" t="s">
        <v>791</v>
      </c>
      <c r="T1153" t="s">
        <v>794</v>
      </c>
      <c r="U1153">
        <v>151500</v>
      </c>
      <c r="V1153" t="s">
        <v>1171</v>
      </c>
      <c r="W1153" t="s">
        <v>796</v>
      </c>
      <c r="X1153" t="s">
        <v>7445</v>
      </c>
      <c r="Y1153" t="s">
        <v>7446</v>
      </c>
      <c r="Z1153" t="s">
        <v>1170</v>
      </c>
      <c r="AA1153" t="s">
        <v>7447</v>
      </c>
      <c r="AB1153" t="s">
        <v>7448</v>
      </c>
      <c r="AC1153">
        <v>99189</v>
      </c>
      <c r="AD1153" t="s">
        <v>4514</v>
      </c>
      <c r="AE1153">
        <v>-36.924405870000001</v>
      </c>
      <c r="AF1153">
        <v>174.88482642</v>
      </c>
      <c r="AG1153" s="175">
        <v>40</v>
      </c>
      <c r="AH1153" s="175">
        <v>0</v>
      </c>
      <c r="AI1153" s="175">
        <v>0</v>
      </c>
      <c r="AJ1153" s="175">
        <v>0</v>
      </c>
      <c r="AK1153" s="175">
        <v>8</v>
      </c>
      <c r="AL1153" s="175">
        <v>18</v>
      </c>
      <c r="AM1153" s="175">
        <v>14</v>
      </c>
      <c r="AN1153" s="175">
        <v>1</v>
      </c>
      <c r="AO1153" s="175">
        <v>41</v>
      </c>
      <c r="AP1153" s="175">
        <v>18</v>
      </c>
      <c r="AQ1153" s="175">
        <v>3</v>
      </c>
      <c r="AR1153" s="175">
        <v>3</v>
      </c>
      <c r="AS1153" s="175">
        <v>23</v>
      </c>
      <c r="AT1153" s="175">
        <v>5</v>
      </c>
    </row>
    <row r="1154" spans="1:46">
      <c r="A1154">
        <v>25044</v>
      </c>
      <c r="B1154" t="s">
        <v>7449</v>
      </c>
      <c r="C1154" t="s">
        <v>7450</v>
      </c>
      <c r="D1154" t="s">
        <v>7451</v>
      </c>
      <c r="E1154" t="s">
        <v>7452</v>
      </c>
      <c r="F1154" t="s">
        <v>4508</v>
      </c>
      <c r="G1154" t="s">
        <v>737</v>
      </c>
      <c r="H1154" t="s">
        <v>449</v>
      </c>
      <c r="I1154" t="s">
        <v>5838</v>
      </c>
      <c r="J1154" t="s">
        <v>605</v>
      </c>
      <c r="K1154" t="s">
        <v>606</v>
      </c>
      <c r="M1154" t="s">
        <v>607</v>
      </c>
      <c r="N1154" t="s">
        <v>608</v>
      </c>
      <c r="O1154" t="s">
        <v>914</v>
      </c>
      <c r="P1154" t="s">
        <v>739</v>
      </c>
      <c r="Q1154" t="s">
        <v>467</v>
      </c>
      <c r="R1154" t="s">
        <v>793</v>
      </c>
      <c r="S1154" t="s">
        <v>815</v>
      </c>
      <c r="T1154" t="s">
        <v>794</v>
      </c>
      <c r="U1154">
        <v>147100</v>
      </c>
      <c r="V1154" t="s">
        <v>4509</v>
      </c>
      <c r="W1154" t="s">
        <v>892</v>
      </c>
      <c r="X1154" t="s">
        <v>7453</v>
      </c>
      <c r="Y1154" t="s">
        <v>7454</v>
      </c>
      <c r="Z1154" t="s">
        <v>4508</v>
      </c>
      <c r="AA1154" t="s">
        <v>4512</v>
      </c>
      <c r="AB1154" t="s">
        <v>7455</v>
      </c>
      <c r="AC1154">
        <v>99189</v>
      </c>
      <c r="AD1154" t="s">
        <v>4514</v>
      </c>
      <c r="AE1154">
        <v>-36.901012090000002</v>
      </c>
      <c r="AF1154">
        <v>174.86314762999999</v>
      </c>
      <c r="AG1154" s="175">
        <v>40</v>
      </c>
      <c r="AH1154" s="175">
        <v>10</v>
      </c>
      <c r="AI1154" s="175">
        <v>0</v>
      </c>
      <c r="AJ1154" s="175">
        <v>4</v>
      </c>
      <c r="AK1154" s="175">
        <v>8</v>
      </c>
      <c r="AL1154" s="175">
        <v>6</v>
      </c>
      <c r="AM1154" s="175">
        <v>10</v>
      </c>
      <c r="AN1154" s="175">
        <v>1</v>
      </c>
      <c r="AO1154" s="175">
        <v>29</v>
      </c>
      <c r="AP1154" s="175">
        <v>12</v>
      </c>
      <c r="AQ1154" s="175">
        <v>8</v>
      </c>
      <c r="AR1154" s="175">
        <v>12</v>
      </c>
      <c r="AS1154" s="175">
        <v>4</v>
      </c>
      <c r="AT1154" s="175">
        <v>5</v>
      </c>
    </row>
    <row r="1155" spans="1:46">
      <c r="A1155">
        <v>25045</v>
      </c>
      <c r="B1155" t="s">
        <v>7456</v>
      </c>
      <c r="C1155" t="s">
        <v>7457</v>
      </c>
      <c r="D1155" t="s">
        <v>7458</v>
      </c>
      <c r="E1155" t="s">
        <v>7459</v>
      </c>
      <c r="F1155" t="s">
        <v>4113</v>
      </c>
      <c r="G1155" t="s">
        <v>737</v>
      </c>
      <c r="H1155" t="s">
        <v>449</v>
      </c>
      <c r="J1155" t="s">
        <v>605</v>
      </c>
      <c r="K1155" t="s">
        <v>606</v>
      </c>
      <c r="M1155" t="s">
        <v>607</v>
      </c>
      <c r="N1155" t="s">
        <v>657</v>
      </c>
      <c r="O1155" t="s">
        <v>1353</v>
      </c>
      <c r="P1155" t="s">
        <v>739</v>
      </c>
      <c r="Q1155" t="s">
        <v>467</v>
      </c>
      <c r="R1155" t="s">
        <v>814</v>
      </c>
      <c r="S1155" t="s">
        <v>1319</v>
      </c>
      <c r="T1155" t="s">
        <v>1320</v>
      </c>
      <c r="U1155">
        <v>163200</v>
      </c>
      <c r="V1155" t="s">
        <v>4113</v>
      </c>
      <c r="W1155" t="s">
        <v>1304</v>
      </c>
      <c r="X1155" t="s">
        <v>7460</v>
      </c>
      <c r="Y1155" t="s">
        <v>7461</v>
      </c>
      <c r="Z1155" t="s">
        <v>1319</v>
      </c>
      <c r="AA1155" t="s">
        <v>5228</v>
      </c>
      <c r="AB1155" t="s">
        <v>7462</v>
      </c>
      <c r="AE1155">
        <v>-37.059053200000001</v>
      </c>
      <c r="AF1155">
        <v>174.93900199999999</v>
      </c>
      <c r="AG1155" s="175">
        <v>30</v>
      </c>
      <c r="AH1155" s="175">
        <v>0</v>
      </c>
      <c r="AI1155" s="175">
        <v>0</v>
      </c>
      <c r="AJ1155" s="175">
        <v>0</v>
      </c>
      <c r="AK1155" s="175">
        <v>1</v>
      </c>
      <c r="AL1155" s="175">
        <v>7</v>
      </c>
      <c r="AM1155" s="175">
        <v>10</v>
      </c>
      <c r="AN1155" s="175">
        <v>0</v>
      </c>
      <c r="AO1155" s="175">
        <v>18</v>
      </c>
      <c r="AP1155" s="175">
        <v>13</v>
      </c>
      <c r="AQ1155" s="175">
        <v>1</v>
      </c>
      <c r="AR1155" s="175">
        <v>3</v>
      </c>
      <c r="AS1155" s="175">
        <v>3</v>
      </c>
      <c r="AT1155" s="175">
        <v>0</v>
      </c>
    </row>
    <row r="1156" spans="1:46">
      <c r="A1156">
        <v>25046</v>
      </c>
      <c r="B1156" t="s">
        <v>5024</v>
      </c>
      <c r="C1156" t="s">
        <v>5030</v>
      </c>
      <c r="E1156" t="s">
        <v>7463</v>
      </c>
      <c r="F1156" t="s">
        <v>1121</v>
      </c>
      <c r="G1156" t="s">
        <v>737</v>
      </c>
      <c r="H1156" t="s">
        <v>449</v>
      </c>
      <c r="J1156" t="s">
        <v>4032</v>
      </c>
      <c r="K1156" t="s">
        <v>606</v>
      </c>
      <c r="M1156" t="s">
        <v>607</v>
      </c>
      <c r="N1156" t="s">
        <v>608</v>
      </c>
      <c r="O1156" t="s">
        <v>1301</v>
      </c>
      <c r="P1156" t="s">
        <v>739</v>
      </c>
      <c r="Q1156" t="s">
        <v>467</v>
      </c>
      <c r="R1156" t="s">
        <v>814</v>
      </c>
      <c r="S1156" t="s">
        <v>1121</v>
      </c>
      <c r="T1156" t="s">
        <v>794</v>
      </c>
      <c r="U1156">
        <v>159202</v>
      </c>
      <c r="V1156" t="s">
        <v>7464</v>
      </c>
      <c r="W1156" t="s">
        <v>1304</v>
      </c>
      <c r="X1156" t="s">
        <v>5028</v>
      </c>
      <c r="Y1156" t="s">
        <v>5029</v>
      </c>
      <c r="Z1156" t="s">
        <v>906</v>
      </c>
      <c r="AA1156" t="s">
        <v>4138</v>
      </c>
      <c r="AB1156" t="s">
        <v>5030</v>
      </c>
      <c r="AE1156">
        <v>-37.01590084</v>
      </c>
      <c r="AF1156">
        <v>174.87604073</v>
      </c>
      <c r="AG1156" s="175">
        <v>80</v>
      </c>
      <c r="AH1156" s="175">
        <v>25</v>
      </c>
      <c r="AI1156" s="175">
        <v>6</v>
      </c>
      <c r="AJ1156" s="175">
        <v>8</v>
      </c>
      <c r="AK1156" s="175">
        <v>21</v>
      </c>
      <c r="AL1156" s="175">
        <v>13</v>
      </c>
      <c r="AM1156" s="175">
        <v>15</v>
      </c>
      <c r="AN1156" s="175">
        <v>1</v>
      </c>
      <c r="AO1156" s="175">
        <v>64</v>
      </c>
      <c r="AP1156" s="175">
        <v>31</v>
      </c>
      <c r="AQ1156" s="175">
        <v>27</v>
      </c>
      <c r="AR1156" s="175">
        <v>35</v>
      </c>
      <c r="AS1156" s="175">
        <v>10</v>
      </c>
      <c r="AT1156" s="175">
        <v>2</v>
      </c>
    </row>
    <row r="1157" spans="1:46">
      <c r="A1157">
        <v>25049</v>
      </c>
      <c r="B1157" t="s">
        <v>7465</v>
      </c>
      <c r="C1157" t="s">
        <v>7466</v>
      </c>
      <c r="D1157" t="s">
        <v>7467</v>
      </c>
      <c r="E1157" t="s">
        <v>7468</v>
      </c>
      <c r="F1157" t="s">
        <v>1121</v>
      </c>
      <c r="G1157" t="s">
        <v>737</v>
      </c>
      <c r="H1157" t="s">
        <v>449</v>
      </c>
      <c r="J1157" t="s">
        <v>605</v>
      </c>
      <c r="K1157" t="s">
        <v>606</v>
      </c>
      <c r="M1157" t="s">
        <v>607</v>
      </c>
      <c r="N1157" t="s">
        <v>643</v>
      </c>
      <c r="O1157" t="s">
        <v>1301</v>
      </c>
      <c r="P1157" t="s">
        <v>739</v>
      </c>
      <c r="Q1157" t="s">
        <v>467</v>
      </c>
      <c r="R1157" t="s">
        <v>814</v>
      </c>
      <c r="S1157" t="s">
        <v>1121</v>
      </c>
      <c r="T1157" t="s">
        <v>794</v>
      </c>
      <c r="U1157">
        <v>160100</v>
      </c>
      <c r="V1157" t="s">
        <v>6942</v>
      </c>
      <c r="W1157" t="s">
        <v>1304</v>
      </c>
      <c r="X1157" t="s">
        <v>4013</v>
      </c>
      <c r="Y1157" t="s">
        <v>4014</v>
      </c>
      <c r="Z1157" t="s">
        <v>4015</v>
      </c>
      <c r="AA1157" t="s">
        <v>4016</v>
      </c>
      <c r="AB1157" t="s">
        <v>4017</v>
      </c>
      <c r="AC1157">
        <v>99186</v>
      </c>
      <c r="AD1157" t="s">
        <v>1309</v>
      </c>
      <c r="AE1157">
        <v>-37.015593549999998</v>
      </c>
      <c r="AF1157">
        <v>174.88991181</v>
      </c>
      <c r="AG1157" s="175">
        <v>100</v>
      </c>
      <c r="AH1157" s="175">
        <v>15</v>
      </c>
      <c r="AI1157" s="175">
        <v>1</v>
      </c>
      <c r="AJ1157" s="175">
        <v>12</v>
      </c>
      <c r="AK1157" s="175">
        <v>20</v>
      </c>
      <c r="AL1157" s="175">
        <v>27</v>
      </c>
      <c r="AM1157" s="175">
        <v>25</v>
      </c>
      <c r="AN1157" s="175">
        <v>1</v>
      </c>
      <c r="AO1157" s="175">
        <v>86</v>
      </c>
      <c r="AP1157" s="175">
        <v>7</v>
      </c>
      <c r="AQ1157" s="175">
        <v>18</v>
      </c>
      <c r="AR1157" s="175">
        <v>10</v>
      </c>
      <c r="AS1157" s="175">
        <v>62</v>
      </c>
      <c r="AT1157" s="175">
        <v>3</v>
      </c>
    </row>
    <row r="1158" spans="1:46">
      <c r="A1158">
        <v>25050</v>
      </c>
      <c r="B1158" t="s">
        <v>7469</v>
      </c>
      <c r="C1158" t="s">
        <v>7470</v>
      </c>
      <c r="D1158" t="s">
        <v>7471</v>
      </c>
      <c r="E1158" t="s">
        <v>7472</v>
      </c>
      <c r="F1158" t="s">
        <v>1302</v>
      </c>
      <c r="G1158" t="s">
        <v>737</v>
      </c>
      <c r="H1158" t="s">
        <v>449</v>
      </c>
      <c r="J1158" t="s">
        <v>4032</v>
      </c>
      <c r="K1158" t="s">
        <v>606</v>
      </c>
      <c r="M1158" t="s">
        <v>607</v>
      </c>
      <c r="N1158" t="s">
        <v>643</v>
      </c>
      <c r="O1158" t="s">
        <v>1353</v>
      </c>
      <c r="P1158" t="s">
        <v>739</v>
      </c>
      <c r="Q1158" t="s">
        <v>467</v>
      </c>
      <c r="R1158" t="s">
        <v>814</v>
      </c>
      <c r="S1158" t="s">
        <v>1302</v>
      </c>
      <c r="T1158" t="s">
        <v>794</v>
      </c>
      <c r="U1158">
        <v>162000</v>
      </c>
      <c r="V1158" t="s">
        <v>4118</v>
      </c>
      <c r="W1158" t="s">
        <v>1304</v>
      </c>
      <c r="X1158" t="s">
        <v>7473</v>
      </c>
      <c r="Y1158" t="s">
        <v>7474</v>
      </c>
      <c r="Z1158" t="s">
        <v>5084</v>
      </c>
      <c r="AA1158" t="s">
        <v>7475</v>
      </c>
      <c r="AB1158" t="s">
        <v>7476</v>
      </c>
      <c r="AE1158">
        <v>-37.042530300000003</v>
      </c>
      <c r="AF1158">
        <v>174.92074954</v>
      </c>
      <c r="AG1158" s="175">
        <v>60</v>
      </c>
      <c r="AH1158" s="175">
        <v>20</v>
      </c>
      <c r="AI1158" s="175">
        <v>0</v>
      </c>
      <c r="AJ1158" s="175">
        <v>13</v>
      </c>
      <c r="AK1158" s="175">
        <v>11</v>
      </c>
      <c r="AL1158" s="175">
        <v>9</v>
      </c>
      <c r="AM1158" s="175">
        <v>17</v>
      </c>
      <c r="AN1158" s="175">
        <v>3</v>
      </c>
      <c r="AO1158" s="175">
        <v>53</v>
      </c>
      <c r="AP1158" s="175">
        <v>8</v>
      </c>
      <c r="AQ1158" s="175">
        <v>4</v>
      </c>
      <c r="AR1158" s="175">
        <v>7</v>
      </c>
      <c r="AS1158" s="175">
        <v>38</v>
      </c>
      <c r="AT1158" s="175">
        <v>1</v>
      </c>
    </row>
    <row r="1159" spans="1:46">
      <c r="A1159">
        <v>25052</v>
      </c>
      <c r="B1159" t="s">
        <v>7477</v>
      </c>
      <c r="C1159" t="s">
        <v>7478</v>
      </c>
      <c r="D1159" t="s">
        <v>7479</v>
      </c>
      <c r="E1159" t="s">
        <v>7480</v>
      </c>
      <c r="G1159" t="s">
        <v>1346</v>
      </c>
      <c r="H1159" t="s">
        <v>449</v>
      </c>
      <c r="J1159" t="s">
        <v>605</v>
      </c>
      <c r="K1159" t="s">
        <v>606</v>
      </c>
      <c r="M1159" t="s">
        <v>607</v>
      </c>
      <c r="N1159" t="s">
        <v>643</v>
      </c>
      <c r="O1159" t="s">
        <v>1318</v>
      </c>
      <c r="P1159" t="s">
        <v>1347</v>
      </c>
      <c r="Q1159" t="s">
        <v>467</v>
      </c>
      <c r="R1159" t="s">
        <v>814</v>
      </c>
      <c r="S1159" t="s">
        <v>1331</v>
      </c>
      <c r="T1159" t="s">
        <v>1320</v>
      </c>
      <c r="U1159">
        <v>165302</v>
      </c>
      <c r="V1159" t="s">
        <v>5141</v>
      </c>
      <c r="W1159" t="s">
        <v>1322</v>
      </c>
      <c r="X1159" t="s">
        <v>4013</v>
      </c>
      <c r="Y1159" t="s">
        <v>4014</v>
      </c>
      <c r="Z1159" t="s">
        <v>4015</v>
      </c>
      <c r="AA1159" t="s">
        <v>4016</v>
      </c>
      <c r="AB1159" t="s">
        <v>4017</v>
      </c>
      <c r="AC1159">
        <v>99075</v>
      </c>
      <c r="AD1159" t="s">
        <v>1349</v>
      </c>
      <c r="AE1159">
        <v>-37.196208820000003</v>
      </c>
      <c r="AF1159">
        <v>174.89964935</v>
      </c>
      <c r="AG1159" s="175">
        <v>65</v>
      </c>
      <c r="AH1159" s="175">
        <v>20</v>
      </c>
      <c r="AI1159" s="175">
        <v>2</v>
      </c>
      <c r="AJ1159" s="175">
        <v>11</v>
      </c>
      <c r="AK1159" s="175">
        <v>16</v>
      </c>
      <c r="AL1159" s="175">
        <v>18</v>
      </c>
      <c r="AM1159" s="175">
        <v>22</v>
      </c>
      <c r="AN1159" s="175">
        <v>2</v>
      </c>
      <c r="AO1159" s="175">
        <v>71</v>
      </c>
      <c r="AP1159" s="175">
        <v>10</v>
      </c>
      <c r="AQ1159" s="175">
        <v>30</v>
      </c>
      <c r="AR1159" s="175">
        <v>21</v>
      </c>
      <c r="AS1159" s="175">
        <v>18</v>
      </c>
      <c r="AT1159" s="175">
        <v>4</v>
      </c>
    </row>
    <row r="1160" spans="1:46">
      <c r="A1160">
        <v>25054</v>
      </c>
      <c r="B1160" t="s">
        <v>7481</v>
      </c>
      <c r="C1160" t="s">
        <v>7482</v>
      </c>
      <c r="D1160" t="s">
        <v>7483</v>
      </c>
      <c r="E1160" t="s">
        <v>7484</v>
      </c>
      <c r="F1160" t="s">
        <v>932</v>
      </c>
      <c r="G1160" t="s">
        <v>737</v>
      </c>
      <c r="H1160" t="s">
        <v>449</v>
      </c>
      <c r="I1160" t="s">
        <v>4023</v>
      </c>
      <c r="J1160" t="s">
        <v>605</v>
      </c>
      <c r="K1160" t="s">
        <v>606</v>
      </c>
      <c r="M1160" t="s">
        <v>607</v>
      </c>
      <c r="N1160" t="s">
        <v>812</v>
      </c>
      <c r="O1160" t="s">
        <v>933</v>
      </c>
      <c r="P1160" t="s">
        <v>739</v>
      </c>
      <c r="Q1160" t="s">
        <v>467</v>
      </c>
      <c r="R1160" t="s">
        <v>814</v>
      </c>
      <c r="S1160" t="s">
        <v>934</v>
      </c>
      <c r="T1160" t="s">
        <v>794</v>
      </c>
      <c r="U1160">
        <v>151800</v>
      </c>
      <c r="V1160" t="s">
        <v>7485</v>
      </c>
      <c r="W1160" t="s">
        <v>817</v>
      </c>
      <c r="X1160" t="s">
        <v>7486</v>
      </c>
      <c r="Y1160" t="s">
        <v>7487</v>
      </c>
      <c r="Z1160" t="s">
        <v>1030</v>
      </c>
      <c r="AA1160" t="s">
        <v>4679</v>
      </c>
      <c r="AB1160" t="s">
        <v>7482</v>
      </c>
      <c r="AC1160">
        <v>99124</v>
      </c>
      <c r="AD1160" t="s">
        <v>4646</v>
      </c>
      <c r="AE1160">
        <v>-36.967457490000001</v>
      </c>
      <c r="AF1160">
        <v>174.82045346000001</v>
      </c>
      <c r="AG1160" s="175">
        <v>80</v>
      </c>
      <c r="AH1160" s="175">
        <v>10</v>
      </c>
      <c r="AI1160" s="175">
        <v>0</v>
      </c>
      <c r="AJ1160" s="175">
        <v>4</v>
      </c>
      <c r="AK1160" s="175">
        <v>13</v>
      </c>
      <c r="AL1160" s="175">
        <v>14</v>
      </c>
      <c r="AM1160" s="175">
        <v>24</v>
      </c>
      <c r="AN1160" s="175">
        <v>3</v>
      </c>
      <c r="AO1160" s="175">
        <v>58</v>
      </c>
      <c r="AP1160" s="175">
        <v>12</v>
      </c>
      <c r="AQ1160" s="175">
        <v>17</v>
      </c>
      <c r="AR1160" s="175">
        <v>48</v>
      </c>
      <c r="AS1160" s="175">
        <v>9</v>
      </c>
      <c r="AT1160" s="175">
        <v>0</v>
      </c>
    </row>
    <row r="1161" spans="1:46">
      <c r="A1161">
        <v>25055</v>
      </c>
      <c r="B1161" t="s">
        <v>7488</v>
      </c>
      <c r="C1161" t="s">
        <v>7489</v>
      </c>
      <c r="D1161" t="s">
        <v>7490</v>
      </c>
      <c r="E1161" t="s">
        <v>7491</v>
      </c>
      <c r="F1161" t="s">
        <v>1120</v>
      </c>
      <c r="G1161" t="s">
        <v>737</v>
      </c>
      <c r="H1161" t="s">
        <v>449</v>
      </c>
      <c r="J1161" t="s">
        <v>605</v>
      </c>
      <c r="K1161" t="s">
        <v>606</v>
      </c>
      <c r="M1161" t="s">
        <v>607</v>
      </c>
      <c r="N1161" t="s">
        <v>643</v>
      </c>
      <c r="O1161" t="s">
        <v>813</v>
      </c>
      <c r="P1161" t="s">
        <v>739</v>
      </c>
      <c r="Q1161" t="s">
        <v>467</v>
      </c>
      <c r="R1161" t="s">
        <v>814</v>
      </c>
      <c r="S1161" t="s">
        <v>815</v>
      </c>
      <c r="T1161" t="s">
        <v>794</v>
      </c>
      <c r="U1161">
        <v>154901</v>
      </c>
      <c r="V1161" t="s">
        <v>1176</v>
      </c>
      <c r="W1161" t="s">
        <v>817</v>
      </c>
      <c r="X1161" t="s">
        <v>4013</v>
      </c>
      <c r="Y1161" t="s">
        <v>4014</v>
      </c>
      <c r="Z1161" t="s">
        <v>4015</v>
      </c>
      <c r="AA1161" t="s">
        <v>4016</v>
      </c>
      <c r="AB1161" t="s">
        <v>4017</v>
      </c>
      <c r="AC1161">
        <v>99102</v>
      </c>
      <c r="AD1161" t="s">
        <v>1123</v>
      </c>
      <c r="AE1161">
        <v>-36.978502509999998</v>
      </c>
      <c r="AF1161">
        <v>174.85053895999999</v>
      </c>
      <c r="AG1161" s="175">
        <v>50</v>
      </c>
      <c r="AH1161" s="175">
        <v>14</v>
      </c>
      <c r="AI1161" s="175">
        <v>1</v>
      </c>
      <c r="AJ1161" s="175">
        <v>6</v>
      </c>
      <c r="AK1161" s="175">
        <v>8</v>
      </c>
      <c r="AL1161" s="175">
        <v>18</v>
      </c>
      <c r="AM1161" s="175">
        <v>16</v>
      </c>
      <c r="AN1161" s="175">
        <v>0</v>
      </c>
      <c r="AO1161" s="175">
        <v>49</v>
      </c>
      <c r="AP1161" s="175">
        <v>0</v>
      </c>
      <c r="AQ1161" s="175">
        <v>2</v>
      </c>
      <c r="AR1161" s="175">
        <v>9</v>
      </c>
      <c r="AS1161" s="175">
        <v>41</v>
      </c>
      <c r="AT1161" s="175">
        <v>0</v>
      </c>
    </row>
    <row r="1162" spans="1:46">
      <c r="A1162">
        <v>25057</v>
      </c>
      <c r="B1162" t="s">
        <v>7492</v>
      </c>
      <c r="C1162" t="s">
        <v>7493</v>
      </c>
      <c r="D1162" t="s">
        <v>7494</v>
      </c>
      <c r="E1162" t="s">
        <v>5510</v>
      </c>
      <c r="G1162" t="s">
        <v>4089</v>
      </c>
      <c r="H1162" t="s">
        <v>449</v>
      </c>
      <c r="I1162" t="s">
        <v>6893</v>
      </c>
      <c r="J1162" t="s">
        <v>605</v>
      </c>
      <c r="K1162" t="s">
        <v>606</v>
      </c>
      <c r="M1162" t="s">
        <v>607</v>
      </c>
      <c r="N1162" t="s">
        <v>657</v>
      </c>
      <c r="O1162" t="s">
        <v>1318</v>
      </c>
      <c r="P1162" t="s">
        <v>626</v>
      </c>
      <c r="Q1162" t="s">
        <v>467</v>
      </c>
      <c r="R1162" t="s">
        <v>793</v>
      </c>
      <c r="S1162" t="s">
        <v>1319</v>
      </c>
      <c r="T1162" t="s">
        <v>1320</v>
      </c>
      <c r="U1162">
        <v>162901</v>
      </c>
      <c r="V1162" t="s">
        <v>4089</v>
      </c>
      <c r="W1162" t="s">
        <v>1322</v>
      </c>
      <c r="X1162" t="s">
        <v>7495</v>
      </c>
      <c r="Y1162" t="s">
        <v>7496</v>
      </c>
      <c r="Z1162" t="s">
        <v>4089</v>
      </c>
      <c r="AA1162" t="s">
        <v>7497</v>
      </c>
      <c r="AB1162" t="s">
        <v>7498</v>
      </c>
      <c r="AE1162">
        <v>-36.992068199999999</v>
      </c>
      <c r="AF1162">
        <v>175.03705210000001</v>
      </c>
      <c r="AG1162" s="175">
        <v>62</v>
      </c>
      <c r="AH1162" s="175">
        <v>13</v>
      </c>
      <c r="AI1162" s="175">
        <v>1</v>
      </c>
      <c r="AJ1162" s="175">
        <v>12</v>
      </c>
      <c r="AK1162" s="175">
        <v>15</v>
      </c>
      <c r="AL1162" s="175">
        <v>22</v>
      </c>
      <c r="AM1162" s="175">
        <v>21</v>
      </c>
      <c r="AN1162" s="175">
        <v>2</v>
      </c>
      <c r="AO1162" s="175">
        <v>73</v>
      </c>
      <c r="AP1162" s="175">
        <v>71</v>
      </c>
      <c r="AQ1162" s="175">
        <v>9</v>
      </c>
      <c r="AR1162" s="175">
        <v>3</v>
      </c>
      <c r="AS1162" s="175">
        <v>6</v>
      </c>
      <c r="AT1162" s="175">
        <v>3</v>
      </c>
    </row>
    <row r="1163" spans="1:46">
      <c r="A1163">
        <v>25059</v>
      </c>
      <c r="B1163" t="s">
        <v>7499</v>
      </c>
      <c r="C1163" t="s">
        <v>7500</v>
      </c>
      <c r="D1163" t="s">
        <v>7501</v>
      </c>
      <c r="E1163" t="s">
        <v>7502</v>
      </c>
      <c r="F1163" t="s">
        <v>1157</v>
      </c>
      <c r="G1163" t="s">
        <v>737</v>
      </c>
      <c r="H1163" t="s">
        <v>449</v>
      </c>
      <c r="I1163" t="s">
        <v>6893</v>
      </c>
      <c r="J1163" t="s">
        <v>605</v>
      </c>
      <c r="K1163" t="s">
        <v>606</v>
      </c>
      <c r="M1163" t="s">
        <v>607</v>
      </c>
      <c r="N1163" t="s">
        <v>608</v>
      </c>
      <c r="O1163" t="s">
        <v>933</v>
      </c>
      <c r="P1163" t="s">
        <v>739</v>
      </c>
      <c r="Q1163" t="s">
        <v>467</v>
      </c>
      <c r="R1163" t="s">
        <v>814</v>
      </c>
      <c r="S1163" t="s">
        <v>815</v>
      </c>
      <c r="T1163" t="s">
        <v>794</v>
      </c>
      <c r="U1163">
        <v>150101</v>
      </c>
      <c r="V1163" t="s">
        <v>4174</v>
      </c>
      <c r="W1163" t="s">
        <v>817</v>
      </c>
      <c r="X1163" t="s">
        <v>7503</v>
      </c>
      <c r="Y1163" t="s">
        <v>7502</v>
      </c>
      <c r="Z1163" t="s">
        <v>1157</v>
      </c>
      <c r="AA1163" t="s">
        <v>4952</v>
      </c>
      <c r="AB1163" t="s">
        <v>7504</v>
      </c>
      <c r="AE1163">
        <v>-36.942752290000001</v>
      </c>
      <c r="AF1163">
        <v>174.84147332000001</v>
      </c>
      <c r="AG1163" s="175">
        <v>40</v>
      </c>
      <c r="AH1163" s="175">
        <v>0</v>
      </c>
      <c r="AI1163" s="175">
        <v>0</v>
      </c>
      <c r="AJ1163" s="175">
        <v>0</v>
      </c>
      <c r="AK1163" s="175">
        <v>13</v>
      </c>
      <c r="AL1163" s="175">
        <v>10</v>
      </c>
      <c r="AM1163" s="175">
        <v>17</v>
      </c>
      <c r="AN1163" s="175">
        <v>1</v>
      </c>
      <c r="AO1163" s="175">
        <v>41</v>
      </c>
      <c r="AP1163" s="175">
        <v>4</v>
      </c>
      <c r="AQ1163" s="175">
        <v>9</v>
      </c>
      <c r="AR1163" s="175">
        <v>31</v>
      </c>
      <c r="AS1163" s="175">
        <v>6</v>
      </c>
      <c r="AT1163" s="175">
        <v>0</v>
      </c>
    </row>
    <row r="1164" spans="1:46">
      <c r="A1164">
        <v>25061</v>
      </c>
      <c r="B1164" t="s">
        <v>7505</v>
      </c>
      <c r="C1164" t="s">
        <v>7506</v>
      </c>
      <c r="D1164" t="s">
        <v>7507</v>
      </c>
      <c r="E1164" t="s">
        <v>7508</v>
      </c>
      <c r="F1164" t="s">
        <v>1120</v>
      </c>
      <c r="G1164" t="s">
        <v>737</v>
      </c>
      <c r="H1164" t="s">
        <v>449</v>
      </c>
      <c r="I1164" t="s">
        <v>4233</v>
      </c>
      <c r="J1164" t="s">
        <v>4032</v>
      </c>
      <c r="K1164" t="s">
        <v>606</v>
      </c>
      <c r="M1164" t="s">
        <v>607</v>
      </c>
      <c r="N1164" t="s">
        <v>608</v>
      </c>
      <c r="O1164" t="s">
        <v>813</v>
      </c>
      <c r="P1164" t="s">
        <v>739</v>
      </c>
      <c r="Q1164" t="s">
        <v>467</v>
      </c>
      <c r="R1164" t="s">
        <v>814</v>
      </c>
      <c r="S1164" t="s">
        <v>1121</v>
      </c>
      <c r="T1164" t="s">
        <v>794</v>
      </c>
      <c r="U1164">
        <v>156700</v>
      </c>
      <c r="V1164" t="s">
        <v>7509</v>
      </c>
      <c r="W1164" t="s">
        <v>817</v>
      </c>
      <c r="X1164" t="s">
        <v>7374</v>
      </c>
      <c r="Y1164" t="s">
        <v>7375</v>
      </c>
      <c r="Z1164" t="s">
        <v>848</v>
      </c>
      <c r="AA1164" t="s">
        <v>5965</v>
      </c>
      <c r="AB1164" t="s">
        <v>7376</v>
      </c>
      <c r="AE1164">
        <v>-36.987985969999997</v>
      </c>
      <c r="AF1164">
        <v>174.85982802000001</v>
      </c>
      <c r="AG1164" s="175">
        <v>50</v>
      </c>
      <c r="AH1164" s="175">
        <v>10</v>
      </c>
      <c r="AI1164" s="175">
        <v>2</v>
      </c>
      <c r="AJ1164" s="175">
        <v>7</v>
      </c>
      <c r="AK1164" s="175">
        <v>8</v>
      </c>
      <c r="AL1164" s="175">
        <v>13</v>
      </c>
      <c r="AM1164" s="175">
        <v>22</v>
      </c>
      <c r="AN1164" s="175">
        <v>3</v>
      </c>
      <c r="AO1164" s="175">
        <v>55</v>
      </c>
      <c r="AP1164" s="175">
        <v>5</v>
      </c>
      <c r="AQ1164" s="175">
        <v>3</v>
      </c>
      <c r="AR1164" s="175">
        <v>21</v>
      </c>
      <c r="AS1164" s="175">
        <v>34</v>
      </c>
      <c r="AT1164" s="175">
        <v>0</v>
      </c>
    </row>
    <row r="1165" spans="1:46">
      <c r="A1165">
        <v>25062</v>
      </c>
      <c r="B1165" t="s">
        <v>7510</v>
      </c>
      <c r="C1165" t="s">
        <v>7511</v>
      </c>
      <c r="D1165" t="s">
        <v>7512</v>
      </c>
      <c r="E1165" t="s">
        <v>7513</v>
      </c>
      <c r="F1165" t="s">
        <v>1121</v>
      </c>
      <c r="G1165" t="s">
        <v>737</v>
      </c>
      <c r="H1165" t="s">
        <v>449</v>
      </c>
      <c r="I1165" t="s">
        <v>4023</v>
      </c>
      <c r="J1165" t="s">
        <v>605</v>
      </c>
      <c r="K1165" t="s">
        <v>606</v>
      </c>
      <c r="M1165" t="s">
        <v>607</v>
      </c>
      <c r="N1165" t="s">
        <v>608</v>
      </c>
      <c r="O1165" t="s">
        <v>1301</v>
      </c>
      <c r="P1165" t="s">
        <v>739</v>
      </c>
      <c r="Q1165" t="s">
        <v>467</v>
      </c>
      <c r="R1165" t="s">
        <v>814</v>
      </c>
      <c r="S1165" t="s">
        <v>1121</v>
      </c>
      <c r="T1165" t="s">
        <v>794</v>
      </c>
      <c r="U1165">
        <v>159900</v>
      </c>
      <c r="V1165" t="s">
        <v>1326</v>
      </c>
      <c r="W1165" t="s">
        <v>1304</v>
      </c>
      <c r="X1165" t="s">
        <v>7514</v>
      </c>
      <c r="Y1165" t="s">
        <v>7515</v>
      </c>
      <c r="Z1165" t="s">
        <v>1121</v>
      </c>
      <c r="AA1165" t="s">
        <v>7401</v>
      </c>
      <c r="AC1165">
        <v>99211</v>
      </c>
      <c r="AD1165" t="s">
        <v>7342</v>
      </c>
      <c r="AE1165">
        <v>-37.03185714</v>
      </c>
      <c r="AF1165">
        <v>174.87427661000001</v>
      </c>
      <c r="AG1165" s="175">
        <v>50</v>
      </c>
      <c r="AH1165" s="175">
        <v>4</v>
      </c>
      <c r="AI1165" s="175">
        <v>0</v>
      </c>
      <c r="AJ1165" s="175">
        <v>0</v>
      </c>
      <c r="AK1165" s="175">
        <v>2</v>
      </c>
      <c r="AL1165" s="175">
        <v>12</v>
      </c>
      <c r="AM1165" s="175">
        <v>16</v>
      </c>
      <c r="AN1165" s="175">
        <v>3</v>
      </c>
      <c r="AO1165" s="175">
        <v>33</v>
      </c>
      <c r="AP1165" s="175">
        <v>9</v>
      </c>
      <c r="AQ1165" s="175">
        <v>7</v>
      </c>
      <c r="AR1165" s="175">
        <v>24</v>
      </c>
      <c r="AS1165" s="175">
        <v>2</v>
      </c>
      <c r="AT1165" s="175">
        <v>4</v>
      </c>
    </row>
    <row r="1166" spans="1:46">
      <c r="A1166">
        <v>25064</v>
      </c>
      <c r="B1166" t="s">
        <v>7516</v>
      </c>
      <c r="C1166" t="s">
        <v>7517</v>
      </c>
      <c r="D1166" t="s">
        <v>7518</v>
      </c>
      <c r="E1166" t="s">
        <v>7519</v>
      </c>
      <c r="F1166" t="s">
        <v>964</v>
      </c>
      <c r="G1166" t="s">
        <v>737</v>
      </c>
      <c r="H1166" t="s">
        <v>449</v>
      </c>
      <c r="I1166" t="s">
        <v>4320</v>
      </c>
      <c r="J1166" t="s">
        <v>605</v>
      </c>
      <c r="K1166" t="s">
        <v>606</v>
      </c>
      <c r="M1166" t="s">
        <v>607</v>
      </c>
      <c r="N1166" t="s">
        <v>812</v>
      </c>
      <c r="O1166" t="s">
        <v>914</v>
      </c>
      <c r="P1166" t="s">
        <v>739</v>
      </c>
      <c r="Q1166" t="s">
        <v>467</v>
      </c>
      <c r="R1166" t="s">
        <v>793</v>
      </c>
      <c r="S1166" t="s">
        <v>965</v>
      </c>
      <c r="T1166" t="s">
        <v>794</v>
      </c>
      <c r="U1166">
        <v>145800</v>
      </c>
      <c r="V1166" t="s">
        <v>966</v>
      </c>
      <c r="W1166" t="s">
        <v>892</v>
      </c>
      <c r="X1166" t="s">
        <v>4321</v>
      </c>
      <c r="Y1166" t="s">
        <v>7520</v>
      </c>
      <c r="Z1166" t="s">
        <v>1030</v>
      </c>
      <c r="AA1166" t="s">
        <v>7521</v>
      </c>
      <c r="AE1166">
        <v>-36.877834249999999</v>
      </c>
      <c r="AF1166">
        <v>174.86492346</v>
      </c>
      <c r="AG1166" s="175">
        <v>25</v>
      </c>
      <c r="AH1166" s="175">
        <v>5</v>
      </c>
      <c r="AI1166" s="175">
        <v>0</v>
      </c>
      <c r="AJ1166" s="175">
        <v>5</v>
      </c>
      <c r="AK1166" s="175">
        <v>9</v>
      </c>
      <c r="AL1166" s="175">
        <v>5</v>
      </c>
      <c r="AM1166" s="175">
        <v>3</v>
      </c>
      <c r="AN1166" s="175">
        <v>0</v>
      </c>
      <c r="AO1166" s="175">
        <v>22</v>
      </c>
      <c r="AP1166" s="175">
        <v>0</v>
      </c>
      <c r="AQ1166" s="175">
        <v>1</v>
      </c>
      <c r="AR1166" s="175">
        <v>22</v>
      </c>
      <c r="AS1166" s="175">
        <v>0</v>
      </c>
      <c r="AT1166" s="175">
        <v>2</v>
      </c>
    </row>
    <row r="1167" spans="1:46">
      <c r="A1167">
        <v>25066</v>
      </c>
      <c r="B1167" t="s">
        <v>7522</v>
      </c>
      <c r="C1167" t="s">
        <v>7523</v>
      </c>
      <c r="E1167" t="s">
        <v>7524</v>
      </c>
      <c r="F1167" t="s">
        <v>932</v>
      </c>
      <c r="G1167" t="s">
        <v>737</v>
      </c>
      <c r="H1167" t="s">
        <v>347</v>
      </c>
      <c r="J1167" t="s">
        <v>605</v>
      </c>
      <c r="K1167" t="s">
        <v>606</v>
      </c>
      <c r="L1167" t="s">
        <v>4273</v>
      </c>
      <c r="M1167" t="s">
        <v>607</v>
      </c>
      <c r="N1167" t="s">
        <v>608</v>
      </c>
      <c r="O1167" t="s">
        <v>933</v>
      </c>
      <c r="P1167" t="s">
        <v>739</v>
      </c>
      <c r="Q1167" t="s">
        <v>467</v>
      </c>
      <c r="R1167" t="s">
        <v>814</v>
      </c>
      <c r="S1167" t="s">
        <v>934</v>
      </c>
      <c r="T1167" t="s">
        <v>794</v>
      </c>
      <c r="U1167">
        <v>148501</v>
      </c>
      <c r="V1167" t="s">
        <v>7525</v>
      </c>
      <c r="W1167" t="s">
        <v>817</v>
      </c>
      <c r="X1167" t="s">
        <v>4275</v>
      </c>
      <c r="Y1167" t="s">
        <v>4276</v>
      </c>
      <c r="Z1167" t="s">
        <v>4277</v>
      </c>
      <c r="AA1167" t="s">
        <v>4278</v>
      </c>
      <c r="AE1167">
        <v>-36.965050130000002</v>
      </c>
      <c r="AF1167">
        <v>174.79622343</v>
      </c>
      <c r="AG1167" s="175">
        <v>37</v>
      </c>
      <c r="AH1167" s="175">
        <v>10</v>
      </c>
      <c r="AI1167" s="175">
        <v>3</v>
      </c>
      <c r="AJ1167" s="175">
        <v>3</v>
      </c>
      <c r="AK1167" s="175">
        <v>8</v>
      </c>
      <c r="AL1167" s="175">
        <v>9</v>
      </c>
      <c r="AM1167" s="175">
        <v>4</v>
      </c>
      <c r="AN1167" s="175">
        <v>0</v>
      </c>
      <c r="AO1167" s="175">
        <v>27</v>
      </c>
      <c r="AP1167" s="175">
        <v>0</v>
      </c>
      <c r="AQ1167" s="175">
        <v>24</v>
      </c>
      <c r="AR1167" s="175">
        <v>3</v>
      </c>
      <c r="AS1167" s="175">
        <v>0</v>
      </c>
      <c r="AT1167" s="175">
        <v>0</v>
      </c>
    </row>
    <row r="1168" spans="1:46">
      <c r="A1168">
        <v>25068</v>
      </c>
      <c r="B1168" t="s">
        <v>7526</v>
      </c>
      <c r="C1168" t="s">
        <v>7527</v>
      </c>
      <c r="D1168" t="s">
        <v>4697</v>
      </c>
      <c r="E1168" t="s">
        <v>7528</v>
      </c>
      <c r="F1168" t="s">
        <v>1114</v>
      </c>
      <c r="G1168" t="s">
        <v>737</v>
      </c>
      <c r="H1168" t="s">
        <v>449</v>
      </c>
      <c r="J1168" t="s">
        <v>4032</v>
      </c>
      <c r="K1168" t="s">
        <v>606</v>
      </c>
      <c r="M1168" t="s">
        <v>607</v>
      </c>
      <c r="N1168" t="s">
        <v>657</v>
      </c>
      <c r="O1168" t="s">
        <v>914</v>
      </c>
      <c r="P1168" t="s">
        <v>739</v>
      </c>
      <c r="Q1168" t="s">
        <v>467</v>
      </c>
      <c r="R1168" t="s">
        <v>793</v>
      </c>
      <c r="S1168" t="s">
        <v>815</v>
      </c>
      <c r="T1168" t="s">
        <v>794</v>
      </c>
      <c r="U1168">
        <v>146000</v>
      </c>
      <c r="V1168" t="s">
        <v>7529</v>
      </c>
      <c r="W1168" t="s">
        <v>892</v>
      </c>
      <c r="X1168" t="s">
        <v>4700</v>
      </c>
      <c r="Y1168" t="s">
        <v>7530</v>
      </c>
      <c r="AA1168" t="s">
        <v>7531</v>
      </c>
      <c r="AB1168" t="s">
        <v>4703</v>
      </c>
      <c r="AE1168">
        <v>-36.895800080000001</v>
      </c>
      <c r="AF1168">
        <v>174.84382411000001</v>
      </c>
      <c r="AG1168" s="175">
        <v>84</v>
      </c>
      <c r="AH1168" s="175">
        <v>25</v>
      </c>
      <c r="AI1168" s="175">
        <v>1</v>
      </c>
      <c r="AJ1168" s="175">
        <v>8</v>
      </c>
      <c r="AK1168" s="175">
        <v>15</v>
      </c>
      <c r="AL1168" s="175">
        <v>6</v>
      </c>
      <c r="AM1168" s="175">
        <v>8</v>
      </c>
      <c r="AN1168" s="175">
        <v>2</v>
      </c>
      <c r="AO1168" s="175">
        <v>40</v>
      </c>
      <c r="AP1168" s="175">
        <v>21</v>
      </c>
      <c r="AQ1168" s="175">
        <v>6</v>
      </c>
      <c r="AR1168" s="175">
        <v>9</v>
      </c>
      <c r="AS1168" s="175">
        <v>12</v>
      </c>
      <c r="AT1168" s="175">
        <v>2</v>
      </c>
    </row>
    <row r="1169" spans="1:46">
      <c r="A1169">
        <v>25069</v>
      </c>
      <c r="B1169" t="s">
        <v>7532</v>
      </c>
      <c r="C1169" t="s">
        <v>7533</v>
      </c>
      <c r="E1169" t="s">
        <v>7534</v>
      </c>
      <c r="F1169" t="s">
        <v>811</v>
      </c>
      <c r="G1169" t="s">
        <v>737</v>
      </c>
      <c r="H1169" t="s">
        <v>347</v>
      </c>
      <c r="J1169" t="s">
        <v>605</v>
      </c>
      <c r="K1169" t="s">
        <v>606</v>
      </c>
      <c r="L1169" t="s">
        <v>4273</v>
      </c>
      <c r="M1169" t="s">
        <v>607</v>
      </c>
      <c r="N1169" t="s">
        <v>608</v>
      </c>
      <c r="O1169" t="s">
        <v>813</v>
      </c>
      <c r="P1169" t="s">
        <v>739</v>
      </c>
      <c r="Q1169" t="s">
        <v>467</v>
      </c>
      <c r="R1169" t="s">
        <v>814</v>
      </c>
      <c r="S1169" t="s">
        <v>863</v>
      </c>
      <c r="T1169" t="s">
        <v>794</v>
      </c>
      <c r="U1169">
        <v>157701</v>
      </c>
      <c r="V1169" t="s">
        <v>4562</v>
      </c>
      <c r="W1169" t="s">
        <v>817</v>
      </c>
      <c r="X1169" t="s">
        <v>4275</v>
      </c>
      <c r="Y1169" t="s">
        <v>4276</v>
      </c>
      <c r="Z1169" t="s">
        <v>4277</v>
      </c>
      <c r="AA1169" t="s">
        <v>4278</v>
      </c>
      <c r="AE1169">
        <v>-36.978312019999997</v>
      </c>
      <c r="AF1169">
        <v>174.89364119000001</v>
      </c>
      <c r="AG1169" s="175">
        <v>35</v>
      </c>
      <c r="AH1169" s="175">
        <v>8</v>
      </c>
      <c r="AI1169" s="175">
        <v>0</v>
      </c>
      <c r="AJ1169" s="175">
        <v>8</v>
      </c>
      <c r="AK1169" s="175">
        <v>4</v>
      </c>
      <c r="AL1169" s="175">
        <v>11</v>
      </c>
      <c r="AM1169" s="175">
        <v>8</v>
      </c>
      <c r="AN1169" s="175">
        <v>0</v>
      </c>
      <c r="AO1169" s="175">
        <v>31</v>
      </c>
      <c r="AP1169" s="175">
        <v>0</v>
      </c>
      <c r="AQ1169" s="175">
        <v>29</v>
      </c>
      <c r="AR1169" s="175">
        <v>1</v>
      </c>
      <c r="AS1169" s="175">
        <v>0</v>
      </c>
      <c r="AT1169" s="175">
        <v>1</v>
      </c>
    </row>
    <row r="1170" spans="1:46">
      <c r="A1170">
        <v>25072</v>
      </c>
      <c r="B1170" t="s">
        <v>7535</v>
      </c>
      <c r="C1170" t="s">
        <v>7536</v>
      </c>
      <c r="D1170" t="s">
        <v>7537</v>
      </c>
      <c r="E1170" t="s">
        <v>7538</v>
      </c>
      <c r="F1170" t="s">
        <v>1102</v>
      </c>
      <c r="G1170" t="s">
        <v>737</v>
      </c>
      <c r="H1170" t="s">
        <v>449</v>
      </c>
      <c r="J1170" t="s">
        <v>4032</v>
      </c>
      <c r="K1170" t="s">
        <v>606</v>
      </c>
      <c r="M1170" t="s">
        <v>607</v>
      </c>
      <c r="N1170" t="s">
        <v>657</v>
      </c>
      <c r="O1170" t="s">
        <v>942</v>
      </c>
      <c r="P1170" t="s">
        <v>739</v>
      </c>
      <c r="Q1170" t="s">
        <v>467</v>
      </c>
      <c r="R1170" t="s">
        <v>793</v>
      </c>
      <c r="S1170" t="s">
        <v>998</v>
      </c>
      <c r="T1170" t="s">
        <v>794</v>
      </c>
      <c r="U1170">
        <v>139900</v>
      </c>
      <c r="V1170" t="s">
        <v>6051</v>
      </c>
      <c r="W1170" t="s">
        <v>945</v>
      </c>
      <c r="X1170" t="s">
        <v>7539</v>
      </c>
      <c r="Y1170" t="s">
        <v>7540</v>
      </c>
      <c r="Z1170" t="s">
        <v>1187</v>
      </c>
      <c r="AA1170" t="s">
        <v>5965</v>
      </c>
      <c r="AB1170" t="s">
        <v>7541</v>
      </c>
      <c r="AE1170">
        <v>-36.896556609999998</v>
      </c>
      <c r="AF1170">
        <v>174.74755275000001</v>
      </c>
      <c r="AG1170" s="175">
        <v>110</v>
      </c>
      <c r="AH1170" s="175">
        <v>40</v>
      </c>
      <c r="AI1170" s="175">
        <v>3</v>
      </c>
      <c r="AJ1170" s="175">
        <v>24</v>
      </c>
      <c r="AK1170" s="175">
        <v>31</v>
      </c>
      <c r="AL1170" s="175">
        <v>33</v>
      </c>
      <c r="AM1170" s="175">
        <v>29</v>
      </c>
      <c r="AN1170" s="175">
        <v>1</v>
      </c>
      <c r="AO1170" s="175">
        <v>121</v>
      </c>
      <c r="AP1170" s="175">
        <v>88</v>
      </c>
      <c r="AQ1170" s="175">
        <v>11</v>
      </c>
      <c r="AR1170" s="175">
        <v>4</v>
      </c>
      <c r="AS1170" s="175">
        <v>51</v>
      </c>
      <c r="AT1170" s="175">
        <v>3</v>
      </c>
    </row>
    <row r="1171" spans="1:46">
      <c r="A1171">
        <v>25077</v>
      </c>
      <c r="B1171" t="s">
        <v>7542</v>
      </c>
      <c r="C1171" t="s">
        <v>7543</v>
      </c>
      <c r="D1171" t="s">
        <v>7544</v>
      </c>
      <c r="E1171" t="s">
        <v>7545</v>
      </c>
      <c r="F1171" t="s">
        <v>4015</v>
      </c>
      <c r="G1171" t="s">
        <v>737</v>
      </c>
      <c r="H1171" t="s">
        <v>449</v>
      </c>
      <c r="J1171" t="s">
        <v>605</v>
      </c>
      <c r="K1171" t="s">
        <v>606</v>
      </c>
      <c r="M1171" t="s">
        <v>607</v>
      </c>
      <c r="N1171" t="s">
        <v>625</v>
      </c>
      <c r="O1171" t="s">
        <v>1301</v>
      </c>
      <c r="P1171" t="s">
        <v>739</v>
      </c>
      <c r="Q1171" t="s">
        <v>467</v>
      </c>
      <c r="R1171" t="s">
        <v>814</v>
      </c>
      <c r="S1171" t="s">
        <v>1121</v>
      </c>
      <c r="T1171" t="s">
        <v>794</v>
      </c>
      <c r="U1171">
        <v>158401</v>
      </c>
      <c r="V1171" t="s">
        <v>3865</v>
      </c>
      <c r="W1171" t="s">
        <v>1304</v>
      </c>
      <c r="X1171" t="s">
        <v>7546</v>
      </c>
      <c r="Y1171" t="s">
        <v>7545</v>
      </c>
      <c r="Z1171" t="s">
        <v>4015</v>
      </c>
      <c r="AA1171" t="s">
        <v>7547</v>
      </c>
      <c r="AB1171" t="s">
        <v>7543</v>
      </c>
      <c r="AC1171">
        <v>99187</v>
      </c>
      <c r="AD1171" t="s">
        <v>1342</v>
      </c>
      <c r="AE1171">
        <v>-37.000650579999999</v>
      </c>
      <c r="AF1171">
        <v>174.88169730000001</v>
      </c>
      <c r="AG1171" s="175">
        <v>75</v>
      </c>
      <c r="AH1171" s="175">
        <v>18</v>
      </c>
      <c r="AI1171" s="175">
        <v>5</v>
      </c>
      <c r="AJ1171" s="175">
        <v>10</v>
      </c>
      <c r="AK1171" s="175">
        <v>12</v>
      </c>
      <c r="AL1171" s="175">
        <v>10</v>
      </c>
      <c r="AM1171" s="175">
        <v>17</v>
      </c>
      <c r="AN1171" s="175">
        <v>1</v>
      </c>
      <c r="AO1171" s="175">
        <v>55</v>
      </c>
      <c r="AP1171" s="175">
        <v>11</v>
      </c>
      <c r="AQ1171" s="175">
        <v>14</v>
      </c>
      <c r="AR1171" s="175">
        <v>27</v>
      </c>
      <c r="AS1171" s="175">
        <v>23</v>
      </c>
      <c r="AT1171" s="175">
        <v>0</v>
      </c>
    </row>
    <row r="1172" spans="1:46">
      <c r="A1172">
        <v>25078</v>
      </c>
      <c r="B1172" t="s">
        <v>7548</v>
      </c>
      <c r="C1172" t="s">
        <v>7549</v>
      </c>
      <c r="D1172" t="s">
        <v>7550</v>
      </c>
      <c r="E1172" t="s">
        <v>7551</v>
      </c>
      <c r="G1172" t="s">
        <v>1346</v>
      </c>
      <c r="H1172" t="s">
        <v>449</v>
      </c>
      <c r="J1172" t="s">
        <v>605</v>
      </c>
      <c r="K1172" t="s">
        <v>606</v>
      </c>
      <c r="M1172" t="s">
        <v>607</v>
      </c>
      <c r="N1172" t="s">
        <v>657</v>
      </c>
      <c r="O1172" t="s">
        <v>1318</v>
      </c>
      <c r="P1172" t="s">
        <v>1347</v>
      </c>
      <c r="Q1172" t="s">
        <v>467</v>
      </c>
      <c r="R1172" t="s">
        <v>814</v>
      </c>
      <c r="S1172" t="s">
        <v>1331</v>
      </c>
      <c r="T1172" t="s">
        <v>1320</v>
      </c>
      <c r="U1172">
        <v>165700</v>
      </c>
      <c r="V1172" t="s">
        <v>1348</v>
      </c>
      <c r="W1172" t="s">
        <v>1322</v>
      </c>
      <c r="X1172" t="s">
        <v>7552</v>
      </c>
      <c r="Y1172" t="s">
        <v>7553</v>
      </c>
      <c r="AA1172" t="s">
        <v>7554</v>
      </c>
      <c r="AC1172">
        <v>99075</v>
      </c>
      <c r="AD1172" t="s">
        <v>1349</v>
      </c>
      <c r="AE1172">
        <v>-37.20201127</v>
      </c>
      <c r="AF1172">
        <v>174.89893411</v>
      </c>
      <c r="AG1172" s="175">
        <v>30</v>
      </c>
      <c r="AH1172" s="175">
        <v>0</v>
      </c>
      <c r="AI1172" s="175">
        <v>0</v>
      </c>
      <c r="AJ1172" s="175">
        <v>0</v>
      </c>
      <c r="AK1172" s="175">
        <v>5</v>
      </c>
      <c r="AL1172" s="175">
        <v>10</v>
      </c>
      <c r="AM1172" s="175">
        <v>16</v>
      </c>
      <c r="AN1172" s="175">
        <v>1</v>
      </c>
      <c r="AO1172" s="175">
        <v>32</v>
      </c>
      <c r="AP1172" s="175">
        <v>27</v>
      </c>
      <c r="AQ1172" s="175">
        <v>5</v>
      </c>
      <c r="AR1172" s="175">
        <v>2</v>
      </c>
      <c r="AS1172" s="175">
        <v>4</v>
      </c>
      <c r="AT1172" s="175">
        <v>1</v>
      </c>
    </row>
    <row r="1173" spans="1:46">
      <c r="A1173">
        <v>25079</v>
      </c>
      <c r="B1173" t="s">
        <v>7555</v>
      </c>
      <c r="C1173" t="s">
        <v>7556</v>
      </c>
      <c r="D1173" t="s">
        <v>7557</v>
      </c>
      <c r="E1173" t="s">
        <v>7558</v>
      </c>
      <c r="F1173" t="s">
        <v>1181</v>
      </c>
      <c r="G1173" t="s">
        <v>737</v>
      </c>
      <c r="H1173" t="s">
        <v>449</v>
      </c>
      <c r="J1173" t="s">
        <v>605</v>
      </c>
      <c r="K1173" t="s">
        <v>606</v>
      </c>
      <c r="M1173" t="s">
        <v>607</v>
      </c>
      <c r="N1173" t="s">
        <v>4586</v>
      </c>
      <c r="O1173" t="s">
        <v>1042</v>
      </c>
      <c r="P1173" t="s">
        <v>739</v>
      </c>
      <c r="Q1173" t="s">
        <v>467</v>
      </c>
      <c r="R1173" t="s">
        <v>793</v>
      </c>
      <c r="S1173" t="s">
        <v>907</v>
      </c>
      <c r="T1173" t="s">
        <v>794</v>
      </c>
      <c r="U1173">
        <v>137400</v>
      </c>
      <c r="V1173" t="s">
        <v>1182</v>
      </c>
      <c r="W1173" t="s">
        <v>909</v>
      </c>
      <c r="X1173" t="s">
        <v>4144</v>
      </c>
      <c r="Y1173" t="s">
        <v>4145</v>
      </c>
      <c r="Z1173" t="s">
        <v>1181</v>
      </c>
      <c r="AA1173" t="s">
        <v>4146</v>
      </c>
      <c r="AE1173">
        <v>-36.855381889999997</v>
      </c>
      <c r="AF1173">
        <v>174.78987948</v>
      </c>
      <c r="AG1173" s="175">
        <v>74</v>
      </c>
      <c r="AH1173" s="175">
        <v>24</v>
      </c>
      <c r="AI1173" s="175">
        <v>4</v>
      </c>
      <c r="AJ1173" s="175">
        <v>11</v>
      </c>
      <c r="AK1173" s="175">
        <v>16</v>
      </c>
      <c r="AL1173" s="175">
        <v>12</v>
      </c>
      <c r="AM1173" s="175">
        <v>8</v>
      </c>
      <c r="AN1173" s="175">
        <v>0</v>
      </c>
      <c r="AO1173" s="175">
        <v>51</v>
      </c>
      <c r="AP1173" s="175">
        <v>37</v>
      </c>
      <c r="AQ1173" s="175">
        <v>4</v>
      </c>
      <c r="AR1173" s="175">
        <v>2</v>
      </c>
      <c r="AS1173" s="175">
        <v>12</v>
      </c>
      <c r="AT1173" s="175">
        <v>9</v>
      </c>
    </row>
    <row r="1174" spans="1:46">
      <c r="A1174">
        <v>25080</v>
      </c>
      <c r="B1174" t="s">
        <v>7559</v>
      </c>
      <c r="C1174" t="s">
        <v>7560</v>
      </c>
      <c r="D1174" t="s">
        <v>7561</v>
      </c>
      <c r="E1174" t="s">
        <v>7562</v>
      </c>
      <c r="G1174" t="s">
        <v>1319</v>
      </c>
      <c r="H1174" t="s">
        <v>449</v>
      </c>
      <c r="J1174" t="s">
        <v>605</v>
      </c>
      <c r="K1174" t="s">
        <v>606</v>
      </c>
      <c r="M1174" t="s">
        <v>607</v>
      </c>
      <c r="N1174" t="s">
        <v>608</v>
      </c>
      <c r="O1174" t="s">
        <v>1353</v>
      </c>
      <c r="P1174" t="s">
        <v>739</v>
      </c>
      <c r="Q1174" t="s">
        <v>467</v>
      </c>
      <c r="R1174" t="s">
        <v>814</v>
      </c>
      <c r="S1174" t="s">
        <v>1319</v>
      </c>
      <c r="T1174" t="s">
        <v>1320</v>
      </c>
      <c r="U1174">
        <v>163502</v>
      </c>
      <c r="V1174" t="s">
        <v>7563</v>
      </c>
      <c r="W1174" t="s">
        <v>1304</v>
      </c>
      <c r="X1174" t="s">
        <v>4013</v>
      </c>
      <c r="Y1174" t="s">
        <v>4014</v>
      </c>
      <c r="Z1174" t="s">
        <v>4015</v>
      </c>
      <c r="AA1174" t="s">
        <v>4016</v>
      </c>
      <c r="AB1174" t="s">
        <v>4017</v>
      </c>
      <c r="AE1174">
        <v>-37.055137780000003</v>
      </c>
      <c r="AF1174">
        <v>174.96474111000001</v>
      </c>
      <c r="AG1174" s="175">
        <v>39</v>
      </c>
      <c r="AH1174" s="175">
        <v>0</v>
      </c>
      <c r="AI1174" s="175">
        <v>0</v>
      </c>
      <c r="AJ1174" s="175">
        <v>0</v>
      </c>
      <c r="AK1174" s="175">
        <v>8</v>
      </c>
      <c r="AL1174" s="175">
        <v>15</v>
      </c>
      <c r="AM1174" s="175">
        <v>11</v>
      </c>
      <c r="AN1174" s="175">
        <v>3</v>
      </c>
      <c r="AO1174" s="175">
        <v>37</v>
      </c>
      <c r="AP1174" s="175">
        <v>6</v>
      </c>
      <c r="AQ1174" s="175">
        <v>23</v>
      </c>
      <c r="AR1174" s="175">
        <v>19</v>
      </c>
      <c r="AS1174" s="175">
        <v>3</v>
      </c>
      <c r="AT1174" s="175">
        <v>0</v>
      </c>
    </row>
    <row r="1175" spans="1:46">
      <c r="A1175">
        <v>25081</v>
      </c>
      <c r="B1175" t="s">
        <v>7564</v>
      </c>
      <c r="C1175" t="s">
        <v>7565</v>
      </c>
      <c r="E1175" t="s">
        <v>7566</v>
      </c>
      <c r="F1175" t="s">
        <v>862</v>
      </c>
      <c r="G1175" t="s">
        <v>737</v>
      </c>
      <c r="H1175" t="s">
        <v>449</v>
      </c>
      <c r="J1175" t="s">
        <v>605</v>
      </c>
      <c r="K1175" t="s">
        <v>606</v>
      </c>
      <c r="M1175" t="s">
        <v>607</v>
      </c>
      <c r="N1175" t="s">
        <v>657</v>
      </c>
      <c r="O1175" t="s">
        <v>792</v>
      </c>
      <c r="P1175" t="s">
        <v>739</v>
      </c>
      <c r="Q1175" t="s">
        <v>467</v>
      </c>
      <c r="R1175" t="s">
        <v>793</v>
      </c>
      <c r="S1175" t="s">
        <v>791</v>
      </c>
      <c r="T1175" t="s">
        <v>794</v>
      </c>
      <c r="U1175">
        <v>150600</v>
      </c>
      <c r="V1175" t="s">
        <v>7390</v>
      </c>
      <c r="W1175" t="s">
        <v>796</v>
      </c>
      <c r="X1175" t="s">
        <v>7567</v>
      </c>
      <c r="Y1175" t="s">
        <v>7568</v>
      </c>
      <c r="Z1175" t="s">
        <v>862</v>
      </c>
      <c r="AA1175" t="s">
        <v>7569</v>
      </c>
      <c r="AC1175">
        <v>99127</v>
      </c>
      <c r="AD1175" t="s">
        <v>4007</v>
      </c>
      <c r="AE1175">
        <v>-36.89399435</v>
      </c>
      <c r="AF1175">
        <v>174.93388239999999</v>
      </c>
      <c r="AG1175" s="175">
        <v>24</v>
      </c>
      <c r="AH1175" s="175">
        <v>8</v>
      </c>
      <c r="AI1175" s="175">
        <v>0</v>
      </c>
      <c r="AJ1175" s="175">
        <v>0</v>
      </c>
      <c r="AK1175" s="175">
        <v>7</v>
      </c>
      <c r="AL1175" s="175">
        <v>9</v>
      </c>
      <c r="AM1175" s="175">
        <v>25</v>
      </c>
      <c r="AN1175" s="175">
        <v>1</v>
      </c>
      <c r="AO1175" s="175">
        <v>42</v>
      </c>
      <c r="AP1175" s="175">
        <v>36</v>
      </c>
      <c r="AQ1175" s="175">
        <v>2</v>
      </c>
      <c r="AR1175" s="175">
        <v>0</v>
      </c>
      <c r="AS1175" s="175">
        <v>6</v>
      </c>
      <c r="AT1175" s="175">
        <v>3</v>
      </c>
    </row>
    <row r="1176" spans="1:46">
      <c r="A1176">
        <v>25082</v>
      </c>
      <c r="B1176" t="s">
        <v>7570</v>
      </c>
      <c r="C1176" t="s">
        <v>7571</v>
      </c>
      <c r="D1176" t="s">
        <v>7572</v>
      </c>
      <c r="E1176" t="s">
        <v>7573</v>
      </c>
      <c r="F1176" t="s">
        <v>996</v>
      </c>
      <c r="G1176" t="s">
        <v>737</v>
      </c>
      <c r="H1176" t="s">
        <v>449</v>
      </c>
      <c r="J1176" t="s">
        <v>4032</v>
      </c>
      <c r="K1176" t="s">
        <v>606</v>
      </c>
      <c r="M1176" t="s">
        <v>607</v>
      </c>
      <c r="N1176" t="s">
        <v>657</v>
      </c>
      <c r="O1176" t="s">
        <v>997</v>
      </c>
      <c r="P1176" t="s">
        <v>739</v>
      </c>
      <c r="Q1176" t="s">
        <v>467</v>
      </c>
      <c r="R1176" t="s">
        <v>793</v>
      </c>
      <c r="S1176" t="s">
        <v>998</v>
      </c>
      <c r="T1176" t="s">
        <v>794</v>
      </c>
      <c r="U1176">
        <v>142501</v>
      </c>
      <c r="V1176" t="s">
        <v>7574</v>
      </c>
      <c r="W1176" t="s">
        <v>945</v>
      </c>
      <c r="X1176" t="s">
        <v>7575</v>
      </c>
      <c r="Y1176" t="s">
        <v>7576</v>
      </c>
      <c r="Z1176" t="s">
        <v>1108</v>
      </c>
      <c r="AA1176" t="s">
        <v>7577</v>
      </c>
      <c r="AB1176" t="s">
        <v>7571</v>
      </c>
      <c r="AE1176">
        <v>-36.930100539999998</v>
      </c>
      <c r="AF1176">
        <v>174.73022528999999</v>
      </c>
      <c r="AG1176" s="175">
        <v>59</v>
      </c>
      <c r="AH1176" s="175">
        <v>14</v>
      </c>
      <c r="AI1176" s="175">
        <v>1</v>
      </c>
      <c r="AJ1176" s="175">
        <v>5</v>
      </c>
      <c r="AK1176" s="175">
        <v>10</v>
      </c>
      <c r="AL1176" s="175">
        <v>19</v>
      </c>
      <c r="AM1176" s="175">
        <v>12</v>
      </c>
      <c r="AN1176" s="175">
        <v>0</v>
      </c>
      <c r="AO1176" s="175">
        <v>47</v>
      </c>
      <c r="AP1176" s="175">
        <v>11</v>
      </c>
      <c r="AQ1176" s="175">
        <v>4</v>
      </c>
      <c r="AR1176" s="175">
        <v>5</v>
      </c>
      <c r="AS1176" s="175">
        <v>34</v>
      </c>
      <c r="AT1176" s="175">
        <v>2</v>
      </c>
    </row>
    <row r="1177" spans="1:46">
      <c r="A1177">
        <v>25083</v>
      </c>
      <c r="B1177" t="s">
        <v>7578</v>
      </c>
      <c r="C1177" t="s">
        <v>7579</v>
      </c>
      <c r="D1177" t="s">
        <v>7580</v>
      </c>
      <c r="E1177" t="s">
        <v>7581</v>
      </c>
      <c r="G1177" t="s">
        <v>1330</v>
      </c>
      <c r="H1177" t="s">
        <v>449</v>
      </c>
      <c r="J1177" t="s">
        <v>605</v>
      </c>
      <c r="K1177" t="s">
        <v>606</v>
      </c>
      <c r="M1177" t="s">
        <v>607</v>
      </c>
      <c r="N1177" t="s">
        <v>657</v>
      </c>
      <c r="O1177" t="s">
        <v>1318</v>
      </c>
      <c r="P1177" t="s">
        <v>610</v>
      </c>
      <c r="Q1177" t="s">
        <v>467</v>
      </c>
      <c r="R1177" t="s">
        <v>814</v>
      </c>
      <c r="S1177" t="s">
        <v>1331</v>
      </c>
      <c r="T1177" t="s">
        <v>1320</v>
      </c>
      <c r="U1177">
        <v>164401</v>
      </c>
      <c r="V1177" t="s">
        <v>7582</v>
      </c>
      <c r="W1177" t="s">
        <v>1322</v>
      </c>
      <c r="X1177" t="s">
        <v>7583</v>
      </c>
      <c r="Y1177" t="s">
        <v>7584</v>
      </c>
      <c r="AA1177" t="s">
        <v>7585</v>
      </c>
      <c r="AB1177" t="s">
        <v>7586</v>
      </c>
      <c r="AC1177">
        <v>99033</v>
      </c>
      <c r="AD1177" t="s">
        <v>1333</v>
      </c>
      <c r="AE1177">
        <v>-37.251652589999999</v>
      </c>
      <c r="AF1177">
        <v>174.72514455999999</v>
      </c>
      <c r="AG1177" s="175">
        <v>38</v>
      </c>
      <c r="AH1177" s="175">
        <v>8</v>
      </c>
      <c r="AI1177" s="175">
        <v>2</v>
      </c>
      <c r="AJ1177" s="175">
        <v>5</v>
      </c>
      <c r="AK1177" s="175">
        <v>11</v>
      </c>
      <c r="AL1177" s="175">
        <v>8</v>
      </c>
      <c r="AM1177" s="175">
        <v>13</v>
      </c>
      <c r="AN1177" s="175">
        <v>0</v>
      </c>
      <c r="AO1177" s="175">
        <v>39</v>
      </c>
      <c r="AP1177" s="175">
        <v>32</v>
      </c>
      <c r="AQ1177" s="175">
        <v>12</v>
      </c>
      <c r="AR1177" s="175">
        <v>3</v>
      </c>
      <c r="AS1177" s="175">
        <v>1</v>
      </c>
      <c r="AT1177" s="175">
        <v>3</v>
      </c>
    </row>
    <row r="1178" spans="1:46">
      <c r="A1178">
        <v>25086</v>
      </c>
      <c r="B1178" t="s">
        <v>7587</v>
      </c>
      <c r="C1178" t="s">
        <v>7588</v>
      </c>
      <c r="D1178" t="s">
        <v>7589</v>
      </c>
      <c r="E1178" t="s">
        <v>7590</v>
      </c>
      <c r="F1178" t="s">
        <v>1030</v>
      </c>
      <c r="G1178" t="s">
        <v>737</v>
      </c>
      <c r="H1178" t="s">
        <v>347</v>
      </c>
      <c r="J1178" t="s">
        <v>605</v>
      </c>
      <c r="K1178" t="s">
        <v>606</v>
      </c>
      <c r="L1178" t="s">
        <v>4273</v>
      </c>
      <c r="M1178" t="s">
        <v>607</v>
      </c>
      <c r="N1178" t="s">
        <v>608</v>
      </c>
      <c r="O1178" t="s">
        <v>933</v>
      </c>
      <c r="P1178" t="s">
        <v>739</v>
      </c>
      <c r="Q1178" t="s">
        <v>467</v>
      </c>
      <c r="R1178" t="s">
        <v>814</v>
      </c>
      <c r="S1178" t="s">
        <v>934</v>
      </c>
      <c r="T1178" t="s">
        <v>794</v>
      </c>
      <c r="U1178">
        <v>150800</v>
      </c>
      <c r="V1178" t="s">
        <v>7591</v>
      </c>
      <c r="W1178" t="s">
        <v>817</v>
      </c>
      <c r="X1178" t="s">
        <v>4275</v>
      </c>
      <c r="Y1178" t="s">
        <v>4276</v>
      </c>
      <c r="Z1178" t="s">
        <v>4277</v>
      </c>
      <c r="AA1178" t="s">
        <v>4278</v>
      </c>
      <c r="AE1178">
        <v>-36.956973439999999</v>
      </c>
      <c r="AF1178">
        <v>174.82221147999999</v>
      </c>
      <c r="AG1178" s="175">
        <v>31</v>
      </c>
      <c r="AH1178" s="175">
        <v>10</v>
      </c>
      <c r="AI1178" s="175">
        <v>2</v>
      </c>
      <c r="AJ1178" s="175">
        <v>7</v>
      </c>
      <c r="AK1178" s="175">
        <v>8</v>
      </c>
      <c r="AL1178" s="175">
        <v>7</v>
      </c>
      <c r="AM1178" s="175">
        <v>1</v>
      </c>
      <c r="AN1178" s="175">
        <v>0</v>
      </c>
      <c r="AO1178" s="175">
        <v>25</v>
      </c>
      <c r="AP1178" s="175">
        <v>0</v>
      </c>
      <c r="AQ1178" s="175">
        <v>23</v>
      </c>
      <c r="AR1178" s="175">
        <v>2</v>
      </c>
      <c r="AS1178" s="175">
        <v>0</v>
      </c>
      <c r="AT1178" s="175">
        <v>0</v>
      </c>
    </row>
    <row r="1179" spans="1:46">
      <c r="A1179">
        <v>25088</v>
      </c>
      <c r="B1179" t="s">
        <v>7592</v>
      </c>
      <c r="C1179" t="s">
        <v>7593</v>
      </c>
      <c r="D1179" t="s">
        <v>7594</v>
      </c>
      <c r="E1179" t="s">
        <v>7595</v>
      </c>
      <c r="F1179" t="s">
        <v>1199</v>
      </c>
      <c r="G1179" t="s">
        <v>737</v>
      </c>
      <c r="H1179" t="s">
        <v>449</v>
      </c>
      <c r="I1179" t="s">
        <v>4320</v>
      </c>
      <c r="J1179" t="s">
        <v>605</v>
      </c>
      <c r="K1179" t="s">
        <v>606</v>
      </c>
      <c r="M1179" t="s">
        <v>607</v>
      </c>
      <c r="N1179" t="s">
        <v>625</v>
      </c>
      <c r="O1179" t="s">
        <v>898</v>
      </c>
      <c r="P1179" t="s">
        <v>739</v>
      </c>
      <c r="Q1179" t="s">
        <v>467</v>
      </c>
      <c r="R1179" t="s">
        <v>724</v>
      </c>
      <c r="S1179" t="s">
        <v>984</v>
      </c>
      <c r="T1179" t="s">
        <v>613</v>
      </c>
      <c r="U1179">
        <v>123800</v>
      </c>
      <c r="V1179" t="s">
        <v>1200</v>
      </c>
      <c r="W1179" t="s">
        <v>900</v>
      </c>
      <c r="X1179" t="s">
        <v>4421</v>
      </c>
      <c r="Y1179" t="s">
        <v>7595</v>
      </c>
      <c r="Z1179" t="s">
        <v>1199</v>
      </c>
      <c r="AA1179" t="s">
        <v>4034</v>
      </c>
      <c r="AB1179" t="s">
        <v>4424</v>
      </c>
      <c r="AE1179">
        <v>-36.866445679999998</v>
      </c>
      <c r="AF1179">
        <v>174.60921279999999</v>
      </c>
      <c r="AG1179" s="175">
        <v>50</v>
      </c>
      <c r="AH1179" s="175">
        <v>15</v>
      </c>
      <c r="AI1179" s="175">
        <v>1</v>
      </c>
      <c r="AJ1179" s="175">
        <v>4</v>
      </c>
      <c r="AK1179" s="175">
        <v>10</v>
      </c>
      <c r="AL1179" s="175">
        <v>8</v>
      </c>
      <c r="AM1179" s="175">
        <v>7</v>
      </c>
      <c r="AN1179" s="175">
        <v>0</v>
      </c>
      <c r="AO1179" s="175">
        <v>30</v>
      </c>
      <c r="AP1179" s="175">
        <v>4</v>
      </c>
      <c r="AQ1179" s="175">
        <v>3</v>
      </c>
      <c r="AR1179" s="175">
        <v>29</v>
      </c>
      <c r="AS1179" s="175">
        <v>1</v>
      </c>
      <c r="AT1179" s="175">
        <v>0</v>
      </c>
    </row>
    <row r="1180" spans="1:46">
      <c r="A1180">
        <v>25089</v>
      </c>
      <c r="B1180" t="s">
        <v>7596</v>
      </c>
      <c r="C1180" t="s">
        <v>7597</v>
      </c>
      <c r="D1180" t="s">
        <v>7598</v>
      </c>
      <c r="E1180" t="s">
        <v>7599</v>
      </c>
      <c r="F1180" t="s">
        <v>1114</v>
      </c>
      <c r="G1180" t="s">
        <v>737</v>
      </c>
      <c r="H1180" t="s">
        <v>449</v>
      </c>
      <c r="J1180" t="s">
        <v>4032</v>
      </c>
      <c r="K1180" t="s">
        <v>606</v>
      </c>
      <c r="M1180" t="s">
        <v>607</v>
      </c>
      <c r="N1180" t="s">
        <v>643</v>
      </c>
      <c r="O1180" t="s">
        <v>914</v>
      </c>
      <c r="P1180" t="s">
        <v>739</v>
      </c>
      <c r="Q1180" t="s">
        <v>467</v>
      </c>
      <c r="R1180" t="s">
        <v>793</v>
      </c>
      <c r="S1180" t="s">
        <v>890</v>
      </c>
      <c r="T1180" t="s">
        <v>794</v>
      </c>
      <c r="U1180">
        <v>146201</v>
      </c>
      <c r="V1180" t="s">
        <v>5265</v>
      </c>
      <c r="W1180" t="s">
        <v>892</v>
      </c>
      <c r="X1180" t="s">
        <v>7600</v>
      </c>
      <c r="Y1180" t="s">
        <v>4176</v>
      </c>
      <c r="AA1180" t="s">
        <v>4052</v>
      </c>
      <c r="AE1180">
        <v>-36.900149409999997</v>
      </c>
      <c r="AF1180">
        <v>174.83067753</v>
      </c>
      <c r="AG1180" s="175">
        <v>130</v>
      </c>
      <c r="AH1180" s="175">
        <v>22</v>
      </c>
      <c r="AI1180" s="175">
        <v>2</v>
      </c>
      <c r="AJ1180" s="175">
        <v>17</v>
      </c>
      <c r="AK1180" s="175">
        <v>26</v>
      </c>
      <c r="AL1180" s="175">
        <v>30</v>
      </c>
      <c r="AM1180" s="175">
        <v>43</v>
      </c>
      <c r="AN1180" s="175">
        <v>0</v>
      </c>
      <c r="AO1180" s="175">
        <v>118</v>
      </c>
      <c r="AP1180" s="175">
        <v>10</v>
      </c>
      <c r="AQ1180" s="175">
        <v>8</v>
      </c>
      <c r="AR1180" s="175">
        <v>22</v>
      </c>
      <c r="AS1180" s="175">
        <v>88</v>
      </c>
      <c r="AT1180" s="175">
        <v>7</v>
      </c>
    </row>
    <row r="1181" spans="1:46">
      <c r="A1181">
        <v>25090</v>
      </c>
      <c r="B1181" t="s">
        <v>7601</v>
      </c>
      <c r="C1181" t="s">
        <v>5319</v>
      </c>
      <c r="D1181" t="s">
        <v>5320</v>
      </c>
      <c r="E1181" t="s">
        <v>7602</v>
      </c>
      <c r="F1181" t="s">
        <v>791</v>
      </c>
      <c r="G1181" t="s">
        <v>737</v>
      </c>
      <c r="H1181" t="s">
        <v>449</v>
      </c>
      <c r="J1181" t="s">
        <v>4032</v>
      </c>
      <c r="K1181" t="s">
        <v>606</v>
      </c>
      <c r="M1181" t="s">
        <v>607</v>
      </c>
      <c r="N1181" t="s">
        <v>657</v>
      </c>
      <c r="O1181" t="s">
        <v>792</v>
      </c>
      <c r="P1181" t="s">
        <v>739</v>
      </c>
      <c r="Q1181" t="s">
        <v>467</v>
      </c>
      <c r="R1181" t="s">
        <v>793</v>
      </c>
      <c r="S1181" t="s">
        <v>791</v>
      </c>
      <c r="T1181" t="s">
        <v>794</v>
      </c>
      <c r="U1181">
        <v>149800</v>
      </c>
      <c r="V1181" t="s">
        <v>5322</v>
      </c>
      <c r="W1181" t="s">
        <v>796</v>
      </c>
      <c r="X1181" t="s">
        <v>5323</v>
      </c>
      <c r="Y1181" t="s">
        <v>4176</v>
      </c>
      <c r="AA1181" t="s">
        <v>4052</v>
      </c>
      <c r="AB1181" t="s">
        <v>5319</v>
      </c>
      <c r="AE1181">
        <v>-36.914333900000003</v>
      </c>
      <c r="AF1181">
        <v>174.87941248000001</v>
      </c>
      <c r="AG1181" s="175">
        <v>120</v>
      </c>
      <c r="AH1181" s="175">
        <v>0</v>
      </c>
      <c r="AI1181" s="175">
        <v>0</v>
      </c>
      <c r="AJ1181" s="175">
        <v>0</v>
      </c>
      <c r="AK1181" s="175">
        <v>0</v>
      </c>
      <c r="AL1181" s="175">
        <v>26</v>
      </c>
      <c r="AM1181" s="175">
        <v>34</v>
      </c>
      <c r="AN1181" s="175">
        <v>5</v>
      </c>
      <c r="AO1181" s="175">
        <v>65</v>
      </c>
      <c r="AP1181" s="175">
        <v>13</v>
      </c>
      <c r="AQ1181" s="175">
        <v>8</v>
      </c>
      <c r="AR1181" s="175">
        <v>13</v>
      </c>
      <c r="AS1181" s="175">
        <v>35</v>
      </c>
      <c r="AT1181" s="175">
        <v>4</v>
      </c>
    </row>
    <row r="1182" spans="1:46">
      <c r="A1182">
        <v>25091</v>
      </c>
      <c r="B1182" t="s">
        <v>7603</v>
      </c>
      <c r="C1182" t="s">
        <v>7604</v>
      </c>
      <c r="D1182" t="s">
        <v>7605</v>
      </c>
      <c r="E1182" t="s">
        <v>7606</v>
      </c>
      <c r="F1182" t="s">
        <v>1157</v>
      </c>
      <c r="G1182" t="s">
        <v>737</v>
      </c>
      <c r="H1182" t="s">
        <v>449</v>
      </c>
      <c r="I1182" t="s">
        <v>6871</v>
      </c>
      <c r="J1182" t="s">
        <v>605</v>
      </c>
      <c r="K1182" t="s">
        <v>606</v>
      </c>
      <c r="M1182" t="s">
        <v>607</v>
      </c>
      <c r="N1182" t="s">
        <v>608</v>
      </c>
      <c r="O1182" t="s">
        <v>933</v>
      </c>
      <c r="P1182" t="s">
        <v>739</v>
      </c>
      <c r="Q1182" t="s">
        <v>467</v>
      </c>
      <c r="R1182" t="s">
        <v>814</v>
      </c>
      <c r="S1182" t="s">
        <v>815</v>
      </c>
      <c r="T1182" t="s">
        <v>794</v>
      </c>
      <c r="U1182">
        <v>151400</v>
      </c>
      <c r="V1182" t="s">
        <v>7607</v>
      </c>
      <c r="W1182" t="s">
        <v>817</v>
      </c>
      <c r="X1182" t="s">
        <v>7608</v>
      </c>
      <c r="Y1182" t="s">
        <v>7609</v>
      </c>
      <c r="Z1182" t="s">
        <v>1157</v>
      </c>
      <c r="AA1182" t="s">
        <v>4952</v>
      </c>
      <c r="AB1182" t="s">
        <v>7610</v>
      </c>
      <c r="AC1182">
        <v>99151</v>
      </c>
      <c r="AD1182" t="s">
        <v>1159</v>
      </c>
      <c r="AE1182">
        <v>-36.95383906</v>
      </c>
      <c r="AF1182">
        <v>174.84628916</v>
      </c>
      <c r="AG1182" s="175">
        <v>35</v>
      </c>
      <c r="AH1182" s="175">
        <v>10</v>
      </c>
      <c r="AI1182" s="175">
        <v>3</v>
      </c>
      <c r="AJ1182" s="175">
        <v>2</v>
      </c>
      <c r="AK1182" s="175">
        <v>4</v>
      </c>
      <c r="AL1182" s="175">
        <v>6</v>
      </c>
      <c r="AM1182" s="175">
        <v>5</v>
      </c>
      <c r="AN1182" s="175">
        <v>0</v>
      </c>
      <c r="AO1182" s="175">
        <v>20</v>
      </c>
      <c r="AP1182" s="175">
        <v>7</v>
      </c>
      <c r="AQ1182" s="175">
        <v>6</v>
      </c>
      <c r="AR1182" s="175">
        <v>11</v>
      </c>
      <c r="AS1182" s="175">
        <v>5</v>
      </c>
      <c r="AT1182" s="175">
        <v>1</v>
      </c>
    </row>
    <row r="1183" spans="1:46">
      <c r="A1183">
        <v>25095</v>
      </c>
      <c r="B1183" t="s">
        <v>7611</v>
      </c>
      <c r="C1183" t="s">
        <v>7612</v>
      </c>
      <c r="E1183" t="s">
        <v>7613</v>
      </c>
      <c r="F1183" t="s">
        <v>7614</v>
      </c>
      <c r="G1183" t="s">
        <v>737</v>
      </c>
      <c r="H1183" t="s">
        <v>449</v>
      </c>
      <c r="J1183" t="s">
        <v>605</v>
      </c>
      <c r="K1183" t="s">
        <v>606</v>
      </c>
      <c r="M1183" t="s">
        <v>607</v>
      </c>
      <c r="N1183" t="s">
        <v>625</v>
      </c>
      <c r="O1183" t="s">
        <v>1301</v>
      </c>
      <c r="P1183" t="s">
        <v>739</v>
      </c>
      <c r="Q1183" t="s">
        <v>467</v>
      </c>
      <c r="R1183" t="s">
        <v>814</v>
      </c>
      <c r="S1183" t="s">
        <v>1121</v>
      </c>
      <c r="T1183" t="s">
        <v>794</v>
      </c>
      <c r="U1183">
        <v>160202</v>
      </c>
      <c r="V1183" t="s">
        <v>7615</v>
      </c>
      <c r="W1183" t="s">
        <v>1304</v>
      </c>
      <c r="X1183" t="s">
        <v>5314</v>
      </c>
      <c r="Y1183" t="s">
        <v>5315</v>
      </c>
      <c r="Z1183" t="s">
        <v>1121</v>
      </c>
      <c r="AA1183" t="s">
        <v>5316</v>
      </c>
      <c r="AB1183" t="s">
        <v>5317</v>
      </c>
      <c r="AC1183">
        <v>99211</v>
      </c>
      <c r="AD1183" t="s">
        <v>7342</v>
      </c>
      <c r="AE1183">
        <v>-37.03482502</v>
      </c>
      <c r="AF1183">
        <v>174.86788203</v>
      </c>
      <c r="AG1183" s="175">
        <v>39</v>
      </c>
      <c r="AH1183" s="175">
        <v>20</v>
      </c>
      <c r="AI1183" s="175">
        <v>4</v>
      </c>
      <c r="AJ1183" s="175">
        <v>4</v>
      </c>
      <c r="AK1183" s="175">
        <v>7</v>
      </c>
      <c r="AL1183" s="175">
        <v>2</v>
      </c>
      <c r="AM1183" s="175">
        <v>5</v>
      </c>
      <c r="AN1183" s="175">
        <v>0</v>
      </c>
      <c r="AO1183" s="175">
        <v>22</v>
      </c>
      <c r="AP1183" s="175">
        <v>5</v>
      </c>
      <c r="AQ1183" s="175">
        <v>15</v>
      </c>
      <c r="AR1183" s="175">
        <v>12</v>
      </c>
      <c r="AS1183" s="175">
        <v>1</v>
      </c>
      <c r="AT1183" s="175">
        <v>3</v>
      </c>
    </row>
    <row r="1184" spans="1:46">
      <c r="A1184">
        <v>25097</v>
      </c>
      <c r="B1184" t="s">
        <v>7616</v>
      </c>
      <c r="C1184" t="s">
        <v>7617</v>
      </c>
      <c r="D1184" t="s">
        <v>7618</v>
      </c>
      <c r="E1184" t="s">
        <v>7619</v>
      </c>
      <c r="G1184" t="s">
        <v>1319</v>
      </c>
      <c r="H1184" t="s">
        <v>449</v>
      </c>
      <c r="J1184" t="s">
        <v>605</v>
      </c>
      <c r="K1184" t="s">
        <v>606</v>
      </c>
      <c r="M1184" t="s">
        <v>607</v>
      </c>
      <c r="N1184" t="s">
        <v>643</v>
      </c>
      <c r="O1184" t="s">
        <v>1353</v>
      </c>
      <c r="P1184" t="s">
        <v>739</v>
      </c>
      <c r="Q1184" t="s">
        <v>467</v>
      </c>
      <c r="R1184" t="s">
        <v>814</v>
      </c>
      <c r="S1184" t="s">
        <v>1319</v>
      </c>
      <c r="T1184" t="s">
        <v>1320</v>
      </c>
      <c r="U1184">
        <v>163600</v>
      </c>
      <c r="V1184" t="s">
        <v>7620</v>
      </c>
      <c r="W1184" t="s">
        <v>1304</v>
      </c>
      <c r="X1184" t="s">
        <v>4013</v>
      </c>
      <c r="Y1184" t="s">
        <v>4014</v>
      </c>
      <c r="Z1184" t="s">
        <v>4015</v>
      </c>
      <c r="AA1184" t="s">
        <v>4016</v>
      </c>
      <c r="AB1184" t="s">
        <v>4017</v>
      </c>
      <c r="AE1184">
        <v>-37.066755759999999</v>
      </c>
      <c r="AF1184">
        <v>174.95092045999999</v>
      </c>
      <c r="AG1184" s="175">
        <v>76</v>
      </c>
      <c r="AH1184" s="175">
        <v>25</v>
      </c>
      <c r="AI1184" s="175">
        <v>5</v>
      </c>
      <c r="AJ1184" s="175">
        <v>10</v>
      </c>
      <c r="AK1184" s="175">
        <v>19</v>
      </c>
      <c r="AL1184" s="175">
        <v>26</v>
      </c>
      <c r="AM1184" s="175">
        <v>16</v>
      </c>
      <c r="AN1184" s="175">
        <v>3</v>
      </c>
      <c r="AO1184" s="175">
        <v>79</v>
      </c>
      <c r="AP1184" s="175">
        <v>22</v>
      </c>
      <c r="AQ1184" s="175">
        <v>32</v>
      </c>
      <c r="AR1184" s="175">
        <v>22</v>
      </c>
      <c r="AS1184" s="175">
        <v>22</v>
      </c>
      <c r="AT1184" s="175">
        <v>7</v>
      </c>
    </row>
    <row r="1185" spans="1:46">
      <c r="A1185">
        <v>25104</v>
      </c>
      <c r="B1185" t="s">
        <v>7621</v>
      </c>
      <c r="C1185" t="s">
        <v>7622</v>
      </c>
      <c r="D1185" t="s">
        <v>7623</v>
      </c>
      <c r="E1185" t="s">
        <v>7624</v>
      </c>
      <c r="F1185" t="s">
        <v>4272</v>
      </c>
      <c r="G1185" t="s">
        <v>737</v>
      </c>
      <c r="H1185" t="s">
        <v>449</v>
      </c>
      <c r="J1185" t="s">
        <v>4032</v>
      </c>
      <c r="K1185" t="s">
        <v>606</v>
      </c>
      <c r="M1185" t="s">
        <v>607</v>
      </c>
      <c r="N1185" t="s">
        <v>643</v>
      </c>
      <c r="O1185" t="s">
        <v>1301</v>
      </c>
      <c r="P1185" t="s">
        <v>739</v>
      </c>
      <c r="Q1185" t="s">
        <v>467</v>
      </c>
      <c r="R1185" t="s">
        <v>814</v>
      </c>
      <c r="S1185" t="s">
        <v>1302</v>
      </c>
      <c r="T1185" t="s">
        <v>794</v>
      </c>
      <c r="U1185">
        <v>158501</v>
      </c>
      <c r="V1185" t="s">
        <v>7625</v>
      </c>
      <c r="W1185" t="s">
        <v>1304</v>
      </c>
      <c r="X1185" t="s">
        <v>7626</v>
      </c>
      <c r="Y1185" t="s">
        <v>7627</v>
      </c>
      <c r="Z1185" t="s">
        <v>1368</v>
      </c>
      <c r="AA1185" t="s">
        <v>5066</v>
      </c>
      <c r="AB1185" t="s">
        <v>7628</v>
      </c>
      <c r="AE1185">
        <v>-36.997860760000002</v>
      </c>
      <c r="AF1185">
        <v>174.89415389000001</v>
      </c>
      <c r="AG1185" s="175">
        <v>37</v>
      </c>
      <c r="AH1185" s="175">
        <v>0</v>
      </c>
      <c r="AI1185" s="175">
        <v>0</v>
      </c>
      <c r="AJ1185" s="175">
        <v>0</v>
      </c>
      <c r="AK1185" s="175">
        <v>8</v>
      </c>
      <c r="AL1185" s="175">
        <v>14</v>
      </c>
      <c r="AM1185" s="175">
        <v>13</v>
      </c>
      <c r="AN1185" s="175">
        <v>1</v>
      </c>
      <c r="AO1185" s="175">
        <v>36</v>
      </c>
      <c r="AP1185" s="175">
        <v>2</v>
      </c>
      <c r="AQ1185" s="175">
        <v>5</v>
      </c>
      <c r="AR1185" s="175">
        <v>13</v>
      </c>
      <c r="AS1185" s="175">
        <v>23</v>
      </c>
      <c r="AT1185" s="175">
        <v>0</v>
      </c>
    </row>
    <row r="1186" spans="1:46">
      <c r="A1186">
        <v>25105</v>
      </c>
      <c r="B1186" t="s">
        <v>7629</v>
      </c>
      <c r="C1186" t="s">
        <v>7630</v>
      </c>
      <c r="D1186" t="s">
        <v>7631</v>
      </c>
      <c r="E1186" t="s">
        <v>7632</v>
      </c>
      <c r="F1186" t="s">
        <v>791</v>
      </c>
      <c r="G1186" t="s">
        <v>737</v>
      </c>
      <c r="H1186" t="s">
        <v>449</v>
      </c>
      <c r="J1186" t="s">
        <v>4032</v>
      </c>
      <c r="K1186" t="s">
        <v>606</v>
      </c>
      <c r="M1186" t="s">
        <v>607</v>
      </c>
      <c r="N1186" t="s">
        <v>643</v>
      </c>
      <c r="O1186" t="s">
        <v>792</v>
      </c>
      <c r="P1186" t="s">
        <v>739</v>
      </c>
      <c r="Q1186" t="s">
        <v>467</v>
      </c>
      <c r="R1186" t="s">
        <v>793</v>
      </c>
      <c r="S1186" t="s">
        <v>791</v>
      </c>
      <c r="T1186" t="s">
        <v>794</v>
      </c>
      <c r="U1186">
        <v>151500</v>
      </c>
      <c r="V1186" t="s">
        <v>1171</v>
      </c>
      <c r="W1186" t="s">
        <v>796</v>
      </c>
      <c r="X1186" t="s">
        <v>7633</v>
      </c>
      <c r="Y1186" t="s">
        <v>7634</v>
      </c>
      <c r="Z1186" t="s">
        <v>791</v>
      </c>
      <c r="AA1186" t="s">
        <v>4551</v>
      </c>
      <c r="AB1186" t="s">
        <v>7635</v>
      </c>
      <c r="AC1186">
        <v>99098</v>
      </c>
      <c r="AD1186" t="s">
        <v>797</v>
      </c>
      <c r="AE1186">
        <v>-36.919901170000003</v>
      </c>
      <c r="AF1186">
        <v>174.88831031000001</v>
      </c>
      <c r="AG1186" s="175">
        <v>44</v>
      </c>
      <c r="AH1186" s="175">
        <v>10</v>
      </c>
      <c r="AI1186" s="175">
        <v>2</v>
      </c>
      <c r="AJ1186" s="175">
        <v>3</v>
      </c>
      <c r="AK1186" s="175">
        <v>6</v>
      </c>
      <c r="AL1186" s="175">
        <v>8</v>
      </c>
      <c r="AM1186" s="175">
        <v>11</v>
      </c>
      <c r="AN1186" s="175">
        <v>0</v>
      </c>
      <c r="AO1186" s="175">
        <v>30</v>
      </c>
      <c r="AP1186" s="175">
        <v>12</v>
      </c>
      <c r="AQ1186" s="175">
        <v>10</v>
      </c>
      <c r="AR1186" s="175">
        <v>10</v>
      </c>
      <c r="AS1186" s="175">
        <v>8</v>
      </c>
      <c r="AT1186" s="175">
        <v>1</v>
      </c>
    </row>
    <row r="1187" spans="1:46">
      <c r="A1187">
        <v>25106</v>
      </c>
      <c r="B1187" t="s">
        <v>7636</v>
      </c>
      <c r="C1187" t="s">
        <v>7637</v>
      </c>
      <c r="D1187" t="s">
        <v>7638</v>
      </c>
      <c r="E1187" t="s">
        <v>7639</v>
      </c>
      <c r="F1187" t="s">
        <v>932</v>
      </c>
      <c r="G1187" t="s">
        <v>737</v>
      </c>
      <c r="H1187" t="s">
        <v>449</v>
      </c>
      <c r="I1187" t="s">
        <v>4642</v>
      </c>
      <c r="J1187" t="s">
        <v>605</v>
      </c>
      <c r="K1187" t="s">
        <v>606</v>
      </c>
      <c r="M1187" t="s">
        <v>607</v>
      </c>
      <c r="N1187" t="s">
        <v>812</v>
      </c>
      <c r="O1187" t="s">
        <v>933</v>
      </c>
      <c r="P1187" t="s">
        <v>739</v>
      </c>
      <c r="Q1187" t="s">
        <v>467</v>
      </c>
      <c r="R1187" t="s">
        <v>814</v>
      </c>
      <c r="S1187" t="s">
        <v>934</v>
      </c>
      <c r="T1187" t="s">
        <v>794</v>
      </c>
      <c r="U1187">
        <v>147500</v>
      </c>
      <c r="V1187" t="s">
        <v>7640</v>
      </c>
      <c r="W1187" t="s">
        <v>817</v>
      </c>
      <c r="X1187" t="s">
        <v>7641</v>
      </c>
      <c r="Y1187" t="s">
        <v>7642</v>
      </c>
      <c r="Z1187" t="s">
        <v>1060</v>
      </c>
      <c r="AA1187" t="s">
        <v>7643</v>
      </c>
      <c r="AB1187" t="s">
        <v>7644</v>
      </c>
      <c r="AE1187">
        <v>-36.950760410000001</v>
      </c>
      <c r="AF1187">
        <v>174.79215363</v>
      </c>
      <c r="AG1187" s="175">
        <v>30</v>
      </c>
      <c r="AH1187" s="175">
        <v>5</v>
      </c>
      <c r="AI1187" s="175">
        <v>2</v>
      </c>
      <c r="AJ1187" s="175">
        <v>2</v>
      </c>
      <c r="AK1187" s="175">
        <v>3</v>
      </c>
      <c r="AL1187" s="175">
        <v>6</v>
      </c>
      <c r="AM1187" s="175">
        <v>4</v>
      </c>
      <c r="AN1187" s="175">
        <v>2</v>
      </c>
      <c r="AO1187" s="175">
        <v>19</v>
      </c>
      <c r="AP1187" s="175">
        <v>3</v>
      </c>
      <c r="AQ1187" s="175">
        <v>10</v>
      </c>
      <c r="AR1187" s="175">
        <v>17</v>
      </c>
      <c r="AS1187" s="175">
        <v>0</v>
      </c>
      <c r="AT1187" s="175">
        <v>0</v>
      </c>
    </row>
    <row r="1188" spans="1:46">
      <c r="A1188">
        <v>25109</v>
      </c>
      <c r="B1188" t="s">
        <v>7645</v>
      </c>
      <c r="C1188" t="s">
        <v>7646</v>
      </c>
      <c r="E1188" t="s">
        <v>7647</v>
      </c>
      <c r="G1188" t="s">
        <v>1319</v>
      </c>
      <c r="H1188" t="s">
        <v>347</v>
      </c>
      <c r="J1188" t="s">
        <v>605</v>
      </c>
      <c r="K1188" t="s">
        <v>606</v>
      </c>
      <c r="L1188" t="s">
        <v>4273</v>
      </c>
      <c r="M1188" t="s">
        <v>607</v>
      </c>
      <c r="N1188" t="s">
        <v>812</v>
      </c>
      <c r="O1188" t="s">
        <v>1353</v>
      </c>
      <c r="P1188" t="s">
        <v>739</v>
      </c>
      <c r="Q1188" t="s">
        <v>467</v>
      </c>
      <c r="R1188" t="s">
        <v>814</v>
      </c>
      <c r="S1188" t="s">
        <v>1319</v>
      </c>
      <c r="T1188" t="s">
        <v>1320</v>
      </c>
      <c r="U1188">
        <v>163502</v>
      </c>
      <c r="V1188" t="s">
        <v>7563</v>
      </c>
      <c r="W1188" t="s">
        <v>1304</v>
      </c>
      <c r="X1188" t="s">
        <v>4275</v>
      </c>
      <c r="Y1188" t="s">
        <v>4276</v>
      </c>
      <c r="Z1188" t="s">
        <v>4277</v>
      </c>
      <c r="AA1188" t="s">
        <v>4278</v>
      </c>
      <c r="AE1188">
        <v>-37.06294055</v>
      </c>
      <c r="AF1188">
        <v>174.96194840000001</v>
      </c>
      <c r="AG1188" s="175">
        <v>23</v>
      </c>
      <c r="AH1188" s="175">
        <v>5</v>
      </c>
      <c r="AI1188" s="175">
        <v>0</v>
      </c>
      <c r="AJ1188" s="175">
        <v>2</v>
      </c>
      <c r="AK1188" s="175">
        <v>4</v>
      </c>
      <c r="AL1188" s="175">
        <v>4</v>
      </c>
      <c r="AM1188" s="175">
        <v>8</v>
      </c>
      <c r="AN1188" s="175">
        <v>0</v>
      </c>
      <c r="AO1188" s="175">
        <v>18</v>
      </c>
      <c r="AP1188" s="175">
        <v>0</v>
      </c>
      <c r="AQ1188" s="175">
        <v>17</v>
      </c>
      <c r="AR1188" s="175">
        <v>1</v>
      </c>
      <c r="AS1188" s="175">
        <v>0</v>
      </c>
      <c r="AT1188" s="175">
        <v>0</v>
      </c>
    </row>
    <row r="1189" spans="1:46">
      <c r="A1189">
        <v>25110</v>
      </c>
      <c r="B1189" t="s">
        <v>7648</v>
      </c>
      <c r="C1189" t="s">
        <v>7649</v>
      </c>
      <c r="D1189" t="s">
        <v>7650</v>
      </c>
      <c r="E1189" t="s">
        <v>7651</v>
      </c>
      <c r="G1189" t="s">
        <v>1319</v>
      </c>
      <c r="H1189" t="s">
        <v>449</v>
      </c>
      <c r="I1189" t="s">
        <v>4233</v>
      </c>
      <c r="J1189" t="s">
        <v>605</v>
      </c>
      <c r="K1189" t="s">
        <v>606</v>
      </c>
      <c r="M1189" t="s">
        <v>607</v>
      </c>
      <c r="N1189" t="s">
        <v>608</v>
      </c>
      <c r="O1189" t="s">
        <v>1353</v>
      </c>
      <c r="P1189" t="s">
        <v>739</v>
      </c>
      <c r="Q1189" t="s">
        <v>467</v>
      </c>
      <c r="R1189" t="s">
        <v>814</v>
      </c>
      <c r="S1189" t="s">
        <v>1319</v>
      </c>
      <c r="T1189" t="s">
        <v>1320</v>
      </c>
      <c r="U1189">
        <v>163502</v>
      </c>
      <c r="V1189" t="s">
        <v>7563</v>
      </c>
      <c r="W1189" t="s">
        <v>1304</v>
      </c>
      <c r="X1189" t="s">
        <v>7652</v>
      </c>
      <c r="Y1189" t="s">
        <v>7653</v>
      </c>
      <c r="Z1189" t="s">
        <v>1319</v>
      </c>
      <c r="AA1189" t="s">
        <v>5228</v>
      </c>
      <c r="AE1189">
        <v>-37.064574729999997</v>
      </c>
      <c r="AF1189">
        <v>174.96484712</v>
      </c>
      <c r="AG1189" s="175">
        <v>40</v>
      </c>
      <c r="AH1189" s="175">
        <v>12</v>
      </c>
      <c r="AI1189" s="175">
        <v>1</v>
      </c>
      <c r="AJ1189" s="175">
        <v>7</v>
      </c>
      <c r="AK1189" s="175">
        <v>7</v>
      </c>
      <c r="AL1189" s="175">
        <v>5</v>
      </c>
      <c r="AM1189" s="175">
        <v>9</v>
      </c>
      <c r="AN1189" s="175">
        <v>1</v>
      </c>
      <c r="AO1189" s="175">
        <v>30</v>
      </c>
      <c r="AP1189" s="175">
        <v>4</v>
      </c>
      <c r="AQ1189" s="175">
        <v>1</v>
      </c>
      <c r="AR1189" s="175">
        <v>29</v>
      </c>
      <c r="AS1189" s="175">
        <v>0</v>
      </c>
      <c r="AT1189" s="175">
        <v>0</v>
      </c>
    </row>
    <row r="1190" spans="1:46">
      <c r="A1190">
        <v>25111</v>
      </c>
      <c r="B1190" t="s">
        <v>7654</v>
      </c>
      <c r="C1190" t="s">
        <v>7655</v>
      </c>
      <c r="E1190" t="s">
        <v>7656</v>
      </c>
      <c r="G1190" t="s">
        <v>1330</v>
      </c>
      <c r="H1190" t="s">
        <v>452</v>
      </c>
      <c r="J1190" t="s">
        <v>605</v>
      </c>
      <c r="K1190" t="s">
        <v>606</v>
      </c>
      <c r="M1190" t="s">
        <v>607</v>
      </c>
      <c r="N1190" t="s">
        <v>657</v>
      </c>
      <c r="O1190" t="s">
        <v>1318</v>
      </c>
      <c r="P1190" t="s">
        <v>658</v>
      </c>
      <c r="Q1190" t="s">
        <v>467</v>
      </c>
      <c r="R1190" t="s">
        <v>814</v>
      </c>
      <c r="S1190" t="s">
        <v>1331</v>
      </c>
      <c r="T1190" t="s">
        <v>1320</v>
      </c>
      <c r="U1190">
        <v>162400</v>
      </c>
      <c r="V1190" t="s">
        <v>7657</v>
      </c>
      <c r="W1190" t="s">
        <v>1322</v>
      </c>
      <c r="X1190" t="s">
        <v>1305</v>
      </c>
      <c r="Y1190" t="s">
        <v>1306</v>
      </c>
      <c r="Z1190" t="s">
        <v>1302</v>
      </c>
      <c r="AA1190" t="s">
        <v>1307</v>
      </c>
      <c r="AB1190" t="s">
        <v>1308</v>
      </c>
      <c r="AC1190">
        <v>99033</v>
      </c>
      <c r="AD1190" t="s">
        <v>1333</v>
      </c>
      <c r="AE1190">
        <v>-37.191422320000001</v>
      </c>
      <c r="AF1190">
        <v>174.76025509999999</v>
      </c>
      <c r="AG1190" s="175">
        <v>30</v>
      </c>
      <c r="AH1190" s="175">
        <v>0</v>
      </c>
      <c r="AI1190" s="175">
        <v>0</v>
      </c>
      <c r="AJ1190" s="175">
        <v>0</v>
      </c>
      <c r="AK1190" s="175">
        <v>10</v>
      </c>
      <c r="AL1190" s="175">
        <v>9</v>
      </c>
      <c r="AM1190" s="175">
        <v>14</v>
      </c>
      <c r="AN1190" s="175">
        <v>0</v>
      </c>
      <c r="AO1190" s="175">
        <v>33</v>
      </c>
      <c r="AP1190" s="175">
        <v>26</v>
      </c>
      <c r="AQ1190" s="175">
        <v>2</v>
      </c>
      <c r="AR1190" s="175">
        <v>2</v>
      </c>
      <c r="AS1190" s="175">
        <v>7</v>
      </c>
      <c r="AT1190" s="175">
        <v>3</v>
      </c>
    </row>
    <row r="1191" spans="1:46">
      <c r="A1191">
        <v>25113</v>
      </c>
      <c r="B1191" t="s">
        <v>7658</v>
      </c>
      <c r="C1191" t="s">
        <v>7659</v>
      </c>
      <c r="E1191" t="s">
        <v>7660</v>
      </c>
      <c r="G1191" t="s">
        <v>1319</v>
      </c>
      <c r="H1191" t="s">
        <v>347</v>
      </c>
      <c r="J1191" t="s">
        <v>605</v>
      </c>
      <c r="K1191" t="s">
        <v>606</v>
      </c>
      <c r="L1191" t="s">
        <v>4273</v>
      </c>
      <c r="M1191" t="s">
        <v>607</v>
      </c>
      <c r="N1191" t="s">
        <v>608</v>
      </c>
      <c r="O1191" t="s">
        <v>1353</v>
      </c>
      <c r="P1191" t="s">
        <v>739</v>
      </c>
      <c r="Q1191" t="s">
        <v>467</v>
      </c>
      <c r="R1191" t="s">
        <v>814</v>
      </c>
      <c r="S1191" t="s">
        <v>1319</v>
      </c>
      <c r="T1191" t="s">
        <v>1320</v>
      </c>
      <c r="U1191">
        <v>163700</v>
      </c>
      <c r="V1191" t="s">
        <v>7661</v>
      </c>
      <c r="W1191" t="s">
        <v>1304</v>
      </c>
      <c r="X1191" t="s">
        <v>4275</v>
      </c>
      <c r="Y1191" t="s">
        <v>4276</v>
      </c>
      <c r="Z1191" t="s">
        <v>4277</v>
      </c>
      <c r="AA1191" t="s">
        <v>4278</v>
      </c>
      <c r="AC1191">
        <v>99152</v>
      </c>
      <c r="AD1191" t="s">
        <v>1355</v>
      </c>
      <c r="AE1191">
        <v>-37.07400543</v>
      </c>
      <c r="AF1191">
        <v>174.93710282000001</v>
      </c>
      <c r="AG1191" s="175">
        <v>28</v>
      </c>
      <c r="AH1191" s="175">
        <v>8</v>
      </c>
      <c r="AI1191" s="175">
        <v>2</v>
      </c>
      <c r="AJ1191" s="175">
        <v>5</v>
      </c>
      <c r="AK1191" s="175">
        <v>9</v>
      </c>
      <c r="AL1191" s="175">
        <v>3</v>
      </c>
      <c r="AM1191" s="175">
        <v>6</v>
      </c>
      <c r="AN1191" s="175">
        <v>0</v>
      </c>
      <c r="AO1191" s="175">
        <v>25</v>
      </c>
      <c r="AP1191" s="175">
        <v>0</v>
      </c>
      <c r="AQ1191" s="175">
        <v>25</v>
      </c>
      <c r="AR1191" s="175">
        <v>0</v>
      </c>
      <c r="AS1191" s="175">
        <v>0</v>
      </c>
      <c r="AT1191" s="175">
        <v>0</v>
      </c>
    </row>
    <row r="1192" spans="1:46">
      <c r="A1192">
        <v>25118</v>
      </c>
      <c r="B1192" t="s">
        <v>7662</v>
      </c>
      <c r="C1192" t="s">
        <v>7663</v>
      </c>
      <c r="E1192" t="s">
        <v>7664</v>
      </c>
      <c r="F1192" t="s">
        <v>811</v>
      </c>
      <c r="G1192" t="s">
        <v>737</v>
      </c>
      <c r="H1192" t="s">
        <v>347</v>
      </c>
      <c r="J1192" t="s">
        <v>605</v>
      </c>
      <c r="K1192" t="s">
        <v>606</v>
      </c>
      <c r="L1192" t="s">
        <v>4273</v>
      </c>
      <c r="M1192" t="s">
        <v>607</v>
      </c>
      <c r="N1192" t="s">
        <v>608</v>
      </c>
      <c r="O1192" t="s">
        <v>813</v>
      </c>
      <c r="P1192" t="s">
        <v>739</v>
      </c>
      <c r="Q1192" t="s">
        <v>467</v>
      </c>
      <c r="R1192" t="s">
        <v>814</v>
      </c>
      <c r="S1192" t="s">
        <v>815</v>
      </c>
      <c r="T1192" t="s">
        <v>794</v>
      </c>
      <c r="U1192">
        <v>153000</v>
      </c>
      <c r="V1192" t="s">
        <v>7665</v>
      </c>
      <c r="W1192" t="s">
        <v>817</v>
      </c>
      <c r="X1192" t="s">
        <v>4275</v>
      </c>
      <c r="Y1192" t="s">
        <v>4276</v>
      </c>
      <c r="Z1192" t="s">
        <v>4277</v>
      </c>
      <c r="AA1192" t="s">
        <v>4278</v>
      </c>
      <c r="AE1192">
        <v>-36.951170609999998</v>
      </c>
      <c r="AF1192">
        <v>174.85647681</v>
      </c>
      <c r="AG1192" s="175">
        <v>35</v>
      </c>
      <c r="AH1192" s="175">
        <v>12</v>
      </c>
      <c r="AI1192" s="175">
        <v>0</v>
      </c>
      <c r="AJ1192" s="175">
        <v>3</v>
      </c>
      <c r="AK1192" s="175">
        <v>6</v>
      </c>
      <c r="AL1192" s="175">
        <v>7</v>
      </c>
      <c r="AM1192" s="175">
        <v>4</v>
      </c>
      <c r="AN1192" s="175">
        <v>0</v>
      </c>
      <c r="AO1192" s="175">
        <v>20</v>
      </c>
      <c r="AP1192" s="175">
        <v>0</v>
      </c>
      <c r="AQ1192" s="175">
        <v>19</v>
      </c>
      <c r="AR1192" s="175">
        <v>1</v>
      </c>
      <c r="AS1192" s="175">
        <v>0</v>
      </c>
      <c r="AT1192" s="175">
        <v>0</v>
      </c>
    </row>
    <row r="1193" spans="1:46">
      <c r="A1193">
        <v>25124</v>
      </c>
      <c r="B1193" t="s">
        <v>7666</v>
      </c>
      <c r="C1193" t="s">
        <v>7667</v>
      </c>
      <c r="E1193" t="s">
        <v>7668</v>
      </c>
      <c r="F1193" t="s">
        <v>4805</v>
      </c>
      <c r="G1193" t="s">
        <v>737</v>
      </c>
      <c r="H1193" t="s">
        <v>449</v>
      </c>
      <c r="J1193" t="s">
        <v>4032</v>
      </c>
      <c r="K1193" t="s">
        <v>606</v>
      </c>
      <c r="M1193" t="s">
        <v>607</v>
      </c>
      <c r="N1193" t="s">
        <v>643</v>
      </c>
      <c r="O1193" t="s">
        <v>933</v>
      </c>
      <c r="P1193" t="s">
        <v>739</v>
      </c>
      <c r="Q1193" t="s">
        <v>467</v>
      </c>
      <c r="R1193" t="s">
        <v>814</v>
      </c>
      <c r="S1193" t="s">
        <v>934</v>
      </c>
      <c r="T1193" t="s">
        <v>794</v>
      </c>
      <c r="U1193">
        <v>147900</v>
      </c>
      <c r="V1193" t="s">
        <v>4805</v>
      </c>
      <c r="W1193" t="s">
        <v>817</v>
      </c>
      <c r="X1193" t="s">
        <v>7669</v>
      </c>
      <c r="Y1193" t="s">
        <v>4725</v>
      </c>
      <c r="Z1193" t="s">
        <v>1043</v>
      </c>
      <c r="AA1193" t="s">
        <v>4726</v>
      </c>
      <c r="AB1193" t="s">
        <v>7670</v>
      </c>
      <c r="AE1193">
        <v>-37.005555029999996</v>
      </c>
      <c r="AF1193">
        <v>174.78236609999999</v>
      </c>
      <c r="AG1193" s="175">
        <v>80</v>
      </c>
      <c r="AH1193" s="175">
        <v>20</v>
      </c>
      <c r="AI1193" s="175">
        <v>5</v>
      </c>
      <c r="AJ1193" s="175">
        <v>11</v>
      </c>
      <c r="AK1193" s="175">
        <v>11</v>
      </c>
      <c r="AL1193" s="175">
        <v>9</v>
      </c>
      <c r="AM1193" s="175">
        <v>16</v>
      </c>
      <c r="AN1193" s="175">
        <v>0</v>
      </c>
      <c r="AO1193" s="175">
        <v>52</v>
      </c>
      <c r="AP1193" s="175">
        <v>15</v>
      </c>
      <c r="AQ1193" s="175">
        <v>6</v>
      </c>
      <c r="AR1193" s="175">
        <v>22</v>
      </c>
      <c r="AS1193" s="175">
        <v>19</v>
      </c>
      <c r="AT1193" s="175">
        <v>1</v>
      </c>
    </row>
    <row r="1194" spans="1:46">
      <c r="A1194">
        <v>25125</v>
      </c>
      <c r="B1194" t="s">
        <v>7671</v>
      </c>
      <c r="C1194" t="s">
        <v>7672</v>
      </c>
      <c r="D1194" t="s">
        <v>7673</v>
      </c>
      <c r="E1194" t="s">
        <v>7674</v>
      </c>
      <c r="F1194" t="s">
        <v>1193</v>
      </c>
      <c r="G1194" t="s">
        <v>737</v>
      </c>
      <c r="H1194" t="s">
        <v>449</v>
      </c>
      <c r="I1194" t="s">
        <v>5017</v>
      </c>
      <c r="J1194" t="s">
        <v>605</v>
      </c>
      <c r="K1194" t="s">
        <v>606</v>
      </c>
      <c r="M1194" t="s">
        <v>607</v>
      </c>
      <c r="N1194" t="s">
        <v>608</v>
      </c>
      <c r="O1194" t="s">
        <v>914</v>
      </c>
      <c r="P1194" t="s">
        <v>739</v>
      </c>
      <c r="Q1194" t="s">
        <v>467</v>
      </c>
      <c r="R1194" t="s">
        <v>793</v>
      </c>
      <c r="S1194" t="s">
        <v>815</v>
      </c>
      <c r="T1194" t="s">
        <v>794</v>
      </c>
      <c r="U1194">
        <v>146301</v>
      </c>
      <c r="V1194" t="s">
        <v>1194</v>
      </c>
      <c r="W1194" t="s">
        <v>892</v>
      </c>
      <c r="X1194" t="s">
        <v>7675</v>
      </c>
      <c r="Y1194" t="s">
        <v>7676</v>
      </c>
      <c r="Z1194" t="s">
        <v>964</v>
      </c>
      <c r="AA1194" t="s">
        <v>4423</v>
      </c>
      <c r="AB1194" t="s">
        <v>7672</v>
      </c>
      <c r="AE1194">
        <v>-36.882270400000003</v>
      </c>
      <c r="AF1194">
        <v>174.86550256999999</v>
      </c>
      <c r="AG1194" s="175">
        <v>28</v>
      </c>
      <c r="AH1194" s="175">
        <v>5</v>
      </c>
      <c r="AI1194" s="175">
        <v>0</v>
      </c>
      <c r="AJ1194" s="175">
        <v>5</v>
      </c>
      <c r="AK1194" s="175">
        <v>5</v>
      </c>
      <c r="AL1194" s="175">
        <v>6</v>
      </c>
      <c r="AM1194" s="175">
        <v>11</v>
      </c>
      <c r="AN1194" s="175">
        <v>0</v>
      </c>
      <c r="AO1194" s="175">
        <v>27</v>
      </c>
      <c r="AP1194" s="175">
        <v>4</v>
      </c>
      <c r="AQ1194" s="175">
        <v>15</v>
      </c>
      <c r="AR1194" s="175">
        <v>23</v>
      </c>
      <c r="AS1194" s="175">
        <v>0</v>
      </c>
      <c r="AT1194" s="175">
        <v>0</v>
      </c>
    </row>
    <row r="1195" spans="1:46">
      <c r="A1195">
        <v>25126</v>
      </c>
      <c r="B1195" t="s">
        <v>7677</v>
      </c>
      <c r="C1195" t="s">
        <v>7678</v>
      </c>
      <c r="D1195" t="s">
        <v>7679</v>
      </c>
      <c r="E1195" t="s">
        <v>7680</v>
      </c>
      <c r="F1195" t="s">
        <v>4907</v>
      </c>
      <c r="G1195" t="s">
        <v>737</v>
      </c>
      <c r="H1195" t="s">
        <v>449</v>
      </c>
      <c r="I1195" t="s">
        <v>4023</v>
      </c>
      <c r="J1195" t="s">
        <v>4032</v>
      </c>
      <c r="K1195" t="s">
        <v>606</v>
      </c>
      <c r="M1195" t="s">
        <v>607</v>
      </c>
      <c r="N1195" t="s">
        <v>657</v>
      </c>
      <c r="O1195" t="s">
        <v>792</v>
      </c>
      <c r="P1195" t="s">
        <v>739</v>
      </c>
      <c r="Q1195" t="s">
        <v>467</v>
      </c>
      <c r="R1195" t="s">
        <v>793</v>
      </c>
      <c r="S1195" t="s">
        <v>791</v>
      </c>
      <c r="T1195" t="s">
        <v>794</v>
      </c>
      <c r="U1195">
        <v>148800</v>
      </c>
      <c r="V1195" t="s">
        <v>3933</v>
      </c>
      <c r="W1195" t="s">
        <v>796</v>
      </c>
      <c r="X1195" t="s">
        <v>7681</v>
      </c>
      <c r="Y1195" t="s">
        <v>7682</v>
      </c>
      <c r="Z1195" t="s">
        <v>4015</v>
      </c>
      <c r="AA1195" t="s">
        <v>4652</v>
      </c>
      <c r="AE1195">
        <v>-36.888057170000003</v>
      </c>
      <c r="AF1195">
        <v>174.90501090000001</v>
      </c>
      <c r="AG1195" s="175">
        <v>33</v>
      </c>
      <c r="AH1195" s="175">
        <v>8</v>
      </c>
      <c r="AI1195" s="175">
        <v>0</v>
      </c>
      <c r="AJ1195" s="175">
        <v>3</v>
      </c>
      <c r="AK1195" s="175">
        <v>8</v>
      </c>
      <c r="AL1195" s="175">
        <v>5</v>
      </c>
      <c r="AM1195" s="175">
        <v>8</v>
      </c>
      <c r="AN1195" s="175">
        <v>0</v>
      </c>
      <c r="AO1195" s="175">
        <v>24</v>
      </c>
      <c r="AP1195" s="175">
        <v>12</v>
      </c>
      <c r="AQ1195" s="175">
        <v>1</v>
      </c>
      <c r="AR1195" s="175">
        <v>1</v>
      </c>
      <c r="AS1195" s="175">
        <v>12</v>
      </c>
      <c r="AT1195" s="175">
        <v>1</v>
      </c>
    </row>
    <row r="1196" spans="1:46">
      <c r="A1196">
        <v>25131</v>
      </c>
      <c r="B1196" t="s">
        <v>7683</v>
      </c>
      <c r="C1196" t="s">
        <v>7684</v>
      </c>
      <c r="E1196" t="s">
        <v>7685</v>
      </c>
      <c r="G1196" t="s">
        <v>1346</v>
      </c>
      <c r="H1196" t="s">
        <v>449</v>
      </c>
      <c r="J1196" t="s">
        <v>4032</v>
      </c>
      <c r="K1196" t="s">
        <v>606</v>
      </c>
      <c r="M1196" t="s">
        <v>607</v>
      </c>
      <c r="N1196" t="s">
        <v>657</v>
      </c>
      <c r="O1196" t="s">
        <v>1318</v>
      </c>
      <c r="P1196" t="s">
        <v>1347</v>
      </c>
      <c r="Q1196" t="s">
        <v>467</v>
      </c>
      <c r="R1196" t="s">
        <v>814</v>
      </c>
      <c r="S1196" t="s">
        <v>1331</v>
      </c>
      <c r="T1196" t="s">
        <v>1320</v>
      </c>
      <c r="U1196">
        <v>165301</v>
      </c>
      <c r="V1196" t="s">
        <v>7686</v>
      </c>
      <c r="W1196" t="s">
        <v>1322</v>
      </c>
      <c r="X1196" t="s">
        <v>7687</v>
      </c>
      <c r="Y1196" t="s">
        <v>4725</v>
      </c>
      <c r="Z1196" t="s">
        <v>1043</v>
      </c>
      <c r="AA1196" t="s">
        <v>4726</v>
      </c>
      <c r="AB1196" t="s">
        <v>7688</v>
      </c>
      <c r="AE1196">
        <v>-37.190556860000001</v>
      </c>
      <c r="AF1196">
        <v>174.90363550000001</v>
      </c>
      <c r="AG1196" s="175">
        <v>50</v>
      </c>
      <c r="AH1196" s="175">
        <v>20</v>
      </c>
      <c r="AI1196" s="175">
        <v>4</v>
      </c>
      <c r="AJ1196" s="175">
        <v>10</v>
      </c>
      <c r="AK1196" s="175">
        <v>9</v>
      </c>
      <c r="AL1196" s="175">
        <v>10</v>
      </c>
      <c r="AM1196" s="175">
        <v>9</v>
      </c>
      <c r="AN1196" s="175">
        <v>1</v>
      </c>
      <c r="AO1196" s="175">
        <v>43</v>
      </c>
      <c r="AP1196" s="175">
        <v>21</v>
      </c>
      <c r="AQ1196" s="175">
        <v>8</v>
      </c>
      <c r="AR1196" s="175">
        <v>8</v>
      </c>
      <c r="AS1196" s="175">
        <v>17</v>
      </c>
      <c r="AT1196" s="175">
        <v>1</v>
      </c>
    </row>
    <row r="1197" spans="1:46">
      <c r="A1197">
        <v>25132</v>
      </c>
      <c r="B1197" t="s">
        <v>7689</v>
      </c>
      <c r="C1197" t="s">
        <v>7690</v>
      </c>
      <c r="E1197" t="s">
        <v>7691</v>
      </c>
      <c r="F1197" t="s">
        <v>811</v>
      </c>
      <c r="G1197" t="s">
        <v>737</v>
      </c>
      <c r="H1197" t="s">
        <v>347</v>
      </c>
      <c r="J1197" t="s">
        <v>605</v>
      </c>
      <c r="K1197" t="s">
        <v>606</v>
      </c>
      <c r="L1197" t="s">
        <v>4273</v>
      </c>
      <c r="M1197" t="s">
        <v>607</v>
      </c>
      <c r="N1197" t="s">
        <v>625</v>
      </c>
      <c r="O1197" t="s">
        <v>813</v>
      </c>
      <c r="P1197" t="s">
        <v>739</v>
      </c>
      <c r="Q1197" t="s">
        <v>467</v>
      </c>
      <c r="R1197" t="s">
        <v>814</v>
      </c>
      <c r="S1197" t="s">
        <v>815</v>
      </c>
      <c r="T1197" t="s">
        <v>794</v>
      </c>
      <c r="U1197">
        <v>153500</v>
      </c>
      <c r="V1197" t="s">
        <v>816</v>
      </c>
      <c r="W1197" t="s">
        <v>817</v>
      </c>
      <c r="X1197" t="s">
        <v>4275</v>
      </c>
      <c r="Y1197" t="s">
        <v>4276</v>
      </c>
      <c r="Z1197" t="s">
        <v>4277</v>
      </c>
      <c r="AA1197" t="s">
        <v>4278</v>
      </c>
      <c r="AE1197">
        <v>-36.950606710000002</v>
      </c>
      <c r="AF1197">
        <v>174.87214041999999</v>
      </c>
      <c r="AG1197" s="175">
        <v>39</v>
      </c>
      <c r="AH1197" s="175">
        <v>12</v>
      </c>
      <c r="AI1197" s="175">
        <v>2</v>
      </c>
      <c r="AJ1197" s="175">
        <v>5</v>
      </c>
      <c r="AK1197" s="175">
        <v>4</v>
      </c>
      <c r="AL1197" s="175">
        <v>5</v>
      </c>
      <c r="AM1197" s="175">
        <v>6</v>
      </c>
      <c r="AN1197" s="175">
        <v>0</v>
      </c>
      <c r="AO1197" s="175">
        <v>22</v>
      </c>
      <c r="AP1197" s="175">
        <v>0</v>
      </c>
      <c r="AQ1197" s="175">
        <v>22</v>
      </c>
      <c r="AR1197" s="175">
        <v>0</v>
      </c>
      <c r="AS1197" s="175">
        <v>0</v>
      </c>
      <c r="AT1197" s="175">
        <v>0</v>
      </c>
    </row>
    <row r="1198" spans="1:46">
      <c r="A1198">
        <v>25133</v>
      </c>
      <c r="B1198" t="s">
        <v>7692</v>
      </c>
      <c r="C1198" t="s">
        <v>7693</v>
      </c>
      <c r="E1198" t="s">
        <v>7694</v>
      </c>
      <c r="G1198" t="s">
        <v>1346</v>
      </c>
      <c r="H1198" t="s">
        <v>347</v>
      </c>
      <c r="J1198" t="s">
        <v>605</v>
      </c>
      <c r="K1198" t="s">
        <v>606</v>
      </c>
      <c r="L1198" t="s">
        <v>4273</v>
      </c>
      <c r="M1198" t="s">
        <v>1382</v>
      </c>
      <c r="N1198" t="s">
        <v>812</v>
      </c>
      <c r="O1198" t="s">
        <v>1318</v>
      </c>
      <c r="P1198" t="s">
        <v>1347</v>
      </c>
      <c r="Q1198" t="s">
        <v>467</v>
      </c>
      <c r="R1198" t="s">
        <v>1384</v>
      </c>
      <c r="S1198" t="s">
        <v>1331</v>
      </c>
      <c r="T1198" t="s">
        <v>1320</v>
      </c>
      <c r="U1198">
        <v>165501</v>
      </c>
      <c r="V1198" t="s">
        <v>4057</v>
      </c>
      <c r="W1198" t="s">
        <v>1322</v>
      </c>
      <c r="X1198" t="s">
        <v>7695</v>
      </c>
      <c r="Y1198" t="s">
        <v>4276</v>
      </c>
      <c r="Z1198" t="s">
        <v>4277</v>
      </c>
      <c r="AA1198" t="s">
        <v>4278</v>
      </c>
      <c r="AB1198" t="s">
        <v>7696</v>
      </c>
      <c r="AE1198">
        <v>-37.190280199999997</v>
      </c>
      <c r="AF1198">
        <v>174.89200819999999</v>
      </c>
      <c r="AG1198" s="175">
        <v>35</v>
      </c>
      <c r="AH1198" s="175">
        <v>10</v>
      </c>
      <c r="AI1198" s="175">
        <v>0</v>
      </c>
      <c r="AJ1198" s="175">
        <v>6</v>
      </c>
      <c r="AK1198" s="175">
        <v>4</v>
      </c>
      <c r="AL1198" s="175">
        <v>3</v>
      </c>
      <c r="AM1198" s="175">
        <v>1</v>
      </c>
      <c r="AN1198" s="175">
        <v>0</v>
      </c>
      <c r="AO1198" s="175">
        <v>14</v>
      </c>
      <c r="AP1198" s="175">
        <v>0</v>
      </c>
      <c r="AQ1198" s="175">
        <v>14</v>
      </c>
      <c r="AR1198" s="175">
        <v>0</v>
      </c>
      <c r="AS1198" s="175">
        <v>0</v>
      </c>
      <c r="AT1198" s="175">
        <v>0</v>
      </c>
    </row>
    <row r="1199" spans="1:46">
      <c r="A1199">
        <v>25136</v>
      </c>
      <c r="B1199" t="s">
        <v>7697</v>
      </c>
      <c r="C1199" t="s">
        <v>7698</v>
      </c>
      <c r="E1199" t="s">
        <v>7699</v>
      </c>
      <c r="F1199" t="s">
        <v>932</v>
      </c>
      <c r="G1199" t="s">
        <v>737</v>
      </c>
      <c r="H1199" t="s">
        <v>347</v>
      </c>
      <c r="J1199" t="s">
        <v>605</v>
      </c>
      <c r="K1199" t="s">
        <v>606</v>
      </c>
      <c r="L1199" t="s">
        <v>4273</v>
      </c>
      <c r="M1199" t="s">
        <v>607</v>
      </c>
      <c r="N1199" t="s">
        <v>625</v>
      </c>
      <c r="O1199" t="s">
        <v>933</v>
      </c>
      <c r="P1199" t="s">
        <v>739</v>
      </c>
      <c r="Q1199" t="s">
        <v>467</v>
      </c>
      <c r="R1199" t="s">
        <v>814</v>
      </c>
      <c r="S1199" t="s">
        <v>934</v>
      </c>
      <c r="T1199" t="s">
        <v>794</v>
      </c>
      <c r="U1199">
        <v>150200</v>
      </c>
      <c r="V1199" t="s">
        <v>1025</v>
      </c>
      <c r="W1199" t="s">
        <v>817</v>
      </c>
      <c r="X1199" t="s">
        <v>4275</v>
      </c>
      <c r="Y1199" t="s">
        <v>4276</v>
      </c>
      <c r="Z1199" t="s">
        <v>4277</v>
      </c>
      <c r="AA1199" t="s">
        <v>4278</v>
      </c>
      <c r="AE1199">
        <v>-36.968111049999997</v>
      </c>
      <c r="AF1199">
        <v>174.79479273999999</v>
      </c>
      <c r="AG1199" s="175">
        <v>50</v>
      </c>
      <c r="AH1199" s="175">
        <v>10</v>
      </c>
      <c r="AI1199" s="175">
        <v>2</v>
      </c>
      <c r="AJ1199" s="175">
        <v>2</v>
      </c>
      <c r="AK1199" s="175">
        <v>6</v>
      </c>
      <c r="AL1199" s="175">
        <v>1</v>
      </c>
      <c r="AM1199" s="175">
        <v>3</v>
      </c>
      <c r="AN1199" s="175">
        <v>0</v>
      </c>
      <c r="AO1199" s="175">
        <v>14</v>
      </c>
      <c r="AP1199" s="175">
        <v>0</v>
      </c>
      <c r="AQ1199" s="175">
        <v>14</v>
      </c>
      <c r="AR1199" s="175">
        <v>0</v>
      </c>
      <c r="AS1199" s="175">
        <v>0</v>
      </c>
      <c r="AT1199" s="175">
        <v>0</v>
      </c>
    </row>
    <row r="1200" spans="1:46">
      <c r="A1200">
        <v>25139</v>
      </c>
      <c r="B1200" t="s">
        <v>7700</v>
      </c>
      <c r="C1200" t="s">
        <v>7701</v>
      </c>
      <c r="E1200" t="s">
        <v>7702</v>
      </c>
      <c r="F1200" t="s">
        <v>1121</v>
      </c>
      <c r="G1200" t="s">
        <v>737</v>
      </c>
      <c r="H1200" t="s">
        <v>347</v>
      </c>
      <c r="J1200" t="s">
        <v>605</v>
      </c>
      <c r="K1200" t="s">
        <v>606</v>
      </c>
      <c r="L1200" t="s">
        <v>4273</v>
      </c>
      <c r="M1200" t="s">
        <v>607</v>
      </c>
      <c r="N1200" t="s">
        <v>812</v>
      </c>
      <c r="O1200" t="s">
        <v>1301</v>
      </c>
      <c r="P1200" t="s">
        <v>739</v>
      </c>
      <c r="Q1200" t="s">
        <v>467</v>
      </c>
      <c r="R1200" t="s">
        <v>814</v>
      </c>
      <c r="S1200" t="s">
        <v>1302</v>
      </c>
      <c r="T1200" t="s">
        <v>794</v>
      </c>
      <c r="U1200">
        <v>160800</v>
      </c>
      <c r="V1200" t="s">
        <v>1303</v>
      </c>
      <c r="W1200" t="s">
        <v>1304</v>
      </c>
      <c r="X1200" t="s">
        <v>4275</v>
      </c>
      <c r="Y1200" t="s">
        <v>4276</v>
      </c>
      <c r="Z1200" t="s">
        <v>4277</v>
      </c>
      <c r="AA1200" t="s">
        <v>4278</v>
      </c>
      <c r="AE1200">
        <v>-37.029836009999997</v>
      </c>
      <c r="AF1200">
        <v>174.90512242</v>
      </c>
      <c r="AG1200" s="175">
        <v>20</v>
      </c>
      <c r="AH1200" s="175">
        <v>8</v>
      </c>
      <c r="AI1200" s="175">
        <v>0</v>
      </c>
      <c r="AJ1200" s="175">
        <v>4</v>
      </c>
      <c r="AK1200" s="175">
        <v>0</v>
      </c>
      <c r="AL1200" s="175">
        <v>4</v>
      </c>
      <c r="AM1200" s="175">
        <v>2</v>
      </c>
      <c r="AN1200" s="175">
        <v>0</v>
      </c>
      <c r="AO1200" s="175">
        <v>10</v>
      </c>
      <c r="AP1200" s="175">
        <v>0</v>
      </c>
      <c r="AQ1200" s="175">
        <v>10</v>
      </c>
      <c r="AR1200" s="175">
        <v>0</v>
      </c>
      <c r="AS1200" s="175">
        <v>0</v>
      </c>
      <c r="AT1200" s="175">
        <v>0</v>
      </c>
    </row>
    <row r="1201" spans="1:46">
      <c r="A1201">
        <v>25142</v>
      </c>
      <c r="B1201" t="s">
        <v>7703</v>
      </c>
      <c r="C1201" t="s">
        <v>7704</v>
      </c>
      <c r="E1201" t="s">
        <v>7705</v>
      </c>
      <c r="F1201" t="s">
        <v>1121</v>
      </c>
      <c r="G1201" t="s">
        <v>737</v>
      </c>
      <c r="H1201" t="s">
        <v>347</v>
      </c>
      <c r="J1201" t="s">
        <v>605</v>
      </c>
      <c r="K1201" t="s">
        <v>606</v>
      </c>
      <c r="L1201" t="s">
        <v>4273</v>
      </c>
      <c r="M1201" t="s">
        <v>607</v>
      </c>
      <c r="N1201" t="s">
        <v>608</v>
      </c>
      <c r="O1201" t="s">
        <v>1301</v>
      </c>
      <c r="P1201" t="s">
        <v>739</v>
      </c>
      <c r="Q1201" t="s">
        <v>467</v>
      </c>
      <c r="R1201" t="s">
        <v>814</v>
      </c>
      <c r="S1201" t="s">
        <v>1121</v>
      </c>
      <c r="T1201" t="s">
        <v>794</v>
      </c>
      <c r="U1201">
        <v>159202</v>
      </c>
      <c r="V1201" t="s">
        <v>7464</v>
      </c>
      <c r="W1201" t="s">
        <v>1304</v>
      </c>
      <c r="X1201" t="s">
        <v>4275</v>
      </c>
      <c r="Y1201" t="s">
        <v>4276</v>
      </c>
      <c r="Z1201" t="s">
        <v>4277</v>
      </c>
      <c r="AA1201" t="s">
        <v>4278</v>
      </c>
      <c r="AE1201">
        <v>-37.017184960000002</v>
      </c>
      <c r="AF1201">
        <v>174.87815868000001</v>
      </c>
      <c r="AG1201" s="175">
        <v>48</v>
      </c>
      <c r="AH1201" s="175">
        <v>10</v>
      </c>
      <c r="AI1201" s="175">
        <v>1</v>
      </c>
      <c r="AJ1201" s="175">
        <v>6</v>
      </c>
      <c r="AK1201" s="175">
        <v>11</v>
      </c>
      <c r="AL1201" s="175">
        <v>7</v>
      </c>
      <c r="AM1201" s="175">
        <v>7</v>
      </c>
      <c r="AN1201" s="175">
        <v>0</v>
      </c>
      <c r="AO1201" s="175">
        <v>32</v>
      </c>
      <c r="AP1201" s="175">
        <v>0</v>
      </c>
      <c r="AQ1201" s="175">
        <v>29</v>
      </c>
      <c r="AR1201" s="175">
        <v>3</v>
      </c>
      <c r="AS1201" s="175">
        <v>0</v>
      </c>
      <c r="AT1201" s="175">
        <v>0</v>
      </c>
    </row>
    <row r="1202" spans="1:46">
      <c r="A1202">
        <v>25143</v>
      </c>
      <c r="B1202" t="s">
        <v>7706</v>
      </c>
      <c r="C1202" t="s">
        <v>7707</v>
      </c>
      <c r="E1202" t="s">
        <v>7708</v>
      </c>
      <c r="F1202" t="s">
        <v>3864</v>
      </c>
      <c r="G1202" t="s">
        <v>737</v>
      </c>
      <c r="H1202" t="s">
        <v>347</v>
      </c>
      <c r="J1202" t="s">
        <v>605</v>
      </c>
      <c r="K1202" t="s">
        <v>606</v>
      </c>
      <c r="L1202" t="s">
        <v>4273</v>
      </c>
      <c r="M1202" t="s">
        <v>607</v>
      </c>
      <c r="N1202" t="s">
        <v>812</v>
      </c>
      <c r="O1202" t="s">
        <v>1301</v>
      </c>
      <c r="P1202" t="s">
        <v>739</v>
      </c>
      <c r="Q1202" t="s">
        <v>467</v>
      </c>
      <c r="R1202" t="s">
        <v>814</v>
      </c>
      <c r="S1202" t="s">
        <v>1121</v>
      </c>
      <c r="T1202" t="s">
        <v>794</v>
      </c>
      <c r="U1202">
        <v>158401</v>
      </c>
      <c r="V1202" t="s">
        <v>3865</v>
      </c>
      <c r="W1202" t="s">
        <v>1304</v>
      </c>
      <c r="X1202" t="s">
        <v>4275</v>
      </c>
      <c r="Y1202" t="s">
        <v>4276</v>
      </c>
      <c r="Z1202" t="s">
        <v>4277</v>
      </c>
      <c r="AA1202" t="s">
        <v>4278</v>
      </c>
      <c r="AE1202">
        <v>-37.002455789999999</v>
      </c>
      <c r="AF1202">
        <v>174.88631244999999</v>
      </c>
      <c r="AG1202" s="175">
        <v>21</v>
      </c>
      <c r="AH1202" s="175">
        <v>5</v>
      </c>
      <c r="AI1202" s="175">
        <v>1</v>
      </c>
      <c r="AJ1202" s="175">
        <v>2</v>
      </c>
      <c r="AK1202" s="175">
        <v>5</v>
      </c>
      <c r="AL1202" s="175">
        <v>6</v>
      </c>
      <c r="AM1202" s="175">
        <v>1</v>
      </c>
      <c r="AN1202" s="175">
        <v>0</v>
      </c>
      <c r="AO1202" s="175">
        <v>15</v>
      </c>
      <c r="AP1202" s="175">
        <v>0</v>
      </c>
      <c r="AQ1202" s="175">
        <v>13</v>
      </c>
      <c r="AR1202" s="175">
        <v>1</v>
      </c>
      <c r="AS1202" s="175">
        <v>0</v>
      </c>
      <c r="AT1202" s="175">
        <v>1</v>
      </c>
    </row>
    <row r="1203" spans="1:46">
      <c r="A1203">
        <v>25144</v>
      </c>
      <c r="B1203" t="s">
        <v>7709</v>
      </c>
      <c r="C1203" t="s">
        <v>7710</v>
      </c>
      <c r="D1203" t="s">
        <v>7711</v>
      </c>
      <c r="E1203" t="s">
        <v>7712</v>
      </c>
      <c r="F1203" t="s">
        <v>811</v>
      </c>
      <c r="G1203" t="s">
        <v>737</v>
      </c>
      <c r="H1203" t="s">
        <v>449</v>
      </c>
      <c r="J1203" t="s">
        <v>605</v>
      </c>
      <c r="K1203" t="s">
        <v>606</v>
      </c>
      <c r="M1203" t="s">
        <v>607</v>
      </c>
      <c r="N1203" t="s">
        <v>812</v>
      </c>
      <c r="O1203" t="s">
        <v>813</v>
      </c>
      <c r="P1203" t="s">
        <v>739</v>
      </c>
      <c r="Q1203" t="s">
        <v>467</v>
      </c>
      <c r="R1203" t="s">
        <v>814</v>
      </c>
      <c r="S1203" t="s">
        <v>863</v>
      </c>
      <c r="T1203" t="s">
        <v>794</v>
      </c>
      <c r="U1203">
        <v>157200</v>
      </c>
      <c r="V1203" t="s">
        <v>5112</v>
      </c>
      <c r="W1203" t="s">
        <v>817</v>
      </c>
      <c r="X1203" t="s">
        <v>7713</v>
      </c>
      <c r="Y1203" t="s">
        <v>4137</v>
      </c>
      <c r="Z1203" t="s">
        <v>906</v>
      </c>
      <c r="AA1203" t="s">
        <v>4138</v>
      </c>
      <c r="AB1203" t="s">
        <v>7323</v>
      </c>
      <c r="AE1203">
        <v>-36.973652350000002</v>
      </c>
      <c r="AF1203">
        <v>174.89214655000001</v>
      </c>
      <c r="AG1203" s="175">
        <v>34</v>
      </c>
      <c r="AH1203" s="175">
        <v>20</v>
      </c>
      <c r="AI1203" s="175">
        <v>3</v>
      </c>
      <c r="AJ1203" s="175">
        <v>4</v>
      </c>
      <c r="AK1203" s="175">
        <v>8</v>
      </c>
      <c r="AL1203" s="175">
        <v>10</v>
      </c>
      <c r="AM1203" s="175">
        <v>8</v>
      </c>
      <c r="AN1203" s="175">
        <v>1</v>
      </c>
      <c r="AO1203" s="175">
        <v>34</v>
      </c>
      <c r="AP1203" s="175">
        <v>8</v>
      </c>
      <c r="AQ1203" s="175">
        <v>13</v>
      </c>
      <c r="AR1203" s="175">
        <v>27</v>
      </c>
      <c r="AS1203" s="175">
        <v>2</v>
      </c>
      <c r="AT1203" s="175">
        <v>1</v>
      </c>
    </row>
    <row r="1204" spans="1:46">
      <c r="A1204">
        <v>25148</v>
      </c>
      <c r="B1204" t="s">
        <v>7714</v>
      </c>
      <c r="C1204" t="s">
        <v>7715</v>
      </c>
      <c r="D1204" t="s">
        <v>7716</v>
      </c>
      <c r="E1204" t="s">
        <v>7717</v>
      </c>
      <c r="F1204" t="s">
        <v>811</v>
      </c>
      <c r="G1204" t="s">
        <v>737</v>
      </c>
      <c r="H1204" t="s">
        <v>449</v>
      </c>
      <c r="I1204" t="s">
        <v>4320</v>
      </c>
      <c r="J1204" t="s">
        <v>605</v>
      </c>
      <c r="K1204" t="s">
        <v>606</v>
      </c>
      <c r="M1204" t="s">
        <v>607</v>
      </c>
      <c r="N1204" t="s">
        <v>812</v>
      </c>
      <c r="O1204" t="s">
        <v>813</v>
      </c>
      <c r="P1204" t="s">
        <v>739</v>
      </c>
      <c r="Q1204" t="s">
        <v>467</v>
      </c>
      <c r="R1204" t="s">
        <v>814</v>
      </c>
      <c r="S1204" t="s">
        <v>815</v>
      </c>
      <c r="T1204" t="s">
        <v>794</v>
      </c>
      <c r="U1204">
        <v>155801</v>
      </c>
      <c r="V1204" t="s">
        <v>1297</v>
      </c>
      <c r="W1204" t="s">
        <v>817</v>
      </c>
      <c r="X1204" t="s">
        <v>7718</v>
      </c>
      <c r="Y1204" t="s">
        <v>7719</v>
      </c>
      <c r="Z1204" t="s">
        <v>811</v>
      </c>
      <c r="AA1204" t="s">
        <v>4565</v>
      </c>
      <c r="AB1204" t="s">
        <v>7720</v>
      </c>
      <c r="AE1204">
        <v>-36.965416230000002</v>
      </c>
      <c r="AF1204">
        <v>174.87590926999999</v>
      </c>
      <c r="AG1204" s="175">
        <v>33</v>
      </c>
      <c r="AH1204" s="175">
        <v>10</v>
      </c>
      <c r="AI1204" s="175">
        <v>0</v>
      </c>
      <c r="AJ1204" s="175">
        <v>6</v>
      </c>
      <c r="AK1204" s="175">
        <v>8</v>
      </c>
      <c r="AL1204" s="175">
        <v>4</v>
      </c>
      <c r="AM1204" s="175">
        <v>9</v>
      </c>
      <c r="AN1204" s="175">
        <v>0</v>
      </c>
      <c r="AO1204" s="175">
        <v>27</v>
      </c>
      <c r="AP1204" s="175">
        <v>6</v>
      </c>
      <c r="AQ1204" s="175">
        <v>1</v>
      </c>
      <c r="AR1204" s="175">
        <v>27</v>
      </c>
      <c r="AS1204" s="175">
        <v>0</v>
      </c>
      <c r="AT1204" s="175">
        <v>1</v>
      </c>
    </row>
    <row r="1205" spans="1:46">
      <c r="A1205">
        <v>25149</v>
      </c>
      <c r="B1205" t="s">
        <v>7721</v>
      </c>
      <c r="C1205" t="s">
        <v>7722</v>
      </c>
      <c r="D1205" t="s">
        <v>7723</v>
      </c>
      <c r="E1205" t="s">
        <v>7724</v>
      </c>
      <c r="G1205" t="s">
        <v>7725</v>
      </c>
      <c r="H1205" t="s">
        <v>449</v>
      </c>
      <c r="J1205" t="s">
        <v>4032</v>
      </c>
      <c r="K1205" t="s">
        <v>606</v>
      </c>
      <c r="M1205" t="s">
        <v>607</v>
      </c>
      <c r="N1205" t="s">
        <v>4586</v>
      </c>
      <c r="O1205" t="s">
        <v>792</v>
      </c>
      <c r="P1205" t="s">
        <v>739</v>
      </c>
      <c r="Q1205" t="s">
        <v>467</v>
      </c>
      <c r="R1205" t="s">
        <v>793</v>
      </c>
      <c r="S1205" t="s">
        <v>863</v>
      </c>
      <c r="T1205" t="s">
        <v>794</v>
      </c>
      <c r="U1205">
        <v>154701</v>
      </c>
      <c r="V1205" t="s">
        <v>7726</v>
      </c>
      <c r="W1205" t="s">
        <v>796</v>
      </c>
      <c r="X1205" t="s">
        <v>7727</v>
      </c>
      <c r="Y1205" t="s">
        <v>7728</v>
      </c>
      <c r="Z1205" t="s">
        <v>729</v>
      </c>
      <c r="AA1205" t="s">
        <v>730</v>
      </c>
      <c r="AB1205" t="s">
        <v>7729</v>
      </c>
      <c r="AE1205">
        <v>-36.921056059999998</v>
      </c>
      <c r="AF1205">
        <v>174.93118666999999</v>
      </c>
      <c r="AG1205" s="175">
        <v>150</v>
      </c>
      <c r="AH1205" s="175">
        <v>25</v>
      </c>
      <c r="AI1205" s="175">
        <v>5</v>
      </c>
      <c r="AJ1205" s="175">
        <v>17</v>
      </c>
      <c r="AK1205" s="175">
        <v>31</v>
      </c>
      <c r="AL1205" s="175">
        <v>37</v>
      </c>
      <c r="AM1205" s="175">
        <v>23</v>
      </c>
      <c r="AN1205" s="175">
        <v>0</v>
      </c>
      <c r="AO1205" s="175">
        <v>113</v>
      </c>
      <c r="AP1205" s="175">
        <v>35</v>
      </c>
      <c r="AQ1205" s="175">
        <v>5</v>
      </c>
      <c r="AR1205" s="175">
        <v>2</v>
      </c>
      <c r="AS1205" s="175">
        <v>77</v>
      </c>
      <c r="AT1205" s="175">
        <v>8</v>
      </c>
    </row>
    <row r="1206" spans="1:46">
      <c r="A1206">
        <v>25150</v>
      </c>
      <c r="B1206" t="s">
        <v>7730</v>
      </c>
      <c r="C1206" t="s">
        <v>7731</v>
      </c>
      <c r="D1206" t="s">
        <v>7732</v>
      </c>
      <c r="E1206" t="s">
        <v>7733</v>
      </c>
      <c r="F1206" t="s">
        <v>1030</v>
      </c>
      <c r="G1206" t="s">
        <v>737</v>
      </c>
      <c r="H1206" t="s">
        <v>449</v>
      </c>
      <c r="I1206" t="s">
        <v>7734</v>
      </c>
      <c r="J1206" t="s">
        <v>605</v>
      </c>
      <c r="K1206" t="s">
        <v>606</v>
      </c>
      <c r="M1206" t="s">
        <v>607</v>
      </c>
      <c r="N1206" t="s">
        <v>812</v>
      </c>
      <c r="O1206" t="s">
        <v>933</v>
      </c>
      <c r="P1206" t="s">
        <v>739</v>
      </c>
      <c r="Q1206" t="s">
        <v>467</v>
      </c>
      <c r="R1206" t="s">
        <v>814</v>
      </c>
      <c r="S1206" t="s">
        <v>934</v>
      </c>
      <c r="T1206" t="s">
        <v>794</v>
      </c>
      <c r="U1206">
        <v>149600</v>
      </c>
      <c r="V1206" t="s">
        <v>7735</v>
      </c>
      <c r="W1206" t="s">
        <v>817</v>
      </c>
      <c r="X1206" t="s">
        <v>7736</v>
      </c>
      <c r="Y1206" t="s">
        <v>7737</v>
      </c>
      <c r="AA1206" t="s">
        <v>4106</v>
      </c>
      <c r="AE1206">
        <v>-36.958989500000001</v>
      </c>
      <c r="AF1206">
        <v>174.8325237</v>
      </c>
      <c r="AG1206" s="175">
        <v>40</v>
      </c>
      <c r="AH1206" s="175">
        <v>12</v>
      </c>
      <c r="AI1206" s="175">
        <v>4</v>
      </c>
      <c r="AJ1206" s="175">
        <v>5</v>
      </c>
      <c r="AK1206" s="175">
        <v>8</v>
      </c>
      <c r="AL1206" s="175">
        <v>9</v>
      </c>
      <c r="AM1206" s="175">
        <v>8</v>
      </c>
      <c r="AN1206" s="175">
        <v>0</v>
      </c>
      <c r="AO1206" s="175">
        <v>34</v>
      </c>
      <c r="AP1206" s="175">
        <v>0</v>
      </c>
      <c r="AQ1206" s="175">
        <v>1</v>
      </c>
      <c r="AR1206" s="175">
        <v>1</v>
      </c>
      <c r="AS1206" s="175">
        <v>7</v>
      </c>
      <c r="AT1206" s="175">
        <v>25</v>
      </c>
    </row>
    <row r="1207" spans="1:46">
      <c r="A1207">
        <v>25153</v>
      </c>
      <c r="B1207" t="s">
        <v>7738</v>
      </c>
      <c r="C1207" t="s">
        <v>7739</v>
      </c>
      <c r="E1207" t="s">
        <v>7740</v>
      </c>
      <c r="F1207" t="s">
        <v>1121</v>
      </c>
      <c r="G1207" t="s">
        <v>737</v>
      </c>
      <c r="H1207" t="s">
        <v>347</v>
      </c>
      <c r="J1207" t="s">
        <v>605</v>
      </c>
      <c r="K1207" t="s">
        <v>606</v>
      </c>
      <c r="L1207" t="s">
        <v>4273</v>
      </c>
      <c r="M1207" t="s">
        <v>607</v>
      </c>
      <c r="N1207" t="s">
        <v>625</v>
      </c>
      <c r="O1207" t="s">
        <v>1301</v>
      </c>
      <c r="P1207" t="s">
        <v>739</v>
      </c>
      <c r="Q1207" t="s">
        <v>467</v>
      </c>
      <c r="R1207" t="s">
        <v>814</v>
      </c>
      <c r="S1207" t="s">
        <v>1121</v>
      </c>
      <c r="T1207" t="s">
        <v>794</v>
      </c>
      <c r="U1207">
        <v>159900</v>
      </c>
      <c r="V1207" t="s">
        <v>1326</v>
      </c>
      <c r="W1207" t="s">
        <v>1304</v>
      </c>
      <c r="X1207" t="s">
        <v>4275</v>
      </c>
      <c r="Y1207" t="s">
        <v>4276</v>
      </c>
      <c r="Z1207" t="s">
        <v>4277</v>
      </c>
      <c r="AA1207" t="s">
        <v>4278</v>
      </c>
      <c r="AE1207">
        <v>-37.029121590000003</v>
      </c>
      <c r="AF1207">
        <v>174.86822283999999</v>
      </c>
      <c r="AG1207" s="175">
        <v>30</v>
      </c>
      <c r="AH1207" s="175">
        <v>10</v>
      </c>
      <c r="AI1207" s="175">
        <v>1</v>
      </c>
      <c r="AJ1207" s="175">
        <v>3</v>
      </c>
      <c r="AK1207" s="175">
        <v>7</v>
      </c>
      <c r="AL1207" s="175">
        <v>6</v>
      </c>
      <c r="AM1207" s="175">
        <v>2</v>
      </c>
      <c r="AN1207" s="175">
        <v>0</v>
      </c>
      <c r="AO1207" s="175">
        <v>19</v>
      </c>
      <c r="AP1207" s="175">
        <v>0</v>
      </c>
      <c r="AQ1207" s="175">
        <v>19</v>
      </c>
      <c r="AR1207" s="175">
        <v>0</v>
      </c>
      <c r="AS1207" s="175">
        <v>0</v>
      </c>
      <c r="AT1207" s="175">
        <v>0</v>
      </c>
    </row>
    <row r="1208" spans="1:46">
      <c r="A1208">
        <v>25155</v>
      </c>
      <c r="B1208" t="s">
        <v>7741</v>
      </c>
      <c r="C1208" t="s">
        <v>7742</v>
      </c>
      <c r="E1208" t="s">
        <v>7743</v>
      </c>
      <c r="F1208" t="s">
        <v>1121</v>
      </c>
      <c r="G1208" t="s">
        <v>737</v>
      </c>
      <c r="H1208" t="s">
        <v>347</v>
      </c>
      <c r="J1208" t="s">
        <v>605</v>
      </c>
      <c r="K1208" t="s">
        <v>606</v>
      </c>
      <c r="L1208" t="s">
        <v>4273</v>
      </c>
      <c r="M1208" t="s">
        <v>607</v>
      </c>
      <c r="N1208" t="s">
        <v>812</v>
      </c>
      <c r="O1208" t="s">
        <v>1301</v>
      </c>
      <c r="P1208" t="s">
        <v>739</v>
      </c>
      <c r="Q1208" t="s">
        <v>467</v>
      </c>
      <c r="R1208" t="s">
        <v>814</v>
      </c>
      <c r="S1208" t="s">
        <v>1121</v>
      </c>
      <c r="T1208" t="s">
        <v>794</v>
      </c>
      <c r="U1208">
        <v>160601</v>
      </c>
      <c r="V1208" t="s">
        <v>7744</v>
      </c>
      <c r="W1208" t="s">
        <v>1304</v>
      </c>
      <c r="X1208" t="s">
        <v>4275</v>
      </c>
      <c r="Y1208" t="s">
        <v>4276</v>
      </c>
      <c r="Z1208" t="s">
        <v>4277</v>
      </c>
      <c r="AA1208" t="s">
        <v>4278</v>
      </c>
      <c r="AE1208">
        <v>-37.027356959999999</v>
      </c>
      <c r="AF1208">
        <v>174.88823633999999</v>
      </c>
      <c r="AG1208" s="175">
        <v>18</v>
      </c>
      <c r="AH1208" s="175">
        <v>6</v>
      </c>
      <c r="AI1208" s="175">
        <v>0</v>
      </c>
      <c r="AJ1208" s="175">
        <v>0</v>
      </c>
      <c r="AK1208" s="175">
        <v>3</v>
      </c>
      <c r="AL1208" s="175">
        <v>3</v>
      </c>
      <c r="AM1208" s="175">
        <v>4</v>
      </c>
      <c r="AN1208" s="175">
        <v>0</v>
      </c>
      <c r="AO1208" s="175">
        <v>10</v>
      </c>
      <c r="AP1208" s="175">
        <v>0</v>
      </c>
      <c r="AQ1208" s="175">
        <v>10</v>
      </c>
      <c r="AR1208" s="175">
        <v>0</v>
      </c>
      <c r="AS1208" s="175">
        <v>0</v>
      </c>
      <c r="AT1208" s="175">
        <v>0</v>
      </c>
    </row>
    <row r="1209" spans="1:46">
      <c r="A1209">
        <v>25157</v>
      </c>
      <c r="B1209" t="s">
        <v>7745</v>
      </c>
      <c r="C1209" t="s">
        <v>7746</v>
      </c>
      <c r="E1209" t="s">
        <v>7747</v>
      </c>
      <c r="F1209" t="s">
        <v>1302</v>
      </c>
      <c r="G1209" t="s">
        <v>737</v>
      </c>
      <c r="H1209" t="s">
        <v>347</v>
      </c>
      <c r="J1209" t="s">
        <v>605</v>
      </c>
      <c r="K1209" t="s">
        <v>606</v>
      </c>
      <c r="L1209" t="s">
        <v>4273</v>
      </c>
      <c r="M1209" t="s">
        <v>607</v>
      </c>
      <c r="N1209" t="s">
        <v>643</v>
      </c>
      <c r="O1209" t="s">
        <v>1353</v>
      </c>
      <c r="P1209" t="s">
        <v>739</v>
      </c>
      <c r="Q1209" t="s">
        <v>467</v>
      </c>
      <c r="R1209" t="s">
        <v>814</v>
      </c>
      <c r="S1209" t="s">
        <v>1302</v>
      </c>
      <c r="T1209" t="s">
        <v>794</v>
      </c>
      <c r="U1209">
        <v>162000</v>
      </c>
      <c r="V1209" t="s">
        <v>4118</v>
      </c>
      <c r="W1209" t="s">
        <v>1304</v>
      </c>
      <c r="X1209" t="s">
        <v>4275</v>
      </c>
      <c r="Y1209" t="s">
        <v>4276</v>
      </c>
      <c r="Z1209" t="s">
        <v>4277</v>
      </c>
      <c r="AA1209" t="s">
        <v>4278</v>
      </c>
      <c r="AE1209">
        <v>-37.040470740000004</v>
      </c>
      <c r="AF1209">
        <v>174.92209374999999</v>
      </c>
      <c r="AG1209" s="175">
        <v>40</v>
      </c>
      <c r="AH1209" s="175">
        <v>12</v>
      </c>
      <c r="AI1209" s="175">
        <v>1</v>
      </c>
      <c r="AJ1209" s="175">
        <v>5</v>
      </c>
      <c r="AK1209" s="175">
        <v>7</v>
      </c>
      <c r="AL1209" s="175">
        <v>9</v>
      </c>
      <c r="AM1209" s="175">
        <v>7</v>
      </c>
      <c r="AN1209" s="175">
        <v>0</v>
      </c>
      <c r="AO1209" s="175">
        <v>29</v>
      </c>
      <c r="AP1209" s="175">
        <v>0</v>
      </c>
      <c r="AQ1209" s="175">
        <v>29</v>
      </c>
      <c r="AR1209" s="175">
        <v>0</v>
      </c>
      <c r="AS1209" s="175">
        <v>0</v>
      </c>
      <c r="AT1209" s="175">
        <v>0</v>
      </c>
    </row>
    <row r="1210" spans="1:46">
      <c r="A1210">
        <v>25161</v>
      </c>
      <c r="B1210" t="s">
        <v>7748</v>
      </c>
      <c r="C1210" t="s">
        <v>7749</v>
      </c>
      <c r="E1210" t="s">
        <v>7750</v>
      </c>
      <c r="G1210" t="s">
        <v>1319</v>
      </c>
      <c r="H1210" t="s">
        <v>347</v>
      </c>
      <c r="J1210" t="s">
        <v>605</v>
      </c>
      <c r="K1210" t="s">
        <v>606</v>
      </c>
      <c r="L1210" t="s">
        <v>4273</v>
      </c>
      <c r="M1210" t="s">
        <v>607</v>
      </c>
      <c r="N1210" t="s">
        <v>812</v>
      </c>
      <c r="O1210" t="s">
        <v>1353</v>
      </c>
      <c r="P1210" t="s">
        <v>739</v>
      </c>
      <c r="Q1210" t="s">
        <v>467</v>
      </c>
      <c r="R1210" t="s">
        <v>814</v>
      </c>
      <c r="S1210" t="s">
        <v>1319</v>
      </c>
      <c r="T1210" t="s">
        <v>1320</v>
      </c>
      <c r="U1210">
        <v>163001</v>
      </c>
      <c r="V1210" t="s">
        <v>1362</v>
      </c>
      <c r="W1210" t="s">
        <v>1304</v>
      </c>
      <c r="X1210" t="s">
        <v>4275</v>
      </c>
      <c r="Y1210" t="s">
        <v>4276</v>
      </c>
      <c r="Z1210" t="s">
        <v>4277</v>
      </c>
      <c r="AA1210" t="s">
        <v>4278</v>
      </c>
      <c r="AE1210">
        <v>-37.0560118</v>
      </c>
      <c r="AF1210">
        <v>174.94468108000001</v>
      </c>
      <c r="AG1210" s="175">
        <v>35</v>
      </c>
      <c r="AH1210" s="175">
        <v>8</v>
      </c>
      <c r="AI1210" s="175">
        <v>2</v>
      </c>
      <c r="AJ1210" s="175">
        <v>5</v>
      </c>
      <c r="AK1210" s="175">
        <v>9</v>
      </c>
      <c r="AL1210" s="175">
        <v>10</v>
      </c>
      <c r="AM1210" s="175">
        <v>4</v>
      </c>
      <c r="AN1210" s="175">
        <v>0</v>
      </c>
      <c r="AO1210" s="175">
        <v>30</v>
      </c>
      <c r="AP1210" s="175">
        <v>0</v>
      </c>
      <c r="AQ1210" s="175">
        <v>27</v>
      </c>
      <c r="AR1210" s="175">
        <v>2</v>
      </c>
      <c r="AS1210" s="175">
        <v>0</v>
      </c>
      <c r="AT1210" s="175">
        <v>1</v>
      </c>
    </row>
    <row r="1211" spans="1:46">
      <c r="A1211">
        <v>25163</v>
      </c>
      <c r="B1211" t="s">
        <v>7751</v>
      </c>
      <c r="C1211" t="s">
        <v>7752</v>
      </c>
      <c r="E1211" t="s">
        <v>7753</v>
      </c>
      <c r="F1211" t="s">
        <v>811</v>
      </c>
      <c r="G1211" t="s">
        <v>737</v>
      </c>
      <c r="H1211" t="s">
        <v>347</v>
      </c>
      <c r="J1211" t="s">
        <v>605</v>
      </c>
      <c r="K1211" t="s">
        <v>606</v>
      </c>
      <c r="L1211" t="s">
        <v>4273</v>
      </c>
      <c r="M1211" t="s">
        <v>607</v>
      </c>
      <c r="N1211" t="s">
        <v>608</v>
      </c>
      <c r="O1211" t="s">
        <v>813</v>
      </c>
      <c r="P1211" t="s">
        <v>739</v>
      </c>
      <c r="Q1211" t="s">
        <v>467</v>
      </c>
      <c r="R1211" t="s">
        <v>814</v>
      </c>
      <c r="S1211" t="s">
        <v>815</v>
      </c>
      <c r="T1211" t="s">
        <v>794</v>
      </c>
      <c r="U1211">
        <v>155702</v>
      </c>
      <c r="V1211" t="s">
        <v>951</v>
      </c>
      <c r="W1211" t="s">
        <v>817</v>
      </c>
      <c r="X1211" t="s">
        <v>4275</v>
      </c>
      <c r="Y1211" t="s">
        <v>4276</v>
      </c>
      <c r="Z1211" t="s">
        <v>4277</v>
      </c>
      <c r="AA1211" t="s">
        <v>4278</v>
      </c>
      <c r="AE1211">
        <v>-36.97677238</v>
      </c>
      <c r="AF1211">
        <v>174.88125342999999</v>
      </c>
      <c r="AG1211" s="175">
        <v>22</v>
      </c>
      <c r="AH1211" s="175">
        <v>8</v>
      </c>
      <c r="AI1211" s="175">
        <v>1</v>
      </c>
      <c r="AJ1211" s="175">
        <v>5</v>
      </c>
      <c r="AK1211" s="175">
        <v>5</v>
      </c>
      <c r="AL1211" s="175">
        <v>4</v>
      </c>
      <c r="AM1211" s="175">
        <v>3</v>
      </c>
      <c r="AN1211" s="175">
        <v>0</v>
      </c>
      <c r="AO1211" s="175">
        <v>18</v>
      </c>
      <c r="AP1211" s="175">
        <v>0</v>
      </c>
      <c r="AQ1211" s="175">
        <v>17</v>
      </c>
      <c r="AR1211" s="175">
        <v>1</v>
      </c>
      <c r="AS1211" s="175">
        <v>0</v>
      </c>
      <c r="AT1211" s="175">
        <v>0</v>
      </c>
    </row>
    <row r="1212" spans="1:46">
      <c r="A1212">
        <v>25166</v>
      </c>
      <c r="B1212" t="s">
        <v>7754</v>
      </c>
      <c r="C1212" t="s">
        <v>7755</v>
      </c>
      <c r="D1212" t="s">
        <v>7756</v>
      </c>
      <c r="E1212" t="s">
        <v>7757</v>
      </c>
      <c r="F1212" t="s">
        <v>4405</v>
      </c>
      <c r="G1212" t="s">
        <v>737</v>
      </c>
      <c r="H1212" t="s">
        <v>449</v>
      </c>
      <c r="J1212" t="s">
        <v>605</v>
      </c>
      <c r="K1212" t="s">
        <v>606</v>
      </c>
      <c r="M1212" t="s">
        <v>607</v>
      </c>
      <c r="N1212" t="s">
        <v>643</v>
      </c>
      <c r="O1212" t="s">
        <v>1301</v>
      </c>
      <c r="P1212" t="s">
        <v>739</v>
      </c>
      <c r="Q1212" t="s">
        <v>467</v>
      </c>
      <c r="R1212" t="s">
        <v>814</v>
      </c>
      <c r="S1212" t="s">
        <v>1302</v>
      </c>
      <c r="T1212" t="s">
        <v>794</v>
      </c>
      <c r="U1212">
        <v>158501</v>
      </c>
      <c r="V1212" t="s">
        <v>7625</v>
      </c>
      <c r="W1212" t="s">
        <v>1304</v>
      </c>
      <c r="X1212" t="s">
        <v>4013</v>
      </c>
      <c r="Y1212" t="s">
        <v>4014</v>
      </c>
      <c r="Z1212" t="s">
        <v>4015</v>
      </c>
      <c r="AA1212" t="s">
        <v>4016</v>
      </c>
      <c r="AB1212" t="s">
        <v>4017</v>
      </c>
      <c r="AC1212">
        <v>99186</v>
      </c>
      <c r="AD1212" t="s">
        <v>1309</v>
      </c>
      <c r="AE1212">
        <v>-36.99812506</v>
      </c>
      <c r="AF1212">
        <v>174.89411421</v>
      </c>
      <c r="AG1212" s="175">
        <v>20</v>
      </c>
      <c r="AH1212" s="175">
        <v>20</v>
      </c>
      <c r="AI1212" s="175">
        <v>1</v>
      </c>
      <c r="AJ1212" s="175">
        <v>12</v>
      </c>
      <c r="AK1212" s="175">
        <v>4</v>
      </c>
      <c r="AL1212" s="175">
        <v>0</v>
      </c>
      <c r="AM1212" s="175">
        <v>0</v>
      </c>
      <c r="AN1212" s="175">
        <v>0</v>
      </c>
      <c r="AO1212" s="175">
        <v>17</v>
      </c>
      <c r="AP1212" s="175">
        <v>6</v>
      </c>
      <c r="AQ1212" s="175">
        <v>1</v>
      </c>
      <c r="AR1212" s="175">
        <v>3</v>
      </c>
      <c r="AS1212" s="175">
        <v>10</v>
      </c>
      <c r="AT1212" s="175">
        <v>0</v>
      </c>
    </row>
    <row r="1213" spans="1:46">
      <c r="A1213">
        <v>25171</v>
      </c>
      <c r="B1213" t="s">
        <v>7758</v>
      </c>
      <c r="C1213" t="s">
        <v>7759</v>
      </c>
      <c r="D1213" t="s">
        <v>7760</v>
      </c>
      <c r="E1213" t="s">
        <v>7761</v>
      </c>
      <c r="G1213" t="s">
        <v>1319</v>
      </c>
      <c r="H1213" t="s">
        <v>449</v>
      </c>
      <c r="J1213" t="s">
        <v>605</v>
      </c>
      <c r="K1213" t="s">
        <v>606</v>
      </c>
      <c r="M1213" t="s">
        <v>607</v>
      </c>
      <c r="N1213" t="s">
        <v>608</v>
      </c>
      <c r="O1213" t="s">
        <v>1353</v>
      </c>
      <c r="P1213" t="s">
        <v>739</v>
      </c>
      <c r="Q1213" t="s">
        <v>467</v>
      </c>
      <c r="R1213" t="s">
        <v>814</v>
      </c>
      <c r="S1213" t="s">
        <v>1319</v>
      </c>
      <c r="T1213" t="s">
        <v>1320</v>
      </c>
      <c r="U1213">
        <v>163502</v>
      </c>
      <c r="V1213" t="s">
        <v>7563</v>
      </c>
      <c r="W1213" t="s">
        <v>1304</v>
      </c>
      <c r="X1213" t="s">
        <v>7762</v>
      </c>
      <c r="Y1213" t="s">
        <v>7763</v>
      </c>
      <c r="Z1213" t="s">
        <v>1319</v>
      </c>
      <c r="AA1213" t="s">
        <v>6084</v>
      </c>
      <c r="AE1213">
        <v>-37.06273479</v>
      </c>
      <c r="AF1213">
        <v>174.96126418</v>
      </c>
      <c r="AG1213" s="175">
        <v>35</v>
      </c>
      <c r="AH1213" s="175">
        <v>0</v>
      </c>
      <c r="AI1213" s="175">
        <v>0</v>
      </c>
      <c r="AJ1213" s="175">
        <v>0</v>
      </c>
      <c r="AK1213" s="175">
        <v>3</v>
      </c>
      <c r="AL1213" s="175">
        <v>7</v>
      </c>
      <c r="AM1213" s="175">
        <v>4</v>
      </c>
      <c r="AN1213" s="175">
        <v>0</v>
      </c>
      <c r="AO1213" s="175">
        <v>14</v>
      </c>
      <c r="AP1213" s="175">
        <v>1</v>
      </c>
      <c r="AQ1213" s="175">
        <v>7</v>
      </c>
      <c r="AR1213" s="175">
        <v>5</v>
      </c>
      <c r="AS1213" s="175">
        <v>4</v>
      </c>
      <c r="AT1213" s="175">
        <v>0</v>
      </c>
    </row>
    <row r="1214" spans="1:46">
      <c r="A1214">
        <v>25172</v>
      </c>
      <c r="B1214" t="s">
        <v>7764</v>
      </c>
      <c r="C1214" t="s">
        <v>7765</v>
      </c>
      <c r="E1214" t="s">
        <v>7766</v>
      </c>
      <c r="G1214" t="s">
        <v>3882</v>
      </c>
      <c r="H1214" t="s">
        <v>347</v>
      </c>
      <c r="J1214" t="s">
        <v>605</v>
      </c>
      <c r="K1214" t="s">
        <v>606</v>
      </c>
      <c r="L1214" t="s">
        <v>4273</v>
      </c>
      <c r="M1214" t="s">
        <v>1382</v>
      </c>
      <c r="N1214" t="s">
        <v>608</v>
      </c>
      <c r="O1214" t="s">
        <v>1435</v>
      </c>
      <c r="P1214" t="s">
        <v>658</v>
      </c>
      <c r="Q1214" t="s">
        <v>510</v>
      </c>
      <c r="R1214" t="s">
        <v>1384</v>
      </c>
      <c r="S1214" t="s">
        <v>1331</v>
      </c>
      <c r="T1214" t="s">
        <v>1320</v>
      </c>
      <c r="U1214">
        <v>170101</v>
      </c>
      <c r="V1214" t="s">
        <v>7767</v>
      </c>
      <c r="W1214" t="s">
        <v>7768</v>
      </c>
      <c r="X1214" t="s">
        <v>7695</v>
      </c>
      <c r="Y1214" t="s">
        <v>4276</v>
      </c>
      <c r="Z1214" t="s">
        <v>4277</v>
      </c>
      <c r="AA1214" t="s">
        <v>4278</v>
      </c>
      <c r="AB1214" t="s">
        <v>7696</v>
      </c>
      <c r="AE1214">
        <v>-37.425781100000002</v>
      </c>
      <c r="AF1214">
        <v>174.74235959999999</v>
      </c>
      <c r="AG1214" s="175">
        <v>25</v>
      </c>
      <c r="AH1214" s="175">
        <v>9</v>
      </c>
      <c r="AI1214" s="175">
        <v>0</v>
      </c>
      <c r="AJ1214" s="175">
        <v>3</v>
      </c>
      <c r="AK1214" s="175">
        <v>4</v>
      </c>
      <c r="AL1214" s="175">
        <v>1</v>
      </c>
      <c r="AM1214" s="175">
        <v>9</v>
      </c>
      <c r="AN1214" s="175">
        <v>0</v>
      </c>
      <c r="AO1214" s="175">
        <v>17</v>
      </c>
      <c r="AP1214" s="175">
        <v>0</v>
      </c>
      <c r="AQ1214" s="175">
        <v>17</v>
      </c>
      <c r="AR1214" s="175">
        <v>0</v>
      </c>
      <c r="AS1214" s="175">
        <v>0</v>
      </c>
      <c r="AT1214" s="175">
        <v>0</v>
      </c>
    </row>
    <row r="1215" spans="1:46">
      <c r="A1215">
        <v>25174</v>
      </c>
      <c r="B1215" t="s">
        <v>7769</v>
      </c>
      <c r="C1215" t="s">
        <v>7770</v>
      </c>
      <c r="D1215" t="s">
        <v>7771</v>
      </c>
      <c r="E1215" t="s">
        <v>7772</v>
      </c>
      <c r="F1215" t="s">
        <v>7302</v>
      </c>
      <c r="G1215" t="s">
        <v>3834</v>
      </c>
      <c r="H1215" t="s">
        <v>449</v>
      </c>
      <c r="J1215" t="s">
        <v>4032</v>
      </c>
      <c r="K1215" t="s">
        <v>606</v>
      </c>
      <c r="M1215" t="s">
        <v>607</v>
      </c>
      <c r="N1215" t="s">
        <v>657</v>
      </c>
      <c r="O1215" t="s">
        <v>3835</v>
      </c>
      <c r="P1215" t="s">
        <v>610</v>
      </c>
      <c r="Q1215" t="s">
        <v>467</v>
      </c>
      <c r="R1215" t="s">
        <v>793</v>
      </c>
      <c r="S1215" t="s">
        <v>1043</v>
      </c>
      <c r="T1215" t="s">
        <v>794</v>
      </c>
      <c r="U1215">
        <v>148700</v>
      </c>
      <c r="V1215" t="s">
        <v>7302</v>
      </c>
      <c r="W1215" t="s">
        <v>1044</v>
      </c>
      <c r="X1215" t="s">
        <v>7773</v>
      </c>
      <c r="Y1215" t="s">
        <v>7774</v>
      </c>
      <c r="Z1215" t="s">
        <v>3834</v>
      </c>
      <c r="AA1215" t="s">
        <v>7775</v>
      </c>
      <c r="AB1215" t="s">
        <v>7776</v>
      </c>
      <c r="AE1215">
        <v>-36.794950610000001</v>
      </c>
      <c r="AF1215">
        <v>175.04587921000001</v>
      </c>
      <c r="AG1215" s="175">
        <v>38</v>
      </c>
      <c r="AH1215" s="175">
        <v>10</v>
      </c>
      <c r="AI1215" s="175">
        <v>3</v>
      </c>
      <c r="AJ1215" s="175">
        <v>9</v>
      </c>
      <c r="AK1215" s="175">
        <v>8</v>
      </c>
      <c r="AL1215" s="175">
        <v>5</v>
      </c>
      <c r="AM1215" s="175">
        <v>1</v>
      </c>
      <c r="AN1215" s="175">
        <v>1</v>
      </c>
      <c r="AO1215" s="175">
        <v>27</v>
      </c>
      <c r="AP1215" s="175">
        <v>36</v>
      </c>
      <c r="AQ1215" s="175">
        <v>2</v>
      </c>
      <c r="AR1215" s="175">
        <v>1</v>
      </c>
      <c r="AS1215" s="175">
        <v>4</v>
      </c>
      <c r="AT1215" s="175">
        <v>6</v>
      </c>
    </row>
    <row r="1216" spans="1:46">
      <c r="A1216">
        <v>25178</v>
      </c>
      <c r="B1216" t="s">
        <v>7777</v>
      </c>
      <c r="C1216" t="s">
        <v>7778</v>
      </c>
      <c r="E1216" t="s">
        <v>7779</v>
      </c>
      <c r="F1216" t="s">
        <v>897</v>
      </c>
      <c r="G1216" t="s">
        <v>737</v>
      </c>
      <c r="H1216" t="s">
        <v>449</v>
      </c>
      <c r="J1216" t="s">
        <v>605</v>
      </c>
      <c r="K1216" t="s">
        <v>606</v>
      </c>
      <c r="M1216" t="s">
        <v>607</v>
      </c>
      <c r="N1216" t="s">
        <v>625</v>
      </c>
      <c r="O1216" t="s">
        <v>898</v>
      </c>
      <c r="P1216" t="s">
        <v>739</v>
      </c>
      <c r="Q1216" t="s">
        <v>467</v>
      </c>
      <c r="R1216" t="s">
        <v>724</v>
      </c>
      <c r="S1216" t="s">
        <v>725</v>
      </c>
      <c r="T1216" t="s">
        <v>613</v>
      </c>
      <c r="U1216">
        <v>119600</v>
      </c>
      <c r="V1216" t="s">
        <v>4900</v>
      </c>
      <c r="W1216" t="s">
        <v>900</v>
      </c>
      <c r="X1216" t="s">
        <v>7780</v>
      </c>
      <c r="Y1216" t="s">
        <v>7781</v>
      </c>
      <c r="Z1216" t="s">
        <v>729</v>
      </c>
      <c r="AA1216" t="s">
        <v>730</v>
      </c>
      <c r="AB1216" t="s">
        <v>7782</v>
      </c>
      <c r="AC1216">
        <v>99125</v>
      </c>
      <c r="AD1216" t="s">
        <v>901</v>
      </c>
      <c r="AE1216">
        <v>-36.831588359999998</v>
      </c>
      <c r="AF1216">
        <v>174.61741719</v>
      </c>
      <c r="AG1216" s="175">
        <v>40</v>
      </c>
      <c r="AH1216" s="175">
        <v>0</v>
      </c>
      <c r="AI1216" s="175">
        <v>0</v>
      </c>
      <c r="AJ1216" s="175">
        <v>0</v>
      </c>
      <c r="AK1216" s="175">
        <v>6</v>
      </c>
      <c r="AL1216" s="175">
        <v>8</v>
      </c>
      <c r="AM1216" s="175">
        <v>15</v>
      </c>
      <c r="AN1216" s="175">
        <v>2</v>
      </c>
      <c r="AO1216" s="175">
        <v>31</v>
      </c>
      <c r="AP1216" s="175">
        <v>11</v>
      </c>
      <c r="AQ1216" s="175">
        <v>5</v>
      </c>
      <c r="AR1216" s="175">
        <v>11</v>
      </c>
      <c r="AS1216" s="175">
        <v>9</v>
      </c>
      <c r="AT1216" s="175">
        <v>2</v>
      </c>
    </row>
    <row r="1217" spans="1:46">
      <c r="A1217">
        <v>25184</v>
      </c>
      <c r="B1217" t="s">
        <v>7783</v>
      </c>
      <c r="C1217" t="s">
        <v>7784</v>
      </c>
      <c r="D1217" t="s">
        <v>7785</v>
      </c>
      <c r="E1217" t="s">
        <v>7786</v>
      </c>
      <c r="F1217" t="s">
        <v>5170</v>
      </c>
      <c r="G1217" t="s">
        <v>4272</v>
      </c>
      <c r="H1217" t="s">
        <v>449</v>
      </c>
      <c r="I1217" t="s">
        <v>4233</v>
      </c>
      <c r="J1217" t="s">
        <v>605</v>
      </c>
      <c r="K1217" t="s">
        <v>606</v>
      </c>
      <c r="M1217" t="s">
        <v>607</v>
      </c>
      <c r="N1217" t="s">
        <v>4586</v>
      </c>
      <c r="O1217" t="s">
        <v>813</v>
      </c>
      <c r="P1217" t="s">
        <v>739</v>
      </c>
      <c r="Q1217" t="s">
        <v>467</v>
      </c>
      <c r="R1217" t="s">
        <v>814</v>
      </c>
      <c r="S1217" t="s">
        <v>863</v>
      </c>
      <c r="T1217" t="s">
        <v>794</v>
      </c>
      <c r="U1217">
        <v>157200</v>
      </c>
      <c r="V1217" t="s">
        <v>5112</v>
      </c>
      <c r="W1217" t="s">
        <v>817</v>
      </c>
      <c r="X1217" t="s">
        <v>7787</v>
      </c>
      <c r="Y1217" t="s">
        <v>7788</v>
      </c>
      <c r="Z1217" t="s">
        <v>5170</v>
      </c>
      <c r="AA1217" t="s">
        <v>4565</v>
      </c>
      <c r="AB1217" t="s">
        <v>7784</v>
      </c>
      <c r="AC1217">
        <v>99200</v>
      </c>
      <c r="AD1217" t="s">
        <v>952</v>
      </c>
      <c r="AE1217">
        <v>-36.97640157</v>
      </c>
      <c r="AF1217">
        <v>174.89533921</v>
      </c>
      <c r="AG1217" s="175">
        <v>28</v>
      </c>
      <c r="AH1217" s="175">
        <v>4</v>
      </c>
      <c r="AI1217" s="175">
        <v>0</v>
      </c>
      <c r="AJ1217" s="175">
        <v>6</v>
      </c>
      <c r="AK1217" s="175">
        <v>12</v>
      </c>
      <c r="AL1217" s="175">
        <v>8</v>
      </c>
      <c r="AM1217" s="175">
        <v>5</v>
      </c>
      <c r="AN1217" s="175">
        <v>0</v>
      </c>
      <c r="AO1217" s="175">
        <v>31</v>
      </c>
      <c r="AP1217" s="175">
        <v>1</v>
      </c>
      <c r="AQ1217" s="175">
        <v>1</v>
      </c>
      <c r="AR1217" s="175">
        <v>30</v>
      </c>
      <c r="AS1217" s="175">
        <v>3</v>
      </c>
      <c r="AT1217" s="175">
        <v>1</v>
      </c>
    </row>
    <row r="1218" spans="1:46">
      <c r="A1218">
        <v>25185</v>
      </c>
      <c r="B1218" t="s">
        <v>7789</v>
      </c>
      <c r="C1218" t="s">
        <v>7790</v>
      </c>
      <c r="E1218" t="s">
        <v>7791</v>
      </c>
      <c r="F1218" t="s">
        <v>822</v>
      </c>
      <c r="G1218" t="s">
        <v>737</v>
      </c>
      <c r="H1218" t="s">
        <v>449</v>
      </c>
      <c r="J1218" t="s">
        <v>4032</v>
      </c>
      <c r="K1218" t="s">
        <v>606</v>
      </c>
      <c r="M1218" t="s">
        <v>607</v>
      </c>
      <c r="N1218" t="s">
        <v>4586</v>
      </c>
      <c r="O1218" t="s">
        <v>823</v>
      </c>
      <c r="P1218" t="s">
        <v>739</v>
      </c>
      <c r="Q1218" t="s">
        <v>467</v>
      </c>
      <c r="R1218" t="s">
        <v>724</v>
      </c>
      <c r="S1218" t="s">
        <v>841</v>
      </c>
      <c r="T1218" t="s">
        <v>613</v>
      </c>
      <c r="U1218">
        <v>124600</v>
      </c>
      <c r="V1218" t="s">
        <v>6960</v>
      </c>
      <c r="W1218" t="s">
        <v>826</v>
      </c>
      <c r="X1218" t="s">
        <v>7792</v>
      </c>
      <c r="Y1218" t="s">
        <v>7793</v>
      </c>
      <c r="Z1218" t="s">
        <v>3777</v>
      </c>
      <c r="AA1218" t="s">
        <v>7794</v>
      </c>
      <c r="AB1218" t="s">
        <v>7795</v>
      </c>
      <c r="AE1218">
        <v>-36.783803659999997</v>
      </c>
      <c r="AF1218">
        <v>174.73512084000001</v>
      </c>
      <c r="AG1218" s="175">
        <v>40</v>
      </c>
      <c r="AH1218" s="175">
        <v>0</v>
      </c>
      <c r="AI1218" s="175">
        <v>0</v>
      </c>
      <c r="AJ1218" s="175">
        <v>0</v>
      </c>
      <c r="AK1218" s="175">
        <v>3</v>
      </c>
      <c r="AL1218" s="175">
        <v>13</v>
      </c>
      <c r="AM1218" s="175">
        <v>18</v>
      </c>
      <c r="AN1218" s="175">
        <v>0</v>
      </c>
      <c r="AO1218" s="175">
        <v>34</v>
      </c>
      <c r="AP1218" s="175">
        <v>9</v>
      </c>
      <c r="AQ1218" s="175">
        <v>3</v>
      </c>
      <c r="AR1218" s="175">
        <v>3</v>
      </c>
      <c r="AS1218" s="175">
        <v>23</v>
      </c>
      <c r="AT1218" s="175">
        <v>9</v>
      </c>
    </row>
    <row r="1219" spans="1:46">
      <c r="A1219">
        <v>25187</v>
      </c>
      <c r="B1219" t="s">
        <v>7796</v>
      </c>
      <c r="C1219" t="s">
        <v>7797</v>
      </c>
      <c r="E1219" t="s">
        <v>7798</v>
      </c>
      <c r="G1219" t="s">
        <v>1319</v>
      </c>
      <c r="H1219" t="s">
        <v>449</v>
      </c>
      <c r="J1219" t="s">
        <v>4032</v>
      </c>
      <c r="K1219" t="s">
        <v>606</v>
      </c>
      <c r="M1219" t="s">
        <v>607</v>
      </c>
      <c r="N1219" t="s">
        <v>625</v>
      </c>
      <c r="O1219" t="s">
        <v>1353</v>
      </c>
      <c r="P1219" t="s">
        <v>739</v>
      </c>
      <c r="Q1219" t="s">
        <v>467</v>
      </c>
      <c r="R1219" t="s">
        <v>814</v>
      </c>
      <c r="S1219" t="s">
        <v>1319</v>
      </c>
      <c r="T1219" t="s">
        <v>1320</v>
      </c>
      <c r="U1219">
        <v>163700</v>
      </c>
      <c r="V1219" t="s">
        <v>7661</v>
      </c>
      <c r="W1219" t="s">
        <v>1304</v>
      </c>
      <c r="X1219" t="s">
        <v>5226</v>
      </c>
      <c r="Y1219" t="s">
        <v>5227</v>
      </c>
      <c r="Z1219" t="s">
        <v>1319</v>
      </c>
      <c r="AA1219" t="s">
        <v>5228</v>
      </c>
      <c r="AB1219" t="s">
        <v>5229</v>
      </c>
      <c r="AE1219">
        <v>-37.076850870000001</v>
      </c>
      <c r="AF1219">
        <v>174.93122962000001</v>
      </c>
      <c r="AG1219" s="175">
        <v>35</v>
      </c>
      <c r="AH1219" s="175">
        <v>15</v>
      </c>
      <c r="AI1219" s="175">
        <v>0</v>
      </c>
      <c r="AJ1219" s="175">
        <v>1</v>
      </c>
      <c r="AK1219" s="175">
        <v>8</v>
      </c>
      <c r="AL1219" s="175">
        <v>11</v>
      </c>
      <c r="AM1219" s="175">
        <v>9</v>
      </c>
      <c r="AN1219" s="175">
        <v>2</v>
      </c>
      <c r="AO1219" s="175">
        <v>31</v>
      </c>
      <c r="AP1219" s="175">
        <v>7</v>
      </c>
      <c r="AQ1219" s="175">
        <v>14</v>
      </c>
      <c r="AR1219" s="175">
        <v>16</v>
      </c>
      <c r="AS1219" s="175">
        <v>4</v>
      </c>
      <c r="AT1219" s="175">
        <v>0</v>
      </c>
    </row>
    <row r="1220" spans="1:46">
      <c r="A1220">
        <v>25189</v>
      </c>
      <c r="B1220" t="s">
        <v>7799</v>
      </c>
      <c r="C1220" t="s">
        <v>7800</v>
      </c>
      <c r="D1220" t="s">
        <v>7801</v>
      </c>
      <c r="E1220" t="s">
        <v>7802</v>
      </c>
      <c r="F1220" t="s">
        <v>1157</v>
      </c>
      <c r="G1220" t="s">
        <v>737</v>
      </c>
      <c r="H1220" t="s">
        <v>449</v>
      </c>
      <c r="I1220" t="s">
        <v>4134</v>
      </c>
      <c r="J1220" t="s">
        <v>4032</v>
      </c>
      <c r="K1220" t="s">
        <v>606</v>
      </c>
      <c r="M1220" t="s">
        <v>607</v>
      </c>
      <c r="N1220" t="s">
        <v>625</v>
      </c>
      <c r="O1220" t="s">
        <v>933</v>
      </c>
      <c r="P1220" t="s">
        <v>739</v>
      </c>
      <c r="Q1220" t="s">
        <v>467</v>
      </c>
      <c r="R1220" t="s">
        <v>814</v>
      </c>
      <c r="S1220" t="s">
        <v>815</v>
      </c>
      <c r="T1220" t="s">
        <v>794</v>
      </c>
      <c r="U1220">
        <v>151400</v>
      </c>
      <c r="V1220" t="s">
        <v>7607</v>
      </c>
      <c r="W1220" t="s">
        <v>817</v>
      </c>
      <c r="X1220" t="s">
        <v>7803</v>
      </c>
      <c r="Y1220" t="s">
        <v>7804</v>
      </c>
      <c r="AA1220" t="s">
        <v>7805</v>
      </c>
      <c r="AE1220">
        <v>-36.950899769999999</v>
      </c>
      <c r="AF1220">
        <v>174.83697504</v>
      </c>
      <c r="AG1220" s="175">
        <v>50</v>
      </c>
      <c r="AH1220" s="175">
        <v>18</v>
      </c>
      <c r="AI1220" s="175">
        <v>2</v>
      </c>
      <c r="AJ1220" s="175">
        <v>7</v>
      </c>
      <c r="AK1220" s="175">
        <v>5</v>
      </c>
      <c r="AL1220" s="175">
        <v>7</v>
      </c>
      <c r="AM1220" s="175">
        <v>4</v>
      </c>
      <c r="AN1220" s="175">
        <v>0</v>
      </c>
      <c r="AO1220" s="175">
        <v>25</v>
      </c>
      <c r="AP1220" s="175">
        <v>14</v>
      </c>
      <c r="AQ1220" s="175">
        <v>2</v>
      </c>
      <c r="AR1220" s="175">
        <v>2</v>
      </c>
      <c r="AS1220" s="175">
        <v>11</v>
      </c>
      <c r="AT1220" s="175">
        <v>2</v>
      </c>
    </row>
    <row r="1221" spans="1:46">
      <c r="A1221">
        <v>25193</v>
      </c>
      <c r="B1221" t="s">
        <v>7806</v>
      </c>
      <c r="C1221" t="s">
        <v>7807</v>
      </c>
      <c r="D1221" t="s">
        <v>7808</v>
      </c>
      <c r="E1221" t="s">
        <v>7809</v>
      </c>
      <c r="F1221" t="s">
        <v>1120</v>
      </c>
      <c r="G1221" t="s">
        <v>737</v>
      </c>
      <c r="H1221" t="s">
        <v>449</v>
      </c>
      <c r="J1221" t="s">
        <v>605</v>
      </c>
      <c r="K1221" t="s">
        <v>606</v>
      </c>
      <c r="M1221" t="s">
        <v>607</v>
      </c>
      <c r="N1221" t="s">
        <v>625</v>
      </c>
      <c r="O1221" t="s">
        <v>813</v>
      </c>
      <c r="P1221" t="s">
        <v>739</v>
      </c>
      <c r="Q1221" t="s">
        <v>467</v>
      </c>
      <c r="R1221" t="s">
        <v>814</v>
      </c>
      <c r="S1221" t="s">
        <v>1121</v>
      </c>
      <c r="T1221" t="s">
        <v>794</v>
      </c>
      <c r="U1221">
        <v>154802</v>
      </c>
      <c r="V1221" t="s">
        <v>4414</v>
      </c>
      <c r="W1221" t="s">
        <v>817</v>
      </c>
      <c r="X1221" t="s">
        <v>4013</v>
      </c>
      <c r="Y1221" t="s">
        <v>4014</v>
      </c>
      <c r="Z1221" t="s">
        <v>4015</v>
      </c>
      <c r="AA1221" t="s">
        <v>4016</v>
      </c>
      <c r="AB1221" t="s">
        <v>4017</v>
      </c>
      <c r="AC1221">
        <v>99102</v>
      </c>
      <c r="AD1221" t="s">
        <v>1123</v>
      </c>
      <c r="AE1221">
        <v>-36.982174499999999</v>
      </c>
      <c r="AF1221">
        <v>174.85066266000001</v>
      </c>
      <c r="AG1221" s="175">
        <v>150</v>
      </c>
      <c r="AH1221" s="175">
        <v>20</v>
      </c>
      <c r="AI1221" s="175">
        <v>3</v>
      </c>
      <c r="AJ1221" s="175">
        <v>13</v>
      </c>
      <c r="AK1221" s="175">
        <v>30</v>
      </c>
      <c r="AL1221" s="175">
        <v>42</v>
      </c>
      <c r="AM1221" s="175">
        <v>40</v>
      </c>
      <c r="AN1221" s="175">
        <v>3</v>
      </c>
      <c r="AO1221" s="175">
        <v>131</v>
      </c>
      <c r="AP1221" s="175">
        <v>16</v>
      </c>
      <c r="AQ1221" s="175">
        <v>14</v>
      </c>
      <c r="AR1221" s="175">
        <v>29</v>
      </c>
      <c r="AS1221" s="175">
        <v>90</v>
      </c>
      <c r="AT1221" s="175">
        <v>4</v>
      </c>
    </row>
    <row r="1222" spans="1:46">
      <c r="A1222">
        <v>25194</v>
      </c>
      <c r="B1222" t="s">
        <v>7810</v>
      </c>
      <c r="C1222" t="s">
        <v>7811</v>
      </c>
      <c r="D1222" t="s">
        <v>7812</v>
      </c>
      <c r="E1222" t="s">
        <v>7813</v>
      </c>
      <c r="F1222" t="s">
        <v>862</v>
      </c>
      <c r="G1222" t="s">
        <v>737</v>
      </c>
      <c r="H1222" t="s">
        <v>449</v>
      </c>
      <c r="J1222" t="s">
        <v>605</v>
      </c>
      <c r="K1222" t="s">
        <v>606</v>
      </c>
      <c r="M1222" t="s">
        <v>607</v>
      </c>
      <c r="N1222" t="s">
        <v>657</v>
      </c>
      <c r="O1222" t="s">
        <v>792</v>
      </c>
      <c r="P1222" t="s">
        <v>739</v>
      </c>
      <c r="Q1222" t="s">
        <v>467</v>
      </c>
      <c r="R1222" t="s">
        <v>793</v>
      </c>
      <c r="S1222" t="s">
        <v>791</v>
      </c>
      <c r="T1222" t="s">
        <v>794</v>
      </c>
      <c r="U1222">
        <v>152000</v>
      </c>
      <c r="V1222" t="s">
        <v>1011</v>
      </c>
      <c r="W1222" t="s">
        <v>796</v>
      </c>
      <c r="X1222" t="s">
        <v>4013</v>
      </c>
      <c r="Y1222" t="s">
        <v>4014</v>
      </c>
      <c r="Z1222" t="s">
        <v>4015</v>
      </c>
      <c r="AA1222" t="s">
        <v>4016</v>
      </c>
      <c r="AB1222" t="s">
        <v>4017</v>
      </c>
      <c r="AE1222">
        <v>-36.898267769999997</v>
      </c>
      <c r="AF1222">
        <v>174.92055999999999</v>
      </c>
      <c r="AG1222" s="175">
        <v>47</v>
      </c>
      <c r="AH1222" s="175">
        <v>8</v>
      </c>
      <c r="AI1222" s="175">
        <v>1</v>
      </c>
      <c r="AJ1222" s="175">
        <v>9</v>
      </c>
      <c r="AK1222" s="175">
        <v>15</v>
      </c>
      <c r="AL1222" s="175">
        <v>9</v>
      </c>
      <c r="AM1222" s="175">
        <v>18</v>
      </c>
      <c r="AN1222" s="175">
        <v>0</v>
      </c>
      <c r="AO1222" s="175">
        <v>52</v>
      </c>
      <c r="AP1222" s="175">
        <v>21</v>
      </c>
      <c r="AQ1222" s="175">
        <v>3</v>
      </c>
      <c r="AR1222" s="175">
        <v>4</v>
      </c>
      <c r="AS1222" s="175">
        <v>32</v>
      </c>
      <c r="AT1222" s="175">
        <v>8</v>
      </c>
    </row>
    <row r="1223" spans="1:46">
      <c r="A1223">
        <v>25200</v>
      </c>
      <c r="B1223" t="s">
        <v>7814</v>
      </c>
      <c r="C1223" t="s">
        <v>7815</v>
      </c>
      <c r="D1223" t="s">
        <v>6878</v>
      </c>
      <c r="E1223" t="s">
        <v>7816</v>
      </c>
      <c r="G1223" t="s">
        <v>7817</v>
      </c>
      <c r="H1223" t="s">
        <v>301</v>
      </c>
      <c r="J1223" t="s">
        <v>605</v>
      </c>
      <c r="K1223" t="s">
        <v>606</v>
      </c>
      <c r="M1223" t="s">
        <v>607</v>
      </c>
      <c r="N1223" t="s">
        <v>657</v>
      </c>
      <c r="O1223" t="s">
        <v>1318</v>
      </c>
      <c r="P1223" t="s">
        <v>626</v>
      </c>
      <c r="Q1223" t="s">
        <v>467</v>
      </c>
      <c r="R1223" t="s">
        <v>814</v>
      </c>
      <c r="S1223" t="s">
        <v>1319</v>
      </c>
      <c r="T1223" t="s">
        <v>1320</v>
      </c>
      <c r="U1223">
        <v>166301</v>
      </c>
      <c r="V1223" t="s">
        <v>7818</v>
      </c>
      <c r="W1223" t="s">
        <v>1322</v>
      </c>
      <c r="X1223" t="s">
        <v>6881</v>
      </c>
      <c r="Y1223" t="s">
        <v>5253</v>
      </c>
      <c r="AA1223" t="s">
        <v>5254</v>
      </c>
      <c r="AE1223">
        <v>-37.185717959999998</v>
      </c>
      <c r="AF1223">
        <v>174.9948675</v>
      </c>
      <c r="AG1223" s="175">
        <v>30</v>
      </c>
      <c r="AH1223" s="175">
        <v>15</v>
      </c>
      <c r="AI1223" s="175">
        <v>0</v>
      </c>
      <c r="AJ1223" s="175">
        <v>2</v>
      </c>
      <c r="AK1223" s="175">
        <v>4</v>
      </c>
      <c r="AL1223" s="175">
        <v>4</v>
      </c>
      <c r="AM1223" s="175">
        <v>3</v>
      </c>
      <c r="AN1223" s="175">
        <v>0</v>
      </c>
      <c r="AO1223" s="175">
        <v>13</v>
      </c>
      <c r="AP1223" s="175">
        <v>13</v>
      </c>
      <c r="AQ1223" s="175">
        <v>0</v>
      </c>
      <c r="AR1223" s="175">
        <v>0</v>
      </c>
      <c r="AS1223" s="175">
        <v>1</v>
      </c>
      <c r="AT1223" s="175">
        <v>0</v>
      </c>
    </row>
    <row r="1224" spans="1:46">
      <c r="A1224">
        <v>25201</v>
      </c>
      <c r="B1224" t="s">
        <v>7819</v>
      </c>
      <c r="C1224" t="s">
        <v>7820</v>
      </c>
      <c r="E1224" t="s">
        <v>7821</v>
      </c>
      <c r="G1224" t="s">
        <v>4133</v>
      </c>
      <c r="H1224" t="s">
        <v>301</v>
      </c>
      <c r="J1224" t="s">
        <v>605</v>
      </c>
      <c r="K1224" t="s">
        <v>606</v>
      </c>
      <c r="M1224" t="s">
        <v>607</v>
      </c>
      <c r="N1224" t="s">
        <v>657</v>
      </c>
      <c r="O1224" t="s">
        <v>1353</v>
      </c>
      <c r="P1224" t="s">
        <v>739</v>
      </c>
      <c r="Q1224" t="s">
        <v>467</v>
      </c>
      <c r="R1224" t="s">
        <v>814</v>
      </c>
      <c r="S1224" t="s">
        <v>1319</v>
      </c>
      <c r="T1224" t="s">
        <v>1320</v>
      </c>
      <c r="U1224">
        <v>164302</v>
      </c>
      <c r="V1224" t="s">
        <v>4135</v>
      </c>
      <c r="W1224" t="s">
        <v>1304</v>
      </c>
      <c r="X1224" t="s">
        <v>6881</v>
      </c>
      <c r="Y1224" t="s">
        <v>5253</v>
      </c>
      <c r="AA1224" t="s">
        <v>5254</v>
      </c>
      <c r="AE1224">
        <v>-37.098035520000003</v>
      </c>
      <c r="AF1224">
        <v>174.95109298</v>
      </c>
      <c r="AG1224" s="175">
        <v>29</v>
      </c>
      <c r="AH1224" s="175">
        <v>15</v>
      </c>
      <c r="AI1224" s="175">
        <v>15</v>
      </c>
      <c r="AJ1224" s="175">
        <v>3</v>
      </c>
      <c r="AK1224" s="175">
        <v>3</v>
      </c>
      <c r="AL1224" s="175">
        <v>3</v>
      </c>
      <c r="AM1224" s="175">
        <v>4</v>
      </c>
      <c r="AN1224" s="175">
        <v>0</v>
      </c>
      <c r="AO1224" s="175">
        <v>28</v>
      </c>
      <c r="AP1224" s="175">
        <v>24</v>
      </c>
      <c r="AQ1224" s="175">
        <v>5</v>
      </c>
      <c r="AR1224" s="175">
        <v>4</v>
      </c>
      <c r="AS1224" s="175">
        <v>2</v>
      </c>
      <c r="AT1224" s="175">
        <v>4</v>
      </c>
    </row>
    <row r="1225" spans="1:46">
      <c r="A1225">
        <v>25202</v>
      </c>
      <c r="B1225" t="s">
        <v>7822</v>
      </c>
      <c r="C1225" t="s">
        <v>7823</v>
      </c>
      <c r="E1225" t="s">
        <v>7824</v>
      </c>
      <c r="G1225" t="s">
        <v>7825</v>
      </c>
      <c r="H1225" t="s">
        <v>301</v>
      </c>
      <c r="J1225" t="s">
        <v>605</v>
      </c>
      <c r="K1225" t="s">
        <v>606</v>
      </c>
      <c r="M1225" t="s">
        <v>607</v>
      </c>
      <c r="N1225" t="s">
        <v>657</v>
      </c>
      <c r="O1225" t="s">
        <v>1318</v>
      </c>
      <c r="P1225" t="s">
        <v>626</v>
      </c>
      <c r="Q1225" t="s">
        <v>467</v>
      </c>
      <c r="R1225" t="s">
        <v>814</v>
      </c>
      <c r="S1225" t="s">
        <v>1319</v>
      </c>
      <c r="T1225" t="s">
        <v>1320</v>
      </c>
      <c r="U1225">
        <v>165200</v>
      </c>
      <c r="V1225" t="s">
        <v>7825</v>
      </c>
      <c r="W1225" t="s">
        <v>1322</v>
      </c>
      <c r="X1225" t="s">
        <v>6881</v>
      </c>
      <c r="Y1225" t="s">
        <v>5253</v>
      </c>
      <c r="AA1225" t="s">
        <v>5254</v>
      </c>
      <c r="AE1225">
        <v>-37.080286049999998</v>
      </c>
      <c r="AF1225">
        <v>175.07447400000001</v>
      </c>
      <c r="AG1225" s="175">
        <v>26</v>
      </c>
      <c r="AH1225" s="175">
        <v>10</v>
      </c>
      <c r="AI1225" s="175">
        <v>1</v>
      </c>
      <c r="AJ1225" s="175">
        <v>2</v>
      </c>
      <c r="AK1225" s="175">
        <v>3</v>
      </c>
      <c r="AL1225" s="175">
        <v>4</v>
      </c>
      <c r="AM1225" s="175">
        <v>6</v>
      </c>
      <c r="AN1225" s="175">
        <v>0</v>
      </c>
      <c r="AO1225" s="175">
        <v>16</v>
      </c>
      <c r="AP1225" s="175">
        <v>15</v>
      </c>
      <c r="AQ1225" s="175">
        <v>4</v>
      </c>
      <c r="AR1225" s="175">
        <v>2</v>
      </c>
      <c r="AS1225" s="175">
        <v>1</v>
      </c>
      <c r="AT1225" s="175">
        <v>0</v>
      </c>
    </row>
    <row r="1226" spans="1:46">
      <c r="A1226">
        <v>25203</v>
      </c>
      <c r="B1226" t="s">
        <v>7826</v>
      </c>
      <c r="C1226" t="s">
        <v>7827</v>
      </c>
      <c r="D1226" t="s">
        <v>6878</v>
      </c>
      <c r="E1226" t="s">
        <v>7828</v>
      </c>
      <c r="G1226" t="s">
        <v>5084</v>
      </c>
      <c r="H1226" t="s">
        <v>301</v>
      </c>
      <c r="J1226" t="s">
        <v>605</v>
      </c>
      <c r="K1226" t="s">
        <v>606</v>
      </c>
      <c r="M1226" t="s">
        <v>607</v>
      </c>
      <c r="N1226" t="s">
        <v>657</v>
      </c>
      <c r="O1226" t="s">
        <v>1318</v>
      </c>
      <c r="P1226" t="s">
        <v>658</v>
      </c>
      <c r="Q1226" t="s">
        <v>467</v>
      </c>
      <c r="R1226" t="s">
        <v>814</v>
      </c>
      <c r="S1226" t="s">
        <v>1319</v>
      </c>
      <c r="T1226" t="s">
        <v>1320</v>
      </c>
      <c r="U1226">
        <v>161400</v>
      </c>
      <c r="V1226" t="s">
        <v>7829</v>
      </c>
      <c r="W1226" t="s">
        <v>1322</v>
      </c>
      <c r="X1226" t="s">
        <v>6881</v>
      </c>
      <c r="Y1226" t="s">
        <v>5253</v>
      </c>
      <c r="AA1226" t="s">
        <v>5254</v>
      </c>
      <c r="AE1226">
        <v>-37.100264920000001</v>
      </c>
      <c r="AF1226">
        <v>174.88023541999999</v>
      </c>
      <c r="AG1226" s="175">
        <v>28</v>
      </c>
      <c r="AH1226" s="175">
        <v>15</v>
      </c>
      <c r="AI1226" s="175">
        <v>13</v>
      </c>
      <c r="AJ1226" s="175">
        <v>6</v>
      </c>
      <c r="AK1226" s="175">
        <v>3</v>
      </c>
      <c r="AL1226" s="175">
        <v>7</v>
      </c>
      <c r="AM1226" s="175">
        <v>2</v>
      </c>
      <c r="AN1226" s="175">
        <v>0</v>
      </c>
      <c r="AO1226" s="175">
        <v>31</v>
      </c>
      <c r="AP1226" s="175">
        <v>26</v>
      </c>
      <c r="AQ1226" s="175">
        <v>9</v>
      </c>
      <c r="AR1226" s="175">
        <v>2</v>
      </c>
      <c r="AS1226" s="175">
        <v>4</v>
      </c>
      <c r="AT1226" s="175">
        <v>0</v>
      </c>
    </row>
    <row r="1227" spans="1:46">
      <c r="A1227">
        <v>25204</v>
      </c>
      <c r="B1227" t="s">
        <v>7830</v>
      </c>
      <c r="C1227" t="s">
        <v>7831</v>
      </c>
      <c r="D1227" t="s">
        <v>6878</v>
      </c>
      <c r="E1227" t="s">
        <v>7832</v>
      </c>
      <c r="F1227" t="s">
        <v>7833</v>
      </c>
      <c r="G1227" t="s">
        <v>1330</v>
      </c>
      <c r="H1227" t="s">
        <v>301</v>
      </c>
      <c r="J1227" t="s">
        <v>605</v>
      </c>
      <c r="K1227" t="s">
        <v>606</v>
      </c>
      <c r="M1227" t="s">
        <v>607</v>
      </c>
      <c r="N1227" t="s">
        <v>657</v>
      </c>
      <c r="O1227" t="s">
        <v>1318</v>
      </c>
      <c r="P1227" t="s">
        <v>658</v>
      </c>
      <c r="Q1227" t="s">
        <v>467</v>
      </c>
      <c r="R1227" t="s">
        <v>814</v>
      </c>
      <c r="S1227" t="s">
        <v>1331</v>
      </c>
      <c r="T1227" t="s">
        <v>1320</v>
      </c>
      <c r="U1227">
        <v>149901</v>
      </c>
      <c r="V1227" t="s">
        <v>7834</v>
      </c>
      <c r="W1227" t="s">
        <v>1322</v>
      </c>
      <c r="X1227" t="s">
        <v>6881</v>
      </c>
      <c r="Y1227" t="s">
        <v>5253</v>
      </c>
      <c r="AA1227" t="s">
        <v>5254</v>
      </c>
      <c r="AE1227">
        <v>-37.113337809999997</v>
      </c>
      <c r="AF1227">
        <v>174.61294186999999</v>
      </c>
      <c r="AG1227" s="175">
        <v>30</v>
      </c>
      <c r="AH1227" s="175">
        <v>10</v>
      </c>
      <c r="AI1227" s="175">
        <v>1</v>
      </c>
      <c r="AJ1227" s="175">
        <v>2</v>
      </c>
      <c r="AK1227" s="175">
        <v>2</v>
      </c>
      <c r="AL1227" s="175">
        <v>1</v>
      </c>
      <c r="AM1227" s="175">
        <v>2</v>
      </c>
      <c r="AN1227" s="175">
        <v>0</v>
      </c>
      <c r="AO1227" s="175">
        <v>8</v>
      </c>
      <c r="AP1227" s="175">
        <v>4</v>
      </c>
      <c r="AQ1227" s="175">
        <v>4</v>
      </c>
      <c r="AR1227" s="175">
        <v>0</v>
      </c>
      <c r="AS1227" s="175">
        <v>0</v>
      </c>
      <c r="AT1227" s="175">
        <v>1</v>
      </c>
    </row>
    <row r="1228" spans="1:46">
      <c r="A1228">
        <v>25205</v>
      </c>
      <c r="B1228" t="s">
        <v>7835</v>
      </c>
      <c r="C1228" t="s">
        <v>7836</v>
      </c>
      <c r="D1228" t="s">
        <v>6878</v>
      </c>
      <c r="E1228" t="s">
        <v>7837</v>
      </c>
      <c r="G1228" t="s">
        <v>7838</v>
      </c>
      <c r="H1228" t="s">
        <v>301</v>
      </c>
      <c r="J1228" t="s">
        <v>605</v>
      </c>
      <c r="K1228" t="s">
        <v>606</v>
      </c>
      <c r="M1228" t="s">
        <v>607</v>
      </c>
      <c r="N1228" t="s">
        <v>657</v>
      </c>
      <c r="O1228" t="s">
        <v>1435</v>
      </c>
      <c r="P1228" t="s">
        <v>658</v>
      </c>
      <c r="Q1228" t="s">
        <v>510</v>
      </c>
      <c r="R1228" t="s">
        <v>814</v>
      </c>
      <c r="S1228" t="s">
        <v>1331</v>
      </c>
      <c r="T1228" t="s">
        <v>1320</v>
      </c>
      <c r="U1228">
        <v>170700</v>
      </c>
      <c r="V1228" t="s">
        <v>7838</v>
      </c>
      <c r="W1228" t="s">
        <v>7768</v>
      </c>
      <c r="X1228" t="s">
        <v>6881</v>
      </c>
      <c r="Y1228" t="s">
        <v>5253</v>
      </c>
      <c r="AA1228" t="s">
        <v>5254</v>
      </c>
      <c r="AE1228">
        <v>-37.25050804</v>
      </c>
      <c r="AF1228">
        <v>175.22765390999999</v>
      </c>
      <c r="AG1228" s="175">
        <v>25</v>
      </c>
      <c r="AH1228" s="175">
        <v>10</v>
      </c>
      <c r="AI1228" s="175">
        <v>0</v>
      </c>
      <c r="AJ1228" s="175">
        <v>0</v>
      </c>
      <c r="AK1228" s="175">
        <v>1</v>
      </c>
      <c r="AL1228" s="175">
        <v>0</v>
      </c>
      <c r="AM1228" s="175">
        <v>0</v>
      </c>
      <c r="AN1228" s="175">
        <v>0</v>
      </c>
      <c r="AO1228" s="175">
        <v>1</v>
      </c>
      <c r="AP1228" s="175">
        <v>1</v>
      </c>
      <c r="AQ1228" s="175">
        <v>0</v>
      </c>
      <c r="AR1228" s="175">
        <v>0</v>
      </c>
      <c r="AS1228" s="175">
        <v>0</v>
      </c>
      <c r="AT1228" s="175">
        <v>0</v>
      </c>
    </row>
    <row r="1229" spans="1:46">
      <c r="A1229">
        <v>25207</v>
      </c>
      <c r="B1229" t="s">
        <v>7839</v>
      </c>
      <c r="C1229" t="s">
        <v>7840</v>
      </c>
      <c r="E1229" t="s">
        <v>7841</v>
      </c>
      <c r="G1229" t="s">
        <v>7842</v>
      </c>
      <c r="H1229" t="s">
        <v>301</v>
      </c>
      <c r="J1229" t="s">
        <v>605</v>
      </c>
      <c r="K1229" t="s">
        <v>606</v>
      </c>
      <c r="M1229" t="s">
        <v>607</v>
      </c>
      <c r="N1229" t="s">
        <v>657</v>
      </c>
      <c r="O1229" t="s">
        <v>1435</v>
      </c>
      <c r="P1229" t="s">
        <v>658</v>
      </c>
      <c r="Q1229" t="s">
        <v>510</v>
      </c>
      <c r="R1229" t="s">
        <v>814</v>
      </c>
      <c r="S1229" t="s">
        <v>1331</v>
      </c>
      <c r="T1229" t="s">
        <v>1320</v>
      </c>
      <c r="U1229">
        <v>169700</v>
      </c>
      <c r="V1229" t="s">
        <v>7843</v>
      </c>
      <c r="W1229" t="s">
        <v>7768</v>
      </c>
      <c r="X1229" t="s">
        <v>6881</v>
      </c>
      <c r="Y1229" t="s">
        <v>5253</v>
      </c>
      <c r="AA1229" t="s">
        <v>5254</v>
      </c>
      <c r="AE1229">
        <v>-37.306229979999998</v>
      </c>
      <c r="AF1229">
        <v>174.74296568</v>
      </c>
      <c r="AG1229" s="175">
        <v>29</v>
      </c>
      <c r="AH1229" s="175">
        <v>15</v>
      </c>
      <c r="AI1229" s="175">
        <v>3</v>
      </c>
      <c r="AJ1229" s="175">
        <v>6</v>
      </c>
      <c r="AK1229" s="175">
        <v>3</v>
      </c>
      <c r="AL1229" s="175">
        <v>7</v>
      </c>
      <c r="AM1229" s="175">
        <v>2</v>
      </c>
      <c r="AN1229" s="175">
        <v>1</v>
      </c>
      <c r="AO1229" s="175">
        <v>22</v>
      </c>
      <c r="AP1229" s="175">
        <v>21</v>
      </c>
      <c r="AQ1229" s="175">
        <v>5</v>
      </c>
      <c r="AR1229" s="175">
        <v>2</v>
      </c>
      <c r="AS1229" s="175">
        <v>1</v>
      </c>
      <c r="AT1229" s="175">
        <v>0</v>
      </c>
    </row>
    <row r="1230" spans="1:46">
      <c r="A1230">
        <v>25208</v>
      </c>
      <c r="B1230" t="s">
        <v>7844</v>
      </c>
      <c r="C1230" t="s">
        <v>7845</v>
      </c>
      <c r="D1230" t="s">
        <v>6878</v>
      </c>
      <c r="E1230" t="s">
        <v>7846</v>
      </c>
      <c r="G1230" t="s">
        <v>1319</v>
      </c>
      <c r="H1230" t="s">
        <v>301</v>
      </c>
      <c r="J1230" t="s">
        <v>605</v>
      </c>
      <c r="K1230" t="s">
        <v>606</v>
      </c>
      <c r="M1230" t="s">
        <v>607</v>
      </c>
      <c r="N1230" t="s">
        <v>657</v>
      </c>
      <c r="O1230" t="s">
        <v>1353</v>
      </c>
      <c r="P1230" t="s">
        <v>739</v>
      </c>
      <c r="Q1230" t="s">
        <v>467</v>
      </c>
      <c r="R1230" t="s">
        <v>814</v>
      </c>
      <c r="S1230" t="s">
        <v>1319</v>
      </c>
      <c r="T1230" t="s">
        <v>1320</v>
      </c>
      <c r="U1230">
        <v>163200</v>
      </c>
      <c r="V1230" t="s">
        <v>4113</v>
      </c>
      <c r="W1230" t="s">
        <v>1304</v>
      </c>
      <c r="X1230" t="s">
        <v>6881</v>
      </c>
      <c r="Y1230" t="s">
        <v>5253</v>
      </c>
      <c r="AA1230" t="s">
        <v>5254</v>
      </c>
      <c r="AE1230">
        <v>-37.068727090000003</v>
      </c>
      <c r="AF1230">
        <v>174.94546951000001</v>
      </c>
      <c r="AG1230" s="175">
        <v>30</v>
      </c>
      <c r="AH1230" s="175">
        <v>15</v>
      </c>
      <c r="AI1230" s="175">
        <v>1</v>
      </c>
      <c r="AJ1230" s="175">
        <v>8</v>
      </c>
      <c r="AK1230" s="175">
        <v>9</v>
      </c>
      <c r="AL1230" s="175">
        <v>2</v>
      </c>
      <c r="AM1230" s="175">
        <v>1</v>
      </c>
      <c r="AN1230" s="175">
        <v>0</v>
      </c>
      <c r="AO1230" s="175">
        <v>21</v>
      </c>
      <c r="AP1230" s="175">
        <v>16</v>
      </c>
      <c r="AQ1230" s="175">
        <v>10</v>
      </c>
      <c r="AR1230" s="175">
        <v>6</v>
      </c>
      <c r="AS1230" s="175">
        <v>3</v>
      </c>
      <c r="AT1230" s="175">
        <v>2</v>
      </c>
    </row>
    <row r="1231" spans="1:46">
      <c r="A1231">
        <v>25209</v>
      </c>
      <c r="B1231" t="s">
        <v>7847</v>
      </c>
      <c r="C1231" t="s">
        <v>7848</v>
      </c>
      <c r="E1231" t="s">
        <v>7849</v>
      </c>
      <c r="G1231" t="s">
        <v>7850</v>
      </c>
      <c r="H1231" t="s">
        <v>301</v>
      </c>
      <c r="J1231" t="s">
        <v>605</v>
      </c>
      <c r="K1231" t="s">
        <v>606</v>
      </c>
      <c r="M1231" t="s">
        <v>607</v>
      </c>
      <c r="N1231" t="s">
        <v>657</v>
      </c>
      <c r="O1231" t="s">
        <v>1318</v>
      </c>
      <c r="P1231" t="s">
        <v>610</v>
      </c>
      <c r="Q1231" t="s">
        <v>467</v>
      </c>
      <c r="R1231" t="s">
        <v>814</v>
      </c>
      <c r="S1231" t="s">
        <v>1331</v>
      </c>
      <c r="T1231" t="s">
        <v>1320</v>
      </c>
      <c r="U1231">
        <v>163801</v>
      </c>
      <c r="V1231" t="s">
        <v>7851</v>
      </c>
      <c r="W1231" t="s">
        <v>1322</v>
      </c>
      <c r="X1231" t="s">
        <v>6881</v>
      </c>
      <c r="Y1231" t="s">
        <v>5253</v>
      </c>
      <c r="AA1231" t="s">
        <v>5254</v>
      </c>
      <c r="AE1231">
        <v>-37.187497559999997</v>
      </c>
      <c r="AF1231">
        <v>174.83196409999999</v>
      </c>
      <c r="AG1231" s="175">
        <v>30</v>
      </c>
      <c r="AH1231" s="175">
        <v>10</v>
      </c>
      <c r="AI1231" s="175">
        <v>2</v>
      </c>
      <c r="AJ1231" s="175">
        <v>5</v>
      </c>
      <c r="AK1231" s="175">
        <v>6</v>
      </c>
      <c r="AL1231" s="175">
        <v>5</v>
      </c>
      <c r="AM1231" s="175">
        <v>2</v>
      </c>
      <c r="AN1231" s="175">
        <v>0</v>
      </c>
      <c r="AO1231" s="175">
        <v>20</v>
      </c>
      <c r="AP1231" s="175">
        <v>17</v>
      </c>
      <c r="AQ1231" s="175">
        <v>0</v>
      </c>
      <c r="AR1231" s="175">
        <v>1</v>
      </c>
      <c r="AS1231" s="175">
        <v>3</v>
      </c>
      <c r="AT1231" s="175">
        <v>1</v>
      </c>
    </row>
    <row r="1232" spans="1:46">
      <c r="A1232">
        <v>25211</v>
      </c>
      <c r="B1232" t="s">
        <v>7852</v>
      </c>
      <c r="C1232" t="s">
        <v>7853</v>
      </c>
      <c r="E1232" t="s">
        <v>7854</v>
      </c>
      <c r="G1232" t="s">
        <v>7855</v>
      </c>
      <c r="H1232" t="s">
        <v>301</v>
      </c>
      <c r="J1232" t="s">
        <v>605</v>
      </c>
      <c r="K1232" t="s">
        <v>606</v>
      </c>
      <c r="M1232" t="s">
        <v>607</v>
      </c>
      <c r="N1232" t="s">
        <v>657</v>
      </c>
      <c r="O1232" t="s">
        <v>1435</v>
      </c>
      <c r="P1232" t="s">
        <v>658</v>
      </c>
      <c r="Q1232" t="s">
        <v>510</v>
      </c>
      <c r="R1232" t="s">
        <v>814</v>
      </c>
      <c r="S1232" t="s">
        <v>1331</v>
      </c>
      <c r="T1232" t="s">
        <v>1320</v>
      </c>
      <c r="U1232">
        <v>170600</v>
      </c>
      <c r="V1232" t="s">
        <v>7855</v>
      </c>
      <c r="W1232" t="s">
        <v>7768</v>
      </c>
      <c r="X1232" t="s">
        <v>6881</v>
      </c>
      <c r="Y1232" t="s">
        <v>5253</v>
      </c>
      <c r="AA1232" t="s">
        <v>5254</v>
      </c>
      <c r="AE1232">
        <v>-37.334934369999999</v>
      </c>
      <c r="AF1232">
        <v>174.991829</v>
      </c>
      <c r="AG1232" s="175">
        <v>25</v>
      </c>
      <c r="AH1232" s="175">
        <v>15</v>
      </c>
      <c r="AI1232" s="175">
        <v>0</v>
      </c>
      <c r="AJ1232" s="175">
        <v>0</v>
      </c>
      <c r="AK1232" s="175">
        <v>2</v>
      </c>
      <c r="AL1232" s="175">
        <v>1</v>
      </c>
      <c r="AM1232" s="175">
        <v>0</v>
      </c>
      <c r="AN1232" s="175">
        <v>0</v>
      </c>
      <c r="AO1232" s="175">
        <v>3</v>
      </c>
      <c r="AP1232" s="175">
        <v>3</v>
      </c>
      <c r="AQ1232" s="175">
        <v>0</v>
      </c>
      <c r="AR1232" s="175">
        <v>0</v>
      </c>
      <c r="AS1232" s="175">
        <v>0</v>
      </c>
      <c r="AT1232" s="175">
        <v>0</v>
      </c>
    </row>
    <row r="1233" spans="1:46">
      <c r="A1233">
        <v>25212</v>
      </c>
      <c r="B1233" t="s">
        <v>7856</v>
      </c>
      <c r="C1233" t="s">
        <v>7857</v>
      </c>
      <c r="D1233" t="s">
        <v>6878</v>
      </c>
      <c r="E1233" t="s">
        <v>7858</v>
      </c>
      <c r="G1233" t="s">
        <v>1346</v>
      </c>
      <c r="H1233" t="s">
        <v>301</v>
      </c>
      <c r="J1233" t="s">
        <v>605</v>
      </c>
      <c r="K1233" t="s">
        <v>606</v>
      </c>
      <c r="M1233" t="s">
        <v>607</v>
      </c>
      <c r="N1233" t="s">
        <v>657</v>
      </c>
      <c r="O1233" t="s">
        <v>1318</v>
      </c>
      <c r="P1233" t="s">
        <v>1347</v>
      </c>
      <c r="Q1233" t="s">
        <v>467</v>
      </c>
      <c r="R1233" t="s">
        <v>814</v>
      </c>
      <c r="S1233" t="s">
        <v>1331</v>
      </c>
      <c r="T1233" t="s">
        <v>1320</v>
      </c>
      <c r="U1233">
        <v>165502</v>
      </c>
      <c r="V1233" t="s">
        <v>7859</v>
      </c>
      <c r="W1233" t="s">
        <v>1322</v>
      </c>
      <c r="X1233" t="s">
        <v>6881</v>
      </c>
      <c r="Y1233" t="s">
        <v>5253</v>
      </c>
      <c r="AA1233" t="s">
        <v>5254</v>
      </c>
      <c r="AE1233">
        <v>-37.204276669999999</v>
      </c>
      <c r="AF1233">
        <v>174.8890658</v>
      </c>
      <c r="AG1233" s="175">
        <v>30</v>
      </c>
      <c r="AH1233" s="175">
        <v>15</v>
      </c>
      <c r="AI1233" s="175">
        <v>3</v>
      </c>
      <c r="AJ1233" s="175">
        <v>11</v>
      </c>
      <c r="AK1233" s="175">
        <v>6</v>
      </c>
      <c r="AL1233" s="175">
        <v>5</v>
      </c>
      <c r="AM1233" s="175">
        <v>5</v>
      </c>
      <c r="AN1233" s="175">
        <v>0</v>
      </c>
      <c r="AO1233" s="175">
        <v>30</v>
      </c>
      <c r="AP1233" s="175">
        <v>27</v>
      </c>
      <c r="AQ1233" s="175">
        <v>3</v>
      </c>
      <c r="AR1233" s="175">
        <v>3</v>
      </c>
      <c r="AS1233" s="175">
        <v>3</v>
      </c>
      <c r="AT1233" s="175">
        <v>0</v>
      </c>
    </row>
    <row r="1234" spans="1:46">
      <c r="A1234">
        <v>25216</v>
      </c>
      <c r="B1234" t="s">
        <v>7860</v>
      </c>
      <c r="C1234" t="s">
        <v>7208</v>
      </c>
      <c r="E1234" t="s">
        <v>7861</v>
      </c>
      <c r="G1234" t="s">
        <v>7862</v>
      </c>
      <c r="H1234" t="s">
        <v>301</v>
      </c>
      <c r="J1234" t="s">
        <v>605</v>
      </c>
      <c r="K1234" t="s">
        <v>606</v>
      </c>
      <c r="M1234" t="s">
        <v>607</v>
      </c>
      <c r="N1234" t="s">
        <v>643</v>
      </c>
      <c r="O1234" t="s">
        <v>1435</v>
      </c>
      <c r="P1234" t="s">
        <v>610</v>
      </c>
      <c r="Q1234" t="s">
        <v>510</v>
      </c>
      <c r="R1234" t="s">
        <v>814</v>
      </c>
      <c r="S1234" t="s">
        <v>1331</v>
      </c>
      <c r="T1234" t="s">
        <v>1320</v>
      </c>
      <c r="U1234">
        <v>171101</v>
      </c>
      <c r="V1234" t="s">
        <v>7863</v>
      </c>
      <c r="W1234" t="s">
        <v>7864</v>
      </c>
      <c r="X1234" t="s">
        <v>6881</v>
      </c>
      <c r="Y1234" t="s">
        <v>5253</v>
      </c>
      <c r="AA1234" t="s">
        <v>5254</v>
      </c>
      <c r="AC1234">
        <v>99193</v>
      </c>
      <c r="AD1234" t="s">
        <v>7865</v>
      </c>
      <c r="AE1234">
        <v>-37.403757370000001</v>
      </c>
      <c r="AF1234">
        <v>175.14891560999999</v>
      </c>
      <c r="AG1234" s="175">
        <v>27</v>
      </c>
      <c r="AH1234" s="175">
        <v>10</v>
      </c>
      <c r="AI1234" s="175">
        <v>2</v>
      </c>
      <c r="AJ1234" s="175">
        <v>5</v>
      </c>
      <c r="AK1234" s="175">
        <v>5</v>
      </c>
      <c r="AL1234" s="175">
        <v>1</v>
      </c>
      <c r="AM1234" s="175">
        <v>2</v>
      </c>
      <c r="AN1234" s="175">
        <v>0</v>
      </c>
      <c r="AO1234" s="175">
        <v>15</v>
      </c>
      <c r="AP1234" s="175">
        <v>14</v>
      </c>
      <c r="AQ1234" s="175">
        <v>2</v>
      </c>
      <c r="AR1234" s="175">
        <v>0</v>
      </c>
      <c r="AS1234" s="175">
        <v>1</v>
      </c>
      <c r="AT1234" s="175">
        <v>2</v>
      </c>
    </row>
    <row r="1235" spans="1:46">
      <c r="A1235">
        <v>25218</v>
      </c>
      <c r="B1235" t="s">
        <v>7866</v>
      </c>
      <c r="C1235" t="s">
        <v>7867</v>
      </c>
      <c r="D1235" t="s">
        <v>6878</v>
      </c>
      <c r="E1235" t="s">
        <v>7868</v>
      </c>
      <c r="G1235" t="s">
        <v>3882</v>
      </c>
      <c r="H1235" t="s">
        <v>301</v>
      </c>
      <c r="J1235" t="s">
        <v>605</v>
      </c>
      <c r="K1235" t="s">
        <v>606</v>
      </c>
      <c r="M1235" t="s">
        <v>607</v>
      </c>
      <c r="N1235" t="s">
        <v>643</v>
      </c>
      <c r="O1235" t="s">
        <v>1435</v>
      </c>
      <c r="P1235" t="s">
        <v>610</v>
      </c>
      <c r="Q1235" t="s">
        <v>510</v>
      </c>
      <c r="R1235" t="s">
        <v>814</v>
      </c>
      <c r="S1235" t="s">
        <v>1331</v>
      </c>
      <c r="T1235" t="s">
        <v>1320</v>
      </c>
      <c r="U1235">
        <v>170001</v>
      </c>
      <c r="V1235" t="s">
        <v>4609</v>
      </c>
      <c r="W1235" t="s">
        <v>3884</v>
      </c>
      <c r="X1235" t="s">
        <v>6881</v>
      </c>
      <c r="Y1235" t="s">
        <v>5253</v>
      </c>
      <c r="AA1235" t="s">
        <v>5254</v>
      </c>
      <c r="AE1235">
        <v>-37.259117869999997</v>
      </c>
      <c r="AF1235">
        <v>174.94515580000001</v>
      </c>
      <c r="AG1235" s="175">
        <v>30</v>
      </c>
      <c r="AH1235" s="175">
        <v>15</v>
      </c>
      <c r="AI1235" s="175">
        <v>2</v>
      </c>
      <c r="AJ1235" s="175">
        <v>6</v>
      </c>
      <c r="AK1235" s="175">
        <v>2</v>
      </c>
      <c r="AL1235" s="175">
        <v>1</v>
      </c>
      <c r="AM1235" s="175">
        <v>4</v>
      </c>
      <c r="AN1235" s="175">
        <v>0</v>
      </c>
      <c r="AO1235" s="175">
        <v>15</v>
      </c>
      <c r="AP1235" s="175">
        <v>14</v>
      </c>
      <c r="AQ1235" s="175">
        <v>2</v>
      </c>
      <c r="AR1235" s="175">
        <v>0</v>
      </c>
      <c r="AS1235" s="175">
        <v>0</v>
      </c>
      <c r="AT1235" s="175">
        <v>0</v>
      </c>
    </row>
    <row r="1236" spans="1:46">
      <c r="A1236">
        <v>25220</v>
      </c>
      <c r="B1236" t="s">
        <v>7869</v>
      </c>
      <c r="C1236" t="s">
        <v>7870</v>
      </c>
      <c r="D1236" t="s">
        <v>6878</v>
      </c>
      <c r="E1236" t="s">
        <v>7871</v>
      </c>
      <c r="F1236" t="s">
        <v>1060</v>
      </c>
      <c r="G1236" t="s">
        <v>737</v>
      </c>
      <c r="H1236" t="s">
        <v>301</v>
      </c>
      <c r="J1236" t="s">
        <v>605</v>
      </c>
      <c r="K1236" t="s">
        <v>606</v>
      </c>
      <c r="M1236" t="s">
        <v>607</v>
      </c>
      <c r="N1236" t="s">
        <v>657</v>
      </c>
      <c r="O1236" t="s">
        <v>933</v>
      </c>
      <c r="P1236" t="s">
        <v>739</v>
      </c>
      <c r="Q1236" t="s">
        <v>467</v>
      </c>
      <c r="R1236" t="s">
        <v>793</v>
      </c>
      <c r="S1236" t="s">
        <v>934</v>
      </c>
      <c r="T1236" t="s">
        <v>794</v>
      </c>
      <c r="U1236">
        <v>147500</v>
      </c>
      <c r="V1236" t="s">
        <v>7640</v>
      </c>
      <c r="W1236" t="s">
        <v>817</v>
      </c>
      <c r="X1236" t="s">
        <v>6881</v>
      </c>
      <c r="Y1236" t="s">
        <v>5253</v>
      </c>
      <c r="AA1236" t="s">
        <v>5254</v>
      </c>
      <c r="AB1236" t="s">
        <v>6882</v>
      </c>
      <c r="AE1236">
        <v>-36.946777390000001</v>
      </c>
      <c r="AF1236">
        <v>174.78641665000001</v>
      </c>
      <c r="AG1236" s="175">
        <v>30</v>
      </c>
      <c r="AH1236" s="175">
        <v>15</v>
      </c>
      <c r="AI1236" s="175">
        <v>9</v>
      </c>
      <c r="AJ1236" s="175">
        <v>6</v>
      </c>
      <c r="AK1236" s="175">
        <v>5</v>
      </c>
      <c r="AL1236" s="175">
        <v>9</v>
      </c>
      <c r="AM1236" s="175">
        <v>2</v>
      </c>
      <c r="AN1236" s="175">
        <v>1</v>
      </c>
      <c r="AO1236" s="175">
        <v>32</v>
      </c>
      <c r="AP1236" s="175">
        <v>30</v>
      </c>
      <c r="AQ1236" s="175">
        <v>2</v>
      </c>
      <c r="AR1236" s="175">
        <v>0</v>
      </c>
      <c r="AS1236" s="175">
        <v>2</v>
      </c>
      <c r="AT1236" s="175">
        <v>1</v>
      </c>
    </row>
    <row r="1237" spans="1:46">
      <c r="A1237">
        <v>25223</v>
      </c>
      <c r="B1237" t="s">
        <v>7872</v>
      </c>
      <c r="C1237" t="s">
        <v>7873</v>
      </c>
      <c r="D1237" t="s">
        <v>6878</v>
      </c>
      <c r="E1237" t="s">
        <v>7874</v>
      </c>
      <c r="F1237" t="s">
        <v>7875</v>
      </c>
      <c r="G1237" t="s">
        <v>737</v>
      </c>
      <c r="H1237" t="s">
        <v>301</v>
      </c>
      <c r="J1237" t="s">
        <v>605</v>
      </c>
      <c r="K1237" t="s">
        <v>606</v>
      </c>
      <c r="M1237" t="s">
        <v>607</v>
      </c>
      <c r="N1237" t="s">
        <v>657</v>
      </c>
      <c r="O1237" t="s">
        <v>1318</v>
      </c>
      <c r="P1237" t="s">
        <v>610</v>
      </c>
      <c r="Q1237" t="s">
        <v>467</v>
      </c>
      <c r="R1237" t="s">
        <v>793</v>
      </c>
      <c r="S1237" t="s">
        <v>1319</v>
      </c>
      <c r="T1237" t="s">
        <v>1320</v>
      </c>
      <c r="U1237">
        <v>155000</v>
      </c>
      <c r="V1237" t="s">
        <v>7876</v>
      </c>
      <c r="W1237" t="s">
        <v>1322</v>
      </c>
      <c r="X1237" t="s">
        <v>6881</v>
      </c>
      <c r="Y1237" t="s">
        <v>5253</v>
      </c>
      <c r="AA1237" t="s">
        <v>5254</v>
      </c>
      <c r="AB1237" t="s">
        <v>6882</v>
      </c>
      <c r="AE1237">
        <v>-36.884828370000001</v>
      </c>
      <c r="AF1237">
        <v>174.9999684</v>
      </c>
      <c r="AG1237" s="175">
        <v>30</v>
      </c>
      <c r="AH1237" s="175">
        <v>15</v>
      </c>
      <c r="AI1237" s="175">
        <v>1</v>
      </c>
      <c r="AJ1237" s="175">
        <v>6</v>
      </c>
      <c r="AK1237" s="175">
        <v>2</v>
      </c>
      <c r="AL1237" s="175">
        <v>5</v>
      </c>
      <c r="AM1237" s="175">
        <v>3</v>
      </c>
      <c r="AN1237" s="175">
        <v>1</v>
      </c>
      <c r="AO1237" s="175">
        <v>18</v>
      </c>
      <c r="AP1237" s="175">
        <v>16</v>
      </c>
      <c r="AQ1237" s="175">
        <v>2</v>
      </c>
      <c r="AR1237" s="175">
        <v>0</v>
      </c>
      <c r="AS1237" s="175">
        <v>2</v>
      </c>
      <c r="AT1237" s="175">
        <v>2</v>
      </c>
    </row>
    <row r="1238" spans="1:46">
      <c r="A1238">
        <v>25224</v>
      </c>
      <c r="B1238" t="s">
        <v>7877</v>
      </c>
      <c r="C1238" t="s">
        <v>7878</v>
      </c>
      <c r="D1238" t="s">
        <v>6878</v>
      </c>
      <c r="E1238" t="s">
        <v>7879</v>
      </c>
      <c r="F1238" t="s">
        <v>876</v>
      </c>
      <c r="G1238" t="s">
        <v>737</v>
      </c>
      <c r="H1238" t="s">
        <v>301</v>
      </c>
      <c r="J1238" t="s">
        <v>605</v>
      </c>
      <c r="K1238" t="s">
        <v>606</v>
      </c>
      <c r="M1238" t="s">
        <v>607</v>
      </c>
      <c r="N1238" t="s">
        <v>657</v>
      </c>
      <c r="O1238" t="s">
        <v>792</v>
      </c>
      <c r="P1238" t="s">
        <v>739</v>
      </c>
      <c r="Q1238" t="s">
        <v>467</v>
      </c>
      <c r="R1238" t="s">
        <v>793</v>
      </c>
      <c r="S1238" t="s">
        <v>791</v>
      </c>
      <c r="T1238" t="s">
        <v>794</v>
      </c>
      <c r="U1238">
        <v>146400</v>
      </c>
      <c r="V1238" t="s">
        <v>7880</v>
      </c>
      <c r="W1238" t="s">
        <v>796</v>
      </c>
      <c r="X1238" t="s">
        <v>6881</v>
      </c>
      <c r="Y1238" t="s">
        <v>5253</v>
      </c>
      <c r="AA1238" t="s">
        <v>5254</v>
      </c>
      <c r="AB1238" t="s">
        <v>6882</v>
      </c>
      <c r="AE1238">
        <v>-36.868838750000002</v>
      </c>
      <c r="AF1238">
        <v>174.90366408</v>
      </c>
      <c r="AG1238" s="175">
        <v>30</v>
      </c>
      <c r="AH1238" s="175">
        <v>15</v>
      </c>
      <c r="AI1238" s="175">
        <v>11</v>
      </c>
      <c r="AJ1238" s="175">
        <v>6</v>
      </c>
      <c r="AK1238" s="175">
        <v>3</v>
      </c>
      <c r="AL1238" s="175">
        <v>5</v>
      </c>
      <c r="AM1238" s="175">
        <v>3</v>
      </c>
      <c r="AN1238" s="175">
        <v>0</v>
      </c>
      <c r="AO1238" s="175">
        <v>28</v>
      </c>
      <c r="AP1238" s="175">
        <v>24</v>
      </c>
      <c r="AQ1238" s="175">
        <v>2</v>
      </c>
      <c r="AR1238" s="175">
        <v>0</v>
      </c>
      <c r="AS1238" s="175">
        <v>6</v>
      </c>
      <c r="AT1238" s="175">
        <v>0</v>
      </c>
    </row>
    <row r="1239" spans="1:46">
      <c r="A1239">
        <v>25226</v>
      </c>
      <c r="B1239" t="s">
        <v>7881</v>
      </c>
      <c r="C1239" t="s">
        <v>7882</v>
      </c>
      <c r="D1239" t="s">
        <v>6878</v>
      </c>
      <c r="E1239" t="s">
        <v>7883</v>
      </c>
      <c r="F1239" t="s">
        <v>7884</v>
      </c>
      <c r="G1239" t="s">
        <v>737</v>
      </c>
      <c r="H1239" t="s">
        <v>301</v>
      </c>
      <c r="J1239" t="s">
        <v>605</v>
      </c>
      <c r="K1239" t="s">
        <v>606</v>
      </c>
      <c r="M1239" t="s">
        <v>607</v>
      </c>
      <c r="N1239" t="s">
        <v>657</v>
      </c>
      <c r="O1239" t="s">
        <v>792</v>
      </c>
      <c r="P1239" t="s">
        <v>739</v>
      </c>
      <c r="Q1239" t="s">
        <v>467</v>
      </c>
      <c r="R1239" t="s">
        <v>793</v>
      </c>
      <c r="S1239" t="s">
        <v>863</v>
      </c>
      <c r="T1239" t="s">
        <v>794</v>
      </c>
      <c r="U1239">
        <v>153400</v>
      </c>
      <c r="V1239" t="s">
        <v>7884</v>
      </c>
      <c r="W1239" t="s">
        <v>796</v>
      </c>
      <c r="X1239" t="s">
        <v>6881</v>
      </c>
      <c r="Y1239" t="s">
        <v>5253</v>
      </c>
      <c r="AA1239" t="s">
        <v>5254</v>
      </c>
      <c r="AB1239" t="s">
        <v>6882</v>
      </c>
      <c r="AE1239">
        <v>-36.901778550000003</v>
      </c>
      <c r="AF1239">
        <v>174.94885221999999</v>
      </c>
      <c r="AG1239" s="175">
        <v>30</v>
      </c>
      <c r="AH1239" s="175">
        <v>15</v>
      </c>
      <c r="AI1239" s="175">
        <v>16</v>
      </c>
      <c r="AJ1239" s="175">
        <v>9</v>
      </c>
      <c r="AK1239" s="175">
        <v>6</v>
      </c>
      <c r="AL1239" s="175">
        <v>4</v>
      </c>
      <c r="AM1239" s="175">
        <v>2</v>
      </c>
      <c r="AN1239" s="175">
        <v>0</v>
      </c>
      <c r="AO1239" s="175">
        <v>37</v>
      </c>
      <c r="AP1239" s="175">
        <v>29</v>
      </c>
      <c r="AQ1239" s="175">
        <v>3</v>
      </c>
      <c r="AR1239" s="175">
        <v>0</v>
      </c>
      <c r="AS1239" s="175">
        <v>12</v>
      </c>
      <c r="AT1239" s="175">
        <v>3</v>
      </c>
    </row>
    <row r="1240" spans="1:46">
      <c r="A1240">
        <v>25227</v>
      </c>
      <c r="B1240" t="s">
        <v>7885</v>
      </c>
      <c r="C1240" t="s">
        <v>7886</v>
      </c>
      <c r="D1240" t="s">
        <v>6878</v>
      </c>
      <c r="E1240" t="s">
        <v>7887</v>
      </c>
      <c r="F1240" t="s">
        <v>862</v>
      </c>
      <c r="G1240" t="s">
        <v>737</v>
      </c>
      <c r="H1240" t="s">
        <v>301</v>
      </c>
      <c r="J1240" t="s">
        <v>605</v>
      </c>
      <c r="K1240" t="s">
        <v>606</v>
      </c>
      <c r="M1240" t="s">
        <v>607</v>
      </c>
      <c r="N1240" t="s">
        <v>657</v>
      </c>
      <c r="O1240" t="s">
        <v>792</v>
      </c>
      <c r="P1240" t="s">
        <v>739</v>
      </c>
      <c r="Q1240" t="s">
        <v>467</v>
      </c>
      <c r="R1240" t="s">
        <v>793</v>
      </c>
      <c r="S1240" t="s">
        <v>791</v>
      </c>
      <c r="T1240" t="s">
        <v>794</v>
      </c>
      <c r="U1240">
        <v>152000</v>
      </c>
      <c r="V1240" t="s">
        <v>1011</v>
      </c>
      <c r="W1240" t="s">
        <v>796</v>
      </c>
      <c r="X1240" t="s">
        <v>6881</v>
      </c>
      <c r="Y1240" t="s">
        <v>5253</v>
      </c>
      <c r="AA1240" t="s">
        <v>5254</v>
      </c>
      <c r="AB1240" t="s">
        <v>6882</v>
      </c>
      <c r="AE1240">
        <v>-36.898289599999998</v>
      </c>
      <c r="AF1240">
        <v>174.92615119999999</v>
      </c>
      <c r="AG1240" s="175">
        <v>30</v>
      </c>
      <c r="AH1240" s="175">
        <v>20</v>
      </c>
      <c r="AI1240" s="175">
        <v>17</v>
      </c>
      <c r="AJ1240" s="175">
        <v>4</v>
      </c>
      <c r="AK1240" s="175">
        <v>8</v>
      </c>
      <c r="AL1240" s="175">
        <v>4</v>
      </c>
      <c r="AM1240" s="175">
        <v>3</v>
      </c>
      <c r="AN1240" s="175">
        <v>1</v>
      </c>
      <c r="AO1240" s="175">
        <v>37</v>
      </c>
      <c r="AP1240" s="175">
        <v>30</v>
      </c>
      <c r="AQ1240" s="175">
        <v>1</v>
      </c>
      <c r="AR1240" s="175">
        <v>1</v>
      </c>
      <c r="AS1240" s="175">
        <v>11</v>
      </c>
      <c r="AT1240" s="175">
        <v>4</v>
      </c>
    </row>
    <row r="1241" spans="1:46">
      <c r="A1241">
        <v>25228</v>
      </c>
      <c r="B1241" t="s">
        <v>7888</v>
      </c>
      <c r="C1241" t="s">
        <v>7889</v>
      </c>
      <c r="D1241" t="s">
        <v>6878</v>
      </c>
      <c r="E1241" t="s">
        <v>7890</v>
      </c>
      <c r="F1241" t="s">
        <v>1121</v>
      </c>
      <c r="G1241" t="s">
        <v>737</v>
      </c>
      <c r="H1241" t="s">
        <v>301</v>
      </c>
      <c r="J1241" t="s">
        <v>605</v>
      </c>
      <c r="K1241" t="s">
        <v>606</v>
      </c>
      <c r="M1241" t="s">
        <v>607</v>
      </c>
      <c r="N1241" t="s">
        <v>608</v>
      </c>
      <c r="O1241" t="s">
        <v>1301</v>
      </c>
      <c r="P1241" t="s">
        <v>739</v>
      </c>
      <c r="Q1241" t="s">
        <v>467</v>
      </c>
      <c r="R1241" t="s">
        <v>814</v>
      </c>
      <c r="S1241" t="s">
        <v>1121</v>
      </c>
      <c r="T1241" t="s">
        <v>794</v>
      </c>
      <c r="U1241">
        <v>160100</v>
      </c>
      <c r="V1241" t="s">
        <v>6942</v>
      </c>
      <c r="W1241" t="s">
        <v>1304</v>
      </c>
      <c r="X1241" t="s">
        <v>6881</v>
      </c>
      <c r="Y1241" t="s">
        <v>5253</v>
      </c>
      <c r="AA1241" t="s">
        <v>5254</v>
      </c>
      <c r="AE1241">
        <v>-37.023447900000001</v>
      </c>
      <c r="AF1241">
        <v>174.8934658</v>
      </c>
      <c r="AG1241" s="175">
        <v>30</v>
      </c>
      <c r="AH1241" s="175">
        <v>15</v>
      </c>
      <c r="AI1241" s="175">
        <v>1</v>
      </c>
      <c r="AJ1241" s="175">
        <v>5</v>
      </c>
      <c r="AK1241" s="175">
        <v>6</v>
      </c>
      <c r="AL1241" s="175">
        <v>2</v>
      </c>
      <c r="AM1241" s="175">
        <v>11</v>
      </c>
      <c r="AN1241" s="175">
        <v>0</v>
      </c>
      <c r="AO1241" s="175">
        <v>25</v>
      </c>
      <c r="AP1241" s="175">
        <v>17</v>
      </c>
      <c r="AQ1241" s="175">
        <v>3</v>
      </c>
      <c r="AR1241" s="175">
        <v>5</v>
      </c>
      <c r="AS1241" s="175">
        <v>7</v>
      </c>
      <c r="AT1241" s="175">
        <v>3</v>
      </c>
    </row>
    <row r="1242" spans="1:46">
      <c r="A1242">
        <v>25233</v>
      </c>
      <c r="B1242" t="s">
        <v>7891</v>
      </c>
      <c r="C1242" t="s">
        <v>7892</v>
      </c>
      <c r="D1242" t="s">
        <v>6878</v>
      </c>
      <c r="E1242" t="s">
        <v>7893</v>
      </c>
      <c r="F1242" t="s">
        <v>791</v>
      </c>
      <c r="G1242" t="s">
        <v>737</v>
      </c>
      <c r="H1242" t="s">
        <v>301</v>
      </c>
      <c r="J1242" t="s">
        <v>605</v>
      </c>
      <c r="K1242" t="s">
        <v>606</v>
      </c>
      <c r="M1242" t="s">
        <v>607</v>
      </c>
      <c r="N1242" t="s">
        <v>657</v>
      </c>
      <c r="O1242" t="s">
        <v>792</v>
      </c>
      <c r="P1242" t="s">
        <v>739</v>
      </c>
      <c r="Q1242" t="s">
        <v>467</v>
      </c>
      <c r="R1242" t="s">
        <v>793</v>
      </c>
      <c r="S1242" t="s">
        <v>791</v>
      </c>
      <c r="T1242" t="s">
        <v>794</v>
      </c>
      <c r="U1242">
        <v>149800</v>
      </c>
      <c r="V1242" t="s">
        <v>5322</v>
      </c>
      <c r="W1242" t="s">
        <v>796</v>
      </c>
      <c r="X1242" t="s">
        <v>6881</v>
      </c>
      <c r="Y1242" t="s">
        <v>5253</v>
      </c>
      <c r="AA1242" t="s">
        <v>5254</v>
      </c>
      <c r="AB1242" t="s">
        <v>6882</v>
      </c>
      <c r="AE1242">
        <v>-36.91202191</v>
      </c>
      <c r="AF1242">
        <v>174.88088909000001</v>
      </c>
      <c r="AG1242" s="175">
        <v>25</v>
      </c>
      <c r="AH1242" s="175">
        <v>20</v>
      </c>
      <c r="AI1242" s="175">
        <v>11</v>
      </c>
      <c r="AJ1242" s="175">
        <v>12</v>
      </c>
      <c r="AK1242" s="175">
        <v>3</v>
      </c>
      <c r="AL1242" s="175">
        <v>3</v>
      </c>
      <c r="AM1242" s="175">
        <v>1</v>
      </c>
      <c r="AN1242" s="175">
        <v>0</v>
      </c>
      <c r="AO1242" s="175">
        <v>30</v>
      </c>
      <c r="AP1242" s="175">
        <v>22</v>
      </c>
      <c r="AQ1242" s="175">
        <v>2</v>
      </c>
      <c r="AR1242" s="175">
        <v>2</v>
      </c>
      <c r="AS1242" s="175">
        <v>14</v>
      </c>
      <c r="AT1242" s="175">
        <v>0</v>
      </c>
    </row>
    <row r="1243" spans="1:46">
      <c r="A1243">
        <v>25234</v>
      </c>
      <c r="B1243" t="s">
        <v>7894</v>
      </c>
      <c r="C1243" t="s">
        <v>7208</v>
      </c>
      <c r="D1243" t="s">
        <v>7895</v>
      </c>
      <c r="E1243" t="s">
        <v>7896</v>
      </c>
      <c r="F1243" t="s">
        <v>1120</v>
      </c>
      <c r="G1243" t="s">
        <v>737</v>
      </c>
      <c r="H1243" t="s">
        <v>301</v>
      </c>
      <c r="J1243" t="s">
        <v>605</v>
      </c>
      <c r="K1243" t="s">
        <v>606</v>
      </c>
      <c r="M1243" t="s">
        <v>607</v>
      </c>
      <c r="N1243" t="s">
        <v>643</v>
      </c>
      <c r="O1243" t="s">
        <v>813</v>
      </c>
      <c r="P1243" t="s">
        <v>739</v>
      </c>
      <c r="Q1243" t="s">
        <v>467</v>
      </c>
      <c r="R1243" t="s">
        <v>814</v>
      </c>
      <c r="S1243" t="s">
        <v>815</v>
      </c>
      <c r="T1243" t="s">
        <v>794</v>
      </c>
      <c r="U1243">
        <v>154902</v>
      </c>
      <c r="V1243" t="s">
        <v>7897</v>
      </c>
      <c r="W1243" t="s">
        <v>817</v>
      </c>
      <c r="X1243" t="s">
        <v>6881</v>
      </c>
      <c r="Y1243" t="s">
        <v>5253</v>
      </c>
      <c r="AA1243" t="s">
        <v>5254</v>
      </c>
      <c r="AE1243">
        <v>-36.974282010000003</v>
      </c>
      <c r="AF1243">
        <v>174.85716547999999</v>
      </c>
      <c r="AG1243" s="175">
        <v>30</v>
      </c>
      <c r="AH1243" s="175">
        <v>15</v>
      </c>
      <c r="AI1243" s="175">
        <v>3</v>
      </c>
      <c r="AJ1243" s="175">
        <v>9</v>
      </c>
      <c r="AK1243" s="175">
        <v>5</v>
      </c>
      <c r="AL1243" s="175">
        <v>3</v>
      </c>
      <c r="AM1243" s="175">
        <v>3</v>
      </c>
      <c r="AN1243" s="175">
        <v>0</v>
      </c>
      <c r="AO1243" s="175">
        <v>23</v>
      </c>
      <c r="AP1243" s="175">
        <v>20</v>
      </c>
      <c r="AQ1243" s="175">
        <v>8</v>
      </c>
      <c r="AR1243" s="175">
        <v>0</v>
      </c>
      <c r="AS1243" s="175">
        <v>5</v>
      </c>
      <c r="AT1243" s="175">
        <v>0</v>
      </c>
    </row>
    <row r="1244" spans="1:46">
      <c r="A1244">
        <v>25237</v>
      </c>
      <c r="B1244" t="s">
        <v>7898</v>
      </c>
      <c r="C1244" t="s">
        <v>7899</v>
      </c>
      <c r="D1244" t="s">
        <v>6878</v>
      </c>
      <c r="E1244" t="s">
        <v>7900</v>
      </c>
      <c r="F1244" t="s">
        <v>4271</v>
      </c>
      <c r="G1244" t="s">
        <v>737</v>
      </c>
      <c r="H1244" t="s">
        <v>301</v>
      </c>
      <c r="J1244" t="s">
        <v>605</v>
      </c>
      <c r="K1244" t="s">
        <v>606</v>
      </c>
      <c r="M1244" t="s">
        <v>607</v>
      </c>
      <c r="N1244" t="s">
        <v>625</v>
      </c>
      <c r="O1244" t="s">
        <v>1301</v>
      </c>
      <c r="P1244" t="s">
        <v>739</v>
      </c>
      <c r="Q1244" t="s">
        <v>467</v>
      </c>
      <c r="R1244" t="s">
        <v>814</v>
      </c>
      <c r="S1244" t="s">
        <v>1121</v>
      </c>
      <c r="T1244" t="s">
        <v>794</v>
      </c>
      <c r="U1244">
        <v>160700</v>
      </c>
      <c r="V1244" t="s">
        <v>7340</v>
      </c>
      <c r="W1244" t="s">
        <v>1304</v>
      </c>
      <c r="X1244" t="s">
        <v>6881</v>
      </c>
      <c r="Y1244" t="s">
        <v>5253</v>
      </c>
      <c r="AA1244" t="s">
        <v>5254</v>
      </c>
      <c r="AE1244">
        <v>-37.045750239999997</v>
      </c>
      <c r="AF1244">
        <v>174.86389333</v>
      </c>
      <c r="AG1244" s="175">
        <v>25</v>
      </c>
      <c r="AH1244" s="175">
        <v>20</v>
      </c>
      <c r="AI1244" s="175">
        <v>1</v>
      </c>
      <c r="AJ1244" s="175">
        <v>4</v>
      </c>
      <c r="AK1244" s="175">
        <v>3</v>
      </c>
      <c r="AL1244" s="175">
        <v>1</v>
      </c>
      <c r="AM1244" s="175">
        <v>2</v>
      </c>
      <c r="AN1244" s="175">
        <v>0</v>
      </c>
      <c r="AO1244" s="175">
        <v>11</v>
      </c>
      <c r="AP1244" s="175">
        <v>9</v>
      </c>
      <c r="AQ1244" s="175">
        <v>3</v>
      </c>
      <c r="AR1244" s="175">
        <v>2</v>
      </c>
      <c r="AS1244" s="175">
        <v>2</v>
      </c>
      <c r="AT1244" s="175">
        <v>0</v>
      </c>
    </row>
    <row r="1245" spans="1:46">
      <c r="A1245">
        <v>25238</v>
      </c>
      <c r="B1245" t="s">
        <v>7901</v>
      </c>
      <c r="C1245" t="s">
        <v>7902</v>
      </c>
      <c r="D1245" t="s">
        <v>6878</v>
      </c>
      <c r="E1245" t="s">
        <v>7903</v>
      </c>
      <c r="G1245" t="s">
        <v>7725</v>
      </c>
      <c r="H1245" t="s">
        <v>301</v>
      </c>
      <c r="J1245" t="s">
        <v>605</v>
      </c>
      <c r="K1245" t="s">
        <v>606</v>
      </c>
      <c r="M1245" t="s">
        <v>607</v>
      </c>
      <c r="N1245" t="s">
        <v>657</v>
      </c>
      <c r="O1245" t="s">
        <v>1318</v>
      </c>
      <c r="P1245" t="s">
        <v>658</v>
      </c>
      <c r="Q1245" t="s">
        <v>467</v>
      </c>
      <c r="R1245" t="s">
        <v>793</v>
      </c>
      <c r="S1245" t="s">
        <v>1319</v>
      </c>
      <c r="T1245" t="s">
        <v>1320</v>
      </c>
      <c r="U1245">
        <v>157101</v>
      </c>
      <c r="V1245" t="s">
        <v>7904</v>
      </c>
      <c r="W1245" t="s">
        <v>1322</v>
      </c>
      <c r="X1245" t="s">
        <v>6881</v>
      </c>
      <c r="Y1245" t="s">
        <v>5253</v>
      </c>
      <c r="AA1245" t="s">
        <v>5254</v>
      </c>
      <c r="AB1245" t="s">
        <v>6882</v>
      </c>
      <c r="AE1245">
        <v>-36.943160429999999</v>
      </c>
      <c r="AF1245">
        <v>174.96952754</v>
      </c>
      <c r="AG1245" s="175">
        <v>25</v>
      </c>
      <c r="AH1245" s="175">
        <v>15</v>
      </c>
      <c r="AI1245" s="175">
        <v>15</v>
      </c>
      <c r="AJ1245" s="175">
        <v>5</v>
      </c>
      <c r="AK1245" s="175">
        <v>6</v>
      </c>
      <c r="AL1245" s="175">
        <v>7</v>
      </c>
      <c r="AM1245" s="175">
        <v>0</v>
      </c>
      <c r="AN1245" s="175">
        <v>0</v>
      </c>
      <c r="AO1245" s="175">
        <v>33</v>
      </c>
      <c r="AP1245" s="175">
        <v>28</v>
      </c>
      <c r="AQ1245" s="175">
        <v>7</v>
      </c>
      <c r="AR1245" s="175">
        <v>1</v>
      </c>
      <c r="AS1245" s="175">
        <v>9</v>
      </c>
      <c r="AT1245" s="175">
        <v>0</v>
      </c>
    </row>
    <row r="1246" spans="1:46">
      <c r="A1246">
        <v>25240</v>
      </c>
      <c r="B1246" t="s">
        <v>7905</v>
      </c>
      <c r="C1246" t="s">
        <v>7906</v>
      </c>
      <c r="D1246" t="s">
        <v>7907</v>
      </c>
      <c r="E1246" t="s">
        <v>7908</v>
      </c>
      <c r="G1246" t="s">
        <v>1346</v>
      </c>
      <c r="H1246" t="s">
        <v>449</v>
      </c>
      <c r="J1246" t="s">
        <v>605</v>
      </c>
      <c r="K1246" t="s">
        <v>606</v>
      </c>
      <c r="M1246" t="s">
        <v>607</v>
      </c>
      <c r="N1246" t="s">
        <v>657</v>
      </c>
      <c r="O1246" t="s">
        <v>1318</v>
      </c>
      <c r="P1246" t="s">
        <v>1347</v>
      </c>
      <c r="Q1246" t="s">
        <v>467</v>
      </c>
      <c r="R1246" t="s">
        <v>814</v>
      </c>
      <c r="S1246" t="s">
        <v>1331</v>
      </c>
      <c r="T1246" t="s">
        <v>1320</v>
      </c>
      <c r="U1246">
        <v>166000</v>
      </c>
      <c r="V1246" t="s">
        <v>1365</v>
      </c>
      <c r="W1246" t="s">
        <v>1322</v>
      </c>
      <c r="X1246" t="s">
        <v>7909</v>
      </c>
      <c r="Y1246" t="s">
        <v>7908</v>
      </c>
      <c r="Z1246" t="s">
        <v>1346</v>
      </c>
      <c r="AA1246" t="s">
        <v>4076</v>
      </c>
      <c r="AB1246" t="s">
        <v>7910</v>
      </c>
      <c r="AC1246">
        <v>99075</v>
      </c>
      <c r="AD1246" t="s">
        <v>1349</v>
      </c>
      <c r="AE1246">
        <v>-37.207384449999999</v>
      </c>
      <c r="AF1246">
        <v>174.90479386999999</v>
      </c>
      <c r="AG1246" s="175">
        <v>48</v>
      </c>
      <c r="AH1246" s="175">
        <v>10</v>
      </c>
      <c r="AI1246" s="175">
        <v>1</v>
      </c>
      <c r="AJ1246" s="175">
        <v>10</v>
      </c>
      <c r="AK1246" s="175">
        <v>11</v>
      </c>
      <c r="AL1246" s="175">
        <v>15</v>
      </c>
      <c r="AM1246" s="175">
        <v>14</v>
      </c>
      <c r="AN1246" s="175">
        <v>0</v>
      </c>
      <c r="AO1246" s="175">
        <v>51</v>
      </c>
      <c r="AP1246" s="175">
        <v>49</v>
      </c>
      <c r="AQ1246" s="175">
        <v>14</v>
      </c>
      <c r="AR1246" s="175">
        <v>7</v>
      </c>
      <c r="AS1246" s="175">
        <v>4</v>
      </c>
      <c r="AT1246" s="175">
        <v>0</v>
      </c>
    </row>
    <row r="1247" spans="1:46">
      <c r="A1247">
        <v>25242</v>
      </c>
      <c r="B1247" t="s">
        <v>7911</v>
      </c>
      <c r="C1247" t="s">
        <v>7912</v>
      </c>
      <c r="E1247" t="s">
        <v>7913</v>
      </c>
      <c r="F1247" t="s">
        <v>811</v>
      </c>
      <c r="G1247" t="s">
        <v>737</v>
      </c>
      <c r="H1247" t="s">
        <v>347</v>
      </c>
      <c r="J1247" t="s">
        <v>605</v>
      </c>
      <c r="K1247" t="s">
        <v>606</v>
      </c>
      <c r="L1247" t="s">
        <v>4273</v>
      </c>
      <c r="M1247" t="s">
        <v>607</v>
      </c>
      <c r="N1247" t="s">
        <v>608</v>
      </c>
      <c r="O1247" t="s">
        <v>813</v>
      </c>
      <c r="P1247" t="s">
        <v>739</v>
      </c>
      <c r="Q1247" t="s">
        <v>467</v>
      </c>
      <c r="R1247" t="s">
        <v>814</v>
      </c>
      <c r="S1247" t="s">
        <v>815</v>
      </c>
      <c r="T1247" t="s">
        <v>794</v>
      </c>
      <c r="U1247">
        <v>153500</v>
      </c>
      <c r="V1247" t="s">
        <v>816</v>
      </c>
      <c r="W1247" t="s">
        <v>817</v>
      </c>
      <c r="X1247" t="s">
        <v>4275</v>
      </c>
      <c r="Y1247" t="s">
        <v>4276</v>
      </c>
      <c r="Z1247" t="s">
        <v>4277</v>
      </c>
      <c r="AA1247" t="s">
        <v>4278</v>
      </c>
      <c r="AE1247">
        <v>-36.960475420000002</v>
      </c>
      <c r="AF1247">
        <v>174.86985541000001</v>
      </c>
      <c r="AG1247" s="175">
        <v>50</v>
      </c>
      <c r="AH1247" s="175">
        <v>12</v>
      </c>
      <c r="AI1247" s="175">
        <v>0</v>
      </c>
      <c r="AJ1247" s="175">
        <v>0</v>
      </c>
      <c r="AK1247" s="175">
        <v>9</v>
      </c>
      <c r="AL1247" s="175">
        <v>12</v>
      </c>
      <c r="AM1247" s="175">
        <v>5</v>
      </c>
      <c r="AN1247" s="175">
        <v>0</v>
      </c>
      <c r="AO1247" s="175">
        <v>26</v>
      </c>
      <c r="AP1247" s="175">
        <v>0</v>
      </c>
      <c r="AQ1247" s="175">
        <v>23</v>
      </c>
      <c r="AR1247" s="175">
        <v>3</v>
      </c>
      <c r="AS1247" s="175">
        <v>0</v>
      </c>
      <c r="AT1247" s="175">
        <v>0</v>
      </c>
    </row>
    <row r="1248" spans="1:46">
      <c r="A1248">
        <v>25245</v>
      </c>
      <c r="B1248" t="s">
        <v>7914</v>
      </c>
      <c r="C1248" t="s">
        <v>7915</v>
      </c>
      <c r="E1248" t="s">
        <v>7916</v>
      </c>
      <c r="F1248" t="s">
        <v>964</v>
      </c>
      <c r="G1248" t="s">
        <v>737</v>
      </c>
      <c r="H1248" t="s">
        <v>347</v>
      </c>
      <c r="J1248" t="s">
        <v>605</v>
      </c>
      <c r="K1248" t="s">
        <v>606</v>
      </c>
      <c r="L1248" t="s">
        <v>4273</v>
      </c>
      <c r="M1248" t="s">
        <v>607</v>
      </c>
      <c r="N1248" t="s">
        <v>812</v>
      </c>
      <c r="O1248" t="s">
        <v>914</v>
      </c>
      <c r="P1248" t="s">
        <v>739</v>
      </c>
      <c r="Q1248" t="s">
        <v>467</v>
      </c>
      <c r="R1248" t="s">
        <v>793</v>
      </c>
      <c r="S1248" t="s">
        <v>965</v>
      </c>
      <c r="T1248" t="s">
        <v>794</v>
      </c>
      <c r="U1248">
        <v>144700</v>
      </c>
      <c r="V1248" t="s">
        <v>4892</v>
      </c>
      <c r="W1248" t="s">
        <v>892</v>
      </c>
      <c r="X1248" t="s">
        <v>4275</v>
      </c>
      <c r="Y1248" t="s">
        <v>4276</v>
      </c>
      <c r="Z1248" t="s">
        <v>4277</v>
      </c>
      <c r="AA1248" t="s">
        <v>4278</v>
      </c>
      <c r="AE1248">
        <v>-36.873440160000001</v>
      </c>
      <c r="AF1248">
        <v>174.86002690999999</v>
      </c>
      <c r="AG1248" s="175">
        <v>50</v>
      </c>
      <c r="AH1248" s="175">
        <v>25</v>
      </c>
      <c r="AI1248" s="175">
        <v>2</v>
      </c>
      <c r="AJ1248" s="175">
        <v>14</v>
      </c>
      <c r="AK1248" s="175">
        <v>10</v>
      </c>
      <c r="AL1248" s="175">
        <v>13</v>
      </c>
      <c r="AM1248" s="175">
        <v>4</v>
      </c>
      <c r="AN1248" s="175">
        <v>0</v>
      </c>
      <c r="AO1248" s="175">
        <v>43</v>
      </c>
      <c r="AP1248" s="175">
        <v>0</v>
      </c>
      <c r="AQ1248" s="175">
        <v>43</v>
      </c>
      <c r="AR1248" s="175">
        <v>0</v>
      </c>
      <c r="AS1248" s="175">
        <v>0</v>
      </c>
      <c r="AT1248" s="175">
        <v>0</v>
      </c>
    </row>
    <row r="1249" spans="1:46">
      <c r="A1249">
        <v>25248</v>
      </c>
      <c r="B1249" t="s">
        <v>7917</v>
      </c>
      <c r="C1249" t="s">
        <v>7918</v>
      </c>
      <c r="D1249" t="s">
        <v>7919</v>
      </c>
      <c r="E1249" t="s">
        <v>7920</v>
      </c>
      <c r="F1249" t="s">
        <v>1121</v>
      </c>
      <c r="G1249" t="s">
        <v>737</v>
      </c>
      <c r="H1249" t="s">
        <v>449</v>
      </c>
      <c r="J1249" t="s">
        <v>4032</v>
      </c>
      <c r="K1249" t="s">
        <v>606</v>
      </c>
      <c r="M1249" t="s">
        <v>607</v>
      </c>
      <c r="N1249" t="s">
        <v>625</v>
      </c>
      <c r="O1249" t="s">
        <v>1301</v>
      </c>
      <c r="P1249" t="s">
        <v>739</v>
      </c>
      <c r="Q1249" t="s">
        <v>467</v>
      </c>
      <c r="R1249" t="s">
        <v>814</v>
      </c>
      <c r="S1249" t="s">
        <v>1121</v>
      </c>
      <c r="T1249" t="s">
        <v>794</v>
      </c>
      <c r="U1249">
        <v>160100</v>
      </c>
      <c r="V1249" t="s">
        <v>6942</v>
      </c>
      <c r="W1249" t="s">
        <v>1304</v>
      </c>
      <c r="X1249" t="s">
        <v>7921</v>
      </c>
      <c r="Y1249" t="s">
        <v>7922</v>
      </c>
      <c r="Z1249" t="s">
        <v>4272</v>
      </c>
      <c r="AA1249" t="s">
        <v>5161</v>
      </c>
      <c r="AC1249">
        <v>99186</v>
      </c>
      <c r="AD1249" t="s">
        <v>1309</v>
      </c>
      <c r="AE1249">
        <v>-37.019832839999999</v>
      </c>
      <c r="AF1249">
        <v>174.89303889999999</v>
      </c>
      <c r="AG1249" s="175">
        <v>30</v>
      </c>
      <c r="AH1249" s="175">
        <v>10</v>
      </c>
      <c r="AI1249" s="175">
        <v>1</v>
      </c>
      <c r="AJ1249" s="175">
        <v>5</v>
      </c>
      <c r="AK1249" s="175">
        <v>7</v>
      </c>
      <c r="AL1249" s="175">
        <v>9</v>
      </c>
      <c r="AM1249" s="175">
        <v>3</v>
      </c>
      <c r="AN1249" s="175">
        <v>2</v>
      </c>
      <c r="AO1249" s="175">
        <v>27</v>
      </c>
      <c r="AP1249" s="175">
        <v>17</v>
      </c>
      <c r="AQ1249" s="175">
        <v>14</v>
      </c>
      <c r="AR1249" s="175">
        <v>9</v>
      </c>
      <c r="AS1249" s="175">
        <v>6</v>
      </c>
      <c r="AT1249" s="175">
        <v>0</v>
      </c>
    </row>
    <row r="1250" spans="1:46">
      <c r="A1250">
        <v>25253</v>
      </c>
      <c r="B1250" t="s">
        <v>7923</v>
      </c>
      <c r="C1250" t="s">
        <v>7924</v>
      </c>
      <c r="D1250" t="s">
        <v>7925</v>
      </c>
      <c r="E1250" t="s">
        <v>7926</v>
      </c>
      <c r="F1250" t="s">
        <v>4015</v>
      </c>
      <c r="G1250" t="s">
        <v>737</v>
      </c>
      <c r="H1250" t="s">
        <v>449</v>
      </c>
      <c r="J1250" t="s">
        <v>605</v>
      </c>
      <c r="K1250" t="s">
        <v>606</v>
      </c>
      <c r="M1250" t="s">
        <v>607</v>
      </c>
      <c r="N1250" t="s">
        <v>643</v>
      </c>
      <c r="O1250" t="s">
        <v>1301</v>
      </c>
      <c r="P1250" t="s">
        <v>739</v>
      </c>
      <c r="Q1250" t="s">
        <v>467</v>
      </c>
      <c r="R1250" t="s">
        <v>814</v>
      </c>
      <c r="S1250" t="s">
        <v>1302</v>
      </c>
      <c r="T1250" t="s">
        <v>794</v>
      </c>
      <c r="U1250">
        <v>158502</v>
      </c>
      <c r="V1250" t="s">
        <v>7927</v>
      </c>
      <c r="W1250" t="s">
        <v>1304</v>
      </c>
      <c r="X1250" t="s">
        <v>4013</v>
      </c>
      <c r="Y1250" t="s">
        <v>4014</v>
      </c>
      <c r="Z1250" t="s">
        <v>4015</v>
      </c>
      <c r="AA1250" t="s">
        <v>4016</v>
      </c>
      <c r="AB1250" t="s">
        <v>4017</v>
      </c>
      <c r="AC1250">
        <v>99186</v>
      </c>
      <c r="AD1250" t="s">
        <v>1309</v>
      </c>
      <c r="AE1250">
        <v>-36.997813120000004</v>
      </c>
      <c r="AF1250">
        <v>174.89476128999999</v>
      </c>
      <c r="AG1250" s="175">
        <v>50</v>
      </c>
      <c r="AH1250" s="175">
        <v>0</v>
      </c>
      <c r="AI1250" s="175">
        <v>0</v>
      </c>
      <c r="AJ1250" s="175">
        <v>0</v>
      </c>
      <c r="AK1250" s="175">
        <v>15</v>
      </c>
      <c r="AL1250" s="175">
        <v>12</v>
      </c>
      <c r="AM1250" s="175">
        <v>32</v>
      </c>
      <c r="AN1250" s="175">
        <v>3</v>
      </c>
      <c r="AO1250" s="175">
        <v>62</v>
      </c>
      <c r="AP1250" s="175">
        <v>14</v>
      </c>
      <c r="AQ1250" s="175">
        <v>9</v>
      </c>
      <c r="AR1250" s="175">
        <v>15</v>
      </c>
      <c r="AS1250" s="175">
        <v>31</v>
      </c>
      <c r="AT1250" s="175">
        <v>11</v>
      </c>
    </row>
    <row r="1251" spans="1:46">
      <c r="A1251">
        <v>25258</v>
      </c>
      <c r="B1251" t="s">
        <v>7928</v>
      </c>
      <c r="C1251" t="s">
        <v>7929</v>
      </c>
      <c r="D1251" t="s">
        <v>7930</v>
      </c>
      <c r="E1251" t="s">
        <v>7931</v>
      </c>
      <c r="F1251" t="s">
        <v>1157</v>
      </c>
      <c r="G1251" t="s">
        <v>737</v>
      </c>
      <c r="H1251" t="s">
        <v>449</v>
      </c>
      <c r="J1251" t="s">
        <v>4032</v>
      </c>
      <c r="K1251" t="s">
        <v>606</v>
      </c>
      <c r="M1251" t="s">
        <v>607</v>
      </c>
      <c r="N1251" t="s">
        <v>608</v>
      </c>
      <c r="O1251" t="s">
        <v>933</v>
      </c>
      <c r="P1251" t="s">
        <v>739</v>
      </c>
      <c r="Q1251" t="s">
        <v>467</v>
      </c>
      <c r="R1251" t="s">
        <v>814</v>
      </c>
      <c r="S1251" t="s">
        <v>815</v>
      </c>
      <c r="T1251" t="s">
        <v>794</v>
      </c>
      <c r="U1251">
        <v>150301</v>
      </c>
      <c r="V1251" t="s">
        <v>7932</v>
      </c>
      <c r="W1251" t="s">
        <v>817</v>
      </c>
      <c r="X1251" t="s">
        <v>5035</v>
      </c>
      <c r="Y1251" t="s">
        <v>6705</v>
      </c>
      <c r="AA1251" t="s">
        <v>4432</v>
      </c>
      <c r="AB1251" t="s">
        <v>5037</v>
      </c>
      <c r="AE1251">
        <v>-36.939774149999998</v>
      </c>
      <c r="AF1251">
        <v>174.84535432000001</v>
      </c>
      <c r="AG1251" s="175">
        <v>98</v>
      </c>
      <c r="AH1251" s="175">
        <v>20</v>
      </c>
      <c r="AI1251" s="175">
        <v>2</v>
      </c>
      <c r="AJ1251" s="175">
        <v>9</v>
      </c>
      <c r="AK1251" s="175">
        <v>20</v>
      </c>
      <c r="AL1251" s="175">
        <v>20</v>
      </c>
      <c r="AM1251" s="175">
        <v>28</v>
      </c>
      <c r="AN1251" s="175">
        <v>1</v>
      </c>
      <c r="AO1251" s="175">
        <v>80</v>
      </c>
      <c r="AP1251" s="175">
        <v>4</v>
      </c>
      <c r="AQ1251" s="175">
        <v>8</v>
      </c>
      <c r="AR1251" s="175">
        <v>64</v>
      </c>
      <c r="AS1251" s="175">
        <v>13</v>
      </c>
      <c r="AT1251" s="175">
        <v>0</v>
      </c>
    </row>
    <row r="1252" spans="1:46">
      <c r="A1252">
        <v>25261</v>
      </c>
      <c r="B1252" t="s">
        <v>7933</v>
      </c>
      <c r="C1252" t="s">
        <v>7934</v>
      </c>
      <c r="E1252" t="s">
        <v>7935</v>
      </c>
      <c r="G1252" t="s">
        <v>1319</v>
      </c>
      <c r="H1252" t="s">
        <v>347</v>
      </c>
      <c r="J1252" t="s">
        <v>605</v>
      </c>
      <c r="K1252" t="s">
        <v>606</v>
      </c>
      <c r="L1252" t="s">
        <v>4273</v>
      </c>
      <c r="M1252" t="s">
        <v>607</v>
      </c>
      <c r="N1252" t="s">
        <v>812</v>
      </c>
      <c r="O1252" t="s">
        <v>1353</v>
      </c>
      <c r="P1252" t="s">
        <v>739</v>
      </c>
      <c r="Q1252" t="s">
        <v>467</v>
      </c>
      <c r="R1252" t="s">
        <v>814</v>
      </c>
      <c r="S1252" t="s">
        <v>1319</v>
      </c>
      <c r="T1252" t="s">
        <v>1320</v>
      </c>
      <c r="U1252">
        <v>163600</v>
      </c>
      <c r="V1252" t="s">
        <v>7620</v>
      </c>
      <c r="W1252" t="s">
        <v>1304</v>
      </c>
      <c r="X1252" t="s">
        <v>4275</v>
      </c>
      <c r="Y1252" t="s">
        <v>4276</v>
      </c>
      <c r="Z1252" t="s">
        <v>4277</v>
      </c>
      <c r="AA1252" t="s">
        <v>4278</v>
      </c>
      <c r="AE1252">
        <v>-37.067654490000002</v>
      </c>
      <c r="AF1252">
        <v>174.9556211</v>
      </c>
      <c r="AG1252" s="175">
        <v>20</v>
      </c>
      <c r="AH1252" s="175">
        <v>5</v>
      </c>
      <c r="AI1252" s="175">
        <v>0</v>
      </c>
      <c r="AJ1252" s="175">
        <v>1</v>
      </c>
      <c r="AK1252" s="175">
        <v>4</v>
      </c>
      <c r="AL1252" s="175">
        <v>3</v>
      </c>
      <c r="AM1252" s="175">
        <v>0</v>
      </c>
      <c r="AN1252" s="175">
        <v>0</v>
      </c>
      <c r="AO1252" s="175">
        <v>8</v>
      </c>
      <c r="AP1252" s="175">
        <v>0</v>
      </c>
      <c r="AQ1252" s="175">
        <v>8</v>
      </c>
      <c r="AR1252" s="175">
        <v>0</v>
      </c>
      <c r="AS1252" s="175">
        <v>0</v>
      </c>
      <c r="AT1252" s="175">
        <v>0</v>
      </c>
    </row>
    <row r="1253" spans="1:46">
      <c r="A1253">
        <v>25265</v>
      </c>
      <c r="B1253" t="s">
        <v>7936</v>
      </c>
      <c r="C1253" t="s">
        <v>7937</v>
      </c>
      <c r="D1253" t="s">
        <v>7938</v>
      </c>
      <c r="E1253" t="s">
        <v>7939</v>
      </c>
      <c r="F1253" t="s">
        <v>791</v>
      </c>
      <c r="G1253" t="s">
        <v>737</v>
      </c>
      <c r="H1253" t="s">
        <v>449</v>
      </c>
      <c r="J1253" t="s">
        <v>605</v>
      </c>
      <c r="K1253" t="s">
        <v>606</v>
      </c>
      <c r="M1253" t="s">
        <v>607</v>
      </c>
      <c r="N1253" t="s">
        <v>657</v>
      </c>
      <c r="O1253" t="s">
        <v>792</v>
      </c>
      <c r="P1253" t="s">
        <v>739</v>
      </c>
      <c r="Q1253" t="s">
        <v>467</v>
      </c>
      <c r="R1253" t="s">
        <v>793</v>
      </c>
      <c r="S1253" t="s">
        <v>791</v>
      </c>
      <c r="T1253" t="s">
        <v>794</v>
      </c>
      <c r="U1253">
        <v>149800</v>
      </c>
      <c r="V1253" t="s">
        <v>5322</v>
      </c>
      <c r="W1253" t="s">
        <v>796</v>
      </c>
      <c r="X1253" t="s">
        <v>7940</v>
      </c>
      <c r="Y1253" t="s">
        <v>6434</v>
      </c>
      <c r="Z1253" t="s">
        <v>4622</v>
      </c>
      <c r="AA1253" t="s">
        <v>4623</v>
      </c>
      <c r="AB1253" t="s">
        <v>7941</v>
      </c>
      <c r="AE1253">
        <v>-36.913557640000001</v>
      </c>
      <c r="AF1253">
        <v>174.8729055</v>
      </c>
      <c r="AG1253" s="175">
        <v>36</v>
      </c>
      <c r="AH1253" s="175">
        <v>5</v>
      </c>
      <c r="AI1253" s="175">
        <v>0</v>
      </c>
      <c r="AJ1253" s="175">
        <v>5</v>
      </c>
      <c r="AK1253" s="175">
        <v>6</v>
      </c>
      <c r="AL1253" s="175">
        <v>6</v>
      </c>
      <c r="AM1253" s="175">
        <v>11</v>
      </c>
      <c r="AN1253" s="175">
        <v>0</v>
      </c>
      <c r="AO1253" s="175">
        <v>28</v>
      </c>
      <c r="AP1253" s="175">
        <v>10</v>
      </c>
      <c r="AQ1253" s="175">
        <v>3</v>
      </c>
      <c r="AR1253" s="175">
        <v>6</v>
      </c>
      <c r="AS1253" s="175">
        <v>13</v>
      </c>
      <c r="AT1253" s="175">
        <v>4</v>
      </c>
    </row>
    <row r="1254" spans="1:46">
      <c r="A1254">
        <v>25269</v>
      </c>
      <c r="B1254" t="s">
        <v>7942</v>
      </c>
      <c r="C1254" t="s">
        <v>7943</v>
      </c>
      <c r="D1254" t="s">
        <v>7944</v>
      </c>
      <c r="E1254" t="s">
        <v>7945</v>
      </c>
      <c r="G1254" t="s">
        <v>722</v>
      </c>
      <c r="H1254" t="s">
        <v>449</v>
      </c>
      <c r="J1254" t="s">
        <v>4032</v>
      </c>
      <c r="K1254" t="s">
        <v>606</v>
      </c>
      <c r="M1254" t="s">
        <v>607</v>
      </c>
      <c r="N1254" t="s">
        <v>657</v>
      </c>
      <c r="O1254" t="s">
        <v>723</v>
      </c>
      <c r="P1254" t="s">
        <v>610</v>
      </c>
      <c r="Q1254" t="s">
        <v>467</v>
      </c>
      <c r="R1254" t="s">
        <v>724</v>
      </c>
      <c r="S1254" t="s">
        <v>725</v>
      </c>
      <c r="T1254" t="s">
        <v>613</v>
      </c>
      <c r="U1254">
        <v>110501</v>
      </c>
      <c r="V1254" t="s">
        <v>722</v>
      </c>
      <c r="W1254" t="s">
        <v>726</v>
      </c>
      <c r="X1254" t="s">
        <v>7946</v>
      </c>
      <c r="Y1254" t="s">
        <v>7947</v>
      </c>
      <c r="Z1254" t="s">
        <v>784</v>
      </c>
      <c r="AA1254" t="s">
        <v>7948</v>
      </c>
      <c r="AB1254" t="s">
        <v>7949</v>
      </c>
      <c r="AC1254">
        <v>99118</v>
      </c>
      <c r="AD1254" t="s">
        <v>5381</v>
      </c>
      <c r="AE1254">
        <v>-36.300995159999999</v>
      </c>
      <c r="AF1254">
        <v>174.52898952999999</v>
      </c>
      <c r="AG1254" s="175">
        <v>50</v>
      </c>
      <c r="AH1254" s="175">
        <v>8</v>
      </c>
      <c r="AI1254" s="175">
        <v>0</v>
      </c>
      <c r="AJ1254" s="175">
        <v>9</v>
      </c>
      <c r="AK1254" s="175">
        <v>9</v>
      </c>
      <c r="AL1254" s="175">
        <v>18</v>
      </c>
      <c r="AM1254" s="175">
        <v>13</v>
      </c>
      <c r="AN1254" s="175">
        <v>1</v>
      </c>
      <c r="AO1254" s="175">
        <v>50</v>
      </c>
      <c r="AP1254" s="175">
        <v>45</v>
      </c>
      <c r="AQ1254" s="175">
        <v>12</v>
      </c>
      <c r="AR1254" s="175">
        <v>2</v>
      </c>
      <c r="AS1254" s="175">
        <v>2</v>
      </c>
      <c r="AT1254" s="175">
        <v>5</v>
      </c>
    </row>
    <row r="1255" spans="1:46">
      <c r="A1255">
        <v>25271</v>
      </c>
      <c r="B1255" t="s">
        <v>7950</v>
      </c>
      <c r="C1255" t="s">
        <v>7951</v>
      </c>
      <c r="D1255" t="s">
        <v>7952</v>
      </c>
      <c r="E1255" t="s">
        <v>7953</v>
      </c>
      <c r="F1255" t="s">
        <v>5273</v>
      </c>
      <c r="G1255" t="s">
        <v>737</v>
      </c>
      <c r="H1255" t="s">
        <v>449</v>
      </c>
      <c r="J1255" t="s">
        <v>4032</v>
      </c>
      <c r="K1255" t="s">
        <v>606</v>
      </c>
      <c r="M1255" t="s">
        <v>607</v>
      </c>
      <c r="N1255" t="s">
        <v>657</v>
      </c>
      <c r="O1255" t="s">
        <v>1042</v>
      </c>
      <c r="P1255" t="s">
        <v>739</v>
      </c>
      <c r="Q1255" t="s">
        <v>467</v>
      </c>
      <c r="R1255" t="s">
        <v>793</v>
      </c>
      <c r="S1255" t="s">
        <v>1043</v>
      </c>
      <c r="T1255" t="s">
        <v>794</v>
      </c>
      <c r="U1255">
        <v>136001</v>
      </c>
      <c r="V1255" t="s">
        <v>5044</v>
      </c>
      <c r="W1255" t="s">
        <v>945</v>
      </c>
      <c r="X1255" t="s">
        <v>6197</v>
      </c>
      <c r="Y1255" t="s">
        <v>7954</v>
      </c>
      <c r="Z1255" t="s">
        <v>4222</v>
      </c>
      <c r="AA1255" t="s">
        <v>7955</v>
      </c>
      <c r="AB1255" t="s">
        <v>6199</v>
      </c>
      <c r="AC1255">
        <v>99188</v>
      </c>
      <c r="AD1255" t="s">
        <v>871</v>
      </c>
      <c r="AE1255">
        <v>-36.863424190000003</v>
      </c>
      <c r="AF1255">
        <v>174.75626457000001</v>
      </c>
      <c r="AG1255" s="175">
        <v>23</v>
      </c>
      <c r="AH1255" s="175">
        <v>15</v>
      </c>
      <c r="AI1255" s="175">
        <v>3</v>
      </c>
      <c r="AJ1255" s="175">
        <v>9</v>
      </c>
      <c r="AK1255" s="175">
        <v>9</v>
      </c>
      <c r="AL1255" s="175">
        <v>3</v>
      </c>
      <c r="AM1255" s="175">
        <v>1</v>
      </c>
      <c r="AN1255" s="175">
        <v>0</v>
      </c>
      <c r="AO1255" s="175">
        <v>25</v>
      </c>
      <c r="AP1255" s="175">
        <v>12</v>
      </c>
      <c r="AQ1255" s="175">
        <v>0</v>
      </c>
      <c r="AR1255" s="175">
        <v>2</v>
      </c>
      <c r="AS1255" s="175">
        <v>4</v>
      </c>
      <c r="AT1255" s="175">
        <v>13</v>
      </c>
    </row>
    <row r="1256" spans="1:46">
      <c r="A1256">
        <v>25273</v>
      </c>
      <c r="B1256" t="s">
        <v>7956</v>
      </c>
      <c r="C1256" t="s">
        <v>7957</v>
      </c>
      <c r="E1256" t="s">
        <v>7958</v>
      </c>
      <c r="G1256" t="s">
        <v>1331</v>
      </c>
      <c r="H1256" t="s">
        <v>347</v>
      </c>
      <c r="J1256" t="s">
        <v>605</v>
      </c>
      <c r="K1256" t="s">
        <v>606</v>
      </c>
      <c r="L1256" t="s">
        <v>4273</v>
      </c>
      <c r="M1256" t="s">
        <v>607</v>
      </c>
      <c r="N1256" t="s">
        <v>812</v>
      </c>
      <c r="O1256" t="s">
        <v>1435</v>
      </c>
      <c r="P1256" t="s">
        <v>626</v>
      </c>
      <c r="Q1256" t="s">
        <v>510</v>
      </c>
      <c r="R1256" t="s">
        <v>814</v>
      </c>
      <c r="S1256" t="s">
        <v>1331</v>
      </c>
      <c r="T1256" t="s">
        <v>1320</v>
      </c>
      <c r="U1256">
        <v>170400</v>
      </c>
      <c r="V1256" t="s">
        <v>7959</v>
      </c>
      <c r="W1256" t="s">
        <v>7960</v>
      </c>
      <c r="X1256" t="s">
        <v>4275</v>
      </c>
      <c r="Y1256" t="s">
        <v>4276</v>
      </c>
      <c r="Z1256" t="s">
        <v>4277</v>
      </c>
      <c r="AA1256" t="s">
        <v>4278</v>
      </c>
      <c r="AE1256">
        <v>-37.391037429999997</v>
      </c>
      <c r="AF1256">
        <v>174.72681933000001</v>
      </c>
      <c r="AG1256" s="175">
        <v>20</v>
      </c>
      <c r="AH1256" s="175">
        <v>4</v>
      </c>
      <c r="AI1256" s="175">
        <v>0</v>
      </c>
      <c r="AJ1256" s="175">
        <v>0</v>
      </c>
      <c r="AK1256" s="175">
        <v>4</v>
      </c>
      <c r="AL1256" s="175">
        <v>6</v>
      </c>
      <c r="AM1256" s="175">
        <v>5</v>
      </c>
      <c r="AN1256" s="175">
        <v>0</v>
      </c>
      <c r="AO1256" s="175">
        <v>15</v>
      </c>
      <c r="AP1256" s="175">
        <v>0</v>
      </c>
      <c r="AQ1256" s="175">
        <v>14</v>
      </c>
      <c r="AR1256" s="175">
        <v>0</v>
      </c>
      <c r="AS1256" s="175">
        <v>0</v>
      </c>
      <c r="AT1256" s="175">
        <v>1</v>
      </c>
    </row>
    <row r="1257" spans="1:46">
      <c r="A1257">
        <v>25275</v>
      </c>
      <c r="B1257" t="s">
        <v>7961</v>
      </c>
      <c r="C1257" t="s">
        <v>7962</v>
      </c>
      <c r="D1257" t="s">
        <v>7963</v>
      </c>
      <c r="E1257" t="s">
        <v>7964</v>
      </c>
      <c r="F1257" t="s">
        <v>5170</v>
      </c>
      <c r="G1257" t="s">
        <v>737</v>
      </c>
      <c r="H1257" t="s">
        <v>449</v>
      </c>
      <c r="J1257" t="s">
        <v>605</v>
      </c>
      <c r="K1257" t="s">
        <v>606</v>
      </c>
      <c r="M1257" t="s">
        <v>607</v>
      </c>
      <c r="N1257" t="s">
        <v>625</v>
      </c>
      <c r="O1257" t="s">
        <v>792</v>
      </c>
      <c r="P1257" t="s">
        <v>739</v>
      </c>
      <c r="Q1257" t="s">
        <v>467</v>
      </c>
      <c r="R1257" t="s">
        <v>814</v>
      </c>
      <c r="S1257" t="s">
        <v>863</v>
      </c>
      <c r="T1257" t="s">
        <v>794</v>
      </c>
      <c r="U1257">
        <v>157500</v>
      </c>
      <c r="V1257" t="s">
        <v>6471</v>
      </c>
      <c r="W1257" t="s">
        <v>796</v>
      </c>
      <c r="X1257" t="s">
        <v>7965</v>
      </c>
      <c r="Y1257" t="s">
        <v>7966</v>
      </c>
      <c r="Z1257" t="s">
        <v>6473</v>
      </c>
      <c r="AA1257" t="s">
        <v>7967</v>
      </c>
      <c r="AB1257" t="s">
        <v>7962</v>
      </c>
      <c r="AE1257">
        <v>-36.979449279999997</v>
      </c>
      <c r="AF1257">
        <v>174.90055565</v>
      </c>
      <c r="AG1257" s="175">
        <v>40</v>
      </c>
      <c r="AH1257" s="175">
        <v>0</v>
      </c>
      <c r="AI1257" s="175">
        <v>0</v>
      </c>
      <c r="AJ1257" s="175">
        <v>0</v>
      </c>
      <c r="AK1257" s="175">
        <v>0</v>
      </c>
      <c r="AL1257" s="175">
        <v>14</v>
      </c>
      <c r="AM1257" s="175">
        <v>25</v>
      </c>
      <c r="AN1257" s="175">
        <v>0</v>
      </c>
      <c r="AO1257" s="175">
        <v>39</v>
      </c>
      <c r="AP1257" s="175">
        <v>5</v>
      </c>
      <c r="AQ1257" s="175">
        <v>5</v>
      </c>
      <c r="AR1257" s="175">
        <v>22</v>
      </c>
      <c r="AS1257" s="175">
        <v>17</v>
      </c>
      <c r="AT1257" s="175">
        <v>0</v>
      </c>
    </row>
    <row r="1258" spans="1:46">
      <c r="A1258">
        <v>25277</v>
      </c>
      <c r="B1258" t="s">
        <v>7968</v>
      </c>
      <c r="C1258" t="s">
        <v>7335</v>
      </c>
      <c r="D1258" t="s">
        <v>7331</v>
      </c>
      <c r="E1258" t="s">
        <v>7332</v>
      </c>
      <c r="G1258" t="s">
        <v>1319</v>
      </c>
      <c r="H1258" t="s">
        <v>449</v>
      </c>
      <c r="J1258" t="s">
        <v>4032</v>
      </c>
      <c r="K1258" t="s">
        <v>606</v>
      </c>
      <c r="M1258" t="s">
        <v>607</v>
      </c>
      <c r="N1258" t="s">
        <v>657</v>
      </c>
      <c r="O1258" t="s">
        <v>1353</v>
      </c>
      <c r="P1258" t="s">
        <v>739</v>
      </c>
      <c r="Q1258" t="s">
        <v>467</v>
      </c>
      <c r="R1258" t="s">
        <v>814</v>
      </c>
      <c r="S1258" t="s">
        <v>1319</v>
      </c>
      <c r="T1258" t="s">
        <v>1320</v>
      </c>
      <c r="U1258">
        <v>162500</v>
      </c>
      <c r="V1258" t="s">
        <v>5085</v>
      </c>
      <c r="W1258" t="s">
        <v>1304</v>
      </c>
      <c r="X1258" t="s">
        <v>7333</v>
      </c>
      <c r="Y1258" t="s">
        <v>7334</v>
      </c>
      <c r="Z1258" t="s">
        <v>1319</v>
      </c>
      <c r="AA1258" t="s">
        <v>6084</v>
      </c>
      <c r="AB1258" t="s">
        <v>7335</v>
      </c>
      <c r="AE1258">
        <v>-37.069441869999999</v>
      </c>
      <c r="AF1258">
        <v>174.926411</v>
      </c>
      <c r="AG1258" s="175">
        <v>90</v>
      </c>
      <c r="AH1258" s="175">
        <v>50</v>
      </c>
      <c r="AI1258" s="175">
        <v>4</v>
      </c>
      <c r="AJ1258" s="175">
        <v>27</v>
      </c>
      <c r="AK1258" s="175">
        <v>9</v>
      </c>
      <c r="AL1258" s="175">
        <v>16</v>
      </c>
      <c r="AM1258" s="175">
        <v>12</v>
      </c>
      <c r="AN1258" s="175">
        <v>0</v>
      </c>
      <c r="AO1258" s="175">
        <v>68</v>
      </c>
      <c r="AP1258" s="175">
        <v>44</v>
      </c>
      <c r="AQ1258" s="175">
        <v>17</v>
      </c>
      <c r="AR1258" s="175">
        <v>10</v>
      </c>
      <c r="AS1258" s="175">
        <v>23</v>
      </c>
      <c r="AT1258" s="175">
        <v>2</v>
      </c>
    </row>
    <row r="1259" spans="1:46">
      <c r="A1259">
        <v>25278</v>
      </c>
      <c r="B1259" t="s">
        <v>7969</v>
      </c>
      <c r="C1259" t="s">
        <v>7970</v>
      </c>
      <c r="D1259" t="s">
        <v>7971</v>
      </c>
      <c r="E1259" t="s">
        <v>7972</v>
      </c>
      <c r="F1259" t="s">
        <v>1121</v>
      </c>
      <c r="G1259" t="s">
        <v>737</v>
      </c>
      <c r="H1259" t="s">
        <v>449</v>
      </c>
      <c r="J1259" t="s">
        <v>605</v>
      </c>
      <c r="K1259" t="s">
        <v>606</v>
      </c>
      <c r="M1259" t="s">
        <v>607</v>
      </c>
      <c r="N1259" t="s">
        <v>625</v>
      </c>
      <c r="O1259" t="s">
        <v>1301</v>
      </c>
      <c r="P1259" t="s">
        <v>739</v>
      </c>
      <c r="Q1259" t="s">
        <v>467</v>
      </c>
      <c r="R1259" t="s">
        <v>814</v>
      </c>
      <c r="S1259" t="s">
        <v>1302</v>
      </c>
      <c r="T1259" t="s">
        <v>794</v>
      </c>
      <c r="U1259">
        <v>161201</v>
      </c>
      <c r="V1259" t="s">
        <v>7973</v>
      </c>
      <c r="W1259" t="s">
        <v>1304</v>
      </c>
      <c r="X1259" t="s">
        <v>4013</v>
      </c>
      <c r="Y1259" t="s">
        <v>4014</v>
      </c>
      <c r="Z1259" t="s">
        <v>4015</v>
      </c>
      <c r="AA1259" t="s">
        <v>4016</v>
      </c>
      <c r="AB1259" t="s">
        <v>4017</v>
      </c>
      <c r="AC1259">
        <v>99186</v>
      </c>
      <c r="AD1259" t="s">
        <v>1309</v>
      </c>
      <c r="AE1259">
        <v>-37.03982362</v>
      </c>
      <c r="AF1259">
        <v>174.89669408</v>
      </c>
      <c r="AG1259" s="175">
        <v>70</v>
      </c>
      <c r="AH1259" s="175">
        <v>20</v>
      </c>
      <c r="AI1259" s="175">
        <v>4</v>
      </c>
      <c r="AJ1259" s="175">
        <v>10</v>
      </c>
      <c r="AK1259" s="175">
        <v>17</v>
      </c>
      <c r="AL1259" s="175">
        <v>17</v>
      </c>
      <c r="AM1259" s="175">
        <v>16</v>
      </c>
      <c r="AN1259" s="175">
        <v>0</v>
      </c>
      <c r="AO1259" s="175">
        <v>64</v>
      </c>
      <c r="AP1259" s="175">
        <v>9</v>
      </c>
      <c r="AQ1259" s="175">
        <v>17</v>
      </c>
      <c r="AR1259" s="175">
        <v>27</v>
      </c>
      <c r="AS1259" s="175">
        <v>31</v>
      </c>
      <c r="AT1259" s="175">
        <v>2</v>
      </c>
    </row>
    <row r="1260" spans="1:46">
      <c r="A1260">
        <v>25281</v>
      </c>
      <c r="B1260" t="s">
        <v>7974</v>
      </c>
      <c r="C1260" t="s">
        <v>7975</v>
      </c>
      <c r="D1260" t="s">
        <v>7976</v>
      </c>
      <c r="E1260" t="s">
        <v>7977</v>
      </c>
      <c r="F1260" t="s">
        <v>7884</v>
      </c>
      <c r="G1260" t="s">
        <v>737</v>
      </c>
      <c r="H1260" t="s">
        <v>449</v>
      </c>
      <c r="J1260" t="s">
        <v>4032</v>
      </c>
      <c r="K1260" t="s">
        <v>606</v>
      </c>
      <c r="M1260" t="s">
        <v>607</v>
      </c>
      <c r="N1260" t="s">
        <v>4586</v>
      </c>
      <c r="O1260" t="s">
        <v>792</v>
      </c>
      <c r="P1260" t="s">
        <v>739</v>
      </c>
      <c r="Q1260" t="s">
        <v>467</v>
      </c>
      <c r="R1260" t="s">
        <v>793</v>
      </c>
      <c r="S1260" t="s">
        <v>863</v>
      </c>
      <c r="T1260" t="s">
        <v>794</v>
      </c>
      <c r="U1260">
        <v>153400</v>
      </c>
      <c r="V1260" t="s">
        <v>7884</v>
      </c>
      <c r="W1260" t="s">
        <v>796</v>
      </c>
      <c r="X1260" t="s">
        <v>4550</v>
      </c>
      <c r="Y1260" t="s">
        <v>7978</v>
      </c>
      <c r="Z1260" t="s">
        <v>862</v>
      </c>
      <c r="AA1260" t="s">
        <v>5237</v>
      </c>
      <c r="AC1260">
        <v>99127</v>
      </c>
      <c r="AD1260" t="s">
        <v>4007</v>
      </c>
      <c r="AE1260">
        <v>-36.896635860000004</v>
      </c>
      <c r="AF1260">
        <v>174.94512764000001</v>
      </c>
      <c r="AG1260" s="175">
        <v>38</v>
      </c>
      <c r="AH1260" s="175">
        <v>10</v>
      </c>
      <c r="AI1260" s="175">
        <v>0</v>
      </c>
      <c r="AJ1260" s="175">
        <v>0</v>
      </c>
      <c r="AK1260" s="175">
        <v>2</v>
      </c>
      <c r="AL1260" s="175">
        <v>12</v>
      </c>
      <c r="AM1260" s="175">
        <v>7</v>
      </c>
      <c r="AN1260" s="175">
        <v>1</v>
      </c>
      <c r="AO1260" s="175">
        <v>22</v>
      </c>
      <c r="AP1260" s="175">
        <v>17</v>
      </c>
      <c r="AQ1260" s="175">
        <v>1</v>
      </c>
      <c r="AR1260" s="175">
        <v>0</v>
      </c>
      <c r="AS1260" s="175">
        <v>4</v>
      </c>
      <c r="AT1260" s="175">
        <v>1</v>
      </c>
    </row>
    <row r="1261" spans="1:46">
      <c r="A1261">
        <v>25282</v>
      </c>
      <c r="B1261" t="s">
        <v>7979</v>
      </c>
      <c r="D1261" t="s">
        <v>7980</v>
      </c>
      <c r="E1261" t="s">
        <v>7981</v>
      </c>
      <c r="G1261" t="s">
        <v>6575</v>
      </c>
      <c r="H1261" t="s">
        <v>449</v>
      </c>
      <c r="I1261" t="s">
        <v>4023</v>
      </c>
      <c r="J1261" t="s">
        <v>605</v>
      </c>
      <c r="K1261" t="s">
        <v>606</v>
      </c>
      <c r="M1261" t="s">
        <v>607</v>
      </c>
      <c r="N1261" t="s">
        <v>657</v>
      </c>
      <c r="O1261" t="s">
        <v>723</v>
      </c>
      <c r="P1261" t="s">
        <v>610</v>
      </c>
      <c r="Q1261" t="s">
        <v>467</v>
      </c>
      <c r="R1261" t="s">
        <v>724</v>
      </c>
      <c r="S1261" t="s">
        <v>725</v>
      </c>
      <c r="T1261" t="s">
        <v>613</v>
      </c>
      <c r="U1261">
        <v>111700</v>
      </c>
      <c r="V1261" t="s">
        <v>6575</v>
      </c>
      <c r="W1261" t="s">
        <v>726</v>
      </c>
      <c r="X1261" t="s">
        <v>6250</v>
      </c>
      <c r="Y1261" t="s">
        <v>6251</v>
      </c>
      <c r="AA1261" t="s">
        <v>4580</v>
      </c>
      <c r="AC1261">
        <v>99210</v>
      </c>
      <c r="AD1261" t="s">
        <v>4027</v>
      </c>
      <c r="AE1261">
        <v>-36.429244240000003</v>
      </c>
      <c r="AF1261">
        <v>174.73087781999999</v>
      </c>
      <c r="AG1261" s="175">
        <v>50</v>
      </c>
      <c r="AH1261" s="175">
        <v>15</v>
      </c>
      <c r="AI1261" s="175">
        <v>0</v>
      </c>
      <c r="AJ1261" s="175">
        <v>0</v>
      </c>
      <c r="AK1261" s="175">
        <v>6</v>
      </c>
      <c r="AL1261" s="175">
        <v>6</v>
      </c>
      <c r="AM1261" s="175">
        <v>14</v>
      </c>
      <c r="AN1261" s="175">
        <v>4</v>
      </c>
      <c r="AO1261" s="175">
        <v>30</v>
      </c>
      <c r="AP1261" s="175">
        <v>23</v>
      </c>
      <c r="AQ1261" s="175">
        <v>3</v>
      </c>
      <c r="AR1261" s="175">
        <v>3</v>
      </c>
      <c r="AS1261" s="175">
        <v>4</v>
      </c>
      <c r="AT1261" s="175">
        <v>0</v>
      </c>
    </row>
    <row r="1262" spans="1:46">
      <c r="A1262">
        <v>25283</v>
      </c>
      <c r="B1262" t="s">
        <v>7982</v>
      </c>
      <c r="C1262" t="s">
        <v>7983</v>
      </c>
      <c r="D1262" t="s">
        <v>7984</v>
      </c>
      <c r="E1262" t="s">
        <v>7985</v>
      </c>
      <c r="F1262" t="s">
        <v>811</v>
      </c>
      <c r="G1262" t="s">
        <v>737</v>
      </c>
      <c r="H1262" t="s">
        <v>449</v>
      </c>
      <c r="I1262" t="s">
        <v>7986</v>
      </c>
      <c r="J1262" t="s">
        <v>605</v>
      </c>
      <c r="K1262" t="s">
        <v>606</v>
      </c>
      <c r="M1262" t="s">
        <v>607</v>
      </c>
      <c r="N1262" t="s">
        <v>608</v>
      </c>
      <c r="O1262" t="s">
        <v>813</v>
      </c>
      <c r="P1262" t="s">
        <v>739</v>
      </c>
      <c r="Q1262" t="s">
        <v>467</v>
      </c>
      <c r="R1262" t="s">
        <v>814</v>
      </c>
      <c r="S1262" t="s">
        <v>815</v>
      </c>
      <c r="T1262" t="s">
        <v>794</v>
      </c>
      <c r="U1262">
        <v>155701</v>
      </c>
      <c r="V1262" t="s">
        <v>5071</v>
      </c>
      <c r="W1262" t="s">
        <v>817</v>
      </c>
      <c r="X1262" t="s">
        <v>7987</v>
      </c>
      <c r="Y1262" t="s">
        <v>4292</v>
      </c>
      <c r="Z1262" t="s">
        <v>811</v>
      </c>
      <c r="AA1262" t="s">
        <v>7988</v>
      </c>
      <c r="AE1262">
        <v>-36.968682489999999</v>
      </c>
      <c r="AF1262">
        <v>174.87848880000001</v>
      </c>
      <c r="AG1262" s="175">
        <v>100</v>
      </c>
      <c r="AH1262" s="175">
        <v>15</v>
      </c>
      <c r="AI1262" s="175">
        <v>0</v>
      </c>
      <c r="AJ1262" s="175">
        <v>0</v>
      </c>
      <c r="AK1262" s="175">
        <v>4</v>
      </c>
      <c r="AL1262" s="175">
        <v>7</v>
      </c>
      <c r="AM1262" s="175">
        <v>6</v>
      </c>
      <c r="AN1262" s="175">
        <v>1</v>
      </c>
      <c r="AO1262" s="175">
        <v>18</v>
      </c>
      <c r="AP1262" s="175">
        <v>0</v>
      </c>
      <c r="AQ1262" s="175">
        <v>1</v>
      </c>
      <c r="AR1262" s="175">
        <v>17</v>
      </c>
      <c r="AS1262" s="175">
        <v>0</v>
      </c>
      <c r="AT1262" s="175">
        <v>0</v>
      </c>
    </row>
    <row r="1263" spans="1:46">
      <c r="A1263">
        <v>25284</v>
      </c>
      <c r="B1263" t="s">
        <v>7989</v>
      </c>
      <c r="C1263" t="s">
        <v>7990</v>
      </c>
      <c r="D1263" t="s">
        <v>6878</v>
      </c>
      <c r="E1263" t="s">
        <v>7991</v>
      </c>
      <c r="G1263" t="s">
        <v>1346</v>
      </c>
      <c r="H1263" t="s">
        <v>301</v>
      </c>
      <c r="J1263" t="s">
        <v>605</v>
      </c>
      <c r="K1263" t="s">
        <v>606</v>
      </c>
      <c r="M1263" t="s">
        <v>607</v>
      </c>
      <c r="N1263" t="s">
        <v>657</v>
      </c>
      <c r="O1263" t="s">
        <v>1318</v>
      </c>
      <c r="P1263" t="s">
        <v>1347</v>
      </c>
      <c r="Q1263" t="s">
        <v>467</v>
      </c>
      <c r="R1263" t="s">
        <v>814</v>
      </c>
      <c r="S1263" t="s">
        <v>1331</v>
      </c>
      <c r="T1263" t="s">
        <v>1320</v>
      </c>
      <c r="U1263">
        <v>165400</v>
      </c>
      <c r="V1263" t="s">
        <v>7992</v>
      </c>
      <c r="W1263" t="s">
        <v>1322</v>
      </c>
      <c r="X1263" t="s">
        <v>6881</v>
      </c>
      <c r="Y1263" t="s">
        <v>5253</v>
      </c>
      <c r="AA1263" t="s">
        <v>5254</v>
      </c>
      <c r="AE1263">
        <v>-37.184750739999998</v>
      </c>
      <c r="AF1263">
        <v>174.94497659999999</v>
      </c>
      <c r="AG1263" s="175">
        <v>30</v>
      </c>
      <c r="AH1263" s="175">
        <v>10</v>
      </c>
      <c r="AI1263" s="175">
        <v>1</v>
      </c>
      <c r="AJ1263" s="175">
        <v>1</v>
      </c>
      <c r="AK1263" s="175">
        <v>2</v>
      </c>
      <c r="AL1263" s="175">
        <v>2</v>
      </c>
      <c r="AM1263" s="175">
        <v>0</v>
      </c>
      <c r="AN1263" s="175">
        <v>0</v>
      </c>
      <c r="AO1263" s="175">
        <v>6</v>
      </c>
      <c r="AP1263" s="175">
        <v>5</v>
      </c>
      <c r="AQ1263" s="175">
        <v>0</v>
      </c>
      <c r="AR1263" s="175">
        <v>0</v>
      </c>
      <c r="AS1263" s="175">
        <v>4</v>
      </c>
      <c r="AT1263" s="175">
        <v>0</v>
      </c>
    </row>
    <row r="1264" spans="1:46">
      <c r="A1264">
        <v>25286</v>
      </c>
      <c r="B1264" t="s">
        <v>7993</v>
      </c>
      <c r="C1264" t="s">
        <v>7994</v>
      </c>
      <c r="D1264" t="s">
        <v>7995</v>
      </c>
      <c r="E1264" t="s">
        <v>7996</v>
      </c>
      <c r="F1264" t="s">
        <v>4191</v>
      </c>
      <c r="G1264" t="s">
        <v>737</v>
      </c>
      <c r="H1264" t="s">
        <v>449</v>
      </c>
      <c r="I1264" t="s">
        <v>4023</v>
      </c>
      <c r="J1264" t="s">
        <v>605</v>
      </c>
      <c r="K1264" t="s">
        <v>606</v>
      </c>
      <c r="M1264" t="s">
        <v>607</v>
      </c>
      <c r="N1264" t="s">
        <v>4586</v>
      </c>
      <c r="O1264" t="s">
        <v>792</v>
      </c>
      <c r="P1264" t="s">
        <v>739</v>
      </c>
      <c r="Q1264" t="s">
        <v>467</v>
      </c>
      <c r="R1264" t="s">
        <v>793</v>
      </c>
      <c r="S1264" t="s">
        <v>791</v>
      </c>
      <c r="T1264" t="s">
        <v>794</v>
      </c>
      <c r="U1264">
        <v>151301</v>
      </c>
      <c r="V1264" t="s">
        <v>4192</v>
      </c>
      <c r="W1264" t="s">
        <v>796</v>
      </c>
      <c r="X1264" t="s">
        <v>7997</v>
      </c>
      <c r="Y1264" t="s">
        <v>7996</v>
      </c>
      <c r="Z1264" t="s">
        <v>4194</v>
      </c>
      <c r="AA1264" t="s">
        <v>7998</v>
      </c>
      <c r="AB1264" t="s">
        <v>7994</v>
      </c>
      <c r="AE1264">
        <v>-36.902861059999999</v>
      </c>
      <c r="AF1264">
        <v>174.9047889</v>
      </c>
      <c r="AG1264" s="175">
        <v>16</v>
      </c>
      <c r="AH1264" s="175">
        <v>5</v>
      </c>
      <c r="AI1264" s="175">
        <v>0</v>
      </c>
      <c r="AJ1264" s="175">
        <v>1</v>
      </c>
      <c r="AK1264" s="175">
        <v>13</v>
      </c>
      <c r="AL1264" s="175">
        <v>9</v>
      </c>
      <c r="AM1264" s="175">
        <v>2</v>
      </c>
      <c r="AN1264" s="175">
        <v>1</v>
      </c>
      <c r="AO1264" s="175">
        <v>26</v>
      </c>
      <c r="AP1264" s="175">
        <v>23</v>
      </c>
      <c r="AQ1264" s="175">
        <v>2</v>
      </c>
      <c r="AR1264" s="175">
        <v>1</v>
      </c>
      <c r="AS1264" s="175">
        <v>4</v>
      </c>
      <c r="AT1264" s="175">
        <v>3</v>
      </c>
    </row>
    <row r="1265" spans="1:46">
      <c r="A1265">
        <v>25288</v>
      </c>
      <c r="B1265" t="s">
        <v>7999</v>
      </c>
      <c r="C1265" t="s">
        <v>4821</v>
      </c>
      <c r="E1265" t="s">
        <v>8000</v>
      </c>
      <c r="F1265" t="s">
        <v>1157</v>
      </c>
      <c r="G1265" t="s">
        <v>737</v>
      </c>
      <c r="H1265" t="s">
        <v>451</v>
      </c>
      <c r="I1265" t="s">
        <v>4102</v>
      </c>
      <c r="J1265" t="s">
        <v>605</v>
      </c>
      <c r="K1265" t="s">
        <v>606</v>
      </c>
      <c r="M1265" t="s">
        <v>607</v>
      </c>
      <c r="N1265" t="s">
        <v>812</v>
      </c>
      <c r="O1265" t="s">
        <v>813</v>
      </c>
      <c r="P1265" t="s">
        <v>739</v>
      </c>
      <c r="Q1265" t="s">
        <v>467</v>
      </c>
      <c r="R1265" t="s">
        <v>814</v>
      </c>
      <c r="S1265" t="s">
        <v>815</v>
      </c>
      <c r="T1265" t="s">
        <v>794</v>
      </c>
      <c r="U1265">
        <v>152700</v>
      </c>
      <c r="V1265" t="s">
        <v>4823</v>
      </c>
      <c r="W1265" t="s">
        <v>817</v>
      </c>
      <c r="X1265" t="s">
        <v>4824</v>
      </c>
      <c r="Y1265" t="s">
        <v>4825</v>
      </c>
      <c r="AA1265" t="s">
        <v>4826</v>
      </c>
      <c r="AE1265">
        <v>-36.96327445</v>
      </c>
      <c r="AF1265">
        <v>174.84000061</v>
      </c>
      <c r="AG1265" s="175">
        <v>26</v>
      </c>
      <c r="AH1265" s="175">
        <v>15</v>
      </c>
      <c r="AI1265" s="175"/>
      <c r="AJ1265" s="175"/>
      <c r="AK1265" s="175"/>
      <c r="AL1265" s="175"/>
      <c r="AM1265" s="175"/>
      <c r="AN1265" s="175"/>
      <c r="AO1265" s="175"/>
      <c r="AP1265" s="175"/>
      <c r="AQ1265" s="175"/>
      <c r="AR1265" s="175"/>
      <c r="AS1265" s="175"/>
    </row>
    <row r="1266" spans="1:46">
      <c r="A1266">
        <v>25291</v>
      </c>
      <c r="B1266" t="s">
        <v>8001</v>
      </c>
      <c r="C1266" t="s">
        <v>8002</v>
      </c>
      <c r="D1266" t="s">
        <v>7623</v>
      </c>
      <c r="E1266" t="s">
        <v>8003</v>
      </c>
      <c r="F1266" t="s">
        <v>1120</v>
      </c>
      <c r="G1266" t="s">
        <v>737</v>
      </c>
      <c r="H1266" t="s">
        <v>449</v>
      </c>
      <c r="J1266" t="s">
        <v>4032</v>
      </c>
      <c r="K1266" t="s">
        <v>606</v>
      </c>
      <c r="M1266" t="s">
        <v>607</v>
      </c>
      <c r="N1266" t="s">
        <v>625</v>
      </c>
      <c r="O1266" t="s">
        <v>813</v>
      </c>
      <c r="P1266" t="s">
        <v>739</v>
      </c>
      <c r="Q1266" t="s">
        <v>467</v>
      </c>
      <c r="R1266" t="s">
        <v>814</v>
      </c>
      <c r="S1266" t="s">
        <v>815</v>
      </c>
      <c r="T1266" t="s">
        <v>794</v>
      </c>
      <c r="U1266">
        <v>154902</v>
      </c>
      <c r="V1266" t="s">
        <v>7897</v>
      </c>
      <c r="W1266" t="s">
        <v>817</v>
      </c>
      <c r="X1266" t="s">
        <v>7626</v>
      </c>
      <c r="Y1266" t="s">
        <v>7627</v>
      </c>
      <c r="Z1266" t="s">
        <v>1368</v>
      </c>
      <c r="AA1266" t="s">
        <v>5066</v>
      </c>
      <c r="AB1266" t="s">
        <v>7628</v>
      </c>
      <c r="AE1266">
        <v>-36.973282750000003</v>
      </c>
      <c r="AF1266">
        <v>174.86379908000001</v>
      </c>
      <c r="AG1266" s="175">
        <v>50</v>
      </c>
      <c r="AH1266" s="175">
        <v>0</v>
      </c>
      <c r="AI1266" s="175">
        <v>0</v>
      </c>
      <c r="AJ1266" s="175">
        <v>0</v>
      </c>
      <c r="AK1266" s="175">
        <v>4</v>
      </c>
      <c r="AL1266" s="175">
        <v>20</v>
      </c>
      <c r="AM1266" s="175">
        <v>17</v>
      </c>
      <c r="AN1266" s="175">
        <v>4</v>
      </c>
      <c r="AO1266" s="175">
        <v>45</v>
      </c>
      <c r="AP1266" s="175">
        <v>1</v>
      </c>
      <c r="AQ1266" s="175">
        <v>3</v>
      </c>
      <c r="AR1266" s="175">
        <v>11</v>
      </c>
      <c r="AS1266" s="175">
        <v>32</v>
      </c>
      <c r="AT1266" s="175">
        <v>0</v>
      </c>
    </row>
    <row r="1267" spans="1:46">
      <c r="A1267">
        <v>25292</v>
      </c>
      <c r="B1267" t="s">
        <v>8004</v>
      </c>
      <c r="C1267" t="s">
        <v>8005</v>
      </c>
      <c r="D1267" t="s">
        <v>8006</v>
      </c>
      <c r="E1267" t="s">
        <v>8007</v>
      </c>
      <c r="F1267" t="s">
        <v>876</v>
      </c>
      <c r="G1267" t="s">
        <v>737</v>
      </c>
      <c r="H1267" t="s">
        <v>449</v>
      </c>
      <c r="J1267" t="s">
        <v>4032</v>
      </c>
      <c r="K1267" t="s">
        <v>606</v>
      </c>
      <c r="M1267" t="s">
        <v>607</v>
      </c>
      <c r="N1267" t="s">
        <v>4586</v>
      </c>
      <c r="O1267" t="s">
        <v>792</v>
      </c>
      <c r="P1267" t="s">
        <v>739</v>
      </c>
      <c r="Q1267" t="s">
        <v>467</v>
      </c>
      <c r="R1267" t="s">
        <v>793</v>
      </c>
      <c r="S1267" t="s">
        <v>791</v>
      </c>
      <c r="T1267" t="s">
        <v>794</v>
      </c>
      <c r="U1267">
        <v>150400</v>
      </c>
      <c r="V1267" t="s">
        <v>7359</v>
      </c>
      <c r="W1267" t="s">
        <v>796</v>
      </c>
      <c r="X1267" t="s">
        <v>8008</v>
      </c>
      <c r="Y1267" t="s">
        <v>8009</v>
      </c>
      <c r="Z1267" t="s">
        <v>876</v>
      </c>
      <c r="AA1267" t="s">
        <v>5237</v>
      </c>
      <c r="AB1267" t="s">
        <v>8010</v>
      </c>
      <c r="AE1267">
        <v>-36.89447054</v>
      </c>
      <c r="AF1267">
        <v>174.9133425</v>
      </c>
      <c r="AG1267" s="175">
        <v>55</v>
      </c>
      <c r="AH1267" s="175">
        <v>15</v>
      </c>
      <c r="AI1267" s="175">
        <v>1</v>
      </c>
      <c r="AJ1267" s="175">
        <v>9</v>
      </c>
      <c r="AK1267" s="175">
        <v>15</v>
      </c>
      <c r="AL1267" s="175">
        <v>19</v>
      </c>
      <c r="AM1267" s="175">
        <v>16</v>
      </c>
      <c r="AN1267" s="175">
        <v>0</v>
      </c>
      <c r="AO1267" s="175">
        <v>60</v>
      </c>
      <c r="AP1267" s="175">
        <v>47</v>
      </c>
      <c r="AQ1267" s="175">
        <v>4</v>
      </c>
      <c r="AR1267" s="175">
        <v>1</v>
      </c>
      <c r="AS1267" s="175">
        <v>17</v>
      </c>
      <c r="AT1267" s="175">
        <v>2</v>
      </c>
    </row>
    <row r="1268" spans="1:46">
      <c r="A1268">
        <v>25298</v>
      </c>
      <c r="B1268" t="s">
        <v>8011</v>
      </c>
      <c r="C1268" t="s">
        <v>8012</v>
      </c>
      <c r="D1268" t="s">
        <v>8013</v>
      </c>
      <c r="E1268" t="s">
        <v>8014</v>
      </c>
      <c r="F1268" t="s">
        <v>1121</v>
      </c>
      <c r="G1268" t="s">
        <v>737</v>
      </c>
      <c r="H1268" t="s">
        <v>449</v>
      </c>
      <c r="J1268" t="s">
        <v>605</v>
      </c>
      <c r="K1268" t="s">
        <v>606</v>
      </c>
      <c r="M1268" t="s">
        <v>607</v>
      </c>
      <c r="N1268" t="s">
        <v>608</v>
      </c>
      <c r="O1268" t="s">
        <v>1301</v>
      </c>
      <c r="P1268" t="s">
        <v>739</v>
      </c>
      <c r="Q1268" t="s">
        <v>467</v>
      </c>
      <c r="R1268" t="s">
        <v>814</v>
      </c>
      <c r="S1268" t="s">
        <v>1121</v>
      </c>
      <c r="T1268" t="s">
        <v>794</v>
      </c>
      <c r="U1268">
        <v>159202</v>
      </c>
      <c r="V1268" t="s">
        <v>7464</v>
      </c>
      <c r="W1268" t="s">
        <v>1304</v>
      </c>
      <c r="X1268" t="s">
        <v>4013</v>
      </c>
      <c r="Y1268" t="s">
        <v>4014</v>
      </c>
      <c r="Z1268" t="s">
        <v>4015</v>
      </c>
      <c r="AA1268" t="s">
        <v>4016</v>
      </c>
      <c r="AB1268" t="s">
        <v>4017</v>
      </c>
      <c r="AE1268">
        <v>-37.020205199999999</v>
      </c>
      <c r="AF1268">
        <v>174.88171578999999</v>
      </c>
      <c r="AG1268" s="175">
        <v>67</v>
      </c>
      <c r="AH1268" s="175">
        <v>15</v>
      </c>
      <c r="AI1268" s="175">
        <v>1</v>
      </c>
      <c r="AJ1268" s="175">
        <v>8</v>
      </c>
      <c r="AK1268" s="175">
        <v>16</v>
      </c>
      <c r="AL1268" s="175">
        <v>23</v>
      </c>
      <c r="AM1268" s="175">
        <v>24</v>
      </c>
      <c r="AN1268" s="175">
        <v>0</v>
      </c>
      <c r="AO1268" s="175">
        <v>72</v>
      </c>
      <c r="AP1268" s="175">
        <v>13</v>
      </c>
      <c r="AQ1268" s="175">
        <v>13</v>
      </c>
      <c r="AR1268" s="175">
        <v>36</v>
      </c>
      <c r="AS1268" s="175">
        <v>28</v>
      </c>
      <c r="AT1268" s="175">
        <v>7</v>
      </c>
    </row>
    <row r="1269" spans="1:46">
      <c r="A1269">
        <v>25299</v>
      </c>
      <c r="B1269" t="s">
        <v>8015</v>
      </c>
      <c r="C1269" t="s">
        <v>8016</v>
      </c>
      <c r="E1269" t="s">
        <v>8017</v>
      </c>
      <c r="F1269" t="s">
        <v>811</v>
      </c>
      <c r="G1269" t="s">
        <v>737</v>
      </c>
      <c r="H1269" t="s">
        <v>347</v>
      </c>
      <c r="J1269" t="s">
        <v>605</v>
      </c>
      <c r="K1269" t="s">
        <v>606</v>
      </c>
      <c r="L1269" t="s">
        <v>4273</v>
      </c>
      <c r="M1269" t="s">
        <v>607</v>
      </c>
      <c r="N1269" t="s">
        <v>812</v>
      </c>
      <c r="O1269" t="s">
        <v>813</v>
      </c>
      <c r="P1269" t="s">
        <v>739</v>
      </c>
      <c r="Q1269" t="s">
        <v>467</v>
      </c>
      <c r="R1269" t="s">
        <v>814</v>
      </c>
      <c r="S1269" t="s">
        <v>815</v>
      </c>
      <c r="T1269" t="s">
        <v>794</v>
      </c>
      <c r="U1269">
        <v>155801</v>
      </c>
      <c r="V1269" t="s">
        <v>1297</v>
      </c>
      <c r="W1269" t="s">
        <v>817</v>
      </c>
      <c r="X1269" t="s">
        <v>4275</v>
      </c>
      <c r="Y1269" t="s">
        <v>4276</v>
      </c>
      <c r="Z1269" t="s">
        <v>4277</v>
      </c>
      <c r="AA1269" t="s">
        <v>4278</v>
      </c>
      <c r="AE1269">
        <v>-36.961558080000003</v>
      </c>
      <c r="AF1269">
        <v>174.88677225000001</v>
      </c>
      <c r="AG1269" s="175">
        <v>20</v>
      </c>
      <c r="AH1269" s="175">
        <v>4</v>
      </c>
      <c r="AI1269" s="175">
        <v>0</v>
      </c>
      <c r="AJ1269" s="175">
        <v>1</v>
      </c>
      <c r="AK1269" s="175">
        <v>4</v>
      </c>
      <c r="AL1269" s="175">
        <v>6</v>
      </c>
      <c r="AM1269" s="175">
        <v>5</v>
      </c>
      <c r="AN1269" s="175">
        <v>0</v>
      </c>
      <c r="AO1269" s="175">
        <v>16</v>
      </c>
      <c r="AP1269" s="175">
        <v>0</v>
      </c>
      <c r="AQ1269" s="175">
        <v>16</v>
      </c>
      <c r="AR1269" s="175">
        <v>0</v>
      </c>
      <c r="AS1269" s="175">
        <v>0</v>
      </c>
      <c r="AT1269" s="175">
        <v>0</v>
      </c>
    </row>
    <row r="1270" spans="1:46">
      <c r="A1270">
        <v>25300</v>
      </c>
      <c r="B1270" t="s">
        <v>8018</v>
      </c>
      <c r="C1270" t="s">
        <v>8019</v>
      </c>
      <c r="D1270" t="s">
        <v>8020</v>
      </c>
      <c r="E1270" t="s">
        <v>8021</v>
      </c>
      <c r="F1270" t="s">
        <v>1121</v>
      </c>
      <c r="G1270" t="s">
        <v>737</v>
      </c>
      <c r="H1270" t="s">
        <v>449</v>
      </c>
      <c r="J1270" t="s">
        <v>605</v>
      </c>
      <c r="K1270" t="s">
        <v>606</v>
      </c>
      <c r="M1270" t="s">
        <v>607</v>
      </c>
      <c r="N1270" t="s">
        <v>643</v>
      </c>
      <c r="O1270" t="s">
        <v>1301</v>
      </c>
      <c r="P1270" t="s">
        <v>739</v>
      </c>
      <c r="Q1270" t="s">
        <v>467</v>
      </c>
      <c r="R1270" t="s">
        <v>814</v>
      </c>
      <c r="S1270" t="s">
        <v>1121</v>
      </c>
      <c r="T1270" t="s">
        <v>794</v>
      </c>
      <c r="U1270">
        <v>159900</v>
      </c>
      <c r="V1270" t="s">
        <v>1326</v>
      </c>
      <c r="W1270" t="s">
        <v>1304</v>
      </c>
      <c r="X1270" t="s">
        <v>8022</v>
      </c>
      <c r="Y1270" t="s">
        <v>8023</v>
      </c>
      <c r="Z1270" t="s">
        <v>1121</v>
      </c>
      <c r="AA1270" t="s">
        <v>5268</v>
      </c>
      <c r="AB1270" t="s">
        <v>8024</v>
      </c>
      <c r="AE1270">
        <v>-37.032694880000001</v>
      </c>
      <c r="AF1270">
        <v>174.87196800999999</v>
      </c>
      <c r="AG1270" s="175">
        <v>24</v>
      </c>
      <c r="AH1270" s="175">
        <v>9</v>
      </c>
      <c r="AI1270" s="175">
        <v>0</v>
      </c>
      <c r="AJ1270" s="175">
        <v>2</v>
      </c>
      <c r="AK1270" s="175">
        <v>2</v>
      </c>
      <c r="AL1270" s="175">
        <v>6</v>
      </c>
      <c r="AM1270" s="175">
        <v>9</v>
      </c>
      <c r="AN1270" s="175">
        <v>0</v>
      </c>
      <c r="AO1270" s="175">
        <v>19</v>
      </c>
      <c r="AP1270" s="175">
        <v>2</v>
      </c>
      <c r="AQ1270" s="175">
        <v>7</v>
      </c>
      <c r="AR1270" s="175">
        <v>11</v>
      </c>
      <c r="AS1270" s="175">
        <v>4</v>
      </c>
      <c r="AT1270" s="175">
        <v>0</v>
      </c>
    </row>
    <row r="1271" spans="1:46">
      <c r="A1271">
        <v>25301</v>
      </c>
      <c r="B1271" t="s">
        <v>8025</v>
      </c>
      <c r="C1271" t="s">
        <v>8026</v>
      </c>
      <c r="D1271" t="s">
        <v>8027</v>
      </c>
      <c r="E1271" t="s">
        <v>8028</v>
      </c>
      <c r="F1271" t="s">
        <v>1030</v>
      </c>
      <c r="G1271" t="s">
        <v>737</v>
      </c>
      <c r="H1271" t="s">
        <v>449</v>
      </c>
      <c r="J1271" t="s">
        <v>605</v>
      </c>
      <c r="K1271" t="s">
        <v>606</v>
      </c>
      <c r="M1271" t="s">
        <v>607</v>
      </c>
      <c r="N1271" t="s">
        <v>812</v>
      </c>
      <c r="O1271" t="s">
        <v>933</v>
      </c>
      <c r="P1271" t="s">
        <v>739</v>
      </c>
      <c r="Q1271" t="s">
        <v>467</v>
      </c>
      <c r="R1271" t="s">
        <v>814</v>
      </c>
      <c r="S1271" t="s">
        <v>934</v>
      </c>
      <c r="T1271" t="s">
        <v>794</v>
      </c>
      <c r="U1271">
        <v>151800</v>
      </c>
      <c r="V1271" t="s">
        <v>7485</v>
      </c>
      <c r="W1271" t="s">
        <v>817</v>
      </c>
      <c r="X1271" t="s">
        <v>8029</v>
      </c>
      <c r="Y1271" t="s">
        <v>8030</v>
      </c>
      <c r="Z1271" t="s">
        <v>1030</v>
      </c>
      <c r="AA1271" t="s">
        <v>8031</v>
      </c>
      <c r="AC1271">
        <v>99124</v>
      </c>
      <c r="AD1271" t="s">
        <v>4646</v>
      </c>
      <c r="AE1271">
        <v>-36.963230920000001</v>
      </c>
      <c r="AF1271">
        <v>174.82588416999999</v>
      </c>
      <c r="AG1271" s="175">
        <v>75</v>
      </c>
      <c r="AH1271" s="175">
        <v>15</v>
      </c>
      <c r="AI1271" s="175">
        <v>0</v>
      </c>
      <c r="AJ1271" s="175">
        <v>8</v>
      </c>
      <c r="AK1271" s="175">
        <v>8</v>
      </c>
      <c r="AL1271" s="175">
        <v>10</v>
      </c>
      <c r="AM1271" s="175">
        <v>15</v>
      </c>
      <c r="AN1271" s="175">
        <v>0</v>
      </c>
      <c r="AO1271" s="175">
        <v>41</v>
      </c>
      <c r="AP1271" s="175">
        <v>4</v>
      </c>
      <c r="AQ1271" s="175">
        <v>23</v>
      </c>
      <c r="AR1271" s="175">
        <v>27</v>
      </c>
      <c r="AS1271" s="175">
        <v>4</v>
      </c>
      <c r="AT1271" s="175">
        <v>2</v>
      </c>
    </row>
    <row r="1272" spans="1:46">
      <c r="A1272">
        <v>25302</v>
      </c>
      <c r="B1272" t="s">
        <v>8032</v>
      </c>
      <c r="C1272" t="s">
        <v>8033</v>
      </c>
      <c r="D1272" t="s">
        <v>7165</v>
      </c>
      <c r="E1272" t="s">
        <v>8034</v>
      </c>
      <c r="G1272" t="s">
        <v>722</v>
      </c>
      <c r="H1272" t="s">
        <v>301</v>
      </c>
      <c r="J1272" t="s">
        <v>605</v>
      </c>
      <c r="K1272" t="s">
        <v>606</v>
      </c>
      <c r="M1272" t="s">
        <v>607</v>
      </c>
      <c r="N1272" t="s">
        <v>657</v>
      </c>
      <c r="O1272" t="s">
        <v>723</v>
      </c>
      <c r="P1272" t="s">
        <v>658</v>
      </c>
      <c r="Q1272" t="s">
        <v>467</v>
      </c>
      <c r="R1272" t="s">
        <v>724</v>
      </c>
      <c r="S1272" t="s">
        <v>725</v>
      </c>
      <c r="T1272" t="s">
        <v>613</v>
      </c>
      <c r="U1272">
        <v>110400</v>
      </c>
      <c r="V1272" t="s">
        <v>6745</v>
      </c>
      <c r="W1272" t="s">
        <v>726</v>
      </c>
      <c r="X1272" t="s">
        <v>7159</v>
      </c>
      <c r="Y1272" t="s">
        <v>5253</v>
      </c>
      <c r="AA1272" t="s">
        <v>5254</v>
      </c>
      <c r="AE1272">
        <v>-36.23156024</v>
      </c>
      <c r="AF1272">
        <v>174.63866426999999</v>
      </c>
      <c r="AG1272" s="175">
        <v>30</v>
      </c>
      <c r="AH1272" s="175">
        <v>15</v>
      </c>
      <c r="AI1272" s="175">
        <v>3</v>
      </c>
      <c r="AJ1272" s="175">
        <v>2</v>
      </c>
      <c r="AK1272" s="175">
        <v>9</v>
      </c>
      <c r="AL1272" s="175">
        <v>1</v>
      </c>
      <c r="AM1272" s="175">
        <v>4</v>
      </c>
      <c r="AN1272" s="175">
        <v>0</v>
      </c>
      <c r="AO1272" s="175">
        <v>19</v>
      </c>
      <c r="AP1272" s="175">
        <v>19</v>
      </c>
      <c r="AQ1272" s="175">
        <v>2</v>
      </c>
      <c r="AR1272" s="175">
        <v>0</v>
      </c>
      <c r="AS1272" s="175">
        <v>0</v>
      </c>
      <c r="AT1272" s="175">
        <v>0</v>
      </c>
    </row>
    <row r="1273" spans="1:46">
      <c r="A1273">
        <v>25304</v>
      </c>
      <c r="B1273" t="s">
        <v>8035</v>
      </c>
      <c r="C1273" t="s">
        <v>8036</v>
      </c>
      <c r="D1273" t="s">
        <v>8037</v>
      </c>
      <c r="E1273" t="s">
        <v>8038</v>
      </c>
      <c r="F1273" t="s">
        <v>1157</v>
      </c>
      <c r="G1273" t="s">
        <v>737</v>
      </c>
      <c r="H1273" t="s">
        <v>449</v>
      </c>
      <c r="I1273" t="s">
        <v>4233</v>
      </c>
      <c r="J1273" t="s">
        <v>605</v>
      </c>
      <c r="K1273" t="s">
        <v>606</v>
      </c>
      <c r="M1273" t="s">
        <v>607</v>
      </c>
      <c r="N1273" t="s">
        <v>608</v>
      </c>
      <c r="O1273" t="s">
        <v>933</v>
      </c>
      <c r="P1273" t="s">
        <v>739</v>
      </c>
      <c r="Q1273" t="s">
        <v>467</v>
      </c>
      <c r="R1273" t="s">
        <v>814</v>
      </c>
      <c r="S1273" t="s">
        <v>815</v>
      </c>
      <c r="T1273" t="s">
        <v>794</v>
      </c>
      <c r="U1273">
        <v>151400</v>
      </c>
      <c r="V1273" t="s">
        <v>7607</v>
      </c>
      <c r="W1273" t="s">
        <v>817</v>
      </c>
      <c r="X1273" t="s">
        <v>8039</v>
      </c>
      <c r="Y1273" t="s">
        <v>8040</v>
      </c>
      <c r="Z1273" t="s">
        <v>1157</v>
      </c>
      <c r="AA1273" t="s">
        <v>4826</v>
      </c>
      <c r="AB1273" t="s">
        <v>8041</v>
      </c>
      <c r="AE1273">
        <v>-36.944614090000002</v>
      </c>
      <c r="AF1273">
        <v>174.83869086000001</v>
      </c>
      <c r="AG1273" s="175">
        <v>60</v>
      </c>
      <c r="AH1273" s="175">
        <v>18</v>
      </c>
      <c r="AI1273" s="175">
        <v>3</v>
      </c>
      <c r="AJ1273" s="175">
        <v>4</v>
      </c>
      <c r="AK1273" s="175">
        <v>16</v>
      </c>
      <c r="AL1273" s="175">
        <v>13</v>
      </c>
      <c r="AM1273" s="175">
        <v>16</v>
      </c>
      <c r="AN1273" s="175">
        <v>0</v>
      </c>
      <c r="AO1273" s="175">
        <v>52</v>
      </c>
      <c r="AP1273" s="175">
        <v>3</v>
      </c>
      <c r="AQ1273" s="175">
        <v>0</v>
      </c>
      <c r="AR1273" s="175">
        <v>52</v>
      </c>
      <c r="AS1273" s="175">
        <v>3</v>
      </c>
      <c r="AT1273" s="175">
        <v>0</v>
      </c>
    </row>
    <row r="1274" spans="1:46">
      <c r="A1274">
        <v>25310</v>
      </c>
      <c r="B1274" t="s">
        <v>8042</v>
      </c>
      <c r="C1274" t="s">
        <v>8043</v>
      </c>
      <c r="E1274" t="s">
        <v>8044</v>
      </c>
      <c r="F1274" t="s">
        <v>932</v>
      </c>
      <c r="G1274" t="s">
        <v>737</v>
      </c>
      <c r="H1274" t="s">
        <v>347</v>
      </c>
      <c r="J1274" t="s">
        <v>605</v>
      </c>
      <c r="K1274" t="s">
        <v>606</v>
      </c>
      <c r="L1274" t="s">
        <v>4273</v>
      </c>
      <c r="M1274" t="s">
        <v>1382</v>
      </c>
      <c r="N1274" t="s">
        <v>608</v>
      </c>
      <c r="O1274" t="s">
        <v>933</v>
      </c>
      <c r="P1274" t="s">
        <v>739</v>
      </c>
      <c r="Q1274" t="s">
        <v>467</v>
      </c>
      <c r="R1274" t="s">
        <v>1384</v>
      </c>
      <c r="S1274" t="s">
        <v>934</v>
      </c>
      <c r="T1274" t="s">
        <v>794</v>
      </c>
      <c r="U1274">
        <v>146800</v>
      </c>
      <c r="V1274" t="s">
        <v>5009</v>
      </c>
      <c r="W1274" t="s">
        <v>817</v>
      </c>
      <c r="X1274" t="s">
        <v>7695</v>
      </c>
      <c r="Y1274" t="s">
        <v>4276</v>
      </c>
      <c r="Z1274" t="s">
        <v>4277</v>
      </c>
      <c r="AA1274" t="s">
        <v>4278</v>
      </c>
      <c r="AB1274" t="s">
        <v>7696</v>
      </c>
      <c r="AE1274">
        <v>-36.941880900000001</v>
      </c>
      <c r="AF1274">
        <v>174.79198840000001</v>
      </c>
      <c r="AG1274" s="175">
        <v>33</v>
      </c>
      <c r="AH1274" s="175">
        <v>12</v>
      </c>
      <c r="AI1274" s="175">
        <v>2</v>
      </c>
      <c r="AJ1274" s="175">
        <v>8</v>
      </c>
      <c r="AK1274" s="175">
        <v>10</v>
      </c>
      <c r="AL1274" s="175">
        <v>5</v>
      </c>
      <c r="AM1274" s="175">
        <v>6</v>
      </c>
      <c r="AN1274" s="175">
        <v>0</v>
      </c>
      <c r="AO1274" s="175">
        <v>31</v>
      </c>
      <c r="AP1274" s="175">
        <v>0</v>
      </c>
      <c r="AQ1274" s="175">
        <v>30</v>
      </c>
      <c r="AR1274" s="175">
        <v>1</v>
      </c>
      <c r="AS1274" s="175">
        <v>0</v>
      </c>
      <c r="AT1274" s="175">
        <v>0</v>
      </c>
    </row>
    <row r="1275" spans="1:46">
      <c r="A1275">
        <v>25312</v>
      </c>
      <c r="B1275" t="s">
        <v>8045</v>
      </c>
      <c r="C1275" t="s">
        <v>8046</v>
      </c>
      <c r="D1275" t="s">
        <v>8047</v>
      </c>
      <c r="E1275" t="s">
        <v>8048</v>
      </c>
      <c r="F1275" t="s">
        <v>811</v>
      </c>
      <c r="G1275" t="s">
        <v>737</v>
      </c>
      <c r="H1275" t="s">
        <v>449</v>
      </c>
      <c r="I1275" t="s">
        <v>8049</v>
      </c>
      <c r="J1275" t="s">
        <v>605</v>
      </c>
      <c r="K1275" t="s">
        <v>606</v>
      </c>
      <c r="M1275" t="s">
        <v>607</v>
      </c>
      <c r="N1275" t="s">
        <v>608</v>
      </c>
      <c r="O1275" t="s">
        <v>813</v>
      </c>
      <c r="P1275" t="s">
        <v>739</v>
      </c>
      <c r="Q1275" t="s">
        <v>467</v>
      </c>
      <c r="R1275" t="s">
        <v>814</v>
      </c>
      <c r="S1275" t="s">
        <v>863</v>
      </c>
      <c r="T1275" t="s">
        <v>794</v>
      </c>
      <c r="U1275">
        <v>156800</v>
      </c>
      <c r="V1275" t="s">
        <v>4716</v>
      </c>
      <c r="W1275" t="s">
        <v>817</v>
      </c>
      <c r="X1275" t="s">
        <v>8050</v>
      </c>
      <c r="Y1275" t="s">
        <v>8051</v>
      </c>
      <c r="Z1275" t="s">
        <v>811</v>
      </c>
      <c r="AA1275" t="s">
        <v>4061</v>
      </c>
      <c r="AB1275" t="s">
        <v>8052</v>
      </c>
      <c r="AE1275">
        <v>-36.961813929999998</v>
      </c>
      <c r="AF1275">
        <v>174.8896373</v>
      </c>
      <c r="AG1275" s="175">
        <v>35</v>
      </c>
      <c r="AH1275" s="175">
        <v>5</v>
      </c>
      <c r="AI1275" s="175">
        <v>0</v>
      </c>
      <c r="AJ1275" s="175">
        <v>2</v>
      </c>
      <c r="AK1275" s="175">
        <v>4</v>
      </c>
      <c r="AL1275" s="175">
        <v>3</v>
      </c>
      <c r="AM1275" s="175">
        <v>8</v>
      </c>
      <c r="AN1275" s="175">
        <v>0</v>
      </c>
      <c r="AO1275" s="175">
        <v>17</v>
      </c>
      <c r="AP1275" s="175">
        <v>0</v>
      </c>
      <c r="AQ1275" s="175">
        <v>0</v>
      </c>
      <c r="AR1275" s="175">
        <v>17</v>
      </c>
      <c r="AS1275" s="175">
        <v>0</v>
      </c>
      <c r="AT1275" s="175">
        <v>0</v>
      </c>
    </row>
    <row r="1276" spans="1:46">
      <c r="A1276">
        <v>25322</v>
      </c>
      <c r="B1276" t="s">
        <v>8053</v>
      </c>
      <c r="C1276" t="s">
        <v>8054</v>
      </c>
      <c r="D1276" t="s">
        <v>8055</v>
      </c>
      <c r="E1276" t="s">
        <v>8056</v>
      </c>
      <c r="F1276" t="s">
        <v>1268</v>
      </c>
      <c r="G1276" t="s">
        <v>737</v>
      </c>
      <c r="H1276" t="s">
        <v>449</v>
      </c>
      <c r="I1276" t="s">
        <v>4934</v>
      </c>
      <c r="J1276" t="s">
        <v>605</v>
      </c>
      <c r="K1276" t="s">
        <v>606</v>
      </c>
      <c r="M1276" t="s">
        <v>607</v>
      </c>
      <c r="N1276" t="s">
        <v>657</v>
      </c>
      <c r="O1276" t="s">
        <v>898</v>
      </c>
      <c r="P1276" t="s">
        <v>739</v>
      </c>
      <c r="Q1276" t="s">
        <v>467</v>
      </c>
      <c r="R1276" t="s">
        <v>724</v>
      </c>
      <c r="S1276" t="s">
        <v>984</v>
      </c>
      <c r="T1276" t="s">
        <v>613</v>
      </c>
      <c r="U1276">
        <v>124500</v>
      </c>
      <c r="V1276" t="s">
        <v>1269</v>
      </c>
      <c r="W1276" t="s">
        <v>900</v>
      </c>
      <c r="X1276" t="s">
        <v>8057</v>
      </c>
      <c r="Y1276" t="s">
        <v>8058</v>
      </c>
      <c r="Z1276" t="s">
        <v>1268</v>
      </c>
      <c r="AA1276" t="s">
        <v>8059</v>
      </c>
      <c r="AB1276" t="s">
        <v>8054</v>
      </c>
      <c r="AE1276">
        <v>-36.840739550000002</v>
      </c>
      <c r="AF1276">
        <v>174.65427781</v>
      </c>
      <c r="AG1276" s="175">
        <v>30</v>
      </c>
      <c r="AH1276" s="175">
        <v>5</v>
      </c>
      <c r="AI1276" s="175">
        <v>1</v>
      </c>
      <c r="AJ1276" s="175">
        <v>4</v>
      </c>
      <c r="AK1276" s="175">
        <v>7</v>
      </c>
      <c r="AL1276" s="175">
        <v>5</v>
      </c>
      <c r="AM1276" s="175">
        <v>2</v>
      </c>
      <c r="AN1276" s="175">
        <v>1</v>
      </c>
      <c r="AO1276" s="175">
        <v>20</v>
      </c>
      <c r="AP1276" s="175">
        <v>5</v>
      </c>
      <c r="AQ1276" s="175">
        <v>8</v>
      </c>
      <c r="AR1276" s="175">
        <v>17</v>
      </c>
      <c r="AS1276" s="175">
        <v>2</v>
      </c>
      <c r="AT1276" s="175">
        <v>1</v>
      </c>
    </row>
    <row r="1277" spans="1:46">
      <c r="A1277">
        <v>25324</v>
      </c>
      <c r="B1277" t="s">
        <v>8060</v>
      </c>
      <c r="C1277" t="s">
        <v>8061</v>
      </c>
      <c r="D1277" t="s">
        <v>8062</v>
      </c>
      <c r="E1277" t="s">
        <v>8063</v>
      </c>
      <c r="F1277" t="s">
        <v>940</v>
      </c>
      <c r="G1277" t="s">
        <v>737</v>
      </c>
      <c r="H1277" t="s">
        <v>449</v>
      </c>
      <c r="J1277" t="s">
        <v>4032</v>
      </c>
      <c r="K1277" t="s">
        <v>606</v>
      </c>
      <c r="M1277" t="s">
        <v>607</v>
      </c>
      <c r="N1277" t="s">
        <v>657</v>
      </c>
      <c r="O1277" t="s">
        <v>942</v>
      </c>
      <c r="P1277" t="s">
        <v>739</v>
      </c>
      <c r="Q1277" t="s">
        <v>467</v>
      </c>
      <c r="R1277" t="s">
        <v>793</v>
      </c>
      <c r="S1277" t="s">
        <v>943</v>
      </c>
      <c r="T1277" t="s">
        <v>794</v>
      </c>
      <c r="U1277">
        <v>137000</v>
      </c>
      <c r="V1277" t="s">
        <v>4708</v>
      </c>
      <c r="W1277" t="s">
        <v>945</v>
      </c>
      <c r="X1277" t="s">
        <v>8064</v>
      </c>
      <c r="Y1277" t="s">
        <v>8065</v>
      </c>
      <c r="Z1277" t="s">
        <v>8066</v>
      </c>
      <c r="AA1277" t="s">
        <v>4942</v>
      </c>
      <c r="AB1277" t="s">
        <v>8067</v>
      </c>
      <c r="AE1277">
        <v>-36.885368219999997</v>
      </c>
      <c r="AF1277">
        <v>174.73790590999999</v>
      </c>
      <c r="AG1277" s="175">
        <v>113</v>
      </c>
      <c r="AH1277" s="175">
        <v>29</v>
      </c>
      <c r="AI1277" s="175">
        <v>6</v>
      </c>
      <c r="AJ1277" s="175">
        <v>22</v>
      </c>
      <c r="AK1277" s="175">
        <v>33</v>
      </c>
      <c r="AL1277" s="175">
        <v>33</v>
      </c>
      <c r="AM1277" s="175">
        <v>30</v>
      </c>
      <c r="AN1277" s="175">
        <v>6</v>
      </c>
      <c r="AO1277" s="175">
        <v>130</v>
      </c>
      <c r="AP1277" s="175">
        <v>59</v>
      </c>
      <c r="AQ1277" s="175">
        <v>6</v>
      </c>
      <c r="AR1277" s="175">
        <v>5</v>
      </c>
      <c r="AS1277" s="175">
        <v>71</v>
      </c>
      <c r="AT1277" s="175">
        <v>10</v>
      </c>
    </row>
    <row r="1278" spans="1:46">
      <c r="A1278">
        <v>25327</v>
      </c>
      <c r="B1278" t="s">
        <v>8068</v>
      </c>
      <c r="C1278" t="s">
        <v>8069</v>
      </c>
      <c r="D1278" t="s">
        <v>8070</v>
      </c>
      <c r="E1278" t="s">
        <v>8071</v>
      </c>
      <c r="F1278" t="s">
        <v>1242</v>
      </c>
      <c r="G1278" t="s">
        <v>737</v>
      </c>
      <c r="H1278" t="s">
        <v>449</v>
      </c>
      <c r="J1278" t="s">
        <v>605</v>
      </c>
      <c r="K1278" t="s">
        <v>606</v>
      </c>
      <c r="M1278" t="s">
        <v>607</v>
      </c>
      <c r="N1278" t="s">
        <v>657</v>
      </c>
      <c r="O1278" t="s">
        <v>942</v>
      </c>
      <c r="P1278" t="s">
        <v>739</v>
      </c>
      <c r="Q1278" t="s">
        <v>467</v>
      </c>
      <c r="R1278" t="s">
        <v>793</v>
      </c>
      <c r="S1278" t="s">
        <v>943</v>
      </c>
      <c r="T1278" t="s">
        <v>794</v>
      </c>
      <c r="U1278">
        <v>137000</v>
      </c>
      <c r="V1278" t="s">
        <v>4708</v>
      </c>
      <c r="W1278" t="s">
        <v>945</v>
      </c>
      <c r="X1278" t="s">
        <v>727</v>
      </c>
      <c r="Y1278" t="s">
        <v>728</v>
      </c>
      <c r="Z1278" t="s">
        <v>729</v>
      </c>
      <c r="AA1278" t="s">
        <v>730</v>
      </c>
      <c r="AB1278" t="s">
        <v>731</v>
      </c>
      <c r="AC1278">
        <v>99150</v>
      </c>
      <c r="AD1278" t="s">
        <v>946</v>
      </c>
      <c r="AE1278">
        <v>-36.887733279999999</v>
      </c>
      <c r="AF1278">
        <v>174.73534369999999</v>
      </c>
      <c r="AG1278" s="175">
        <v>40</v>
      </c>
      <c r="AH1278" s="175">
        <v>0</v>
      </c>
      <c r="AI1278" s="175">
        <v>0</v>
      </c>
      <c r="AJ1278" s="175">
        <v>0</v>
      </c>
      <c r="AK1278" s="175">
        <v>6</v>
      </c>
      <c r="AL1278" s="175">
        <v>18</v>
      </c>
      <c r="AM1278" s="175">
        <v>22</v>
      </c>
      <c r="AN1278" s="175">
        <v>0</v>
      </c>
      <c r="AO1278" s="175">
        <v>46</v>
      </c>
      <c r="AP1278" s="175">
        <v>32</v>
      </c>
      <c r="AQ1278" s="175">
        <v>2</v>
      </c>
      <c r="AR1278" s="175">
        <v>7</v>
      </c>
      <c r="AS1278" s="175">
        <v>16</v>
      </c>
      <c r="AT1278" s="175">
        <v>3</v>
      </c>
    </row>
    <row r="1279" spans="1:46">
      <c r="A1279">
        <v>25328</v>
      </c>
      <c r="B1279" t="s">
        <v>8072</v>
      </c>
      <c r="C1279" t="s">
        <v>8073</v>
      </c>
      <c r="E1279" t="s">
        <v>8074</v>
      </c>
      <c r="F1279" t="s">
        <v>4722</v>
      </c>
      <c r="G1279" t="s">
        <v>737</v>
      </c>
      <c r="H1279" t="s">
        <v>449</v>
      </c>
      <c r="J1279" t="s">
        <v>4032</v>
      </c>
      <c r="K1279" t="s">
        <v>606</v>
      </c>
      <c r="M1279" t="s">
        <v>607</v>
      </c>
      <c r="N1279" t="s">
        <v>4586</v>
      </c>
      <c r="O1279" t="s">
        <v>1042</v>
      </c>
      <c r="P1279" t="s">
        <v>739</v>
      </c>
      <c r="Q1279" t="s">
        <v>467</v>
      </c>
      <c r="R1279" t="s">
        <v>793</v>
      </c>
      <c r="S1279" t="s">
        <v>1043</v>
      </c>
      <c r="T1279" t="s">
        <v>794</v>
      </c>
      <c r="U1279">
        <v>130200</v>
      </c>
      <c r="V1279" t="s">
        <v>8075</v>
      </c>
      <c r="W1279" t="s">
        <v>1044</v>
      </c>
      <c r="X1279" t="s">
        <v>5302</v>
      </c>
      <c r="Y1279" t="s">
        <v>4756</v>
      </c>
      <c r="Z1279" t="s">
        <v>4757</v>
      </c>
      <c r="AA1279" t="s">
        <v>4758</v>
      </c>
      <c r="AB1279" t="s">
        <v>5303</v>
      </c>
      <c r="AE1279">
        <v>-36.842836869999999</v>
      </c>
      <c r="AF1279">
        <v>174.74212650000001</v>
      </c>
      <c r="AG1279" s="175">
        <v>75</v>
      </c>
      <c r="AH1279" s="175">
        <v>25</v>
      </c>
      <c r="AI1279" s="175">
        <v>3</v>
      </c>
      <c r="AJ1279" s="175">
        <v>27</v>
      </c>
      <c r="AK1279" s="175">
        <v>21</v>
      </c>
      <c r="AL1279" s="175">
        <v>22</v>
      </c>
      <c r="AM1279" s="175">
        <v>11</v>
      </c>
      <c r="AN1279" s="175">
        <v>0</v>
      </c>
      <c r="AO1279" s="175">
        <v>84</v>
      </c>
      <c r="AP1279" s="175">
        <v>80</v>
      </c>
      <c r="AQ1279" s="175">
        <v>7</v>
      </c>
      <c r="AR1279" s="175">
        <v>1</v>
      </c>
      <c r="AS1279" s="175">
        <v>7</v>
      </c>
      <c r="AT1279" s="175">
        <v>5</v>
      </c>
    </row>
    <row r="1280" spans="1:46">
      <c r="A1280">
        <v>25329</v>
      </c>
      <c r="B1280" t="s">
        <v>8076</v>
      </c>
      <c r="C1280" t="s">
        <v>8077</v>
      </c>
      <c r="E1280" t="s">
        <v>8078</v>
      </c>
      <c r="F1280" t="s">
        <v>957</v>
      </c>
      <c r="G1280" t="s">
        <v>737</v>
      </c>
      <c r="H1280" t="s">
        <v>449</v>
      </c>
      <c r="J1280" t="s">
        <v>4032</v>
      </c>
      <c r="K1280" t="s">
        <v>606</v>
      </c>
      <c r="M1280" t="s">
        <v>607</v>
      </c>
      <c r="N1280" t="s">
        <v>657</v>
      </c>
      <c r="O1280" t="s">
        <v>958</v>
      </c>
      <c r="P1280" t="s">
        <v>739</v>
      </c>
      <c r="Q1280" t="s">
        <v>467</v>
      </c>
      <c r="R1280" t="s">
        <v>724</v>
      </c>
      <c r="S1280" t="s">
        <v>804</v>
      </c>
      <c r="T1280" t="s">
        <v>794</v>
      </c>
      <c r="U1280">
        <v>131500</v>
      </c>
      <c r="V1280" t="s">
        <v>6311</v>
      </c>
      <c r="W1280" t="s">
        <v>900</v>
      </c>
      <c r="X1280" t="s">
        <v>8079</v>
      </c>
      <c r="Y1280" t="s">
        <v>8080</v>
      </c>
      <c r="AA1280" t="s">
        <v>8081</v>
      </c>
      <c r="AB1280" t="s">
        <v>8082</v>
      </c>
      <c r="AE1280">
        <v>-36.909308029999998</v>
      </c>
      <c r="AF1280">
        <v>174.64739976999999</v>
      </c>
      <c r="AG1280" s="175">
        <v>40</v>
      </c>
      <c r="AH1280" s="175">
        <v>12</v>
      </c>
      <c r="AI1280" s="175">
        <v>2</v>
      </c>
      <c r="AJ1280" s="175">
        <v>6</v>
      </c>
      <c r="AK1280" s="175">
        <v>5</v>
      </c>
      <c r="AL1280" s="175">
        <v>10</v>
      </c>
      <c r="AM1280" s="175">
        <v>4</v>
      </c>
      <c r="AN1280" s="175">
        <v>0</v>
      </c>
      <c r="AO1280" s="175">
        <v>27</v>
      </c>
      <c r="AP1280" s="175">
        <v>12</v>
      </c>
      <c r="AQ1280" s="175">
        <v>10</v>
      </c>
      <c r="AR1280" s="175">
        <v>9</v>
      </c>
      <c r="AS1280" s="175">
        <v>7</v>
      </c>
      <c r="AT1280" s="175">
        <v>0</v>
      </c>
    </row>
    <row r="1281" spans="1:46">
      <c r="A1281">
        <v>25331</v>
      </c>
      <c r="B1281" t="s">
        <v>8083</v>
      </c>
      <c r="C1281" t="s">
        <v>8084</v>
      </c>
      <c r="D1281" t="s">
        <v>4092</v>
      </c>
      <c r="E1281" t="s">
        <v>8085</v>
      </c>
      <c r="G1281" t="s">
        <v>8086</v>
      </c>
      <c r="H1281" t="s">
        <v>449</v>
      </c>
      <c r="J1281" t="s">
        <v>4032</v>
      </c>
      <c r="K1281" t="s">
        <v>606</v>
      </c>
      <c r="M1281" t="s">
        <v>607</v>
      </c>
      <c r="N1281" t="s">
        <v>657</v>
      </c>
      <c r="O1281" t="s">
        <v>1318</v>
      </c>
      <c r="P1281" t="s">
        <v>610</v>
      </c>
      <c r="Q1281" t="s">
        <v>467</v>
      </c>
      <c r="R1281" t="s">
        <v>814</v>
      </c>
      <c r="S1281" t="s">
        <v>1331</v>
      </c>
      <c r="T1281" t="s">
        <v>1320</v>
      </c>
      <c r="U1281">
        <v>159401</v>
      </c>
      <c r="V1281" t="s">
        <v>8086</v>
      </c>
      <c r="W1281" t="s">
        <v>1322</v>
      </c>
      <c r="X1281" t="s">
        <v>8087</v>
      </c>
      <c r="Y1281" t="s">
        <v>4096</v>
      </c>
      <c r="Z1281" t="s">
        <v>3986</v>
      </c>
      <c r="AA1281" t="s">
        <v>4097</v>
      </c>
      <c r="AB1281" t="s">
        <v>4098</v>
      </c>
      <c r="AE1281">
        <v>-37.134043480000003</v>
      </c>
      <c r="AF1281">
        <v>174.70786084</v>
      </c>
      <c r="AG1281" s="175">
        <v>39</v>
      </c>
      <c r="AH1281" s="175">
        <v>5</v>
      </c>
      <c r="AI1281" s="175">
        <v>0</v>
      </c>
      <c r="AJ1281" s="175">
        <v>0</v>
      </c>
      <c r="AK1281" s="175">
        <v>1</v>
      </c>
      <c r="AL1281" s="175">
        <v>20</v>
      </c>
      <c r="AM1281" s="175">
        <v>24</v>
      </c>
      <c r="AN1281" s="175">
        <v>9</v>
      </c>
      <c r="AO1281" s="175">
        <v>54</v>
      </c>
      <c r="AP1281" s="175">
        <v>51</v>
      </c>
      <c r="AQ1281" s="175">
        <v>6</v>
      </c>
      <c r="AR1281" s="175">
        <v>3</v>
      </c>
      <c r="AS1281" s="175">
        <v>5</v>
      </c>
      <c r="AT1281" s="175">
        <v>1</v>
      </c>
    </row>
    <row r="1282" spans="1:46">
      <c r="A1282">
        <v>25335</v>
      </c>
      <c r="B1282" t="s">
        <v>8088</v>
      </c>
      <c r="C1282" t="s">
        <v>8089</v>
      </c>
      <c r="D1282" t="s">
        <v>8090</v>
      </c>
      <c r="E1282" t="s">
        <v>8091</v>
      </c>
      <c r="F1282" t="s">
        <v>1187</v>
      </c>
      <c r="G1282" t="s">
        <v>737</v>
      </c>
      <c r="H1282" t="s">
        <v>449</v>
      </c>
      <c r="J1282" t="s">
        <v>4032</v>
      </c>
      <c r="K1282" t="s">
        <v>606</v>
      </c>
      <c r="M1282" t="s">
        <v>607</v>
      </c>
      <c r="N1282" t="s">
        <v>4586</v>
      </c>
      <c r="O1282" t="s">
        <v>1042</v>
      </c>
      <c r="P1282" t="s">
        <v>739</v>
      </c>
      <c r="Q1282" t="s">
        <v>467</v>
      </c>
      <c r="R1282" t="s">
        <v>793</v>
      </c>
      <c r="S1282" t="s">
        <v>1043</v>
      </c>
      <c r="T1282" t="s">
        <v>794</v>
      </c>
      <c r="U1282">
        <v>131200</v>
      </c>
      <c r="V1282" t="s">
        <v>1188</v>
      </c>
      <c r="W1282" t="s">
        <v>1044</v>
      </c>
      <c r="X1282" t="s">
        <v>8092</v>
      </c>
      <c r="Y1282" t="s">
        <v>8093</v>
      </c>
      <c r="Z1282" t="s">
        <v>1187</v>
      </c>
      <c r="AA1282" t="s">
        <v>6874</v>
      </c>
      <c r="AB1282" t="s">
        <v>8089</v>
      </c>
      <c r="AE1282">
        <v>-36.853661090000003</v>
      </c>
      <c r="AF1282">
        <v>174.74009307</v>
      </c>
      <c r="AG1282" s="175">
        <v>50</v>
      </c>
      <c r="AH1282" s="175">
        <v>20</v>
      </c>
      <c r="AI1282" s="175">
        <v>1</v>
      </c>
      <c r="AJ1282" s="175">
        <v>11</v>
      </c>
      <c r="AK1282" s="175">
        <v>10</v>
      </c>
      <c r="AL1282" s="175">
        <v>9</v>
      </c>
      <c r="AM1282" s="175">
        <v>14</v>
      </c>
      <c r="AN1282" s="175">
        <v>0</v>
      </c>
      <c r="AO1282" s="175">
        <v>45</v>
      </c>
      <c r="AP1282" s="175">
        <v>41</v>
      </c>
      <c r="AQ1282" s="175">
        <v>4</v>
      </c>
      <c r="AR1282" s="175">
        <v>3</v>
      </c>
      <c r="AS1282" s="175">
        <v>7</v>
      </c>
      <c r="AT1282" s="175">
        <v>4</v>
      </c>
    </row>
    <row r="1283" spans="1:46">
      <c r="A1283">
        <v>25337</v>
      </c>
      <c r="B1283" t="s">
        <v>8094</v>
      </c>
      <c r="C1283" t="s">
        <v>8095</v>
      </c>
      <c r="D1283" t="s">
        <v>8096</v>
      </c>
      <c r="E1283" t="s">
        <v>8097</v>
      </c>
      <c r="F1283" t="s">
        <v>4272</v>
      </c>
      <c r="G1283" t="s">
        <v>737</v>
      </c>
      <c r="H1283" t="s">
        <v>449</v>
      </c>
      <c r="J1283" t="s">
        <v>605</v>
      </c>
      <c r="K1283" t="s">
        <v>606</v>
      </c>
      <c r="M1283" t="s">
        <v>607</v>
      </c>
      <c r="N1283" t="s">
        <v>625</v>
      </c>
      <c r="O1283" t="s">
        <v>813</v>
      </c>
      <c r="P1283" t="s">
        <v>739</v>
      </c>
      <c r="Q1283" t="s">
        <v>467</v>
      </c>
      <c r="R1283" t="s">
        <v>814</v>
      </c>
      <c r="S1283" t="s">
        <v>1121</v>
      </c>
      <c r="T1283" t="s">
        <v>794</v>
      </c>
      <c r="U1283">
        <v>155500</v>
      </c>
      <c r="V1283" t="s">
        <v>4405</v>
      </c>
      <c r="W1283" t="s">
        <v>817</v>
      </c>
      <c r="X1283" t="s">
        <v>4013</v>
      </c>
      <c r="Y1283" t="s">
        <v>4014</v>
      </c>
      <c r="Z1283" t="s">
        <v>4015</v>
      </c>
      <c r="AA1283" t="s">
        <v>4016</v>
      </c>
      <c r="AB1283" t="s">
        <v>4017</v>
      </c>
      <c r="AE1283">
        <v>-36.982075039999998</v>
      </c>
      <c r="AF1283">
        <v>174.87739680000001</v>
      </c>
      <c r="AG1283" s="175">
        <v>100</v>
      </c>
      <c r="AH1283" s="175">
        <v>15</v>
      </c>
      <c r="AI1283" s="175">
        <v>3</v>
      </c>
      <c r="AJ1283" s="175">
        <v>9</v>
      </c>
      <c r="AK1283" s="175">
        <v>22</v>
      </c>
      <c r="AL1283" s="175">
        <v>34</v>
      </c>
      <c r="AM1283" s="175">
        <v>45</v>
      </c>
      <c r="AN1283" s="175">
        <v>3</v>
      </c>
      <c r="AO1283" s="175">
        <v>116</v>
      </c>
      <c r="AP1283" s="175">
        <v>11</v>
      </c>
      <c r="AQ1283" s="175">
        <v>13</v>
      </c>
      <c r="AR1283" s="175">
        <v>25</v>
      </c>
      <c r="AS1283" s="175">
        <v>78</v>
      </c>
      <c r="AT1283" s="175">
        <v>7</v>
      </c>
    </row>
    <row r="1284" spans="1:46">
      <c r="A1284">
        <v>25338</v>
      </c>
      <c r="B1284" t="s">
        <v>8098</v>
      </c>
      <c r="C1284" t="s">
        <v>8099</v>
      </c>
      <c r="D1284" t="s">
        <v>8100</v>
      </c>
      <c r="E1284" t="s">
        <v>8101</v>
      </c>
      <c r="F1284" t="s">
        <v>3864</v>
      </c>
      <c r="G1284" t="s">
        <v>737</v>
      </c>
      <c r="H1284" t="s">
        <v>449</v>
      </c>
      <c r="J1284" t="s">
        <v>4032</v>
      </c>
      <c r="K1284" t="s">
        <v>606</v>
      </c>
      <c r="M1284" t="s">
        <v>607</v>
      </c>
      <c r="N1284" t="s">
        <v>812</v>
      </c>
      <c r="O1284" t="s">
        <v>1301</v>
      </c>
      <c r="P1284" t="s">
        <v>739</v>
      </c>
      <c r="Q1284" t="s">
        <v>467</v>
      </c>
      <c r="R1284" t="s">
        <v>814</v>
      </c>
      <c r="S1284" t="s">
        <v>1121</v>
      </c>
      <c r="T1284" t="s">
        <v>794</v>
      </c>
      <c r="U1284">
        <v>158401</v>
      </c>
      <c r="V1284" t="s">
        <v>3865</v>
      </c>
      <c r="W1284" t="s">
        <v>1304</v>
      </c>
      <c r="X1284" t="s">
        <v>8102</v>
      </c>
      <c r="Y1284" t="s">
        <v>8103</v>
      </c>
      <c r="AA1284" t="s">
        <v>8104</v>
      </c>
      <c r="AB1284" t="s">
        <v>8105</v>
      </c>
      <c r="AC1284">
        <v>99187</v>
      </c>
      <c r="AD1284" t="s">
        <v>1342</v>
      </c>
      <c r="AE1284">
        <v>-37.000121239999999</v>
      </c>
      <c r="AF1284">
        <v>174.88496307</v>
      </c>
      <c r="AG1284" s="175">
        <v>40</v>
      </c>
      <c r="AH1284" s="175">
        <v>10</v>
      </c>
      <c r="AI1284" s="175">
        <v>7</v>
      </c>
      <c r="AJ1284" s="175">
        <v>4</v>
      </c>
      <c r="AK1284" s="175">
        <v>15</v>
      </c>
      <c r="AL1284" s="175">
        <v>7</v>
      </c>
      <c r="AM1284" s="175">
        <v>12</v>
      </c>
      <c r="AN1284" s="175">
        <v>1</v>
      </c>
      <c r="AO1284" s="175">
        <v>46</v>
      </c>
      <c r="AP1284" s="175">
        <v>0</v>
      </c>
      <c r="AQ1284" s="175">
        <v>11</v>
      </c>
      <c r="AR1284" s="175">
        <v>29</v>
      </c>
      <c r="AS1284" s="175">
        <v>14</v>
      </c>
      <c r="AT1284" s="175">
        <v>0</v>
      </c>
    </row>
    <row r="1285" spans="1:46">
      <c r="A1285">
        <v>25340</v>
      </c>
      <c r="B1285" t="s">
        <v>8106</v>
      </c>
      <c r="C1285" t="s">
        <v>8107</v>
      </c>
      <c r="D1285" t="s">
        <v>8108</v>
      </c>
      <c r="E1285" t="s">
        <v>8109</v>
      </c>
      <c r="F1285" t="s">
        <v>811</v>
      </c>
      <c r="G1285" t="s">
        <v>737</v>
      </c>
      <c r="H1285" t="s">
        <v>449</v>
      </c>
      <c r="J1285" t="s">
        <v>605</v>
      </c>
      <c r="K1285" t="s">
        <v>606</v>
      </c>
      <c r="M1285" t="s">
        <v>607</v>
      </c>
      <c r="N1285" t="s">
        <v>812</v>
      </c>
      <c r="O1285" t="s">
        <v>813</v>
      </c>
      <c r="P1285" t="s">
        <v>739</v>
      </c>
      <c r="Q1285" t="s">
        <v>467</v>
      </c>
      <c r="R1285" t="s">
        <v>814</v>
      </c>
      <c r="S1285" t="s">
        <v>815</v>
      </c>
      <c r="T1285" t="s">
        <v>794</v>
      </c>
      <c r="U1285">
        <v>154400</v>
      </c>
      <c r="V1285" t="s">
        <v>7416</v>
      </c>
      <c r="W1285" t="s">
        <v>817</v>
      </c>
      <c r="X1285" t="s">
        <v>727</v>
      </c>
      <c r="Y1285" t="s">
        <v>728</v>
      </c>
      <c r="Z1285" t="s">
        <v>729</v>
      </c>
      <c r="AA1285" t="s">
        <v>730</v>
      </c>
      <c r="AB1285" t="s">
        <v>731</v>
      </c>
      <c r="AC1285">
        <v>99199</v>
      </c>
      <c r="AD1285" t="s">
        <v>8110</v>
      </c>
      <c r="AE1285">
        <v>-36.953533909999997</v>
      </c>
      <c r="AF1285">
        <v>174.87233155000001</v>
      </c>
      <c r="AG1285" s="175">
        <v>50</v>
      </c>
      <c r="AH1285" s="175">
        <v>12</v>
      </c>
      <c r="AI1285" s="175">
        <v>0</v>
      </c>
      <c r="AJ1285" s="175">
        <v>0</v>
      </c>
      <c r="AK1285" s="175">
        <v>11</v>
      </c>
      <c r="AL1285" s="175">
        <v>6</v>
      </c>
      <c r="AM1285" s="175">
        <v>20</v>
      </c>
      <c r="AN1285" s="175">
        <v>1</v>
      </c>
      <c r="AO1285" s="175">
        <v>38</v>
      </c>
      <c r="AP1285" s="175">
        <v>1</v>
      </c>
      <c r="AQ1285" s="175">
        <v>14</v>
      </c>
      <c r="AR1285" s="175">
        <v>27</v>
      </c>
      <c r="AS1285" s="175">
        <v>5</v>
      </c>
      <c r="AT1285" s="175">
        <v>0</v>
      </c>
    </row>
    <row r="1286" spans="1:46">
      <c r="A1286">
        <v>25341</v>
      </c>
      <c r="B1286" t="s">
        <v>8111</v>
      </c>
      <c r="C1286" t="s">
        <v>8112</v>
      </c>
      <c r="D1286" t="s">
        <v>8113</v>
      </c>
      <c r="E1286" t="s">
        <v>8114</v>
      </c>
      <c r="F1286" t="s">
        <v>1144</v>
      </c>
      <c r="G1286" t="s">
        <v>737</v>
      </c>
      <c r="H1286" t="s">
        <v>449</v>
      </c>
      <c r="I1286" t="s">
        <v>470</v>
      </c>
      <c r="J1286" t="s">
        <v>605</v>
      </c>
      <c r="K1286" t="s">
        <v>606</v>
      </c>
      <c r="M1286" t="s">
        <v>607</v>
      </c>
      <c r="N1286" t="s">
        <v>643</v>
      </c>
      <c r="O1286" t="s">
        <v>889</v>
      </c>
      <c r="P1286" t="s">
        <v>739</v>
      </c>
      <c r="Q1286" t="s">
        <v>467</v>
      </c>
      <c r="R1286" t="s">
        <v>793</v>
      </c>
      <c r="S1286" t="s">
        <v>965</v>
      </c>
      <c r="T1286" t="s">
        <v>794</v>
      </c>
      <c r="U1286">
        <v>140100</v>
      </c>
      <c r="V1286" t="s">
        <v>6894</v>
      </c>
      <c r="W1286" t="s">
        <v>909</v>
      </c>
      <c r="X1286" t="s">
        <v>8115</v>
      </c>
      <c r="Y1286" t="s">
        <v>8116</v>
      </c>
      <c r="Z1286" t="s">
        <v>1144</v>
      </c>
      <c r="AA1286" t="s">
        <v>4498</v>
      </c>
      <c r="AB1286" t="s">
        <v>8112</v>
      </c>
      <c r="AE1286">
        <v>-36.849918809999998</v>
      </c>
      <c r="AF1286">
        <v>174.82280686999999</v>
      </c>
      <c r="AG1286" s="175">
        <v>45</v>
      </c>
      <c r="AH1286" s="175">
        <v>15</v>
      </c>
      <c r="AI1286" s="175">
        <v>0</v>
      </c>
      <c r="AJ1286" s="175">
        <v>1</v>
      </c>
      <c r="AK1286" s="175">
        <v>7</v>
      </c>
      <c r="AL1286" s="175">
        <v>6</v>
      </c>
      <c r="AM1286" s="175">
        <v>10</v>
      </c>
      <c r="AN1286" s="175">
        <v>0</v>
      </c>
      <c r="AO1286" s="175">
        <v>24</v>
      </c>
      <c r="AP1286" s="175">
        <v>6</v>
      </c>
      <c r="AQ1286" s="175">
        <v>23</v>
      </c>
      <c r="AR1286" s="175">
        <v>6</v>
      </c>
      <c r="AS1286" s="175">
        <v>2</v>
      </c>
      <c r="AT1286" s="175">
        <v>1</v>
      </c>
    </row>
    <row r="1287" spans="1:46">
      <c r="A1287">
        <v>25343</v>
      </c>
      <c r="B1287" t="s">
        <v>8117</v>
      </c>
      <c r="C1287" t="s">
        <v>8118</v>
      </c>
      <c r="D1287" t="s">
        <v>8119</v>
      </c>
      <c r="E1287" t="s">
        <v>8120</v>
      </c>
      <c r="F1287" t="s">
        <v>8121</v>
      </c>
      <c r="G1287" t="s">
        <v>737</v>
      </c>
      <c r="H1287" t="s">
        <v>449</v>
      </c>
      <c r="J1287" t="s">
        <v>605</v>
      </c>
      <c r="K1287" t="s">
        <v>606</v>
      </c>
      <c r="M1287" t="s">
        <v>607</v>
      </c>
      <c r="N1287" t="s">
        <v>657</v>
      </c>
      <c r="O1287" t="s">
        <v>942</v>
      </c>
      <c r="P1287" t="s">
        <v>739</v>
      </c>
      <c r="Q1287" t="s">
        <v>467</v>
      </c>
      <c r="R1287" t="s">
        <v>793</v>
      </c>
      <c r="S1287" t="s">
        <v>943</v>
      </c>
      <c r="T1287" t="s">
        <v>794</v>
      </c>
      <c r="U1287">
        <v>135800</v>
      </c>
      <c r="V1287" t="s">
        <v>8121</v>
      </c>
      <c r="W1287" t="s">
        <v>945</v>
      </c>
      <c r="X1287" t="s">
        <v>4013</v>
      </c>
      <c r="Y1287" t="s">
        <v>4014</v>
      </c>
      <c r="Z1287" t="s">
        <v>4015</v>
      </c>
      <c r="AA1287" t="s">
        <v>4016</v>
      </c>
      <c r="AB1287" t="s">
        <v>4017</v>
      </c>
      <c r="AE1287">
        <v>-36.884779539999997</v>
      </c>
      <c r="AF1287">
        <v>174.73118776000001</v>
      </c>
      <c r="AG1287" s="175">
        <v>98</v>
      </c>
      <c r="AH1287" s="175">
        <v>20</v>
      </c>
      <c r="AI1287" s="175">
        <v>2</v>
      </c>
      <c r="AJ1287" s="175">
        <v>14</v>
      </c>
      <c r="AK1287" s="175">
        <v>20</v>
      </c>
      <c r="AL1287" s="175">
        <v>16</v>
      </c>
      <c r="AM1287" s="175">
        <v>16</v>
      </c>
      <c r="AN1287" s="175">
        <v>0</v>
      </c>
      <c r="AO1287" s="175">
        <v>68</v>
      </c>
      <c r="AP1287" s="175">
        <v>9</v>
      </c>
      <c r="AQ1287" s="175">
        <v>5</v>
      </c>
      <c r="AR1287" s="175">
        <v>11</v>
      </c>
      <c r="AS1287" s="175">
        <v>52</v>
      </c>
      <c r="AT1287" s="175">
        <v>3</v>
      </c>
    </row>
    <row r="1288" spans="1:46">
      <c r="A1288">
        <v>25345</v>
      </c>
      <c r="B1288" t="s">
        <v>8122</v>
      </c>
      <c r="C1288" t="s">
        <v>8123</v>
      </c>
      <c r="D1288" t="s">
        <v>8124</v>
      </c>
      <c r="E1288" t="s">
        <v>8125</v>
      </c>
      <c r="G1288" t="s">
        <v>1330</v>
      </c>
      <c r="H1288" t="s">
        <v>449</v>
      </c>
      <c r="J1288" t="s">
        <v>605</v>
      </c>
      <c r="K1288" t="s">
        <v>606</v>
      </c>
      <c r="M1288" t="s">
        <v>607</v>
      </c>
      <c r="N1288" t="s">
        <v>657</v>
      </c>
      <c r="O1288" t="s">
        <v>1318</v>
      </c>
      <c r="P1288" t="s">
        <v>610</v>
      </c>
      <c r="Q1288" t="s">
        <v>467</v>
      </c>
      <c r="R1288" t="s">
        <v>814</v>
      </c>
      <c r="S1288" t="s">
        <v>1331</v>
      </c>
      <c r="T1288" t="s">
        <v>1320</v>
      </c>
      <c r="U1288">
        <v>164401</v>
      </c>
      <c r="V1288" t="s">
        <v>7582</v>
      </c>
      <c r="W1288" t="s">
        <v>1322</v>
      </c>
      <c r="X1288" t="s">
        <v>4013</v>
      </c>
      <c r="Y1288" t="s">
        <v>4014</v>
      </c>
      <c r="Z1288" t="s">
        <v>4015</v>
      </c>
      <c r="AA1288" t="s">
        <v>4016</v>
      </c>
      <c r="AB1288" t="s">
        <v>4017</v>
      </c>
      <c r="AC1288">
        <v>99033</v>
      </c>
      <c r="AD1288" t="s">
        <v>1333</v>
      </c>
      <c r="AE1288">
        <v>-37.246332770000002</v>
      </c>
      <c r="AF1288">
        <v>174.72159250000001</v>
      </c>
      <c r="AG1288" s="175">
        <v>128</v>
      </c>
      <c r="AH1288" s="175">
        <v>24</v>
      </c>
      <c r="AI1288" s="175">
        <v>2</v>
      </c>
      <c r="AJ1288" s="175">
        <v>17</v>
      </c>
      <c r="AK1288" s="175">
        <v>26</v>
      </c>
      <c r="AL1288" s="175">
        <v>40</v>
      </c>
      <c r="AM1288" s="175">
        <v>23</v>
      </c>
      <c r="AN1288" s="175">
        <v>0</v>
      </c>
      <c r="AO1288" s="175">
        <v>108</v>
      </c>
      <c r="AP1288" s="175">
        <v>90</v>
      </c>
      <c r="AQ1288" s="175">
        <v>33</v>
      </c>
      <c r="AR1288" s="175">
        <v>13</v>
      </c>
      <c r="AS1288" s="175">
        <v>17</v>
      </c>
      <c r="AT1288" s="175">
        <v>6</v>
      </c>
    </row>
    <row r="1289" spans="1:46">
      <c r="A1289">
        <v>25347</v>
      </c>
      <c r="B1289" t="s">
        <v>8126</v>
      </c>
      <c r="C1289" t="s">
        <v>8127</v>
      </c>
      <c r="D1289" t="s">
        <v>8128</v>
      </c>
      <c r="E1289" t="s">
        <v>8129</v>
      </c>
      <c r="F1289" t="s">
        <v>888</v>
      </c>
      <c r="G1289" t="s">
        <v>737</v>
      </c>
      <c r="H1289" t="s">
        <v>449</v>
      </c>
      <c r="J1289" t="s">
        <v>4032</v>
      </c>
      <c r="K1289" t="s">
        <v>606</v>
      </c>
      <c r="M1289" t="s">
        <v>607</v>
      </c>
      <c r="N1289" t="s">
        <v>657</v>
      </c>
      <c r="O1289" t="s">
        <v>889</v>
      </c>
      <c r="P1289" t="s">
        <v>739</v>
      </c>
      <c r="Q1289" t="s">
        <v>467</v>
      </c>
      <c r="R1289" t="s">
        <v>793</v>
      </c>
      <c r="S1289" t="s">
        <v>890</v>
      </c>
      <c r="T1289" t="s">
        <v>794</v>
      </c>
      <c r="U1289">
        <v>143301</v>
      </c>
      <c r="V1289" t="s">
        <v>4299</v>
      </c>
      <c r="W1289" t="s">
        <v>892</v>
      </c>
      <c r="X1289" t="s">
        <v>8130</v>
      </c>
      <c r="Y1289" t="s">
        <v>8129</v>
      </c>
      <c r="Z1289" t="s">
        <v>888</v>
      </c>
      <c r="AA1289" t="s">
        <v>4834</v>
      </c>
      <c r="AB1289" t="s">
        <v>8127</v>
      </c>
      <c r="AE1289">
        <v>-36.8969971</v>
      </c>
      <c r="AF1289">
        <v>174.81134940000001</v>
      </c>
      <c r="AG1289" s="175">
        <v>36</v>
      </c>
      <c r="AH1289" s="175">
        <v>0</v>
      </c>
      <c r="AI1289" s="175">
        <v>0</v>
      </c>
      <c r="AJ1289" s="175">
        <v>0</v>
      </c>
      <c r="AK1289" s="175">
        <v>4</v>
      </c>
      <c r="AL1289" s="175">
        <v>14</v>
      </c>
      <c r="AM1289" s="175">
        <v>15</v>
      </c>
      <c r="AN1289" s="175">
        <v>0</v>
      </c>
      <c r="AO1289" s="175">
        <v>33</v>
      </c>
      <c r="AP1289" s="175">
        <v>24</v>
      </c>
      <c r="AQ1289" s="175">
        <v>2</v>
      </c>
      <c r="AR1289" s="175">
        <v>1</v>
      </c>
      <c r="AS1289" s="175">
        <v>7</v>
      </c>
      <c r="AT1289" s="175">
        <v>7</v>
      </c>
    </row>
    <row r="1290" spans="1:46">
      <c r="A1290">
        <v>25349</v>
      </c>
      <c r="B1290" t="s">
        <v>8131</v>
      </c>
      <c r="C1290" t="s">
        <v>8132</v>
      </c>
      <c r="D1290" t="s">
        <v>8133</v>
      </c>
      <c r="E1290" t="s">
        <v>8134</v>
      </c>
      <c r="G1290" t="s">
        <v>7725</v>
      </c>
      <c r="H1290" t="s">
        <v>449</v>
      </c>
      <c r="J1290" t="s">
        <v>4032</v>
      </c>
      <c r="K1290" t="s">
        <v>606</v>
      </c>
      <c r="M1290" t="s">
        <v>607</v>
      </c>
      <c r="N1290" t="s">
        <v>657</v>
      </c>
      <c r="O1290" t="s">
        <v>1318</v>
      </c>
      <c r="P1290" t="s">
        <v>658</v>
      </c>
      <c r="Q1290" t="s">
        <v>467</v>
      </c>
      <c r="R1290" t="s">
        <v>793</v>
      </c>
      <c r="S1290" t="s">
        <v>1319</v>
      </c>
      <c r="T1290" t="s">
        <v>1320</v>
      </c>
      <c r="U1290">
        <v>157101</v>
      </c>
      <c r="V1290" t="s">
        <v>7904</v>
      </c>
      <c r="W1290" t="s">
        <v>1322</v>
      </c>
      <c r="X1290" t="s">
        <v>8135</v>
      </c>
      <c r="Y1290" t="s">
        <v>8136</v>
      </c>
      <c r="Z1290" t="s">
        <v>7725</v>
      </c>
      <c r="AA1290" t="s">
        <v>8137</v>
      </c>
      <c r="AB1290" t="s">
        <v>8138</v>
      </c>
      <c r="AC1290">
        <v>99119</v>
      </c>
      <c r="AD1290" t="s">
        <v>865</v>
      </c>
      <c r="AE1290">
        <v>-36.944889580000002</v>
      </c>
      <c r="AF1290">
        <v>174.95658509</v>
      </c>
      <c r="AG1290" s="175">
        <v>107</v>
      </c>
      <c r="AH1290" s="175">
        <v>25</v>
      </c>
      <c r="AI1290" s="175">
        <v>4</v>
      </c>
      <c r="AJ1290" s="175">
        <v>26</v>
      </c>
      <c r="AK1290" s="175">
        <v>22</v>
      </c>
      <c r="AL1290" s="175">
        <v>16</v>
      </c>
      <c r="AM1290" s="175">
        <v>29</v>
      </c>
      <c r="AN1290" s="175">
        <v>1</v>
      </c>
      <c r="AO1290" s="175">
        <v>98</v>
      </c>
      <c r="AP1290" s="175">
        <v>77</v>
      </c>
      <c r="AQ1290" s="175">
        <v>12</v>
      </c>
      <c r="AR1290" s="175">
        <v>4</v>
      </c>
      <c r="AS1290" s="175">
        <v>25</v>
      </c>
      <c r="AT1290" s="175">
        <v>5</v>
      </c>
    </row>
    <row r="1291" spans="1:46">
      <c r="A1291">
        <v>25351</v>
      </c>
      <c r="B1291" t="s">
        <v>8139</v>
      </c>
      <c r="C1291" t="s">
        <v>8140</v>
      </c>
      <c r="D1291" t="s">
        <v>8141</v>
      </c>
      <c r="E1291" t="s">
        <v>8142</v>
      </c>
      <c r="F1291" t="s">
        <v>983</v>
      </c>
      <c r="G1291" t="s">
        <v>737</v>
      </c>
      <c r="H1291" t="s">
        <v>449</v>
      </c>
      <c r="J1291" t="s">
        <v>4032</v>
      </c>
      <c r="K1291" t="s">
        <v>606</v>
      </c>
      <c r="M1291" t="s">
        <v>607</v>
      </c>
      <c r="N1291" t="s">
        <v>643</v>
      </c>
      <c r="O1291" t="s">
        <v>898</v>
      </c>
      <c r="P1291" t="s">
        <v>739</v>
      </c>
      <c r="Q1291" t="s">
        <v>467</v>
      </c>
      <c r="R1291" t="s">
        <v>724</v>
      </c>
      <c r="S1291" t="s">
        <v>984</v>
      </c>
      <c r="T1291" t="s">
        <v>613</v>
      </c>
      <c r="U1291">
        <v>125100</v>
      </c>
      <c r="V1291" t="s">
        <v>4372</v>
      </c>
      <c r="W1291" t="s">
        <v>900</v>
      </c>
      <c r="X1291" t="s">
        <v>8143</v>
      </c>
      <c r="Y1291" t="s">
        <v>8144</v>
      </c>
      <c r="Z1291" t="s">
        <v>983</v>
      </c>
      <c r="AA1291" t="s">
        <v>4034</v>
      </c>
      <c r="AB1291" t="s">
        <v>8140</v>
      </c>
      <c r="AE1291">
        <v>-36.853743799999997</v>
      </c>
      <c r="AF1291">
        <v>174.63765982999999</v>
      </c>
      <c r="AG1291" s="175">
        <v>82</v>
      </c>
      <c r="AH1291" s="175">
        <v>25</v>
      </c>
      <c r="AI1291" s="175">
        <v>3</v>
      </c>
      <c r="AJ1291" s="175">
        <v>3</v>
      </c>
      <c r="AK1291" s="175">
        <v>13</v>
      </c>
      <c r="AL1291" s="175">
        <v>16</v>
      </c>
      <c r="AM1291" s="175">
        <v>9</v>
      </c>
      <c r="AN1291" s="175">
        <v>0</v>
      </c>
      <c r="AO1291" s="175">
        <v>44</v>
      </c>
      <c r="AP1291" s="175">
        <v>33</v>
      </c>
      <c r="AQ1291" s="175">
        <v>10</v>
      </c>
      <c r="AR1291" s="175">
        <v>11</v>
      </c>
      <c r="AS1291" s="175">
        <v>11</v>
      </c>
      <c r="AT1291" s="175">
        <v>0</v>
      </c>
    </row>
    <row r="1292" spans="1:46">
      <c r="A1292">
        <v>25353</v>
      </c>
      <c r="B1292" t="s">
        <v>8145</v>
      </c>
      <c r="C1292" t="s">
        <v>8146</v>
      </c>
      <c r="D1292" t="s">
        <v>8147</v>
      </c>
      <c r="E1292" t="s">
        <v>8148</v>
      </c>
      <c r="F1292" t="s">
        <v>1120</v>
      </c>
      <c r="G1292" t="s">
        <v>737</v>
      </c>
      <c r="H1292" t="s">
        <v>449</v>
      </c>
      <c r="I1292" t="s">
        <v>8149</v>
      </c>
      <c r="J1292" t="s">
        <v>605</v>
      </c>
      <c r="K1292" t="s">
        <v>606</v>
      </c>
      <c r="M1292" t="s">
        <v>607</v>
      </c>
      <c r="N1292" t="s">
        <v>608</v>
      </c>
      <c r="O1292" t="s">
        <v>813</v>
      </c>
      <c r="P1292" t="s">
        <v>739</v>
      </c>
      <c r="Q1292" t="s">
        <v>467</v>
      </c>
      <c r="R1292" t="s">
        <v>814</v>
      </c>
      <c r="S1292" t="s">
        <v>1121</v>
      </c>
      <c r="T1292" t="s">
        <v>794</v>
      </c>
      <c r="U1292">
        <v>156500</v>
      </c>
      <c r="V1292" t="s">
        <v>4094</v>
      </c>
      <c r="W1292" t="s">
        <v>817</v>
      </c>
      <c r="X1292" t="s">
        <v>8150</v>
      </c>
      <c r="Y1292" t="s">
        <v>8151</v>
      </c>
      <c r="Z1292" t="s">
        <v>1120</v>
      </c>
      <c r="AA1292" t="s">
        <v>4417</v>
      </c>
      <c r="AB1292" t="s">
        <v>8152</v>
      </c>
      <c r="AE1292">
        <v>-36.980278300000002</v>
      </c>
      <c r="AF1292">
        <v>174.86111769999999</v>
      </c>
      <c r="AG1292" s="175">
        <v>40</v>
      </c>
      <c r="AH1292" s="175">
        <v>10</v>
      </c>
      <c r="AI1292" s="175">
        <v>3</v>
      </c>
      <c r="AJ1292" s="175">
        <v>4</v>
      </c>
      <c r="AK1292" s="175">
        <v>9</v>
      </c>
      <c r="AL1292" s="175">
        <v>8</v>
      </c>
      <c r="AM1292" s="175">
        <v>10</v>
      </c>
      <c r="AN1292" s="175">
        <v>1</v>
      </c>
      <c r="AO1292" s="175">
        <v>35</v>
      </c>
      <c r="AP1292" s="175">
        <v>1</v>
      </c>
      <c r="AQ1292" s="175">
        <v>3</v>
      </c>
      <c r="AR1292" s="175">
        <v>34</v>
      </c>
      <c r="AS1292" s="175">
        <v>1</v>
      </c>
      <c r="AT1292" s="175">
        <v>0</v>
      </c>
    </row>
    <row r="1293" spans="1:46">
      <c r="A1293">
        <v>25354</v>
      </c>
      <c r="B1293" t="s">
        <v>8153</v>
      </c>
      <c r="C1293" t="s">
        <v>8154</v>
      </c>
      <c r="D1293" t="s">
        <v>8155</v>
      </c>
      <c r="E1293" t="s">
        <v>8156</v>
      </c>
      <c r="F1293" t="s">
        <v>4272</v>
      </c>
      <c r="G1293" t="s">
        <v>737</v>
      </c>
      <c r="H1293" t="s">
        <v>449</v>
      </c>
      <c r="J1293" t="s">
        <v>605</v>
      </c>
      <c r="K1293" t="s">
        <v>606</v>
      </c>
      <c r="M1293" t="s">
        <v>607</v>
      </c>
      <c r="N1293" t="s">
        <v>625</v>
      </c>
      <c r="O1293" t="s">
        <v>813</v>
      </c>
      <c r="P1293" t="s">
        <v>739</v>
      </c>
      <c r="Q1293" t="s">
        <v>467</v>
      </c>
      <c r="R1293" t="s">
        <v>814</v>
      </c>
      <c r="S1293" t="s">
        <v>1121</v>
      </c>
      <c r="T1293" t="s">
        <v>794</v>
      </c>
      <c r="U1293">
        <v>157000</v>
      </c>
      <c r="V1293" t="s">
        <v>4366</v>
      </c>
      <c r="W1293" t="s">
        <v>817</v>
      </c>
      <c r="X1293" t="s">
        <v>8157</v>
      </c>
      <c r="Y1293" t="s">
        <v>4651</v>
      </c>
      <c r="Z1293" t="s">
        <v>4015</v>
      </c>
      <c r="AA1293" t="s">
        <v>4652</v>
      </c>
      <c r="AE1293">
        <v>-36.983212600000002</v>
      </c>
      <c r="AF1293">
        <v>174.87518686999999</v>
      </c>
      <c r="AG1293" s="175">
        <v>50</v>
      </c>
      <c r="AH1293" s="175">
        <v>0</v>
      </c>
      <c r="AI1293" s="175">
        <v>0</v>
      </c>
      <c r="AJ1293" s="175">
        <v>0</v>
      </c>
      <c r="AK1293" s="175">
        <v>10</v>
      </c>
      <c r="AL1293" s="175">
        <v>18</v>
      </c>
      <c r="AM1293" s="175">
        <v>18</v>
      </c>
      <c r="AN1293" s="175">
        <v>0</v>
      </c>
      <c r="AO1293" s="175">
        <v>46</v>
      </c>
      <c r="AP1293" s="175">
        <v>5</v>
      </c>
      <c r="AQ1293" s="175">
        <v>4</v>
      </c>
      <c r="AR1293" s="175">
        <v>38</v>
      </c>
      <c r="AS1293" s="175">
        <v>7</v>
      </c>
      <c r="AT1293" s="175">
        <v>2</v>
      </c>
    </row>
    <row r="1294" spans="1:46">
      <c r="A1294">
        <v>25355</v>
      </c>
      <c r="B1294" t="s">
        <v>8158</v>
      </c>
      <c r="C1294" t="s">
        <v>8159</v>
      </c>
      <c r="E1294" t="s">
        <v>8160</v>
      </c>
      <c r="F1294" t="s">
        <v>862</v>
      </c>
      <c r="G1294" t="s">
        <v>737</v>
      </c>
      <c r="H1294" t="s">
        <v>449</v>
      </c>
      <c r="J1294" t="s">
        <v>4032</v>
      </c>
      <c r="K1294" t="s">
        <v>606</v>
      </c>
      <c r="M1294" t="s">
        <v>607</v>
      </c>
      <c r="N1294" t="s">
        <v>657</v>
      </c>
      <c r="O1294" t="s">
        <v>792</v>
      </c>
      <c r="P1294" t="s">
        <v>739</v>
      </c>
      <c r="Q1294" t="s">
        <v>467</v>
      </c>
      <c r="R1294" t="s">
        <v>793</v>
      </c>
      <c r="S1294" t="s">
        <v>791</v>
      </c>
      <c r="T1294" t="s">
        <v>794</v>
      </c>
      <c r="U1294">
        <v>152000</v>
      </c>
      <c r="V1294" t="s">
        <v>1011</v>
      </c>
      <c r="W1294" t="s">
        <v>796</v>
      </c>
      <c r="X1294" t="s">
        <v>8161</v>
      </c>
      <c r="Y1294" t="s">
        <v>8160</v>
      </c>
      <c r="Z1294" t="s">
        <v>862</v>
      </c>
      <c r="AA1294" t="s">
        <v>7998</v>
      </c>
      <c r="AB1294" t="s">
        <v>8162</v>
      </c>
      <c r="AE1294">
        <v>-36.900009660000002</v>
      </c>
      <c r="AF1294">
        <v>174.91873086000001</v>
      </c>
      <c r="AG1294" s="175">
        <v>35</v>
      </c>
      <c r="AH1294" s="175">
        <v>20</v>
      </c>
      <c r="AI1294" s="175">
        <v>0</v>
      </c>
      <c r="AJ1294" s="175">
        <v>7</v>
      </c>
      <c r="AK1294" s="175">
        <v>11</v>
      </c>
      <c r="AL1294" s="175">
        <v>10</v>
      </c>
      <c r="AM1294" s="175">
        <v>10</v>
      </c>
      <c r="AN1294" s="175">
        <v>0</v>
      </c>
      <c r="AO1294" s="175">
        <v>38</v>
      </c>
      <c r="AP1294" s="175">
        <v>29</v>
      </c>
      <c r="AQ1294" s="175">
        <v>0</v>
      </c>
      <c r="AR1294" s="175">
        <v>3</v>
      </c>
      <c r="AS1294" s="175">
        <v>9</v>
      </c>
      <c r="AT1294" s="175">
        <v>0</v>
      </c>
    </row>
    <row r="1295" spans="1:46">
      <c r="A1295">
        <v>25356</v>
      </c>
      <c r="B1295" t="s">
        <v>8163</v>
      </c>
      <c r="C1295" t="s">
        <v>8164</v>
      </c>
      <c r="D1295" t="s">
        <v>8165</v>
      </c>
      <c r="E1295" t="s">
        <v>8166</v>
      </c>
      <c r="F1295" t="s">
        <v>1274</v>
      </c>
      <c r="G1295" t="s">
        <v>737</v>
      </c>
      <c r="H1295" t="s">
        <v>449</v>
      </c>
      <c r="J1295" t="s">
        <v>4032</v>
      </c>
      <c r="K1295" t="s">
        <v>606</v>
      </c>
      <c r="M1295" t="s">
        <v>607</v>
      </c>
      <c r="N1295" t="s">
        <v>657</v>
      </c>
      <c r="O1295" t="s">
        <v>898</v>
      </c>
      <c r="P1295" t="s">
        <v>739</v>
      </c>
      <c r="Q1295" t="s">
        <v>467</v>
      </c>
      <c r="R1295" t="s">
        <v>724</v>
      </c>
      <c r="S1295" t="s">
        <v>984</v>
      </c>
      <c r="T1295" t="s">
        <v>794</v>
      </c>
      <c r="U1295">
        <v>127001</v>
      </c>
      <c r="V1295" t="s">
        <v>6663</v>
      </c>
      <c r="W1295" t="s">
        <v>900</v>
      </c>
      <c r="X1295" t="s">
        <v>4833</v>
      </c>
      <c r="Y1295" t="s">
        <v>4830</v>
      </c>
      <c r="Z1295" t="s">
        <v>4831</v>
      </c>
      <c r="AA1295" t="s">
        <v>4834</v>
      </c>
      <c r="AE1295">
        <v>-36.864333440000003</v>
      </c>
      <c r="AF1295">
        <v>174.64695778999999</v>
      </c>
      <c r="AG1295" s="175">
        <v>90</v>
      </c>
      <c r="AH1295" s="175">
        <v>20</v>
      </c>
      <c r="AI1295" s="175">
        <v>3</v>
      </c>
      <c r="AJ1295" s="175">
        <v>11</v>
      </c>
      <c r="AK1295" s="175">
        <v>21</v>
      </c>
      <c r="AL1295" s="175">
        <v>24</v>
      </c>
      <c r="AM1295" s="175">
        <v>21</v>
      </c>
      <c r="AN1295" s="175">
        <v>1</v>
      </c>
      <c r="AO1295" s="175">
        <v>81</v>
      </c>
      <c r="AP1295" s="175">
        <v>33</v>
      </c>
      <c r="AQ1295" s="175">
        <v>24</v>
      </c>
      <c r="AR1295" s="175">
        <v>19</v>
      </c>
      <c r="AS1295" s="175">
        <v>27</v>
      </c>
      <c r="AT1295" s="175">
        <v>7</v>
      </c>
    </row>
    <row r="1296" spans="1:46">
      <c r="A1296">
        <v>25357</v>
      </c>
      <c r="B1296" t="s">
        <v>8167</v>
      </c>
      <c r="C1296" t="s">
        <v>8168</v>
      </c>
      <c r="D1296" t="s">
        <v>8169</v>
      </c>
      <c r="E1296" t="s">
        <v>8170</v>
      </c>
      <c r="F1296" t="s">
        <v>888</v>
      </c>
      <c r="G1296" t="s">
        <v>737</v>
      </c>
      <c r="H1296" t="s">
        <v>449</v>
      </c>
      <c r="J1296" t="s">
        <v>4032</v>
      </c>
      <c r="K1296" t="s">
        <v>606</v>
      </c>
      <c r="M1296" t="s">
        <v>607</v>
      </c>
      <c r="N1296" t="s">
        <v>657</v>
      </c>
      <c r="O1296" t="s">
        <v>914</v>
      </c>
      <c r="P1296" t="s">
        <v>739</v>
      </c>
      <c r="Q1296" t="s">
        <v>467</v>
      </c>
      <c r="R1296" t="s">
        <v>793</v>
      </c>
      <c r="S1296" t="s">
        <v>890</v>
      </c>
      <c r="T1296" t="s">
        <v>794</v>
      </c>
      <c r="U1296">
        <v>144201</v>
      </c>
      <c r="V1296" t="s">
        <v>7326</v>
      </c>
      <c r="W1296" t="s">
        <v>892</v>
      </c>
      <c r="X1296" t="s">
        <v>7327</v>
      </c>
      <c r="Y1296" t="s">
        <v>4725</v>
      </c>
      <c r="Z1296" t="s">
        <v>1043</v>
      </c>
      <c r="AA1296" t="s">
        <v>4726</v>
      </c>
      <c r="AB1296" t="s">
        <v>7328</v>
      </c>
      <c r="AC1296">
        <v>99190</v>
      </c>
      <c r="AD1296" t="s">
        <v>916</v>
      </c>
      <c r="AE1296">
        <v>-36.897225200000001</v>
      </c>
      <c r="AF1296">
        <v>174.80240760000001</v>
      </c>
      <c r="AG1296" s="175">
        <v>85</v>
      </c>
      <c r="AH1296" s="175">
        <v>25</v>
      </c>
      <c r="AI1296" s="175">
        <v>0</v>
      </c>
      <c r="AJ1296" s="175">
        <v>12</v>
      </c>
      <c r="AK1296" s="175">
        <v>8</v>
      </c>
      <c r="AL1296" s="175">
        <v>11</v>
      </c>
      <c r="AM1296" s="175">
        <v>14</v>
      </c>
      <c r="AN1296" s="175">
        <v>0</v>
      </c>
      <c r="AO1296" s="175">
        <v>45</v>
      </c>
      <c r="AP1296" s="175">
        <v>6</v>
      </c>
      <c r="AQ1296" s="175">
        <v>4</v>
      </c>
      <c r="AR1296" s="175">
        <v>6</v>
      </c>
      <c r="AS1296" s="175">
        <v>36</v>
      </c>
      <c r="AT1296" s="175">
        <v>1</v>
      </c>
    </row>
    <row r="1297" spans="1:46">
      <c r="A1297">
        <v>25358</v>
      </c>
      <c r="B1297" t="s">
        <v>8171</v>
      </c>
      <c r="C1297" t="s">
        <v>8172</v>
      </c>
      <c r="D1297" t="s">
        <v>8173</v>
      </c>
      <c r="E1297" t="s">
        <v>8174</v>
      </c>
      <c r="G1297" t="s">
        <v>1346</v>
      </c>
      <c r="H1297" t="s">
        <v>449</v>
      </c>
      <c r="J1297" t="s">
        <v>4032</v>
      </c>
      <c r="K1297" t="s">
        <v>606</v>
      </c>
      <c r="M1297" t="s">
        <v>607</v>
      </c>
      <c r="N1297" t="s">
        <v>657</v>
      </c>
      <c r="O1297" t="s">
        <v>1318</v>
      </c>
      <c r="P1297" t="s">
        <v>1347</v>
      </c>
      <c r="Q1297" t="s">
        <v>467</v>
      </c>
      <c r="R1297" t="s">
        <v>814</v>
      </c>
      <c r="S1297" t="s">
        <v>1331</v>
      </c>
      <c r="T1297" t="s">
        <v>1320</v>
      </c>
      <c r="U1297">
        <v>166100</v>
      </c>
      <c r="V1297" t="s">
        <v>8175</v>
      </c>
      <c r="W1297" t="s">
        <v>1322</v>
      </c>
      <c r="X1297" t="s">
        <v>8176</v>
      </c>
      <c r="Y1297" t="s">
        <v>8177</v>
      </c>
      <c r="AA1297" t="s">
        <v>8178</v>
      </c>
      <c r="AC1297">
        <v>99075</v>
      </c>
      <c r="AD1297" t="s">
        <v>1349</v>
      </c>
      <c r="AE1297">
        <v>-37.211942579999999</v>
      </c>
      <c r="AF1297">
        <v>174.90550289000001</v>
      </c>
      <c r="AG1297" s="175">
        <v>50</v>
      </c>
      <c r="AH1297" s="175">
        <v>10</v>
      </c>
      <c r="AI1297" s="175">
        <v>0</v>
      </c>
      <c r="AJ1297" s="175">
        <v>12</v>
      </c>
      <c r="AK1297" s="175">
        <v>15</v>
      </c>
      <c r="AL1297" s="175">
        <v>12</v>
      </c>
      <c r="AM1297" s="175">
        <v>14</v>
      </c>
      <c r="AN1297" s="175">
        <v>1</v>
      </c>
      <c r="AO1297" s="175">
        <v>54</v>
      </c>
      <c r="AP1297" s="175">
        <v>45</v>
      </c>
      <c r="AQ1297" s="175">
        <v>5</v>
      </c>
      <c r="AR1297" s="175">
        <v>2</v>
      </c>
      <c r="AS1297" s="175">
        <v>3</v>
      </c>
      <c r="AT1297" s="175">
        <v>3</v>
      </c>
    </row>
    <row r="1298" spans="1:46">
      <c r="A1298">
        <v>25360</v>
      </c>
      <c r="B1298" t="s">
        <v>8179</v>
      </c>
      <c r="C1298" t="s">
        <v>8180</v>
      </c>
      <c r="D1298" t="s">
        <v>8181</v>
      </c>
      <c r="E1298" t="s">
        <v>8182</v>
      </c>
      <c r="F1298" t="s">
        <v>4015</v>
      </c>
      <c r="G1298" t="s">
        <v>737</v>
      </c>
      <c r="H1298" t="s">
        <v>449</v>
      </c>
      <c r="I1298" t="s">
        <v>5017</v>
      </c>
      <c r="J1298" t="s">
        <v>605</v>
      </c>
      <c r="K1298" t="s">
        <v>606</v>
      </c>
      <c r="M1298" t="s">
        <v>607</v>
      </c>
      <c r="N1298" t="s">
        <v>608</v>
      </c>
      <c r="O1298" t="s">
        <v>1301</v>
      </c>
      <c r="P1298" t="s">
        <v>739</v>
      </c>
      <c r="Q1298" t="s">
        <v>467</v>
      </c>
      <c r="R1298" t="s">
        <v>814</v>
      </c>
      <c r="S1298" t="s">
        <v>1121</v>
      </c>
      <c r="T1298" t="s">
        <v>794</v>
      </c>
      <c r="U1298">
        <v>159700</v>
      </c>
      <c r="V1298" t="s">
        <v>8183</v>
      </c>
      <c r="W1298" t="s">
        <v>1304</v>
      </c>
      <c r="X1298" t="s">
        <v>5314</v>
      </c>
      <c r="Y1298" t="s">
        <v>5315</v>
      </c>
      <c r="Z1298" t="s">
        <v>1121</v>
      </c>
      <c r="AA1298" t="s">
        <v>5316</v>
      </c>
      <c r="AB1298" t="s">
        <v>5317</v>
      </c>
      <c r="AC1298">
        <v>99211</v>
      </c>
      <c r="AD1298" t="s">
        <v>7342</v>
      </c>
      <c r="AE1298">
        <v>-37.036539779999998</v>
      </c>
      <c r="AF1298">
        <v>174.86094413999999</v>
      </c>
      <c r="AG1298" s="175">
        <v>49</v>
      </c>
      <c r="AH1298" s="175">
        <v>13</v>
      </c>
      <c r="AI1298" s="175">
        <v>0</v>
      </c>
      <c r="AJ1298" s="175">
        <v>1</v>
      </c>
      <c r="AK1298" s="175">
        <v>2</v>
      </c>
      <c r="AL1298" s="175">
        <v>7</v>
      </c>
      <c r="AM1298" s="175">
        <v>7</v>
      </c>
      <c r="AN1298" s="175">
        <v>1</v>
      </c>
      <c r="AO1298" s="175">
        <v>18</v>
      </c>
      <c r="AP1298" s="175">
        <v>3</v>
      </c>
      <c r="AQ1298" s="175">
        <v>7</v>
      </c>
      <c r="AR1298" s="175">
        <v>11</v>
      </c>
      <c r="AS1298" s="175">
        <v>5</v>
      </c>
      <c r="AT1298" s="175">
        <v>1</v>
      </c>
    </row>
    <row r="1299" spans="1:46">
      <c r="A1299">
        <v>25361</v>
      </c>
      <c r="B1299" t="s">
        <v>8184</v>
      </c>
      <c r="C1299" t="s">
        <v>8185</v>
      </c>
      <c r="E1299" t="s">
        <v>8186</v>
      </c>
      <c r="F1299" t="s">
        <v>4057</v>
      </c>
      <c r="G1299" t="s">
        <v>737</v>
      </c>
      <c r="H1299" t="s">
        <v>449</v>
      </c>
      <c r="J1299" t="s">
        <v>4032</v>
      </c>
      <c r="K1299" t="s">
        <v>606</v>
      </c>
      <c r="M1299" t="s">
        <v>607</v>
      </c>
      <c r="N1299" t="s">
        <v>657</v>
      </c>
      <c r="O1299" t="s">
        <v>1318</v>
      </c>
      <c r="P1299" t="s">
        <v>1347</v>
      </c>
      <c r="Q1299" t="s">
        <v>467</v>
      </c>
      <c r="R1299" t="s">
        <v>814</v>
      </c>
      <c r="S1299" t="s">
        <v>1331</v>
      </c>
      <c r="T1299" t="s">
        <v>1320</v>
      </c>
      <c r="U1299">
        <v>165501</v>
      </c>
      <c r="V1299" t="s">
        <v>4057</v>
      </c>
      <c r="W1299" t="s">
        <v>1322</v>
      </c>
      <c r="X1299" t="s">
        <v>8187</v>
      </c>
      <c r="Y1299" t="s">
        <v>8186</v>
      </c>
      <c r="AA1299" t="s">
        <v>4604</v>
      </c>
      <c r="AE1299">
        <v>-37.197616349999997</v>
      </c>
      <c r="AF1299">
        <v>174.89083016999999</v>
      </c>
      <c r="AG1299" s="175">
        <v>38</v>
      </c>
      <c r="AH1299" s="175">
        <v>12</v>
      </c>
      <c r="AI1299" s="175">
        <v>1</v>
      </c>
      <c r="AJ1299" s="175">
        <v>4</v>
      </c>
      <c r="AK1299" s="175">
        <v>9</v>
      </c>
      <c r="AL1299" s="175">
        <v>10</v>
      </c>
      <c r="AM1299" s="175">
        <v>7</v>
      </c>
      <c r="AN1299" s="175">
        <v>1</v>
      </c>
      <c r="AO1299" s="175">
        <v>32</v>
      </c>
      <c r="AP1299" s="175">
        <v>15</v>
      </c>
      <c r="AQ1299" s="175">
        <v>12</v>
      </c>
      <c r="AR1299" s="175">
        <v>14</v>
      </c>
      <c r="AS1299" s="175">
        <v>2</v>
      </c>
      <c r="AT1299" s="175">
        <v>0</v>
      </c>
    </row>
    <row r="1300" spans="1:46">
      <c r="A1300">
        <v>25364</v>
      </c>
      <c r="B1300" t="s">
        <v>8188</v>
      </c>
      <c r="C1300" t="s">
        <v>7353</v>
      </c>
      <c r="E1300" t="s">
        <v>8189</v>
      </c>
      <c r="F1300" t="s">
        <v>7614</v>
      </c>
      <c r="G1300" t="s">
        <v>737</v>
      </c>
      <c r="H1300" t="s">
        <v>449</v>
      </c>
      <c r="J1300" t="s">
        <v>605</v>
      </c>
      <c r="K1300" t="s">
        <v>606</v>
      </c>
      <c r="M1300" t="s">
        <v>607</v>
      </c>
      <c r="N1300" t="s">
        <v>812</v>
      </c>
      <c r="O1300" t="s">
        <v>1301</v>
      </c>
      <c r="P1300" t="s">
        <v>739</v>
      </c>
      <c r="Q1300" t="s">
        <v>467</v>
      </c>
      <c r="R1300" t="s">
        <v>814</v>
      </c>
      <c r="S1300" t="s">
        <v>1121</v>
      </c>
      <c r="T1300" t="s">
        <v>794</v>
      </c>
      <c r="U1300">
        <v>158700</v>
      </c>
      <c r="V1300" t="s">
        <v>1372</v>
      </c>
      <c r="W1300" t="s">
        <v>1304</v>
      </c>
      <c r="X1300" t="s">
        <v>8190</v>
      </c>
      <c r="Y1300" t="s">
        <v>6434</v>
      </c>
      <c r="Z1300" t="s">
        <v>4622</v>
      </c>
      <c r="AA1300" t="s">
        <v>4623</v>
      </c>
      <c r="AE1300">
        <v>-37.022937159999998</v>
      </c>
      <c r="AF1300">
        <v>174.85747605</v>
      </c>
      <c r="AG1300" s="175">
        <v>50</v>
      </c>
      <c r="AH1300" s="175">
        <v>12</v>
      </c>
      <c r="AI1300" s="175">
        <v>0</v>
      </c>
      <c r="AJ1300" s="175">
        <v>9</v>
      </c>
      <c r="AK1300" s="175">
        <v>5</v>
      </c>
      <c r="AL1300" s="175">
        <v>5</v>
      </c>
      <c r="AM1300" s="175">
        <v>7</v>
      </c>
      <c r="AN1300" s="175">
        <v>0</v>
      </c>
      <c r="AO1300" s="175">
        <v>26</v>
      </c>
      <c r="AP1300" s="175">
        <v>4</v>
      </c>
      <c r="AQ1300" s="175">
        <v>3</v>
      </c>
      <c r="AR1300" s="175">
        <v>11</v>
      </c>
      <c r="AS1300" s="175">
        <v>12</v>
      </c>
      <c r="AT1300" s="175">
        <v>0</v>
      </c>
    </row>
    <row r="1301" spans="1:46">
      <c r="A1301">
        <v>25366</v>
      </c>
      <c r="B1301" t="s">
        <v>8191</v>
      </c>
      <c r="C1301" t="s">
        <v>8192</v>
      </c>
      <c r="E1301" t="s">
        <v>8193</v>
      </c>
      <c r="F1301" t="s">
        <v>932</v>
      </c>
      <c r="G1301" t="s">
        <v>737</v>
      </c>
      <c r="H1301" t="s">
        <v>449</v>
      </c>
      <c r="J1301" t="s">
        <v>4032</v>
      </c>
      <c r="K1301" t="s">
        <v>606</v>
      </c>
      <c r="M1301" t="s">
        <v>607</v>
      </c>
      <c r="N1301" t="s">
        <v>625</v>
      </c>
      <c r="O1301" t="s">
        <v>933</v>
      </c>
      <c r="P1301" t="s">
        <v>739</v>
      </c>
      <c r="Q1301" t="s">
        <v>467</v>
      </c>
      <c r="R1301" t="s">
        <v>814</v>
      </c>
      <c r="S1301" t="s">
        <v>934</v>
      </c>
      <c r="T1301" t="s">
        <v>794</v>
      </c>
      <c r="U1301">
        <v>147900</v>
      </c>
      <c r="V1301" t="s">
        <v>4805</v>
      </c>
      <c r="W1301" t="s">
        <v>817</v>
      </c>
      <c r="X1301" t="s">
        <v>8194</v>
      </c>
      <c r="Y1301" t="s">
        <v>4725</v>
      </c>
      <c r="Z1301" t="s">
        <v>1043</v>
      </c>
      <c r="AA1301" t="s">
        <v>4726</v>
      </c>
      <c r="AB1301" t="s">
        <v>8192</v>
      </c>
      <c r="AE1301">
        <v>-36.976168370000003</v>
      </c>
      <c r="AF1301">
        <v>174.77948050000001</v>
      </c>
      <c r="AG1301" s="175">
        <v>85</v>
      </c>
      <c r="AH1301" s="175">
        <v>15</v>
      </c>
      <c r="AI1301" s="175">
        <v>3</v>
      </c>
      <c r="AJ1301" s="175">
        <v>7</v>
      </c>
      <c r="AK1301" s="175">
        <v>7</v>
      </c>
      <c r="AL1301" s="175">
        <v>12</v>
      </c>
      <c r="AM1301" s="175">
        <v>13</v>
      </c>
      <c r="AN1301" s="175">
        <v>4</v>
      </c>
      <c r="AO1301" s="175">
        <v>46</v>
      </c>
      <c r="AP1301" s="175">
        <v>10</v>
      </c>
      <c r="AQ1301" s="175">
        <v>17</v>
      </c>
      <c r="AR1301" s="175">
        <v>28</v>
      </c>
      <c r="AS1301" s="175">
        <v>10</v>
      </c>
      <c r="AT1301" s="175">
        <v>0</v>
      </c>
    </row>
    <row r="1302" spans="1:46">
      <c r="A1302">
        <v>25367</v>
      </c>
      <c r="B1302" t="s">
        <v>8195</v>
      </c>
      <c r="C1302" t="s">
        <v>8196</v>
      </c>
      <c r="D1302" t="s">
        <v>8197</v>
      </c>
      <c r="E1302" t="s">
        <v>8198</v>
      </c>
      <c r="F1302" t="s">
        <v>983</v>
      </c>
      <c r="G1302" t="s">
        <v>737</v>
      </c>
      <c r="H1302" t="s">
        <v>449</v>
      </c>
      <c r="J1302" t="s">
        <v>4032</v>
      </c>
      <c r="K1302" t="s">
        <v>606</v>
      </c>
      <c r="M1302" t="s">
        <v>607</v>
      </c>
      <c r="N1302" t="s">
        <v>625</v>
      </c>
      <c r="O1302" t="s">
        <v>898</v>
      </c>
      <c r="P1302" t="s">
        <v>739</v>
      </c>
      <c r="Q1302" t="s">
        <v>467</v>
      </c>
      <c r="R1302" t="s">
        <v>724</v>
      </c>
      <c r="S1302" t="s">
        <v>984</v>
      </c>
      <c r="T1302" t="s">
        <v>613</v>
      </c>
      <c r="U1302">
        <v>125100</v>
      </c>
      <c r="V1302" t="s">
        <v>4372</v>
      </c>
      <c r="W1302" t="s">
        <v>900</v>
      </c>
      <c r="X1302" t="s">
        <v>4905</v>
      </c>
      <c r="Y1302" t="s">
        <v>4906</v>
      </c>
      <c r="Z1302" t="s">
        <v>4907</v>
      </c>
      <c r="AA1302" t="s">
        <v>7383</v>
      </c>
      <c r="AC1302">
        <v>99013</v>
      </c>
      <c r="AD1302" t="s">
        <v>1276</v>
      </c>
      <c r="AE1302">
        <v>-36.855194679999997</v>
      </c>
      <c r="AF1302">
        <v>174.63192219999999</v>
      </c>
      <c r="AG1302" s="175">
        <v>90</v>
      </c>
      <c r="AH1302" s="175">
        <v>30</v>
      </c>
      <c r="AI1302" s="175">
        <v>1</v>
      </c>
      <c r="AJ1302" s="175">
        <v>6</v>
      </c>
      <c r="AK1302" s="175">
        <v>12</v>
      </c>
      <c r="AL1302" s="175">
        <v>14</v>
      </c>
      <c r="AM1302" s="175">
        <v>16</v>
      </c>
      <c r="AN1302" s="175">
        <v>0</v>
      </c>
      <c r="AO1302" s="175">
        <v>49</v>
      </c>
      <c r="AP1302" s="175">
        <v>17</v>
      </c>
      <c r="AQ1302" s="175">
        <v>14</v>
      </c>
      <c r="AR1302" s="175">
        <v>10</v>
      </c>
      <c r="AS1302" s="175">
        <v>21</v>
      </c>
      <c r="AT1302" s="175">
        <v>3</v>
      </c>
    </row>
    <row r="1303" spans="1:46">
      <c r="A1303">
        <v>25370</v>
      </c>
      <c r="B1303" t="s">
        <v>8199</v>
      </c>
      <c r="C1303" t="s">
        <v>8200</v>
      </c>
      <c r="D1303" t="s">
        <v>8201</v>
      </c>
      <c r="E1303" t="s">
        <v>8202</v>
      </c>
      <c r="G1303" t="s">
        <v>4576</v>
      </c>
      <c r="H1303" t="s">
        <v>449</v>
      </c>
      <c r="J1303" t="s">
        <v>4032</v>
      </c>
      <c r="K1303" t="s">
        <v>606</v>
      </c>
      <c r="M1303" t="s">
        <v>607</v>
      </c>
      <c r="N1303" t="s">
        <v>657</v>
      </c>
      <c r="O1303" t="s">
        <v>738</v>
      </c>
      <c r="P1303" t="s">
        <v>658</v>
      </c>
      <c r="Q1303" t="s">
        <v>467</v>
      </c>
      <c r="R1303" t="s">
        <v>724</v>
      </c>
      <c r="S1303" t="s">
        <v>753</v>
      </c>
      <c r="T1303" t="s">
        <v>613</v>
      </c>
      <c r="U1303">
        <v>114101</v>
      </c>
      <c r="V1303" t="s">
        <v>8203</v>
      </c>
      <c r="W1303" t="s">
        <v>742</v>
      </c>
      <c r="X1303" t="s">
        <v>8204</v>
      </c>
      <c r="Y1303" t="s">
        <v>8205</v>
      </c>
      <c r="Z1303" t="s">
        <v>897</v>
      </c>
      <c r="AA1303" t="s">
        <v>4045</v>
      </c>
      <c r="AC1303">
        <v>99069</v>
      </c>
      <c r="AD1303" t="s">
        <v>755</v>
      </c>
      <c r="AE1303">
        <v>-36.64031379</v>
      </c>
      <c r="AF1303">
        <v>174.67976390000001</v>
      </c>
      <c r="AG1303" s="175">
        <v>50</v>
      </c>
      <c r="AH1303" s="175">
        <v>15</v>
      </c>
      <c r="AI1303" s="175">
        <v>1</v>
      </c>
      <c r="AJ1303" s="175">
        <v>8</v>
      </c>
      <c r="AK1303" s="175">
        <v>14</v>
      </c>
      <c r="AL1303" s="175">
        <v>1</v>
      </c>
      <c r="AM1303" s="175">
        <v>11</v>
      </c>
      <c r="AN1303" s="175">
        <v>0</v>
      </c>
      <c r="AO1303" s="175">
        <v>35</v>
      </c>
      <c r="AP1303" s="175">
        <v>32</v>
      </c>
      <c r="AQ1303" s="175">
        <v>9</v>
      </c>
      <c r="AR1303" s="175">
        <v>1</v>
      </c>
      <c r="AS1303" s="175">
        <v>2</v>
      </c>
      <c r="AT1303" s="175">
        <v>0</v>
      </c>
    </row>
    <row r="1304" spans="1:46">
      <c r="A1304">
        <v>25371</v>
      </c>
      <c r="B1304" t="s">
        <v>8206</v>
      </c>
      <c r="C1304" t="s">
        <v>8207</v>
      </c>
      <c r="D1304" t="s">
        <v>8208</v>
      </c>
      <c r="E1304" t="s">
        <v>8209</v>
      </c>
      <c r="F1304" t="s">
        <v>1120</v>
      </c>
      <c r="G1304" t="s">
        <v>737</v>
      </c>
      <c r="H1304" t="s">
        <v>449</v>
      </c>
      <c r="J1304" t="s">
        <v>4032</v>
      </c>
      <c r="K1304" t="s">
        <v>606</v>
      </c>
      <c r="M1304" t="s">
        <v>607</v>
      </c>
      <c r="N1304" t="s">
        <v>625</v>
      </c>
      <c r="O1304" t="s">
        <v>813</v>
      </c>
      <c r="P1304" t="s">
        <v>739</v>
      </c>
      <c r="Q1304" t="s">
        <v>467</v>
      </c>
      <c r="R1304" t="s">
        <v>814</v>
      </c>
      <c r="S1304" t="s">
        <v>1121</v>
      </c>
      <c r="T1304" t="s">
        <v>794</v>
      </c>
      <c r="U1304">
        <v>156700</v>
      </c>
      <c r="V1304" t="s">
        <v>7509</v>
      </c>
      <c r="W1304" t="s">
        <v>817</v>
      </c>
      <c r="X1304" t="s">
        <v>8210</v>
      </c>
      <c r="Y1304" t="s">
        <v>8211</v>
      </c>
      <c r="Z1304" t="s">
        <v>1199</v>
      </c>
      <c r="AA1304" t="s">
        <v>4034</v>
      </c>
      <c r="AE1304">
        <v>-36.984027359999999</v>
      </c>
      <c r="AF1304">
        <v>174.85431363999999</v>
      </c>
      <c r="AG1304" s="175">
        <v>40</v>
      </c>
      <c r="AH1304" s="175">
        <v>0</v>
      </c>
      <c r="AI1304" s="175">
        <v>0</v>
      </c>
      <c r="AJ1304" s="175">
        <v>0</v>
      </c>
      <c r="AK1304" s="175">
        <v>11</v>
      </c>
      <c r="AL1304" s="175">
        <v>18</v>
      </c>
      <c r="AM1304" s="175">
        <v>14</v>
      </c>
      <c r="AN1304" s="175">
        <v>0</v>
      </c>
      <c r="AO1304" s="175">
        <v>43</v>
      </c>
      <c r="AP1304" s="175">
        <v>1</v>
      </c>
      <c r="AQ1304" s="175">
        <v>0</v>
      </c>
      <c r="AR1304" s="175">
        <v>2</v>
      </c>
      <c r="AS1304" s="175">
        <v>41</v>
      </c>
      <c r="AT1304" s="175">
        <v>0</v>
      </c>
    </row>
    <row r="1305" spans="1:46">
      <c r="A1305">
        <v>25374</v>
      </c>
      <c r="B1305" t="s">
        <v>8212</v>
      </c>
      <c r="C1305" t="s">
        <v>6668</v>
      </c>
      <c r="D1305" t="s">
        <v>8213</v>
      </c>
      <c r="E1305" t="s">
        <v>8214</v>
      </c>
      <c r="F1305" t="s">
        <v>1274</v>
      </c>
      <c r="G1305" t="s">
        <v>737</v>
      </c>
      <c r="H1305" t="s">
        <v>449</v>
      </c>
      <c r="J1305" t="s">
        <v>605</v>
      </c>
      <c r="K1305" t="s">
        <v>606</v>
      </c>
      <c r="M1305" t="s">
        <v>607</v>
      </c>
      <c r="N1305" t="s">
        <v>657</v>
      </c>
      <c r="O1305" t="s">
        <v>898</v>
      </c>
      <c r="P1305" t="s">
        <v>739</v>
      </c>
      <c r="Q1305" t="s">
        <v>467</v>
      </c>
      <c r="R1305" t="s">
        <v>724</v>
      </c>
      <c r="S1305" t="s">
        <v>984</v>
      </c>
      <c r="T1305" t="s">
        <v>794</v>
      </c>
      <c r="U1305">
        <v>127001</v>
      </c>
      <c r="V1305" t="s">
        <v>6663</v>
      </c>
      <c r="W1305" t="s">
        <v>900</v>
      </c>
      <c r="X1305" t="s">
        <v>6664</v>
      </c>
      <c r="Y1305" t="s">
        <v>6665</v>
      </c>
      <c r="Z1305" t="s">
        <v>6666</v>
      </c>
      <c r="AA1305" t="s">
        <v>6667</v>
      </c>
      <c r="AB1305" t="s">
        <v>6668</v>
      </c>
      <c r="AE1305">
        <v>-36.859497670000003</v>
      </c>
      <c r="AF1305">
        <v>174.64435238999999</v>
      </c>
      <c r="AG1305" s="175">
        <v>30</v>
      </c>
      <c r="AH1305" s="175">
        <v>20</v>
      </c>
      <c r="AI1305" s="175">
        <v>4</v>
      </c>
      <c r="AJ1305" s="175">
        <v>14</v>
      </c>
      <c r="AK1305" s="175">
        <v>14</v>
      </c>
      <c r="AL1305" s="175">
        <v>3</v>
      </c>
      <c r="AM1305" s="175">
        <v>0</v>
      </c>
      <c r="AN1305" s="175">
        <v>0</v>
      </c>
      <c r="AO1305" s="175">
        <v>35</v>
      </c>
      <c r="AP1305" s="175">
        <v>26</v>
      </c>
      <c r="AQ1305" s="175">
        <v>14</v>
      </c>
      <c r="AR1305" s="175">
        <v>5</v>
      </c>
      <c r="AS1305" s="175">
        <v>4</v>
      </c>
      <c r="AT1305" s="175">
        <v>1</v>
      </c>
    </row>
    <row r="1306" spans="1:46">
      <c r="A1306">
        <v>25377</v>
      </c>
      <c r="B1306" t="s">
        <v>8215</v>
      </c>
      <c r="C1306" t="s">
        <v>8216</v>
      </c>
      <c r="D1306" t="s">
        <v>8217</v>
      </c>
      <c r="E1306" t="s">
        <v>8218</v>
      </c>
      <c r="F1306" t="s">
        <v>4060</v>
      </c>
      <c r="G1306" t="s">
        <v>737</v>
      </c>
      <c r="H1306" t="s">
        <v>449</v>
      </c>
      <c r="J1306" t="s">
        <v>605</v>
      </c>
      <c r="K1306" t="s">
        <v>606</v>
      </c>
      <c r="M1306" t="s">
        <v>607</v>
      </c>
      <c r="N1306" t="s">
        <v>657</v>
      </c>
      <c r="O1306" t="s">
        <v>792</v>
      </c>
      <c r="P1306" t="s">
        <v>739</v>
      </c>
      <c r="Q1306" t="s">
        <v>467</v>
      </c>
      <c r="R1306" t="s">
        <v>814</v>
      </c>
      <c r="S1306" t="s">
        <v>863</v>
      </c>
      <c r="T1306" t="s">
        <v>794</v>
      </c>
      <c r="U1306">
        <v>156601</v>
      </c>
      <c r="V1306" t="s">
        <v>7410</v>
      </c>
      <c r="W1306" t="s">
        <v>796</v>
      </c>
      <c r="X1306" t="s">
        <v>4013</v>
      </c>
      <c r="Y1306" t="s">
        <v>4014</v>
      </c>
      <c r="Z1306" t="s">
        <v>4015</v>
      </c>
      <c r="AA1306" t="s">
        <v>4016</v>
      </c>
      <c r="AB1306" t="s">
        <v>4017</v>
      </c>
      <c r="AE1306">
        <v>-36.955757630000001</v>
      </c>
      <c r="AF1306">
        <v>174.90522541999999</v>
      </c>
      <c r="AG1306" s="175">
        <v>105</v>
      </c>
      <c r="AH1306" s="175">
        <v>25</v>
      </c>
      <c r="AI1306" s="175">
        <v>2</v>
      </c>
      <c r="AJ1306" s="175">
        <v>13</v>
      </c>
      <c r="AK1306" s="175">
        <v>31</v>
      </c>
      <c r="AL1306" s="175">
        <v>25</v>
      </c>
      <c r="AM1306" s="175">
        <v>38</v>
      </c>
      <c r="AN1306" s="175">
        <v>1</v>
      </c>
      <c r="AO1306" s="175">
        <v>110</v>
      </c>
      <c r="AP1306" s="175">
        <v>19</v>
      </c>
      <c r="AQ1306" s="175">
        <v>7</v>
      </c>
      <c r="AR1306" s="175">
        <v>6</v>
      </c>
      <c r="AS1306" s="175">
        <v>85</v>
      </c>
      <c r="AT1306" s="175">
        <v>7</v>
      </c>
    </row>
    <row r="1307" spans="1:46">
      <c r="A1307">
        <v>25379</v>
      </c>
      <c r="B1307" t="s">
        <v>8219</v>
      </c>
      <c r="C1307" t="s">
        <v>8220</v>
      </c>
      <c r="D1307" t="s">
        <v>8221</v>
      </c>
      <c r="E1307" t="s">
        <v>8222</v>
      </c>
      <c r="G1307" t="s">
        <v>1330</v>
      </c>
      <c r="H1307" t="s">
        <v>449</v>
      </c>
      <c r="J1307" t="s">
        <v>4032</v>
      </c>
      <c r="K1307" t="s">
        <v>606</v>
      </c>
      <c r="M1307" t="s">
        <v>607</v>
      </c>
      <c r="N1307" t="s">
        <v>657</v>
      </c>
      <c r="O1307" t="s">
        <v>1318</v>
      </c>
      <c r="P1307" t="s">
        <v>610</v>
      </c>
      <c r="Q1307" t="s">
        <v>467</v>
      </c>
      <c r="R1307" t="s">
        <v>814</v>
      </c>
      <c r="S1307" t="s">
        <v>1331</v>
      </c>
      <c r="T1307" t="s">
        <v>1320</v>
      </c>
      <c r="U1307">
        <v>164700</v>
      </c>
      <c r="V1307" t="s">
        <v>1375</v>
      </c>
      <c r="W1307" t="s">
        <v>1322</v>
      </c>
      <c r="X1307" t="s">
        <v>8223</v>
      </c>
      <c r="Y1307" t="s">
        <v>4725</v>
      </c>
      <c r="Z1307" t="s">
        <v>1043</v>
      </c>
      <c r="AA1307" t="s">
        <v>4726</v>
      </c>
      <c r="AC1307">
        <v>99033</v>
      </c>
      <c r="AD1307" t="s">
        <v>1333</v>
      </c>
      <c r="AE1307">
        <v>-37.251591490000003</v>
      </c>
      <c r="AF1307">
        <v>174.73122429</v>
      </c>
      <c r="AG1307" s="175">
        <v>75</v>
      </c>
      <c r="AH1307" s="175">
        <v>25</v>
      </c>
      <c r="AI1307" s="175">
        <v>3</v>
      </c>
      <c r="AJ1307" s="175">
        <v>10</v>
      </c>
      <c r="AK1307" s="175">
        <v>24</v>
      </c>
      <c r="AL1307" s="175">
        <v>22</v>
      </c>
      <c r="AM1307" s="175">
        <v>25</v>
      </c>
      <c r="AN1307" s="175">
        <v>0</v>
      </c>
      <c r="AO1307" s="175">
        <v>84</v>
      </c>
      <c r="AP1307" s="175">
        <v>78</v>
      </c>
      <c r="AQ1307" s="175">
        <v>17</v>
      </c>
      <c r="AR1307" s="175">
        <v>5</v>
      </c>
      <c r="AS1307" s="175">
        <v>10</v>
      </c>
      <c r="AT1307" s="175">
        <v>0</v>
      </c>
    </row>
    <row r="1308" spans="1:46">
      <c r="A1308">
        <v>25381</v>
      </c>
      <c r="B1308" t="s">
        <v>8224</v>
      </c>
      <c r="C1308" t="s">
        <v>8225</v>
      </c>
      <c r="D1308" t="s">
        <v>8226</v>
      </c>
      <c r="E1308" t="s">
        <v>8227</v>
      </c>
      <c r="F1308" t="s">
        <v>1108</v>
      </c>
      <c r="G1308" t="s">
        <v>737</v>
      </c>
      <c r="H1308" t="s">
        <v>449</v>
      </c>
      <c r="J1308" t="s">
        <v>4032</v>
      </c>
      <c r="K1308" t="s">
        <v>606</v>
      </c>
      <c r="M1308" t="s">
        <v>607</v>
      </c>
      <c r="N1308" t="s">
        <v>643</v>
      </c>
      <c r="O1308" t="s">
        <v>997</v>
      </c>
      <c r="P1308" t="s">
        <v>739</v>
      </c>
      <c r="Q1308" t="s">
        <v>467</v>
      </c>
      <c r="R1308" t="s">
        <v>793</v>
      </c>
      <c r="S1308" t="s">
        <v>998</v>
      </c>
      <c r="T1308" t="s">
        <v>794</v>
      </c>
      <c r="U1308">
        <v>140700</v>
      </c>
      <c r="V1308" t="s">
        <v>6982</v>
      </c>
      <c r="W1308" t="s">
        <v>945</v>
      </c>
      <c r="X1308" t="s">
        <v>8228</v>
      </c>
      <c r="Y1308" t="s">
        <v>8229</v>
      </c>
      <c r="Z1308" t="s">
        <v>802</v>
      </c>
      <c r="AA1308" t="s">
        <v>5756</v>
      </c>
      <c r="AB1308" t="s">
        <v>8230</v>
      </c>
      <c r="AE1308">
        <v>-36.917133290000002</v>
      </c>
      <c r="AF1308">
        <v>174.73800026000001</v>
      </c>
      <c r="AG1308" s="175">
        <v>50</v>
      </c>
      <c r="AH1308" s="175">
        <v>20</v>
      </c>
      <c r="AI1308" s="175">
        <v>1</v>
      </c>
      <c r="AJ1308" s="175">
        <v>4</v>
      </c>
      <c r="AK1308" s="175">
        <v>9</v>
      </c>
      <c r="AL1308" s="175">
        <v>11</v>
      </c>
      <c r="AM1308" s="175">
        <v>20</v>
      </c>
      <c r="AN1308" s="175">
        <v>0</v>
      </c>
      <c r="AO1308" s="175">
        <v>45</v>
      </c>
      <c r="AP1308" s="175">
        <v>0</v>
      </c>
      <c r="AQ1308" s="175">
        <v>3</v>
      </c>
      <c r="AR1308" s="175">
        <v>5</v>
      </c>
      <c r="AS1308" s="175">
        <v>40</v>
      </c>
      <c r="AT1308" s="175">
        <v>1</v>
      </c>
    </row>
    <row r="1309" spans="1:46">
      <c r="A1309">
        <v>25384</v>
      </c>
      <c r="B1309" t="s">
        <v>8231</v>
      </c>
      <c r="C1309" t="s">
        <v>8232</v>
      </c>
      <c r="D1309" t="s">
        <v>8233</v>
      </c>
      <c r="E1309" t="s">
        <v>8234</v>
      </c>
      <c r="F1309" t="s">
        <v>1043</v>
      </c>
      <c r="G1309" t="s">
        <v>737</v>
      </c>
      <c r="H1309" t="s">
        <v>449</v>
      </c>
      <c r="J1309" t="s">
        <v>4032</v>
      </c>
      <c r="K1309" t="s">
        <v>606</v>
      </c>
      <c r="M1309" t="s">
        <v>607</v>
      </c>
      <c r="N1309" t="s">
        <v>657</v>
      </c>
      <c r="O1309" t="s">
        <v>1042</v>
      </c>
      <c r="P1309" t="s">
        <v>739</v>
      </c>
      <c r="Q1309" t="s">
        <v>467</v>
      </c>
      <c r="R1309" t="s">
        <v>793</v>
      </c>
      <c r="S1309" t="s">
        <v>1043</v>
      </c>
      <c r="T1309" t="s">
        <v>794</v>
      </c>
      <c r="U1309">
        <v>133301</v>
      </c>
      <c r="V1309" t="s">
        <v>5094</v>
      </c>
      <c r="W1309" t="s">
        <v>1044</v>
      </c>
      <c r="X1309" t="s">
        <v>8235</v>
      </c>
      <c r="Y1309" t="s">
        <v>4725</v>
      </c>
      <c r="Z1309" t="s">
        <v>1043</v>
      </c>
      <c r="AA1309" t="s">
        <v>4726</v>
      </c>
      <c r="AB1309" t="s">
        <v>8236</v>
      </c>
      <c r="AE1309">
        <v>-36.845881069999997</v>
      </c>
      <c r="AF1309">
        <v>174.77367480000001</v>
      </c>
      <c r="AG1309" s="175">
        <v>60</v>
      </c>
      <c r="AH1309" s="175">
        <v>25</v>
      </c>
      <c r="AI1309" s="175">
        <v>4</v>
      </c>
      <c r="AJ1309" s="175">
        <v>13</v>
      </c>
      <c r="AK1309" s="175">
        <v>16</v>
      </c>
      <c r="AL1309" s="175">
        <v>13</v>
      </c>
      <c r="AM1309" s="175">
        <v>11</v>
      </c>
      <c r="AN1309" s="175">
        <v>1</v>
      </c>
      <c r="AO1309" s="175">
        <v>58</v>
      </c>
      <c r="AP1309" s="175">
        <v>18</v>
      </c>
      <c r="AQ1309" s="175">
        <v>1</v>
      </c>
      <c r="AR1309" s="175">
        <v>2</v>
      </c>
      <c r="AS1309" s="175">
        <v>39</v>
      </c>
      <c r="AT1309" s="175">
        <v>9</v>
      </c>
    </row>
    <row r="1310" spans="1:46">
      <c r="A1310">
        <v>25387</v>
      </c>
      <c r="B1310" t="s">
        <v>8237</v>
      </c>
      <c r="C1310" t="s">
        <v>8238</v>
      </c>
      <c r="D1310" t="s">
        <v>8239</v>
      </c>
      <c r="E1310" t="s">
        <v>8240</v>
      </c>
      <c r="F1310" t="s">
        <v>932</v>
      </c>
      <c r="G1310" t="s">
        <v>737</v>
      </c>
      <c r="H1310" t="s">
        <v>449</v>
      </c>
      <c r="J1310" t="s">
        <v>4032</v>
      </c>
      <c r="K1310" t="s">
        <v>606</v>
      </c>
      <c r="M1310" t="s">
        <v>607</v>
      </c>
      <c r="N1310" t="s">
        <v>643</v>
      </c>
      <c r="O1310" t="s">
        <v>933</v>
      </c>
      <c r="P1310" t="s">
        <v>739</v>
      </c>
      <c r="Q1310" t="s">
        <v>467</v>
      </c>
      <c r="R1310" t="s">
        <v>814</v>
      </c>
      <c r="S1310" t="s">
        <v>934</v>
      </c>
      <c r="T1310" t="s">
        <v>794</v>
      </c>
      <c r="U1310">
        <v>147900</v>
      </c>
      <c r="V1310" t="s">
        <v>4805</v>
      </c>
      <c r="W1310" t="s">
        <v>817</v>
      </c>
      <c r="X1310" t="s">
        <v>8241</v>
      </c>
      <c r="Y1310" t="s">
        <v>8242</v>
      </c>
      <c r="Z1310" t="s">
        <v>1120</v>
      </c>
      <c r="AA1310" t="s">
        <v>7439</v>
      </c>
      <c r="AB1310" t="s">
        <v>8238</v>
      </c>
      <c r="AC1310">
        <v>99124</v>
      </c>
      <c r="AD1310" t="s">
        <v>4646</v>
      </c>
      <c r="AE1310">
        <v>-36.979906</v>
      </c>
      <c r="AF1310">
        <v>174.77395100000001</v>
      </c>
      <c r="AG1310" s="175">
        <v>100</v>
      </c>
      <c r="AH1310" s="175">
        <v>30</v>
      </c>
      <c r="AI1310" s="175">
        <v>3</v>
      </c>
      <c r="AJ1310" s="175">
        <v>14</v>
      </c>
      <c r="AK1310" s="175">
        <v>12</v>
      </c>
      <c r="AL1310" s="175">
        <v>15</v>
      </c>
      <c r="AM1310" s="175">
        <v>19</v>
      </c>
      <c r="AN1310" s="175">
        <v>1</v>
      </c>
      <c r="AO1310" s="175">
        <v>64</v>
      </c>
      <c r="AP1310" s="175">
        <v>15</v>
      </c>
      <c r="AQ1310" s="175">
        <v>15</v>
      </c>
      <c r="AR1310" s="175">
        <v>44</v>
      </c>
      <c r="AS1310" s="175">
        <v>17</v>
      </c>
      <c r="AT1310" s="175">
        <v>5</v>
      </c>
    </row>
    <row r="1311" spans="1:46">
      <c r="A1311">
        <v>25390</v>
      </c>
      <c r="B1311" t="s">
        <v>8243</v>
      </c>
      <c r="C1311" t="s">
        <v>8244</v>
      </c>
      <c r="D1311" t="s">
        <v>8245</v>
      </c>
      <c r="E1311" t="s">
        <v>8246</v>
      </c>
      <c r="G1311" t="s">
        <v>1330</v>
      </c>
      <c r="H1311" t="s">
        <v>449</v>
      </c>
      <c r="J1311" t="s">
        <v>4032</v>
      </c>
      <c r="K1311" t="s">
        <v>606</v>
      </c>
      <c r="M1311" t="s">
        <v>607</v>
      </c>
      <c r="N1311" t="s">
        <v>4586</v>
      </c>
      <c r="O1311" t="s">
        <v>1318</v>
      </c>
      <c r="P1311" t="s">
        <v>610</v>
      </c>
      <c r="Q1311" t="s">
        <v>467</v>
      </c>
      <c r="R1311" t="s">
        <v>814</v>
      </c>
      <c r="S1311" t="s">
        <v>1331</v>
      </c>
      <c r="T1311" t="s">
        <v>1320</v>
      </c>
      <c r="U1311">
        <v>164500</v>
      </c>
      <c r="V1311" t="s">
        <v>8247</v>
      </c>
      <c r="W1311" t="s">
        <v>1322</v>
      </c>
      <c r="X1311" t="s">
        <v>8248</v>
      </c>
      <c r="Y1311" t="s">
        <v>8246</v>
      </c>
      <c r="Z1311" t="s">
        <v>1330</v>
      </c>
      <c r="AA1311" t="s">
        <v>8249</v>
      </c>
      <c r="AC1311">
        <v>99033</v>
      </c>
      <c r="AD1311" t="s">
        <v>1333</v>
      </c>
      <c r="AE1311">
        <v>-37.24591281</v>
      </c>
      <c r="AF1311">
        <v>174.73961259999999</v>
      </c>
      <c r="AG1311" s="175">
        <v>40</v>
      </c>
      <c r="AH1311" s="175">
        <v>15</v>
      </c>
      <c r="AI1311" s="175">
        <v>0</v>
      </c>
      <c r="AJ1311" s="175">
        <v>10</v>
      </c>
      <c r="AK1311" s="175">
        <v>9</v>
      </c>
      <c r="AL1311" s="175">
        <v>7</v>
      </c>
      <c r="AM1311" s="175">
        <v>11</v>
      </c>
      <c r="AN1311" s="175">
        <v>1</v>
      </c>
      <c r="AO1311" s="175">
        <v>38</v>
      </c>
      <c r="AP1311" s="175">
        <v>16</v>
      </c>
      <c r="AQ1311" s="175">
        <v>21</v>
      </c>
      <c r="AR1311" s="175">
        <v>5</v>
      </c>
      <c r="AS1311" s="175">
        <v>6</v>
      </c>
      <c r="AT1311" s="175">
        <v>1</v>
      </c>
    </row>
    <row r="1312" spans="1:46">
      <c r="A1312">
        <v>25391</v>
      </c>
      <c r="B1312" t="s">
        <v>8250</v>
      </c>
      <c r="D1312" t="s">
        <v>8251</v>
      </c>
      <c r="E1312" t="s">
        <v>8252</v>
      </c>
      <c r="F1312" t="s">
        <v>1120</v>
      </c>
      <c r="G1312" t="s">
        <v>737</v>
      </c>
      <c r="H1312" t="s">
        <v>449</v>
      </c>
      <c r="J1312" t="s">
        <v>4032</v>
      </c>
      <c r="K1312" t="s">
        <v>606</v>
      </c>
      <c r="M1312" t="s">
        <v>607</v>
      </c>
      <c r="N1312" t="s">
        <v>625</v>
      </c>
      <c r="O1312" t="s">
        <v>813</v>
      </c>
      <c r="P1312" t="s">
        <v>739</v>
      </c>
      <c r="Q1312" t="s">
        <v>467</v>
      </c>
      <c r="R1312" t="s">
        <v>814</v>
      </c>
      <c r="S1312" t="s">
        <v>934</v>
      </c>
      <c r="T1312" t="s">
        <v>794</v>
      </c>
      <c r="U1312">
        <v>153301</v>
      </c>
      <c r="V1312" t="s">
        <v>1031</v>
      </c>
      <c r="W1312" t="s">
        <v>817</v>
      </c>
      <c r="X1312" t="s">
        <v>8253</v>
      </c>
      <c r="Y1312" t="s">
        <v>8254</v>
      </c>
      <c r="Z1312" t="s">
        <v>1120</v>
      </c>
      <c r="AA1312" t="s">
        <v>7439</v>
      </c>
      <c r="AC1312">
        <v>99102</v>
      </c>
      <c r="AD1312" t="s">
        <v>1123</v>
      </c>
      <c r="AE1312">
        <v>-36.966887730000003</v>
      </c>
      <c r="AF1312">
        <v>174.840936</v>
      </c>
      <c r="AG1312" s="175">
        <v>50</v>
      </c>
      <c r="AH1312" s="175">
        <v>15</v>
      </c>
      <c r="AI1312" s="175">
        <v>1</v>
      </c>
      <c r="AJ1312" s="175">
        <v>7</v>
      </c>
      <c r="AK1312" s="175">
        <v>6</v>
      </c>
      <c r="AL1312" s="175">
        <v>15</v>
      </c>
      <c r="AM1312" s="175">
        <v>11</v>
      </c>
      <c r="AN1312" s="175">
        <v>2</v>
      </c>
      <c r="AO1312" s="175">
        <v>42</v>
      </c>
      <c r="AP1312" s="175">
        <v>2</v>
      </c>
      <c r="AQ1312" s="175">
        <v>11</v>
      </c>
      <c r="AR1312" s="175">
        <v>12</v>
      </c>
      <c r="AS1312" s="175">
        <v>26</v>
      </c>
      <c r="AT1312" s="175">
        <v>0</v>
      </c>
    </row>
    <row r="1313" spans="1:46">
      <c r="A1313">
        <v>25393</v>
      </c>
      <c r="B1313" t="s">
        <v>8255</v>
      </c>
      <c r="C1313" t="s">
        <v>8256</v>
      </c>
      <c r="D1313" t="s">
        <v>8257</v>
      </c>
      <c r="E1313" t="s">
        <v>8258</v>
      </c>
      <c r="F1313" t="s">
        <v>964</v>
      </c>
      <c r="G1313" t="s">
        <v>737</v>
      </c>
      <c r="H1313" t="s">
        <v>449</v>
      </c>
      <c r="J1313" t="s">
        <v>605</v>
      </c>
      <c r="K1313" t="s">
        <v>606</v>
      </c>
      <c r="M1313" t="s">
        <v>607</v>
      </c>
      <c r="N1313" t="s">
        <v>657</v>
      </c>
      <c r="O1313" t="s">
        <v>914</v>
      </c>
      <c r="P1313" t="s">
        <v>739</v>
      </c>
      <c r="Q1313" t="s">
        <v>467</v>
      </c>
      <c r="R1313" t="s">
        <v>793</v>
      </c>
      <c r="S1313" t="s">
        <v>965</v>
      </c>
      <c r="T1313" t="s">
        <v>794</v>
      </c>
      <c r="U1313">
        <v>145400</v>
      </c>
      <c r="V1313" t="s">
        <v>8259</v>
      </c>
      <c r="W1313" t="s">
        <v>892</v>
      </c>
      <c r="X1313" t="s">
        <v>4013</v>
      </c>
      <c r="Y1313" t="s">
        <v>4014</v>
      </c>
      <c r="Z1313" t="s">
        <v>4015</v>
      </c>
      <c r="AA1313" t="s">
        <v>4016</v>
      </c>
      <c r="AB1313" t="s">
        <v>4017</v>
      </c>
      <c r="AE1313">
        <v>-36.873805689999998</v>
      </c>
      <c r="AF1313">
        <v>174.85304778</v>
      </c>
      <c r="AG1313" s="175">
        <v>70</v>
      </c>
      <c r="AH1313" s="175">
        <v>20</v>
      </c>
      <c r="AI1313" s="175">
        <v>3</v>
      </c>
      <c r="AJ1313" s="175">
        <v>15</v>
      </c>
      <c r="AK1313" s="175">
        <v>17</v>
      </c>
      <c r="AL1313" s="175">
        <v>18</v>
      </c>
      <c r="AM1313" s="175">
        <v>13</v>
      </c>
      <c r="AN1313" s="175">
        <v>0</v>
      </c>
      <c r="AO1313" s="175">
        <v>66</v>
      </c>
      <c r="AP1313" s="175">
        <v>35</v>
      </c>
      <c r="AQ1313" s="175">
        <v>12</v>
      </c>
      <c r="AR1313" s="175">
        <v>14</v>
      </c>
      <c r="AS1313" s="175">
        <v>21</v>
      </c>
      <c r="AT1313" s="175">
        <v>4</v>
      </c>
    </row>
    <row r="1314" spans="1:46">
      <c r="A1314">
        <v>25394</v>
      </c>
      <c r="B1314" t="s">
        <v>8260</v>
      </c>
      <c r="C1314" t="s">
        <v>8261</v>
      </c>
      <c r="D1314" t="s">
        <v>8262</v>
      </c>
      <c r="E1314" t="s">
        <v>8263</v>
      </c>
      <c r="F1314" t="s">
        <v>4060</v>
      </c>
      <c r="G1314" t="s">
        <v>737</v>
      </c>
      <c r="H1314" t="s">
        <v>449</v>
      </c>
      <c r="J1314" t="s">
        <v>4032</v>
      </c>
      <c r="K1314" t="s">
        <v>606</v>
      </c>
      <c r="M1314" t="s">
        <v>607</v>
      </c>
      <c r="N1314" t="s">
        <v>657</v>
      </c>
      <c r="O1314" t="s">
        <v>792</v>
      </c>
      <c r="P1314" t="s">
        <v>739</v>
      </c>
      <c r="Q1314" t="s">
        <v>467</v>
      </c>
      <c r="R1314" t="s">
        <v>814</v>
      </c>
      <c r="S1314" t="s">
        <v>863</v>
      </c>
      <c r="T1314" t="s">
        <v>794</v>
      </c>
      <c r="U1314">
        <v>152300</v>
      </c>
      <c r="V1314" t="s">
        <v>4060</v>
      </c>
      <c r="W1314" t="s">
        <v>796</v>
      </c>
      <c r="X1314" t="s">
        <v>8264</v>
      </c>
      <c r="Y1314" t="s">
        <v>4725</v>
      </c>
      <c r="Z1314" t="s">
        <v>1043</v>
      </c>
      <c r="AA1314" t="s">
        <v>4726</v>
      </c>
      <c r="AB1314" t="s">
        <v>8265</v>
      </c>
      <c r="AE1314">
        <v>-36.938861129999999</v>
      </c>
      <c r="AF1314">
        <v>174.87631481</v>
      </c>
      <c r="AG1314" s="175">
        <v>150</v>
      </c>
      <c r="AH1314" s="175">
        <v>75</v>
      </c>
      <c r="AI1314" s="175">
        <v>10</v>
      </c>
      <c r="AJ1314" s="175">
        <v>35</v>
      </c>
      <c r="AK1314" s="175">
        <v>22</v>
      </c>
      <c r="AL1314" s="175">
        <v>21</v>
      </c>
      <c r="AM1314" s="175">
        <v>21</v>
      </c>
      <c r="AN1314" s="175">
        <v>1</v>
      </c>
      <c r="AO1314" s="175">
        <v>110</v>
      </c>
      <c r="AP1314" s="175">
        <v>52</v>
      </c>
      <c r="AQ1314" s="175">
        <v>13</v>
      </c>
      <c r="AR1314" s="175">
        <v>21</v>
      </c>
      <c r="AS1314" s="175">
        <v>56</v>
      </c>
      <c r="AT1314" s="175">
        <v>11</v>
      </c>
    </row>
    <row r="1315" spans="1:46">
      <c r="A1315">
        <v>25395</v>
      </c>
      <c r="B1315" t="s">
        <v>8266</v>
      </c>
      <c r="C1315" t="s">
        <v>8267</v>
      </c>
      <c r="D1315" t="s">
        <v>8268</v>
      </c>
      <c r="E1315" t="s">
        <v>8269</v>
      </c>
      <c r="F1315" t="s">
        <v>1242</v>
      </c>
      <c r="G1315" t="s">
        <v>737</v>
      </c>
      <c r="H1315" t="s">
        <v>449</v>
      </c>
      <c r="J1315" t="s">
        <v>4032</v>
      </c>
      <c r="K1315" t="s">
        <v>606</v>
      </c>
      <c r="M1315" t="s">
        <v>607</v>
      </c>
      <c r="N1315" t="s">
        <v>657</v>
      </c>
      <c r="O1315" t="s">
        <v>942</v>
      </c>
      <c r="P1315" t="s">
        <v>739</v>
      </c>
      <c r="Q1315" t="s">
        <v>467</v>
      </c>
      <c r="R1315" t="s">
        <v>793</v>
      </c>
      <c r="S1315" t="s">
        <v>943</v>
      </c>
      <c r="T1315" t="s">
        <v>794</v>
      </c>
      <c r="U1315">
        <v>137600</v>
      </c>
      <c r="V1315" t="s">
        <v>8270</v>
      </c>
      <c r="W1315" t="s">
        <v>945</v>
      </c>
      <c r="X1315" t="s">
        <v>8271</v>
      </c>
      <c r="Y1315" t="s">
        <v>8272</v>
      </c>
      <c r="AA1315" t="s">
        <v>4340</v>
      </c>
      <c r="AC1315">
        <v>99150</v>
      </c>
      <c r="AD1315" t="s">
        <v>946</v>
      </c>
      <c r="AE1315">
        <v>-36.895078789999999</v>
      </c>
      <c r="AF1315">
        <v>174.7303666</v>
      </c>
      <c r="AG1315" s="175">
        <v>38</v>
      </c>
      <c r="AH1315" s="175">
        <v>12</v>
      </c>
      <c r="AI1315" s="175">
        <v>3</v>
      </c>
      <c r="AJ1315" s="175">
        <v>10</v>
      </c>
      <c r="AK1315" s="175">
        <v>9</v>
      </c>
      <c r="AL1315" s="175">
        <v>10</v>
      </c>
      <c r="AM1315" s="175">
        <v>10</v>
      </c>
      <c r="AN1315" s="175">
        <v>2</v>
      </c>
      <c r="AO1315" s="175">
        <v>44</v>
      </c>
      <c r="AP1315" s="175">
        <v>29</v>
      </c>
      <c r="AQ1315" s="175">
        <v>5</v>
      </c>
      <c r="AR1315" s="175">
        <v>2</v>
      </c>
      <c r="AS1315" s="175">
        <v>18</v>
      </c>
      <c r="AT1315" s="175">
        <v>4</v>
      </c>
    </row>
    <row r="1316" spans="1:46">
      <c r="A1316">
        <v>25396</v>
      </c>
      <c r="B1316" t="s">
        <v>8273</v>
      </c>
      <c r="C1316" t="s">
        <v>8274</v>
      </c>
      <c r="E1316" t="s">
        <v>8275</v>
      </c>
      <c r="F1316" t="s">
        <v>802</v>
      </c>
      <c r="G1316" t="s">
        <v>737</v>
      </c>
      <c r="H1316" t="s">
        <v>449</v>
      </c>
      <c r="I1316" t="s">
        <v>4233</v>
      </c>
      <c r="J1316" t="s">
        <v>605</v>
      </c>
      <c r="K1316" t="s">
        <v>606</v>
      </c>
      <c r="M1316" t="s">
        <v>607</v>
      </c>
      <c r="N1316" t="s">
        <v>625</v>
      </c>
      <c r="O1316" t="s">
        <v>803</v>
      </c>
      <c r="P1316" t="s">
        <v>739</v>
      </c>
      <c r="Q1316" t="s">
        <v>467</v>
      </c>
      <c r="R1316" t="s">
        <v>793</v>
      </c>
      <c r="S1316" t="s">
        <v>804</v>
      </c>
      <c r="T1316" t="s">
        <v>794</v>
      </c>
      <c r="U1316">
        <v>132001</v>
      </c>
      <c r="V1316" t="s">
        <v>805</v>
      </c>
      <c r="W1316" t="s">
        <v>806</v>
      </c>
      <c r="X1316" t="s">
        <v>8276</v>
      </c>
      <c r="Y1316" t="s">
        <v>8277</v>
      </c>
      <c r="Z1316" t="s">
        <v>4040</v>
      </c>
      <c r="AA1316" t="s">
        <v>5553</v>
      </c>
      <c r="AC1316">
        <v>99012</v>
      </c>
      <c r="AD1316" t="s">
        <v>857</v>
      </c>
      <c r="AE1316">
        <v>-36.8886234</v>
      </c>
      <c r="AF1316">
        <v>174.68607857999999</v>
      </c>
      <c r="AG1316" s="175">
        <v>38</v>
      </c>
      <c r="AH1316" s="175">
        <v>6</v>
      </c>
      <c r="AI1316" s="175">
        <v>2</v>
      </c>
      <c r="AJ1316" s="175">
        <v>4</v>
      </c>
      <c r="AK1316" s="175">
        <v>5</v>
      </c>
      <c r="AL1316" s="175">
        <v>11</v>
      </c>
      <c r="AM1316" s="175">
        <v>13</v>
      </c>
      <c r="AN1316" s="175">
        <v>0</v>
      </c>
      <c r="AO1316" s="175">
        <v>35</v>
      </c>
      <c r="AP1316" s="175">
        <v>2</v>
      </c>
      <c r="AQ1316" s="175">
        <v>1</v>
      </c>
      <c r="AR1316" s="175">
        <v>25</v>
      </c>
      <c r="AS1316" s="175">
        <v>7</v>
      </c>
      <c r="AT1316" s="175">
        <v>4</v>
      </c>
    </row>
    <row r="1317" spans="1:46">
      <c r="A1317">
        <v>25399</v>
      </c>
      <c r="B1317" t="s">
        <v>8278</v>
      </c>
      <c r="C1317" t="s">
        <v>8279</v>
      </c>
      <c r="D1317" t="s">
        <v>8280</v>
      </c>
      <c r="E1317" t="s">
        <v>8281</v>
      </c>
      <c r="F1317" t="s">
        <v>1114</v>
      </c>
      <c r="G1317" t="s">
        <v>737</v>
      </c>
      <c r="H1317" t="s">
        <v>448</v>
      </c>
      <c r="J1317" t="s">
        <v>4032</v>
      </c>
      <c r="K1317" t="s">
        <v>606</v>
      </c>
      <c r="M1317" t="s">
        <v>607</v>
      </c>
      <c r="N1317" t="s">
        <v>643</v>
      </c>
      <c r="O1317" t="s">
        <v>914</v>
      </c>
      <c r="P1317" t="s">
        <v>739</v>
      </c>
      <c r="Q1317" t="s">
        <v>467</v>
      </c>
      <c r="R1317" t="s">
        <v>793</v>
      </c>
      <c r="S1317" t="s">
        <v>890</v>
      </c>
      <c r="T1317" t="s">
        <v>794</v>
      </c>
      <c r="U1317">
        <v>147400</v>
      </c>
      <c r="V1317" t="s">
        <v>8282</v>
      </c>
      <c r="W1317" t="s">
        <v>892</v>
      </c>
      <c r="X1317" t="s">
        <v>8283</v>
      </c>
      <c r="Y1317" t="s">
        <v>8284</v>
      </c>
      <c r="Z1317" t="s">
        <v>5170</v>
      </c>
      <c r="AA1317" t="s">
        <v>5066</v>
      </c>
      <c r="AE1317">
        <v>-36.914530450000001</v>
      </c>
      <c r="AF1317">
        <v>174.83923637000001</v>
      </c>
      <c r="AG1317" s="175">
        <v>41</v>
      </c>
      <c r="AH1317" s="175">
        <v>20</v>
      </c>
      <c r="AI1317" s="175"/>
      <c r="AJ1317" s="175"/>
      <c r="AK1317" s="175"/>
      <c r="AL1317" s="175"/>
      <c r="AM1317" s="175"/>
      <c r="AN1317" s="175"/>
      <c r="AO1317" s="175"/>
      <c r="AP1317" s="175"/>
      <c r="AQ1317" s="175"/>
      <c r="AR1317" s="175"/>
      <c r="AS1317" s="175"/>
    </row>
    <row r="1318" spans="1:46">
      <c r="A1318">
        <v>25401</v>
      </c>
      <c r="B1318" t="s">
        <v>8285</v>
      </c>
      <c r="C1318" t="s">
        <v>8286</v>
      </c>
      <c r="D1318" t="s">
        <v>8287</v>
      </c>
      <c r="E1318" t="s">
        <v>5209</v>
      </c>
      <c r="F1318" t="s">
        <v>1121</v>
      </c>
      <c r="G1318" t="s">
        <v>737</v>
      </c>
      <c r="H1318" t="s">
        <v>449</v>
      </c>
      <c r="J1318" t="s">
        <v>4032</v>
      </c>
      <c r="K1318" t="s">
        <v>606</v>
      </c>
      <c r="M1318" t="s">
        <v>607</v>
      </c>
      <c r="N1318" t="s">
        <v>657</v>
      </c>
      <c r="O1318" t="s">
        <v>1301</v>
      </c>
      <c r="P1318" t="s">
        <v>739</v>
      </c>
      <c r="Q1318" t="s">
        <v>467</v>
      </c>
      <c r="R1318" t="s">
        <v>814</v>
      </c>
      <c r="S1318" t="s">
        <v>1302</v>
      </c>
      <c r="T1318" t="s">
        <v>794</v>
      </c>
      <c r="U1318">
        <v>160401</v>
      </c>
      <c r="V1318" t="s">
        <v>8288</v>
      </c>
      <c r="W1318" t="s">
        <v>1304</v>
      </c>
      <c r="X1318" t="s">
        <v>5208</v>
      </c>
      <c r="Y1318" t="s">
        <v>5209</v>
      </c>
      <c r="Z1318" t="s">
        <v>1121</v>
      </c>
      <c r="AA1318" t="s">
        <v>5210</v>
      </c>
      <c r="AB1318" t="s">
        <v>5211</v>
      </c>
      <c r="AC1318">
        <v>99186</v>
      </c>
      <c r="AD1318" t="s">
        <v>1309</v>
      </c>
      <c r="AE1318">
        <v>-37.012682910000002</v>
      </c>
      <c r="AF1318">
        <v>174.91341825999999</v>
      </c>
      <c r="AG1318" s="175">
        <v>120</v>
      </c>
      <c r="AH1318" s="175">
        <v>35</v>
      </c>
      <c r="AI1318" s="175">
        <v>0</v>
      </c>
      <c r="AJ1318" s="175">
        <v>17</v>
      </c>
      <c r="AK1318" s="175">
        <v>22</v>
      </c>
      <c r="AL1318" s="175">
        <v>25</v>
      </c>
      <c r="AM1318" s="175">
        <v>26</v>
      </c>
      <c r="AN1318" s="175">
        <v>0</v>
      </c>
      <c r="AO1318" s="175">
        <v>90</v>
      </c>
      <c r="AP1318" s="175">
        <v>26</v>
      </c>
      <c r="AQ1318" s="175">
        <v>7</v>
      </c>
      <c r="AR1318" s="175">
        <v>16</v>
      </c>
      <c r="AS1318" s="175">
        <v>54</v>
      </c>
      <c r="AT1318" s="175">
        <v>7</v>
      </c>
    </row>
    <row r="1319" spans="1:46">
      <c r="A1319">
        <v>25402</v>
      </c>
      <c r="B1319" t="s">
        <v>8289</v>
      </c>
      <c r="C1319" t="s">
        <v>8290</v>
      </c>
      <c r="D1319" t="s">
        <v>8291</v>
      </c>
      <c r="E1319" t="s">
        <v>8292</v>
      </c>
      <c r="G1319" t="s">
        <v>1346</v>
      </c>
      <c r="H1319" t="s">
        <v>449</v>
      </c>
      <c r="J1319" t="s">
        <v>4032</v>
      </c>
      <c r="K1319" t="s">
        <v>606</v>
      </c>
      <c r="M1319" t="s">
        <v>607</v>
      </c>
      <c r="N1319" t="s">
        <v>657</v>
      </c>
      <c r="O1319" t="s">
        <v>1318</v>
      </c>
      <c r="P1319" t="s">
        <v>1347</v>
      </c>
      <c r="Q1319" t="s">
        <v>467</v>
      </c>
      <c r="R1319" t="s">
        <v>814</v>
      </c>
      <c r="S1319" t="s">
        <v>1331</v>
      </c>
      <c r="T1319" t="s">
        <v>1320</v>
      </c>
      <c r="U1319">
        <v>165400</v>
      </c>
      <c r="V1319" t="s">
        <v>7992</v>
      </c>
      <c r="W1319" t="s">
        <v>1322</v>
      </c>
      <c r="X1319" t="s">
        <v>8293</v>
      </c>
      <c r="Y1319" t="s">
        <v>8292</v>
      </c>
      <c r="AA1319" t="s">
        <v>5144</v>
      </c>
      <c r="AC1319">
        <v>99075</v>
      </c>
      <c r="AD1319" t="s">
        <v>1349</v>
      </c>
      <c r="AE1319">
        <v>-37.187686939999999</v>
      </c>
      <c r="AF1319">
        <v>174.92195959</v>
      </c>
      <c r="AG1319" s="175">
        <v>40</v>
      </c>
      <c r="AH1319" s="175">
        <v>10</v>
      </c>
      <c r="AI1319" s="175">
        <v>1</v>
      </c>
      <c r="AJ1319" s="175">
        <v>6</v>
      </c>
      <c r="AK1319" s="175">
        <v>5</v>
      </c>
      <c r="AL1319" s="175">
        <v>4</v>
      </c>
      <c r="AM1319" s="175">
        <v>4</v>
      </c>
      <c r="AN1319" s="175">
        <v>0</v>
      </c>
      <c r="AO1319" s="175">
        <v>20</v>
      </c>
      <c r="AP1319" s="175">
        <v>16</v>
      </c>
      <c r="AQ1319" s="175">
        <v>3</v>
      </c>
      <c r="AR1319" s="175">
        <v>2</v>
      </c>
      <c r="AS1319" s="175">
        <v>3</v>
      </c>
      <c r="AT1319" s="175">
        <v>0</v>
      </c>
    </row>
    <row r="1320" spans="1:46">
      <c r="A1320">
        <v>25405</v>
      </c>
      <c r="B1320" t="s">
        <v>8294</v>
      </c>
      <c r="C1320" t="s">
        <v>8295</v>
      </c>
      <c r="E1320" t="s">
        <v>8296</v>
      </c>
      <c r="F1320" t="s">
        <v>709</v>
      </c>
      <c r="G1320" t="s">
        <v>668</v>
      </c>
      <c r="H1320" t="s">
        <v>449</v>
      </c>
      <c r="J1320" t="s">
        <v>4032</v>
      </c>
      <c r="K1320" t="s">
        <v>606</v>
      </c>
      <c r="M1320" t="s">
        <v>607</v>
      </c>
      <c r="N1320" t="s">
        <v>657</v>
      </c>
      <c r="O1320" t="s">
        <v>669</v>
      </c>
      <c r="P1320" t="s">
        <v>670</v>
      </c>
      <c r="Q1320" t="s">
        <v>509</v>
      </c>
      <c r="R1320" t="s">
        <v>611</v>
      </c>
      <c r="S1320" t="s">
        <v>671</v>
      </c>
      <c r="T1320" t="s">
        <v>613</v>
      </c>
      <c r="U1320">
        <v>107901</v>
      </c>
      <c r="V1320" t="s">
        <v>8297</v>
      </c>
      <c r="W1320" t="s">
        <v>673</v>
      </c>
      <c r="X1320" t="s">
        <v>8298</v>
      </c>
      <c r="Y1320" t="s">
        <v>4651</v>
      </c>
      <c r="Z1320" t="s">
        <v>4015</v>
      </c>
      <c r="AA1320" t="s">
        <v>4652</v>
      </c>
      <c r="AB1320" t="s">
        <v>8299</v>
      </c>
      <c r="AE1320">
        <v>-35.751018999999999</v>
      </c>
      <c r="AF1320">
        <v>174.31182702999999</v>
      </c>
      <c r="AG1320" s="175">
        <v>75</v>
      </c>
      <c r="AH1320" s="175">
        <v>25</v>
      </c>
      <c r="AI1320" s="175">
        <v>4</v>
      </c>
      <c r="AJ1320" s="175">
        <v>9</v>
      </c>
      <c r="AK1320" s="175">
        <v>10</v>
      </c>
      <c r="AL1320" s="175">
        <v>14</v>
      </c>
      <c r="AM1320" s="175">
        <v>13</v>
      </c>
      <c r="AN1320" s="175">
        <v>0</v>
      </c>
      <c r="AO1320" s="175">
        <v>50</v>
      </c>
      <c r="AP1320" s="175">
        <v>35</v>
      </c>
      <c r="AQ1320" s="175">
        <v>27</v>
      </c>
      <c r="AR1320" s="175">
        <v>1</v>
      </c>
      <c r="AS1320" s="175">
        <v>5</v>
      </c>
      <c r="AT1320" s="175">
        <v>2</v>
      </c>
    </row>
    <row r="1321" spans="1:46">
      <c r="A1321">
        <v>25406</v>
      </c>
      <c r="B1321" t="s">
        <v>8300</v>
      </c>
      <c r="C1321" t="s">
        <v>8301</v>
      </c>
      <c r="D1321" t="s">
        <v>8302</v>
      </c>
      <c r="E1321" t="s">
        <v>8303</v>
      </c>
      <c r="F1321" t="s">
        <v>1262</v>
      </c>
      <c r="G1321" t="s">
        <v>737</v>
      </c>
      <c r="H1321" t="s">
        <v>449</v>
      </c>
      <c r="J1321" t="s">
        <v>4032</v>
      </c>
      <c r="K1321" t="s">
        <v>606</v>
      </c>
      <c r="M1321" t="s">
        <v>607</v>
      </c>
      <c r="N1321" t="s">
        <v>657</v>
      </c>
      <c r="O1321" t="s">
        <v>833</v>
      </c>
      <c r="P1321" t="s">
        <v>739</v>
      </c>
      <c r="Q1321" t="s">
        <v>467</v>
      </c>
      <c r="R1321" t="s">
        <v>724</v>
      </c>
      <c r="S1321" t="s">
        <v>767</v>
      </c>
      <c r="T1321" t="s">
        <v>613</v>
      </c>
      <c r="U1321">
        <v>126601</v>
      </c>
      <c r="V1321" t="s">
        <v>6196</v>
      </c>
      <c r="W1321" t="s">
        <v>826</v>
      </c>
      <c r="X1321" t="s">
        <v>8304</v>
      </c>
      <c r="Y1321" t="s">
        <v>8305</v>
      </c>
      <c r="Z1321" t="s">
        <v>1262</v>
      </c>
      <c r="AA1321" t="s">
        <v>8306</v>
      </c>
      <c r="AB1321" t="s">
        <v>8307</v>
      </c>
      <c r="AE1321">
        <v>-36.785383170000003</v>
      </c>
      <c r="AF1321">
        <v>174.75555362</v>
      </c>
      <c r="AG1321" s="175">
        <v>128</v>
      </c>
      <c r="AH1321" s="175">
        <v>30</v>
      </c>
      <c r="AI1321" s="175">
        <v>2</v>
      </c>
      <c r="AJ1321" s="175">
        <v>19</v>
      </c>
      <c r="AK1321" s="175">
        <v>19</v>
      </c>
      <c r="AL1321" s="175">
        <v>20</v>
      </c>
      <c r="AM1321" s="175">
        <v>20</v>
      </c>
      <c r="AN1321" s="175">
        <v>3</v>
      </c>
      <c r="AO1321" s="175">
        <v>83</v>
      </c>
      <c r="AP1321" s="175">
        <v>34</v>
      </c>
      <c r="AQ1321" s="175">
        <v>2</v>
      </c>
      <c r="AR1321" s="175">
        <v>0</v>
      </c>
      <c r="AS1321" s="175">
        <v>54</v>
      </c>
      <c r="AT1321" s="175">
        <v>5</v>
      </c>
    </row>
    <row r="1322" spans="1:46">
      <c r="A1322">
        <v>25408</v>
      </c>
      <c r="B1322" t="s">
        <v>8308</v>
      </c>
      <c r="C1322" t="s">
        <v>8309</v>
      </c>
      <c r="D1322" t="s">
        <v>8310</v>
      </c>
      <c r="E1322" t="s">
        <v>8311</v>
      </c>
      <c r="F1322" t="s">
        <v>907</v>
      </c>
      <c r="G1322" t="s">
        <v>737</v>
      </c>
      <c r="H1322" t="s">
        <v>449</v>
      </c>
      <c r="J1322" t="s">
        <v>4032</v>
      </c>
      <c r="K1322" t="s">
        <v>606</v>
      </c>
      <c r="M1322" t="s">
        <v>607</v>
      </c>
      <c r="N1322" t="s">
        <v>657</v>
      </c>
      <c r="O1322" t="s">
        <v>942</v>
      </c>
      <c r="P1322" t="s">
        <v>739</v>
      </c>
      <c r="Q1322" t="s">
        <v>467</v>
      </c>
      <c r="R1322" t="s">
        <v>793</v>
      </c>
      <c r="S1322" t="s">
        <v>907</v>
      </c>
      <c r="T1322" t="s">
        <v>794</v>
      </c>
      <c r="U1322">
        <v>140300</v>
      </c>
      <c r="V1322" t="s">
        <v>4569</v>
      </c>
      <c r="W1322" t="s">
        <v>945</v>
      </c>
      <c r="X1322" t="s">
        <v>8312</v>
      </c>
      <c r="Y1322" t="s">
        <v>8313</v>
      </c>
      <c r="Z1322" t="s">
        <v>907</v>
      </c>
      <c r="AA1322" t="s">
        <v>4449</v>
      </c>
      <c r="AB1322" t="s">
        <v>8314</v>
      </c>
      <c r="AE1322">
        <v>-36.883778900000003</v>
      </c>
      <c r="AF1322">
        <v>174.77604036</v>
      </c>
      <c r="AG1322" s="175">
        <v>32</v>
      </c>
      <c r="AH1322" s="175">
        <v>15</v>
      </c>
      <c r="AI1322" s="175">
        <v>1</v>
      </c>
      <c r="AJ1322" s="175">
        <v>3</v>
      </c>
      <c r="AK1322" s="175">
        <v>3</v>
      </c>
      <c r="AL1322" s="175">
        <v>11</v>
      </c>
      <c r="AM1322" s="175">
        <v>5</v>
      </c>
      <c r="AN1322" s="175">
        <v>2</v>
      </c>
      <c r="AO1322" s="175">
        <v>25</v>
      </c>
      <c r="AP1322" s="175">
        <v>11</v>
      </c>
      <c r="AQ1322" s="175">
        <v>3</v>
      </c>
      <c r="AR1322" s="175">
        <v>3</v>
      </c>
      <c r="AS1322" s="175">
        <v>14</v>
      </c>
      <c r="AT1322" s="175">
        <v>3</v>
      </c>
    </row>
    <row r="1323" spans="1:46">
      <c r="A1323">
        <v>25410</v>
      </c>
      <c r="B1323" t="s">
        <v>8315</v>
      </c>
      <c r="C1323" t="s">
        <v>8316</v>
      </c>
      <c r="D1323" t="s">
        <v>8317</v>
      </c>
      <c r="E1323" t="s">
        <v>8318</v>
      </c>
      <c r="F1323" t="s">
        <v>8319</v>
      </c>
      <c r="G1323" t="s">
        <v>737</v>
      </c>
      <c r="H1323" t="s">
        <v>450</v>
      </c>
      <c r="J1323" t="s">
        <v>4032</v>
      </c>
      <c r="K1323" t="s">
        <v>606</v>
      </c>
      <c r="M1323" t="s">
        <v>607</v>
      </c>
      <c r="N1323" t="s">
        <v>657</v>
      </c>
      <c r="O1323" t="s">
        <v>1253</v>
      </c>
      <c r="P1323" t="s">
        <v>739</v>
      </c>
      <c r="Q1323" t="s">
        <v>467</v>
      </c>
      <c r="R1323" t="s">
        <v>724</v>
      </c>
      <c r="S1323" t="s">
        <v>740</v>
      </c>
      <c r="T1323" t="s">
        <v>613</v>
      </c>
      <c r="U1323">
        <v>118600</v>
      </c>
      <c r="V1323" t="s">
        <v>4082</v>
      </c>
      <c r="W1323" t="s">
        <v>742</v>
      </c>
      <c r="X1323" t="s">
        <v>6333</v>
      </c>
      <c r="Y1323" t="s">
        <v>6334</v>
      </c>
      <c r="Z1323" t="s">
        <v>3777</v>
      </c>
      <c r="AA1323" t="s">
        <v>6335</v>
      </c>
      <c r="AB1323" t="s">
        <v>6336</v>
      </c>
      <c r="AE1323">
        <v>-36.745861640000001</v>
      </c>
      <c r="AF1323">
        <v>174.7044022</v>
      </c>
      <c r="AG1323" s="175">
        <v>50</v>
      </c>
      <c r="AH1323" s="175">
        <v>50</v>
      </c>
      <c r="AI1323" s="175">
        <v>9</v>
      </c>
      <c r="AJ1323" s="175">
        <v>13</v>
      </c>
      <c r="AK1323" s="175">
        <v>9</v>
      </c>
      <c r="AL1323" s="175">
        <v>12</v>
      </c>
      <c r="AM1323" s="175">
        <v>10</v>
      </c>
      <c r="AN1323" s="175">
        <v>0</v>
      </c>
      <c r="AO1323" s="175">
        <v>53</v>
      </c>
      <c r="AP1323" s="175">
        <v>4</v>
      </c>
      <c r="AQ1323" s="175">
        <v>0</v>
      </c>
      <c r="AR1323" s="175">
        <v>0</v>
      </c>
      <c r="AS1323" s="175">
        <v>52</v>
      </c>
      <c r="AT1323" s="175">
        <v>0</v>
      </c>
    </row>
    <row r="1324" spans="1:46">
      <c r="A1324">
        <v>25413</v>
      </c>
      <c r="B1324" t="s">
        <v>8320</v>
      </c>
      <c r="C1324" t="s">
        <v>8321</v>
      </c>
      <c r="E1324" t="s">
        <v>8322</v>
      </c>
      <c r="F1324" t="s">
        <v>983</v>
      </c>
      <c r="G1324" t="s">
        <v>737</v>
      </c>
      <c r="H1324" t="s">
        <v>449</v>
      </c>
      <c r="J1324" t="s">
        <v>4032</v>
      </c>
      <c r="K1324" t="s">
        <v>606</v>
      </c>
      <c r="M1324" t="s">
        <v>607</v>
      </c>
      <c r="N1324" t="s">
        <v>657</v>
      </c>
      <c r="O1324" t="s">
        <v>898</v>
      </c>
      <c r="P1324" t="s">
        <v>739</v>
      </c>
      <c r="Q1324" t="s">
        <v>467</v>
      </c>
      <c r="R1324" t="s">
        <v>724</v>
      </c>
      <c r="S1324" t="s">
        <v>804</v>
      </c>
      <c r="T1324" t="s">
        <v>613</v>
      </c>
      <c r="U1324">
        <v>127500</v>
      </c>
      <c r="V1324" t="s">
        <v>4619</v>
      </c>
      <c r="W1324" t="s">
        <v>900</v>
      </c>
      <c r="X1324" t="s">
        <v>8323</v>
      </c>
      <c r="Y1324" t="s">
        <v>8324</v>
      </c>
      <c r="Z1324" t="s">
        <v>8325</v>
      </c>
      <c r="AA1324" t="s">
        <v>8326</v>
      </c>
      <c r="AE1324">
        <v>-36.892389780000002</v>
      </c>
      <c r="AF1324">
        <v>174.6270356</v>
      </c>
      <c r="AG1324" s="175">
        <v>125</v>
      </c>
      <c r="AH1324" s="175">
        <v>35</v>
      </c>
      <c r="AI1324" s="175">
        <v>5</v>
      </c>
      <c r="AJ1324" s="175">
        <v>21</v>
      </c>
      <c r="AK1324" s="175">
        <v>22</v>
      </c>
      <c r="AL1324" s="175">
        <v>18</v>
      </c>
      <c r="AM1324" s="175">
        <v>25</v>
      </c>
      <c r="AN1324" s="175">
        <v>0</v>
      </c>
      <c r="AO1324" s="175">
        <v>91</v>
      </c>
      <c r="AP1324" s="175">
        <v>48</v>
      </c>
      <c r="AQ1324" s="175">
        <v>19</v>
      </c>
      <c r="AR1324" s="175">
        <v>24</v>
      </c>
      <c r="AS1324" s="175">
        <v>29</v>
      </c>
      <c r="AT1324" s="175">
        <v>7</v>
      </c>
    </row>
    <row r="1325" spans="1:46">
      <c r="A1325">
        <v>25417</v>
      </c>
      <c r="B1325" t="s">
        <v>8327</v>
      </c>
      <c r="C1325" t="s">
        <v>6602</v>
      </c>
      <c r="D1325" t="s">
        <v>8328</v>
      </c>
      <c r="E1325" t="s">
        <v>8329</v>
      </c>
      <c r="F1325" t="s">
        <v>802</v>
      </c>
      <c r="G1325" t="s">
        <v>737</v>
      </c>
      <c r="H1325" t="s">
        <v>449</v>
      </c>
      <c r="J1325" t="s">
        <v>605</v>
      </c>
      <c r="K1325" t="s">
        <v>606</v>
      </c>
      <c r="M1325" t="s">
        <v>607</v>
      </c>
      <c r="N1325" t="s">
        <v>657</v>
      </c>
      <c r="O1325" t="s">
        <v>803</v>
      </c>
      <c r="P1325" t="s">
        <v>739</v>
      </c>
      <c r="Q1325" t="s">
        <v>467</v>
      </c>
      <c r="R1325" t="s">
        <v>793</v>
      </c>
      <c r="S1325" t="s">
        <v>855</v>
      </c>
      <c r="T1325" t="s">
        <v>794</v>
      </c>
      <c r="U1325">
        <v>135000</v>
      </c>
      <c r="V1325" t="s">
        <v>5799</v>
      </c>
      <c r="W1325" t="s">
        <v>806</v>
      </c>
      <c r="X1325" t="s">
        <v>4013</v>
      </c>
      <c r="Y1325" t="s">
        <v>4014</v>
      </c>
      <c r="Z1325" t="s">
        <v>4015</v>
      </c>
      <c r="AA1325" t="s">
        <v>4016</v>
      </c>
      <c r="AB1325" t="s">
        <v>4017</v>
      </c>
      <c r="AE1325">
        <v>-36.906875710000001</v>
      </c>
      <c r="AF1325">
        <v>174.69920529999999</v>
      </c>
      <c r="AG1325" s="175">
        <v>150</v>
      </c>
      <c r="AH1325" s="175">
        <v>20</v>
      </c>
      <c r="AI1325" s="175">
        <v>3</v>
      </c>
      <c r="AJ1325" s="175">
        <v>17</v>
      </c>
      <c r="AK1325" s="175">
        <v>27</v>
      </c>
      <c r="AL1325" s="175">
        <v>36</v>
      </c>
      <c r="AM1325" s="175">
        <v>41</v>
      </c>
      <c r="AN1325" s="175">
        <v>3</v>
      </c>
      <c r="AO1325" s="175">
        <v>127</v>
      </c>
      <c r="AP1325" s="175">
        <v>30</v>
      </c>
      <c r="AQ1325" s="175">
        <v>38</v>
      </c>
      <c r="AR1325" s="175">
        <v>25</v>
      </c>
      <c r="AS1325" s="175">
        <v>52</v>
      </c>
      <c r="AT1325" s="175">
        <v>20</v>
      </c>
    </row>
    <row r="1326" spans="1:46">
      <c r="A1326">
        <v>25418</v>
      </c>
      <c r="B1326" t="s">
        <v>8330</v>
      </c>
      <c r="C1326" t="s">
        <v>6336</v>
      </c>
      <c r="E1326" t="s">
        <v>8331</v>
      </c>
      <c r="F1326" t="s">
        <v>3777</v>
      </c>
      <c r="G1326" t="s">
        <v>4393</v>
      </c>
      <c r="H1326" t="s">
        <v>449</v>
      </c>
      <c r="J1326" t="s">
        <v>4032</v>
      </c>
      <c r="K1326" t="s">
        <v>606</v>
      </c>
      <c r="M1326" t="s">
        <v>607</v>
      </c>
      <c r="N1326" t="s">
        <v>657</v>
      </c>
      <c r="O1326" t="s">
        <v>1253</v>
      </c>
      <c r="P1326" t="s">
        <v>739</v>
      </c>
      <c r="Q1326" t="s">
        <v>467</v>
      </c>
      <c r="R1326" t="s">
        <v>724</v>
      </c>
      <c r="S1326" t="s">
        <v>740</v>
      </c>
      <c r="T1326" t="s">
        <v>613</v>
      </c>
      <c r="U1326">
        <v>117400</v>
      </c>
      <c r="V1326" t="s">
        <v>3778</v>
      </c>
      <c r="W1326" t="s">
        <v>742</v>
      </c>
      <c r="X1326" t="s">
        <v>4527</v>
      </c>
      <c r="Y1326" t="s">
        <v>8332</v>
      </c>
      <c r="Z1326" t="s">
        <v>6103</v>
      </c>
      <c r="AA1326" t="s">
        <v>6104</v>
      </c>
      <c r="AB1326" t="s">
        <v>4529</v>
      </c>
      <c r="AE1326">
        <v>-36.738331789999997</v>
      </c>
      <c r="AF1326">
        <v>174.691913</v>
      </c>
      <c r="AG1326" s="175">
        <v>50</v>
      </c>
      <c r="AH1326" s="175">
        <v>10</v>
      </c>
      <c r="AI1326" s="175">
        <v>1</v>
      </c>
      <c r="AJ1326" s="175">
        <v>4</v>
      </c>
      <c r="AK1326" s="175">
        <v>6</v>
      </c>
      <c r="AL1326" s="175">
        <v>13</v>
      </c>
      <c r="AM1326" s="175">
        <v>10</v>
      </c>
      <c r="AN1326" s="175">
        <v>3</v>
      </c>
      <c r="AO1326" s="175">
        <v>37</v>
      </c>
      <c r="AP1326" s="175">
        <v>11</v>
      </c>
      <c r="AQ1326" s="175">
        <v>4</v>
      </c>
      <c r="AR1326" s="175">
        <v>3</v>
      </c>
      <c r="AS1326" s="175">
        <v>23</v>
      </c>
      <c r="AT1326" s="175">
        <v>2</v>
      </c>
    </row>
    <row r="1327" spans="1:46">
      <c r="A1327">
        <v>25421</v>
      </c>
      <c r="B1327" t="s">
        <v>8333</v>
      </c>
      <c r="C1327" t="s">
        <v>8334</v>
      </c>
      <c r="D1327" t="s">
        <v>8335</v>
      </c>
      <c r="E1327" t="s">
        <v>8336</v>
      </c>
      <c r="F1327" t="s">
        <v>5242</v>
      </c>
      <c r="G1327" t="s">
        <v>737</v>
      </c>
      <c r="H1327" t="s">
        <v>449</v>
      </c>
      <c r="J1327" t="s">
        <v>4032</v>
      </c>
      <c r="K1327" t="s">
        <v>606</v>
      </c>
      <c r="M1327" t="s">
        <v>607</v>
      </c>
      <c r="N1327" t="s">
        <v>657</v>
      </c>
      <c r="O1327" t="s">
        <v>914</v>
      </c>
      <c r="P1327" t="s">
        <v>739</v>
      </c>
      <c r="Q1327" t="s">
        <v>467</v>
      </c>
      <c r="R1327" t="s">
        <v>793</v>
      </c>
      <c r="S1327" t="s">
        <v>965</v>
      </c>
      <c r="T1327" t="s">
        <v>794</v>
      </c>
      <c r="U1327">
        <v>144700</v>
      </c>
      <c r="V1327" t="s">
        <v>4892</v>
      </c>
      <c r="W1327" t="s">
        <v>892</v>
      </c>
      <c r="X1327" t="s">
        <v>5302</v>
      </c>
      <c r="Y1327" t="s">
        <v>4756</v>
      </c>
      <c r="Z1327" t="s">
        <v>4757</v>
      </c>
      <c r="AA1327" t="s">
        <v>4758</v>
      </c>
      <c r="AB1327" t="s">
        <v>5303</v>
      </c>
      <c r="AE1327">
        <v>-36.867390909999997</v>
      </c>
      <c r="AF1327">
        <v>174.85007365000001</v>
      </c>
      <c r="AG1327" s="175">
        <v>62</v>
      </c>
      <c r="AH1327" s="175">
        <v>25</v>
      </c>
      <c r="AI1327" s="175">
        <v>2</v>
      </c>
      <c r="AJ1327" s="175">
        <v>19</v>
      </c>
      <c r="AK1327" s="175">
        <v>16</v>
      </c>
      <c r="AL1327" s="175">
        <v>14</v>
      </c>
      <c r="AM1327" s="175">
        <v>14</v>
      </c>
      <c r="AN1327" s="175">
        <v>1</v>
      </c>
      <c r="AO1327" s="175">
        <v>66</v>
      </c>
      <c r="AP1327" s="175">
        <v>63</v>
      </c>
      <c r="AQ1327" s="175">
        <v>0</v>
      </c>
      <c r="AR1327" s="175">
        <v>2</v>
      </c>
      <c r="AS1327" s="175">
        <v>13</v>
      </c>
      <c r="AT1327" s="175">
        <v>2</v>
      </c>
    </row>
    <row r="1328" spans="1:46">
      <c r="A1328">
        <v>25423</v>
      </c>
      <c r="B1328" t="s">
        <v>8337</v>
      </c>
      <c r="C1328" t="s">
        <v>8338</v>
      </c>
      <c r="E1328" t="s">
        <v>8339</v>
      </c>
      <c r="F1328" t="s">
        <v>888</v>
      </c>
      <c r="G1328" t="s">
        <v>737</v>
      </c>
      <c r="H1328" t="s">
        <v>449</v>
      </c>
      <c r="J1328" t="s">
        <v>4032</v>
      </c>
      <c r="K1328" t="s">
        <v>606</v>
      </c>
      <c r="M1328" t="s">
        <v>607</v>
      </c>
      <c r="N1328" t="s">
        <v>657</v>
      </c>
      <c r="O1328" t="s">
        <v>914</v>
      </c>
      <c r="P1328" t="s">
        <v>739</v>
      </c>
      <c r="Q1328" t="s">
        <v>467</v>
      </c>
      <c r="R1328" t="s">
        <v>793</v>
      </c>
      <c r="S1328" t="s">
        <v>890</v>
      </c>
      <c r="T1328" t="s">
        <v>794</v>
      </c>
      <c r="U1328">
        <v>145300</v>
      </c>
      <c r="V1328" t="s">
        <v>8340</v>
      </c>
      <c r="W1328" t="s">
        <v>892</v>
      </c>
      <c r="X1328" t="s">
        <v>8341</v>
      </c>
      <c r="Y1328" t="s">
        <v>4725</v>
      </c>
      <c r="Z1328" t="s">
        <v>1043</v>
      </c>
      <c r="AA1328" t="s">
        <v>4726</v>
      </c>
      <c r="AB1328" t="s">
        <v>8342</v>
      </c>
      <c r="AE1328">
        <v>-36.890936779999997</v>
      </c>
      <c r="AF1328">
        <v>174.82699819999999</v>
      </c>
      <c r="AG1328" s="175">
        <v>100</v>
      </c>
      <c r="AH1328" s="175">
        <v>35</v>
      </c>
      <c r="AI1328" s="175">
        <v>2</v>
      </c>
      <c r="AJ1328" s="175">
        <v>15</v>
      </c>
      <c r="AK1328" s="175">
        <v>20</v>
      </c>
      <c r="AL1328" s="175">
        <v>16</v>
      </c>
      <c r="AM1328" s="175">
        <v>19</v>
      </c>
      <c r="AN1328" s="175">
        <v>0</v>
      </c>
      <c r="AO1328" s="175">
        <v>72</v>
      </c>
      <c r="AP1328" s="175">
        <v>40</v>
      </c>
      <c r="AQ1328" s="175">
        <v>6</v>
      </c>
      <c r="AR1328" s="175">
        <v>2</v>
      </c>
      <c r="AS1328" s="175">
        <v>36</v>
      </c>
      <c r="AT1328" s="175">
        <v>1</v>
      </c>
    </row>
    <row r="1329" spans="1:46">
      <c r="A1329">
        <v>25425</v>
      </c>
      <c r="B1329" t="s">
        <v>8343</v>
      </c>
      <c r="C1329" t="s">
        <v>8344</v>
      </c>
      <c r="D1329" t="s">
        <v>8345</v>
      </c>
      <c r="E1329" t="s">
        <v>8346</v>
      </c>
      <c r="F1329" t="s">
        <v>4813</v>
      </c>
      <c r="G1329" t="s">
        <v>737</v>
      </c>
      <c r="H1329" t="s">
        <v>449</v>
      </c>
      <c r="J1329" t="s">
        <v>4032</v>
      </c>
      <c r="K1329" t="s">
        <v>606</v>
      </c>
      <c r="M1329" t="s">
        <v>607</v>
      </c>
      <c r="N1329" t="s">
        <v>657</v>
      </c>
      <c r="O1329" t="s">
        <v>958</v>
      </c>
      <c r="P1329" t="s">
        <v>739</v>
      </c>
      <c r="Q1329" t="s">
        <v>467</v>
      </c>
      <c r="R1329" t="s">
        <v>724</v>
      </c>
      <c r="S1329" t="s">
        <v>804</v>
      </c>
      <c r="T1329" t="s">
        <v>794</v>
      </c>
      <c r="U1329">
        <v>134700</v>
      </c>
      <c r="V1329" t="s">
        <v>4814</v>
      </c>
      <c r="W1329" t="s">
        <v>900</v>
      </c>
      <c r="X1329" t="s">
        <v>8347</v>
      </c>
      <c r="Y1329" t="s">
        <v>8346</v>
      </c>
      <c r="Z1329" t="s">
        <v>4813</v>
      </c>
      <c r="AA1329" t="s">
        <v>4387</v>
      </c>
      <c r="AB1329" t="s">
        <v>8348</v>
      </c>
      <c r="AE1329">
        <v>-36.929919679999998</v>
      </c>
      <c r="AF1329">
        <v>174.65466103</v>
      </c>
      <c r="AG1329" s="175">
        <v>30</v>
      </c>
      <c r="AH1329" s="175">
        <v>0</v>
      </c>
      <c r="AI1329" s="175">
        <v>0</v>
      </c>
      <c r="AJ1329" s="175">
        <v>0</v>
      </c>
      <c r="AK1329" s="175">
        <v>8</v>
      </c>
      <c r="AL1329" s="175">
        <v>11</v>
      </c>
      <c r="AM1329" s="175">
        <v>13</v>
      </c>
      <c r="AN1329" s="175">
        <v>0</v>
      </c>
      <c r="AO1329" s="175">
        <v>32</v>
      </c>
      <c r="AP1329" s="175">
        <v>27</v>
      </c>
      <c r="AQ1329" s="175">
        <v>4</v>
      </c>
      <c r="AR1329" s="175">
        <v>4</v>
      </c>
      <c r="AS1329" s="175">
        <v>5</v>
      </c>
      <c r="AT1329" s="175">
        <v>1</v>
      </c>
    </row>
    <row r="1330" spans="1:46">
      <c r="A1330">
        <v>25427</v>
      </c>
      <c r="B1330" t="s">
        <v>8349</v>
      </c>
      <c r="C1330" t="s">
        <v>8350</v>
      </c>
      <c r="D1330" t="s">
        <v>8351</v>
      </c>
      <c r="E1330" t="s">
        <v>8352</v>
      </c>
      <c r="F1330" t="s">
        <v>1121</v>
      </c>
      <c r="G1330" t="s">
        <v>737</v>
      </c>
      <c r="H1330" t="s">
        <v>449</v>
      </c>
      <c r="J1330" t="s">
        <v>605</v>
      </c>
      <c r="K1330" t="s">
        <v>606</v>
      </c>
      <c r="M1330" t="s">
        <v>607</v>
      </c>
      <c r="N1330" t="s">
        <v>608</v>
      </c>
      <c r="O1330" t="s">
        <v>1301</v>
      </c>
      <c r="P1330" t="s">
        <v>739</v>
      </c>
      <c r="Q1330" t="s">
        <v>467</v>
      </c>
      <c r="R1330" t="s">
        <v>814</v>
      </c>
      <c r="S1330" t="s">
        <v>1302</v>
      </c>
      <c r="T1330" t="s">
        <v>794</v>
      </c>
      <c r="U1330">
        <v>160800</v>
      </c>
      <c r="V1330" t="s">
        <v>1303</v>
      </c>
      <c r="W1330" t="s">
        <v>1304</v>
      </c>
      <c r="X1330" t="s">
        <v>8353</v>
      </c>
      <c r="Y1330" t="s">
        <v>6434</v>
      </c>
      <c r="Z1330" t="s">
        <v>4622</v>
      </c>
      <c r="AA1330" t="s">
        <v>4623</v>
      </c>
      <c r="AB1330" t="s">
        <v>8350</v>
      </c>
      <c r="AE1330">
        <v>-37.021943739999998</v>
      </c>
      <c r="AF1330">
        <v>174.90862145</v>
      </c>
      <c r="AG1330" s="175">
        <v>50</v>
      </c>
      <c r="AH1330" s="175">
        <v>12</v>
      </c>
      <c r="AI1330" s="175">
        <v>0</v>
      </c>
      <c r="AJ1330" s="175">
        <v>10</v>
      </c>
      <c r="AK1330" s="175">
        <v>8</v>
      </c>
      <c r="AL1330" s="175">
        <v>16</v>
      </c>
      <c r="AM1330" s="175">
        <v>9</v>
      </c>
      <c r="AN1330" s="175">
        <v>0</v>
      </c>
      <c r="AO1330" s="175">
        <v>43</v>
      </c>
      <c r="AP1330" s="175">
        <v>12</v>
      </c>
      <c r="AQ1330" s="175">
        <v>9</v>
      </c>
      <c r="AR1330" s="175">
        <v>18</v>
      </c>
      <c r="AS1330" s="175">
        <v>16</v>
      </c>
      <c r="AT1330" s="175">
        <v>0</v>
      </c>
    </row>
    <row r="1331" spans="1:46">
      <c r="A1331">
        <v>25428</v>
      </c>
      <c r="B1331" t="s">
        <v>8354</v>
      </c>
      <c r="C1331" t="s">
        <v>8355</v>
      </c>
      <c r="D1331" t="s">
        <v>8356</v>
      </c>
      <c r="E1331" t="s">
        <v>6220</v>
      </c>
      <c r="F1331" t="s">
        <v>1302</v>
      </c>
      <c r="G1331" t="s">
        <v>737</v>
      </c>
      <c r="H1331" t="s">
        <v>449</v>
      </c>
      <c r="J1331" t="s">
        <v>4032</v>
      </c>
      <c r="K1331" t="s">
        <v>606</v>
      </c>
      <c r="M1331" t="s">
        <v>607</v>
      </c>
      <c r="N1331" t="s">
        <v>812</v>
      </c>
      <c r="O1331" t="s">
        <v>1353</v>
      </c>
      <c r="P1331" t="s">
        <v>739</v>
      </c>
      <c r="Q1331" t="s">
        <v>467</v>
      </c>
      <c r="R1331" t="s">
        <v>814</v>
      </c>
      <c r="S1331" t="s">
        <v>1319</v>
      </c>
      <c r="T1331" t="s">
        <v>1320</v>
      </c>
      <c r="U1331">
        <v>162602</v>
      </c>
      <c r="V1331" t="s">
        <v>8357</v>
      </c>
      <c r="W1331" t="s">
        <v>1304</v>
      </c>
      <c r="X1331" t="s">
        <v>8358</v>
      </c>
      <c r="Y1331" t="s">
        <v>4725</v>
      </c>
      <c r="Z1331" t="s">
        <v>1043</v>
      </c>
      <c r="AA1331" t="s">
        <v>4726</v>
      </c>
      <c r="AB1331" t="s">
        <v>8359</v>
      </c>
      <c r="AE1331">
        <v>-37.04925626</v>
      </c>
      <c r="AF1331">
        <v>174.93292578000001</v>
      </c>
      <c r="AG1331" s="175">
        <v>50</v>
      </c>
      <c r="AH1331" s="175">
        <v>0</v>
      </c>
      <c r="AI1331" s="175">
        <v>0</v>
      </c>
      <c r="AJ1331" s="175">
        <v>0</v>
      </c>
      <c r="AK1331" s="175">
        <v>10</v>
      </c>
      <c r="AL1331" s="175">
        <v>21</v>
      </c>
      <c r="AM1331" s="175">
        <v>20</v>
      </c>
      <c r="AN1331" s="175">
        <v>1</v>
      </c>
      <c r="AO1331" s="175">
        <v>52</v>
      </c>
      <c r="AP1331" s="175">
        <v>4</v>
      </c>
      <c r="AQ1331" s="175">
        <v>8</v>
      </c>
      <c r="AR1331" s="175">
        <v>10</v>
      </c>
      <c r="AS1331" s="175">
        <v>33</v>
      </c>
      <c r="AT1331" s="175">
        <v>2</v>
      </c>
    </row>
    <row r="1332" spans="1:46">
      <c r="A1332">
        <v>25433</v>
      </c>
      <c r="B1332" t="s">
        <v>8360</v>
      </c>
      <c r="C1332" t="s">
        <v>8361</v>
      </c>
      <c r="D1332" t="s">
        <v>8362</v>
      </c>
      <c r="E1332" t="s">
        <v>8363</v>
      </c>
      <c r="G1332" t="s">
        <v>1330</v>
      </c>
      <c r="H1332" t="s">
        <v>347</v>
      </c>
      <c r="I1332" t="s">
        <v>5017</v>
      </c>
      <c r="J1332" t="s">
        <v>605</v>
      </c>
      <c r="K1332" t="s">
        <v>606</v>
      </c>
      <c r="L1332" t="s">
        <v>4273</v>
      </c>
      <c r="M1332" t="s">
        <v>1382</v>
      </c>
      <c r="N1332" t="s">
        <v>657</v>
      </c>
      <c r="O1332" t="s">
        <v>1318</v>
      </c>
      <c r="P1332" t="s">
        <v>658</v>
      </c>
      <c r="Q1332" t="s">
        <v>467</v>
      </c>
      <c r="R1332" t="s">
        <v>814</v>
      </c>
      <c r="S1332" t="s">
        <v>1331</v>
      </c>
      <c r="T1332" t="s">
        <v>1320</v>
      </c>
      <c r="U1332">
        <v>149901</v>
      </c>
      <c r="V1332" t="s">
        <v>7834</v>
      </c>
      <c r="W1332" t="s">
        <v>1322</v>
      </c>
      <c r="X1332" t="s">
        <v>4275</v>
      </c>
      <c r="Y1332" t="s">
        <v>4276</v>
      </c>
      <c r="Z1332" t="s">
        <v>4277</v>
      </c>
      <c r="AA1332" t="s">
        <v>4278</v>
      </c>
      <c r="AC1332">
        <v>99033</v>
      </c>
      <c r="AD1332" t="s">
        <v>1333</v>
      </c>
      <c r="AE1332">
        <v>-37.229306049999998</v>
      </c>
      <c r="AF1332">
        <v>174.70747383</v>
      </c>
      <c r="AG1332" s="175">
        <v>30</v>
      </c>
      <c r="AH1332" s="175">
        <v>10</v>
      </c>
      <c r="AI1332" s="175">
        <v>0</v>
      </c>
      <c r="AJ1332" s="175">
        <v>2</v>
      </c>
      <c r="AK1332" s="175">
        <v>4</v>
      </c>
      <c r="AL1332" s="175">
        <v>6</v>
      </c>
      <c r="AM1332" s="175">
        <v>4</v>
      </c>
      <c r="AN1332" s="175">
        <v>0</v>
      </c>
      <c r="AO1332" s="175">
        <v>16</v>
      </c>
      <c r="AP1332" s="175">
        <v>0</v>
      </c>
      <c r="AQ1332" s="175">
        <v>14</v>
      </c>
      <c r="AR1332" s="175">
        <v>0</v>
      </c>
      <c r="AS1332" s="175">
        <v>0</v>
      </c>
      <c r="AT1332" s="175">
        <v>2</v>
      </c>
    </row>
    <row r="1333" spans="1:46">
      <c r="A1333">
        <v>25435</v>
      </c>
      <c r="B1333" t="s">
        <v>8364</v>
      </c>
      <c r="C1333" t="s">
        <v>8365</v>
      </c>
      <c r="D1333" t="s">
        <v>8366</v>
      </c>
      <c r="E1333" t="s">
        <v>8367</v>
      </c>
      <c r="F1333" t="s">
        <v>1121</v>
      </c>
      <c r="G1333" t="s">
        <v>737</v>
      </c>
      <c r="H1333" t="s">
        <v>449</v>
      </c>
      <c r="J1333" t="s">
        <v>605</v>
      </c>
      <c r="K1333" t="s">
        <v>606</v>
      </c>
      <c r="M1333" t="s">
        <v>607</v>
      </c>
      <c r="N1333" t="s">
        <v>608</v>
      </c>
      <c r="O1333" t="s">
        <v>1301</v>
      </c>
      <c r="P1333" t="s">
        <v>739</v>
      </c>
      <c r="Q1333" t="s">
        <v>467</v>
      </c>
      <c r="R1333" t="s">
        <v>814</v>
      </c>
      <c r="S1333" t="s">
        <v>1121</v>
      </c>
      <c r="T1333" t="s">
        <v>794</v>
      </c>
      <c r="U1333">
        <v>160300</v>
      </c>
      <c r="V1333" t="s">
        <v>1337</v>
      </c>
      <c r="W1333" t="s">
        <v>1304</v>
      </c>
      <c r="X1333" t="s">
        <v>8368</v>
      </c>
      <c r="Y1333" t="s">
        <v>8369</v>
      </c>
      <c r="Z1333" t="s">
        <v>1121</v>
      </c>
      <c r="AA1333" t="s">
        <v>5268</v>
      </c>
      <c r="AB1333" t="s">
        <v>8370</v>
      </c>
      <c r="AE1333">
        <v>-37.016743599999998</v>
      </c>
      <c r="AF1333">
        <v>174.89402290000001</v>
      </c>
      <c r="AG1333" s="175">
        <v>38</v>
      </c>
      <c r="AH1333" s="175">
        <v>0</v>
      </c>
      <c r="AI1333" s="175">
        <v>0</v>
      </c>
      <c r="AJ1333" s="175">
        <v>0</v>
      </c>
      <c r="AK1333" s="175">
        <v>3</v>
      </c>
      <c r="AL1333" s="175">
        <v>9</v>
      </c>
      <c r="AM1333" s="175">
        <v>12</v>
      </c>
      <c r="AN1333" s="175">
        <v>0</v>
      </c>
      <c r="AO1333" s="175">
        <v>24</v>
      </c>
      <c r="AP1333" s="175">
        <v>1</v>
      </c>
      <c r="AQ1333" s="175">
        <v>1</v>
      </c>
      <c r="AR1333" s="175">
        <v>0</v>
      </c>
      <c r="AS1333" s="175">
        <v>24</v>
      </c>
      <c r="AT1333" s="175">
        <v>0</v>
      </c>
    </row>
    <row r="1334" spans="1:46">
      <c r="A1334">
        <v>25437</v>
      </c>
      <c r="B1334" t="s">
        <v>8371</v>
      </c>
      <c r="C1334" t="s">
        <v>8372</v>
      </c>
      <c r="D1334" t="s">
        <v>8373</v>
      </c>
      <c r="E1334" t="s">
        <v>8374</v>
      </c>
      <c r="F1334" t="s">
        <v>1121</v>
      </c>
      <c r="G1334" t="s">
        <v>737</v>
      </c>
      <c r="H1334" t="s">
        <v>449</v>
      </c>
      <c r="J1334" t="s">
        <v>605</v>
      </c>
      <c r="K1334" t="s">
        <v>606</v>
      </c>
      <c r="M1334" t="s">
        <v>607</v>
      </c>
      <c r="N1334" t="s">
        <v>643</v>
      </c>
      <c r="O1334" t="s">
        <v>1301</v>
      </c>
      <c r="P1334" t="s">
        <v>739</v>
      </c>
      <c r="Q1334" t="s">
        <v>467</v>
      </c>
      <c r="R1334" t="s">
        <v>814</v>
      </c>
      <c r="S1334" t="s">
        <v>1121</v>
      </c>
      <c r="T1334" t="s">
        <v>794</v>
      </c>
      <c r="U1334">
        <v>160300</v>
      </c>
      <c r="V1334" t="s">
        <v>1337</v>
      </c>
      <c r="W1334" t="s">
        <v>1304</v>
      </c>
      <c r="X1334" t="s">
        <v>5168</v>
      </c>
      <c r="Y1334" t="s">
        <v>5169</v>
      </c>
      <c r="Z1334" t="s">
        <v>5170</v>
      </c>
      <c r="AA1334" t="s">
        <v>5171</v>
      </c>
      <c r="AB1334" t="s">
        <v>5172</v>
      </c>
      <c r="AC1334">
        <v>99186</v>
      </c>
      <c r="AD1334" t="s">
        <v>1309</v>
      </c>
      <c r="AE1334">
        <v>-37.019314680000001</v>
      </c>
      <c r="AF1334">
        <v>174.89534269999999</v>
      </c>
      <c r="AG1334" s="175">
        <v>40</v>
      </c>
      <c r="AH1334" s="175">
        <v>0</v>
      </c>
      <c r="AI1334" s="175">
        <v>0</v>
      </c>
      <c r="AJ1334" s="175">
        <v>0</v>
      </c>
      <c r="AK1334" s="175">
        <v>1</v>
      </c>
      <c r="AL1334" s="175">
        <v>11</v>
      </c>
      <c r="AM1334" s="175">
        <v>16</v>
      </c>
      <c r="AN1334" s="175">
        <v>0</v>
      </c>
      <c r="AO1334" s="175">
        <v>28</v>
      </c>
      <c r="AP1334" s="175">
        <v>2</v>
      </c>
      <c r="AQ1334" s="175">
        <v>6</v>
      </c>
      <c r="AR1334" s="175">
        <v>14</v>
      </c>
      <c r="AS1334" s="175">
        <v>14</v>
      </c>
      <c r="AT1334" s="175">
        <v>2</v>
      </c>
    </row>
    <row r="1335" spans="1:46">
      <c r="A1335">
        <v>25438</v>
      </c>
      <c r="B1335" t="s">
        <v>8375</v>
      </c>
      <c r="C1335" t="s">
        <v>8376</v>
      </c>
      <c r="E1335" t="s">
        <v>8377</v>
      </c>
      <c r="F1335" t="s">
        <v>863</v>
      </c>
      <c r="G1335" t="s">
        <v>737</v>
      </c>
      <c r="H1335" t="s">
        <v>449</v>
      </c>
      <c r="J1335" t="s">
        <v>4032</v>
      </c>
      <c r="K1335" t="s">
        <v>606</v>
      </c>
      <c r="M1335" t="s">
        <v>607</v>
      </c>
      <c r="N1335" t="s">
        <v>657</v>
      </c>
      <c r="O1335" t="s">
        <v>813</v>
      </c>
      <c r="P1335" t="s">
        <v>739</v>
      </c>
      <c r="Q1335" t="s">
        <v>467</v>
      </c>
      <c r="R1335" t="s">
        <v>814</v>
      </c>
      <c r="S1335" t="s">
        <v>863</v>
      </c>
      <c r="T1335" t="s">
        <v>794</v>
      </c>
      <c r="U1335">
        <v>156000</v>
      </c>
      <c r="V1335" t="s">
        <v>6473</v>
      </c>
      <c r="W1335" t="s">
        <v>817</v>
      </c>
      <c r="X1335" t="s">
        <v>5226</v>
      </c>
      <c r="Y1335" t="s">
        <v>5227</v>
      </c>
      <c r="Z1335" t="s">
        <v>1319</v>
      </c>
      <c r="AA1335" t="s">
        <v>5228</v>
      </c>
      <c r="AB1335" t="s">
        <v>5229</v>
      </c>
      <c r="AE1335">
        <v>-36.956504770000002</v>
      </c>
      <c r="AF1335">
        <v>174.89958978000001</v>
      </c>
      <c r="AG1335" s="175">
        <v>135</v>
      </c>
      <c r="AH1335" s="175">
        <v>25</v>
      </c>
      <c r="AI1335" s="175">
        <v>4</v>
      </c>
      <c r="AJ1335" s="175">
        <v>12</v>
      </c>
      <c r="AK1335" s="175">
        <v>13</v>
      </c>
      <c r="AL1335" s="175">
        <v>19</v>
      </c>
      <c r="AM1335" s="175">
        <v>18</v>
      </c>
      <c r="AN1335" s="175">
        <v>1</v>
      </c>
      <c r="AO1335" s="175">
        <v>67</v>
      </c>
      <c r="AP1335" s="175">
        <v>7</v>
      </c>
      <c r="AQ1335" s="175">
        <v>1</v>
      </c>
      <c r="AR1335" s="175">
        <v>11</v>
      </c>
      <c r="AS1335" s="175">
        <v>52</v>
      </c>
      <c r="AT1335" s="175">
        <v>5</v>
      </c>
    </row>
    <row r="1336" spans="1:46">
      <c r="A1336">
        <v>25442</v>
      </c>
      <c r="B1336" t="s">
        <v>8378</v>
      </c>
      <c r="C1336" t="s">
        <v>8379</v>
      </c>
      <c r="D1336" t="s">
        <v>8380</v>
      </c>
      <c r="E1336" t="s">
        <v>8381</v>
      </c>
      <c r="F1336" t="s">
        <v>932</v>
      </c>
      <c r="G1336" t="s">
        <v>737</v>
      </c>
      <c r="H1336" t="s">
        <v>449</v>
      </c>
      <c r="I1336" t="s">
        <v>4320</v>
      </c>
      <c r="J1336" t="s">
        <v>605</v>
      </c>
      <c r="K1336" t="s">
        <v>606</v>
      </c>
      <c r="M1336" t="s">
        <v>607</v>
      </c>
      <c r="N1336" t="s">
        <v>608</v>
      </c>
      <c r="O1336" t="s">
        <v>933</v>
      </c>
      <c r="P1336" t="s">
        <v>739</v>
      </c>
      <c r="Q1336" t="s">
        <v>467</v>
      </c>
      <c r="R1336" t="s">
        <v>814</v>
      </c>
      <c r="S1336" t="s">
        <v>934</v>
      </c>
      <c r="T1336" t="s">
        <v>794</v>
      </c>
      <c r="U1336">
        <v>148200</v>
      </c>
      <c r="V1336" t="s">
        <v>935</v>
      </c>
      <c r="W1336" t="s">
        <v>817</v>
      </c>
      <c r="X1336" t="s">
        <v>8382</v>
      </c>
      <c r="Y1336" t="s">
        <v>8381</v>
      </c>
      <c r="Z1336" t="s">
        <v>932</v>
      </c>
      <c r="AA1336" t="s">
        <v>4322</v>
      </c>
      <c r="AC1336">
        <v>99124</v>
      </c>
      <c r="AD1336" t="s">
        <v>4646</v>
      </c>
      <c r="AE1336">
        <v>-36.948536730000001</v>
      </c>
      <c r="AF1336">
        <v>174.81383632000001</v>
      </c>
      <c r="AG1336" s="175">
        <v>65</v>
      </c>
      <c r="AH1336" s="175">
        <v>15</v>
      </c>
      <c r="AI1336" s="175">
        <v>0</v>
      </c>
      <c r="AJ1336" s="175">
        <v>0</v>
      </c>
      <c r="AK1336" s="175">
        <v>7</v>
      </c>
      <c r="AL1336" s="175">
        <v>6</v>
      </c>
      <c r="AM1336" s="175">
        <v>3</v>
      </c>
      <c r="AN1336" s="175">
        <v>0</v>
      </c>
      <c r="AO1336" s="175">
        <v>16</v>
      </c>
      <c r="AP1336" s="175">
        <v>0</v>
      </c>
      <c r="AQ1336" s="175">
        <v>0</v>
      </c>
      <c r="AR1336" s="175">
        <v>16</v>
      </c>
      <c r="AS1336" s="175">
        <v>0</v>
      </c>
      <c r="AT1336" s="175">
        <v>0</v>
      </c>
    </row>
    <row r="1337" spans="1:46">
      <c r="A1337">
        <v>30000</v>
      </c>
      <c r="B1337" t="s">
        <v>8383</v>
      </c>
      <c r="C1337" t="s">
        <v>8384</v>
      </c>
      <c r="D1337" t="s">
        <v>8385</v>
      </c>
      <c r="E1337" t="s">
        <v>8386</v>
      </c>
      <c r="G1337" t="s">
        <v>1500</v>
      </c>
      <c r="H1337" t="s">
        <v>449</v>
      </c>
      <c r="J1337" t="s">
        <v>4032</v>
      </c>
      <c r="K1337" t="s">
        <v>606</v>
      </c>
      <c r="M1337" t="s">
        <v>1382</v>
      </c>
      <c r="N1337" t="s">
        <v>657</v>
      </c>
      <c r="O1337" t="s">
        <v>1435</v>
      </c>
      <c r="P1337" t="s">
        <v>610</v>
      </c>
      <c r="Q1337" t="s">
        <v>510</v>
      </c>
      <c r="R1337" t="s">
        <v>1384</v>
      </c>
      <c r="S1337" t="s">
        <v>1501</v>
      </c>
      <c r="T1337" t="s">
        <v>1320</v>
      </c>
      <c r="U1337">
        <v>171601</v>
      </c>
      <c r="V1337" t="s">
        <v>1500</v>
      </c>
      <c r="W1337" t="s">
        <v>1502</v>
      </c>
      <c r="X1337" t="s">
        <v>8387</v>
      </c>
      <c r="AB1337" t="s">
        <v>8388</v>
      </c>
      <c r="AE1337">
        <v>-37.799284030000003</v>
      </c>
      <c r="AF1337">
        <v>174.86876774000001</v>
      </c>
      <c r="AG1337" s="175">
        <v>45</v>
      </c>
      <c r="AH1337" s="175">
        <v>15</v>
      </c>
      <c r="AI1337" s="175">
        <v>1</v>
      </c>
      <c r="AJ1337" s="175">
        <v>9</v>
      </c>
      <c r="AK1337" s="175">
        <v>15</v>
      </c>
      <c r="AL1337" s="175">
        <v>11</v>
      </c>
      <c r="AM1337" s="175">
        <v>7</v>
      </c>
      <c r="AN1337" s="175">
        <v>0</v>
      </c>
      <c r="AO1337" s="175">
        <v>43</v>
      </c>
      <c r="AP1337" s="175">
        <v>38</v>
      </c>
      <c r="AQ1337" s="175">
        <v>17</v>
      </c>
      <c r="AR1337" s="175">
        <v>5</v>
      </c>
      <c r="AS1337" s="175">
        <v>4</v>
      </c>
      <c r="AT1337" s="175">
        <v>4</v>
      </c>
    </row>
    <row r="1338" spans="1:46">
      <c r="A1338">
        <v>30002</v>
      </c>
      <c r="B1338" t="s">
        <v>8389</v>
      </c>
      <c r="C1338" t="s">
        <v>8390</v>
      </c>
      <c r="D1338" t="s">
        <v>8391</v>
      </c>
      <c r="E1338" t="s">
        <v>8392</v>
      </c>
      <c r="G1338" t="s">
        <v>1662</v>
      </c>
      <c r="H1338" t="s">
        <v>301</v>
      </c>
      <c r="J1338" t="s">
        <v>605</v>
      </c>
      <c r="K1338" t="s">
        <v>606</v>
      </c>
      <c r="M1338" t="s">
        <v>1382</v>
      </c>
      <c r="N1338" t="s">
        <v>4586</v>
      </c>
      <c r="O1338" t="s">
        <v>1534</v>
      </c>
      <c r="P1338" t="s">
        <v>658</v>
      </c>
      <c r="Q1338" t="s">
        <v>510</v>
      </c>
      <c r="R1338" t="s">
        <v>1384</v>
      </c>
      <c r="S1338" t="s">
        <v>1384</v>
      </c>
      <c r="T1338" t="s">
        <v>1320</v>
      </c>
      <c r="U1338">
        <v>174801</v>
      </c>
      <c r="V1338" t="s">
        <v>8393</v>
      </c>
      <c r="W1338" t="s">
        <v>1664</v>
      </c>
      <c r="X1338" t="s">
        <v>8394</v>
      </c>
      <c r="Y1338" t="s">
        <v>5253</v>
      </c>
      <c r="AA1338" t="s">
        <v>5254</v>
      </c>
      <c r="AB1338" t="s">
        <v>8390</v>
      </c>
      <c r="AE1338">
        <v>-37.8786518</v>
      </c>
      <c r="AF1338">
        <v>175.7579892</v>
      </c>
      <c r="AG1338" s="175">
        <v>30</v>
      </c>
      <c r="AH1338" s="175">
        <v>15</v>
      </c>
      <c r="AI1338" s="175">
        <v>0</v>
      </c>
      <c r="AJ1338" s="175">
        <v>1</v>
      </c>
      <c r="AK1338" s="175">
        <v>4</v>
      </c>
      <c r="AL1338" s="175">
        <v>4</v>
      </c>
      <c r="AM1338" s="175">
        <v>2</v>
      </c>
      <c r="AN1338" s="175">
        <v>0</v>
      </c>
      <c r="AO1338" s="175">
        <v>11</v>
      </c>
      <c r="AP1338" s="175">
        <v>11</v>
      </c>
      <c r="AQ1338" s="175">
        <v>1</v>
      </c>
      <c r="AR1338" s="175">
        <v>0</v>
      </c>
      <c r="AS1338" s="175">
        <v>0</v>
      </c>
      <c r="AT1338" s="175">
        <v>0</v>
      </c>
    </row>
    <row r="1339" spans="1:46">
      <c r="A1339">
        <v>30004</v>
      </c>
      <c r="B1339" t="s">
        <v>8395</v>
      </c>
      <c r="C1339" t="s">
        <v>8390</v>
      </c>
      <c r="E1339" t="s">
        <v>8396</v>
      </c>
      <c r="G1339" t="s">
        <v>1662</v>
      </c>
      <c r="H1339" t="s">
        <v>301</v>
      </c>
      <c r="J1339" t="s">
        <v>605</v>
      </c>
      <c r="K1339" t="s">
        <v>606</v>
      </c>
      <c r="M1339" t="s">
        <v>1382</v>
      </c>
      <c r="N1339" t="s">
        <v>4586</v>
      </c>
      <c r="O1339" t="s">
        <v>1534</v>
      </c>
      <c r="P1339" t="s">
        <v>610</v>
      </c>
      <c r="Q1339" t="s">
        <v>510</v>
      </c>
      <c r="R1339" t="s">
        <v>1384</v>
      </c>
      <c r="S1339" t="s">
        <v>1384</v>
      </c>
      <c r="T1339" t="s">
        <v>1320</v>
      </c>
      <c r="U1339">
        <v>175001</v>
      </c>
      <c r="V1339" t="s">
        <v>1663</v>
      </c>
      <c r="W1339" t="s">
        <v>1664</v>
      </c>
      <c r="X1339" t="s">
        <v>8394</v>
      </c>
      <c r="Y1339" t="s">
        <v>5253</v>
      </c>
      <c r="AA1339" t="s">
        <v>5254</v>
      </c>
      <c r="AB1339" t="s">
        <v>8390</v>
      </c>
      <c r="AC1339">
        <v>99104</v>
      </c>
      <c r="AD1339" t="s">
        <v>1665</v>
      </c>
      <c r="AE1339">
        <v>-37.812923779999998</v>
      </c>
      <c r="AF1339">
        <v>175.76749719</v>
      </c>
      <c r="AG1339" s="175">
        <v>30</v>
      </c>
      <c r="AH1339" s="175">
        <v>15</v>
      </c>
      <c r="AI1339" s="175">
        <v>14</v>
      </c>
      <c r="AJ1339" s="175">
        <v>10</v>
      </c>
      <c r="AK1339" s="175">
        <v>16</v>
      </c>
      <c r="AL1339" s="175">
        <v>13</v>
      </c>
      <c r="AM1339" s="175">
        <v>6</v>
      </c>
      <c r="AN1339" s="175">
        <v>2</v>
      </c>
      <c r="AO1339" s="175">
        <v>61</v>
      </c>
      <c r="AP1339" s="175">
        <v>56</v>
      </c>
      <c r="AQ1339" s="175">
        <v>5</v>
      </c>
      <c r="AR1339" s="175">
        <v>2</v>
      </c>
      <c r="AS1339" s="175">
        <v>1</v>
      </c>
      <c r="AT1339" s="175">
        <v>4</v>
      </c>
    </row>
    <row r="1340" spans="1:46">
      <c r="A1340">
        <v>30007</v>
      </c>
      <c r="B1340" t="s">
        <v>8397</v>
      </c>
      <c r="C1340" t="s">
        <v>8390</v>
      </c>
      <c r="D1340" t="s">
        <v>8391</v>
      </c>
      <c r="E1340" t="s">
        <v>8398</v>
      </c>
      <c r="G1340" t="s">
        <v>8399</v>
      </c>
      <c r="H1340" t="s">
        <v>301</v>
      </c>
      <c r="J1340" t="s">
        <v>605</v>
      </c>
      <c r="K1340" t="s">
        <v>606</v>
      </c>
      <c r="M1340" t="s">
        <v>1382</v>
      </c>
      <c r="N1340" t="s">
        <v>657</v>
      </c>
      <c r="O1340" t="s">
        <v>1567</v>
      </c>
      <c r="P1340" t="s">
        <v>626</v>
      </c>
      <c r="Q1340" t="s">
        <v>510</v>
      </c>
      <c r="R1340" t="s">
        <v>1384</v>
      </c>
      <c r="S1340" t="s">
        <v>1404</v>
      </c>
      <c r="T1340" t="s">
        <v>1568</v>
      </c>
      <c r="U1340">
        <v>185800</v>
      </c>
      <c r="V1340" t="s">
        <v>8400</v>
      </c>
      <c r="W1340" t="s">
        <v>8401</v>
      </c>
      <c r="X1340" t="s">
        <v>8394</v>
      </c>
      <c r="Y1340" t="s">
        <v>5253</v>
      </c>
      <c r="AA1340" t="s">
        <v>5254</v>
      </c>
      <c r="AB1340" t="s">
        <v>8390</v>
      </c>
      <c r="AE1340">
        <v>-37.975496560000003</v>
      </c>
      <c r="AF1340">
        <v>175.75681839999999</v>
      </c>
      <c r="AG1340" s="175">
        <v>30</v>
      </c>
      <c r="AH1340" s="175">
        <v>15</v>
      </c>
      <c r="AI1340" s="175">
        <v>2</v>
      </c>
      <c r="AJ1340" s="175">
        <v>6</v>
      </c>
      <c r="AK1340" s="175">
        <v>2</v>
      </c>
      <c r="AL1340" s="175">
        <v>1</v>
      </c>
      <c r="AM1340" s="175">
        <v>3</v>
      </c>
      <c r="AN1340" s="175">
        <v>0</v>
      </c>
      <c r="AO1340" s="175">
        <v>14</v>
      </c>
      <c r="AP1340" s="175">
        <v>12</v>
      </c>
      <c r="AQ1340" s="175">
        <v>1</v>
      </c>
      <c r="AR1340" s="175">
        <v>0</v>
      </c>
      <c r="AS1340" s="175">
        <v>2</v>
      </c>
      <c r="AT1340" s="175">
        <v>0</v>
      </c>
    </row>
    <row r="1341" spans="1:46">
      <c r="A1341">
        <v>30008</v>
      </c>
      <c r="B1341" t="s">
        <v>8402</v>
      </c>
      <c r="C1341" t="s">
        <v>8390</v>
      </c>
      <c r="D1341" t="s">
        <v>8391</v>
      </c>
      <c r="E1341" t="s">
        <v>8403</v>
      </c>
      <c r="G1341" t="s">
        <v>1566</v>
      </c>
      <c r="H1341" t="s">
        <v>301</v>
      </c>
      <c r="J1341" t="s">
        <v>605</v>
      </c>
      <c r="K1341" t="s">
        <v>606</v>
      </c>
      <c r="M1341" t="s">
        <v>1382</v>
      </c>
      <c r="N1341" t="s">
        <v>643</v>
      </c>
      <c r="O1341" t="s">
        <v>1567</v>
      </c>
      <c r="P1341" t="s">
        <v>1347</v>
      </c>
      <c r="Q1341" t="s">
        <v>510</v>
      </c>
      <c r="R1341" t="s">
        <v>1384</v>
      </c>
      <c r="S1341" t="s">
        <v>1404</v>
      </c>
      <c r="T1341" t="s">
        <v>1568</v>
      </c>
      <c r="U1341">
        <v>186600</v>
      </c>
      <c r="V1341" t="s">
        <v>8404</v>
      </c>
      <c r="W1341" t="s">
        <v>1570</v>
      </c>
      <c r="X1341" t="s">
        <v>8394</v>
      </c>
      <c r="Y1341" t="s">
        <v>5253</v>
      </c>
      <c r="AA1341" t="s">
        <v>5254</v>
      </c>
      <c r="AB1341" t="s">
        <v>8390</v>
      </c>
      <c r="AE1341">
        <v>-38.23548529</v>
      </c>
      <c r="AF1341">
        <v>175.86819560999999</v>
      </c>
      <c r="AG1341" s="175">
        <v>30</v>
      </c>
      <c r="AH1341" s="175">
        <v>15</v>
      </c>
      <c r="AI1341" s="175">
        <v>1</v>
      </c>
      <c r="AJ1341" s="175">
        <v>4</v>
      </c>
      <c r="AK1341" s="175">
        <v>2</v>
      </c>
      <c r="AL1341" s="175">
        <v>4</v>
      </c>
      <c r="AM1341" s="175">
        <v>0</v>
      </c>
      <c r="AN1341" s="175">
        <v>2</v>
      </c>
      <c r="AO1341" s="175">
        <v>13</v>
      </c>
      <c r="AP1341" s="175">
        <v>11</v>
      </c>
      <c r="AQ1341" s="175">
        <v>5</v>
      </c>
      <c r="AR1341" s="175">
        <v>1</v>
      </c>
      <c r="AS1341" s="175">
        <v>2</v>
      </c>
      <c r="AT1341" s="175">
        <v>0</v>
      </c>
    </row>
    <row r="1342" spans="1:46">
      <c r="A1342">
        <v>30016</v>
      </c>
      <c r="B1342" t="s">
        <v>8405</v>
      </c>
      <c r="C1342" t="s">
        <v>8406</v>
      </c>
      <c r="D1342" t="s">
        <v>8407</v>
      </c>
      <c r="E1342" t="s">
        <v>8408</v>
      </c>
      <c r="G1342" t="s">
        <v>1580</v>
      </c>
      <c r="H1342" t="s">
        <v>449</v>
      </c>
      <c r="J1342" t="s">
        <v>4032</v>
      </c>
      <c r="K1342" t="s">
        <v>606</v>
      </c>
      <c r="M1342" t="s">
        <v>1382</v>
      </c>
      <c r="N1342" t="s">
        <v>625</v>
      </c>
      <c r="O1342" t="s">
        <v>1567</v>
      </c>
      <c r="P1342" t="s">
        <v>610</v>
      </c>
      <c r="Q1342" t="s">
        <v>510</v>
      </c>
      <c r="R1342" t="s">
        <v>1384</v>
      </c>
      <c r="S1342" t="s">
        <v>1404</v>
      </c>
      <c r="T1342" t="s">
        <v>1568</v>
      </c>
      <c r="U1342">
        <v>186000</v>
      </c>
      <c r="V1342" t="s">
        <v>1581</v>
      </c>
      <c r="W1342" t="s">
        <v>1582</v>
      </c>
      <c r="X1342" t="s">
        <v>8409</v>
      </c>
      <c r="Y1342" t="s">
        <v>8410</v>
      </c>
      <c r="AA1342" t="s">
        <v>8411</v>
      </c>
      <c r="AB1342" t="s">
        <v>8412</v>
      </c>
      <c r="AE1342">
        <v>-38.049822919999997</v>
      </c>
      <c r="AF1342">
        <v>175.78108254</v>
      </c>
      <c r="AG1342" s="175">
        <v>28</v>
      </c>
      <c r="AH1342" s="175">
        <v>8</v>
      </c>
      <c r="AI1342" s="175">
        <v>0</v>
      </c>
      <c r="AJ1342" s="175">
        <v>2</v>
      </c>
      <c r="AK1342" s="175">
        <v>4</v>
      </c>
      <c r="AL1342" s="175">
        <v>2</v>
      </c>
      <c r="AM1342" s="175">
        <v>2</v>
      </c>
      <c r="AN1342" s="175">
        <v>0</v>
      </c>
      <c r="AO1342" s="175">
        <v>10</v>
      </c>
      <c r="AP1342" s="175">
        <v>6</v>
      </c>
      <c r="AQ1342" s="175">
        <v>7</v>
      </c>
      <c r="AR1342" s="175">
        <v>1</v>
      </c>
      <c r="AS1342" s="175">
        <v>0</v>
      </c>
      <c r="AT1342" s="175">
        <v>0</v>
      </c>
    </row>
    <row r="1343" spans="1:46">
      <c r="A1343">
        <v>30017</v>
      </c>
      <c r="B1343" t="s">
        <v>8413</v>
      </c>
      <c r="C1343" t="s">
        <v>8414</v>
      </c>
      <c r="E1343" t="s">
        <v>8415</v>
      </c>
      <c r="F1343" t="s">
        <v>1429</v>
      </c>
      <c r="G1343" t="s">
        <v>1381</v>
      </c>
      <c r="H1343" t="s">
        <v>347</v>
      </c>
      <c r="J1343" t="s">
        <v>605</v>
      </c>
      <c r="K1343" t="s">
        <v>606</v>
      </c>
      <c r="L1343" t="s">
        <v>4273</v>
      </c>
      <c r="M1343" t="s">
        <v>1382</v>
      </c>
      <c r="N1343" t="s">
        <v>657</v>
      </c>
      <c r="O1343" t="s">
        <v>1383</v>
      </c>
      <c r="P1343" t="s">
        <v>739</v>
      </c>
      <c r="Q1343" t="s">
        <v>510</v>
      </c>
      <c r="R1343" t="s">
        <v>1384</v>
      </c>
      <c r="S1343" t="s">
        <v>1385</v>
      </c>
      <c r="T1343" t="s">
        <v>1320</v>
      </c>
      <c r="U1343">
        <v>178901</v>
      </c>
      <c r="V1343" t="s">
        <v>8416</v>
      </c>
      <c r="W1343" t="s">
        <v>1387</v>
      </c>
      <c r="X1343" t="s">
        <v>7695</v>
      </c>
      <c r="Y1343" t="s">
        <v>4276</v>
      </c>
      <c r="Z1343" t="s">
        <v>4277</v>
      </c>
      <c r="AA1343" t="s">
        <v>4278</v>
      </c>
      <c r="AB1343" t="s">
        <v>7696</v>
      </c>
      <c r="AE1343">
        <v>-37.801957639999998</v>
      </c>
      <c r="AF1343">
        <v>175.25804339999999</v>
      </c>
      <c r="AG1343" s="175">
        <v>34</v>
      </c>
      <c r="AH1343" s="175">
        <v>12</v>
      </c>
      <c r="AI1343" s="175">
        <v>3</v>
      </c>
      <c r="AJ1343" s="175">
        <v>7</v>
      </c>
      <c r="AK1343" s="175">
        <v>9</v>
      </c>
      <c r="AL1343" s="175">
        <v>9</v>
      </c>
      <c r="AM1343" s="175">
        <v>2</v>
      </c>
      <c r="AN1343" s="175">
        <v>0</v>
      </c>
      <c r="AO1343" s="175">
        <v>30</v>
      </c>
      <c r="AP1343" s="175">
        <v>0</v>
      </c>
      <c r="AQ1343" s="175">
        <v>30</v>
      </c>
      <c r="AR1343" s="175">
        <v>0</v>
      </c>
      <c r="AS1343" s="175">
        <v>0</v>
      </c>
      <c r="AT1343" s="175">
        <v>0</v>
      </c>
    </row>
    <row r="1344" spans="1:46">
      <c r="A1344">
        <v>30020</v>
      </c>
      <c r="B1344" t="s">
        <v>8417</v>
      </c>
      <c r="C1344" t="s">
        <v>8418</v>
      </c>
      <c r="D1344" t="s">
        <v>8419</v>
      </c>
      <c r="E1344" t="s">
        <v>8420</v>
      </c>
      <c r="F1344" t="s">
        <v>1380</v>
      </c>
      <c r="G1344" t="s">
        <v>1381</v>
      </c>
      <c r="H1344" t="s">
        <v>449</v>
      </c>
      <c r="I1344" t="s">
        <v>4041</v>
      </c>
      <c r="J1344" t="s">
        <v>4032</v>
      </c>
      <c r="K1344" t="s">
        <v>606</v>
      </c>
      <c r="M1344" t="s">
        <v>1382</v>
      </c>
      <c r="N1344" t="s">
        <v>657</v>
      </c>
      <c r="O1344" t="s">
        <v>1435</v>
      </c>
      <c r="P1344" t="s">
        <v>658</v>
      </c>
      <c r="Q1344" t="s">
        <v>510</v>
      </c>
      <c r="R1344" t="s">
        <v>1384</v>
      </c>
      <c r="S1344" t="s">
        <v>1384</v>
      </c>
      <c r="T1344" t="s">
        <v>1320</v>
      </c>
      <c r="U1344">
        <v>173000</v>
      </c>
      <c r="V1344" t="s">
        <v>8421</v>
      </c>
      <c r="W1344" t="s">
        <v>8422</v>
      </c>
      <c r="X1344" t="s">
        <v>8423</v>
      </c>
      <c r="Y1344" t="s">
        <v>8424</v>
      </c>
      <c r="AA1344" t="s">
        <v>8425</v>
      </c>
      <c r="AB1344" t="s">
        <v>8418</v>
      </c>
      <c r="AE1344">
        <v>-37.772031769999998</v>
      </c>
      <c r="AF1344">
        <v>175.35456855000001</v>
      </c>
      <c r="AG1344" s="175">
        <v>37</v>
      </c>
      <c r="AH1344" s="175">
        <v>15</v>
      </c>
      <c r="AI1344" s="175">
        <v>1</v>
      </c>
      <c r="AJ1344" s="175">
        <v>10</v>
      </c>
      <c r="AK1344" s="175">
        <v>15</v>
      </c>
      <c r="AL1344" s="175">
        <v>10</v>
      </c>
      <c r="AM1344" s="175">
        <v>18</v>
      </c>
      <c r="AN1344" s="175">
        <v>0</v>
      </c>
      <c r="AO1344" s="175">
        <v>54</v>
      </c>
      <c r="AP1344" s="175">
        <v>48</v>
      </c>
      <c r="AQ1344" s="175">
        <v>8</v>
      </c>
      <c r="AR1344" s="175">
        <v>2</v>
      </c>
      <c r="AS1344" s="175">
        <v>6</v>
      </c>
      <c r="AT1344" s="175">
        <v>1</v>
      </c>
    </row>
    <row r="1345" spans="1:46">
      <c r="A1345">
        <v>30021</v>
      </c>
      <c r="B1345" t="s">
        <v>8426</v>
      </c>
      <c r="C1345" t="s">
        <v>8427</v>
      </c>
      <c r="D1345" t="s">
        <v>8428</v>
      </c>
      <c r="E1345" t="s">
        <v>8429</v>
      </c>
      <c r="F1345" t="s">
        <v>3841</v>
      </c>
      <c r="G1345" t="s">
        <v>1681</v>
      </c>
      <c r="H1345" t="s">
        <v>449</v>
      </c>
      <c r="I1345" t="s">
        <v>6871</v>
      </c>
      <c r="J1345" t="s">
        <v>605</v>
      </c>
      <c r="K1345" t="s">
        <v>606</v>
      </c>
      <c r="M1345" t="s">
        <v>1382</v>
      </c>
      <c r="N1345" t="s">
        <v>657</v>
      </c>
      <c r="O1345" t="s">
        <v>1780</v>
      </c>
      <c r="P1345" t="s">
        <v>739</v>
      </c>
      <c r="Q1345" t="s">
        <v>511</v>
      </c>
      <c r="R1345" t="s">
        <v>1555</v>
      </c>
      <c r="S1345" t="s">
        <v>1781</v>
      </c>
      <c r="T1345" t="s">
        <v>1557</v>
      </c>
      <c r="U1345">
        <v>197000</v>
      </c>
      <c r="V1345" t="s">
        <v>4783</v>
      </c>
      <c r="W1345" t="s">
        <v>1783</v>
      </c>
      <c r="X1345" t="s">
        <v>8430</v>
      </c>
      <c r="Y1345" t="s">
        <v>8431</v>
      </c>
      <c r="AA1345" t="s">
        <v>8432</v>
      </c>
      <c r="AB1345" t="s">
        <v>8427</v>
      </c>
      <c r="AC1345">
        <v>99064</v>
      </c>
      <c r="AD1345" t="s">
        <v>1784</v>
      </c>
      <c r="AE1345">
        <v>-37.693057459999999</v>
      </c>
      <c r="AF1345">
        <v>176.25907072000001</v>
      </c>
      <c r="AG1345" s="175">
        <v>32</v>
      </c>
      <c r="AH1345" s="175">
        <v>6</v>
      </c>
      <c r="AI1345" s="175">
        <v>0</v>
      </c>
      <c r="AJ1345" s="175">
        <v>0</v>
      </c>
      <c r="AK1345" s="175">
        <v>5</v>
      </c>
      <c r="AL1345" s="175">
        <v>19</v>
      </c>
      <c r="AM1345" s="175">
        <v>15</v>
      </c>
      <c r="AN1345" s="175">
        <v>1</v>
      </c>
      <c r="AO1345" s="175">
        <v>40</v>
      </c>
      <c r="AP1345" s="175">
        <v>37</v>
      </c>
      <c r="AQ1345" s="175">
        <v>5</v>
      </c>
      <c r="AR1345" s="175">
        <v>0</v>
      </c>
      <c r="AS1345" s="175">
        <v>1</v>
      </c>
      <c r="AT1345" s="175">
        <v>1</v>
      </c>
    </row>
    <row r="1346" spans="1:46">
      <c r="A1346">
        <v>30024</v>
      </c>
      <c r="B1346" t="s">
        <v>8433</v>
      </c>
      <c r="C1346" t="s">
        <v>8434</v>
      </c>
      <c r="E1346" t="s">
        <v>8435</v>
      </c>
      <c r="G1346" t="s">
        <v>1702</v>
      </c>
      <c r="H1346" t="s">
        <v>449</v>
      </c>
      <c r="J1346" t="s">
        <v>4032</v>
      </c>
      <c r="K1346" t="s">
        <v>606</v>
      </c>
      <c r="M1346" t="s">
        <v>1382</v>
      </c>
      <c r="N1346" t="s">
        <v>643</v>
      </c>
      <c r="O1346" t="s">
        <v>1703</v>
      </c>
      <c r="P1346" t="s">
        <v>610</v>
      </c>
      <c r="Q1346" t="s">
        <v>510</v>
      </c>
      <c r="R1346" t="s">
        <v>1384</v>
      </c>
      <c r="S1346" t="s">
        <v>1501</v>
      </c>
      <c r="T1346" t="s">
        <v>1568</v>
      </c>
      <c r="U1346">
        <v>185500</v>
      </c>
      <c r="V1346" t="s">
        <v>1704</v>
      </c>
      <c r="W1346" t="s">
        <v>1705</v>
      </c>
      <c r="X1346" t="s">
        <v>8409</v>
      </c>
      <c r="Y1346" t="s">
        <v>8410</v>
      </c>
      <c r="AA1346" t="s">
        <v>8411</v>
      </c>
      <c r="AB1346" t="s">
        <v>8412</v>
      </c>
      <c r="AE1346">
        <v>-38.181155500000003</v>
      </c>
      <c r="AF1346">
        <v>175.21046770000001</v>
      </c>
      <c r="AG1346" s="175">
        <v>39</v>
      </c>
      <c r="AH1346" s="175">
        <v>10</v>
      </c>
      <c r="AI1346" s="175">
        <v>2</v>
      </c>
      <c r="AJ1346" s="175">
        <v>6</v>
      </c>
      <c r="AK1346" s="175">
        <v>12</v>
      </c>
      <c r="AL1346" s="175">
        <v>9</v>
      </c>
      <c r="AM1346" s="175">
        <v>10</v>
      </c>
      <c r="AN1346" s="175">
        <v>1</v>
      </c>
      <c r="AO1346" s="175">
        <v>40</v>
      </c>
      <c r="AP1346" s="175">
        <v>20</v>
      </c>
      <c r="AQ1346" s="175">
        <v>19</v>
      </c>
      <c r="AR1346" s="175">
        <v>0</v>
      </c>
      <c r="AS1346" s="175">
        <v>5</v>
      </c>
      <c r="AT1346" s="175">
        <v>2</v>
      </c>
    </row>
    <row r="1347" spans="1:46">
      <c r="A1347">
        <v>30028</v>
      </c>
      <c r="B1347" t="s">
        <v>8436</v>
      </c>
      <c r="C1347" t="s">
        <v>8437</v>
      </c>
      <c r="E1347" t="s">
        <v>8438</v>
      </c>
      <c r="F1347" t="s">
        <v>8439</v>
      </c>
      <c r="G1347" t="s">
        <v>1681</v>
      </c>
      <c r="H1347" t="s">
        <v>449</v>
      </c>
      <c r="J1347" t="s">
        <v>605</v>
      </c>
      <c r="K1347" t="s">
        <v>606</v>
      </c>
      <c r="M1347" t="s">
        <v>1382</v>
      </c>
      <c r="N1347" t="s">
        <v>657</v>
      </c>
      <c r="O1347" t="s">
        <v>1780</v>
      </c>
      <c r="P1347" t="s">
        <v>739</v>
      </c>
      <c r="Q1347" t="s">
        <v>511</v>
      </c>
      <c r="R1347" t="s">
        <v>1555</v>
      </c>
      <c r="S1347" t="s">
        <v>1681</v>
      </c>
      <c r="T1347" t="s">
        <v>1557</v>
      </c>
      <c r="U1347">
        <v>193900</v>
      </c>
      <c r="V1347" t="s">
        <v>8440</v>
      </c>
      <c r="W1347" t="s">
        <v>1806</v>
      </c>
      <c r="X1347" t="s">
        <v>8441</v>
      </c>
      <c r="Y1347" t="s">
        <v>4014</v>
      </c>
      <c r="Z1347" t="s">
        <v>4015</v>
      </c>
      <c r="AA1347" t="s">
        <v>4016</v>
      </c>
      <c r="AB1347" t="s">
        <v>8442</v>
      </c>
      <c r="AC1347">
        <v>99064</v>
      </c>
      <c r="AD1347" t="s">
        <v>1784</v>
      </c>
      <c r="AE1347">
        <v>-37.668657070000002</v>
      </c>
      <c r="AF1347">
        <v>176.21066440000001</v>
      </c>
      <c r="AG1347" s="175">
        <v>52</v>
      </c>
      <c r="AH1347" s="175">
        <v>18</v>
      </c>
      <c r="AI1347" s="175">
        <v>3</v>
      </c>
      <c r="AJ1347" s="175">
        <v>5</v>
      </c>
      <c r="AK1347" s="175">
        <v>12</v>
      </c>
      <c r="AL1347" s="175">
        <v>9</v>
      </c>
      <c r="AM1347" s="175">
        <v>6</v>
      </c>
      <c r="AN1347" s="175">
        <v>0</v>
      </c>
      <c r="AO1347" s="175">
        <v>35</v>
      </c>
      <c r="AP1347" s="175">
        <v>23</v>
      </c>
      <c r="AQ1347" s="175">
        <v>11</v>
      </c>
      <c r="AR1347" s="175">
        <v>4</v>
      </c>
      <c r="AS1347" s="175">
        <v>3</v>
      </c>
      <c r="AT1347" s="175">
        <v>6</v>
      </c>
    </row>
    <row r="1348" spans="1:46">
      <c r="A1348">
        <v>30032</v>
      </c>
      <c r="B1348" t="s">
        <v>8443</v>
      </c>
      <c r="C1348" t="s">
        <v>8444</v>
      </c>
      <c r="E1348" t="s">
        <v>8445</v>
      </c>
      <c r="G1348" t="s">
        <v>1434</v>
      </c>
      <c r="H1348" t="s">
        <v>347</v>
      </c>
      <c r="J1348" t="s">
        <v>605</v>
      </c>
      <c r="K1348" t="s">
        <v>606</v>
      </c>
      <c r="L1348" t="s">
        <v>4273</v>
      </c>
      <c r="M1348" t="s">
        <v>1382</v>
      </c>
      <c r="N1348" t="s">
        <v>4586</v>
      </c>
      <c r="O1348" t="s">
        <v>1435</v>
      </c>
      <c r="P1348" t="s">
        <v>610</v>
      </c>
      <c r="Q1348" t="s">
        <v>510</v>
      </c>
      <c r="R1348" t="s">
        <v>1384</v>
      </c>
      <c r="S1348" t="s">
        <v>1384</v>
      </c>
      <c r="T1348" t="s">
        <v>1320</v>
      </c>
      <c r="U1348">
        <v>172001</v>
      </c>
      <c r="V1348" t="s">
        <v>1486</v>
      </c>
      <c r="W1348" t="s">
        <v>1437</v>
      </c>
      <c r="X1348" t="s">
        <v>7695</v>
      </c>
      <c r="Y1348" t="s">
        <v>4276</v>
      </c>
      <c r="Z1348" t="s">
        <v>4277</v>
      </c>
      <c r="AA1348" t="s">
        <v>4278</v>
      </c>
      <c r="AB1348" t="s">
        <v>7696</v>
      </c>
      <c r="AE1348">
        <v>-37.66013856</v>
      </c>
      <c r="AF1348">
        <v>175.15235568</v>
      </c>
      <c r="AG1348" s="175">
        <v>29</v>
      </c>
      <c r="AH1348" s="175">
        <v>5</v>
      </c>
      <c r="AI1348" s="175">
        <v>0</v>
      </c>
      <c r="AJ1348" s="175">
        <v>5</v>
      </c>
      <c r="AK1348" s="175">
        <v>11</v>
      </c>
      <c r="AL1348" s="175">
        <v>7</v>
      </c>
      <c r="AM1348" s="175">
        <v>4</v>
      </c>
      <c r="AN1348" s="175">
        <v>0</v>
      </c>
      <c r="AO1348" s="175">
        <v>27</v>
      </c>
      <c r="AP1348" s="175">
        <v>0</v>
      </c>
      <c r="AQ1348" s="175">
        <v>27</v>
      </c>
      <c r="AR1348" s="175">
        <v>0</v>
      </c>
      <c r="AS1348" s="175">
        <v>0</v>
      </c>
      <c r="AT1348" s="175">
        <v>0</v>
      </c>
    </row>
    <row r="1349" spans="1:46">
      <c r="A1349">
        <v>30033</v>
      </c>
      <c r="B1349" t="s">
        <v>8446</v>
      </c>
      <c r="C1349" t="s">
        <v>8447</v>
      </c>
      <c r="D1349" t="s">
        <v>8448</v>
      </c>
      <c r="E1349" t="s">
        <v>8449</v>
      </c>
      <c r="F1349" t="s">
        <v>3841</v>
      </c>
      <c r="G1349" t="s">
        <v>1681</v>
      </c>
      <c r="H1349" t="s">
        <v>449</v>
      </c>
      <c r="J1349" t="s">
        <v>605</v>
      </c>
      <c r="K1349" t="s">
        <v>606</v>
      </c>
      <c r="M1349" t="s">
        <v>1382</v>
      </c>
      <c r="N1349" t="s">
        <v>643</v>
      </c>
      <c r="O1349" t="s">
        <v>1780</v>
      </c>
      <c r="P1349" t="s">
        <v>739</v>
      </c>
      <c r="Q1349" t="s">
        <v>511</v>
      </c>
      <c r="R1349" t="s">
        <v>1555</v>
      </c>
      <c r="S1349" t="s">
        <v>1781</v>
      </c>
      <c r="T1349" t="s">
        <v>1557</v>
      </c>
      <c r="U1349">
        <v>197300</v>
      </c>
      <c r="V1349" t="s">
        <v>3842</v>
      </c>
      <c r="W1349" t="s">
        <v>3843</v>
      </c>
      <c r="X1349" t="s">
        <v>8441</v>
      </c>
      <c r="Y1349" t="s">
        <v>4014</v>
      </c>
      <c r="Z1349" t="s">
        <v>4015</v>
      </c>
      <c r="AA1349" t="s">
        <v>4016</v>
      </c>
      <c r="AB1349" t="s">
        <v>8442</v>
      </c>
      <c r="AE1349">
        <v>-37.707141489999998</v>
      </c>
      <c r="AF1349">
        <v>176.28948568000001</v>
      </c>
      <c r="AG1349" s="175">
        <v>40</v>
      </c>
      <c r="AH1349" s="175">
        <v>0</v>
      </c>
      <c r="AI1349" s="175">
        <v>0</v>
      </c>
      <c r="AJ1349" s="175">
        <v>0</v>
      </c>
      <c r="AK1349" s="175">
        <v>4</v>
      </c>
      <c r="AL1349" s="175">
        <v>15</v>
      </c>
      <c r="AM1349" s="175">
        <v>12</v>
      </c>
      <c r="AN1349" s="175">
        <v>0</v>
      </c>
      <c r="AO1349" s="175">
        <v>31</v>
      </c>
      <c r="AP1349" s="175">
        <v>17</v>
      </c>
      <c r="AQ1349" s="175">
        <v>8</v>
      </c>
      <c r="AR1349" s="175">
        <v>3</v>
      </c>
      <c r="AS1349" s="175">
        <v>9</v>
      </c>
      <c r="AT1349" s="175">
        <v>2</v>
      </c>
    </row>
    <row r="1350" spans="1:46">
      <c r="A1350">
        <v>30035</v>
      </c>
      <c r="B1350" t="s">
        <v>8450</v>
      </c>
      <c r="C1350" t="s">
        <v>8451</v>
      </c>
      <c r="D1350" t="s">
        <v>8452</v>
      </c>
      <c r="E1350" t="s">
        <v>8453</v>
      </c>
      <c r="G1350" t="s">
        <v>1669</v>
      </c>
      <c r="H1350" t="s">
        <v>449</v>
      </c>
      <c r="J1350" t="s">
        <v>605</v>
      </c>
      <c r="K1350" t="s">
        <v>606</v>
      </c>
      <c r="M1350" t="s">
        <v>1382</v>
      </c>
      <c r="N1350" t="s">
        <v>657</v>
      </c>
      <c r="O1350" t="s">
        <v>1534</v>
      </c>
      <c r="P1350" t="s">
        <v>610</v>
      </c>
      <c r="Q1350" t="s">
        <v>510</v>
      </c>
      <c r="R1350" t="s">
        <v>1384</v>
      </c>
      <c r="S1350" t="s">
        <v>1384</v>
      </c>
      <c r="T1350" t="s">
        <v>1320</v>
      </c>
      <c r="U1350">
        <v>173901</v>
      </c>
      <c r="V1350" t="s">
        <v>8454</v>
      </c>
      <c r="W1350" t="s">
        <v>1671</v>
      </c>
      <c r="X1350" t="s">
        <v>8441</v>
      </c>
      <c r="Y1350" t="s">
        <v>4014</v>
      </c>
      <c r="Z1350" t="s">
        <v>4015</v>
      </c>
      <c r="AA1350" t="s">
        <v>4016</v>
      </c>
      <c r="AB1350" t="s">
        <v>8442</v>
      </c>
      <c r="AC1350">
        <v>99131</v>
      </c>
      <c r="AD1350" t="s">
        <v>1672</v>
      </c>
      <c r="AE1350">
        <v>-37.647778500000001</v>
      </c>
      <c r="AF1350">
        <v>175.51928781999999</v>
      </c>
      <c r="AG1350" s="175">
        <v>50</v>
      </c>
      <c r="AH1350" s="175">
        <v>12</v>
      </c>
      <c r="AI1350" s="175">
        <v>4</v>
      </c>
      <c r="AJ1350" s="175">
        <v>10</v>
      </c>
      <c r="AK1350" s="175">
        <v>21</v>
      </c>
      <c r="AL1350" s="175">
        <v>11</v>
      </c>
      <c r="AM1350" s="175">
        <v>17</v>
      </c>
      <c r="AN1350" s="175">
        <v>0</v>
      </c>
      <c r="AO1350" s="175">
        <v>63</v>
      </c>
      <c r="AP1350" s="175">
        <v>48</v>
      </c>
      <c r="AQ1350" s="175">
        <v>18</v>
      </c>
      <c r="AR1350" s="175">
        <v>3</v>
      </c>
      <c r="AS1350" s="175">
        <v>6</v>
      </c>
      <c r="AT1350" s="175">
        <v>5</v>
      </c>
    </row>
    <row r="1351" spans="1:46">
      <c r="A1351">
        <v>30037</v>
      </c>
      <c r="B1351" t="s">
        <v>8455</v>
      </c>
      <c r="C1351" t="s">
        <v>8456</v>
      </c>
      <c r="D1351" t="s">
        <v>8457</v>
      </c>
      <c r="E1351" t="s">
        <v>8458</v>
      </c>
      <c r="G1351" t="s">
        <v>1621</v>
      </c>
      <c r="H1351" t="s">
        <v>449</v>
      </c>
      <c r="J1351" t="s">
        <v>4032</v>
      </c>
      <c r="K1351" t="s">
        <v>606</v>
      </c>
      <c r="M1351" t="s">
        <v>1382</v>
      </c>
      <c r="N1351" t="s">
        <v>657</v>
      </c>
      <c r="O1351" t="s">
        <v>1403</v>
      </c>
      <c r="P1351" t="s">
        <v>1347</v>
      </c>
      <c r="Q1351" t="s">
        <v>510</v>
      </c>
      <c r="R1351" t="s">
        <v>1384</v>
      </c>
      <c r="S1351" t="s">
        <v>1501</v>
      </c>
      <c r="T1351" t="s">
        <v>1320</v>
      </c>
      <c r="U1351">
        <v>184400</v>
      </c>
      <c r="V1351" t="s">
        <v>1622</v>
      </c>
      <c r="W1351" t="s">
        <v>1623</v>
      </c>
      <c r="X1351" t="s">
        <v>8459</v>
      </c>
      <c r="Y1351" t="s">
        <v>8460</v>
      </c>
      <c r="AA1351" t="s">
        <v>8461</v>
      </c>
      <c r="AB1351" t="s">
        <v>8456</v>
      </c>
      <c r="AE1351">
        <v>-38.009300570000001</v>
      </c>
      <c r="AF1351">
        <v>175.33201222</v>
      </c>
      <c r="AG1351" s="175">
        <v>80</v>
      </c>
      <c r="AH1351" s="175">
        <v>25</v>
      </c>
      <c r="AI1351" s="175">
        <v>5</v>
      </c>
      <c r="AJ1351" s="175">
        <v>24</v>
      </c>
      <c r="AK1351" s="175">
        <v>30</v>
      </c>
      <c r="AL1351" s="175">
        <v>25</v>
      </c>
      <c r="AM1351" s="175">
        <v>25</v>
      </c>
      <c r="AN1351" s="175">
        <v>1</v>
      </c>
      <c r="AO1351" s="175">
        <v>110</v>
      </c>
      <c r="AP1351" s="175">
        <v>97</v>
      </c>
      <c r="AQ1351" s="175">
        <v>20</v>
      </c>
      <c r="AR1351" s="175">
        <v>1</v>
      </c>
      <c r="AS1351" s="175">
        <v>9</v>
      </c>
      <c r="AT1351" s="175">
        <v>1</v>
      </c>
    </row>
    <row r="1352" spans="1:46">
      <c r="A1352">
        <v>30039</v>
      </c>
      <c r="B1352" t="s">
        <v>8462</v>
      </c>
      <c r="C1352" t="s">
        <v>8463</v>
      </c>
      <c r="D1352" t="s">
        <v>8464</v>
      </c>
      <c r="E1352" t="s">
        <v>8465</v>
      </c>
      <c r="G1352" t="s">
        <v>1681</v>
      </c>
      <c r="H1352" t="s">
        <v>450</v>
      </c>
      <c r="J1352" t="s">
        <v>4032</v>
      </c>
      <c r="K1352" t="s">
        <v>606</v>
      </c>
      <c r="M1352" t="s">
        <v>1382</v>
      </c>
      <c r="N1352" t="s">
        <v>657</v>
      </c>
      <c r="O1352" t="s">
        <v>1780</v>
      </c>
      <c r="P1352" t="s">
        <v>739</v>
      </c>
      <c r="Q1352" t="s">
        <v>511</v>
      </c>
      <c r="R1352" t="s">
        <v>1384</v>
      </c>
      <c r="S1352" t="s">
        <v>1681</v>
      </c>
      <c r="T1352" t="s">
        <v>1557</v>
      </c>
      <c r="U1352">
        <v>193800</v>
      </c>
      <c r="V1352" t="s">
        <v>8466</v>
      </c>
      <c r="W1352" t="s">
        <v>3795</v>
      </c>
      <c r="X1352" t="s">
        <v>8467</v>
      </c>
      <c r="Y1352" t="s">
        <v>8465</v>
      </c>
      <c r="AA1352" t="s">
        <v>8468</v>
      </c>
      <c r="AE1352">
        <v>-37.684194410000003</v>
      </c>
      <c r="AF1352">
        <v>176.16808083000001</v>
      </c>
      <c r="AG1352" s="175">
        <v>50</v>
      </c>
      <c r="AH1352" s="175">
        <v>50</v>
      </c>
      <c r="AI1352" s="175">
        <v>1</v>
      </c>
      <c r="AJ1352" s="175">
        <v>6</v>
      </c>
      <c r="AK1352" s="175">
        <v>10</v>
      </c>
      <c r="AL1352" s="175">
        <v>7</v>
      </c>
      <c r="AM1352" s="175">
        <v>10</v>
      </c>
      <c r="AN1352" s="175">
        <v>4</v>
      </c>
      <c r="AO1352" s="175">
        <v>38</v>
      </c>
      <c r="AP1352" s="175">
        <v>24</v>
      </c>
      <c r="AQ1352" s="175">
        <v>16</v>
      </c>
      <c r="AR1352" s="175">
        <v>3</v>
      </c>
      <c r="AS1352" s="175">
        <v>2</v>
      </c>
      <c r="AT1352" s="175">
        <v>7</v>
      </c>
    </row>
    <row r="1353" spans="1:46">
      <c r="A1353">
        <v>30045</v>
      </c>
      <c r="B1353" t="s">
        <v>8469</v>
      </c>
      <c r="C1353" t="s">
        <v>8470</v>
      </c>
      <c r="E1353" t="s">
        <v>8471</v>
      </c>
      <c r="G1353" t="s">
        <v>1652</v>
      </c>
      <c r="H1353" t="s">
        <v>449</v>
      </c>
      <c r="J1353" t="s">
        <v>4032</v>
      </c>
      <c r="K1353" t="s">
        <v>606</v>
      </c>
      <c r="M1353" t="s">
        <v>1382</v>
      </c>
      <c r="N1353" t="s">
        <v>643</v>
      </c>
      <c r="O1353" t="s">
        <v>1403</v>
      </c>
      <c r="P1353" t="s">
        <v>610</v>
      </c>
      <c r="Q1353" t="s">
        <v>510</v>
      </c>
      <c r="R1353" t="s">
        <v>1384</v>
      </c>
      <c r="S1353" t="s">
        <v>1501</v>
      </c>
      <c r="T1353" t="s">
        <v>1320</v>
      </c>
      <c r="U1353">
        <v>184800</v>
      </c>
      <c r="V1353" t="s">
        <v>1653</v>
      </c>
      <c r="W1353" t="s">
        <v>1623</v>
      </c>
      <c r="X1353" t="s">
        <v>8472</v>
      </c>
      <c r="AB1353" t="s">
        <v>8473</v>
      </c>
      <c r="AE1353">
        <v>-38.039846509999997</v>
      </c>
      <c r="AF1353">
        <v>175.34798047000001</v>
      </c>
      <c r="AG1353" s="175">
        <v>25</v>
      </c>
      <c r="AH1353" s="175">
        <v>8</v>
      </c>
      <c r="AI1353" s="175">
        <v>1</v>
      </c>
      <c r="AJ1353" s="175">
        <v>3</v>
      </c>
      <c r="AK1353" s="175">
        <v>3</v>
      </c>
      <c r="AL1353" s="175">
        <v>7</v>
      </c>
      <c r="AM1353" s="175">
        <v>6</v>
      </c>
      <c r="AN1353" s="175">
        <v>0</v>
      </c>
      <c r="AO1353" s="175">
        <v>20</v>
      </c>
      <c r="AP1353" s="175">
        <v>8</v>
      </c>
      <c r="AQ1353" s="175">
        <v>10</v>
      </c>
      <c r="AR1353" s="175">
        <v>0</v>
      </c>
      <c r="AS1353" s="175">
        <v>5</v>
      </c>
      <c r="AT1353" s="175">
        <v>3</v>
      </c>
    </row>
    <row r="1354" spans="1:46">
      <c r="A1354">
        <v>30047</v>
      </c>
      <c r="B1354" t="s">
        <v>8474</v>
      </c>
      <c r="C1354" t="s">
        <v>8475</v>
      </c>
      <c r="D1354" t="s">
        <v>8476</v>
      </c>
      <c r="E1354" t="s">
        <v>8477</v>
      </c>
      <c r="F1354" t="s">
        <v>1380</v>
      </c>
      <c r="G1354" t="s">
        <v>1381</v>
      </c>
      <c r="H1354" t="s">
        <v>449</v>
      </c>
      <c r="J1354" t="s">
        <v>4032</v>
      </c>
      <c r="K1354" t="s">
        <v>606</v>
      </c>
      <c r="M1354" t="s">
        <v>1382</v>
      </c>
      <c r="N1354" t="s">
        <v>657</v>
      </c>
      <c r="O1354" t="s">
        <v>1383</v>
      </c>
      <c r="P1354" t="s">
        <v>739</v>
      </c>
      <c r="Q1354" t="s">
        <v>510</v>
      </c>
      <c r="R1354" t="s">
        <v>1384</v>
      </c>
      <c r="S1354" t="s">
        <v>1385</v>
      </c>
      <c r="T1354" t="s">
        <v>1320</v>
      </c>
      <c r="U1354">
        <v>181101</v>
      </c>
      <c r="V1354" t="s">
        <v>8478</v>
      </c>
      <c r="W1354" t="s">
        <v>1387</v>
      </c>
      <c r="X1354" t="s">
        <v>8479</v>
      </c>
      <c r="Y1354" t="s">
        <v>8480</v>
      </c>
      <c r="Z1354" t="s">
        <v>1380</v>
      </c>
      <c r="AA1354" t="s">
        <v>8481</v>
      </c>
      <c r="AB1354" t="s">
        <v>8482</v>
      </c>
      <c r="AE1354">
        <v>-37.811294230000001</v>
      </c>
      <c r="AF1354">
        <v>175.30323809000001</v>
      </c>
      <c r="AG1354" s="175">
        <v>31</v>
      </c>
      <c r="AH1354" s="175">
        <v>8</v>
      </c>
      <c r="AI1354" s="175">
        <v>0</v>
      </c>
      <c r="AJ1354" s="175">
        <v>7</v>
      </c>
      <c r="AK1354" s="175">
        <v>12</v>
      </c>
      <c r="AL1354" s="175">
        <v>10</v>
      </c>
      <c r="AM1354" s="175">
        <v>8</v>
      </c>
      <c r="AN1354" s="175">
        <v>1</v>
      </c>
      <c r="AO1354" s="175">
        <v>38</v>
      </c>
      <c r="AP1354" s="175">
        <v>30</v>
      </c>
      <c r="AQ1354" s="175">
        <v>8</v>
      </c>
      <c r="AR1354" s="175">
        <v>3</v>
      </c>
      <c r="AS1354" s="175">
        <v>6</v>
      </c>
      <c r="AT1354" s="175">
        <v>0</v>
      </c>
    </row>
    <row r="1355" spans="1:46">
      <c r="A1355">
        <v>30048</v>
      </c>
      <c r="B1355" t="s">
        <v>8483</v>
      </c>
      <c r="C1355" t="s">
        <v>8484</v>
      </c>
      <c r="D1355" t="s">
        <v>8485</v>
      </c>
      <c r="E1355" t="s">
        <v>8486</v>
      </c>
      <c r="F1355" t="s">
        <v>8487</v>
      </c>
      <c r="G1355" t="s">
        <v>1604</v>
      </c>
      <c r="H1355" t="s">
        <v>449</v>
      </c>
      <c r="J1355" t="s">
        <v>605</v>
      </c>
      <c r="K1355" t="s">
        <v>606</v>
      </c>
      <c r="M1355" t="s">
        <v>1382</v>
      </c>
      <c r="N1355" t="s">
        <v>643</v>
      </c>
      <c r="O1355" t="s">
        <v>1605</v>
      </c>
      <c r="P1355" t="s">
        <v>670</v>
      </c>
      <c r="Q1355" t="s">
        <v>511</v>
      </c>
      <c r="R1355" t="s">
        <v>1555</v>
      </c>
      <c r="S1355" t="s">
        <v>1604</v>
      </c>
      <c r="T1355" t="s">
        <v>1557</v>
      </c>
      <c r="U1355">
        <v>198800</v>
      </c>
      <c r="V1355" t="s">
        <v>8488</v>
      </c>
      <c r="W1355" t="s">
        <v>1606</v>
      </c>
      <c r="X1355" t="s">
        <v>8441</v>
      </c>
      <c r="Y1355" t="s">
        <v>4014</v>
      </c>
      <c r="Z1355" t="s">
        <v>4015</v>
      </c>
      <c r="AA1355" t="s">
        <v>4016</v>
      </c>
      <c r="AB1355" t="s">
        <v>8442</v>
      </c>
      <c r="AC1355">
        <v>99107</v>
      </c>
      <c r="AD1355" t="s">
        <v>1609</v>
      </c>
      <c r="AE1355">
        <v>-38.108286550000003</v>
      </c>
      <c r="AF1355">
        <v>176.2332523</v>
      </c>
      <c r="AG1355" s="175">
        <v>32</v>
      </c>
      <c r="AH1355" s="175">
        <v>10</v>
      </c>
      <c r="AI1355" s="175">
        <v>3</v>
      </c>
      <c r="AJ1355" s="175">
        <v>5</v>
      </c>
      <c r="AK1355" s="175">
        <v>4</v>
      </c>
      <c r="AL1355" s="175">
        <v>6</v>
      </c>
      <c r="AM1355" s="175">
        <v>8</v>
      </c>
      <c r="AN1355" s="175">
        <v>0</v>
      </c>
      <c r="AO1355" s="175">
        <v>26</v>
      </c>
      <c r="AP1355" s="175">
        <v>16</v>
      </c>
      <c r="AQ1355" s="175">
        <v>13</v>
      </c>
      <c r="AR1355" s="175">
        <v>2</v>
      </c>
      <c r="AS1355" s="175">
        <v>2</v>
      </c>
      <c r="AT1355" s="175">
        <v>2</v>
      </c>
    </row>
    <row r="1356" spans="1:46">
      <c r="A1356">
        <v>30055</v>
      </c>
      <c r="B1356" t="s">
        <v>8489</v>
      </c>
      <c r="C1356" t="s">
        <v>8490</v>
      </c>
      <c r="D1356" t="s">
        <v>8491</v>
      </c>
      <c r="E1356" t="s">
        <v>8492</v>
      </c>
      <c r="F1356" t="s">
        <v>1506</v>
      </c>
      <c r="G1356" t="s">
        <v>1381</v>
      </c>
      <c r="H1356" t="s">
        <v>449</v>
      </c>
      <c r="J1356" t="s">
        <v>605</v>
      </c>
      <c r="K1356" t="s">
        <v>606</v>
      </c>
      <c r="M1356" t="s">
        <v>1382</v>
      </c>
      <c r="N1356" t="s">
        <v>657</v>
      </c>
      <c r="O1356" t="s">
        <v>1383</v>
      </c>
      <c r="P1356" t="s">
        <v>739</v>
      </c>
      <c r="Q1356" t="s">
        <v>510</v>
      </c>
      <c r="R1356" t="s">
        <v>1384</v>
      </c>
      <c r="S1356" t="s">
        <v>1385</v>
      </c>
      <c r="T1356" t="s">
        <v>1320</v>
      </c>
      <c r="U1356">
        <v>176301</v>
      </c>
      <c r="V1356" t="s">
        <v>8493</v>
      </c>
      <c r="W1356" t="s">
        <v>1387</v>
      </c>
      <c r="X1356" t="s">
        <v>8441</v>
      </c>
      <c r="Y1356" t="s">
        <v>4014</v>
      </c>
      <c r="Z1356" t="s">
        <v>4015</v>
      </c>
      <c r="AA1356" t="s">
        <v>4016</v>
      </c>
      <c r="AB1356" t="s">
        <v>8442</v>
      </c>
      <c r="AC1356">
        <v>99035</v>
      </c>
      <c r="AD1356" t="s">
        <v>1392</v>
      </c>
      <c r="AE1356">
        <v>-37.759528070000002</v>
      </c>
      <c r="AF1356">
        <v>175.24393810000001</v>
      </c>
      <c r="AG1356" s="175">
        <v>92</v>
      </c>
      <c r="AH1356" s="175">
        <v>25</v>
      </c>
      <c r="AI1356" s="175">
        <v>6</v>
      </c>
      <c r="AJ1356" s="175">
        <v>15</v>
      </c>
      <c r="AK1356" s="175">
        <v>21</v>
      </c>
      <c r="AL1356" s="175">
        <v>13</v>
      </c>
      <c r="AM1356" s="175">
        <v>16</v>
      </c>
      <c r="AN1356" s="175">
        <v>2</v>
      </c>
      <c r="AO1356" s="175">
        <v>73</v>
      </c>
      <c r="AP1356" s="175">
        <v>34</v>
      </c>
      <c r="AQ1356" s="175">
        <v>35</v>
      </c>
      <c r="AR1356" s="175">
        <v>7</v>
      </c>
      <c r="AS1356" s="175">
        <v>12</v>
      </c>
      <c r="AT1356" s="175">
        <v>10</v>
      </c>
    </row>
    <row r="1357" spans="1:46">
      <c r="A1357">
        <v>30056</v>
      </c>
      <c r="B1357" t="s">
        <v>8494</v>
      </c>
      <c r="C1357" t="s">
        <v>8495</v>
      </c>
      <c r="E1357" t="s">
        <v>8496</v>
      </c>
      <c r="F1357" t="s">
        <v>1380</v>
      </c>
      <c r="G1357" t="s">
        <v>1381</v>
      </c>
      <c r="H1357" t="s">
        <v>449</v>
      </c>
      <c r="J1357" t="s">
        <v>4032</v>
      </c>
      <c r="K1357" t="s">
        <v>606</v>
      </c>
      <c r="M1357" t="s">
        <v>1382</v>
      </c>
      <c r="N1357" t="s">
        <v>657</v>
      </c>
      <c r="O1357" t="s">
        <v>1383</v>
      </c>
      <c r="P1357" t="s">
        <v>739</v>
      </c>
      <c r="Q1357" t="s">
        <v>510</v>
      </c>
      <c r="R1357" t="s">
        <v>1384</v>
      </c>
      <c r="S1357" t="s">
        <v>1396</v>
      </c>
      <c r="T1357" t="s">
        <v>1320</v>
      </c>
      <c r="U1357">
        <v>179300</v>
      </c>
      <c r="V1357" t="s">
        <v>1482</v>
      </c>
      <c r="W1357" t="s">
        <v>1398</v>
      </c>
      <c r="X1357" t="s">
        <v>8497</v>
      </c>
      <c r="Y1357" t="s">
        <v>8498</v>
      </c>
      <c r="AA1357" t="s">
        <v>4153</v>
      </c>
      <c r="AB1357" t="s">
        <v>8499</v>
      </c>
      <c r="AE1357">
        <v>-37.78209434</v>
      </c>
      <c r="AF1357">
        <v>175.28819102</v>
      </c>
      <c r="AG1357" s="175">
        <v>41</v>
      </c>
      <c r="AH1357" s="175">
        <v>18</v>
      </c>
      <c r="AI1357" s="175">
        <v>4</v>
      </c>
      <c r="AJ1357" s="175">
        <v>9</v>
      </c>
      <c r="AK1357" s="175">
        <v>10</v>
      </c>
      <c r="AL1357" s="175">
        <v>4</v>
      </c>
      <c r="AM1357" s="175">
        <v>7</v>
      </c>
      <c r="AN1357" s="175">
        <v>0</v>
      </c>
      <c r="AO1357" s="175">
        <v>34</v>
      </c>
      <c r="AP1357" s="175">
        <v>7</v>
      </c>
      <c r="AQ1357" s="175">
        <v>4</v>
      </c>
      <c r="AR1357" s="175">
        <v>4</v>
      </c>
      <c r="AS1357" s="175">
        <v>24</v>
      </c>
      <c r="AT1357" s="175">
        <v>0</v>
      </c>
    </row>
    <row r="1358" spans="1:46">
      <c r="A1358">
        <v>30063</v>
      </c>
      <c r="B1358" t="s">
        <v>8500</v>
      </c>
      <c r="C1358" t="s">
        <v>8501</v>
      </c>
      <c r="D1358" t="s">
        <v>8502</v>
      </c>
      <c r="E1358" t="s">
        <v>8503</v>
      </c>
      <c r="F1358" t="s">
        <v>1482</v>
      </c>
      <c r="G1358" t="s">
        <v>1381</v>
      </c>
      <c r="H1358" t="s">
        <v>449</v>
      </c>
      <c r="J1358" t="s">
        <v>605</v>
      </c>
      <c r="K1358" t="s">
        <v>606</v>
      </c>
      <c r="M1358" t="s">
        <v>1382</v>
      </c>
      <c r="N1358" t="s">
        <v>657</v>
      </c>
      <c r="O1358" t="s">
        <v>1383</v>
      </c>
      <c r="P1358" t="s">
        <v>739</v>
      </c>
      <c r="Q1358" t="s">
        <v>510</v>
      </c>
      <c r="R1358" t="s">
        <v>1384</v>
      </c>
      <c r="S1358" t="s">
        <v>1396</v>
      </c>
      <c r="T1358" t="s">
        <v>1320</v>
      </c>
      <c r="U1358">
        <v>179300</v>
      </c>
      <c r="V1358" t="s">
        <v>1482</v>
      </c>
      <c r="W1358" t="s">
        <v>1398</v>
      </c>
      <c r="X1358" t="s">
        <v>8441</v>
      </c>
      <c r="Y1358" t="s">
        <v>4014</v>
      </c>
      <c r="Z1358" t="s">
        <v>4015</v>
      </c>
      <c r="AA1358" t="s">
        <v>4016</v>
      </c>
      <c r="AB1358" t="s">
        <v>8442</v>
      </c>
      <c r="AE1358">
        <v>-37.779844259999997</v>
      </c>
      <c r="AF1358">
        <v>175.29143561000001</v>
      </c>
      <c r="AG1358" s="175">
        <v>44</v>
      </c>
      <c r="AH1358" s="175">
        <v>11</v>
      </c>
      <c r="AI1358" s="175">
        <v>4</v>
      </c>
      <c r="AJ1358" s="175">
        <v>6</v>
      </c>
      <c r="AK1358" s="175">
        <v>10</v>
      </c>
      <c r="AL1358" s="175">
        <v>10</v>
      </c>
      <c r="AM1358" s="175">
        <v>18</v>
      </c>
      <c r="AN1358" s="175">
        <v>0</v>
      </c>
      <c r="AO1358" s="175">
        <v>48</v>
      </c>
      <c r="AP1358" s="175">
        <v>12</v>
      </c>
      <c r="AQ1358" s="175">
        <v>25</v>
      </c>
      <c r="AR1358" s="175">
        <v>8</v>
      </c>
      <c r="AS1358" s="175">
        <v>6</v>
      </c>
      <c r="AT1358" s="175">
        <v>9</v>
      </c>
    </row>
    <row r="1359" spans="1:46">
      <c r="A1359">
        <v>30064</v>
      </c>
      <c r="B1359" t="s">
        <v>8504</v>
      </c>
      <c r="C1359" t="s">
        <v>8505</v>
      </c>
      <c r="E1359" t="s">
        <v>8506</v>
      </c>
      <c r="F1359" t="s">
        <v>1450</v>
      </c>
      <c r="G1359" t="s">
        <v>1604</v>
      </c>
      <c r="H1359" t="s">
        <v>449</v>
      </c>
      <c r="J1359" t="s">
        <v>605</v>
      </c>
      <c r="K1359" t="s">
        <v>606</v>
      </c>
      <c r="M1359" t="s">
        <v>1382</v>
      </c>
      <c r="N1359" t="s">
        <v>643</v>
      </c>
      <c r="O1359" t="s">
        <v>1605</v>
      </c>
      <c r="P1359" t="s">
        <v>670</v>
      </c>
      <c r="Q1359" t="s">
        <v>511</v>
      </c>
      <c r="R1359" t="s">
        <v>1555</v>
      </c>
      <c r="S1359" t="s">
        <v>1604</v>
      </c>
      <c r="T1359" t="s">
        <v>1557</v>
      </c>
      <c r="U1359">
        <v>200200</v>
      </c>
      <c r="V1359" t="s">
        <v>8507</v>
      </c>
      <c r="W1359" t="s">
        <v>1606</v>
      </c>
      <c r="X1359" t="s">
        <v>8441</v>
      </c>
      <c r="Y1359" t="s">
        <v>4014</v>
      </c>
      <c r="Z1359" t="s">
        <v>4015</v>
      </c>
      <c r="AA1359" t="s">
        <v>4016</v>
      </c>
      <c r="AB1359" t="s">
        <v>8442</v>
      </c>
      <c r="AC1359">
        <v>99019</v>
      </c>
      <c r="AD1359" t="s">
        <v>1648</v>
      </c>
      <c r="AE1359">
        <v>-38.152769650000003</v>
      </c>
      <c r="AF1359">
        <v>176.23886976</v>
      </c>
      <c r="AG1359" s="175">
        <v>40</v>
      </c>
      <c r="AH1359" s="175">
        <v>10</v>
      </c>
      <c r="AI1359" s="175">
        <v>3</v>
      </c>
      <c r="AJ1359" s="175">
        <v>5</v>
      </c>
      <c r="AK1359" s="175">
        <v>18</v>
      </c>
      <c r="AL1359" s="175">
        <v>12</v>
      </c>
      <c r="AM1359" s="175">
        <v>10</v>
      </c>
      <c r="AN1359" s="175">
        <v>0</v>
      </c>
      <c r="AO1359" s="175">
        <v>48</v>
      </c>
      <c r="AP1359" s="175">
        <v>41</v>
      </c>
      <c r="AQ1359" s="175">
        <v>16</v>
      </c>
      <c r="AR1359" s="175">
        <v>1</v>
      </c>
      <c r="AS1359" s="175">
        <v>5</v>
      </c>
      <c r="AT1359" s="175">
        <v>2</v>
      </c>
    </row>
    <row r="1360" spans="1:46">
      <c r="A1360">
        <v>30065</v>
      </c>
      <c r="B1360" t="s">
        <v>8508</v>
      </c>
      <c r="C1360" t="s">
        <v>8509</v>
      </c>
      <c r="E1360" t="s">
        <v>8510</v>
      </c>
      <c r="F1360" t="s">
        <v>1603</v>
      </c>
      <c r="G1360" t="s">
        <v>1604</v>
      </c>
      <c r="H1360" t="s">
        <v>347</v>
      </c>
      <c r="J1360" t="s">
        <v>605</v>
      </c>
      <c r="K1360" t="s">
        <v>606</v>
      </c>
      <c r="L1360" t="s">
        <v>4273</v>
      </c>
      <c r="M1360" t="s">
        <v>1382</v>
      </c>
      <c r="N1360" t="s">
        <v>812</v>
      </c>
      <c r="O1360" t="s">
        <v>1605</v>
      </c>
      <c r="P1360" t="s">
        <v>670</v>
      </c>
      <c r="Q1360" t="s">
        <v>511</v>
      </c>
      <c r="R1360" t="s">
        <v>1555</v>
      </c>
      <c r="S1360" t="s">
        <v>1604</v>
      </c>
      <c r="T1360" t="s">
        <v>1557</v>
      </c>
      <c r="U1360">
        <v>199700</v>
      </c>
      <c r="V1360" t="s">
        <v>1603</v>
      </c>
      <c r="W1360" t="s">
        <v>1606</v>
      </c>
      <c r="X1360" t="s">
        <v>8511</v>
      </c>
      <c r="Y1360" t="s">
        <v>4276</v>
      </c>
      <c r="Z1360" t="s">
        <v>4277</v>
      </c>
      <c r="AA1360" t="s">
        <v>4278</v>
      </c>
      <c r="AB1360" t="s">
        <v>8512</v>
      </c>
      <c r="AE1360">
        <v>-38.143008879999996</v>
      </c>
      <c r="AF1360">
        <v>176.22351524000001</v>
      </c>
      <c r="AG1360" s="175">
        <v>35</v>
      </c>
      <c r="AH1360" s="175">
        <v>12</v>
      </c>
      <c r="AI1360" s="175">
        <v>1</v>
      </c>
      <c r="AJ1360" s="175">
        <v>4</v>
      </c>
      <c r="AK1360" s="175">
        <v>6</v>
      </c>
      <c r="AL1360" s="175">
        <v>3</v>
      </c>
      <c r="AM1360" s="175">
        <v>4</v>
      </c>
      <c r="AN1360" s="175">
        <v>0</v>
      </c>
      <c r="AO1360" s="175">
        <v>18</v>
      </c>
      <c r="AP1360" s="175">
        <v>0</v>
      </c>
      <c r="AQ1360" s="175">
        <v>18</v>
      </c>
      <c r="AR1360" s="175">
        <v>0</v>
      </c>
      <c r="AS1360" s="175">
        <v>0</v>
      </c>
      <c r="AT1360" s="175">
        <v>0</v>
      </c>
    </row>
    <row r="1361" spans="1:46">
      <c r="A1361">
        <v>30070</v>
      </c>
      <c r="B1361" t="s">
        <v>8513</v>
      </c>
      <c r="C1361" t="s">
        <v>8514</v>
      </c>
      <c r="D1361" t="s">
        <v>8515</v>
      </c>
      <c r="E1361" t="s">
        <v>8516</v>
      </c>
      <c r="F1361" t="s">
        <v>8517</v>
      </c>
      <c r="G1361" t="s">
        <v>1628</v>
      </c>
      <c r="H1361" t="s">
        <v>452</v>
      </c>
      <c r="J1361" t="s">
        <v>605</v>
      </c>
      <c r="K1361" t="s">
        <v>606</v>
      </c>
      <c r="M1361" t="s">
        <v>1382</v>
      </c>
      <c r="N1361" t="s">
        <v>657</v>
      </c>
      <c r="O1361" t="s">
        <v>1629</v>
      </c>
      <c r="P1361" t="s">
        <v>1347</v>
      </c>
      <c r="Q1361" t="s">
        <v>510</v>
      </c>
      <c r="R1361" t="s">
        <v>1555</v>
      </c>
      <c r="S1361" t="s">
        <v>1404</v>
      </c>
      <c r="T1361" t="s">
        <v>1557</v>
      </c>
      <c r="U1361">
        <v>188400</v>
      </c>
      <c r="V1361" t="s">
        <v>8518</v>
      </c>
      <c r="W1361" t="s">
        <v>1631</v>
      </c>
      <c r="X1361" t="s">
        <v>1632</v>
      </c>
      <c r="Y1361" t="s">
        <v>1525</v>
      </c>
      <c r="AA1361" t="s">
        <v>1526</v>
      </c>
      <c r="AC1361">
        <v>99020</v>
      </c>
      <c r="AD1361" t="s">
        <v>1633</v>
      </c>
      <c r="AE1361">
        <v>-38.680712300000003</v>
      </c>
      <c r="AF1361">
        <v>176.05584450000001</v>
      </c>
      <c r="AG1361" s="175">
        <v>40</v>
      </c>
      <c r="AH1361" s="175">
        <v>0</v>
      </c>
      <c r="AI1361" s="175">
        <v>0</v>
      </c>
      <c r="AJ1361" s="175">
        <v>0</v>
      </c>
      <c r="AK1361" s="175">
        <v>1</v>
      </c>
      <c r="AL1361" s="175">
        <v>16</v>
      </c>
      <c r="AM1361" s="175">
        <v>28</v>
      </c>
      <c r="AN1361" s="175">
        <v>1</v>
      </c>
      <c r="AO1361" s="175">
        <v>46</v>
      </c>
      <c r="AP1361" s="175">
        <v>36</v>
      </c>
      <c r="AQ1361" s="175">
        <v>12</v>
      </c>
      <c r="AR1361" s="175">
        <v>0</v>
      </c>
      <c r="AS1361" s="175">
        <v>4</v>
      </c>
      <c r="AT1361" s="175">
        <v>3</v>
      </c>
    </row>
    <row r="1362" spans="1:46">
      <c r="A1362">
        <v>30071</v>
      </c>
      <c r="B1362" t="s">
        <v>8519</v>
      </c>
      <c r="C1362" t="s">
        <v>8520</v>
      </c>
      <c r="D1362" t="s">
        <v>8521</v>
      </c>
      <c r="E1362" t="s">
        <v>8522</v>
      </c>
      <c r="G1362" t="s">
        <v>7862</v>
      </c>
      <c r="H1362" t="s">
        <v>449</v>
      </c>
      <c r="J1362" t="s">
        <v>4032</v>
      </c>
      <c r="K1362" t="s">
        <v>606</v>
      </c>
      <c r="M1362" t="s">
        <v>1382</v>
      </c>
      <c r="N1362" t="s">
        <v>657</v>
      </c>
      <c r="O1362" t="s">
        <v>1435</v>
      </c>
      <c r="P1362" t="s">
        <v>610</v>
      </c>
      <c r="Q1362" t="s">
        <v>510</v>
      </c>
      <c r="R1362" t="s">
        <v>1384</v>
      </c>
      <c r="S1362" t="s">
        <v>1331</v>
      </c>
      <c r="T1362" t="s">
        <v>1320</v>
      </c>
      <c r="U1362">
        <v>171101</v>
      </c>
      <c r="V1362" t="s">
        <v>7863</v>
      </c>
      <c r="W1362" t="s">
        <v>7864</v>
      </c>
      <c r="X1362" t="s">
        <v>8523</v>
      </c>
      <c r="Y1362" t="s">
        <v>8522</v>
      </c>
      <c r="Z1362" t="s">
        <v>7862</v>
      </c>
      <c r="AA1362" t="s">
        <v>8524</v>
      </c>
      <c r="AB1362" t="s">
        <v>8520</v>
      </c>
      <c r="AC1362">
        <v>99193</v>
      </c>
      <c r="AD1362" t="s">
        <v>7865</v>
      </c>
      <c r="AE1362">
        <v>-37.405138790000002</v>
      </c>
      <c r="AF1362">
        <v>175.145804</v>
      </c>
      <c r="AG1362" s="175">
        <v>29</v>
      </c>
      <c r="AH1362" s="175">
        <v>5</v>
      </c>
      <c r="AI1362" s="175">
        <v>1</v>
      </c>
      <c r="AJ1362" s="175">
        <v>0</v>
      </c>
      <c r="AK1362" s="175">
        <v>9</v>
      </c>
      <c r="AL1362" s="175">
        <v>8</v>
      </c>
      <c r="AM1362" s="175">
        <v>14</v>
      </c>
      <c r="AN1362" s="175">
        <v>0</v>
      </c>
      <c r="AO1362" s="175">
        <v>32</v>
      </c>
      <c r="AP1362" s="175">
        <v>23</v>
      </c>
      <c r="AQ1362" s="175">
        <v>20</v>
      </c>
      <c r="AR1362" s="175">
        <v>4</v>
      </c>
      <c r="AS1362" s="175">
        <v>1</v>
      </c>
      <c r="AT1362" s="175">
        <v>1</v>
      </c>
    </row>
    <row r="1363" spans="1:46">
      <c r="A1363">
        <v>30077</v>
      </c>
      <c r="B1363" t="s">
        <v>8525</v>
      </c>
      <c r="C1363" t="s">
        <v>8526</v>
      </c>
      <c r="D1363" t="s">
        <v>8527</v>
      </c>
      <c r="E1363" t="s">
        <v>8528</v>
      </c>
      <c r="F1363" t="s">
        <v>1429</v>
      </c>
      <c r="G1363" t="s">
        <v>1381</v>
      </c>
      <c r="H1363" t="s">
        <v>449</v>
      </c>
      <c r="I1363" t="s">
        <v>4320</v>
      </c>
      <c r="J1363" t="s">
        <v>605</v>
      </c>
      <c r="K1363" t="s">
        <v>606</v>
      </c>
      <c r="M1363" t="s">
        <v>1382</v>
      </c>
      <c r="N1363" t="s">
        <v>608</v>
      </c>
      <c r="O1363" t="s">
        <v>1383</v>
      </c>
      <c r="P1363" t="s">
        <v>739</v>
      </c>
      <c r="Q1363" t="s">
        <v>510</v>
      </c>
      <c r="R1363" t="s">
        <v>1384</v>
      </c>
      <c r="S1363" t="s">
        <v>1385</v>
      </c>
      <c r="T1363" t="s">
        <v>1320</v>
      </c>
      <c r="U1363">
        <v>178901</v>
      </c>
      <c r="V1363" t="s">
        <v>8416</v>
      </c>
      <c r="W1363" t="s">
        <v>1387</v>
      </c>
      <c r="X1363" t="s">
        <v>8529</v>
      </c>
      <c r="Y1363" t="s">
        <v>8530</v>
      </c>
      <c r="Z1363" t="s">
        <v>1381</v>
      </c>
      <c r="AA1363" t="s">
        <v>8531</v>
      </c>
      <c r="AB1363" t="s">
        <v>8526</v>
      </c>
      <c r="AE1363">
        <v>-37.788412639999997</v>
      </c>
      <c r="AF1363">
        <v>175.25810109</v>
      </c>
      <c r="AG1363" s="175">
        <v>34</v>
      </c>
      <c r="AH1363" s="175">
        <v>5</v>
      </c>
      <c r="AI1363" s="175">
        <v>0</v>
      </c>
      <c r="AJ1363" s="175">
        <v>1</v>
      </c>
      <c r="AK1363" s="175">
        <v>1</v>
      </c>
      <c r="AL1363" s="175">
        <v>8</v>
      </c>
      <c r="AM1363" s="175">
        <v>8</v>
      </c>
      <c r="AN1363" s="175">
        <v>0</v>
      </c>
      <c r="AO1363" s="175">
        <v>18</v>
      </c>
      <c r="AP1363" s="175">
        <v>6</v>
      </c>
      <c r="AQ1363" s="175">
        <v>4</v>
      </c>
      <c r="AR1363" s="175">
        <v>17</v>
      </c>
      <c r="AS1363" s="175">
        <v>0</v>
      </c>
      <c r="AT1363" s="175">
        <v>1</v>
      </c>
    </row>
    <row r="1364" spans="1:46">
      <c r="A1364">
        <v>30081</v>
      </c>
      <c r="B1364" t="s">
        <v>8532</v>
      </c>
      <c r="C1364" t="s">
        <v>8533</v>
      </c>
      <c r="D1364" t="s">
        <v>8534</v>
      </c>
      <c r="E1364" t="s">
        <v>8535</v>
      </c>
      <c r="F1364" t="s">
        <v>8536</v>
      </c>
      <c r="G1364" t="s">
        <v>1681</v>
      </c>
      <c r="H1364" t="s">
        <v>450</v>
      </c>
      <c r="J1364" t="s">
        <v>4032</v>
      </c>
      <c r="K1364" t="s">
        <v>606</v>
      </c>
      <c r="M1364" t="s">
        <v>2366</v>
      </c>
      <c r="N1364" t="s">
        <v>657</v>
      </c>
      <c r="O1364" t="s">
        <v>1780</v>
      </c>
      <c r="P1364" t="s">
        <v>739</v>
      </c>
      <c r="Q1364" t="s">
        <v>511</v>
      </c>
      <c r="R1364" t="s">
        <v>3017</v>
      </c>
      <c r="S1364" t="s">
        <v>1681</v>
      </c>
      <c r="T1364" t="s">
        <v>1557</v>
      </c>
      <c r="U1364">
        <v>193500</v>
      </c>
      <c r="V1364" t="s">
        <v>8537</v>
      </c>
      <c r="W1364" t="s">
        <v>1791</v>
      </c>
      <c r="X1364" t="s">
        <v>8538</v>
      </c>
      <c r="Y1364" t="s">
        <v>8465</v>
      </c>
      <c r="AA1364" t="s">
        <v>8468</v>
      </c>
      <c r="AE1364">
        <v>-37.697309259999997</v>
      </c>
      <c r="AF1364">
        <v>176.11208859999999</v>
      </c>
      <c r="AG1364" s="175">
        <v>80</v>
      </c>
      <c r="AH1364" s="175">
        <v>80</v>
      </c>
      <c r="AI1364" s="175">
        <v>3</v>
      </c>
      <c r="AJ1364" s="175">
        <v>13</v>
      </c>
      <c r="AK1364" s="175">
        <v>21</v>
      </c>
      <c r="AL1364" s="175">
        <v>27</v>
      </c>
      <c r="AM1364" s="175">
        <v>21</v>
      </c>
      <c r="AN1364" s="175">
        <v>1</v>
      </c>
      <c r="AO1364" s="175">
        <v>86</v>
      </c>
      <c r="AP1364" s="175">
        <v>69</v>
      </c>
      <c r="AQ1364" s="175">
        <v>10</v>
      </c>
      <c r="AR1364" s="175">
        <v>2</v>
      </c>
      <c r="AS1364" s="175">
        <v>7</v>
      </c>
      <c r="AT1364" s="175">
        <v>14</v>
      </c>
    </row>
    <row r="1365" spans="1:46">
      <c r="A1365">
        <v>30082</v>
      </c>
      <c r="B1365" t="s">
        <v>8539</v>
      </c>
      <c r="C1365" t="s">
        <v>8540</v>
      </c>
      <c r="D1365" t="s">
        <v>8541</v>
      </c>
      <c r="E1365" t="s">
        <v>8542</v>
      </c>
      <c r="F1365" t="s">
        <v>1797</v>
      </c>
      <c r="G1365" t="s">
        <v>1681</v>
      </c>
      <c r="H1365" t="s">
        <v>449</v>
      </c>
      <c r="J1365" t="s">
        <v>605</v>
      </c>
      <c r="K1365" t="s">
        <v>606</v>
      </c>
      <c r="M1365" t="s">
        <v>1382</v>
      </c>
      <c r="N1365" t="s">
        <v>657</v>
      </c>
      <c r="O1365" t="s">
        <v>1780</v>
      </c>
      <c r="P1365" t="s">
        <v>739</v>
      </c>
      <c r="Q1365" t="s">
        <v>511</v>
      </c>
      <c r="R1365" t="s">
        <v>1555</v>
      </c>
      <c r="S1365" t="s">
        <v>1681</v>
      </c>
      <c r="T1365" t="s">
        <v>1557</v>
      </c>
      <c r="U1365">
        <v>194700</v>
      </c>
      <c r="V1365" t="s">
        <v>1798</v>
      </c>
      <c r="W1365" t="s">
        <v>1799</v>
      </c>
      <c r="X1365" t="s">
        <v>8441</v>
      </c>
      <c r="Y1365" t="s">
        <v>4014</v>
      </c>
      <c r="Z1365" t="s">
        <v>4015</v>
      </c>
      <c r="AA1365" t="s">
        <v>4016</v>
      </c>
      <c r="AB1365" t="s">
        <v>8442</v>
      </c>
      <c r="AC1365">
        <v>99085</v>
      </c>
      <c r="AD1365" t="s">
        <v>1800</v>
      </c>
      <c r="AE1365">
        <v>-37.734196769999997</v>
      </c>
      <c r="AF1365">
        <v>176.12676876</v>
      </c>
      <c r="AG1365" s="175">
        <v>45</v>
      </c>
      <c r="AH1365" s="175">
        <v>10</v>
      </c>
      <c r="AI1365" s="175">
        <v>2</v>
      </c>
      <c r="AJ1365" s="175">
        <v>4</v>
      </c>
      <c r="AK1365" s="175">
        <v>15</v>
      </c>
      <c r="AL1365" s="175">
        <v>10</v>
      </c>
      <c r="AM1365" s="175">
        <v>13</v>
      </c>
      <c r="AN1365" s="175">
        <v>0</v>
      </c>
      <c r="AO1365" s="175">
        <v>44</v>
      </c>
      <c r="AP1365" s="175">
        <v>13</v>
      </c>
      <c r="AQ1365" s="175">
        <v>13</v>
      </c>
      <c r="AR1365" s="175">
        <v>0</v>
      </c>
      <c r="AS1365" s="175">
        <v>26</v>
      </c>
      <c r="AT1365" s="175">
        <v>4</v>
      </c>
    </row>
    <row r="1366" spans="1:46">
      <c r="A1366">
        <v>30083</v>
      </c>
      <c r="B1366" t="s">
        <v>8543</v>
      </c>
      <c r="C1366" t="s">
        <v>8544</v>
      </c>
      <c r="D1366" t="s">
        <v>8545</v>
      </c>
      <c r="E1366" t="s">
        <v>8546</v>
      </c>
      <c r="F1366" t="s">
        <v>8547</v>
      </c>
      <c r="G1366" t="s">
        <v>1681</v>
      </c>
      <c r="H1366" t="s">
        <v>449</v>
      </c>
      <c r="I1366" t="s">
        <v>4023</v>
      </c>
      <c r="J1366" t="s">
        <v>4032</v>
      </c>
      <c r="K1366" t="s">
        <v>606</v>
      </c>
      <c r="M1366" t="s">
        <v>1382</v>
      </c>
      <c r="N1366" t="s">
        <v>643</v>
      </c>
      <c r="O1366" t="s">
        <v>1780</v>
      </c>
      <c r="P1366" t="s">
        <v>739</v>
      </c>
      <c r="Q1366" t="s">
        <v>511</v>
      </c>
      <c r="R1366" t="s">
        <v>1555</v>
      </c>
      <c r="S1366" t="s">
        <v>1681</v>
      </c>
      <c r="T1366" t="s">
        <v>1557</v>
      </c>
      <c r="U1366">
        <v>194601</v>
      </c>
      <c r="V1366" t="s">
        <v>8547</v>
      </c>
      <c r="W1366" t="s">
        <v>3795</v>
      </c>
      <c r="X1366" t="s">
        <v>8548</v>
      </c>
      <c r="Y1366" t="s">
        <v>8549</v>
      </c>
      <c r="AA1366" t="s">
        <v>8550</v>
      </c>
      <c r="AB1366" t="s">
        <v>8551</v>
      </c>
      <c r="AC1366">
        <v>99085</v>
      </c>
      <c r="AD1366" t="s">
        <v>1800</v>
      </c>
      <c r="AE1366">
        <v>-37.714804059999999</v>
      </c>
      <c r="AF1366">
        <v>176.14023509</v>
      </c>
      <c r="AG1366" s="175">
        <v>40</v>
      </c>
      <c r="AH1366" s="175">
        <v>16</v>
      </c>
      <c r="AI1366" s="175">
        <v>2</v>
      </c>
      <c r="AJ1366" s="175">
        <v>10</v>
      </c>
      <c r="AK1366" s="175">
        <v>10</v>
      </c>
      <c r="AL1366" s="175">
        <v>13</v>
      </c>
      <c r="AM1366" s="175">
        <v>8</v>
      </c>
      <c r="AN1366" s="175">
        <v>0</v>
      </c>
      <c r="AO1366" s="175">
        <v>43</v>
      </c>
      <c r="AP1366" s="175">
        <v>27</v>
      </c>
      <c r="AQ1366" s="175">
        <v>14</v>
      </c>
      <c r="AR1366" s="175">
        <v>4</v>
      </c>
      <c r="AS1366" s="175">
        <v>8</v>
      </c>
      <c r="AT1366" s="175">
        <v>1</v>
      </c>
    </row>
    <row r="1367" spans="1:46">
      <c r="A1367">
        <v>30084</v>
      </c>
      <c r="B1367" t="s">
        <v>8552</v>
      </c>
      <c r="C1367" t="s">
        <v>8553</v>
      </c>
      <c r="E1367" t="s">
        <v>8554</v>
      </c>
      <c r="F1367" t="s">
        <v>8555</v>
      </c>
      <c r="G1367" t="s">
        <v>1604</v>
      </c>
      <c r="H1367" t="s">
        <v>449</v>
      </c>
      <c r="J1367" t="s">
        <v>4032</v>
      </c>
      <c r="K1367" t="s">
        <v>606</v>
      </c>
      <c r="M1367" t="s">
        <v>1382</v>
      </c>
      <c r="N1367" t="s">
        <v>608</v>
      </c>
      <c r="O1367" t="s">
        <v>1605</v>
      </c>
      <c r="P1367" t="s">
        <v>670</v>
      </c>
      <c r="Q1367" t="s">
        <v>511</v>
      </c>
      <c r="R1367" t="s">
        <v>1555</v>
      </c>
      <c r="S1367" t="s">
        <v>1604</v>
      </c>
      <c r="T1367" t="s">
        <v>1557</v>
      </c>
      <c r="U1367">
        <v>198900</v>
      </c>
      <c r="V1367" t="s">
        <v>8556</v>
      </c>
      <c r="W1367" t="s">
        <v>1606</v>
      </c>
      <c r="X1367" t="s">
        <v>8557</v>
      </c>
      <c r="Y1367" t="s">
        <v>8558</v>
      </c>
      <c r="AA1367" t="s">
        <v>4250</v>
      </c>
      <c r="AB1367" t="s">
        <v>8559</v>
      </c>
      <c r="AC1367">
        <v>99107</v>
      </c>
      <c r="AD1367" t="s">
        <v>1609</v>
      </c>
      <c r="AE1367">
        <v>-38.11577235</v>
      </c>
      <c r="AF1367">
        <v>176.22787337</v>
      </c>
      <c r="AG1367" s="175">
        <v>80</v>
      </c>
      <c r="AH1367" s="175">
        <v>20</v>
      </c>
      <c r="AI1367" s="175">
        <v>3</v>
      </c>
      <c r="AJ1367" s="175">
        <v>11</v>
      </c>
      <c r="AK1367" s="175">
        <v>15</v>
      </c>
      <c r="AL1367" s="175">
        <v>18</v>
      </c>
      <c r="AM1367" s="175">
        <v>13</v>
      </c>
      <c r="AN1367" s="175">
        <v>0</v>
      </c>
      <c r="AO1367" s="175">
        <v>60</v>
      </c>
      <c r="AP1367" s="175">
        <v>20</v>
      </c>
      <c r="AQ1367" s="175">
        <v>53</v>
      </c>
      <c r="AR1367" s="175">
        <v>15</v>
      </c>
      <c r="AS1367" s="175">
        <v>2</v>
      </c>
      <c r="AT1367" s="175">
        <v>0</v>
      </c>
    </row>
    <row r="1368" spans="1:46">
      <c r="A1368">
        <v>30086</v>
      </c>
      <c r="B1368" t="s">
        <v>8560</v>
      </c>
      <c r="C1368" t="s">
        <v>8561</v>
      </c>
      <c r="D1368" t="s">
        <v>8562</v>
      </c>
      <c r="E1368" t="s">
        <v>8563</v>
      </c>
      <c r="G1368" t="s">
        <v>1402</v>
      </c>
      <c r="H1368" t="s">
        <v>449</v>
      </c>
      <c r="J1368" t="s">
        <v>4032</v>
      </c>
      <c r="K1368" t="s">
        <v>606</v>
      </c>
      <c r="M1368" t="s">
        <v>1382</v>
      </c>
      <c r="N1368" t="s">
        <v>657</v>
      </c>
      <c r="O1368" t="s">
        <v>1403</v>
      </c>
      <c r="P1368" t="s">
        <v>1347</v>
      </c>
      <c r="Q1368" t="s">
        <v>510</v>
      </c>
      <c r="R1368" t="s">
        <v>1384</v>
      </c>
      <c r="S1368" t="s">
        <v>1404</v>
      </c>
      <c r="T1368" t="s">
        <v>1320</v>
      </c>
      <c r="U1368">
        <v>183200</v>
      </c>
      <c r="V1368" t="s">
        <v>8564</v>
      </c>
      <c r="W1368" t="s">
        <v>1406</v>
      </c>
      <c r="X1368" t="s">
        <v>8565</v>
      </c>
      <c r="Y1368" t="s">
        <v>4471</v>
      </c>
      <c r="Z1368" t="s">
        <v>4472</v>
      </c>
      <c r="AA1368" t="s">
        <v>4596</v>
      </c>
      <c r="AB1368" t="s">
        <v>8566</v>
      </c>
      <c r="AC1368">
        <v>99034</v>
      </c>
      <c r="AD1368" t="s">
        <v>8567</v>
      </c>
      <c r="AE1368">
        <v>-37.896272699999997</v>
      </c>
      <c r="AF1368">
        <v>175.46950293</v>
      </c>
      <c r="AG1368" s="175">
        <v>90</v>
      </c>
      <c r="AH1368" s="175">
        <v>20</v>
      </c>
      <c r="AI1368" s="175">
        <v>2</v>
      </c>
      <c r="AJ1368" s="175">
        <v>12</v>
      </c>
      <c r="AK1368" s="175">
        <v>14</v>
      </c>
      <c r="AL1368" s="175">
        <v>19</v>
      </c>
      <c r="AM1368" s="175">
        <v>10</v>
      </c>
      <c r="AN1368" s="175">
        <v>2</v>
      </c>
      <c r="AO1368" s="175">
        <v>59</v>
      </c>
      <c r="AP1368" s="175">
        <v>49</v>
      </c>
      <c r="AQ1368" s="175">
        <v>15</v>
      </c>
      <c r="AR1368" s="175">
        <v>0</v>
      </c>
      <c r="AS1368" s="175">
        <v>5</v>
      </c>
      <c r="AT1368" s="175">
        <v>4</v>
      </c>
    </row>
    <row r="1369" spans="1:46">
      <c r="A1369">
        <v>30088</v>
      </c>
      <c r="B1369" t="s">
        <v>8568</v>
      </c>
      <c r="C1369" t="s">
        <v>8569</v>
      </c>
      <c r="D1369" t="s">
        <v>8570</v>
      </c>
      <c r="E1369" t="s">
        <v>8571</v>
      </c>
      <c r="F1369" t="s">
        <v>1380</v>
      </c>
      <c r="G1369" t="s">
        <v>1381</v>
      </c>
      <c r="H1369" t="s">
        <v>449</v>
      </c>
      <c r="J1369" t="s">
        <v>4032</v>
      </c>
      <c r="K1369" t="s">
        <v>606</v>
      </c>
      <c r="M1369" t="s">
        <v>1382</v>
      </c>
      <c r="N1369" t="s">
        <v>657</v>
      </c>
      <c r="O1369" t="s">
        <v>1383</v>
      </c>
      <c r="P1369" t="s">
        <v>739</v>
      </c>
      <c r="Q1369" t="s">
        <v>510</v>
      </c>
      <c r="R1369" t="s">
        <v>1384</v>
      </c>
      <c r="S1369" t="s">
        <v>1396</v>
      </c>
      <c r="T1369" t="s">
        <v>1320</v>
      </c>
      <c r="U1369">
        <v>176600</v>
      </c>
      <c r="V1369" t="s">
        <v>1410</v>
      </c>
      <c r="W1369" t="s">
        <v>1398</v>
      </c>
      <c r="X1369" t="s">
        <v>8572</v>
      </c>
      <c r="Y1369" t="s">
        <v>8573</v>
      </c>
      <c r="Z1369" t="s">
        <v>8574</v>
      </c>
      <c r="AA1369" t="s">
        <v>8575</v>
      </c>
      <c r="AB1369" t="s">
        <v>8576</v>
      </c>
      <c r="AC1369">
        <v>99132</v>
      </c>
      <c r="AD1369" t="s">
        <v>8577</v>
      </c>
      <c r="AE1369">
        <v>-37.750247969999997</v>
      </c>
      <c r="AF1369">
        <v>175.26958475999999</v>
      </c>
      <c r="AG1369" s="175">
        <v>25</v>
      </c>
      <c r="AH1369" s="175">
        <v>0</v>
      </c>
      <c r="AI1369" s="175">
        <v>0</v>
      </c>
      <c r="AJ1369" s="175">
        <v>0</v>
      </c>
      <c r="AK1369" s="175">
        <v>0</v>
      </c>
      <c r="AL1369" s="175">
        <v>10</v>
      </c>
      <c r="AM1369" s="175">
        <v>41</v>
      </c>
      <c r="AN1369" s="175">
        <v>0</v>
      </c>
      <c r="AO1369" s="175">
        <v>51</v>
      </c>
      <c r="AP1369" s="175">
        <v>39</v>
      </c>
      <c r="AQ1369" s="175">
        <v>7</v>
      </c>
      <c r="AR1369" s="175">
        <v>4</v>
      </c>
      <c r="AS1369" s="175">
        <v>10</v>
      </c>
      <c r="AT1369" s="175">
        <v>1</v>
      </c>
    </row>
    <row r="1370" spans="1:46">
      <c r="A1370">
        <v>30090</v>
      </c>
      <c r="B1370" t="s">
        <v>8578</v>
      </c>
      <c r="C1370" t="s">
        <v>8579</v>
      </c>
      <c r="D1370" t="s">
        <v>8580</v>
      </c>
      <c r="E1370" t="s">
        <v>8581</v>
      </c>
      <c r="F1370" t="s">
        <v>1646</v>
      </c>
      <c r="G1370" t="s">
        <v>1604</v>
      </c>
      <c r="H1370" t="s">
        <v>450</v>
      </c>
      <c r="J1370" t="s">
        <v>4032</v>
      </c>
      <c r="K1370" t="s">
        <v>606</v>
      </c>
      <c r="M1370" t="s">
        <v>1382</v>
      </c>
      <c r="N1370" t="s">
        <v>643</v>
      </c>
      <c r="O1370" t="s">
        <v>1605</v>
      </c>
      <c r="P1370" t="s">
        <v>670</v>
      </c>
      <c r="Q1370" t="s">
        <v>511</v>
      </c>
      <c r="R1370" t="s">
        <v>1555</v>
      </c>
      <c r="S1370" t="s">
        <v>1604</v>
      </c>
      <c r="T1370" t="s">
        <v>1557</v>
      </c>
      <c r="U1370">
        <v>201300</v>
      </c>
      <c r="V1370" t="s">
        <v>8582</v>
      </c>
      <c r="W1370" t="s">
        <v>1606</v>
      </c>
      <c r="X1370" t="s">
        <v>8583</v>
      </c>
      <c r="Y1370" t="s">
        <v>8581</v>
      </c>
      <c r="AA1370" t="s">
        <v>8584</v>
      </c>
      <c r="AE1370">
        <v>-38.16461305</v>
      </c>
      <c r="AF1370">
        <v>176.23345570000001</v>
      </c>
      <c r="AG1370" s="175">
        <v>50</v>
      </c>
      <c r="AH1370" s="175">
        <v>50</v>
      </c>
      <c r="AI1370" s="175">
        <v>2</v>
      </c>
      <c r="AJ1370" s="175">
        <v>7</v>
      </c>
      <c r="AK1370" s="175">
        <v>13</v>
      </c>
      <c r="AL1370" s="175">
        <v>5</v>
      </c>
      <c r="AM1370" s="175">
        <v>8</v>
      </c>
      <c r="AN1370" s="175">
        <v>0</v>
      </c>
      <c r="AO1370" s="175">
        <v>35</v>
      </c>
      <c r="AP1370" s="175">
        <v>27</v>
      </c>
      <c r="AQ1370" s="175">
        <v>17</v>
      </c>
      <c r="AR1370" s="175">
        <v>1</v>
      </c>
      <c r="AS1370" s="175">
        <v>4</v>
      </c>
      <c r="AT1370" s="175">
        <v>1</v>
      </c>
    </row>
    <row r="1371" spans="1:46">
      <c r="A1371">
        <v>30091</v>
      </c>
      <c r="B1371" t="s">
        <v>8585</v>
      </c>
      <c r="C1371" t="s">
        <v>8586</v>
      </c>
      <c r="D1371" t="s">
        <v>8587</v>
      </c>
      <c r="E1371" t="s">
        <v>8588</v>
      </c>
      <c r="F1371" t="s">
        <v>1380</v>
      </c>
      <c r="G1371" t="s">
        <v>1381</v>
      </c>
      <c r="H1371" t="s">
        <v>449</v>
      </c>
      <c r="J1371" t="s">
        <v>4032</v>
      </c>
      <c r="K1371" t="s">
        <v>606</v>
      </c>
      <c r="M1371" t="s">
        <v>1382</v>
      </c>
      <c r="N1371" t="s">
        <v>643</v>
      </c>
      <c r="O1371" t="s">
        <v>1383</v>
      </c>
      <c r="P1371" t="s">
        <v>739</v>
      </c>
      <c r="Q1371" t="s">
        <v>510</v>
      </c>
      <c r="R1371" t="s">
        <v>1384</v>
      </c>
      <c r="S1371" t="s">
        <v>1385</v>
      </c>
      <c r="T1371" t="s">
        <v>1320</v>
      </c>
      <c r="U1371">
        <v>177100</v>
      </c>
      <c r="V1371" t="s">
        <v>8589</v>
      </c>
      <c r="W1371" t="s">
        <v>1387</v>
      </c>
      <c r="X1371" t="s">
        <v>8590</v>
      </c>
      <c r="Y1371" t="s">
        <v>4725</v>
      </c>
      <c r="Z1371" t="s">
        <v>1043</v>
      </c>
      <c r="AA1371" t="s">
        <v>4726</v>
      </c>
      <c r="AB1371" t="s">
        <v>8586</v>
      </c>
      <c r="AC1371">
        <v>99035</v>
      </c>
      <c r="AD1371" t="s">
        <v>1392</v>
      </c>
      <c r="AE1371">
        <v>-37.777515719999997</v>
      </c>
      <c r="AF1371">
        <v>175.22680095999999</v>
      </c>
      <c r="AG1371" s="175">
        <v>64</v>
      </c>
      <c r="AH1371" s="175">
        <v>20</v>
      </c>
      <c r="AI1371" s="175">
        <v>2</v>
      </c>
      <c r="AJ1371" s="175">
        <v>4</v>
      </c>
      <c r="AK1371" s="175">
        <v>17</v>
      </c>
      <c r="AL1371" s="175">
        <v>21</v>
      </c>
      <c r="AM1371" s="175">
        <v>19</v>
      </c>
      <c r="AN1371" s="175">
        <v>2</v>
      </c>
      <c r="AO1371" s="175">
        <v>65</v>
      </c>
      <c r="AP1371" s="175">
        <v>24</v>
      </c>
      <c r="AQ1371" s="175">
        <v>26</v>
      </c>
      <c r="AR1371" s="175">
        <v>11</v>
      </c>
      <c r="AS1371" s="175">
        <v>21</v>
      </c>
      <c r="AT1371" s="175">
        <v>2</v>
      </c>
    </row>
    <row r="1372" spans="1:46">
      <c r="A1372">
        <v>30094</v>
      </c>
      <c r="B1372" t="s">
        <v>8591</v>
      </c>
      <c r="C1372" t="s">
        <v>8592</v>
      </c>
      <c r="D1372" t="s">
        <v>8593</v>
      </c>
      <c r="E1372" t="s">
        <v>8594</v>
      </c>
      <c r="G1372" t="s">
        <v>1628</v>
      </c>
      <c r="H1372" t="s">
        <v>449</v>
      </c>
      <c r="J1372" t="s">
        <v>4032</v>
      </c>
      <c r="K1372" t="s">
        <v>606</v>
      </c>
      <c r="M1372" t="s">
        <v>1382</v>
      </c>
      <c r="N1372" t="s">
        <v>657</v>
      </c>
      <c r="O1372" t="s">
        <v>1629</v>
      </c>
      <c r="P1372" t="s">
        <v>1347</v>
      </c>
      <c r="Q1372" t="s">
        <v>510</v>
      </c>
      <c r="R1372" t="s">
        <v>1555</v>
      </c>
      <c r="S1372" t="s">
        <v>1404</v>
      </c>
      <c r="T1372" t="s">
        <v>1557</v>
      </c>
      <c r="U1372">
        <v>188400</v>
      </c>
      <c r="V1372" t="s">
        <v>8518</v>
      </c>
      <c r="W1372" t="s">
        <v>1631</v>
      </c>
      <c r="X1372" t="s">
        <v>8595</v>
      </c>
      <c r="Y1372" t="s">
        <v>8596</v>
      </c>
      <c r="Z1372" t="s">
        <v>1628</v>
      </c>
      <c r="AA1372" t="s">
        <v>8597</v>
      </c>
      <c r="AB1372" t="s">
        <v>8598</v>
      </c>
      <c r="AC1372">
        <v>99020</v>
      </c>
      <c r="AD1372" t="s">
        <v>1633</v>
      </c>
      <c r="AE1372">
        <v>-38.681877200000002</v>
      </c>
      <c r="AF1372">
        <v>176.0594529</v>
      </c>
      <c r="AG1372" s="175">
        <v>30</v>
      </c>
      <c r="AH1372" s="175">
        <v>5</v>
      </c>
      <c r="AI1372" s="175">
        <v>0</v>
      </c>
      <c r="AJ1372" s="175">
        <v>0</v>
      </c>
      <c r="AK1372" s="175">
        <v>8</v>
      </c>
      <c r="AL1372" s="175">
        <v>11</v>
      </c>
      <c r="AM1372" s="175">
        <v>12</v>
      </c>
      <c r="AN1372" s="175">
        <v>1</v>
      </c>
      <c r="AO1372" s="175">
        <v>32</v>
      </c>
      <c r="AP1372" s="175">
        <v>17</v>
      </c>
      <c r="AQ1372" s="175">
        <v>8</v>
      </c>
      <c r="AR1372" s="175">
        <v>3</v>
      </c>
      <c r="AS1372" s="175">
        <v>9</v>
      </c>
      <c r="AT1372" s="175">
        <v>3</v>
      </c>
    </row>
    <row r="1373" spans="1:46">
      <c r="A1373">
        <v>30097</v>
      </c>
      <c r="B1373" t="s">
        <v>8599</v>
      </c>
      <c r="C1373" t="s">
        <v>8600</v>
      </c>
      <c r="D1373" t="s">
        <v>8601</v>
      </c>
      <c r="E1373" t="s">
        <v>8602</v>
      </c>
      <c r="G1373" t="s">
        <v>8603</v>
      </c>
      <c r="H1373" t="s">
        <v>449</v>
      </c>
      <c r="I1373" t="s">
        <v>4023</v>
      </c>
      <c r="J1373" t="s">
        <v>605</v>
      </c>
      <c r="K1373" t="s">
        <v>606</v>
      </c>
      <c r="M1373" t="s">
        <v>1382</v>
      </c>
      <c r="N1373" t="s">
        <v>657</v>
      </c>
      <c r="O1373" t="s">
        <v>1435</v>
      </c>
      <c r="P1373" t="s">
        <v>658</v>
      </c>
      <c r="Q1373" t="s">
        <v>510</v>
      </c>
      <c r="R1373" t="s">
        <v>1384</v>
      </c>
      <c r="S1373" t="s">
        <v>1384</v>
      </c>
      <c r="T1373" t="s">
        <v>1320</v>
      </c>
      <c r="U1373">
        <v>172300</v>
      </c>
      <c r="V1373" t="s">
        <v>8604</v>
      </c>
      <c r="W1373" t="s">
        <v>8422</v>
      </c>
      <c r="X1373" t="s">
        <v>8605</v>
      </c>
      <c r="Y1373" t="s">
        <v>8606</v>
      </c>
      <c r="AA1373" t="s">
        <v>8607</v>
      </c>
      <c r="AB1373" t="s">
        <v>8608</v>
      </c>
      <c r="AE1373">
        <v>-37.670559879999999</v>
      </c>
      <c r="AF1373">
        <v>175.30153622</v>
      </c>
      <c r="AG1373" s="175">
        <v>50</v>
      </c>
      <c r="AH1373" s="175">
        <v>10</v>
      </c>
      <c r="AI1373" s="175">
        <v>5</v>
      </c>
      <c r="AJ1373" s="175">
        <v>2</v>
      </c>
      <c r="AK1373" s="175">
        <v>14</v>
      </c>
      <c r="AL1373" s="175">
        <v>22</v>
      </c>
      <c r="AM1373" s="175">
        <v>16</v>
      </c>
      <c r="AN1373" s="175">
        <v>1</v>
      </c>
      <c r="AO1373" s="175">
        <v>60</v>
      </c>
      <c r="AP1373" s="175">
        <v>49</v>
      </c>
      <c r="AQ1373" s="175">
        <v>9</v>
      </c>
      <c r="AR1373" s="175">
        <v>2</v>
      </c>
      <c r="AS1373" s="175">
        <v>8</v>
      </c>
      <c r="AT1373" s="175">
        <v>2</v>
      </c>
    </row>
    <row r="1374" spans="1:46">
      <c r="A1374">
        <v>30100</v>
      </c>
      <c r="B1374" t="s">
        <v>8609</v>
      </c>
      <c r="C1374" t="s">
        <v>8610</v>
      </c>
      <c r="E1374" t="s">
        <v>8611</v>
      </c>
      <c r="F1374" t="s">
        <v>1381</v>
      </c>
      <c r="G1374" t="s">
        <v>1381</v>
      </c>
      <c r="H1374" t="s">
        <v>449</v>
      </c>
      <c r="J1374" t="s">
        <v>605</v>
      </c>
      <c r="K1374" t="s">
        <v>606</v>
      </c>
      <c r="M1374" t="s">
        <v>1382</v>
      </c>
      <c r="N1374" t="s">
        <v>657</v>
      </c>
      <c r="O1374" t="s">
        <v>1383</v>
      </c>
      <c r="P1374" t="s">
        <v>739</v>
      </c>
      <c r="Q1374" t="s">
        <v>510</v>
      </c>
      <c r="R1374" t="s">
        <v>1384</v>
      </c>
      <c r="S1374" t="s">
        <v>1385</v>
      </c>
      <c r="T1374" t="s">
        <v>1320</v>
      </c>
      <c r="U1374">
        <v>179501</v>
      </c>
      <c r="V1374" t="s">
        <v>8612</v>
      </c>
      <c r="W1374" t="s">
        <v>1387</v>
      </c>
      <c r="X1374" t="s">
        <v>8441</v>
      </c>
      <c r="Y1374" t="s">
        <v>4014</v>
      </c>
      <c r="Z1374" t="s">
        <v>4015</v>
      </c>
      <c r="AA1374" t="s">
        <v>4016</v>
      </c>
      <c r="AB1374" t="s">
        <v>8442</v>
      </c>
      <c r="AE1374">
        <v>-37.79530836</v>
      </c>
      <c r="AF1374">
        <v>175.27982395000001</v>
      </c>
      <c r="AG1374" s="175">
        <v>43</v>
      </c>
      <c r="AH1374" s="175">
        <v>15</v>
      </c>
      <c r="AI1374" s="175">
        <v>1</v>
      </c>
      <c r="AJ1374" s="175">
        <v>4</v>
      </c>
      <c r="AK1374" s="175">
        <v>9</v>
      </c>
      <c r="AL1374" s="175">
        <v>17</v>
      </c>
      <c r="AM1374" s="175">
        <v>8</v>
      </c>
      <c r="AN1374" s="175">
        <v>2</v>
      </c>
      <c r="AO1374" s="175">
        <v>41</v>
      </c>
      <c r="AP1374" s="175">
        <v>12</v>
      </c>
      <c r="AQ1374" s="175">
        <v>13</v>
      </c>
      <c r="AR1374" s="175">
        <v>3</v>
      </c>
      <c r="AS1374" s="175">
        <v>20</v>
      </c>
      <c r="AT1374" s="175">
        <v>6</v>
      </c>
    </row>
    <row r="1375" spans="1:46">
      <c r="A1375">
        <v>30102</v>
      </c>
      <c r="B1375" t="s">
        <v>8613</v>
      </c>
      <c r="C1375" t="s">
        <v>8614</v>
      </c>
      <c r="E1375" t="s">
        <v>8615</v>
      </c>
      <c r="F1375" t="s">
        <v>1380</v>
      </c>
      <c r="G1375" t="s">
        <v>1381</v>
      </c>
      <c r="H1375" t="s">
        <v>449</v>
      </c>
      <c r="J1375" t="s">
        <v>4032</v>
      </c>
      <c r="K1375" t="s">
        <v>606</v>
      </c>
      <c r="M1375" t="s">
        <v>1382</v>
      </c>
      <c r="N1375" t="s">
        <v>625</v>
      </c>
      <c r="O1375" t="s">
        <v>1383</v>
      </c>
      <c r="P1375" t="s">
        <v>739</v>
      </c>
      <c r="Q1375" t="s">
        <v>510</v>
      </c>
      <c r="R1375" t="s">
        <v>1384</v>
      </c>
      <c r="S1375" t="s">
        <v>1396</v>
      </c>
      <c r="T1375" t="s">
        <v>1320</v>
      </c>
      <c r="U1375">
        <v>178202</v>
      </c>
      <c r="V1375" t="s">
        <v>8616</v>
      </c>
      <c r="W1375" t="s">
        <v>1398</v>
      </c>
      <c r="X1375" t="s">
        <v>8617</v>
      </c>
      <c r="Y1375" t="s">
        <v>7375</v>
      </c>
      <c r="Z1375" t="s">
        <v>848</v>
      </c>
      <c r="AA1375" t="s">
        <v>4432</v>
      </c>
      <c r="AB1375" t="s">
        <v>8618</v>
      </c>
      <c r="AE1375">
        <v>-37.773302600000001</v>
      </c>
      <c r="AF1375">
        <v>175.28581492000001</v>
      </c>
      <c r="AG1375" s="175">
        <v>75</v>
      </c>
      <c r="AH1375" s="175">
        <v>20</v>
      </c>
      <c r="AI1375" s="175">
        <v>1</v>
      </c>
      <c r="AJ1375" s="175">
        <v>7</v>
      </c>
      <c r="AK1375" s="175">
        <v>16</v>
      </c>
      <c r="AL1375" s="175">
        <v>6</v>
      </c>
      <c r="AM1375" s="175">
        <v>13</v>
      </c>
      <c r="AN1375" s="175">
        <v>3</v>
      </c>
      <c r="AO1375" s="175">
        <v>46</v>
      </c>
      <c r="AP1375" s="175">
        <v>8</v>
      </c>
      <c r="AQ1375" s="175">
        <v>31</v>
      </c>
      <c r="AR1375" s="175">
        <v>8</v>
      </c>
      <c r="AS1375" s="175">
        <v>15</v>
      </c>
      <c r="AT1375" s="175">
        <v>0</v>
      </c>
    </row>
    <row r="1376" spans="1:46">
      <c r="A1376">
        <v>30108</v>
      </c>
      <c r="B1376" t="s">
        <v>8619</v>
      </c>
      <c r="C1376" t="s">
        <v>1517</v>
      </c>
      <c r="E1376" t="s">
        <v>8620</v>
      </c>
      <c r="F1376" t="s">
        <v>1380</v>
      </c>
      <c r="G1376" t="s">
        <v>1381</v>
      </c>
      <c r="H1376" t="s">
        <v>452</v>
      </c>
      <c r="J1376" t="s">
        <v>605</v>
      </c>
      <c r="K1376" t="s">
        <v>606</v>
      </c>
      <c r="M1376" t="s">
        <v>1382</v>
      </c>
      <c r="N1376" t="s">
        <v>657</v>
      </c>
      <c r="O1376" t="s">
        <v>1383</v>
      </c>
      <c r="P1376" t="s">
        <v>739</v>
      </c>
      <c r="Q1376" t="s">
        <v>510</v>
      </c>
      <c r="R1376" t="s">
        <v>1384</v>
      </c>
      <c r="S1376" t="s">
        <v>1385</v>
      </c>
      <c r="T1376" t="s">
        <v>1320</v>
      </c>
      <c r="U1376">
        <v>178100</v>
      </c>
      <c r="V1376" t="s">
        <v>1420</v>
      </c>
      <c r="W1376" t="s">
        <v>1387</v>
      </c>
      <c r="X1376" t="s">
        <v>1571</v>
      </c>
      <c r="Y1376" t="s">
        <v>1525</v>
      </c>
      <c r="AA1376" t="s">
        <v>1526</v>
      </c>
      <c r="AB1376" t="s">
        <v>1572</v>
      </c>
      <c r="AC1376">
        <v>99035</v>
      </c>
      <c r="AD1376" t="s">
        <v>1392</v>
      </c>
      <c r="AE1376">
        <v>-37.79433538</v>
      </c>
      <c r="AF1376">
        <v>175.245654</v>
      </c>
      <c r="AG1376" s="175">
        <v>45</v>
      </c>
      <c r="AH1376" s="175">
        <v>15</v>
      </c>
      <c r="AI1376" s="175">
        <v>1</v>
      </c>
      <c r="AJ1376" s="175">
        <v>6</v>
      </c>
      <c r="AK1376" s="175">
        <v>9</v>
      </c>
      <c r="AL1376" s="175">
        <v>8</v>
      </c>
      <c r="AM1376" s="175">
        <v>15</v>
      </c>
      <c r="AN1376" s="175">
        <v>2</v>
      </c>
      <c r="AO1376" s="175">
        <v>41</v>
      </c>
      <c r="AP1376" s="175">
        <v>30</v>
      </c>
      <c r="AQ1376" s="175">
        <v>19</v>
      </c>
      <c r="AR1376" s="175">
        <v>2</v>
      </c>
      <c r="AS1376" s="175">
        <v>4</v>
      </c>
      <c r="AT1376" s="175">
        <v>0</v>
      </c>
    </row>
    <row r="1377" spans="1:46">
      <c r="A1377">
        <v>30112</v>
      </c>
      <c r="B1377" t="s">
        <v>8621</v>
      </c>
      <c r="C1377" t="s">
        <v>8622</v>
      </c>
      <c r="D1377" t="s">
        <v>8623</v>
      </c>
      <c r="E1377" t="s">
        <v>8624</v>
      </c>
      <c r="F1377" t="s">
        <v>8555</v>
      </c>
      <c r="G1377" t="s">
        <v>1604</v>
      </c>
      <c r="H1377" t="s">
        <v>449</v>
      </c>
      <c r="I1377" t="s">
        <v>5017</v>
      </c>
      <c r="J1377" t="s">
        <v>605</v>
      </c>
      <c r="K1377" t="s">
        <v>606</v>
      </c>
      <c r="M1377" t="s">
        <v>1382</v>
      </c>
      <c r="N1377" t="s">
        <v>625</v>
      </c>
      <c r="O1377" t="s">
        <v>1605</v>
      </c>
      <c r="P1377" t="s">
        <v>670</v>
      </c>
      <c r="Q1377" t="s">
        <v>511</v>
      </c>
      <c r="R1377" t="s">
        <v>1555</v>
      </c>
      <c r="S1377" t="s">
        <v>1604</v>
      </c>
      <c r="T1377" t="s">
        <v>1557</v>
      </c>
      <c r="U1377">
        <v>199800</v>
      </c>
      <c r="V1377" t="s">
        <v>8625</v>
      </c>
      <c r="W1377" t="s">
        <v>1606</v>
      </c>
      <c r="X1377" t="s">
        <v>8626</v>
      </c>
      <c r="Y1377" t="s">
        <v>8627</v>
      </c>
      <c r="Z1377" t="s">
        <v>8628</v>
      </c>
      <c r="AA1377" t="s">
        <v>8629</v>
      </c>
      <c r="AB1377" t="s">
        <v>8630</v>
      </c>
      <c r="AE1377">
        <v>-38.13952638</v>
      </c>
      <c r="AF1377">
        <v>176.24530347000001</v>
      </c>
      <c r="AG1377" s="175">
        <v>35</v>
      </c>
      <c r="AH1377" s="175">
        <v>10</v>
      </c>
      <c r="AI1377" s="175">
        <v>0</v>
      </c>
      <c r="AJ1377" s="175">
        <v>4</v>
      </c>
      <c r="AK1377" s="175">
        <v>3</v>
      </c>
      <c r="AL1377" s="175">
        <v>4</v>
      </c>
      <c r="AM1377" s="175">
        <v>3</v>
      </c>
      <c r="AN1377" s="175">
        <v>1</v>
      </c>
      <c r="AO1377" s="175">
        <v>15</v>
      </c>
      <c r="AP1377" s="175">
        <v>3</v>
      </c>
      <c r="AQ1377" s="175">
        <v>15</v>
      </c>
      <c r="AR1377" s="175">
        <v>0</v>
      </c>
      <c r="AS1377" s="175">
        <v>0</v>
      </c>
      <c r="AT1377" s="175">
        <v>3</v>
      </c>
    </row>
    <row r="1378" spans="1:46">
      <c r="A1378">
        <v>30113</v>
      </c>
      <c r="B1378" t="s">
        <v>8631</v>
      </c>
      <c r="C1378" t="s">
        <v>8632</v>
      </c>
      <c r="D1378" t="s">
        <v>8633</v>
      </c>
      <c r="E1378" t="s">
        <v>8634</v>
      </c>
      <c r="F1378" t="s">
        <v>3841</v>
      </c>
      <c r="G1378" t="s">
        <v>1681</v>
      </c>
      <c r="H1378" t="s">
        <v>452</v>
      </c>
      <c r="J1378" t="s">
        <v>605</v>
      </c>
      <c r="K1378" t="s">
        <v>606</v>
      </c>
      <c r="M1378" t="s">
        <v>1382</v>
      </c>
      <c r="N1378" t="s">
        <v>657</v>
      </c>
      <c r="O1378" t="s">
        <v>1780</v>
      </c>
      <c r="P1378" t="s">
        <v>739</v>
      </c>
      <c r="Q1378" t="s">
        <v>511</v>
      </c>
      <c r="R1378" t="s">
        <v>1555</v>
      </c>
      <c r="S1378" t="s">
        <v>1781</v>
      </c>
      <c r="T1378" t="s">
        <v>1557</v>
      </c>
      <c r="U1378">
        <v>197400</v>
      </c>
      <c r="V1378" t="s">
        <v>8635</v>
      </c>
      <c r="W1378" t="s">
        <v>3843</v>
      </c>
      <c r="X1378" t="s">
        <v>1679</v>
      </c>
      <c r="Y1378" t="s">
        <v>1680</v>
      </c>
      <c r="Z1378" t="s">
        <v>1681</v>
      </c>
      <c r="AA1378" t="s">
        <v>1682</v>
      </c>
      <c r="AB1378" t="s">
        <v>1683</v>
      </c>
      <c r="AC1378">
        <v>99073</v>
      </c>
      <c r="AD1378" t="s">
        <v>3844</v>
      </c>
      <c r="AE1378">
        <v>-37.706760439999996</v>
      </c>
      <c r="AF1378">
        <v>176.30754942999999</v>
      </c>
      <c r="AG1378" s="175">
        <v>40</v>
      </c>
      <c r="AH1378" s="175">
        <v>0</v>
      </c>
      <c r="AI1378" s="175">
        <v>0</v>
      </c>
      <c r="AJ1378" s="175">
        <v>0</v>
      </c>
      <c r="AK1378" s="175">
        <v>1</v>
      </c>
      <c r="AL1378" s="175">
        <v>19</v>
      </c>
      <c r="AM1378" s="175">
        <v>26</v>
      </c>
      <c r="AN1378" s="175">
        <v>0</v>
      </c>
      <c r="AO1378" s="175">
        <v>46</v>
      </c>
      <c r="AP1378" s="175">
        <v>38</v>
      </c>
      <c r="AQ1378" s="175">
        <v>9</v>
      </c>
      <c r="AR1378" s="175">
        <v>4</v>
      </c>
      <c r="AS1378" s="175">
        <v>6</v>
      </c>
      <c r="AT1378" s="175">
        <v>6</v>
      </c>
    </row>
    <row r="1379" spans="1:46">
      <c r="A1379">
        <v>30116</v>
      </c>
      <c r="B1379" t="s">
        <v>8636</v>
      </c>
      <c r="C1379" t="s">
        <v>8637</v>
      </c>
      <c r="D1379" t="s">
        <v>8638</v>
      </c>
      <c r="E1379" t="s">
        <v>8639</v>
      </c>
      <c r="G1379" t="s">
        <v>1717</v>
      </c>
      <c r="H1379" t="s">
        <v>449</v>
      </c>
      <c r="I1379" t="s">
        <v>470</v>
      </c>
      <c r="J1379" t="s">
        <v>605</v>
      </c>
      <c r="K1379" t="s">
        <v>606</v>
      </c>
      <c r="M1379" t="s">
        <v>1382</v>
      </c>
      <c r="N1379" t="s">
        <v>812</v>
      </c>
      <c r="O1379" t="s">
        <v>1718</v>
      </c>
      <c r="P1379" t="s">
        <v>610</v>
      </c>
      <c r="Q1379" t="s">
        <v>553</v>
      </c>
      <c r="R1379" t="s">
        <v>1384</v>
      </c>
      <c r="S1379" t="s">
        <v>1719</v>
      </c>
      <c r="T1379" t="s">
        <v>1568</v>
      </c>
      <c r="U1379">
        <v>222600</v>
      </c>
      <c r="V1379" t="s">
        <v>1720</v>
      </c>
      <c r="W1379" t="s">
        <v>1721</v>
      </c>
      <c r="X1379" t="s">
        <v>8640</v>
      </c>
      <c r="Y1379" t="s">
        <v>8641</v>
      </c>
      <c r="AA1379" t="s">
        <v>8642</v>
      </c>
      <c r="AB1379" t="s">
        <v>8643</v>
      </c>
      <c r="AE1379">
        <v>-38.88547707</v>
      </c>
      <c r="AF1379">
        <v>175.26419960000001</v>
      </c>
      <c r="AG1379" s="175">
        <v>45</v>
      </c>
      <c r="AH1379" s="175">
        <v>15</v>
      </c>
      <c r="AI1379" s="175">
        <v>1</v>
      </c>
      <c r="AJ1379" s="175">
        <v>7</v>
      </c>
      <c r="AK1379" s="175">
        <v>7</v>
      </c>
      <c r="AL1379" s="175">
        <v>12</v>
      </c>
      <c r="AM1379" s="175">
        <v>7</v>
      </c>
      <c r="AN1379" s="175">
        <v>0</v>
      </c>
      <c r="AO1379" s="175">
        <v>34</v>
      </c>
      <c r="AP1379" s="175">
        <v>17</v>
      </c>
      <c r="AQ1379" s="175">
        <v>22</v>
      </c>
      <c r="AR1379" s="175">
        <v>1</v>
      </c>
      <c r="AS1379" s="175">
        <v>1</v>
      </c>
      <c r="AT1379" s="175">
        <v>3</v>
      </c>
    </row>
    <row r="1380" spans="1:46">
      <c r="A1380">
        <v>30118</v>
      </c>
      <c r="B1380" t="s">
        <v>8644</v>
      </c>
      <c r="C1380" t="s">
        <v>8645</v>
      </c>
      <c r="D1380" t="s">
        <v>8646</v>
      </c>
      <c r="E1380" t="s">
        <v>8647</v>
      </c>
      <c r="G1380" t="s">
        <v>1566</v>
      </c>
      <c r="H1380" t="s">
        <v>469</v>
      </c>
      <c r="I1380" t="s">
        <v>4642</v>
      </c>
      <c r="J1380" t="s">
        <v>605</v>
      </c>
      <c r="K1380" t="s">
        <v>606</v>
      </c>
      <c r="M1380" t="s">
        <v>1382</v>
      </c>
      <c r="N1380" t="s">
        <v>812</v>
      </c>
      <c r="O1380" t="s">
        <v>1567</v>
      </c>
      <c r="P1380" t="s">
        <v>1347</v>
      </c>
      <c r="Q1380" t="s">
        <v>510</v>
      </c>
      <c r="R1380" t="s">
        <v>1384</v>
      </c>
      <c r="S1380" t="s">
        <v>1404</v>
      </c>
      <c r="T1380" t="s">
        <v>1568</v>
      </c>
      <c r="U1380">
        <v>186400</v>
      </c>
      <c r="V1380" t="s">
        <v>1591</v>
      </c>
      <c r="W1380" t="s">
        <v>1570</v>
      </c>
      <c r="X1380" t="s">
        <v>8648</v>
      </c>
      <c r="Y1380" t="s">
        <v>8649</v>
      </c>
      <c r="Z1380" t="s">
        <v>1566</v>
      </c>
      <c r="AA1380" t="s">
        <v>8650</v>
      </c>
      <c r="AB1380" t="s">
        <v>8651</v>
      </c>
      <c r="AC1380">
        <v>99195</v>
      </c>
      <c r="AD1380" t="s">
        <v>1573</v>
      </c>
      <c r="AE1380">
        <v>-38.228841660000001</v>
      </c>
      <c r="AF1380">
        <v>175.85580035999999</v>
      </c>
      <c r="AG1380" s="175">
        <v>27</v>
      </c>
      <c r="AH1380" s="175">
        <v>10</v>
      </c>
      <c r="AI1380" s="175">
        <v>0</v>
      </c>
      <c r="AJ1380" s="175">
        <v>3</v>
      </c>
      <c r="AK1380" s="175">
        <v>6</v>
      </c>
      <c r="AL1380" s="175">
        <v>3</v>
      </c>
      <c r="AM1380" s="175">
        <v>7</v>
      </c>
      <c r="AN1380" s="175">
        <v>1</v>
      </c>
      <c r="AO1380" s="175">
        <v>20</v>
      </c>
      <c r="AP1380" s="175">
        <v>7</v>
      </c>
      <c r="AQ1380" s="175">
        <v>11</v>
      </c>
      <c r="AR1380" s="175">
        <v>14</v>
      </c>
      <c r="AS1380" s="175">
        <v>1</v>
      </c>
      <c r="AT1380" s="175">
        <v>5</v>
      </c>
    </row>
    <row r="1381" spans="1:46">
      <c r="A1381">
        <v>30120</v>
      </c>
      <c r="B1381" t="s">
        <v>8652</v>
      </c>
      <c r="C1381" t="s">
        <v>8653</v>
      </c>
      <c r="E1381" t="s">
        <v>8654</v>
      </c>
      <c r="F1381" t="s">
        <v>8655</v>
      </c>
      <c r="G1381" t="s">
        <v>1381</v>
      </c>
      <c r="H1381" t="s">
        <v>449</v>
      </c>
      <c r="I1381" t="s">
        <v>4134</v>
      </c>
      <c r="J1381" t="s">
        <v>605</v>
      </c>
      <c r="K1381" t="s">
        <v>606</v>
      </c>
      <c r="M1381" t="s">
        <v>1382</v>
      </c>
      <c r="N1381" t="s">
        <v>657</v>
      </c>
      <c r="O1381" t="s">
        <v>1383</v>
      </c>
      <c r="P1381" t="s">
        <v>739</v>
      </c>
      <c r="Q1381" t="s">
        <v>510</v>
      </c>
      <c r="R1381" t="s">
        <v>1384</v>
      </c>
      <c r="S1381" t="s">
        <v>1396</v>
      </c>
      <c r="T1381" t="s">
        <v>1320</v>
      </c>
      <c r="U1381">
        <v>175801</v>
      </c>
      <c r="V1381" t="s">
        <v>8656</v>
      </c>
      <c r="W1381" t="s">
        <v>1398</v>
      </c>
      <c r="X1381" t="s">
        <v>8441</v>
      </c>
      <c r="Y1381" t="s">
        <v>4014</v>
      </c>
      <c r="Z1381" t="s">
        <v>4015</v>
      </c>
      <c r="AA1381" t="s">
        <v>4016</v>
      </c>
      <c r="AB1381" t="s">
        <v>8442</v>
      </c>
      <c r="AC1381">
        <v>99132</v>
      </c>
      <c r="AD1381" t="s">
        <v>8577</v>
      </c>
      <c r="AE1381">
        <v>-37.735368229999999</v>
      </c>
      <c r="AF1381">
        <v>175.25756985999999</v>
      </c>
      <c r="AG1381" s="175">
        <v>40</v>
      </c>
      <c r="AH1381" s="175">
        <v>8</v>
      </c>
      <c r="AI1381" s="175">
        <v>0</v>
      </c>
      <c r="AJ1381" s="175">
        <v>1</v>
      </c>
      <c r="AK1381" s="175">
        <v>7</v>
      </c>
      <c r="AL1381" s="175">
        <v>13</v>
      </c>
      <c r="AM1381" s="175">
        <v>15</v>
      </c>
      <c r="AN1381" s="175">
        <v>3</v>
      </c>
      <c r="AO1381" s="175">
        <v>39</v>
      </c>
      <c r="AP1381" s="175">
        <v>9</v>
      </c>
      <c r="AQ1381" s="175">
        <v>4</v>
      </c>
      <c r="AR1381" s="175">
        <v>1</v>
      </c>
      <c r="AS1381" s="175">
        <v>27</v>
      </c>
      <c r="AT1381" s="175">
        <v>5</v>
      </c>
    </row>
    <row r="1382" spans="1:46">
      <c r="A1382">
        <v>30125</v>
      </c>
      <c r="B1382" t="s">
        <v>8657</v>
      </c>
      <c r="C1382" t="s">
        <v>8658</v>
      </c>
      <c r="D1382" t="s">
        <v>8659</v>
      </c>
      <c r="E1382" t="s">
        <v>8660</v>
      </c>
      <c r="G1382" t="s">
        <v>1566</v>
      </c>
      <c r="H1382" t="s">
        <v>449</v>
      </c>
      <c r="I1382" t="s">
        <v>5017</v>
      </c>
      <c r="J1382" t="s">
        <v>605</v>
      </c>
      <c r="K1382" t="s">
        <v>606</v>
      </c>
      <c r="M1382" t="s">
        <v>1382</v>
      </c>
      <c r="N1382" t="s">
        <v>625</v>
      </c>
      <c r="O1382" t="s">
        <v>1567</v>
      </c>
      <c r="P1382" t="s">
        <v>1347</v>
      </c>
      <c r="Q1382" t="s">
        <v>510</v>
      </c>
      <c r="R1382" t="s">
        <v>1384</v>
      </c>
      <c r="S1382" t="s">
        <v>1404</v>
      </c>
      <c r="T1382" t="s">
        <v>1568</v>
      </c>
      <c r="U1382">
        <v>186600</v>
      </c>
      <c r="V1382" t="s">
        <v>8404</v>
      </c>
      <c r="W1382" t="s">
        <v>1570</v>
      </c>
      <c r="X1382" t="s">
        <v>8661</v>
      </c>
      <c r="Y1382" t="s">
        <v>8662</v>
      </c>
      <c r="Z1382" t="s">
        <v>8663</v>
      </c>
      <c r="AA1382" t="s">
        <v>8664</v>
      </c>
      <c r="AB1382" t="s">
        <v>8665</v>
      </c>
      <c r="AC1382">
        <v>99195</v>
      </c>
      <c r="AD1382" t="s">
        <v>1573</v>
      </c>
      <c r="AE1382">
        <v>-38.230583750000001</v>
      </c>
      <c r="AF1382">
        <v>175.85914201</v>
      </c>
      <c r="AG1382" s="175">
        <v>60</v>
      </c>
      <c r="AH1382" s="175">
        <v>17</v>
      </c>
      <c r="AI1382" s="175">
        <v>1</v>
      </c>
      <c r="AJ1382" s="175">
        <v>6</v>
      </c>
      <c r="AK1382" s="175">
        <v>7</v>
      </c>
      <c r="AL1382" s="175">
        <v>13</v>
      </c>
      <c r="AM1382" s="175">
        <v>10</v>
      </c>
      <c r="AN1382" s="175">
        <v>0</v>
      </c>
      <c r="AO1382" s="175">
        <v>37</v>
      </c>
      <c r="AP1382" s="175">
        <v>15</v>
      </c>
      <c r="AQ1382" s="175">
        <v>30</v>
      </c>
      <c r="AR1382" s="175">
        <v>12</v>
      </c>
      <c r="AS1382" s="175">
        <v>2</v>
      </c>
      <c r="AT1382" s="175">
        <v>0</v>
      </c>
    </row>
    <row r="1383" spans="1:46">
      <c r="A1383">
        <v>30126</v>
      </c>
      <c r="B1383" t="s">
        <v>8666</v>
      </c>
      <c r="C1383" t="s">
        <v>1517</v>
      </c>
      <c r="D1383" t="s">
        <v>8667</v>
      </c>
      <c r="E1383" t="s">
        <v>8668</v>
      </c>
      <c r="G1383" t="s">
        <v>8669</v>
      </c>
      <c r="H1383" t="s">
        <v>452</v>
      </c>
      <c r="J1383" t="s">
        <v>605</v>
      </c>
      <c r="K1383" t="s">
        <v>606</v>
      </c>
      <c r="M1383" t="s">
        <v>1382</v>
      </c>
      <c r="N1383" t="s">
        <v>657</v>
      </c>
      <c r="O1383" t="s">
        <v>1545</v>
      </c>
      <c r="P1383" t="s">
        <v>610</v>
      </c>
      <c r="Q1383" t="s">
        <v>510</v>
      </c>
      <c r="R1383" t="s">
        <v>1384</v>
      </c>
      <c r="S1383" t="s">
        <v>1522</v>
      </c>
      <c r="T1383" t="s">
        <v>1320</v>
      </c>
      <c r="U1383">
        <v>168101</v>
      </c>
      <c r="V1383" t="s">
        <v>8669</v>
      </c>
      <c r="W1383" t="s">
        <v>8670</v>
      </c>
      <c r="X1383" t="s">
        <v>1524</v>
      </c>
      <c r="Y1383" t="s">
        <v>1525</v>
      </c>
      <c r="AA1383" t="s">
        <v>1526</v>
      </c>
      <c r="AB1383" t="s">
        <v>1527</v>
      </c>
      <c r="AC1383">
        <v>99155</v>
      </c>
      <c r="AD1383" t="s">
        <v>3900</v>
      </c>
      <c r="AE1383">
        <v>-36.996891859999998</v>
      </c>
      <c r="AF1383">
        <v>175.85567897999999</v>
      </c>
      <c r="AG1383" s="175">
        <v>30</v>
      </c>
      <c r="AH1383" s="175">
        <v>0</v>
      </c>
      <c r="AI1383" s="175">
        <v>0</v>
      </c>
      <c r="AJ1383" s="175">
        <v>0</v>
      </c>
      <c r="AK1383" s="175">
        <v>6</v>
      </c>
      <c r="AL1383" s="175">
        <v>13</v>
      </c>
      <c r="AM1383" s="175">
        <v>4</v>
      </c>
      <c r="AN1383" s="175">
        <v>0</v>
      </c>
      <c r="AO1383" s="175">
        <v>23</v>
      </c>
      <c r="AP1383" s="175">
        <v>16</v>
      </c>
      <c r="AQ1383" s="175">
        <v>9</v>
      </c>
      <c r="AR1383" s="175">
        <v>2</v>
      </c>
      <c r="AS1383" s="175">
        <v>2</v>
      </c>
      <c r="AT1383" s="175">
        <v>3</v>
      </c>
    </row>
    <row r="1384" spans="1:46">
      <c r="A1384">
        <v>30127</v>
      </c>
      <c r="B1384" t="s">
        <v>8671</v>
      </c>
      <c r="C1384" t="s">
        <v>8672</v>
      </c>
      <c r="E1384" t="s">
        <v>8673</v>
      </c>
      <c r="F1384" t="s">
        <v>1773</v>
      </c>
      <c r="G1384" t="s">
        <v>1604</v>
      </c>
      <c r="H1384" t="s">
        <v>449</v>
      </c>
      <c r="J1384" t="s">
        <v>605</v>
      </c>
      <c r="K1384" t="s">
        <v>606</v>
      </c>
      <c r="M1384" t="s">
        <v>1382</v>
      </c>
      <c r="N1384" t="s">
        <v>812</v>
      </c>
      <c r="O1384" t="s">
        <v>1605</v>
      </c>
      <c r="P1384" t="s">
        <v>670</v>
      </c>
      <c r="Q1384" t="s">
        <v>511</v>
      </c>
      <c r="R1384" t="s">
        <v>1555</v>
      </c>
      <c r="S1384" t="s">
        <v>1604</v>
      </c>
      <c r="T1384" t="s">
        <v>1557</v>
      </c>
      <c r="U1384">
        <v>198600</v>
      </c>
      <c r="V1384" t="s">
        <v>8674</v>
      </c>
      <c r="W1384" t="s">
        <v>1606</v>
      </c>
      <c r="X1384" t="s">
        <v>8675</v>
      </c>
      <c r="Y1384" t="s">
        <v>8431</v>
      </c>
      <c r="AA1384" t="s">
        <v>8432</v>
      </c>
      <c r="AB1384" t="s">
        <v>8672</v>
      </c>
      <c r="AC1384">
        <v>99107</v>
      </c>
      <c r="AD1384" t="s">
        <v>1609</v>
      </c>
      <c r="AE1384">
        <v>-38.129793220000003</v>
      </c>
      <c r="AF1384">
        <v>176.2124565</v>
      </c>
      <c r="AG1384" s="175">
        <v>42</v>
      </c>
      <c r="AH1384" s="175">
        <v>5</v>
      </c>
      <c r="AI1384" s="175">
        <v>0</v>
      </c>
      <c r="AJ1384" s="175">
        <v>4</v>
      </c>
      <c r="AK1384" s="175">
        <v>8</v>
      </c>
      <c r="AL1384" s="175">
        <v>13</v>
      </c>
      <c r="AM1384" s="175">
        <v>6</v>
      </c>
      <c r="AN1384" s="175">
        <v>1</v>
      </c>
      <c r="AO1384" s="175">
        <v>32</v>
      </c>
      <c r="AP1384" s="175">
        <v>14</v>
      </c>
      <c r="AQ1384" s="175">
        <v>25</v>
      </c>
      <c r="AR1384" s="175">
        <v>2</v>
      </c>
      <c r="AS1384" s="175">
        <v>0</v>
      </c>
      <c r="AT1384" s="175">
        <v>4</v>
      </c>
    </row>
    <row r="1385" spans="1:46">
      <c r="A1385">
        <v>30128</v>
      </c>
      <c r="B1385" t="s">
        <v>8676</v>
      </c>
      <c r="C1385" t="s">
        <v>8677</v>
      </c>
      <c r="D1385" t="s">
        <v>8678</v>
      </c>
      <c r="E1385" t="s">
        <v>8679</v>
      </c>
      <c r="F1385" t="s">
        <v>8680</v>
      </c>
      <c r="G1385" t="s">
        <v>1381</v>
      </c>
      <c r="H1385" t="s">
        <v>449</v>
      </c>
      <c r="J1385" t="s">
        <v>605</v>
      </c>
      <c r="K1385" t="s">
        <v>606</v>
      </c>
      <c r="M1385" t="s">
        <v>1382</v>
      </c>
      <c r="N1385" t="s">
        <v>657</v>
      </c>
      <c r="O1385" t="s">
        <v>1383</v>
      </c>
      <c r="P1385" t="s">
        <v>739</v>
      </c>
      <c r="Q1385" t="s">
        <v>510</v>
      </c>
      <c r="R1385" t="s">
        <v>1384</v>
      </c>
      <c r="S1385" t="s">
        <v>1396</v>
      </c>
      <c r="T1385" t="s">
        <v>1320</v>
      </c>
      <c r="U1385">
        <v>175901</v>
      </c>
      <c r="V1385" t="s">
        <v>8681</v>
      </c>
      <c r="W1385" t="s">
        <v>1398</v>
      </c>
      <c r="X1385" t="s">
        <v>8441</v>
      </c>
      <c r="Y1385" t="s">
        <v>4014</v>
      </c>
      <c r="Z1385" t="s">
        <v>4015</v>
      </c>
      <c r="AA1385" t="s">
        <v>4016</v>
      </c>
      <c r="AB1385" t="s">
        <v>8442</v>
      </c>
      <c r="AC1385">
        <v>99132</v>
      </c>
      <c r="AD1385" t="s">
        <v>8577</v>
      </c>
      <c r="AE1385">
        <v>-37.730956429999999</v>
      </c>
      <c r="AF1385">
        <v>175.25991182000001</v>
      </c>
      <c r="AG1385" s="175">
        <v>50</v>
      </c>
      <c r="AH1385" s="175">
        <v>14</v>
      </c>
      <c r="AI1385" s="175">
        <v>1</v>
      </c>
      <c r="AJ1385" s="175">
        <v>8</v>
      </c>
      <c r="AK1385" s="175">
        <v>12</v>
      </c>
      <c r="AL1385" s="175">
        <v>18</v>
      </c>
      <c r="AM1385" s="175">
        <v>12</v>
      </c>
      <c r="AN1385" s="175">
        <v>0</v>
      </c>
      <c r="AO1385" s="175">
        <v>51</v>
      </c>
      <c r="AP1385" s="175">
        <v>23</v>
      </c>
      <c r="AQ1385" s="175">
        <v>13</v>
      </c>
      <c r="AR1385" s="175">
        <v>8</v>
      </c>
      <c r="AS1385" s="175">
        <v>24</v>
      </c>
      <c r="AT1385" s="175">
        <v>2</v>
      </c>
    </row>
    <row r="1386" spans="1:46">
      <c r="A1386">
        <v>30130</v>
      </c>
      <c r="B1386" t="s">
        <v>8682</v>
      </c>
      <c r="C1386" t="s">
        <v>8683</v>
      </c>
      <c r="D1386" t="s">
        <v>8684</v>
      </c>
      <c r="E1386" t="s">
        <v>8685</v>
      </c>
      <c r="F1386" t="s">
        <v>2302</v>
      </c>
      <c r="G1386" t="s">
        <v>2276</v>
      </c>
      <c r="H1386" t="s">
        <v>468</v>
      </c>
      <c r="I1386" t="s">
        <v>4233</v>
      </c>
      <c r="J1386" t="s">
        <v>605</v>
      </c>
      <c r="K1386" t="s">
        <v>606</v>
      </c>
      <c r="M1386" t="s">
        <v>1382</v>
      </c>
      <c r="N1386" t="s">
        <v>812</v>
      </c>
      <c r="O1386" t="s">
        <v>2277</v>
      </c>
      <c r="P1386" t="s">
        <v>670</v>
      </c>
      <c r="Q1386" t="s">
        <v>513</v>
      </c>
      <c r="R1386" t="s">
        <v>2164</v>
      </c>
      <c r="S1386" t="s">
        <v>2278</v>
      </c>
      <c r="T1386" t="s">
        <v>2165</v>
      </c>
      <c r="U1386">
        <v>209100</v>
      </c>
      <c r="V1386" t="s">
        <v>2314</v>
      </c>
      <c r="W1386" t="s">
        <v>2304</v>
      </c>
      <c r="X1386" t="s">
        <v>8686</v>
      </c>
      <c r="Y1386" t="s">
        <v>8687</v>
      </c>
      <c r="Z1386" t="s">
        <v>2276</v>
      </c>
      <c r="AA1386" t="s">
        <v>8688</v>
      </c>
      <c r="AB1386" t="s">
        <v>8689</v>
      </c>
      <c r="AE1386">
        <v>-39.623180079999997</v>
      </c>
      <c r="AF1386">
        <v>176.78446977999999</v>
      </c>
      <c r="AG1386" s="175">
        <v>30</v>
      </c>
      <c r="AH1386" s="175">
        <v>8</v>
      </c>
      <c r="AI1386" s="175">
        <v>0</v>
      </c>
      <c r="AJ1386" s="175">
        <v>3</v>
      </c>
      <c r="AK1386" s="175">
        <v>8</v>
      </c>
      <c r="AL1386" s="175">
        <v>2</v>
      </c>
      <c r="AM1386" s="175">
        <v>6</v>
      </c>
      <c r="AN1386" s="175">
        <v>1</v>
      </c>
      <c r="AO1386" s="175">
        <v>20</v>
      </c>
      <c r="AP1386" s="175">
        <v>1</v>
      </c>
      <c r="AQ1386" s="175">
        <v>0</v>
      </c>
      <c r="AR1386" s="175">
        <v>20</v>
      </c>
      <c r="AS1386" s="175">
        <v>0</v>
      </c>
      <c r="AT1386" s="175">
        <v>0</v>
      </c>
    </row>
    <row r="1387" spans="1:46">
      <c r="A1387">
        <v>30131</v>
      </c>
      <c r="B1387" t="s">
        <v>8690</v>
      </c>
      <c r="C1387" t="s">
        <v>8691</v>
      </c>
      <c r="D1387" t="s">
        <v>8692</v>
      </c>
      <c r="E1387" t="s">
        <v>8693</v>
      </c>
      <c r="F1387" t="s">
        <v>8655</v>
      </c>
      <c r="G1387" t="s">
        <v>1381</v>
      </c>
      <c r="H1387" t="s">
        <v>449</v>
      </c>
      <c r="J1387" t="s">
        <v>4032</v>
      </c>
      <c r="K1387" t="s">
        <v>606</v>
      </c>
      <c r="M1387" t="s">
        <v>1382</v>
      </c>
      <c r="N1387" t="s">
        <v>657</v>
      </c>
      <c r="O1387" t="s">
        <v>1383</v>
      </c>
      <c r="P1387" t="s">
        <v>739</v>
      </c>
      <c r="Q1387" t="s">
        <v>510</v>
      </c>
      <c r="R1387" t="s">
        <v>1384</v>
      </c>
      <c r="S1387" t="s">
        <v>1396</v>
      </c>
      <c r="T1387" t="s">
        <v>1320</v>
      </c>
      <c r="U1387">
        <v>175901</v>
      </c>
      <c r="V1387" t="s">
        <v>8681</v>
      </c>
      <c r="W1387" t="s">
        <v>1398</v>
      </c>
      <c r="X1387" t="s">
        <v>8694</v>
      </c>
      <c r="Y1387" t="s">
        <v>8695</v>
      </c>
      <c r="Z1387" t="s">
        <v>8574</v>
      </c>
      <c r="AA1387" t="s">
        <v>8575</v>
      </c>
      <c r="AE1387">
        <v>-37.728959279999998</v>
      </c>
      <c r="AF1387">
        <v>175.26519769999999</v>
      </c>
      <c r="AG1387" s="175">
        <v>55</v>
      </c>
      <c r="AH1387" s="175">
        <v>25</v>
      </c>
      <c r="AI1387" s="175">
        <v>3</v>
      </c>
      <c r="AJ1387" s="175">
        <v>11</v>
      </c>
      <c r="AK1387" s="175">
        <v>16</v>
      </c>
      <c r="AL1387" s="175">
        <v>8</v>
      </c>
      <c r="AM1387" s="175">
        <v>12</v>
      </c>
      <c r="AN1387" s="175">
        <v>1</v>
      </c>
      <c r="AO1387" s="175">
        <v>51</v>
      </c>
      <c r="AP1387" s="175">
        <v>16</v>
      </c>
      <c r="AQ1387" s="175">
        <v>3</v>
      </c>
      <c r="AR1387" s="175">
        <v>1</v>
      </c>
      <c r="AS1387" s="175">
        <v>36</v>
      </c>
      <c r="AT1387" s="175">
        <v>1</v>
      </c>
    </row>
    <row r="1388" spans="1:46">
      <c r="A1388">
        <v>30132</v>
      </c>
      <c r="B1388" t="s">
        <v>8696</v>
      </c>
      <c r="C1388" t="s">
        <v>8697</v>
      </c>
      <c r="D1388" t="s">
        <v>8698</v>
      </c>
      <c r="E1388" t="s">
        <v>8699</v>
      </c>
      <c r="G1388" t="s">
        <v>8700</v>
      </c>
      <c r="H1388" t="s">
        <v>449</v>
      </c>
      <c r="J1388" t="s">
        <v>605</v>
      </c>
      <c r="K1388" t="s">
        <v>606</v>
      </c>
      <c r="M1388" t="s">
        <v>1382</v>
      </c>
      <c r="N1388" t="s">
        <v>643</v>
      </c>
      <c r="O1388" t="s">
        <v>8701</v>
      </c>
      <c r="P1388" t="s">
        <v>610</v>
      </c>
      <c r="Q1388" t="s">
        <v>510</v>
      </c>
      <c r="R1388" t="s">
        <v>1384</v>
      </c>
      <c r="S1388" t="s">
        <v>1501</v>
      </c>
      <c r="T1388" t="s">
        <v>1568</v>
      </c>
      <c r="U1388">
        <v>187400</v>
      </c>
      <c r="V1388" t="s">
        <v>8702</v>
      </c>
      <c r="W1388" t="s">
        <v>8703</v>
      </c>
      <c r="X1388" t="s">
        <v>8704</v>
      </c>
      <c r="Y1388" t="s">
        <v>8705</v>
      </c>
      <c r="AA1388" t="s">
        <v>8706</v>
      </c>
      <c r="AB1388" t="s">
        <v>8707</v>
      </c>
      <c r="AC1388">
        <v>99106</v>
      </c>
      <c r="AD1388" t="s">
        <v>8708</v>
      </c>
      <c r="AE1388">
        <v>-38.332084279999997</v>
      </c>
      <c r="AF1388">
        <v>175.16605053000001</v>
      </c>
      <c r="AG1388" s="175">
        <v>63</v>
      </c>
      <c r="AH1388" s="175">
        <v>15</v>
      </c>
      <c r="AI1388" s="175">
        <v>1</v>
      </c>
      <c r="AJ1388" s="175">
        <v>7</v>
      </c>
      <c r="AK1388" s="175">
        <v>13</v>
      </c>
      <c r="AL1388" s="175">
        <v>17</v>
      </c>
      <c r="AM1388" s="175">
        <v>20</v>
      </c>
      <c r="AN1388" s="175">
        <v>1</v>
      </c>
      <c r="AO1388" s="175">
        <v>59</v>
      </c>
      <c r="AP1388" s="175">
        <v>44</v>
      </c>
      <c r="AQ1388" s="175">
        <v>21</v>
      </c>
      <c r="AR1388" s="175">
        <v>1</v>
      </c>
      <c r="AS1388" s="175">
        <v>4</v>
      </c>
      <c r="AT1388" s="175">
        <v>0</v>
      </c>
    </row>
    <row r="1389" spans="1:46">
      <c r="A1389">
        <v>30147</v>
      </c>
      <c r="B1389" t="s">
        <v>8709</v>
      </c>
      <c r="C1389" t="s">
        <v>8710</v>
      </c>
      <c r="E1389" t="s">
        <v>8711</v>
      </c>
      <c r="F1389" t="s">
        <v>1442</v>
      </c>
      <c r="G1389" t="s">
        <v>1381</v>
      </c>
      <c r="H1389" t="s">
        <v>449</v>
      </c>
      <c r="J1389" t="s">
        <v>605</v>
      </c>
      <c r="K1389" t="s">
        <v>606</v>
      </c>
      <c r="M1389" t="s">
        <v>1382</v>
      </c>
      <c r="N1389" t="s">
        <v>643</v>
      </c>
      <c r="O1389" t="s">
        <v>1383</v>
      </c>
      <c r="P1389" t="s">
        <v>739</v>
      </c>
      <c r="Q1389" t="s">
        <v>510</v>
      </c>
      <c r="R1389" t="s">
        <v>1384</v>
      </c>
      <c r="S1389" t="s">
        <v>1385</v>
      </c>
      <c r="T1389" t="s">
        <v>1320</v>
      </c>
      <c r="U1389">
        <v>177200</v>
      </c>
      <c r="V1389" t="s">
        <v>1443</v>
      </c>
      <c r="W1389" t="s">
        <v>1387</v>
      </c>
      <c r="X1389" t="s">
        <v>8712</v>
      </c>
      <c r="Y1389" t="s">
        <v>8713</v>
      </c>
      <c r="AA1389" t="s">
        <v>8714</v>
      </c>
      <c r="AB1389" t="s">
        <v>8715</v>
      </c>
      <c r="AC1389">
        <v>99035</v>
      </c>
      <c r="AD1389" t="s">
        <v>1392</v>
      </c>
      <c r="AE1389">
        <v>-37.784503000000001</v>
      </c>
      <c r="AF1389">
        <v>175.24500520000001</v>
      </c>
      <c r="AG1389" s="175">
        <v>50</v>
      </c>
      <c r="AH1389" s="175">
        <v>25</v>
      </c>
      <c r="AI1389" s="175">
        <v>5</v>
      </c>
      <c r="AJ1389" s="175">
        <v>7</v>
      </c>
      <c r="AK1389" s="175">
        <v>5</v>
      </c>
      <c r="AL1389" s="175">
        <v>6</v>
      </c>
      <c r="AM1389" s="175">
        <v>8</v>
      </c>
      <c r="AN1389" s="175">
        <v>0</v>
      </c>
      <c r="AO1389" s="175">
        <v>31</v>
      </c>
      <c r="AP1389" s="175">
        <v>18</v>
      </c>
      <c r="AQ1389" s="175">
        <v>19</v>
      </c>
      <c r="AR1389" s="175">
        <v>4</v>
      </c>
      <c r="AS1389" s="175">
        <v>3</v>
      </c>
      <c r="AT1389" s="175">
        <v>2</v>
      </c>
    </row>
    <row r="1390" spans="1:46">
      <c r="A1390">
        <v>30148</v>
      </c>
      <c r="B1390" t="s">
        <v>8716</v>
      </c>
      <c r="C1390" t="s">
        <v>8717</v>
      </c>
      <c r="E1390" t="s">
        <v>8718</v>
      </c>
      <c r="F1390" t="s">
        <v>1429</v>
      </c>
      <c r="G1390" t="s">
        <v>1381</v>
      </c>
      <c r="H1390" t="s">
        <v>449</v>
      </c>
      <c r="J1390" t="s">
        <v>605</v>
      </c>
      <c r="K1390" t="s">
        <v>606</v>
      </c>
      <c r="M1390" t="s">
        <v>1382</v>
      </c>
      <c r="N1390" t="s">
        <v>657</v>
      </c>
      <c r="O1390" t="s">
        <v>1383</v>
      </c>
      <c r="P1390" t="s">
        <v>739</v>
      </c>
      <c r="Q1390" t="s">
        <v>510</v>
      </c>
      <c r="R1390" t="s">
        <v>1384</v>
      </c>
      <c r="S1390" t="s">
        <v>1385</v>
      </c>
      <c r="T1390" t="s">
        <v>1320</v>
      </c>
      <c r="U1390">
        <v>178901</v>
      </c>
      <c r="V1390" t="s">
        <v>8416</v>
      </c>
      <c r="W1390" t="s">
        <v>1387</v>
      </c>
      <c r="X1390" t="s">
        <v>8441</v>
      </c>
      <c r="Y1390" t="s">
        <v>4014</v>
      </c>
      <c r="Z1390" t="s">
        <v>4015</v>
      </c>
      <c r="AA1390" t="s">
        <v>4016</v>
      </c>
      <c r="AB1390" t="s">
        <v>8442</v>
      </c>
      <c r="AE1390">
        <v>-37.7876002</v>
      </c>
      <c r="AF1390">
        <v>175.2719644</v>
      </c>
      <c r="AG1390" s="175">
        <v>75</v>
      </c>
      <c r="AH1390" s="175">
        <v>25</v>
      </c>
      <c r="AI1390" s="175">
        <v>1</v>
      </c>
      <c r="AJ1390" s="175">
        <v>8</v>
      </c>
      <c r="AK1390" s="175">
        <v>10</v>
      </c>
      <c r="AL1390" s="175">
        <v>16</v>
      </c>
      <c r="AM1390" s="175">
        <v>10</v>
      </c>
      <c r="AN1390" s="175">
        <v>2</v>
      </c>
      <c r="AO1390" s="175">
        <v>47</v>
      </c>
      <c r="AP1390" s="175">
        <v>17</v>
      </c>
      <c r="AQ1390" s="175">
        <v>19</v>
      </c>
      <c r="AR1390" s="175">
        <v>3</v>
      </c>
      <c r="AS1390" s="175">
        <v>13</v>
      </c>
      <c r="AT1390" s="175">
        <v>4</v>
      </c>
    </row>
    <row r="1391" spans="1:46">
      <c r="A1391">
        <v>30149</v>
      </c>
      <c r="B1391" t="s">
        <v>8719</v>
      </c>
      <c r="C1391" t="s">
        <v>8720</v>
      </c>
      <c r="D1391" t="s">
        <v>8721</v>
      </c>
      <c r="E1391" t="s">
        <v>8722</v>
      </c>
      <c r="G1391" t="s">
        <v>8574</v>
      </c>
      <c r="H1391" t="s">
        <v>449</v>
      </c>
      <c r="J1391" t="s">
        <v>605</v>
      </c>
      <c r="K1391" t="s">
        <v>606</v>
      </c>
      <c r="M1391" t="s">
        <v>1382</v>
      </c>
      <c r="N1391" t="s">
        <v>657</v>
      </c>
      <c r="O1391" t="s">
        <v>1383</v>
      </c>
      <c r="P1391" t="s">
        <v>739</v>
      </c>
      <c r="Q1391" t="s">
        <v>510</v>
      </c>
      <c r="R1391" t="s">
        <v>1384</v>
      </c>
      <c r="S1391" t="s">
        <v>1396</v>
      </c>
      <c r="T1391" t="s">
        <v>1320</v>
      </c>
      <c r="U1391">
        <v>176202</v>
      </c>
      <c r="V1391" t="s">
        <v>8723</v>
      </c>
      <c r="W1391" t="s">
        <v>1398</v>
      </c>
      <c r="X1391" t="s">
        <v>8724</v>
      </c>
      <c r="Y1391" t="s">
        <v>8725</v>
      </c>
      <c r="Z1391" t="s">
        <v>8574</v>
      </c>
      <c r="AA1391" t="s">
        <v>8726</v>
      </c>
      <c r="AB1391" t="s">
        <v>8727</v>
      </c>
      <c r="AE1391">
        <v>-37.732916699999997</v>
      </c>
      <c r="AF1391">
        <v>175.268247</v>
      </c>
      <c r="AG1391" s="175">
        <v>40</v>
      </c>
      <c r="AH1391" s="175">
        <v>0</v>
      </c>
      <c r="AI1391" s="175">
        <v>0</v>
      </c>
      <c r="AJ1391" s="175">
        <v>0</v>
      </c>
      <c r="AK1391" s="175">
        <v>3</v>
      </c>
      <c r="AL1391" s="175">
        <v>16</v>
      </c>
      <c r="AM1391" s="175">
        <v>19</v>
      </c>
      <c r="AN1391" s="175">
        <v>3</v>
      </c>
      <c r="AO1391" s="175">
        <v>41</v>
      </c>
      <c r="AP1391" s="175">
        <v>32</v>
      </c>
      <c r="AQ1391" s="175">
        <v>3</v>
      </c>
      <c r="AR1391" s="175">
        <v>0</v>
      </c>
      <c r="AS1391" s="175">
        <v>10</v>
      </c>
      <c r="AT1391" s="175">
        <v>2</v>
      </c>
    </row>
    <row r="1392" spans="1:46">
      <c r="A1392">
        <v>30166</v>
      </c>
      <c r="B1392" t="s">
        <v>8728</v>
      </c>
      <c r="C1392" t="s">
        <v>8729</v>
      </c>
      <c r="E1392" t="s">
        <v>8730</v>
      </c>
      <c r="G1392" t="s">
        <v>1779</v>
      </c>
      <c r="H1392" t="s">
        <v>449</v>
      </c>
      <c r="J1392" t="s">
        <v>605</v>
      </c>
      <c r="K1392" t="s">
        <v>606</v>
      </c>
      <c r="M1392" t="s">
        <v>1382</v>
      </c>
      <c r="N1392" t="s">
        <v>657</v>
      </c>
      <c r="O1392" t="s">
        <v>1780</v>
      </c>
      <c r="P1392" t="s">
        <v>739</v>
      </c>
      <c r="Q1392" t="s">
        <v>511</v>
      </c>
      <c r="R1392" t="s">
        <v>1555</v>
      </c>
      <c r="S1392" t="s">
        <v>1781</v>
      </c>
      <c r="T1392" t="s">
        <v>1557</v>
      </c>
      <c r="U1392">
        <v>195800</v>
      </c>
      <c r="V1392" t="s">
        <v>1782</v>
      </c>
      <c r="W1392" t="s">
        <v>1783</v>
      </c>
      <c r="X1392" t="s">
        <v>8441</v>
      </c>
      <c r="Y1392" t="s">
        <v>4014</v>
      </c>
      <c r="Z1392" t="s">
        <v>4015</v>
      </c>
      <c r="AA1392" t="s">
        <v>4016</v>
      </c>
      <c r="AB1392" t="s">
        <v>8442</v>
      </c>
      <c r="AC1392">
        <v>99064</v>
      </c>
      <c r="AD1392" t="s">
        <v>1784</v>
      </c>
      <c r="AE1392">
        <v>-37.673943999999999</v>
      </c>
      <c r="AF1392">
        <v>176.22936651000001</v>
      </c>
      <c r="AG1392" s="175">
        <v>50</v>
      </c>
      <c r="AH1392" s="175">
        <v>12</v>
      </c>
      <c r="AI1392" s="175">
        <v>0</v>
      </c>
      <c r="AJ1392" s="175">
        <v>7</v>
      </c>
      <c r="AK1392" s="175">
        <v>8</v>
      </c>
      <c r="AL1392" s="175">
        <v>16</v>
      </c>
      <c r="AM1392" s="175">
        <v>14</v>
      </c>
      <c r="AN1392" s="175">
        <v>1</v>
      </c>
      <c r="AO1392" s="175">
        <v>46</v>
      </c>
      <c r="AP1392" s="175">
        <v>19</v>
      </c>
      <c r="AQ1392" s="175">
        <v>25</v>
      </c>
      <c r="AR1392" s="175">
        <v>2</v>
      </c>
      <c r="AS1392" s="175">
        <v>9</v>
      </c>
      <c r="AT1392" s="175">
        <v>1</v>
      </c>
    </row>
    <row r="1393" spans="1:46">
      <c r="A1393">
        <v>30169</v>
      </c>
      <c r="B1393" t="s">
        <v>8731</v>
      </c>
      <c r="D1393" t="s">
        <v>8732</v>
      </c>
      <c r="E1393" t="s">
        <v>8733</v>
      </c>
      <c r="G1393" t="s">
        <v>8734</v>
      </c>
      <c r="H1393" t="s">
        <v>449</v>
      </c>
      <c r="J1393" t="s">
        <v>605</v>
      </c>
      <c r="K1393" t="s">
        <v>606</v>
      </c>
      <c r="M1393" t="s">
        <v>1382</v>
      </c>
      <c r="N1393" t="s">
        <v>812</v>
      </c>
      <c r="O1393" t="s">
        <v>1703</v>
      </c>
      <c r="P1393" t="s">
        <v>626</v>
      </c>
      <c r="Q1393" t="s">
        <v>510</v>
      </c>
      <c r="R1393" t="s">
        <v>1384</v>
      </c>
      <c r="S1393" t="s">
        <v>1501</v>
      </c>
      <c r="T1393" t="s">
        <v>1320</v>
      </c>
      <c r="U1393">
        <v>185200</v>
      </c>
      <c r="V1393" t="s">
        <v>8735</v>
      </c>
      <c r="W1393" t="s">
        <v>8736</v>
      </c>
      <c r="X1393" t="s">
        <v>8737</v>
      </c>
      <c r="Y1393" t="s">
        <v>4764</v>
      </c>
      <c r="AA1393" t="s">
        <v>8738</v>
      </c>
      <c r="AB1393" t="s">
        <v>8739</v>
      </c>
      <c r="AE1393">
        <v>-38.062013800000003</v>
      </c>
      <c r="AF1393">
        <v>174.82008379999999</v>
      </c>
      <c r="AG1393" s="175">
        <v>24</v>
      </c>
      <c r="AH1393" s="175">
        <v>4</v>
      </c>
      <c r="AI1393" s="175">
        <v>0</v>
      </c>
      <c r="AJ1393" s="175">
        <v>0</v>
      </c>
      <c r="AK1393" s="175">
        <v>4</v>
      </c>
      <c r="AL1393" s="175">
        <v>4</v>
      </c>
      <c r="AM1393" s="175">
        <v>5</v>
      </c>
      <c r="AN1393" s="175">
        <v>0</v>
      </c>
      <c r="AO1393" s="175">
        <v>13</v>
      </c>
      <c r="AP1393" s="175">
        <v>3</v>
      </c>
      <c r="AQ1393" s="175">
        <v>13</v>
      </c>
      <c r="AR1393" s="175">
        <v>0</v>
      </c>
      <c r="AS1393" s="175">
        <v>1</v>
      </c>
      <c r="AT1393" s="175">
        <v>0</v>
      </c>
    </row>
    <row r="1394" spans="1:46">
      <c r="A1394">
        <v>30172</v>
      </c>
      <c r="B1394" t="s">
        <v>8740</v>
      </c>
      <c r="C1394" t="s">
        <v>8741</v>
      </c>
      <c r="E1394" t="s">
        <v>8742</v>
      </c>
      <c r="G1394" t="s">
        <v>3754</v>
      </c>
      <c r="H1394" t="s">
        <v>449</v>
      </c>
      <c r="J1394" t="s">
        <v>605</v>
      </c>
      <c r="K1394" t="s">
        <v>606</v>
      </c>
      <c r="M1394" t="s">
        <v>1382</v>
      </c>
      <c r="N1394" t="s">
        <v>625</v>
      </c>
      <c r="O1394" t="s">
        <v>1521</v>
      </c>
      <c r="P1394" t="s">
        <v>610</v>
      </c>
      <c r="Q1394" t="s">
        <v>510</v>
      </c>
      <c r="R1394" t="s">
        <v>1384</v>
      </c>
      <c r="S1394" t="s">
        <v>1522</v>
      </c>
      <c r="T1394" t="s">
        <v>1320</v>
      </c>
      <c r="U1394">
        <v>169500</v>
      </c>
      <c r="V1394" t="s">
        <v>3755</v>
      </c>
      <c r="W1394" t="s">
        <v>3756</v>
      </c>
      <c r="X1394" t="s">
        <v>8441</v>
      </c>
      <c r="Y1394" t="s">
        <v>4014</v>
      </c>
      <c r="Z1394" t="s">
        <v>4015</v>
      </c>
      <c r="AA1394" t="s">
        <v>4016</v>
      </c>
      <c r="AB1394" t="s">
        <v>8442</v>
      </c>
      <c r="AC1394">
        <v>99089</v>
      </c>
      <c r="AD1394" t="s">
        <v>3757</v>
      </c>
      <c r="AE1394">
        <v>-37.384134830000001</v>
      </c>
      <c r="AF1394">
        <v>175.85529830999999</v>
      </c>
      <c r="AG1394" s="175">
        <v>44</v>
      </c>
      <c r="AH1394" s="175">
        <v>10</v>
      </c>
      <c r="AI1394" s="175">
        <v>1</v>
      </c>
      <c r="AJ1394" s="175">
        <v>4</v>
      </c>
      <c r="AK1394" s="175">
        <v>17</v>
      </c>
      <c r="AL1394" s="175">
        <v>8</v>
      </c>
      <c r="AM1394" s="175">
        <v>17</v>
      </c>
      <c r="AN1394" s="175">
        <v>0</v>
      </c>
      <c r="AO1394" s="175">
        <v>47</v>
      </c>
      <c r="AP1394" s="175">
        <v>25</v>
      </c>
      <c r="AQ1394" s="175">
        <v>21</v>
      </c>
      <c r="AR1394" s="175">
        <v>5</v>
      </c>
      <c r="AS1394" s="175">
        <v>4</v>
      </c>
      <c r="AT1394" s="175">
        <v>10</v>
      </c>
    </row>
    <row r="1395" spans="1:46">
      <c r="A1395">
        <v>30175</v>
      </c>
      <c r="B1395" t="s">
        <v>8743</v>
      </c>
      <c r="C1395" t="s">
        <v>8744</v>
      </c>
      <c r="D1395" t="s">
        <v>8745</v>
      </c>
      <c r="E1395" t="s">
        <v>8746</v>
      </c>
      <c r="G1395" t="s">
        <v>1566</v>
      </c>
      <c r="H1395" t="s">
        <v>449</v>
      </c>
      <c r="I1395" t="s">
        <v>4233</v>
      </c>
      <c r="J1395" t="s">
        <v>605</v>
      </c>
      <c r="K1395" t="s">
        <v>606</v>
      </c>
      <c r="M1395" t="s">
        <v>1382</v>
      </c>
      <c r="N1395" t="s">
        <v>625</v>
      </c>
      <c r="O1395" t="s">
        <v>1567</v>
      </c>
      <c r="P1395" t="s">
        <v>1347</v>
      </c>
      <c r="Q1395" t="s">
        <v>510</v>
      </c>
      <c r="R1395" t="s">
        <v>1384</v>
      </c>
      <c r="S1395" t="s">
        <v>1404</v>
      </c>
      <c r="T1395" t="s">
        <v>1568</v>
      </c>
      <c r="U1395">
        <v>186700</v>
      </c>
      <c r="V1395" t="s">
        <v>8747</v>
      </c>
      <c r="W1395" t="s">
        <v>1570</v>
      </c>
      <c r="X1395" t="s">
        <v>8748</v>
      </c>
      <c r="Y1395" t="s">
        <v>8749</v>
      </c>
      <c r="Z1395" t="s">
        <v>1566</v>
      </c>
      <c r="AA1395" t="s">
        <v>8650</v>
      </c>
      <c r="AB1395" t="s">
        <v>8750</v>
      </c>
      <c r="AE1395">
        <v>-38.219006999999998</v>
      </c>
      <c r="AF1395">
        <v>175.87570966000001</v>
      </c>
      <c r="AG1395" s="175">
        <v>34</v>
      </c>
      <c r="AH1395" s="175">
        <v>12</v>
      </c>
      <c r="AI1395" s="175">
        <v>2</v>
      </c>
      <c r="AJ1395" s="175">
        <v>4</v>
      </c>
      <c r="AK1395" s="175">
        <v>7</v>
      </c>
      <c r="AL1395" s="175">
        <v>7</v>
      </c>
      <c r="AM1395" s="175">
        <v>6</v>
      </c>
      <c r="AN1395" s="175">
        <v>0</v>
      </c>
      <c r="AO1395" s="175">
        <v>26</v>
      </c>
      <c r="AP1395" s="175">
        <v>17</v>
      </c>
      <c r="AQ1395" s="175">
        <v>12</v>
      </c>
      <c r="AR1395" s="175">
        <v>15</v>
      </c>
      <c r="AS1395" s="175">
        <v>3</v>
      </c>
      <c r="AT1395" s="175">
        <v>1</v>
      </c>
    </row>
    <row r="1396" spans="1:46">
      <c r="A1396">
        <v>30176</v>
      </c>
      <c r="B1396" t="s">
        <v>8751</v>
      </c>
      <c r="C1396" t="s">
        <v>8752</v>
      </c>
      <c r="D1396" t="s">
        <v>8753</v>
      </c>
      <c r="E1396" t="s">
        <v>8754</v>
      </c>
      <c r="G1396" t="s">
        <v>3897</v>
      </c>
      <c r="H1396" t="s">
        <v>449</v>
      </c>
      <c r="J1396" t="s">
        <v>605</v>
      </c>
      <c r="K1396" t="s">
        <v>606</v>
      </c>
      <c r="M1396" t="s">
        <v>1382</v>
      </c>
      <c r="N1396" t="s">
        <v>657</v>
      </c>
      <c r="O1396" t="s">
        <v>1545</v>
      </c>
      <c r="P1396" t="s">
        <v>658</v>
      </c>
      <c r="Q1396" t="s">
        <v>510</v>
      </c>
      <c r="R1396" t="s">
        <v>1384</v>
      </c>
      <c r="S1396" t="s">
        <v>1522</v>
      </c>
      <c r="T1396" t="s">
        <v>1320</v>
      </c>
      <c r="U1396">
        <v>167400</v>
      </c>
      <c r="V1396" t="s">
        <v>8755</v>
      </c>
      <c r="W1396" t="s">
        <v>3899</v>
      </c>
      <c r="X1396" t="s">
        <v>8756</v>
      </c>
      <c r="Y1396" t="s">
        <v>8757</v>
      </c>
      <c r="AA1396" t="s">
        <v>8758</v>
      </c>
      <c r="AC1396">
        <v>99155</v>
      </c>
      <c r="AD1396" t="s">
        <v>3900</v>
      </c>
      <c r="AE1396">
        <v>-36.914436330000001</v>
      </c>
      <c r="AF1396">
        <v>175.77770434000001</v>
      </c>
      <c r="AG1396" s="175">
        <v>39</v>
      </c>
      <c r="AH1396" s="175">
        <v>12</v>
      </c>
      <c r="AI1396" s="175">
        <v>2</v>
      </c>
      <c r="AJ1396" s="175">
        <v>8</v>
      </c>
      <c r="AK1396" s="175">
        <v>10</v>
      </c>
      <c r="AL1396" s="175">
        <v>7</v>
      </c>
      <c r="AM1396" s="175">
        <v>20</v>
      </c>
      <c r="AN1396" s="175">
        <v>2</v>
      </c>
      <c r="AO1396" s="175">
        <v>49</v>
      </c>
      <c r="AP1396" s="175">
        <v>46</v>
      </c>
      <c r="AQ1396" s="175">
        <v>4</v>
      </c>
      <c r="AR1396" s="175">
        <v>1</v>
      </c>
      <c r="AS1396" s="175">
        <v>3</v>
      </c>
      <c r="AT1396" s="175">
        <v>1</v>
      </c>
    </row>
    <row r="1397" spans="1:46">
      <c r="A1397">
        <v>30177</v>
      </c>
      <c r="B1397" t="s">
        <v>8759</v>
      </c>
      <c r="C1397" t="s">
        <v>8760</v>
      </c>
      <c r="E1397" t="s">
        <v>8761</v>
      </c>
      <c r="F1397" t="s">
        <v>8762</v>
      </c>
      <c r="G1397" t="s">
        <v>2276</v>
      </c>
      <c r="H1397" t="s">
        <v>449</v>
      </c>
      <c r="J1397" t="s">
        <v>4032</v>
      </c>
      <c r="K1397" t="s">
        <v>606</v>
      </c>
      <c r="M1397" t="s">
        <v>1382</v>
      </c>
      <c r="N1397" t="s">
        <v>643</v>
      </c>
      <c r="O1397" t="s">
        <v>2277</v>
      </c>
      <c r="P1397" t="s">
        <v>670</v>
      </c>
      <c r="Q1397" t="s">
        <v>513</v>
      </c>
      <c r="R1397" t="s">
        <v>2164</v>
      </c>
      <c r="S1397" t="s">
        <v>2278</v>
      </c>
      <c r="T1397" t="s">
        <v>2165</v>
      </c>
      <c r="U1397">
        <v>209401</v>
      </c>
      <c r="V1397" t="s">
        <v>8762</v>
      </c>
      <c r="W1397" t="s">
        <v>2279</v>
      </c>
      <c r="X1397" t="s">
        <v>8763</v>
      </c>
      <c r="Y1397" t="s">
        <v>4051</v>
      </c>
      <c r="AA1397" t="s">
        <v>4052</v>
      </c>
      <c r="AB1397" t="s">
        <v>8764</v>
      </c>
      <c r="AE1397">
        <v>-39.623169799999999</v>
      </c>
      <c r="AF1397">
        <v>176.82751390000001</v>
      </c>
      <c r="AG1397" s="175">
        <v>42</v>
      </c>
      <c r="AH1397" s="175">
        <v>12</v>
      </c>
      <c r="AI1397" s="175">
        <v>3</v>
      </c>
      <c r="AJ1397" s="175">
        <v>12</v>
      </c>
      <c r="AK1397" s="175">
        <v>13</v>
      </c>
      <c r="AL1397" s="175">
        <v>16</v>
      </c>
      <c r="AM1397" s="175">
        <v>12</v>
      </c>
      <c r="AN1397" s="175">
        <v>0</v>
      </c>
      <c r="AO1397" s="175">
        <v>56</v>
      </c>
      <c r="AP1397" s="175">
        <v>43</v>
      </c>
      <c r="AQ1397" s="175">
        <v>12</v>
      </c>
      <c r="AR1397" s="175">
        <v>2</v>
      </c>
      <c r="AS1397" s="175">
        <v>9</v>
      </c>
      <c r="AT1397" s="175">
        <v>1</v>
      </c>
    </row>
    <row r="1398" spans="1:46">
      <c r="A1398">
        <v>30178</v>
      </c>
      <c r="B1398" t="s">
        <v>8765</v>
      </c>
      <c r="C1398" t="s">
        <v>8766</v>
      </c>
      <c r="D1398" t="s">
        <v>8767</v>
      </c>
      <c r="E1398" t="s">
        <v>8768</v>
      </c>
      <c r="F1398" t="s">
        <v>1773</v>
      </c>
      <c r="G1398" t="s">
        <v>1604</v>
      </c>
      <c r="H1398" t="s">
        <v>449</v>
      </c>
      <c r="J1398" t="s">
        <v>605</v>
      </c>
      <c r="K1398" t="s">
        <v>606</v>
      </c>
      <c r="M1398" t="s">
        <v>1382</v>
      </c>
      <c r="N1398" t="s">
        <v>643</v>
      </c>
      <c r="O1398" t="s">
        <v>1605</v>
      </c>
      <c r="P1398" t="s">
        <v>670</v>
      </c>
      <c r="Q1398" t="s">
        <v>511</v>
      </c>
      <c r="R1398" t="s">
        <v>1555</v>
      </c>
      <c r="S1398" t="s">
        <v>1604</v>
      </c>
      <c r="T1398" t="s">
        <v>1557</v>
      </c>
      <c r="U1398">
        <v>199500</v>
      </c>
      <c r="V1398" t="s">
        <v>8769</v>
      </c>
      <c r="W1398" t="s">
        <v>1606</v>
      </c>
      <c r="X1398" t="s">
        <v>8770</v>
      </c>
      <c r="Y1398" t="s">
        <v>8771</v>
      </c>
      <c r="AA1398" t="s">
        <v>8772</v>
      </c>
      <c r="AB1398" t="s">
        <v>8773</v>
      </c>
      <c r="AC1398">
        <v>99157</v>
      </c>
      <c r="AD1398" t="s">
        <v>8774</v>
      </c>
      <c r="AE1398">
        <v>-38.136562269999999</v>
      </c>
      <c r="AF1398">
        <v>176.22725711999999</v>
      </c>
      <c r="AG1398" s="175">
        <v>48</v>
      </c>
      <c r="AH1398" s="175">
        <v>12</v>
      </c>
      <c r="AI1398" s="175">
        <v>4</v>
      </c>
      <c r="AJ1398" s="175">
        <v>5</v>
      </c>
      <c r="AK1398" s="175">
        <v>7</v>
      </c>
      <c r="AL1398" s="175">
        <v>12</v>
      </c>
      <c r="AM1398" s="175">
        <v>11</v>
      </c>
      <c r="AN1398" s="175">
        <v>1</v>
      </c>
      <c r="AO1398" s="175">
        <v>40</v>
      </c>
      <c r="AP1398" s="175">
        <v>23</v>
      </c>
      <c r="AQ1398" s="175">
        <v>5</v>
      </c>
      <c r="AR1398" s="175">
        <v>3</v>
      </c>
      <c r="AS1398" s="175">
        <v>11</v>
      </c>
      <c r="AT1398" s="175">
        <v>3</v>
      </c>
    </row>
    <row r="1399" spans="1:46">
      <c r="A1399">
        <v>30179</v>
      </c>
      <c r="B1399" t="s">
        <v>8775</v>
      </c>
      <c r="C1399" t="s">
        <v>8776</v>
      </c>
      <c r="D1399" t="s">
        <v>8777</v>
      </c>
      <c r="E1399" t="s">
        <v>8778</v>
      </c>
      <c r="F1399" t="s">
        <v>3800</v>
      </c>
      <c r="G1399" t="s">
        <v>2162</v>
      </c>
      <c r="H1399" t="s">
        <v>449</v>
      </c>
      <c r="J1399" t="s">
        <v>605</v>
      </c>
      <c r="K1399" t="s">
        <v>606</v>
      </c>
      <c r="M1399" t="s">
        <v>1382</v>
      </c>
      <c r="N1399" t="s">
        <v>608</v>
      </c>
      <c r="O1399" t="s">
        <v>2163</v>
      </c>
      <c r="P1399" t="s">
        <v>670</v>
      </c>
      <c r="Q1399" t="s">
        <v>512</v>
      </c>
      <c r="R1399" t="s">
        <v>2164</v>
      </c>
      <c r="S1399" t="s">
        <v>1556</v>
      </c>
      <c r="T1399" t="s">
        <v>2165</v>
      </c>
      <c r="U1399">
        <v>205700</v>
      </c>
      <c r="V1399" t="s">
        <v>3800</v>
      </c>
      <c r="W1399" t="s">
        <v>2167</v>
      </c>
      <c r="X1399" t="s">
        <v>8779</v>
      </c>
      <c r="Y1399" t="s">
        <v>8780</v>
      </c>
      <c r="Z1399" t="s">
        <v>2162</v>
      </c>
      <c r="AA1399" t="s">
        <v>2170</v>
      </c>
      <c r="AE1399">
        <v>-38.643510829999997</v>
      </c>
      <c r="AF1399">
        <v>178.00015253000001</v>
      </c>
      <c r="AG1399" s="175">
        <v>30</v>
      </c>
      <c r="AH1399" s="175">
        <v>10</v>
      </c>
      <c r="AI1399" s="175">
        <v>2</v>
      </c>
      <c r="AJ1399" s="175">
        <v>2</v>
      </c>
      <c r="AK1399" s="175">
        <v>6</v>
      </c>
      <c r="AL1399" s="175">
        <v>3</v>
      </c>
      <c r="AM1399" s="175">
        <v>1</v>
      </c>
      <c r="AN1399" s="175">
        <v>2</v>
      </c>
      <c r="AO1399" s="175">
        <v>16</v>
      </c>
      <c r="AP1399" s="175">
        <v>3</v>
      </c>
      <c r="AQ1399" s="175">
        <v>15</v>
      </c>
      <c r="AR1399" s="175">
        <v>1</v>
      </c>
      <c r="AS1399" s="175">
        <v>1</v>
      </c>
      <c r="AT1399" s="175">
        <v>1</v>
      </c>
    </row>
    <row r="1400" spans="1:46">
      <c r="A1400">
        <v>30180</v>
      </c>
      <c r="B1400" t="s">
        <v>8781</v>
      </c>
      <c r="C1400" t="s">
        <v>8782</v>
      </c>
      <c r="D1400" t="s">
        <v>8783</v>
      </c>
      <c r="E1400" t="s">
        <v>8784</v>
      </c>
      <c r="G1400" t="s">
        <v>2295</v>
      </c>
      <c r="H1400" t="s">
        <v>449</v>
      </c>
      <c r="J1400" t="s">
        <v>4032</v>
      </c>
      <c r="K1400" t="s">
        <v>606</v>
      </c>
      <c r="M1400" t="s">
        <v>1382</v>
      </c>
      <c r="N1400" t="s">
        <v>657</v>
      </c>
      <c r="O1400" t="s">
        <v>2277</v>
      </c>
      <c r="P1400" t="s">
        <v>1347</v>
      </c>
      <c r="Q1400" t="s">
        <v>513</v>
      </c>
      <c r="R1400" t="s">
        <v>2164</v>
      </c>
      <c r="S1400" t="s">
        <v>2278</v>
      </c>
      <c r="T1400" t="s">
        <v>2165</v>
      </c>
      <c r="U1400">
        <v>211600</v>
      </c>
      <c r="V1400" t="s">
        <v>8785</v>
      </c>
      <c r="W1400" t="s">
        <v>2279</v>
      </c>
      <c r="X1400" t="s">
        <v>8786</v>
      </c>
      <c r="Y1400" t="s">
        <v>8787</v>
      </c>
      <c r="Z1400" t="s">
        <v>2295</v>
      </c>
      <c r="AA1400" t="s">
        <v>8788</v>
      </c>
      <c r="AB1400" t="s">
        <v>8789</v>
      </c>
      <c r="AC1400">
        <v>99022</v>
      </c>
      <c r="AD1400" t="s">
        <v>2297</v>
      </c>
      <c r="AE1400">
        <v>-39.671614339999998</v>
      </c>
      <c r="AF1400">
        <v>176.87647010000001</v>
      </c>
      <c r="AG1400" s="175">
        <v>54</v>
      </c>
      <c r="AH1400" s="175">
        <v>38</v>
      </c>
      <c r="AI1400" s="175">
        <v>0</v>
      </c>
      <c r="AJ1400" s="175">
        <v>12</v>
      </c>
      <c r="AK1400" s="175">
        <v>15</v>
      </c>
      <c r="AL1400" s="175">
        <v>9</v>
      </c>
      <c r="AM1400" s="175">
        <v>8</v>
      </c>
      <c r="AN1400" s="175">
        <v>0</v>
      </c>
      <c r="AO1400" s="175">
        <v>44</v>
      </c>
      <c r="AP1400" s="175">
        <v>39</v>
      </c>
      <c r="AQ1400" s="175">
        <v>5</v>
      </c>
      <c r="AR1400" s="175">
        <v>1</v>
      </c>
      <c r="AS1400" s="175">
        <v>4</v>
      </c>
      <c r="AT1400" s="175">
        <v>1</v>
      </c>
    </row>
    <row r="1401" spans="1:46">
      <c r="A1401">
        <v>30184</v>
      </c>
      <c r="B1401" t="s">
        <v>8790</v>
      </c>
      <c r="C1401" t="s">
        <v>8791</v>
      </c>
      <c r="D1401" t="s">
        <v>8792</v>
      </c>
      <c r="E1401" t="s">
        <v>8793</v>
      </c>
      <c r="F1401" t="s">
        <v>1380</v>
      </c>
      <c r="G1401" t="s">
        <v>1381</v>
      </c>
      <c r="H1401" t="s">
        <v>449</v>
      </c>
      <c r="J1401" t="s">
        <v>4032</v>
      </c>
      <c r="K1401" t="s">
        <v>606</v>
      </c>
      <c r="M1401" t="s">
        <v>1382</v>
      </c>
      <c r="N1401" t="s">
        <v>657</v>
      </c>
      <c r="O1401" t="s">
        <v>1383</v>
      </c>
      <c r="P1401" t="s">
        <v>739</v>
      </c>
      <c r="Q1401" t="s">
        <v>510</v>
      </c>
      <c r="R1401" t="s">
        <v>1384</v>
      </c>
      <c r="S1401" t="s">
        <v>1385</v>
      </c>
      <c r="T1401" t="s">
        <v>1320</v>
      </c>
      <c r="U1401">
        <v>179502</v>
      </c>
      <c r="V1401" t="s">
        <v>1447</v>
      </c>
      <c r="W1401" t="s">
        <v>1387</v>
      </c>
      <c r="X1401" t="s">
        <v>8794</v>
      </c>
      <c r="Y1401" t="s">
        <v>4725</v>
      </c>
      <c r="Z1401" t="s">
        <v>1043</v>
      </c>
      <c r="AA1401" t="s">
        <v>4726</v>
      </c>
      <c r="AB1401" t="s">
        <v>8795</v>
      </c>
      <c r="AE1401">
        <v>-37.806058309999997</v>
      </c>
      <c r="AF1401">
        <v>175.28047139</v>
      </c>
      <c r="AG1401" s="175">
        <v>50</v>
      </c>
      <c r="AH1401" s="175">
        <v>20</v>
      </c>
      <c r="AI1401" s="175">
        <v>3</v>
      </c>
      <c r="AJ1401" s="175">
        <v>14</v>
      </c>
      <c r="AK1401" s="175">
        <v>13</v>
      </c>
      <c r="AL1401" s="175">
        <v>12</v>
      </c>
      <c r="AM1401" s="175">
        <v>10</v>
      </c>
      <c r="AN1401" s="175">
        <v>0</v>
      </c>
      <c r="AO1401" s="175">
        <v>52</v>
      </c>
      <c r="AP1401" s="175">
        <v>21</v>
      </c>
      <c r="AQ1401" s="175">
        <v>3</v>
      </c>
      <c r="AR1401" s="175">
        <v>1</v>
      </c>
      <c r="AS1401" s="175">
        <v>33</v>
      </c>
      <c r="AT1401" s="175">
        <v>3</v>
      </c>
    </row>
    <row r="1402" spans="1:46">
      <c r="A1402">
        <v>30185</v>
      </c>
      <c r="B1402" t="s">
        <v>8796</v>
      </c>
      <c r="C1402" t="s">
        <v>8797</v>
      </c>
      <c r="D1402" t="s">
        <v>8798</v>
      </c>
      <c r="E1402" t="s">
        <v>8799</v>
      </c>
      <c r="F1402" t="s">
        <v>1396</v>
      </c>
      <c r="G1402" t="s">
        <v>1381</v>
      </c>
      <c r="H1402" t="s">
        <v>449</v>
      </c>
      <c r="I1402" t="s">
        <v>6296</v>
      </c>
      <c r="J1402" t="s">
        <v>605</v>
      </c>
      <c r="K1402" t="s">
        <v>606</v>
      </c>
      <c r="M1402" t="s">
        <v>1382</v>
      </c>
      <c r="N1402" t="s">
        <v>657</v>
      </c>
      <c r="O1402" t="s">
        <v>1383</v>
      </c>
      <c r="P1402" t="s">
        <v>739</v>
      </c>
      <c r="Q1402" t="s">
        <v>510</v>
      </c>
      <c r="R1402" t="s">
        <v>1384</v>
      </c>
      <c r="S1402" t="s">
        <v>1396</v>
      </c>
      <c r="T1402" t="s">
        <v>1320</v>
      </c>
      <c r="U1402">
        <v>179700</v>
      </c>
      <c r="V1402" t="s">
        <v>8800</v>
      </c>
      <c r="W1402" t="s">
        <v>1398</v>
      </c>
      <c r="X1402" t="s">
        <v>8801</v>
      </c>
      <c r="Y1402" t="s">
        <v>8802</v>
      </c>
      <c r="Z1402" t="s">
        <v>1396</v>
      </c>
      <c r="AA1402" t="s">
        <v>1390</v>
      </c>
      <c r="AB1402" t="s">
        <v>8797</v>
      </c>
      <c r="AC1402">
        <v>99103</v>
      </c>
      <c r="AD1402" t="s">
        <v>8803</v>
      </c>
      <c r="AE1402">
        <v>-37.790740399999997</v>
      </c>
      <c r="AF1402">
        <v>175.29559731000001</v>
      </c>
      <c r="AG1402" s="175">
        <v>30</v>
      </c>
      <c r="AH1402" s="175">
        <v>0</v>
      </c>
      <c r="AI1402" s="175">
        <v>0</v>
      </c>
      <c r="AJ1402" s="175">
        <v>0</v>
      </c>
      <c r="AK1402" s="175">
        <v>2</v>
      </c>
      <c r="AL1402" s="175">
        <v>11</v>
      </c>
      <c r="AM1402" s="175">
        <v>20</v>
      </c>
      <c r="AN1402" s="175">
        <v>1</v>
      </c>
      <c r="AO1402" s="175">
        <v>34</v>
      </c>
      <c r="AP1402" s="175">
        <v>9</v>
      </c>
      <c r="AQ1402" s="175">
        <v>2</v>
      </c>
      <c r="AR1402" s="175">
        <v>7</v>
      </c>
      <c r="AS1402" s="175">
        <v>21</v>
      </c>
      <c r="AT1402" s="175">
        <v>0</v>
      </c>
    </row>
    <row r="1403" spans="1:46">
      <c r="A1403">
        <v>30192</v>
      </c>
      <c r="B1403" t="s">
        <v>8804</v>
      </c>
      <c r="C1403" t="s">
        <v>8805</v>
      </c>
      <c r="E1403" t="s">
        <v>8806</v>
      </c>
      <c r="F1403" t="s">
        <v>8555</v>
      </c>
      <c r="G1403" t="s">
        <v>1604</v>
      </c>
      <c r="H1403" t="s">
        <v>449</v>
      </c>
      <c r="J1403" t="s">
        <v>4032</v>
      </c>
      <c r="K1403" t="s">
        <v>606</v>
      </c>
      <c r="M1403" t="s">
        <v>1382</v>
      </c>
      <c r="N1403" t="s">
        <v>657</v>
      </c>
      <c r="O1403" t="s">
        <v>1605</v>
      </c>
      <c r="P1403" t="s">
        <v>670</v>
      </c>
      <c r="Q1403" t="s">
        <v>511</v>
      </c>
      <c r="R1403" t="s">
        <v>1555</v>
      </c>
      <c r="S1403" t="s">
        <v>1604</v>
      </c>
      <c r="T1403" t="s">
        <v>1557</v>
      </c>
      <c r="U1403">
        <v>200100</v>
      </c>
      <c r="V1403" t="s">
        <v>8555</v>
      </c>
      <c r="W1403" t="s">
        <v>1606</v>
      </c>
      <c r="X1403" t="s">
        <v>8807</v>
      </c>
      <c r="Y1403" t="s">
        <v>8806</v>
      </c>
      <c r="AA1403" t="s">
        <v>8584</v>
      </c>
      <c r="AB1403" t="s">
        <v>8805</v>
      </c>
      <c r="AC1403">
        <v>99019</v>
      </c>
      <c r="AD1403" t="s">
        <v>1648</v>
      </c>
      <c r="AE1403">
        <v>-38.136628399999999</v>
      </c>
      <c r="AF1403">
        <v>176.2478735</v>
      </c>
      <c r="AG1403" s="175">
        <v>27</v>
      </c>
      <c r="AH1403" s="175">
        <v>10</v>
      </c>
      <c r="AI1403" s="175">
        <v>0</v>
      </c>
      <c r="AJ1403" s="175">
        <v>8</v>
      </c>
      <c r="AK1403" s="175">
        <v>5</v>
      </c>
      <c r="AL1403" s="175">
        <v>5</v>
      </c>
      <c r="AM1403" s="175">
        <v>4</v>
      </c>
      <c r="AN1403" s="175">
        <v>0</v>
      </c>
      <c r="AO1403" s="175">
        <v>22</v>
      </c>
      <c r="AP1403" s="175">
        <v>14</v>
      </c>
      <c r="AQ1403" s="175">
        <v>12</v>
      </c>
      <c r="AR1403" s="175">
        <v>1</v>
      </c>
      <c r="AS1403" s="175">
        <v>4</v>
      </c>
      <c r="AT1403" s="175">
        <v>0</v>
      </c>
    </row>
    <row r="1404" spans="1:46">
      <c r="A1404">
        <v>30193</v>
      </c>
      <c r="B1404" t="s">
        <v>8808</v>
      </c>
      <c r="C1404" t="s">
        <v>8809</v>
      </c>
      <c r="D1404" t="s">
        <v>8810</v>
      </c>
      <c r="E1404" t="s">
        <v>8811</v>
      </c>
      <c r="G1404" t="s">
        <v>8812</v>
      </c>
      <c r="H1404" t="s">
        <v>449</v>
      </c>
      <c r="J1404" t="s">
        <v>605</v>
      </c>
      <c r="K1404" t="s">
        <v>606</v>
      </c>
      <c r="M1404" t="s">
        <v>1382</v>
      </c>
      <c r="N1404" t="s">
        <v>657</v>
      </c>
      <c r="O1404" t="s">
        <v>2277</v>
      </c>
      <c r="P1404" t="s">
        <v>658</v>
      </c>
      <c r="Q1404" t="s">
        <v>513</v>
      </c>
      <c r="R1404" t="s">
        <v>2164</v>
      </c>
      <c r="S1404" t="s">
        <v>2278</v>
      </c>
      <c r="T1404" t="s">
        <v>2165</v>
      </c>
      <c r="U1404">
        <v>208200</v>
      </c>
      <c r="V1404" t="s">
        <v>8812</v>
      </c>
      <c r="W1404" t="s">
        <v>8813</v>
      </c>
      <c r="X1404" t="s">
        <v>8814</v>
      </c>
      <c r="Y1404" t="s">
        <v>8815</v>
      </c>
      <c r="Z1404" t="s">
        <v>2276</v>
      </c>
      <c r="AA1404" t="s">
        <v>8816</v>
      </c>
      <c r="AB1404" t="s">
        <v>8817</v>
      </c>
      <c r="AE1404">
        <v>-39.648899100000001</v>
      </c>
      <c r="AF1404">
        <v>176.61818592</v>
      </c>
      <c r="AG1404" s="175">
        <v>26</v>
      </c>
      <c r="AH1404" s="175">
        <v>0</v>
      </c>
      <c r="AI1404" s="175">
        <v>0</v>
      </c>
      <c r="AJ1404" s="175">
        <v>0</v>
      </c>
      <c r="AK1404" s="175">
        <v>4</v>
      </c>
      <c r="AL1404" s="175">
        <v>15</v>
      </c>
      <c r="AM1404" s="175">
        <v>7</v>
      </c>
      <c r="AN1404" s="175">
        <v>0</v>
      </c>
      <c r="AO1404" s="175">
        <v>26</v>
      </c>
      <c r="AP1404" s="175">
        <v>24</v>
      </c>
      <c r="AQ1404" s="175">
        <v>6</v>
      </c>
      <c r="AR1404" s="175">
        <v>0</v>
      </c>
      <c r="AS1404" s="175">
        <v>1</v>
      </c>
      <c r="AT1404" s="175">
        <v>1</v>
      </c>
    </row>
    <row r="1405" spans="1:46">
      <c r="A1405">
        <v>30194</v>
      </c>
      <c r="B1405" t="s">
        <v>8818</v>
      </c>
      <c r="C1405" t="s">
        <v>8819</v>
      </c>
      <c r="D1405" t="s">
        <v>8820</v>
      </c>
      <c r="E1405" t="s">
        <v>8821</v>
      </c>
      <c r="G1405" t="s">
        <v>1681</v>
      </c>
      <c r="H1405" t="s">
        <v>452</v>
      </c>
      <c r="J1405" t="s">
        <v>605</v>
      </c>
      <c r="K1405" t="s">
        <v>606</v>
      </c>
      <c r="M1405" t="s">
        <v>1382</v>
      </c>
      <c r="N1405" t="s">
        <v>657</v>
      </c>
      <c r="O1405" t="s">
        <v>1825</v>
      </c>
      <c r="P1405" t="s">
        <v>658</v>
      </c>
      <c r="Q1405" t="s">
        <v>511</v>
      </c>
      <c r="R1405" t="s">
        <v>1555</v>
      </c>
      <c r="S1405" t="s">
        <v>1522</v>
      </c>
      <c r="T1405" t="s">
        <v>1557</v>
      </c>
      <c r="U1405">
        <v>190902</v>
      </c>
      <c r="V1405" t="s">
        <v>8822</v>
      </c>
      <c r="W1405" t="s">
        <v>8823</v>
      </c>
      <c r="X1405" t="s">
        <v>1679</v>
      </c>
      <c r="Y1405" t="s">
        <v>1680</v>
      </c>
      <c r="Z1405" t="s">
        <v>1681</v>
      </c>
      <c r="AA1405" t="s">
        <v>1682</v>
      </c>
      <c r="AB1405" t="s">
        <v>1683</v>
      </c>
      <c r="AE1405">
        <v>-37.715376329999998</v>
      </c>
      <c r="AF1405">
        <v>175.99582845</v>
      </c>
      <c r="AG1405" s="175">
        <v>30</v>
      </c>
      <c r="AH1405" s="175">
        <v>0</v>
      </c>
      <c r="AI1405" s="175">
        <v>0</v>
      </c>
      <c r="AJ1405" s="175">
        <v>0</v>
      </c>
      <c r="AK1405" s="175">
        <v>7</v>
      </c>
      <c r="AL1405" s="175">
        <v>14</v>
      </c>
      <c r="AM1405" s="175">
        <v>18</v>
      </c>
      <c r="AN1405" s="175">
        <v>1</v>
      </c>
      <c r="AO1405" s="175">
        <v>40</v>
      </c>
      <c r="AP1405" s="175">
        <v>38</v>
      </c>
      <c r="AQ1405" s="175">
        <v>6</v>
      </c>
      <c r="AR1405" s="175">
        <v>0</v>
      </c>
      <c r="AS1405" s="175">
        <v>2</v>
      </c>
      <c r="AT1405" s="175">
        <v>0</v>
      </c>
    </row>
    <row r="1406" spans="1:46">
      <c r="A1406">
        <v>30197</v>
      </c>
      <c r="B1406" t="s">
        <v>8824</v>
      </c>
      <c r="C1406" t="s">
        <v>8825</v>
      </c>
      <c r="D1406" t="s">
        <v>8826</v>
      </c>
      <c r="E1406" t="s">
        <v>8827</v>
      </c>
      <c r="F1406" t="s">
        <v>1397</v>
      </c>
      <c r="G1406" t="s">
        <v>1381</v>
      </c>
      <c r="H1406" t="s">
        <v>450</v>
      </c>
      <c r="J1406" t="s">
        <v>4032</v>
      </c>
      <c r="K1406" t="s">
        <v>606</v>
      </c>
      <c r="M1406" t="s">
        <v>1382</v>
      </c>
      <c r="N1406" t="s">
        <v>657</v>
      </c>
      <c r="O1406" t="s">
        <v>1383</v>
      </c>
      <c r="P1406" t="s">
        <v>739</v>
      </c>
      <c r="Q1406" t="s">
        <v>510</v>
      </c>
      <c r="R1406" t="s">
        <v>1841</v>
      </c>
      <c r="S1406" t="s">
        <v>1396</v>
      </c>
      <c r="T1406" t="s">
        <v>1320</v>
      </c>
      <c r="U1406">
        <v>177300</v>
      </c>
      <c r="V1406" t="s">
        <v>1397</v>
      </c>
      <c r="W1406" t="s">
        <v>1398</v>
      </c>
      <c r="X1406" t="s">
        <v>8828</v>
      </c>
      <c r="Y1406" t="s">
        <v>8827</v>
      </c>
      <c r="Z1406" t="s">
        <v>1397</v>
      </c>
      <c r="AA1406" t="s">
        <v>8575</v>
      </c>
      <c r="AB1406" t="s">
        <v>8825</v>
      </c>
      <c r="AE1406">
        <v>-37.749666830000002</v>
      </c>
      <c r="AF1406">
        <v>175.27363188999999</v>
      </c>
      <c r="AG1406" s="175">
        <v>80</v>
      </c>
      <c r="AH1406" s="175">
        <v>80</v>
      </c>
      <c r="AI1406" s="175">
        <v>4</v>
      </c>
      <c r="AJ1406" s="175">
        <v>13</v>
      </c>
      <c r="AK1406" s="175">
        <v>22</v>
      </c>
      <c r="AL1406" s="175">
        <v>13</v>
      </c>
      <c r="AM1406" s="175">
        <v>11</v>
      </c>
      <c r="AN1406" s="175">
        <v>0</v>
      </c>
      <c r="AO1406" s="175">
        <v>63</v>
      </c>
      <c r="AP1406" s="175">
        <v>57</v>
      </c>
      <c r="AQ1406" s="175">
        <v>14</v>
      </c>
      <c r="AR1406" s="175">
        <v>2</v>
      </c>
      <c r="AS1406" s="175">
        <v>3</v>
      </c>
      <c r="AT1406" s="175">
        <v>1</v>
      </c>
    </row>
    <row r="1407" spans="1:46">
      <c r="A1407">
        <v>30203</v>
      </c>
      <c r="B1407" t="s">
        <v>8829</v>
      </c>
      <c r="C1407" t="s">
        <v>8830</v>
      </c>
      <c r="E1407" t="s">
        <v>8831</v>
      </c>
      <c r="F1407" t="s">
        <v>1477</v>
      </c>
      <c r="G1407" t="s">
        <v>1381</v>
      </c>
      <c r="H1407" t="s">
        <v>449</v>
      </c>
      <c r="J1407" t="s">
        <v>605</v>
      </c>
      <c r="K1407" t="s">
        <v>606</v>
      </c>
      <c r="M1407" t="s">
        <v>1382</v>
      </c>
      <c r="N1407" t="s">
        <v>643</v>
      </c>
      <c r="O1407" t="s">
        <v>1383</v>
      </c>
      <c r="P1407" t="s">
        <v>739</v>
      </c>
      <c r="Q1407" t="s">
        <v>510</v>
      </c>
      <c r="R1407" t="s">
        <v>1384</v>
      </c>
      <c r="S1407" t="s">
        <v>1385</v>
      </c>
      <c r="T1407" t="s">
        <v>1320</v>
      </c>
      <c r="U1407">
        <v>180100</v>
      </c>
      <c r="V1407" t="s">
        <v>8832</v>
      </c>
      <c r="W1407" t="s">
        <v>1387</v>
      </c>
      <c r="X1407" t="s">
        <v>8441</v>
      </c>
      <c r="Y1407" t="s">
        <v>4014</v>
      </c>
      <c r="Z1407" t="s">
        <v>4015</v>
      </c>
      <c r="AA1407" t="s">
        <v>4016</v>
      </c>
      <c r="AB1407" t="s">
        <v>8442</v>
      </c>
      <c r="AE1407">
        <v>-37.808454609999998</v>
      </c>
      <c r="AF1407">
        <v>175.28302732</v>
      </c>
      <c r="AG1407" s="175">
        <v>30</v>
      </c>
      <c r="AH1407" s="175">
        <v>0</v>
      </c>
      <c r="AI1407" s="175">
        <v>0</v>
      </c>
      <c r="AJ1407" s="175">
        <v>0</v>
      </c>
      <c r="AK1407" s="175">
        <v>5</v>
      </c>
      <c r="AL1407" s="175">
        <v>7</v>
      </c>
      <c r="AM1407" s="175">
        <v>23</v>
      </c>
      <c r="AN1407" s="175">
        <v>0</v>
      </c>
      <c r="AO1407" s="175">
        <v>35</v>
      </c>
      <c r="AP1407" s="175">
        <v>2</v>
      </c>
      <c r="AQ1407" s="175">
        <v>3</v>
      </c>
      <c r="AR1407" s="175">
        <v>1</v>
      </c>
      <c r="AS1407" s="175">
        <v>30</v>
      </c>
      <c r="AT1407" s="175">
        <v>3</v>
      </c>
    </row>
    <row r="1408" spans="1:46">
      <c r="A1408">
        <v>30205</v>
      </c>
      <c r="B1408" t="s">
        <v>8833</v>
      </c>
      <c r="C1408" t="s">
        <v>8834</v>
      </c>
      <c r="E1408" t="s">
        <v>8835</v>
      </c>
      <c r="F1408" t="s">
        <v>1380</v>
      </c>
      <c r="G1408" t="s">
        <v>1381</v>
      </c>
      <c r="H1408" t="s">
        <v>449</v>
      </c>
      <c r="J1408" t="s">
        <v>4032</v>
      </c>
      <c r="K1408" t="s">
        <v>606</v>
      </c>
      <c r="M1408" t="s">
        <v>1382</v>
      </c>
      <c r="N1408" t="s">
        <v>657</v>
      </c>
      <c r="O1408" t="s">
        <v>1383</v>
      </c>
      <c r="P1408" t="s">
        <v>739</v>
      </c>
      <c r="Q1408" t="s">
        <v>510</v>
      </c>
      <c r="R1408" t="s">
        <v>1384</v>
      </c>
      <c r="S1408" t="s">
        <v>1385</v>
      </c>
      <c r="T1408" t="s">
        <v>1320</v>
      </c>
      <c r="U1408">
        <v>179001</v>
      </c>
      <c r="V1408" t="s">
        <v>8836</v>
      </c>
      <c r="W1408" t="s">
        <v>1387</v>
      </c>
      <c r="X1408" t="s">
        <v>8837</v>
      </c>
      <c r="Y1408" t="s">
        <v>8838</v>
      </c>
      <c r="AA1408" t="s">
        <v>8714</v>
      </c>
      <c r="AB1408" t="s">
        <v>8839</v>
      </c>
      <c r="AC1408">
        <v>99035</v>
      </c>
      <c r="AD1408" t="s">
        <v>1392</v>
      </c>
      <c r="AE1408">
        <v>-37.781941160000002</v>
      </c>
      <c r="AF1408">
        <v>175.27708204000001</v>
      </c>
      <c r="AG1408" s="175">
        <v>60</v>
      </c>
      <c r="AH1408" s="175">
        <v>20</v>
      </c>
      <c r="AI1408" s="175">
        <v>1</v>
      </c>
      <c r="AJ1408" s="175">
        <v>11</v>
      </c>
      <c r="AK1408" s="175">
        <v>12</v>
      </c>
      <c r="AL1408" s="175">
        <v>10</v>
      </c>
      <c r="AM1408" s="175">
        <v>16</v>
      </c>
      <c r="AN1408" s="175">
        <v>0</v>
      </c>
      <c r="AO1408" s="175">
        <v>50</v>
      </c>
      <c r="AP1408" s="175">
        <v>27</v>
      </c>
      <c r="AQ1408" s="175">
        <v>15</v>
      </c>
      <c r="AR1408" s="175">
        <v>3</v>
      </c>
      <c r="AS1408" s="175">
        <v>15</v>
      </c>
      <c r="AT1408" s="175">
        <v>2</v>
      </c>
    </row>
    <row r="1409" spans="1:46">
      <c r="A1409">
        <v>30207</v>
      </c>
      <c r="B1409" t="s">
        <v>8840</v>
      </c>
      <c r="C1409" t="s">
        <v>8841</v>
      </c>
      <c r="D1409" t="s">
        <v>8842</v>
      </c>
      <c r="E1409" t="s">
        <v>8843</v>
      </c>
      <c r="G1409" t="s">
        <v>1638</v>
      </c>
      <c r="H1409" t="s">
        <v>449</v>
      </c>
      <c r="J1409" t="s">
        <v>4032</v>
      </c>
      <c r="K1409" t="s">
        <v>606</v>
      </c>
      <c r="M1409" t="s">
        <v>1382</v>
      </c>
      <c r="N1409" t="s">
        <v>812</v>
      </c>
      <c r="O1409" t="s">
        <v>1435</v>
      </c>
      <c r="P1409" t="s">
        <v>610</v>
      </c>
      <c r="Q1409" t="s">
        <v>510</v>
      </c>
      <c r="R1409" t="s">
        <v>1384</v>
      </c>
      <c r="S1409" t="s">
        <v>1384</v>
      </c>
      <c r="T1409" t="s">
        <v>1320</v>
      </c>
      <c r="U1409">
        <v>171502</v>
      </c>
      <c r="V1409" t="s">
        <v>1639</v>
      </c>
      <c r="W1409" t="s">
        <v>1640</v>
      </c>
      <c r="X1409" t="s">
        <v>8844</v>
      </c>
      <c r="Y1409" t="s">
        <v>8845</v>
      </c>
      <c r="Z1409" t="s">
        <v>7725</v>
      </c>
      <c r="AA1409" t="s">
        <v>8137</v>
      </c>
      <c r="AB1409" t="s">
        <v>8846</v>
      </c>
      <c r="AE1409">
        <v>-37.571519500000001</v>
      </c>
      <c r="AF1409">
        <v>175.15722700000001</v>
      </c>
      <c r="AG1409" s="175">
        <v>46</v>
      </c>
      <c r="AH1409" s="175">
        <v>16</v>
      </c>
      <c r="AI1409" s="175">
        <v>1</v>
      </c>
      <c r="AJ1409" s="175">
        <v>10</v>
      </c>
      <c r="AK1409" s="175">
        <v>9</v>
      </c>
      <c r="AL1409" s="175">
        <v>14</v>
      </c>
      <c r="AM1409" s="175">
        <v>12</v>
      </c>
      <c r="AN1409" s="175">
        <v>0</v>
      </c>
      <c r="AO1409" s="175">
        <v>46</v>
      </c>
      <c r="AP1409" s="175">
        <v>34</v>
      </c>
      <c r="AQ1409" s="175">
        <v>10</v>
      </c>
      <c r="AR1409" s="175">
        <v>6</v>
      </c>
      <c r="AS1409" s="175">
        <v>4</v>
      </c>
      <c r="AT1409" s="175">
        <v>0</v>
      </c>
    </row>
    <row r="1410" spans="1:46">
      <c r="A1410">
        <v>30208</v>
      </c>
      <c r="B1410" t="s">
        <v>8847</v>
      </c>
      <c r="C1410" t="s">
        <v>8848</v>
      </c>
      <c r="D1410" t="s">
        <v>8849</v>
      </c>
      <c r="E1410" t="s">
        <v>8850</v>
      </c>
      <c r="F1410" t="s">
        <v>8851</v>
      </c>
      <c r="G1410" t="s">
        <v>2276</v>
      </c>
      <c r="H1410" t="s">
        <v>449</v>
      </c>
      <c r="J1410" t="s">
        <v>4032</v>
      </c>
      <c r="K1410" t="s">
        <v>606</v>
      </c>
      <c r="M1410" t="s">
        <v>1382</v>
      </c>
      <c r="N1410" t="s">
        <v>643</v>
      </c>
      <c r="O1410" t="s">
        <v>2277</v>
      </c>
      <c r="P1410" t="s">
        <v>670</v>
      </c>
      <c r="Q1410" t="s">
        <v>513</v>
      </c>
      <c r="R1410" t="s">
        <v>2164</v>
      </c>
      <c r="S1410" t="s">
        <v>2278</v>
      </c>
      <c r="T1410" t="s">
        <v>2165</v>
      </c>
      <c r="U1410">
        <v>209700</v>
      </c>
      <c r="V1410" t="s">
        <v>8852</v>
      </c>
      <c r="W1410" t="s">
        <v>2279</v>
      </c>
      <c r="X1410" t="s">
        <v>8853</v>
      </c>
      <c r="Y1410" t="s">
        <v>8854</v>
      </c>
      <c r="AA1410" t="s">
        <v>8855</v>
      </c>
      <c r="AC1410">
        <v>99159</v>
      </c>
      <c r="AD1410" t="s">
        <v>2285</v>
      </c>
      <c r="AE1410">
        <v>-39.635939489999998</v>
      </c>
      <c r="AF1410">
        <v>176.83802094999999</v>
      </c>
      <c r="AG1410" s="175">
        <v>35</v>
      </c>
      <c r="AH1410" s="175">
        <v>12</v>
      </c>
      <c r="AI1410" s="175">
        <v>2</v>
      </c>
      <c r="AJ1410" s="175">
        <v>10</v>
      </c>
      <c r="AK1410" s="175">
        <v>6</v>
      </c>
      <c r="AL1410" s="175">
        <v>7</v>
      </c>
      <c r="AM1410" s="175">
        <v>8</v>
      </c>
      <c r="AN1410" s="175">
        <v>0</v>
      </c>
      <c r="AO1410" s="175">
        <v>33</v>
      </c>
      <c r="AP1410" s="175">
        <v>15</v>
      </c>
      <c r="AQ1410" s="175">
        <v>3</v>
      </c>
      <c r="AR1410" s="175">
        <v>5</v>
      </c>
      <c r="AS1410" s="175">
        <v>15</v>
      </c>
      <c r="AT1410" s="175">
        <v>0</v>
      </c>
    </row>
    <row r="1411" spans="1:46">
      <c r="A1411">
        <v>30209</v>
      </c>
      <c r="B1411" t="s">
        <v>8856</v>
      </c>
      <c r="C1411" t="s">
        <v>8857</v>
      </c>
      <c r="D1411" t="s">
        <v>8858</v>
      </c>
      <c r="E1411" t="s">
        <v>8859</v>
      </c>
      <c r="G1411" t="s">
        <v>2276</v>
      </c>
      <c r="H1411" t="s">
        <v>451</v>
      </c>
      <c r="I1411" t="s">
        <v>4102</v>
      </c>
      <c r="J1411" t="s">
        <v>605</v>
      </c>
      <c r="K1411" t="s">
        <v>606</v>
      </c>
      <c r="M1411" t="s">
        <v>1382</v>
      </c>
      <c r="N1411" t="s">
        <v>812</v>
      </c>
      <c r="O1411" t="s">
        <v>2277</v>
      </c>
      <c r="P1411" t="s">
        <v>670</v>
      </c>
      <c r="Q1411" t="s">
        <v>513</v>
      </c>
      <c r="R1411" t="s">
        <v>2164</v>
      </c>
      <c r="S1411" t="s">
        <v>2278</v>
      </c>
      <c r="T1411" t="s">
        <v>2165</v>
      </c>
      <c r="U1411">
        <v>209500</v>
      </c>
      <c r="V1411" t="s">
        <v>2275</v>
      </c>
      <c r="W1411" t="s">
        <v>2279</v>
      </c>
      <c r="X1411" t="s">
        <v>8860</v>
      </c>
      <c r="Y1411" t="s">
        <v>8861</v>
      </c>
      <c r="AA1411" t="s">
        <v>8862</v>
      </c>
      <c r="AB1411" t="s">
        <v>8863</v>
      </c>
      <c r="AE1411">
        <v>-39.626998450000002</v>
      </c>
      <c r="AF1411">
        <v>176.82513308</v>
      </c>
      <c r="AG1411" s="175">
        <v>11</v>
      </c>
      <c r="AH1411" s="175">
        <v>7</v>
      </c>
      <c r="AI1411" s="175"/>
      <c r="AJ1411" s="175"/>
      <c r="AK1411" s="175"/>
      <c r="AL1411" s="175"/>
      <c r="AM1411" s="175"/>
      <c r="AN1411" s="175"/>
      <c r="AO1411" s="175"/>
      <c r="AP1411" s="175"/>
      <c r="AQ1411" s="175"/>
      <c r="AR1411" s="175"/>
      <c r="AS1411" s="175"/>
    </row>
    <row r="1412" spans="1:46">
      <c r="A1412">
        <v>30211</v>
      </c>
      <c r="B1412" t="s">
        <v>8864</v>
      </c>
      <c r="C1412" t="s">
        <v>8865</v>
      </c>
      <c r="D1412" t="s">
        <v>8866</v>
      </c>
      <c r="E1412" t="s">
        <v>8867</v>
      </c>
      <c r="F1412" t="s">
        <v>2337</v>
      </c>
      <c r="G1412" t="s">
        <v>2276</v>
      </c>
      <c r="H1412" t="s">
        <v>347</v>
      </c>
      <c r="J1412" t="s">
        <v>605</v>
      </c>
      <c r="K1412" t="s">
        <v>606</v>
      </c>
      <c r="L1412" t="s">
        <v>4273</v>
      </c>
      <c r="M1412" t="s">
        <v>1382</v>
      </c>
      <c r="N1412" t="s">
        <v>812</v>
      </c>
      <c r="O1412" t="s">
        <v>2277</v>
      </c>
      <c r="P1412" t="s">
        <v>670</v>
      </c>
      <c r="Q1412" t="s">
        <v>513</v>
      </c>
      <c r="R1412" t="s">
        <v>2164</v>
      </c>
      <c r="S1412" t="s">
        <v>2278</v>
      </c>
      <c r="T1412" t="s">
        <v>2165</v>
      </c>
      <c r="U1412">
        <v>209901</v>
      </c>
      <c r="V1412" t="s">
        <v>2337</v>
      </c>
      <c r="W1412" t="s">
        <v>2279</v>
      </c>
      <c r="X1412" t="s">
        <v>8868</v>
      </c>
      <c r="Y1412" t="s">
        <v>4276</v>
      </c>
      <c r="Z1412" t="s">
        <v>4277</v>
      </c>
      <c r="AA1412" t="s">
        <v>4278</v>
      </c>
      <c r="AB1412" t="s">
        <v>8869</v>
      </c>
      <c r="AE1412">
        <v>-39.640339349999998</v>
      </c>
      <c r="AF1412">
        <v>176.8192837</v>
      </c>
      <c r="AG1412" s="175">
        <v>30</v>
      </c>
      <c r="AH1412" s="175">
        <v>15</v>
      </c>
      <c r="AI1412" s="175">
        <v>2</v>
      </c>
      <c r="AJ1412" s="175">
        <v>6</v>
      </c>
      <c r="AK1412" s="175">
        <v>6</v>
      </c>
      <c r="AL1412" s="175">
        <v>10</v>
      </c>
      <c r="AM1412" s="175">
        <v>6</v>
      </c>
      <c r="AN1412" s="175">
        <v>0</v>
      </c>
      <c r="AO1412" s="175">
        <v>30</v>
      </c>
      <c r="AP1412" s="175">
        <v>0</v>
      </c>
      <c r="AQ1412" s="175">
        <v>29</v>
      </c>
      <c r="AR1412" s="175">
        <v>1</v>
      </c>
      <c r="AS1412" s="175">
        <v>0</v>
      </c>
      <c r="AT1412" s="175">
        <v>0</v>
      </c>
    </row>
    <row r="1413" spans="1:46">
      <c r="A1413">
        <v>30216</v>
      </c>
      <c r="B1413" t="s">
        <v>8870</v>
      </c>
      <c r="C1413" t="s">
        <v>8871</v>
      </c>
      <c r="D1413" t="s">
        <v>8872</v>
      </c>
      <c r="E1413" t="s">
        <v>8873</v>
      </c>
      <c r="F1413" t="s">
        <v>1482</v>
      </c>
      <c r="G1413" t="s">
        <v>1381</v>
      </c>
      <c r="H1413" t="s">
        <v>449</v>
      </c>
      <c r="J1413" t="s">
        <v>605</v>
      </c>
      <c r="K1413" t="s">
        <v>606</v>
      </c>
      <c r="M1413" t="s">
        <v>1382</v>
      </c>
      <c r="N1413" t="s">
        <v>657</v>
      </c>
      <c r="O1413" t="s">
        <v>1383</v>
      </c>
      <c r="P1413" t="s">
        <v>739</v>
      </c>
      <c r="Q1413" t="s">
        <v>510</v>
      </c>
      <c r="R1413" t="s">
        <v>1384</v>
      </c>
      <c r="S1413" t="s">
        <v>1396</v>
      </c>
      <c r="T1413" t="s">
        <v>1320</v>
      </c>
      <c r="U1413">
        <v>179600</v>
      </c>
      <c r="V1413" t="s">
        <v>8874</v>
      </c>
      <c r="W1413" t="s">
        <v>1398</v>
      </c>
      <c r="X1413" t="s">
        <v>8441</v>
      </c>
      <c r="Y1413" t="s">
        <v>4014</v>
      </c>
      <c r="Z1413" t="s">
        <v>4015</v>
      </c>
      <c r="AA1413" t="s">
        <v>4016</v>
      </c>
      <c r="AB1413" t="s">
        <v>8442</v>
      </c>
      <c r="AE1413">
        <v>-37.774831540000001</v>
      </c>
      <c r="AF1413">
        <v>175.29588440000001</v>
      </c>
      <c r="AG1413" s="175">
        <v>36</v>
      </c>
      <c r="AH1413" s="175">
        <v>10</v>
      </c>
      <c r="AI1413" s="175">
        <v>0</v>
      </c>
      <c r="AJ1413" s="175">
        <v>1</v>
      </c>
      <c r="AK1413" s="175">
        <v>13</v>
      </c>
      <c r="AL1413" s="175">
        <v>9</v>
      </c>
      <c r="AM1413" s="175">
        <v>12</v>
      </c>
      <c r="AN1413" s="175">
        <v>0</v>
      </c>
      <c r="AO1413" s="175">
        <v>35</v>
      </c>
      <c r="AP1413" s="175">
        <v>7</v>
      </c>
      <c r="AQ1413" s="175">
        <v>14</v>
      </c>
      <c r="AR1413" s="175">
        <v>3</v>
      </c>
      <c r="AS1413" s="175">
        <v>14</v>
      </c>
      <c r="AT1413" s="175">
        <v>3</v>
      </c>
    </row>
    <row r="1414" spans="1:46">
      <c r="A1414">
        <v>30217</v>
      </c>
      <c r="B1414" t="s">
        <v>8875</v>
      </c>
      <c r="C1414" t="s">
        <v>8463</v>
      </c>
      <c r="D1414" t="s">
        <v>8464</v>
      </c>
      <c r="E1414" t="s">
        <v>8465</v>
      </c>
      <c r="G1414" t="s">
        <v>1681</v>
      </c>
      <c r="H1414" t="s">
        <v>450</v>
      </c>
      <c r="J1414" t="s">
        <v>4032</v>
      </c>
      <c r="K1414" t="s">
        <v>606</v>
      </c>
      <c r="M1414" t="s">
        <v>1382</v>
      </c>
      <c r="N1414" t="s">
        <v>657</v>
      </c>
      <c r="O1414" t="s">
        <v>1780</v>
      </c>
      <c r="P1414" t="s">
        <v>739</v>
      </c>
      <c r="Q1414" t="s">
        <v>511</v>
      </c>
      <c r="R1414" t="s">
        <v>1384</v>
      </c>
      <c r="S1414" t="s">
        <v>1681</v>
      </c>
      <c r="T1414" t="s">
        <v>1557</v>
      </c>
      <c r="U1414">
        <v>193800</v>
      </c>
      <c r="V1414" t="s">
        <v>8466</v>
      </c>
      <c r="W1414" t="s">
        <v>3795</v>
      </c>
      <c r="X1414" t="s">
        <v>8467</v>
      </c>
      <c r="Y1414" t="s">
        <v>8465</v>
      </c>
      <c r="AA1414" t="s">
        <v>8468</v>
      </c>
      <c r="AE1414">
        <v>-37.684214740000002</v>
      </c>
      <c r="AF1414">
        <v>176.16808179</v>
      </c>
      <c r="AG1414" s="175">
        <v>80</v>
      </c>
      <c r="AH1414" s="175">
        <v>50</v>
      </c>
      <c r="AI1414" s="175">
        <v>3</v>
      </c>
      <c r="AJ1414" s="175">
        <v>10</v>
      </c>
      <c r="AK1414" s="175">
        <v>16</v>
      </c>
      <c r="AL1414" s="175">
        <v>8</v>
      </c>
      <c r="AM1414" s="175">
        <v>8</v>
      </c>
      <c r="AN1414" s="175">
        <v>0</v>
      </c>
      <c r="AO1414" s="175">
        <v>45</v>
      </c>
      <c r="AP1414" s="175">
        <v>29</v>
      </c>
      <c r="AQ1414" s="175">
        <v>12</v>
      </c>
      <c r="AR1414" s="175">
        <v>7</v>
      </c>
      <c r="AS1414" s="175">
        <v>8</v>
      </c>
      <c r="AT1414" s="175">
        <v>4</v>
      </c>
    </row>
    <row r="1415" spans="1:46">
      <c r="A1415">
        <v>30218</v>
      </c>
      <c r="B1415" t="s">
        <v>8876</v>
      </c>
      <c r="C1415" t="s">
        <v>8877</v>
      </c>
      <c r="E1415" t="s">
        <v>8878</v>
      </c>
      <c r="G1415" t="s">
        <v>1434</v>
      </c>
      <c r="H1415" t="s">
        <v>449</v>
      </c>
      <c r="J1415" t="s">
        <v>4032</v>
      </c>
      <c r="K1415" t="s">
        <v>606</v>
      </c>
      <c r="M1415" t="s">
        <v>1382</v>
      </c>
      <c r="N1415" t="s">
        <v>625</v>
      </c>
      <c r="O1415" t="s">
        <v>1435</v>
      </c>
      <c r="P1415" t="s">
        <v>610</v>
      </c>
      <c r="Q1415" t="s">
        <v>510</v>
      </c>
      <c r="R1415" t="s">
        <v>1384</v>
      </c>
      <c r="S1415" t="s">
        <v>1384</v>
      </c>
      <c r="T1415" t="s">
        <v>1320</v>
      </c>
      <c r="U1415">
        <v>172100</v>
      </c>
      <c r="V1415" t="s">
        <v>1436</v>
      </c>
      <c r="W1415" t="s">
        <v>1437</v>
      </c>
      <c r="X1415" t="s">
        <v>8879</v>
      </c>
      <c r="Y1415" t="s">
        <v>8880</v>
      </c>
      <c r="Z1415" t="s">
        <v>8881</v>
      </c>
      <c r="AA1415" t="s">
        <v>8882</v>
      </c>
      <c r="AB1415" t="s">
        <v>8883</v>
      </c>
      <c r="AC1415">
        <v>99156</v>
      </c>
      <c r="AD1415" t="s">
        <v>1438</v>
      </c>
      <c r="AE1415">
        <v>-37.666705489999998</v>
      </c>
      <c r="AF1415">
        <v>175.15000402000001</v>
      </c>
      <c r="AG1415" s="175">
        <v>30</v>
      </c>
      <c r="AH1415" s="175">
        <v>10</v>
      </c>
      <c r="AI1415" s="175">
        <v>1</v>
      </c>
      <c r="AJ1415" s="175">
        <v>6</v>
      </c>
      <c r="AK1415" s="175">
        <v>5</v>
      </c>
      <c r="AL1415" s="175">
        <v>10</v>
      </c>
      <c r="AM1415" s="175">
        <v>6</v>
      </c>
      <c r="AN1415" s="175">
        <v>1</v>
      </c>
      <c r="AO1415" s="175">
        <v>29</v>
      </c>
      <c r="AP1415" s="175">
        <v>0</v>
      </c>
      <c r="AQ1415" s="175">
        <v>27</v>
      </c>
      <c r="AR1415" s="175">
        <v>2</v>
      </c>
      <c r="AS1415" s="175">
        <v>0</v>
      </c>
      <c r="AT1415" s="175">
        <v>0</v>
      </c>
    </row>
    <row r="1416" spans="1:46">
      <c r="A1416">
        <v>30220</v>
      </c>
      <c r="B1416" t="s">
        <v>8884</v>
      </c>
      <c r="C1416" t="s">
        <v>8885</v>
      </c>
      <c r="D1416" t="s">
        <v>8886</v>
      </c>
      <c r="E1416" t="s">
        <v>8887</v>
      </c>
      <c r="F1416" t="s">
        <v>1380</v>
      </c>
      <c r="G1416" t="s">
        <v>1381</v>
      </c>
      <c r="H1416" t="s">
        <v>471</v>
      </c>
      <c r="I1416" t="s">
        <v>470</v>
      </c>
      <c r="J1416" t="s">
        <v>605</v>
      </c>
      <c r="K1416" t="s">
        <v>606</v>
      </c>
      <c r="M1416" t="s">
        <v>1382</v>
      </c>
      <c r="N1416" t="s">
        <v>643</v>
      </c>
      <c r="O1416" t="s">
        <v>1383</v>
      </c>
      <c r="P1416" t="s">
        <v>739</v>
      </c>
      <c r="Q1416" t="s">
        <v>510</v>
      </c>
      <c r="R1416" t="s">
        <v>1384</v>
      </c>
      <c r="S1416" t="s">
        <v>1385</v>
      </c>
      <c r="T1416" t="s">
        <v>1320</v>
      </c>
      <c r="U1416">
        <v>176301</v>
      </c>
      <c r="V1416" t="s">
        <v>8493</v>
      </c>
      <c r="W1416" t="s">
        <v>1387</v>
      </c>
      <c r="X1416" t="s">
        <v>8888</v>
      </c>
      <c r="Y1416" t="s">
        <v>8662</v>
      </c>
      <c r="Z1416" t="s">
        <v>8663</v>
      </c>
      <c r="AA1416" t="s">
        <v>8664</v>
      </c>
      <c r="AB1416" t="s">
        <v>8889</v>
      </c>
      <c r="AE1416">
        <v>-37.761238890000001</v>
      </c>
      <c r="AF1416">
        <v>175.25005127</v>
      </c>
      <c r="AG1416" s="175">
        <v>53</v>
      </c>
      <c r="AH1416" s="175">
        <v>15</v>
      </c>
      <c r="AI1416" s="175">
        <v>1</v>
      </c>
      <c r="AJ1416" s="175">
        <v>5</v>
      </c>
      <c r="AK1416" s="175">
        <v>14</v>
      </c>
      <c r="AL1416" s="175">
        <v>16</v>
      </c>
      <c r="AM1416" s="175">
        <v>10</v>
      </c>
      <c r="AN1416" s="175">
        <v>1</v>
      </c>
      <c r="AO1416" s="175">
        <v>47</v>
      </c>
      <c r="AP1416" s="175">
        <v>11</v>
      </c>
      <c r="AQ1416" s="175">
        <v>44</v>
      </c>
      <c r="AR1416" s="175">
        <v>8</v>
      </c>
      <c r="AS1416" s="175">
        <v>2</v>
      </c>
      <c r="AT1416" s="175">
        <v>1</v>
      </c>
    </row>
    <row r="1417" spans="1:46">
      <c r="A1417">
        <v>30230</v>
      </c>
      <c r="B1417" t="s">
        <v>8890</v>
      </c>
      <c r="C1417" t="s">
        <v>8885</v>
      </c>
      <c r="D1417" t="s">
        <v>8891</v>
      </c>
      <c r="E1417" t="s">
        <v>8892</v>
      </c>
      <c r="G1417" t="s">
        <v>1621</v>
      </c>
      <c r="H1417" t="s">
        <v>449</v>
      </c>
      <c r="I1417" t="s">
        <v>470</v>
      </c>
      <c r="J1417" t="s">
        <v>605</v>
      </c>
      <c r="K1417" t="s">
        <v>606</v>
      </c>
      <c r="M1417" t="s">
        <v>1382</v>
      </c>
      <c r="N1417" t="s">
        <v>657</v>
      </c>
      <c r="O1417" t="s">
        <v>1403</v>
      </c>
      <c r="P1417" t="s">
        <v>1347</v>
      </c>
      <c r="Q1417" t="s">
        <v>510</v>
      </c>
      <c r="R1417" t="s">
        <v>1384</v>
      </c>
      <c r="S1417" t="s">
        <v>1501</v>
      </c>
      <c r="T1417" t="s">
        <v>1320</v>
      </c>
      <c r="U1417">
        <v>183300</v>
      </c>
      <c r="V1417" t="s">
        <v>8893</v>
      </c>
      <c r="W1417" t="s">
        <v>1623</v>
      </c>
      <c r="X1417" t="s">
        <v>8894</v>
      </c>
      <c r="Y1417" t="s">
        <v>8662</v>
      </c>
      <c r="Z1417" t="s">
        <v>8663</v>
      </c>
      <c r="AA1417" t="s">
        <v>8664</v>
      </c>
      <c r="AB1417" t="s">
        <v>8885</v>
      </c>
      <c r="AE1417">
        <v>-38.003069830000001</v>
      </c>
      <c r="AF1417">
        <v>175.31518876000001</v>
      </c>
      <c r="AG1417" s="175">
        <v>50</v>
      </c>
      <c r="AH1417" s="175">
        <v>12</v>
      </c>
      <c r="AI1417" s="175">
        <v>4</v>
      </c>
      <c r="AJ1417" s="175">
        <v>5</v>
      </c>
      <c r="AK1417" s="175">
        <v>14</v>
      </c>
      <c r="AL1417" s="175">
        <v>7</v>
      </c>
      <c r="AM1417" s="175">
        <v>11</v>
      </c>
      <c r="AN1417" s="175">
        <v>0</v>
      </c>
      <c r="AO1417" s="175">
        <v>41</v>
      </c>
      <c r="AP1417" s="175">
        <v>10</v>
      </c>
      <c r="AQ1417" s="175">
        <v>40</v>
      </c>
      <c r="AR1417" s="175">
        <v>4</v>
      </c>
      <c r="AS1417" s="175">
        <v>1</v>
      </c>
      <c r="AT1417" s="175">
        <v>0</v>
      </c>
    </row>
    <row r="1418" spans="1:46">
      <c r="A1418">
        <v>30233</v>
      </c>
      <c r="B1418" t="s">
        <v>8895</v>
      </c>
      <c r="C1418" t="s">
        <v>8896</v>
      </c>
      <c r="D1418" t="s">
        <v>8897</v>
      </c>
      <c r="E1418" t="s">
        <v>8898</v>
      </c>
      <c r="G1418" t="s">
        <v>1731</v>
      </c>
      <c r="H1418" t="s">
        <v>452</v>
      </c>
      <c r="J1418" t="s">
        <v>605</v>
      </c>
      <c r="K1418" t="s">
        <v>606</v>
      </c>
      <c r="M1418" t="s">
        <v>1382</v>
      </c>
      <c r="N1418" t="s">
        <v>812</v>
      </c>
      <c r="O1418" t="s">
        <v>1732</v>
      </c>
      <c r="P1418" t="s">
        <v>610</v>
      </c>
      <c r="Q1418" t="s">
        <v>511</v>
      </c>
      <c r="R1418" t="s">
        <v>1555</v>
      </c>
      <c r="S1418" t="s">
        <v>1556</v>
      </c>
      <c r="T1418" t="s">
        <v>1557</v>
      </c>
      <c r="U1418">
        <v>203902</v>
      </c>
      <c r="V1418" t="s">
        <v>8899</v>
      </c>
      <c r="W1418" t="s">
        <v>1734</v>
      </c>
      <c r="X1418" t="s">
        <v>1560</v>
      </c>
      <c r="Y1418" t="s">
        <v>1525</v>
      </c>
      <c r="AA1418" t="s">
        <v>1526</v>
      </c>
      <c r="AB1418" t="s">
        <v>1561</v>
      </c>
      <c r="AC1418">
        <v>99038</v>
      </c>
      <c r="AD1418" t="s">
        <v>1598</v>
      </c>
      <c r="AE1418">
        <v>-38.095161820000001</v>
      </c>
      <c r="AF1418">
        <v>176.70342832</v>
      </c>
      <c r="AG1418" s="175">
        <v>38</v>
      </c>
      <c r="AH1418" s="175">
        <v>15</v>
      </c>
      <c r="AI1418" s="175">
        <v>0</v>
      </c>
      <c r="AJ1418" s="175">
        <v>4</v>
      </c>
      <c r="AK1418" s="175">
        <v>10</v>
      </c>
      <c r="AL1418" s="175">
        <v>16</v>
      </c>
      <c r="AM1418" s="175">
        <v>11</v>
      </c>
      <c r="AN1418" s="175">
        <v>2</v>
      </c>
      <c r="AO1418" s="175">
        <v>43</v>
      </c>
      <c r="AP1418" s="175">
        <v>19</v>
      </c>
      <c r="AQ1418" s="175">
        <v>36</v>
      </c>
      <c r="AR1418" s="175">
        <v>3</v>
      </c>
      <c r="AS1418" s="175">
        <v>3</v>
      </c>
      <c r="AT1418" s="175">
        <v>1</v>
      </c>
    </row>
    <row r="1419" spans="1:46">
      <c r="A1419">
        <v>30236</v>
      </c>
      <c r="B1419" t="s">
        <v>8900</v>
      </c>
      <c r="C1419" t="s">
        <v>8901</v>
      </c>
      <c r="D1419" t="s">
        <v>8902</v>
      </c>
      <c r="E1419" t="s">
        <v>8903</v>
      </c>
      <c r="G1419" t="s">
        <v>1702</v>
      </c>
      <c r="H1419" t="s">
        <v>449</v>
      </c>
      <c r="J1419" t="s">
        <v>4032</v>
      </c>
      <c r="K1419" t="s">
        <v>606</v>
      </c>
      <c r="M1419" t="s">
        <v>1382</v>
      </c>
      <c r="N1419" t="s">
        <v>657</v>
      </c>
      <c r="O1419" t="s">
        <v>1703</v>
      </c>
      <c r="P1419" t="s">
        <v>610</v>
      </c>
      <c r="Q1419" t="s">
        <v>510</v>
      </c>
      <c r="R1419" t="s">
        <v>1384</v>
      </c>
      <c r="S1419" t="s">
        <v>1501</v>
      </c>
      <c r="T1419" t="s">
        <v>1568</v>
      </c>
      <c r="U1419">
        <v>185500</v>
      </c>
      <c r="V1419" t="s">
        <v>1704</v>
      </c>
      <c r="W1419" t="s">
        <v>1705</v>
      </c>
      <c r="X1419" t="s">
        <v>8904</v>
      </c>
      <c r="Y1419" t="s">
        <v>8903</v>
      </c>
      <c r="Z1419" t="s">
        <v>1702</v>
      </c>
      <c r="AA1419" t="s">
        <v>8905</v>
      </c>
      <c r="AB1419" t="s">
        <v>8906</v>
      </c>
      <c r="AE1419">
        <v>-38.180311070000002</v>
      </c>
      <c r="AF1419">
        <v>175.20638041000001</v>
      </c>
      <c r="AG1419" s="175">
        <v>35</v>
      </c>
      <c r="AH1419" s="175">
        <v>12</v>
      </c>
      <c r="AI1419" s="175">
        <v>6</v>
      </c>
      <c r="AJ1419" s="175">
        <v>12</v>
      </c>
      <c r="AK1419" s="175">
        <v>22</v>
      </c>
      <c r="AL1419" s="175">
        <v>8</v>
      </c>
      <c r="AM1419" s="175">
        <v>0</v>
      </c>
      <c r="AN1419" s="175">
        <v>0</v>
      </c>
      <c r="AO1419" s="175">
        <v>48</v>
      </c>
      <c r="AP1419" s="175">
        <v>44</v>
      </c>
      <c r="AQ1419" s="175">
        <v>15</v>
      </c>
      <c r="AR1419" s="175">
        <v>2</v>
      </c>
      <c r="AS1419" s="175">
        <v>3</v>
      </c>
      <c r="AT1419" s="175">
        <v>1</v>
      </c>
    </row>
    <row r="1420" spans="1:46">
      <c r="A1420">
        <v>30237</v>
      </c>
      <c r="B1420" t="s">
        <v>8907</v>
      </c>
      <c r="C1420" t="s">
        <v>8908</v>
      </c>
      <c r="D1420" t="s">
        <v>8909</v>
      </c>
      <c r="E1420" t="s">
        <v>8910</v>
      </c>
      <c r="F1420" t="s">
        <v>3841</v>
      </c>
      <c r="G1420" t="s">
        <v>1681</v>
      </c>
      <c r="H1420" t="s">
        <v>449</v>
      </c>
      <c r="J1420" t="s">
        <v>4032</v>
      </c>
      <c r="K1420" t="s">
        <v>606</v>
      </c>
      <c r="M1420" t="s">
        <v>1382</v>
      </c>
      <c r="N1420" t="s">
        <v>657</v>
      </c>
      <c r="O1420" t="s">
        <v>1780</v>
      </c>
      <c r="P1420" t="s">
        <v>739</v>
      </c>
      <c r="Q1420" t="s">
        <v>511</v>
      </c>
      <c r="R1420" t="s">
        <v>1555</v>
      </c>
      <c r="S1420" t="s">
        <v>1781</v>
      </c>
      <c r="T1420" t="s">
        <v>1557</v>
      </c>
      <c r="U1420">
        <v>197000</v>
      </c>
      <c r="V1420" t="s">
        <v>4783</v>
      </c>
      <c r="W1420" t="s">
        <v>1783</v>
      </c>
      <c r="X1420" t="s">
        <v>8911</v>
      </c>
      <c r="Y1420" t="s">
        <v>8912</v>
      </c>
      <c r="Z1420" t="s">
        <v>3841</v>
      </c>
      <c r="AA1420" t="s">
        <v>4785</v>
      </c>
      <c r="AB1420" t="s">
        <v>8913</v>
      </c>
      <c r="AC1420">
        <v>99064</v>
      </c>
      <c r="AD1420" t="s">
        <v>1784</v>
      </c>
      <c r="AE1420">
        <v>-37.697477890000002</v>
      </c>
      <c r="AF1420">
        <v>176.26662400000001</v>
      </c>
      <c r="AG1420" s="175">
        <v>24</v>
      </c>
      <c r="AH1420" s="175">
        <v>8</v>
      </c>
      <c r="AI1420" s="175">
        <v>1</v>
      </c>
      <c r="AJ1420" s="175">
        <v>2</v>
      </c>
      <c r="AK1420" s="175">
        <v>4</v>
      </c>
      <c r="AL1420" s="175">
        <v>7</v>
      </c>
      <c r="AM1420" s="175">
        <v>11</v>
      </c>
      <c r="AN1420" s="175">
        <v>0</v>
      </c>
      <c r="AO1420" s="175">
        <v>25</v>
      </c>
      <c r="AP1420" s="175">
        <v>11</v>
      </c>
      <c r="AQ1420" s="175">
        <v>17</v>
      </c>
      <c r="AR1420" s="175">
        <v>2</v>
      </c>
      <c r="AS1420" s="175">
        <v>4</v>
      </c>
      <c r="AT1420" s="175">
        <v>1</v>
      </c>
    </row>
    <row r="1421" spans="1:46">
      <c r="A1421">
        <v>30238</v>
      </c>
      <c r="B1421" t="s">
        <v>8914</v>
      </c>
      <c r="C1421" t="s">
        <v>8915</v>
      </c>
      <c r="D1421" t="s">
        <v>8916</v>
      </c>
      <c r="E1421" t="s">
        <v>8917</v>
      </c>
      <c r="G1421" t="s">
        <v>1580</v>
      </c>
      <c r="H1421" t="s">
        <v>449</v>
      </c>
      <c r="J1421" t="s">
        <v>4032</v>
      </c>
      <c r="K1421" t="s">
        <v>606</v>
      </c>
      <c r="M1421" t="s">
        <v>1382</v>
      </c>
      <c r="N1421" t="s">
        <v>643</v>
      </c>
      <c r="O1421" t="s">
        <v>1567</v>
      </c>
      <c r="P1421" t="s">
        <v>610</v>
      </c>
      <c r="Q1421" t="s">
        <v>510</v>
      </c>
      <c r="R1421" t="s">
        <v>1384</v>
      </c>
      <c r="S1421" t="s">
        <v>1404</v>
      </c>
      <c r="T1421" t="s">
        <v>1568</v>
      </c>
      <c r="U1421">
        <v>186000</v>
      </c>
      <c r="V1421" t="s">
        <v>1581</v>
      </c>
      <c r="W1421" t="s">
        <v>1582</v>
      </c>
      <c r="X1421" t="s">
        <v>8918</v>
      </c>
      <c r="Y1421" t="s">
        <v>4051</v>
      </c>
      <c r="AA1421" t="s">
        <v>4052</v>
      </c>
      <c r="AB1421" t="s">
        <v>8915</v>
      </c>
      <c r="AE1421">
        <v>-38.049096300000002</v>
      </c>
      <c r="AF1421">
        <v>175.77776678999999</v>
      </c>
      <c r="AG1421" s="175">
        <v>60</v>
      </c>
      <c r="AH1421" s="175">
        <v>16</v>
      </c>
      <c r="AI1421" s="175">
        <v>5</v>
      </c>
      <c r="AJ1421" s="175">
        <v>17</v>
      </c>
      <c r="AK1421" s="175">
        <v>14</v>
      </c>
      <c r="AL1421" s="175">
        <v>7</v>
      </c>
      <c r="AM1421" s="175">
        <v>16</v>
      </c>
      <c r="AN1421" s="175">
        <v>0</v>
      </c>
      <c r="AO1421" s="175">
        <v>59</v>
      </c>
      <c r="AP1421" s="175">
        <v>29</v>
      </c>
      <c r="AQ1421" s="175">
        <v>9</v>
      </c>
      <c r="AR1421" s="175">
        <v>1</v>
      </c>
      <c r="AS1421" s="175">
        <v>1</v>
      </c>
      <c r="AT1421" s="175">
        <v>22</v>
      </c>
    </row>
    <row r="1422" spans="1:46">
      <c r="A1422">
        <v>30240</v>
      </c>
      <c r="B1422" t="s">
        <v>8919</v>
      </c>
      <c r="C1422" t="s">
        <v>8920</v>
      </c>
      <c r="D1422" t="s">
        <v>8921</v>
      </c>
      <c r="E1422" t="s">
        <v>8465</v>
      </c>
      <c r="G1422" t="s">
        <v>1681</v>
      </c>
      <c r="H1422" t="s">
        <v>450</v>
      </c>
      <c r="J1422" t="s">
        <v>4032</v>
      </c>
      <c r="K1422" t="s">
        <v>606</v>
      </c>
      <c r="M1422" t="s">
        <v>607</v>
      </c>
      <c r="N1422" t="s">
        <v>657</v>
      </c>
      <c r="O1422" t="s">
        <v>1780</v>
      </c>
      <c r="P1422" t="s">
        <v>739</v>
      </c>
      <c r="Q1422" t="s">
        <v>511</v>
      </c>
      <c r="R1422" t="s">
        <v>724</v>
      </c>
      <c r="S1422" t="s">
        <v>1681</v>
      </c>
      <c r="T1422" t="s">
        <v>1557</v>
      </c>
      <c r="U1422">
        <v>193800</v>
      </c>
      <c r="V1422" t="s">
        <v>8466</v>
      </c>
      <c r="W1422" t="s">
        <v>3795</v>
      </c>
      <c r="X1422" t="s">
        <v>8922</v>
      </c>
      <c r="Y1422" t="s">
        <v>8465</v>
      </c>
      <c r="AA1422" t="s">
        <v>8468</v>
      </c>
      <c r="AB1422" t="s">
        <v>8920</v>
      </c>
      <c r="AE1422">
        <v>-37.684240080000002</v>
      </c>
      <c r="AF1422">
        <v>176.16818140000001</v>
      </c>
      <c r="AG1422" s="175">
        <v>50</v>
      </c>
      <c r="AH1422" s="175">
        <v>50</v>
      </c>
      <c r="AI1422" s="175">
        <v>1</v>
      </c>
      <c r="AJ1422" s="175">
        <v>9</v>
      </c>
      <c r="AK1422" s="175">
        <v>16</v>
      </c>
      <c r="AL1422" s="175">
        <v>12</v>
      </c>
      <c r="AM1422" s="175">
        <v>2</v>
      </c>
      <c r="AN1422" s="175">
        <v>0</v>
      </c>
      <c r="AO1422" s="175">
        <v>40</v>
      </c>
      <c r="AP1422" s="175">
        <v>27</v>
      </c>
      <c r="AQ1422" s="175">
        <v>5</v>
      </c>
      <c r="AR1422" s="175">
        <v>3</v>
      </c>
      <c r="AS1422" s="175">
        <v>7</v>
      </c>
      <c r="AT1422" s="175">
        <v>8</v>
      </c>
    </row>
    <row r="1423" spans="1:46">
      <c r="A1423">
        <v>30244</v>
      </c>
      <c r="B1423" t="s">
        <v>8923</v>
      </c>
      <c r="C1423" t="s">
        <v>8924</v>
      </c>
      <c r="D1423" t="s">
        <v>8925</v>
      </c>
      <c r="E1423" t="s">
        <v>8926</v>
      </c>
      <c r="G1423" t="s">
        <v>2198</v>
      </c>
      <c r="H1423" t="s">
        <v>449</v>
      </c>
      <c r="I1423" t="s">
        <v>4233</v>
      </c>
      <c r="J1423" t="s">
        <v>605</v>
      </c>
      <c r="K1423" t="s">
        <v>606</v>
      </c>
      <c r="M1423" t="s">
        <v>1382</v>
      </c>
      <c r="N1423" t="s">
        <v>812</v>
      </c>
      <c r="O1423" t="s">
        <v>2210</v>
      </c>
      <c r="P1423" t="s">
        <v>670</v>
      </c>
      <c r="Q1423" t="s">
        <v>513</v>
      </c>
      <c r="R1423" t="s">
        <v>2164</v>
      </c>
      <c r="S1423" t="s">
        <v>2198</v>
      </c>
      <c r="T1423" t="s">
        <v>2165</v>
      </c>
      <c r="U1423">
        <v>215401</v>
      </c>
      <c r="V1423" t="s">
        <v>8927</v>
      </c>
      <c r="W1423" t="s">
        <v>2219</v>
      </c>
      <c r="X1423" t="s">
        <v>8928</v>
      </c>
      <c r="Y1423" t="s">
        <v>8929</v>
      </c>
      <c r="Z1423" t="s">
        <v>2201</v>
      </c>
      <c r="AA1423" t="s">
        <v>2202</v>
      </c>
      <c r="AB1423" t="s">
        <v>8930</v>
      </c>
      <c r="AE1423">
        <v>-39.520568259999997</v>
      </c>
      <c r="AF1423">
        <v>176.90025437</v>
      </c>
      <c r="AG1423" s="175">
        <v>48</v>
      </c>
      <c r="AH1423" s="175">
        <v>15</v>
      </c>
      <c r="AI1423" s="175">
        <v>1</v>
      </c>
      <c r="AJ1423" s="175">
        <v>8</v>
      </c>
      <c r="AK1423" s="175">
        <v>6</v>
      </c>
      <c r="AL1423" s="175">
        <v>6</v>
      </c>
      <c r="AM1423" s="175">
        <v>10</v>
      </c>
      <c r="AN1423" s="175">
        <v>0</v>
      </c>
      <c r="AO1423" s="175">
        <v>31</v>
      </c>
      <c r="AP1423" s="175">
        <v>1</v>
      </c>
      <c r="AQ1423" s="175">
        <v>5</v>
      </c>
      <c r="AR1423" s="175">
        <v>29</v>
      </c>
      <c r="AS1423" s="175">
        <v>0</v>
      </c>
      <c r="AT1423" s="175">
        <v>0</v>
      </c>
    </row>
    <row r="1424" spans="1:46">
      <c r="A1424">
        <v>30248</v>
      </c>
      <c r="B1424" t="s">
        <v>8931</v>
      </c>
      <c r="C1424" t="s">
        <v>8932</v>
      </c>
      <c r="D1424" t="s">
        <v>8933</v>
      </c>
      <c r="E1424" t="s">
        <v>8934</v>
      </c>
      <c r="G1424" t="s">
        <v>1553</v>
      </c>
      <c r="H1424" t="s">
        <v>449</v>
      </c>
      <c r="J1424" t="s">
        <v>4032</v>
      </c>
      <c r="K1424" t="s">
        <v>606</v>
      </c>
      <c r="M1424" t="s">
        <v>1382</v>
      </c>
      <c r="N1424" t="s">
        <v>643</v>
      </c>
      <c r="O1424" t="s">
        <v>1554</v>
      </c>
      <c r="P1424" t="s">
        <v>1347</v>
      </c>
      <c r="Q1424" t="s">
        <v>511</v>
      </c>
      <c r="R1424" t="s">
        <v>1555</v>
      </c>
      <c r="S1424" t="s">
        <v>1556</v>
      </c>
      <c r="T1424" t="s">
        <v>1557</v>
      </c>
      <c r="U1424">
        <v>202900</v>
      </c>
      <c r="V1424" t="s">
        <v>8935</v>
      </c>
      <c r="W1424" t="s">
        <v>1559</v>
      </c>
      <c r="X1424" t="s">
        <v>8936</v>
      </c>
      <c r="Y1424" t="s">
        <v>4176</v>
      </c>
      <c r="AA1424" t="s">
        <v>4052</v>
      </c>
      <c r="AB1424" t="s">
        <v>8509</v>
      </c>
      <c r="AC1424">
        <v>99016</v>
      </c>
      <c r="AD1424" t="s">
        <v>1562</v>
      </c>
      <c r="AE1424">
        <v>-37.967261499999999</v>
      </c>
      <c r="AF1424">
        <v>176.98835646000001</v>
      </c>
      <c r="AG1424" s="175">
        <v>75</v>
      </c>
      <c r="AH1424" s="175">
        <v>28</v>
      </c>
      <c r="AI1424" s="175">
        <v>5</v>
      </c>
      <c r="AJ1424" s="175">
        <v>18</v>
      </c>
      <c r="AK1424" s="175">
        <v>24</v>
      </c>
      <c r="AL1424" s="175">
        <v>25</v>
      </c>
      <c r="AM1424" s="175">
        <v>23</v>
      </c>
      <c r="AN1424" s="175">
        <v>0</v>
      </c>
      <c r="AO1424" s="175">
        <v>95</v>
      </c>
      <c r="AP1424" s="175">
        <v>55</v>
      </c>
      <c r="AQ1424" s="175">
        <v>48</v>
      </c>
      <c r="AR1424" s="175">
        <v>4</v>
      </c>
      <c r="AS1424" s="175">
        <v>21</v>
      </c>
      <c r="AT1424" s="175">
        <v>2</v>
      </c>
    </row>
    <row r="1425" spans="1:46">
      <c r="A1425">
        <v>30249</v>
      </c>
      <c r="B1425" t="s">
        <v>8937</v>
      </c>
      <c r="C1425" t="s">
        <v>8938</v>
      </c>
      <c r="D1425" t="s">
        <v>8939</v>
      </c>
      <c r="E1425" t="s">
        <v>8940</v>
      </c>
      <c r="F1425" t="s">
        <v>1429</v>
      </c>
      <c r="G1425" t="s">
        <v>1381</v>
      </c>
      <c r="H1425" t="s">
        <v>449</v>
      </c>
      <c r="J1425" t="s">
        <v>605</v>
      </c>
      <c r="K1425" t="s">
        <v>606</v>
      </c>
      <c r="M1425" t="s">
        <v>1382</v>
      </c>
      <c r="N1425" t="s">
        <v>657</v>
      </c>
      <c r="O1425" t="s">
        <v>1383</v>
      </c>
      <c r="P1425" t="s">
        <v>739</v>
      </c>
      <c r="Q1425" t="s">
        <v>510</v>
      </c>
      <c r="R1425" t="s">
        <v>1384</v>
      </c>
      <c r="S1425" t="s">
        <v>1385</v>
      </c>
      <c r="T1425" t="s">
        <v>1320</v>
      </c>
      <c r="U1425">
        <v>178901</v>
      </c>
      <c r="V1425" t="s">
        <v>8416</v>
      </c>
      <c r="W1425" t="s">
        <v>1387</v>
      </c>
      <c r="X1425" t="s">
        <v>8441</v>
      </c>
      <c r="Y1425" t="s">
        <v>4014</v>
      </c>
      <c r="Z1425" t="s">
        <v>4015</v>
      </c>
      <c r="AA1425" t="s">
        <v>4016</v>
      </c>
      <c r="AB1425" t="s">
        <v>8442</v>
      </c>
      <c r="AC1425">
        <v>99035</v>
      </c>
      <c r="AD1425" t="s">
        <v>1392</v>
      </c>
      <c r="AE1425">
        <v>-37.784929980000001</v>
      </c>
      <c r="AF1425">
        <v>175.25314700999999</v>
      </c>
      <c r="AG1425" s="175">
        <v>80</v>
      </c>
      <c r="AH1425" s="175">
        <v>20</v>
      </c>
      <c r="AI1425" s="175">
        <v>6</v>
      </c>
      <c r="AJ1425" s="175">
        <v>18</v>
      </c>
      <c r="AK1425" s="175">
        <v>20</v>
      </c>
      <c r="AL1425" s="175">
        <v>18</v>
      </c>
      <c r="AM1425" s="175">
        <v>12</v>
      </c>
      <c r="AN1425" s="175">
        <v>1</v>
      </c>
      <c r="AO1425" s="175">
        <v>75</v>
      </c>
      <c r="AP1425" s="175">
        <v>34</v>
      </c>
      <c r="AQ1425" s="175">
        <v>39</v>
      </c>
      <c r="AR1425" s="175">
        <v>14</v>
      </c>
      <c r="AS1425" s="175">
        <v>12</v>
      </c>
      <c r="AT1425" s="175">
        <v>5</v>
      </c>
    </row>
    <row r="1426" spans="1:46">
      <c r="A1426">
        <v>30255</v>
      </c>
      <c r="B1426" t="s">
        <v>8941</v>
      </c>
      <c r="C1426" t="s">
        <v>8942</v>
      </c>
      <c r="D1426" t="s">
        <v>8943</v>
      </c>
      <c r="E1426" t="s">
        <v>8944</v>
      </c>
      <c r="F1426" t="s">
        <v>1797</v>
      </c>
      <c r="G1426" t="s">
        <v>1681</v>
      </c>
      <c r="H1426" t="s">
        <v>449</v>
      </c>
      <c r="J1426" t="s">
        <v>4032</v>
      </c>
      <c r="K1426" t="s">
        <v>606</v>
      </c>
      <c r="M1426" t="s">
        <v>1382</v>
      </c>
      <c r="N1426" t="s">
        <v>4586</v>
      </c>
      <c r="O1426" t="s">
        <v>1780</v>
      </c>
      <c r="P1426" t="s">
        <v>739</v>
      </c>
      <c r="Q1426" t="s">
        <v>511</v>
      </c>
      <c r="R1426" t="s">
        <v>1555</v>
      </c>
      <c r="S1426" t="s">
        <v>1681</v>
      </c>
      <c r="T1426" t="s">
        <v>1557</v>
      </c>
      <c r="U1426">
        <v>195200</v>
      </c>
      <c r="V1426" t="s">
        <v>8945</v>
      </c>
      <c r="W1426" t="s">
        <v>1799</v>
      </c>
      <c r="X1426" t="s">
        <v>8946</v>
      </c>
      <c r="Y1426" t="s">
        <v>8944</v>
      </c>
      <c r="Z1426" t="s">
        <v>1797</v>
      </c>
      <c r="AA1426" t="s">
        <v>8947</v>
      </c>
      <c r="AB1426" t="s">
        <v>8948</v>
      </c>
      <c r="AC1426">
        <v>99085</v>
      </c>
      <c r="AD1426" t="s">
        <v>1800</v>
      </c>
      <c r="AE1426">
        <v>-37.73139922</v>
      </c>
      <c r="AF1426">
        <v>176.12783049000001</v>
      </c>
      <c r="AG1426" s="175">
        <v>45</v>
      </c>
      <c r="AH1426" s="175">
        <v>16</v>
      </c>
      <c r="AI1426" s="175">
        <v>2</v>
      </c>
      <c r="AJ1426" s="175">
        <v>8</v>
      </c>
      <c r="AK1426" s="175">
        <v>12</v>
      </c>
      <c r="AL1426" s="175">
        <v>14</v>
      </c>
      <c r="AM1426" s="175">
        <v>11</v>
      </c>
      <c r="AN1426" s="175">
        <v>2</v>
      </c>
      <c r="AO1426" s="175">
        <v>49</v>
      </c>
      <c r="AP1426" s="175">
        <v>34</v>
      </c>
      <c r="AQ1426" s="175">
        <v>7</v>
      </c>
      <c r="AR1426" s="175">
        <v>0</v>
      </c>
      <c r="AS1426" s="175">
        <v>10</v>
      </c>
      <c r="AT1426" s="175">
        <v>3</v>
      </c>
    </row>
    <row r="1427" spans="1:46">
      <c r="A1427">
        <v>30256</v>
      </c>
      <c r="B1427" t="s">
        <v>8949</v>
      </c>
      <c r="C1427" t="s">
        <v>8950</v>
      </c>
      <c r="D1427" t="s">
        <v>8951</v>
      </c>
      <c r="E1427" t="s">
        <v>8952</v>
      </c>
      <c r="G1427" t="s">
        <v>8953</v>
      </c>
      <c r="H1427" t="s">
        <v>449</v>
      </c>
      <c r="J1427" t="s">
        <v>4032</v>
      </c>
      <c r="K1427" t="s">
        <v>606</v>
      </c>
      <c r="M1427" t="s">
        <v>1382</v>
      </c>
      <c r="N1427" t="s">
        <v>657</v>
      </c>
      <c r="O1427" t="s">
        <v>1825</v>
      </c>
      <c r="P1427" t="s">
        <v>610</v>
      </c>
      <c r="Q1427" t="s">
        <v>511</v>
      </c>
      <c r="R1427" t="s">
        <v>1555</v>
      </c>
      <c r="S1427" t="s">
        <v>1522</v>
      </c>
      <c r="T1427" t="s">
        <v>1557</v>
      </c>
      <c r="U1427">
        <v>191001</v>
      </c>
      <c r="V1427" t="s">
        <v>8954</v>
      </c>
      <c r="W1427" t="s">
        <v>8823</v>
      </c>
      <c r="X1427" t="s">
        <v>8955</v>
      </c>
      <c r="Y1427" t="s">
        <v>8952</v>
      </c>
      <c r="AA1427" t="s">
        <v>8956</v>
      </c>
      <c r="AB1427" t="s">
        <v>8950</v>
      </c>
      <c r="AE1427">
        <v>-37.641109309999997</v>
      </c>
      <c r="AF1427">
        <v>176.04006778999999</v>
      </c>
      <c r="AG1427" s="175">
        <v>27</v>
      </c>
      <c r="AH1427" s="175">
        <v>5</v>
      </c>
      <c r="AI1427" s="175">
        <v>1</v>
      </c>
      <c r="AJ1427" s="175">
        <v>1</v>
      </c>
      <c r="AK1427" s="175">
        <v>8</v>
      </c>
      <c r="AL1427" s="175">
        <v>4</v>
      </c>
      <c r="AM1427" s="175">
        <v>7</v>
      </c>
      <c r="AN1427" s="175">
        <v>2</v>
      </c>
      <c r="AO1427" s="175">
        <v>23</v>
      </c>
      <c r="AP1427" s="175">
        <v>21</v>
      </c>
      <c r="AQ1427" s="175">
        <v>7</v>
      </c>
      <c r="AR1427" s="175">
        <v>0</v>
      </c>
      <c r="AS1427" s="175">
        <v>2</v>
      </c>
      <c r="AT1427" s="175">
        <v>0</v>
      </c>
    </row>
    <row r="1428" spans="1:46">
      <c r="A1428">
        <v>30257</v>
      </c>
      <c r="B1428" t="s">
        <v>8957</v>
      </c>
      <c r="C1428" t="s">
        <v>8958</v>
      </c>
      <c r="D1428" t="s">
        <v>8959</v>
      </c>
      <c r="E1428" t="s">
        <v>8960</v>
      </c>
      <c r="F1428" t="s">
        <v>2217</v>
      </c>
      <c r="G1428" t="s">
        <v>2198</v>
      </c>
      <c r="H1428" t="s">
        <v>449</v>
      </c>
      <c r="J1428" t="s">
        <v>605</v>
      </c>
      <c r="K1428" t="s">
        <v>606</v>
      </c>
      <c r="M1428" t="s">
        <v>1382</v>
      </c>
      <c r="N1428" t="s">
        <v>657</v>
      </c>
      <c r="O1428" t="s">
        <v>2210</v>
      </c>
      <c r="P1428" t="s">
        <v>670</v>
      </c>
      <c r="Q1428" t="s">
        <v>513</v>
      </c>
      <c r="R1428" t="s">
        <v>2164</v>
      </c>
      <c r="S1428" t="s">
        <v>2198</v>
      </c>
      <c r="T1428" t="s">
        <v>2165</v>
      </c>
      <c r="U1428">
        <v>214400</v>
      </c>
      <c r="V1428" t="s">
        <v>8961</v>
      </c>
      <c r="W1428" t="s">
        <v>2219</v>
      </c>
      <c r="X1428" t="s">
        <v>8962</v>
      </c>
      <c r="Y1428" t="s">
        <v>4014</v>
      </c>
      <c r="Z1428" t="s">
        <v>4015</v>
      </c>
      <c r="AA1428" t="s">
        <v>4016</v>
      </c>
      <c r="AB1428" t="s">
        <v>8963</v>
      </c>
      <c r="AE1428">
        <v>-39.5227042</v>
      </c>
      <c r="AF1428">
        <v>176.8708493</v>
      </c>
      <c r="AG1428" s="175">
        <v>59</v>
      </c>
      <c r="AH1428" s="175">
        <v>16</v>
      </c>
      <c r="AI1428" s="175">
        <v>2</v>
      </c>
      <c r="AJ1428" s="175">
        <v>12</v>
      </c>
      <c r="AK1428" s="175">
        <v>18</v>
      </c>
      <c r="AL1428" s="175">
        <v>19</v>
      </c>
      <c r="AM1428" s="175">
        <v>15</v>
      </c>
      <c r="AN1428" s="175">
        <v>1</v>
      </c>
      <c r="AO1428" s="175">
        <v>67</v>
      </c>
      <c r="AP1428" s="175">
        <v>39</v>
      </c>
      <c r="AQ1428" s="175">
        <v>26</v>
      </c>
      <c r="AR1428" s="175">
        <v>4</v>
      </c>
      <c r="AS1428" s="175">
        <v>13</v>
      </c>
      <c r="AT1428" s="175">
        <v>6</v>
      </c>
    </row>
    <row r="1429" spans="1:46">
      <c r="A1429">
        <v>30273</v>
      </c>
      <c r="B1429" t="s">
        <v>8964</v>
      </c>
      <c r="C1429" t="s">
        <v>8965</v>
      </c>
      <c r="D1429" t="s">
        <v>8966</v>
      </c>
      <c r="E1429" t="s">
        <v>8967</v>
      </c>
      <c r="F1429" t="s">
        <v>1604</v>
      </c>
      <c r="G1429" t="s">
        <v>1604</v>
      </c>
      <c r="H1429" t="s">
        <v>449</v>
      </c>
      <c r="J1429" t="s">
        <v>4032</v>
      </c>
      <c r="K1429" t="s">
        <v>606</v>
      </c>
      <c r="M1429" t="s">
        <v>1382</v>
      </c>
      <c r="N1429" t="s">
        <v>657</v>
      </c>
      <c r="O1429" t="s">
        <v>1605</v>
      </c>
      <c r="P1429" t="s">
        <v>670</v>
      </c>
      <c r="Q1429" t="s">
        <v>511</v>
      </c>
      <c r="R1429" t="s">
        <v>1555</v>
      </c>
      <c r="S1429" t="s">
        <v>1604</v>
      </c>
      <c r="T1429" t="s">
        <v>1557</v>
      </c>
      <c r="U1429">
        <v>200500</v>
      </c>
      <c r="V1429" t="s">
        <v>8968</v>
      </c>
      <c r="W1429" t="s">
        <v>1606</v>
      </c>
      <c r="X1429" t="s">
        <v>8969</v>
      </c>
      <c r="Y1429" t="s">
        <v>8967</v>
      </c>
      <c r="Z1429" t="s">
        <v>8970</v>
      </c>
      <c r="AA1429" t="s">
        <v>8971</v>
      </c>
      <c r="AB1429" t="s">
        <v>8972</v>
      </c>
      <c r="AE1429">
        <v>-38.148614299999998</v>
      </c>
      <c r="AF1429">
        <v>176.246824</v>
      </c>
      <c r="AG1429" s="175">
        <v>38</v>
      </c>
      <c r="AH1429" s="175">
        <v>16</v>
      </c>
      <c r="AI1429" s="175">
        <v>3</v>
      </c>
      <c r="AJ1429" s="175">
        <v>7</v>
      </c>
      <c r="AK1429" s="175">
        <v>14</v>
      </c>
      <c r="AL1429" s="175">
        <v>7</v>
      </c>
      <c r="AM1429" s="175">
        <v>9</v>
      </c>
      <c r="AN1429" s="175">
        <v>1</v>
      </c>
      <c r="AO1429" s="175">
        <v>41</v>
      </c>
      <c r="AP1429" s="175">
        <v>30</v>
      </c>
      <c r="AQ1429" s="175">
        <v>10</v>
      </c>
      <c r="AR1429" s="175">
        <v>3</v>
      </c>
      <c r="AS1429" s="175">
        <v>11</v>
      </c>
      <c r="AT1429" s="175">
        <v>1</v>
      </c>
    </row>
    <row r="1430" spans="1:46">
      <c r="A1430">
        <v>30274</v>
      </c>
      <c r="B1430" t="s">
        <v>8973</v>
      </c>
      <c r="C1430" t="s">
        <v>8390</v>
      </c>
      <c r="D1430" t="s">
        <v>8974</v>
      </c>
      <c r="E1430" t="s">
        <v>8975</v>
      </c>
      <c r="G1430" t="s">
        <v>3754</v>
      </c>
      <c r="H1430" t="s">
        <v>301</v>
      </c>
      <c r="J1430" t="s">
        <v>605</v>
      </c>
      <c r="K1430" t="s">
        <v>606</v>
      </c>
      <c r="M1430" t="s">
        <v>1382</v>
      </c>
      <c r="N1430" t="s">
        <v>643</v>
      </c>
      <c r="O1430" t="s">
        <v>1521</v>
      </c>
      <c r="P1430" t="s">
        <v>610</v>
      </c>
      <c r="Q1430" t="s">
        <v>510</v>
      </c>
      <c r="R1430" t="s">
        <v>1384</v>
      </c>
      <c r="S1430" t="s">
        <v>1522</v>
      </c>
      <c r="T1430" t="s">
        <v>1320</v>
      </c>
      <c r="U1430">
        <v>169600</v>
      </c>
      <c r="V1430" t="s">
        <v>8976</v>
      </c>
      <c r="W1430" t="s">
        <v>3756</v>
      </c>
      <c r="X1430" t="s">
        <v>8394</v>
      </c>
      <c r="Y1430" t="s">
        <v>5253</v>
      </c>
      <c r="AA1430" t="s">
        <v>5254</v>
      </c>
      <c r="AB1430" t="s">
        <v>8390</v>
      </c>
      <c r="AE1430">
        <v>-37.397735300000001</v>
      </c>
      <c r="AF1430">
        <v>175.83299909999999</v>
      </c>
      <c r="AG1430" s="175">
        <v>30</v>
      </c>
      <c r="AH1430" s="175">
        <v>15</v>
      </c>
      <c r="AI1430" s="175">
        <v>1</v>
      </c>
      <c r="AJ1430" s="175">
        <v>7</v>
      </c>
      <c r="AK1430" s="175">
        <v>7</v>
      </c>
      <c r="AL1430" s="175">
        <v>3</v>
      </c>
      <c r="AM1430" s="175">
        <v>1</v>
      </c>
      <c r="AN1430" s="175">
        <v>1</v>
      </c>
      <c r="AO1430" s="175">
        <v>20</v>
      </c>
      <c r="AP1430" s="175">
        <v>19</v>
      </c>
      <c r="AQ1430" s="175">
        <v>0</v>
      </c>
      <c r="AR1430" s="175">
        <v>0</v>
      </c>
      <c r="AS1430" s="175">
        <v>3</v>
      </c>
      <c r="AT1430" s="175">
        <v>0</v>
      </c>
    </row>
    <row r="1431" spans="1:46">
      <c r="A1431">
        <v>30275</v>
      </c>
      <c r="B1431" t="s">
        <v>8977</v>
      </c>
      <c r="C1431" t="s">
        <v>8978</v>
      </c>
      <c r="D1431" t="s">
        <v>1378</v>
      </c>
      <c r="E1431" t="s">
        <v>8979</v>
      </c>
      <c r="F1431" t="s">
        <v>8980</v>
      </c>
      <c r="G1431" t="s">
        <v>1381</v>
      </c>
      <c r="H1431" t="s">
        <v>449</v>
      </c>
      <c r="J1431" t="s">
        <v>605</v>
      </c>
      <c r="K1431" t="s">
        <v>606</v>
      </c>
      <c r="M1431" t="s">
        <v>1382</v>
      </c>
      <c r="N1431" t="s">
        <v>657</v>
      </c>
      <c r="O1431" t="s">
        <v>1383</v>
      </c>
      <c r="P1431" t="s">
        <v>739</v>
      </c>
      <c r="Q1431" t="s">
        <v>510</v>
      </c>
      <c r="R1431" t="s">
        <v>1384</v>
      </c>
      <c r="S1431" t="s">
        <v>1396</v>
      </c>
      <c r="T1431" t="s">
        <v>1320</v>
      </c>
      <c r="U1431">
        <v>176202</v>
      </c>
      <c r="V1431" t="s">
        <v>8723</v>
      </c>
      <c r="W1431" t="s">
        <v>1398</v>
      </c>
      <c r="X1431" t="s">
        <v>1388</v>
      </c>
      <c r="Y1431" t="s">
        <v>1389</v>
      </c>
      <c r="Z1431" t="s">
        <v>1396</v>
      </c>
      <c r="AA1431" t="s">
        <v>1390</v>
      </c>
      <c r="AB1431" t="s">
        <v>1391</v>
      </c>
      <c r="AC1431">
        <v>99132</v>
      </c>
      <c r="AD1431" t="s">
        <v>8577</v>
      </c>
      <c r="AE1431">
        <v>-37.732274269999998</v>
      </c>
      <c r="AF1431">
        <v>175.27660094000001</v>
      </c>
      <c r="AG1431" s="175">
        <v>65</v>
      </c>
      <c r="AH1431" s="175">
        <v>28</v>
      </c>
      <c r="AI1431" s="175">
        <v>1</v>
      </c>
      <c r="AJ1431" s="175">
        <v>13</v>
      </c>
      <c r="AK1431" s="175">
        <v>15</v>
      </c>
      <c r="AL1431" s="175">
        <v>16</v>
      </c>
      <c r="AM1431" s="175">
        <v>12</v>
      </c>
      <c r="AN1431" s="175">
        <v>1</v>
      </c>
      <c r="AO1431" s="175">
        <v>58</v>
      </c>
      <c r="AP1431" s="175">
        <v>37</v>
      </c>
      <c r="AQ1431" s="175">
        <v>4</v>
      </c>
      <c r="AR1431" s="175">
        <v>0</v>
      </c>
      <c r="AS1431" s="175">
        <v>25</v>
      </c>
      <c r="AT1431" s="175">
        <v>0</v>
      </c>
    </row>
    <row r="1432" spans="1:46">
      <c r="A1432">
        <v>30276</v>
      </c>
      <c r="B1432" t="s">
        <v>8981</v>
      </c>
      <c r="C1432" t="s">
        <v>8982</v>
      </c>
      <c r="D1432" t="s">
        <v>8983</v>
      </c>
      <c r="E1432" t="s">
        <v>8984</v>
      </c>
      <c r="F1432" t="s">
        <v>1397</v>
      </c>
      <c r="G1432" t="s">
        <v>1381</v>
      </c>
      <c r="H1432" t="s">
        <v>449</v>
      </c>
      <c r="J1432" t="s">
        <v>605</v>
      </c>
      <c r="K1432" t="s">
        <v>606</v>
      </c>
      <c r="M1432" t="s">
        <v>1382</v>
      </c>
      <c r="N1432" t="s">
        <v>657</v>
      </c>
      <c r="O1432" t="s">
        <v>1435</v>
      </c>
      <c r="P1432" t="s">
        <v>658</v>
      </c>
      <c r="Q1432" t="s">
        <v>510</v>
      </c>
      <c r="R1432" t="s">
        <v>1384</v>
      </c>
      <c r="S1432" t="s">
        <v>1384</v>
      </c>
      <c r="T1432" t="s">
        <v>1320</v>
      </c>
      <c r="U1432">
        <v>173000</v>
      </c>
      <c r="V1432" t="s">
        <v>8421</v>
      </c>
      <c r="W1432" t="s">
        <v>8422</v>
      </c>
      <c r="X1432" t="s">
        <v>8441</v>
      </c>
      <c r="Y1432" t="s">
        <v>4014</v>
      </c>
      <c r="Z1432" t="s">
        <v>4015</v>
      </c>
      <c r="AA1432" t="s">
        <v>4016</v>
      </c>
      <c r="AB1432" t="s">
        <v>8442</v>
      </c>
      <c r="AE1432">
        <v>-37.73254893</v>
      </c>
      <c r="AF1432">
        <v>175.30384290000001</v>
      </c>
      <c r="AG1432" s="175">
        <v>68</v>
      </c>
      <c r="AH1432" s="175">
        <v>15</v>
      </c>
      <c r="AI1432" s="175">
        <v>3</v>
      </c>
      <c r="AJ1432" s="175">
        <v>16</v>
      </c>
      <c r="AK1432" s="175">
        <v>18</v>
      </c>
      <c r="AL1432" s="175">
        <v>29</v>
      </c>
      <c r="AM1432" s="175">
        <v>17</v>
      </c>
      <c r="AN1432" s="175">
        <v>0</v>
      </c>
      <c r="AO1432" s="175">
        <v>83</v>
      </c>
      <c r="AP1432" s="175">
        <v>70</v>
      </c>
      <c r="AQ1432" s="175">
        <v>26</v>
      </c>
      <c r="AR1432" s="175">
        <v>1</v>
      </c>
      <c r="AS1432" s="175">
        <v>6</v>
      </c>
      <c r="AT1432" s="175">
        <v>7</v>
      </c>
    </row>
    <row r="1433" spans="1:46">
      <c r="A1433">
        <v>30278</v>
      </c>
      <c r="B1433" t="s">
        <v>8985</v>
      </c>
      <c r="C1433" t="s">
        <v>8986</v>
      </c>
      <c r="D1433" t="s">
        <v>8987</v>
      </c>
      <c r="E1433" t="s">
        <v>8988</v>
      </c>
      <c r="G1433" t="s">
        <v>1402</v>
      </c>
      <c r="H1433" t="s">
        <v>449</v>
      </c>
      <c r="I1433" t="s">
        <v>4134</v>
      </c>
      <c r="J1433" t="s">
        <v>4032</v>
      </c>
      <c r="K1433" t="s">
        <v>606</v>
      </c>
      <c r="M1433" t="s">
        <v>1382</v>
      </c>
      <c r="N1433" t="s">
        <v>657</v>
      </c>
      <c r="O1433" t="s">
        <v>1403</v>
      </c>
      <c r="P1433" t="s">
        <v>1347</v>
      </c>
      <c r="Q1433" t="s">
        <v>510</v>
      </c>
      <c r="R1433" t="s">
        <v>1384</v>
      </c>
      <c r="S1433" t="s">
        <v>1404</v>
      </c>
      <c r="T1433" t="s">
        <v>1320</v>
      </c>
      <c r="U1433">
        <v>182700</v>
      </c>
      <c r="V1433" t="s">
        <v>8989</v>
      </c>
      <c r="W1433" t="s">
        <v>1406</v>
      </c>
      <c r="X1433" t="s">
        <v>8990</v>
      </c>
      <c r="Y1433" t="s">
        <v>8988</v>
      </c>
      <c r="AA1433" t="s">
        <v>8991</v>
      </c>
      <c r="AB1433" t="s">
        <v>8992</v>
      </c>
      <c r="AE1433">
        <v>-37.8812967</v>
      </c>
      <c r="AF1433">
        <v>175.45925649</v>
      </c>
      <c r="AG1433" s="175">
        <v>45</v>
      </c>
      <c r="AH1433" s="175">
        <v>0</v>
      </c>
      <c r="AI1433" s="175">
        <v>0</v>
      </c>
      <c r="AJ1433" s="175">
        <v>0</v>
      </c>
      <c r="AK1433" s="175">
        <v>13</v>
      </c>
      <c r="AL1433" s="175">
        <v>15</v>
      </c>
      <c r="AM1433" s="175">
        <v>18</v>
      </c>
      <c r="AN1433" s="175">
        <v>1</v>
      </c>
      <c r="AO1433" s="175">
        <v>47</v>
      </c>
      <c r="AP1433" s="175">
        <v>42</v>
      </c>
      <c r="AQ1433" s="175">
        <v>5</v>
      </c>
      <c r="AR1433" s="175">
        <v>3</v>
      </c>
      <c r="AS1433" s="175">
        <v>4</v>
      </c>
      <c r="AT1433" s="175">
        <v>2</v>
      </c>
    </row>
    <row r="1434" spans="1:46">
      <c r="A1434">
        <v>30280</v>
      </c>
      <c r="B1434" t="s">
        <v>8993</v>
      </c>
      <c r="C1434" t="s">
        <v>8994</v>
      </c>
      <c r="D1434" t="s">
        <v>8995</v>
      </c>
      <c r="E1434" t="s">
        <v>8996</v>
      </c>
      <c r="G1434" t="s">
        <v>2346</v>
      </c>
      <c r="H1434" t="s">
        <v>450</v>
      </c>
      <c r="J1434" t="s">
        <v>4032</v>
      </c>
      <c r="K1434" t="s">
        <v>606</v>
      </c>
      <c r="M1434" t="s">
        <v>1382</v>
      </c>
      <c r="N1434" t="s">
        <v>643</v>
      </c>
      <c r="O1434" t="s">
        <v>2347</v>
      </c>
      <c r="P1434" t="s">
        <v>610</v>
      </c>
      <c r="Q1434" t="s">
        <v>513</v>
      </c>
      <c r="R1434" t="s">
        <v>2164</v>
      </c>
      <c r="S1434" t="s">
        <v>2348</v>
      </c>
      <c r="T1434" t="s">
        <v>2165</v>
      </c>
      <c r="U1434">
        <v>215801</v>
      </c>
      <c r="V1434" t="s">
        <v>2349</v>
      </c>
      <c r="W1434" t="s">
        <v>2350</v>
      </c>
      <c r="X1434" t="s">
        <v>8997</v>
      </c>
      <c r="Y1434" t="s">
        <v>8998</v>
      </c>
      <c r="Z1434" t="s">
        <v>2346</v>
      </c>
      <c r="AA1434" t="s">
        <v>8999</v>
      </c>
      <c r="AB1434" t="s">
        <v>9000</v>
      </c>
      <c r="AC1434">
        <v>99047</v>
      </c>
      <c r="AD1434" t="s">
        <v>2375</v>
      </c>
      <c r="AE1434">
        <v>-39.995002100000001</v>
      </c>
      <c r="AF1434">
        <v>176.55811471000001</v>
      </c>
      <c r="AG1434" s="175">
        <v>80</v>
      </c>
      <c r="AH1434" s="175">
        <v>80</v>
      </c>
      <c r="AI1434" s="175">
        <v>9</v>
      </c>
      <c r="AJ1434" s="175">
        <v>18</v>
      </c>
      <c r="AK1434" s="175">
        <v>23</v>
      </c>
      <c r="AL1434" s="175">
        <v>27</v>
      </c>
      <c r="AM1434" s="175">
        <v>20</v>
      </c>
      <c r="AN1434" s="175">
        <v>1</v>
      </c>
      <c r="AO1434" s="175">
        <v>98</v>
      </c>
      <c r="AP1434" s="175">
        <v>67</v>
      </c>
      <c r="AQ1434" s="175">
        <v>47</v>
      </c>
      <c r="AR1434" s="175">
        <v>6</v>
      </c>
      <c r="AS1434" s="175">
        <v>2</v>
      </c>
      <c r="AT1434" s="175">
        <v>0</v>
      </c>
    </row>
    <row r="1435" spans="1:46">
      <c r="A1435">
        <v>30281</v>
      </c>
      <c r="B1435" t="s">
        <v>9001</v>
      </c>
      <c r="C1435" t="s">
        <v>9002</v>
      </c>
      <c r="D1435" t="s">
        <v>9003</v>
      </c>
      <c r="E1435" t="s">
        <v>9004</v>
      </c>
      <c r="G1435" t="s">
        <v>1669</v>
      </c>
      <c r="H1435" t="s">
        <v>449</v>
      </c>
      <c r="J1435" t="s">
        <v>4032</v>
      </c>
      <c r="K1435" t="s">
        <v>606</v>
      </c>
      <c r="M1435" t="s">
        <v>1382</v>
      </c>
      <c r="N1435" t="s">
        <v>657</v>
      </c>
      <c r="O1435" t="s">
        <v>1534</v>
      </c>
      <c r="P1435" t="s">
        <v>610</v>
      </c>
      <c r="Q1435" t="s">
        <v>510</v>
      </c>
      <c r="R1435" t="s">
        <v>1384</v>
      </c>
      <c r="S1435" t="s">
        <v>1384</v>
      </c>
      <c r="T1435" t="s">
        <v>1320</v>
      </c>
      <c r="U1435">
        <v>174001</v>
      </c>
      <c r="V1435" t="s">
        <v>3893</v>
      </c>
      <c r="W1435" t="s">
        <v>1671</v>
      </c>
      <c r="X1435" t="s">
        <v>9005</v>
      </c>
      <c r="Y1435" t="s">
        <v>4051</v>
      </c>
      <c r="AA1435" t="s">
        <v>4052</v>
      </c>
      <c r="AB1435" t="s">
        <v>9006</v>
      </c>
      <c r="AC1435">
        <v>99131</v>
      </c>
      <c r="AD1435" t="s">
        <v>1672</v>
      </c>
      <c r="AE1435">
        <v>-37.66397551</v>
      </c>
      <c r="AF1435">
        <v>175.51146562</v>
      </c>
      <c r="AG1435" s="175">
        <v>50</v>
      </c>
      <c r="AH1435" s="175">
        <v>15</v>
      </c>
      <c r="AI1435" s="175">
        <v>5</v>
      </c>
      <c r="AJ1435" s="175">
        <v>12</v>
      </c>
      <c r="AK1435" s="175">
        <v>17</v>
      </c>
      <c r="AL1435" s="175">
        <v>18</v>
      </c>
      <c r="AM1435" s="175">
        <v>17</v>
      </c>
      <c r="AN1435" s="175">
        <v>1</v>
      </c>
      <c r="AO1435" s="175">
        <v>70</v>
      </c>
      <c r="AP1435" s="175">
        <v>61</v>
      </c>
      <c r="AQ1435" s="175">
        <v>15</v>
      </c>
      <c r="AR1435" s="175">
        <v>1</v>
      </c>
      <c r="AS1435" s="175">
        <v>3</v>
      </c>
      <c r="AT1435" s="175">
        <v>4</v>
      </c>
    </row>
    <row r="1436" spans="1:46">
      <c r="A1436">
        <v>30282</v>
      </c>
      <c r="B1436" t="s">
        <v>9007</v>
      </c>
      <c r="C1436" t="s">
        <v>9008</v>
      </c>
      <c r="D1436" t="s">
        <v>8570</v>
      </c>
      <c r="E1436" t="s">
        <v>9009</v>
      </c>
      <c r="F1436" t="s">
        <v>1397</v>
      </c>
      <c r="G1436" t="s">
        <v>1381</v>
      </c>
      <c r="H1436" t="s">
        <v>449</v>
      </c>
      <c r="J1436" t="s">
        <v>4032</v>
      </c>
      <c r="K1436" t="s">
        <v>606</v>
      </c>
      <c r="M1436" t="s">
        <v>1382</v>
      </c>
      <c r="N1436" t="s">
        <v>657</v>
      </c>
      <c r="O1436" t="s">
        <v>1383</v>
      </c>
      <c r="P1436" t="s">
        <v>739</v>
      </c>
      <c r="Q1436" t="s">
        <v>510</v>
      </c>
      <c r="R1436" t="s">
        <v>1384</v>
      </c>
      <c r="S1436" t="s">
        <v>1396</v>
      </c>
      <c r="T1436" t="s">
        <v>1320</v>
      </c>
      <c r="U1436">
        <v>176600</v>
      </c>
      <c r="V1436" t="s">
        <v>1410</v>
      </c>
      <c r="W1436" t="s">
        <v>1398</v>
      </c>
      <c r="X1436" t="s">
        <v>8572</v>
      </c>
      <c r="Y1436" t="s">
        <v>8573</v>
      </c>
      <c r="Z1436" t="s">
        <v>8574</v>
      </c>
      <c r="AA1436" t="s">
        <v>8575</v>
      </c>
      <c r="AB1436" t="s">
        <v>8576</v>
      </c>
      <c r="AC1436">
        <v>99132</v>
      </c>
      <c r="AD1436" t="s">
        <v>8577</v>
      </c>
      <c r="AE1436">
        <v>-37.750486770000002</v>
      </c>
      <c r="AF1436">
        <v>175.26859586</v>
      </c>
      <c r="AG1436" s="175">
        <v>25</v>
      </c>
      <c r="AH1436" s="175">
        <v>25</v>
      </c>
      <c r="AI1436" s="175">
        <v>3</v>
      </c>
      <c r="AJ1436" s="175">
        <v>17</v>
      </c>
      <c r="AK1436" s="175">
        <v>7</v>
      </c>
      <c r="AL1436" s="175">
        <v>0</v>
      </c>
      <c r="AM1436" s="175">
        <v>0</v>
      </c>
      <c r="AN1436" s="175">
        <v>0</v>
      </c>
      <c r="AO1436" s="175">
        <v>27</v>
      </c>
      <c r="AP1436" s="175">
        <v>21</v>
      </c>
      <c r="AQ1436" s="175">
        <v>4</v>
      </c>
      <c r="AR1436" s="175">
        <v>1</v>
      </c>
      <c r="AS1436" s="175">
        <v>6</v>
      </c>
      <c r="AT1436" s="175">
        <v>0</v>
      </c>
    </row>
    <row r="1437" spans="1:46">
      <c r="A1437">
        <v>30285</v>
      </c>
      <c r="B1437" t="s">
        <v>9010</v>
      </c>
      <c r="C1437" t="s">
        <v>9011</v>
      </c>
      <c r="D1437" t="s">
        <v>9012</v>
      </c>
      <c r="E1437" t="s">
        <v>9013</v>
      </c>
      <c r="F1437" t="s">
        <v>1450</v>
      </c>
      <c r="G1437" t="s">
        <v>1381</v>
      </c>
      <c r="H1437" t="s">
        <v>449</v>
      </c>
      <c r="I1437" t="s">
        <v>4134</v>
      </c>
      <c r="J1437" t="s">
        <v>605</v>
      </c>
      <c r="K1437" t="s">
        <v>606</v>
      </c>
      <c r="M1437" t="s">
        <v>1382</v>
      </c>
      <c r="N1437" t="s">
        <v>657</v>
      </c>
      <c r="O1437" t="s">
        <v>1435</v>
      </c>
      <c r="P1437" t="s">
        <v>658</v>
      </c>
      <c r="Q1437" t="s">
        <v>510</v>
      </c>
      <c r="R1437" t="s">
        <v>1384</v>
      </c>
      <c r="S1437" t="s">
        <v>1384</v>
      </c>
      <c r="T1437" t="s">
        <v>1320</v>
      </c>
      <c r="U1437">
        <v>173202</v>
      </c>
      <c r="V1437" t="s">
        <v>9014</v>
      </c>
      <c r="W1437" t="s">
        <v>8422</v>
      </c>
      <c r="X1437" t="s">
        <v>9015</v>
      </c>
      <c r="Y1437" t="s">
        <v>9016</v>
      </c>
      <c r="Z1437" t="s">
        <v>1506</v>
      </c>
      <c r="AA1437" t="s">
        <v>9017</v>
      </c>
      <c r="AB1437" t="s">
        <v>9011</v>
      </c>
      <c r="AE1437">
        <v>-37.82736191</v>
      </c>
      <c r="AF1437">
        <v>175.34023429999999</v>
      </c>
      <c r="AG1437" s="175">
        <v>60</v>
      </c>
      <c r="AH1437" s="175">
        <v>0</v>
      </c>
      <c r="AI1437" s="175">
        <v>0</v>
      </c>
      <c r="AJ1437" s="175">
        <v>0</v>
      </c>
      <c r="AK1437" s="175">
        <v>13</v>
      </c>
      <c r="AL1437" s="175">
        <v>20</v>
      </c>
      <c r="AM1437" s="175">
        <v>17</v>
      </c>
      <c r="AN1437" s="175">
        <v>10</v>
      </c>
      <c r="AO1437" s="175">
        <v>60</v>
      </c>
      <c r="AP1437" s="175">
        <v>32</v>
      </c>
      <c r="AQ1437" s="175">
        <v>3</v>
      </c>
      <c r="AR1437" s="175">
        <v>1</v>
      </c>
      <c r="AS1437" s="175">
        <v>29</v>
      </c>
      <c r="AT1437" s="175">
        <v>4</v>
      </c>
    </row>
    <row r="1438" spans="1:46">
      <c r="A1438">
        <v>30288</v>
      </c>
      <c r="B1438" t="s">
        <v>9018</v>
      </c>
      <c r="C1438" t="s">
        <v>9019</v>
      </c>
      <c r="D1438" t="s">
        <v>9020</v>
      </c>
      <c r="E1438" t="s">
        <v>9021</v>
      </c>
      <c r="F1438" t="s">
        <v>1396</v>
      </c>
      <c r="G1438" t="s">
        <v>1381</v>
      </c>
      <c r="H1438" t="s">
        <v>449</v>
      </c>
      <c r="J1438" t="s">
        <v>605</v>
      </c>
      <c r="K1438" t="s">
        <v>606</v>
      </c>
      <c r="M1438" t="s">
        <v>1382</v>
      </c>
      <c r="N1438" t="s">
        <v>657</v>
      </c>
      <c r="O1438" t="s">
        <v>1383</v>
      </c>
      <c r="P1438" t="s">
        <v>739</v>
      </c>
      <c r="Q1438" t="s">
        <v>510</v>
      </c>
      <c r="R1438" t="s">
        <v>1384</v>
      </c>
      <c r="S1438" t="s">
        <v>1396</v>
      </c>
      <c r="T1438" t="s">
        <v>1320</v>
      </c>
      <c r="U1438">
        <v>179600</v>
      </c>
      <c r="V1438" t="s">
        <v>8874</v>
      </c>
      <c r="W1438" t="s">
        <v>1398</v>
      </c>
      <c r="X1438" t="s">
        <v>8441</v>
      </c>
      <c r="Y1438" t="s">
        <v>4014</v>
      </c>
      <c r="Z1438" t="s">
        <v>4015</v>
      </c>
      <c r="AA1438" t="s">
        <v>4016</v>
      </c>
      <c r="AB1438" t="s">
        <v>8442</v>
      </c>
      <c r="AE1438">
        <v>-37.783897590000002</v>
      </c>
      <c r="AF1438">
        <v>175.30280259</v>
      </c>
      <c r="AG1438" s="175">
        <v>70</v>
      </c>
      <c r="AH1438" s="175">
        <v>20</v>
      </c>
      <c r="AI1438" s="175">
        <v>5</v>
      </c>
      <c r="AJ1438" s="175">
        <v>9</v>
      </c>
      <c r="AK1438" s="175">
        <v>13</v>
      </c>
      <c r="AL1438" s="175">
        <v>17</v>
      </c>
      <c r="AM1438" s="175">
        <v>22</v>
      </c>
      <c r="AN1438" s="175">
        <v>1</v>
      </c>
      <c r="AO1438" s="175">
        <v>67</v>
      </c>
      <c r="AP1438" s="175">
        <v>11</v>
      </c>
      <c r="AQ1438" s="175">
        <v>44</v>
      </c>
      <c r="AR1438" s="175">
        <v>12</v>
      </c>
      <c r="AS1438" s="175">
        <v>12</v>
      </c>
      <c r="AT1438" s="175">
        <v>11</v>
      </c>
    </row>
    <row r="1439" spans="1:46">
      <c r="A1439">
        <v>30291</v>
      </c>
      <c r="B1439" t="s">
        <v>9022</v>
      </c>
      <c r="C1439" t="s">
        <v>9023</v>
      </c>
      <c r="D1439" t="s">
        <v>9024</v>
      </c>
      <c r="E1439" t="s">
        <v>9025</v>
      </c>
      <c r="G1439" t="s">
        <v>9026</v>
      </c>
      <c r="H1439" t="s">
        <v>449</v>
      </c>
      <c r="J1439" t="s">
        <v>4032</v>
      </c>
      <c r="K1439" t="s">
        <v>606</v>
      </c>
      <c r="M1439" t="s">
        <v>1382</v>
      </c>
      <c r="N1439" t="s">
        <v>657</v>
      </c>
      <c r="O1439" t="s">
        <v>1403</v>
      </c>
      <c r="P1439" t="s">
        <v>610</v>
      </c>
      <c r="Q1439" t="s">
        <v>510</v>
      </c>
      <c r="R1439" t="s">
        <v>1384</v>
      </c>
      <c r="S1439" t="s">
        <v>1501</v>
      </c>
      <c r="T1439" t="s">
        <v>1320</v>
      </c>
      <c r="U1439">
        <v>181900</v>
      </c>
      <c r="V1439" t="s">
        <v>9026</v>
      </c>
      <c r="W1439" t="s">
        <v>9027</v>
      </c>
      <c r="X1439" t="s">
        <v>9028</v>
      </c>
      <c r="Y1439" t="s">
        <v>9029</v>
      </c>
      <c r="AA1439" t="s">
        <v>9030</v>
      </c>
      <c r="AB1439" t="s">
        <v>9023</v>
      </c>
      <c r="AE1439">
        <v>-37.991771329999999</v>
      </c>
      <c r="AF1439">
        <v>175.20655525999999</v>
      </c>
      <c r="AG1439" s="175">
        <v>143</v>
      </c>
      <c r="AH1439" s="175">
        <v>40</v>
      </c>
      <c r="AI1439" s="175">
        <v>7</v>
      </c>
      <c r="AJ1439" s="175">
        <v>15</v>
      </c>
      <c r="AK1439" s="175">
        <v>30</v>
      </c>
      <c r="AL1439" s="175">
        <v>31</v>
      </c>
      <c r="AM1439" s="175">
        <v>39</v>
      </c>
      <c r="AN1439" s="175">
        <v>2</v>
      </c>
      <c r="AO1439" s="175">
        <v>124</v>
      </c>
      <c r="AP1439" s="175">
        <v>113</v>
      </c>
      <c r="AQ1439" s="175">
        <v>18</v>
      </c>
      <c r="AR1439" s="175">
        <v>4</v>
      </c>
      <c r="AS1439" s="175">
        <v>2</v>
      </c>
      <c r="AT1439" s="175">
        <v>1</v>
      </c>
    </row>
    <row r="1440" spans="1:46">
      <c r="A1440">
        <v>30293</v>
      </c>
      <c r="B1440" t="s">
        <v>9031</v>
      </c>
      <c r="C1440" t="s">
        <v>9032</v>
      </c>
      <c r="E1440" t="s">
        <v>9033</v>
      </c>
      <c r="G1440" t="s">
        <v>9034</v>
      </c>
      <c r="H1440" t="s">
        <v>449</v>
      </c>
      <c r="J1440" t="s">
        <v>4032</v>
      </c>
      <c r="K1440" t="s">
        <v>606</v>
      </c>
      <c r="M1440" t="s">
        <v>1382</v>
      </c>
      <c r="N1440" t="s">
        <v>657</v>
      </c>
      <c r="O1440" t="s">
        <v>1435</v>
      </c>
      <c r="P1440" t="s">
        <v>658</v>
      </c>
      <c r="Q1440" t="s">
        <v>510</v>
      </c>
      <c r="R1440" t="s">
        <v>1384</v>
      </c>
      <c r="S1440" t="s">
        <v>1384</v>
      </c>
      <c r="T1440" t="s">
        <v>1320</v>
      </c>
      <c r="U1440">
        <v>173202</v>
      </c>
      <c r="V1440" t="s">
        <v>9014</v>
      </c>
      <c r="W1440" t="s">
        <v>8422</v>
      </c>
      <c r="X1440" t="s">
        <v>8479</v>
      </c>
      <c r="Y1440" t="s">
        <v>8480</v>
      </c>
      <c r="Z1440" t="s">
        <v>1380</v>
      </c>
      <c r="AA1440" t="s">
        <v>8481</v>
      </c>
      <c r="AB1440" t="s">
        <v>8482</v>
      </c>
      <c r="AE1440">
        <v>-37.82754611</v>
      </c>
      <c r="AF1440">
        <v>175.35149848</v>
      </c>
      <c r="AG1440" s="175">
        <v>110</v>
      </c>
      <c r="AH1440" s="175">
        <v>25</v>
      </c>
      <c r="AI1440" s="175">
        <v>7</v>
      </c>
      <c r="AJ1440" s="175">
        <v>11</v>
      </c>
      <c r="AK1440" s="175">
        <v>30</v>
      </c>
      <c r="AL1440" s="175">
        <v>32</v>
      </c>
      <c r="AM1440" s="175">
        <v>43</v>
      </c>
      <c r="AN1440" s="175">
        <v>6</v>
      </c>
      <c r="AO1440" s="175">
        <v>129</v>
      </c>
      <c r="AP1440" s="175">
        <v>116</v>
      </c>
      <c r="AQ1440" s="175">
        <v>16</v>
      </c>
      <c r="AR1440" s="175">
        <v>3</v>
      </c>
      <c r="AS1440" s="175">
        <v>13</v>
      </c>
      <c r="AT1440" s="175">
        <v>5</v>
      </c>
    </row>
    <row r="1441" spans="1:46">
      <c r="A1441">
        <v>30294</v>
      </c>
      <c r="B1441" t="s">
        <v>9035</v>
      </c>
      <c r="C1441" t="s">
        <v>9036</v>
      </c>
      <c r="D1441" t="s">
        <v>9037</v>
      </c>
      <c r="E1441" t="s">
        <v>9038</v>
      </c>
      <c r="F1441" t="s">
        <v>8574</v>
      </c>
      <c r="G1441" t="s">
        <v>1381</v>
      </c>
      <c r="H1441" t="s">
        <v>449</v>
      </c>
      <c r="J1441" t="s">
        <v>605</v>
      </c>
      <c r="K1441" t="s">
        <v>606</v>
      </c>
      <c r="M1441" t="s">
        <v>1382</v>
      </c>
      <c r="N1441" t="s">
        <v>4586</v>
      </c>
      <c r="O1441" t="s">
        <v>1383</v>
      </c>
      <c r="P1441" t="s">
        <v>739</v>
      </c>
      <c r="Q1441" t="s">
        <v>510</v>
      </c>
      <c r="R1441" t="s">
        <v>1384</v>
      </c>
      <c r="S1441" t="s">
        <v>1396</v>
      </c>
      <c r="T1441" t="s">
        <v>1320</v>
      </c>
      <c r="U1441">
        <v>176101</v>
      </c>
      <c r="V1441" t="s">
        <v>9039</v>
      </c>
      <c r="W1441" t="s">
        <v>1398</v>
      </c>
      <c r="X1441" t="s">
        <v>9040</v>
      </c>
      <c r="Y1441" t="s">
        <v>9038</v>
      </c>
      <c r="Z1441" t="s">
        <v>8574</v>
      </c>
      <c r="AA1441" t="s">
        <v>8575</v>
      </c>
      <c r="AB1441" t="s">
        <v>9036</v>
      </c>
      <c r="AE1441">
        <v>-37.725941339999999</v>
      </c>
      <c r="AF1441">
        <v>175.27746908</v>
      </c>
      <c r="AG1441" s="175">
        <v>60</v>
      </c>
      <c r="AH1441" s="175">
        <v>27</v>
      </c>
      <c r="AI1441" s="175">
        <v>1</v>
      </c>
      <c r="AJ1441" s="175">
        <v>8</v>
      </c>
      <c r="AK1441" s="175">
        <v>13</v>
      </c>
      <c r="AL1441" s="175">
        <v>10</v>
      </c>
      <c r="AM1441" s="175">
        <v>12</v>
      </c>
      <c r="AN1441" s="175">
        <v>1</v>
      </c>
      <c r="AO1441" s="175">
        <v>45</v>
      </c>
      <c r="AP1441" s="175">
        <v>33</v>
      </c>
      <c r="AQ1441" s="175">
        <v>9</v>
      </c>
      <c r="AR1441" s="175">
        <v>1</v>
      </c>
      <c r="AS1441" s="175">
        <v>9</v>
      </c>
      <c r="AT1441" s="175">
        <v>4</v>
      </c>
    </row>
    <row r="1442" spans="1:46">
      <c r="A1442">
        <v>30295</v>
      </c>
      <c r="B1442" t="s">
        <v>9041</v>
      </c>
      <c r="C1442" t="s">
        <v>9042</v>
      </c>
      <c r="D1442" t="s">
        <v>9043</v>
      </c>
      <c r="E1442" t="s">
        <v>9044</v>
      </c>
      <c r="G1442" t="s">
        <v>1522</v>
      </c>
      <c r="H1442" t="s">
        <v>449</v>
      </c>
      <c r="J1442" t="s">
        <v>605</v>
      </c>
      <c r="K1442" t="s">
        <v>606</v>
      </c>
      <c r="M1442" t="s">
        <v>1382</v>
      </c>
      <c r="N1442" t="s">
        <v>657</v>
      </c>
      <c r="O1442" t="s">
        <v>1545</v>
      </c>
      <c r="P1442" t="s">
        <v>610</v>
      </c>
      <c r="Q1442" t="s">
        <v>510</v>
      </c>
      <c r="R1442" t="s">
        <v>1384</v>
      </c>
      <c r="S1442" t="s">
        <v>1522</v>
      </c>
      <c r="T1442" t="s">
        <v>1320</v>
      </c>
      <c r="U1442">
        <v>166700</v>
      </c>
      <c r="V1442" t="s">
        <v>1522</v>
      </c>
      <c r="W1442" t="s">
        <v>9045</v>
      </c>
      <c r="X1442" t="s">
        <v>9046</v>
      </c>
      <c r="Y1442" t="s">
        <v>9044</v>
      </c>
      <c r="Z1442" t="s">
        <v>1522</v>
      </c>
      <c r="AA1442" t="s">
        <v>9047</v>
      </c>
      <c r="AB1442" t="s">
        <v>9048</v>
      </c>
      <c r="AC1442">
        <v>99155</v>
      </c>
      <c r="AD1442" t="s">
        <v>3900</v>
      </c>
      <c r="AE1442">
        <v>-36.75948167</v>
      </c>
      <c r="AF1442">
        <v>175.4969151</v>
      </c>
      <c r="AG1442" s="175">
        <v>35</v>
      </c>
      <c r="AH1442" s="175">
        <v>8</v>
      </c>
      <c r="AI1442" s="175">
        <v>2</v>
      </c>
      <c r="AJ1442" s="175">
        <v>6</v>
      </c>
      <c r="AK1442" s="175">
        <v>7</v>
      </c>
      <c r="AL1442" s="175">
        <v>14</v>
      </c>
      <c r="AM1442" s="175">
        <v>12</v>
      </c>
      <c r="AN1442" s="175">
        <v>0</v>
      </c>
      <c r="AO1442" s="175">
        <v>41</v>
      </c>
      <c r="AP1442" s="175">
        <v>29</v>
      </c>
      <c r="AQ1442" s="175">
        <v>23</v>
      </c>
      <c r="AR1442" s="175">
        <v>3</v>
      </c>
      <c r="AS1442" s="175">
        <v>0</v>
      </c>
      <c r="AT1442" s="175">
        <v>4</v>
      </c>
    </row>
    <row r="1443" spans="1:46">
      <c r="A1443">
        <v>30296</v>
      </c>
      <c r="B1443" t="s">
        <v>9049</v>
      </c>
      <c r="C1443" t="s">
        <v>9050</v>
      </c>
      <c r="E1443" t="s">
        <v>9051</v>
      </c>
      <c r="G1443" t="s">
        <v>1402</v>
      </c>
      <c r="H1443" t="s">
        <v>449</v>
      </c>
      <c r="J1443" t="s">
        <v>605</v>
      </c>
      <c r="K1443" t="s">
        <v>606</v>
      </c>
      <c r="M1443" t="s">
        <v>1382</v>
      </c>
      <c r="N1443" t="s">
        <v>657</v>
      </c>
      <c r="O1443" t="s">
        <v>1403</v>
      </c>
      <c r="P1443" t="s">
        <v>1347</v>
      </c>
      <c r="Q1443" t="s">
        <v>510</v>
      </c>
      <c r="R1443" t="s">
        <v>1384</v>
      </c>
      <c r="S1443" t="s">
        <v>1404</v>
      </c>
      <c r="T1443" t="s">
        <v>1320</v>
      </c>
      <c r="U1443">
        <v>183200</v>
      </c>
      <c r="V1443" t="s">
        <v>8564</v>
      </c>
      <c r="W1443" t="s">
        <v>1406</v>
      </c>
      <c r="X1443" t="s">
        <v>9052</v>
      </c>
      <c r="Y1443" t="s">
        <v>9051</v>
      </c>
      <c r="AA1443" t="s">
        <v>8991</v>
      </c>
      <c r="AB1443" t="s">
        <v>9053</v>
      </c>
      <c r="AE1443">
        <v>-37.896143770000002</v>
      </c>
      <c r="AF1443">
        <v>175.47278857000001</v>
      </c>
      <c r="AG1443" s="175">
        <v>30</v>
      </c>
      <c r="AH1443" s="175">
        <v>0</v>
      </c>
      <c r="AI1443" s="175">
        <v>0</v>
      </c>
      <c r="AJ1443" s="175">
        <v>0</v>
      </c>
      <c r="AK1443" s="175">
        <v>0</v>
      </c>
      <c r="AL1443" s="175">
        <v>25</v>
      </c>
      <c r="AM1443" s="175">
        <v>10</v>
      </c>
      <c r="AN1443" s="175">
        <v>1</v>
      </c>
      <c r="AO1443" s="175">
        <v>36</v>
      </c>
      <c r="AP1443" s="175">
        <v>35</v>
      </c>
      <c r="AQ1443" s="175">
        <v>4</v>
      </c>
      <c r="AR1443" s="175">
        <v>3</v>
      </c>
      <c r="AS1443" s="175">
        <v>1</v>
      </c>
      <c r="AT1443" s="175">
        <v>1</v>
      </c>
    </row>
    <row r="1444" spans="1:46">
      <c r="A1444">
        <v>30297</v>
      </c>
      <c r="B1444" t="s">
        <v>9054</v>
      </c>
      <c r="C1444" t="s">
        <v>9055</v>
      </c>
      <c r="D1444" t="s">
        <v>9056</v>
      </c>
      <c r="E1444" t="s">
        <v>9057</v>
      </c>
      <c r="F1444" t="s">
        <v>8574</v>
      </c>
      <c r="G1444" t="s">
        <v>1381</v>
      </c>
      <c r="H1444" t="s">
        <v>449</v>
      </c>
      <c r="J1444" t="s">
        <v>4032</v>
      </c>
      <c r="K1444" t="s">
        <v>606</v>
      </c>
      <c r="M1444" t="s">
        <v>1382</v>
      </c>
      <c r="N1444" t="s">
        <v>9058</v>
      </c>
      <c r="O1444" t="s">
        <v>1383</v>
      </c>
      <c r="P1444" t="s">
        <v>739</v>
      </c>
      <c r="Q1444" t="s">
        <v>510</v>
      </c>
      <c r="R1444" t="s">
        <v>1384</v>
      </c>
      <c r="S1444" t="s">
        <v>1396</v>
      </c>
      <c r="T1444" t="s">
        <v>1320</v>
      </c>
      <c r="U1444">
        <v>176101</v>
      </c>
      <c r="V1444" t="s">
        <v>9039</v>
      </c>
      <c r="W1444" t="s">
        <v>1398</v>
      </c>
      <c r="X1444" t="s">
        <v>9059</v>
      </c>
      <c r="Y1444" t="s">
        <v>9060</v>
      </c>
      <c r="Z1444" t="s">
        <v>1414</v>
      </c>
      <c r="AA1444" t="s">
        <v>9061</v>
      </c>
      <c r="AB1444" t="s">
        <v>9062</v>
      </c>
      <c r="AE1444">
        <v>-37.729039999999998</v>
      </c>
      <c r="AF1444">
        <v>175.27511601</v>
      </c>
      <c r="AG1444" s="175">
        <v>50</v>
      </c>
      <c r="AH1444" s="175">
        <v>20</v>
      </c>
      <c r="AI1444" s="175">
        <v>2</v>
      </c>
      <c r="AJ1444" s="175">
        <v>7</v>
      </c>
      <c r="AK1444" s="175">
        <v>15</v>
      </c>
      <c r="AL1444" s="175">
        <v>15</v>
      </c>
      <c r="AM1444" s="175">
        <v>7</v>
      </c>
      <c r="AN1444" s="175">
        <v>0</v>
      </c>
      <c r="AO1444" s="175">
        <v>46</v>
      </c>
      <c r="AP1444" s="175">
        <v>18</v>
      </c>
      <c r="AQ1444" s="175">
        <v>11</v>
      </c>
      <c r="AR1444" s="175">
        <v>4</v>
      </c>
      <c r="AS1444" s="175">
        <v>18</v>
      </c>
      <c r="AT1444" s="175">
        <v>3</v>
      </c>
    </row>
    <row r="1445" spans="1:46">
      <c r="A1445">
        <v>30300</v>
      </c>
      <c r="B1445" t="s">
        <v>9063</v>
      </c>
      <c r="C1445" t="s">
        <v>9064</v>
      </c>
      <c r="E1445" t="s">
        <v>9065</v>
      </c>
      <c r="F1445" t="s">
        <v>9066</v>
      </c>
      <c r="G1445" t="s">
        <v>2162</v>
      </c>
      <c r="H1445" t="s">
        <v>450</v>
      </c>
      <c r="J1445" t="s">
        <v>4032</v>
      </c>
      <c r="K1445" t="s">
        <v>606</v>
      </c>
      <c r="M1445" t="s">
        <v>1382</v>
      </c>
      <c r="N1445" t="s">
        <v>657</v>
      </c>
      <c r="O1445" t="s">
        <v>2163</v>
      </c>
      <c r="P1445" t="s">
        <v>670</v>
      </c>
      <c r="Q1445" t="s">
        <v>512</v>
      </c>
      <c r="R1445" t="s">
        <v>2164</v>
      </c>
      <c r="S1445" t="s">
        <v>1556</v>
      </c>
      <c r="T1445" t="s">
        <v>2165</v>
      </c>
      <c r="U1445">
        <v>206700</v>
      </c>
      <c r="V1445" t="s">
        <v>9067</v>
      </c>
      <c r="W1445" t="s">
        <v>2167</v>
      </c>
      <c r="X1445" t="s">
        <v>9068</v>
      </c>
      <c r="Y1445" t="s">
        <v>9069</v>
      </c>
      <c r="Z1445" t="s">
        <v>9070</v>
      </c>
      <c r="AA1445" t="s">
        <v>2170</v>
      </c>
      <c r="AB1445" t="s">
        <v>9071</v>
      </c>
      <c r="AC1445">
        <v>99083</v>
      </c>
      <c r="AD1445" t="s">
        <v>2179</v>
      </c>
      <c r="AE1445">
        <v>-38.655316589999998</v>
      </c>
      <c r="AF1445">
        <v>178.02458367</v>
      </c>
      <c r="AG1445" s="175">
        <v>80</v>
      </c>
      <c r="AH1445" s="175">
        <v>80</v>
      </c>
      <c r="AI1445" s="175">
        <v>1</v>
      </c>
      <c r="AJ1445" s="175">
        <v>9</v>
      </c>
      <c r="AK1445" s="175">
        <v>9</v>
      </c>
      <c r="AL1445" s="175">
        <v>5</v>
      </c>
      <c r="AM1445" s="175">
        <v>2</v>
      </c>
      <c r="AN1445" s="175">
        <v>0</v>
      </c>
      <c r="AO1445" s="175">
        <v>26</v>
      </c>
      <c r="AP1445" s="175">
        <v>14</v>
      </c>
      <c r="AQ1445" s="175">
        <v>11</v>
      </c>
      <c r="AR1445" s="175">
        <v>1</v>
      </c>
      <c r="AS1445" s="175">
        <v>0</v>
      </c>
      <c r="AT1445" s="175">
        <v>5</v>
      </c>
    </row>
    <row r="1446" spans="1:46">
      <c r="A1446">
        <v>30301</v>
      </c>
      <c r="B1446" t="s">
        <v>9072</v>
      </c>
      <c r="C1446" t="s">
        <v>9073</v>
      </c>
      <c r="D1446" t="s">
        <v>9074</v>
      </c>
      <c r="E1446" t="s">
        <v>9075</v>
      </c>
      <c r="F1446" t="s">
        <v>1477</v>
      </c>
      <c r="G1446" t="s">
        <v>1381</v>
      </c>
      <c r="H1446" t="s">
        <v>449</v>
      </c>
      <c r="J1446" t="s">
        <v>4032</v>
      </c>
      <c r="K1446" t="s">
        <v>606</v>
      </c>
      <c r="M1446" t="s">
        <v>1382</v>
      </c>
      <c r="N1446" t="s">
        <v>657</v>
      </c>
      <c r="O1446" t="s">
        <v>1383</v>
      </c>
      <c r="P1446" t="s">
        <v>739</v>
      </c>
      <c r="Q1446" t="s">
        <v>510</v>
      </c>
      <c r="R1446" t="s">
        <v>1384</v>
      </c>
      <c r="S1446" t="s">
        <v>1385</v>
      </c>
      <c r="T1446" t="s">
        <v>1320</v>
      </c>
      <c r="U1446">
        <v>178901</v>
      </c>
      <c r="V1446" t="s">
        <v>8416</v>
      </c>
      <c r="W1446" t="s">
        <v>1387</v>
      </c>
      <c r="X1446" t="s">
        <v>9076</v>
      </c>
      <c r="Y1446" t="s">
        <v>9077</v>
      </c>
      <c r="Z1446" t="s">
        <v>8663</v>
      </c>
      <c r="AA1446" t="s">
        <v>9078</v>
      </c>
      <c r="AB1446" t="s">
        <v>9073</v>
      </c>
      <c r="AE1446">
        <v>-37.812024049999998</v>
      </c>
      <c r="AF1446">
        <v>175.26978700000001</v>
      </c>
      <c r="AG1446" s="175">
        <v>75</v>
      </c>
      <c r="AH1446" s="175">
        <v>25</v>
      </c>
      <c r="AI1446" s="175">
        <v>6</v>
      </c>
      <c r="AJ1446" s="175">
        <v>17</v>
      </c>
      <c r="AK1446" s="175">
        <v>16</v>
      </c>
      <c r="AL1446" s="175">
        <v>20</v>
      </c>
      <c r="AM1446" s="175">
        <v>16</v>
      </c>
      <c r="AN1446" s="175">
        <v>1</v>
      </c>
      <c r="AO1446" s="175">
        <v>76</v>
      </c>
      <c r="AP1446" s="175">
        <v>36</v>
      </c>
      <c r="AQ1446" s="175">
        <v>15</v>
      </c>
      <c r="AR1446" s="175">
        <v>7</v>
      </c>
      <c r="AS1446" s="175">
        <v>32</v>
      </c>
      <c r="AT1446" s="175">
        <v>2</v>
      </c>
    </row>
    <row r="1447" spans="1:46">
      <c r="A1447">
        <v>30303</v>
      </c>
      <c r="B1447" t="s">
        <v>9079</v>
      </c>
      <c r="C1447" t="s">
        <v>9080</v>
      </c>
      <c r="D1447" t="s">
        <v>9081</v>
      </c>
      <c r="E1447" t="s">
        <v>9082</v>
      </c>
      <c r="G1447" t="s">
        <v>3897</v>
      </c>
      <c r="H1447" t="s">
        <v>449</v>
      </c>
      <c r="J1447" t="s">
        <v>4032</v>
      </c>
      <c r="K1447" t="s">
        <v>606</v>
      </c>
      <c r="M1447" t="s">
        <v>1382</v>
      </c>
      <c r="N1447" t="s">
        <v>657</v>
      </c>
      <c r="O1447" t="s">
        <v>1545</v>
      </c>
      <c r="P1447" t="s">
        <v>610</v>
      </c>
      <c r="Q1447" t="s">
        <v>510</v>
      </c>
      <c r="R1447" t="s">
        <v>1384</v>
      </c>
      <c r="S1447" t="s">
        <v>1522</v>
      </c>
      <c r="T1447" t="s">
        <v>1320</v>
      </c>
      <c r="U1447">
        <v>167102</v>
      </c>
      <c r="V1447" t="s">
        <v>9083</v>
      </c>
      <c r="W1447" t="s">
        <v>3899</v>
      </c>
      <c r="X1447" t="s">
        <v>9084</v>
      </c>
      <c r="Y1447" t="s">
        <v>9082</v>
      </c>
      <c r="AA1447" t="s">
        <v>9085</v>
      </c>
      <c r="AB1447" t="s">
        <v>9080</v>
      </c>
      <c r="AC1447">
        <v>99155</v>
      </c>
      <c r="AD1447" t="s">
        <v>3900</v>
      </c>
      <c r="AE1447">
        <v>-36.834243360000002</v>
      </c>
      <c r="AF1447">
        <v>175.69376020000001</v>
      </c>
      <c r="AG1447" s="175">
        <v>39</v>
      </c>
      <c r="AH1447" s="175">
        <v>10</v>
      </c>
      <c r="AI1447" s="175">
        <v>0</v>
      </c>
      <c r="AJ1447" s="175">
        <v>2</v>
      </c>
      <c r="AK1447" s="175">
        <v>5</v>
      </c>
      <c r="AL1447" s="175">
        <v>8</v>
      </c>
      <c r="AM1447" s="175">
        <v>7</v>
      </c>
      <c r="AN1447" s="175">
        <v>0</v>
      </c>
      <c r="AO1447" s="175">
        <v>22</v>
      </c>
      <c r="AP1447" s="175">
        <v>20</v>
      </c>
      <c r="AQ1447" s="175">
        <v>12</v>
      </c>
      <c r="AR1447" s="175">
        <v>0</v>
      </c>
      <c r="AS1447" s="175">
        <v>0</v>
      </c>
      <c r="AT1447" s="175">
        <v>2</v>
      </c>
    </row>
    <row r="1448" spans="1:46">
      <c r="A1448">
        <v>30305</v>
      </c>
      <c r="B1448" t="s">
        <v>9086</v>
      </c>
      <c r="C1448" t="s">
        <v>9087</v>
      </c>
      <c r="D1448" t="s">
        <v>9088</v>
      </c>
      <c r="E1448" t="s">
        <v>9089</v>
      </c>
      <c r="G1448" t="s">
        <v>2505</v>
      </c>
      <c r="H1448" t="s">
        <v>450</v>
      </c>
      <c r="J1448" t="s">
        <v>4032</v>
      </c>
      <c r="K1448" t="s">
        <v>606</v>
      </c>
      <c r="M1448" t="s">
        <v>2366</v>
      </c>
      <c r="N1448" t="s">
        <v>657</v>
      </c>
      <c r="O1448" t="s">
        <v>2506</v>
      </c>
      <c r="P1448" t="s">
        <v>739</v>
      </c>
      <c r="Q1448" t="s">
        <v>516</v>
      </c>
      <c r="R1448" t="s">
        <v>2368</v>
      </c>
      <c r="S1448" t="s">
        <v>2507</v>
      </c>
      <c r="T1448" t="s">
        <v>2526</v>
      </c>
      <c r="U1448">
        <v>244300</v>
      </c>
      <c r="V1448" t="s">
        <v>9090</v>
      </c>
      <c r="W1448" t="s">
        <v>2521</v>
      </c>
      <c r="X1448" t="s">
        <v>9091</v>
      </c>
      <c r="Y1448" t="s">
        <v>9089</v>
      </c>
      <c r="Z1448" t="s">
        <v>2505</v>
      </c>
      <c r="AA1448" t="s">
        <v>9092</v>
      </c>
      <c r="AB1448" t="s">
        <v>9093</v>
      </c>
      <c r="AE1448">
        <v>-41.207195560000002</v>
      </c>
      <c r="AF1448">
        <v>174.91014913999999</v>
      </c>
      <c r="AG1448" s="175">
        <v>50</v>
      </c>
      <c r="AH1448" s="175">
        <v>50</v>
      </c>
      <c r="AI1448" s="175">
        <v>0</v>
      </c>
      <c r="AJ1448" s="175">
        <v>3</v>
      </c>
      <c r="AK1448" s="175">
        <v>4</v>
      </c>
      <c r="AL1448" s="175">
        <v>4</v>
      </c>
      <c r="AM1448" s="175">
        <v>2</v>
      </c>
      <c r="AN1448" s="175">
        <v>0</v>
      </c>
      <c r="AO1448" s="175">
        <v>13</v>
      </c>
      <c r="AP1448" s="175">
        <v>11</v>
      </c>
      <c r="AQ1448" s="175">
        <v>7</v>
      </c>
      <c r="AR1448" s="175">
        <v>3</v>
      </c>
      <c r="AS1448" s="175">
        <v>0</v>
      </c>
      <c r="AT1448" s="175">
        <v>0</v>
      </c>
    </row>
    <row r="1449" spans="1:46">
      <c r="A1449">
        <v>30307</v>
      </c>
      <c r="B1449" t="s">
        <v>9094</v>
      </c>
      <c r="C1449" t="s">
        <v>9095</v>
      </c>
      <c r="E1449" t="s">
        <v>9096</v>
      </c>
      <c r="F1449" t="s">
        <v>9097</v>
      </c>
      <c r="G1449" t="s">
        <v>1381</v>
      </c>
      <c r="H1449" t="s">
        <v>347</v>
      </c>
      <c r="J1449" t="s">
        <v>605</v>
      </c>
      <c r="K1449" t="s">
        <v>606</v>
      </c>
      <c r="L1449" t="s">
        <v>4273</v>
      </c>
      <c r="M1449" t="s">
        <v>1382</v>
      </c>
      <c r="N1449" t="s">
        <v>643</v>
      </c>
      <c r="O1449" t="s">
        <v>1383</v>
      </c>
      <c r="P1449" t="s">
        <v>739</v>
      </c>
      <c r="Q1449" t="s">
        <v>510</v>
      </c>
      <c r="R1449" t="s">
        <v>1384</v>
      </c>
      <c r="S1449" t="s">
        <v>1396</v>
      </c>
      <c r="T1449" t="s">
        <v>1320</v>
      </c>
      <c r="U1449">
        <v>179202</v>
      </c>
      <c r="V1449" t="s">
        <v>9098</v>
      </c>
      <c r="W1449" t="s">
        <v>1398</v>
      </c>
      <c r="X1449" t="s">
        <v>7695</v>
      </c>
      <c r="Y1449" t="s">
        <v>4276</v>
      </c>
      <c r="Z1449" t="s">
        <v>4277</v>
      </c>
      <c r="AA1449" t="s">
        <v>4278</v>
      </c>
      <c r="AB1449" t="s">
        <v>7696</v>
      </c>
      <c r="AE1449">
        <v>-37.788077100000002</v>
      </c>
      <c r="AF1449">
        <v>175.32345824000001</v>
      </c>
      <c r="AG1449" s="175">
        <v>25</v>
      </c>
      <c r="AH1449" s="175">
        <v>10</v>
      </c>
      <c r="AI1449" s="175">
        <v>0</v>
      </c>
      <c r="AJ1449" s="175">
        <v>4</v>
      </c>
      <c r="AK1449" s="175">
        <v>5</v>
      </c>
      <c r="AL1449" s="175">
        <v>6</v>
      </c>
      <c r="AM1449" s="175">
        <v>6</v>
      </c>
      <c r="AN1449" s="175">
        <v>0</v>
      </c>
      <c r="AO1449" s="175">
        <v>21</v>
      </c>
      <c r="AP1449" s="175">
        <v>0</v>
      </c>
      <c r="AQ1449" s="175">
        <v>20</v>
      </c>
      <c r="AR1449" s="175">
        <v>1</v>
      </c>
      <c r="AS1449" s="175">
        <v>0</v>
      </c>
      <c r="AT1449" s="175">
        <v>0</v>
      </c>
    </row>
    <row r="1450" spans="1:46">
      <c r="A1450">
        <v>30313</v>
      </c>
      <c r="B1450" t="s">
        <v>9099</v>
      </c>
      <c r="C1450" t="s">
        <v>9100</v>
      </c>
      <c r="E1450" t="s">
        <v>9101</v>
      </c>
      <c r="F1450" t="s">
        <v>1397</v>
      </c>
      <c r="G1450" t="s">
        <v>1381</v>
      </c>
      <c r="H1450" t="s">
        <v>449</v>
      </c>
      <c r="J1450" t="s">
        <v>4032</v>
      </c>
      <c r="K1450" t="s">
        <v>606</v>
      </c>
      <c r="M1450" t="s">
        <v>1382</v>
      </c>
      <c r="N1450" t="s">
        <v>657</v>
      </c>
      <c r="O1450" t="s">
        <v>1383</v>
      </c>
      <c r="P1450" t="s">
        <v>739</v>
      </c>
      <c r="Q1450" t="s">
        <v>510</v>
      </c>
      <c r="R1450" t="s">
        <v>1384</v>
      </c>
      <c r="S1450" t="s">
        <v>1396</v>
      </c>
      <c r="T1450" t="s">
        <v>1320</v>
      </c>
      <c r="U1450">
        <v>176600</v>
      </c>
      <c r="V1450" t="s">
        <v>1410</v>
      </c>
      <c r="W1450" t="s">
        <v>1398</v>
      </c>
      <c r="X1450" t="s">
        <v>8572</v>
      </c>
      <c r="Y1450" t="s">
        <v>8573</v>
      </c>
      <c r="Z1450" t="s">
        <v>8574</v>
      </c>
      <c r="AA1450" t="s">
        <v>8575</v>
      </c>
      <c r="AB1450" t="s">
        <v>8576</v>
      </c>
      <c r="AC1450">
        <v>99132</v>
      </c>
      <c r="AD1450" t="s">
        <v>8577</v>
      </c>
      <c r="AE1450">
        <v>-37.75084099</v>
      </c>
      <c r="AF1450">
        <v>175.26885523999999</v>
      </c>
      <c r="AG1450" s="175">
        <v>30</v>
      </c>
      <c r="AH1450" s="175">
        <v>0</v>
      </c>
      <c r="AI1450" s="175">
        <v>0</v>
      </c>
      <c r="AJ1450" s="175">
        <v>0</v>
      </c>
      <c r="AK1450" s="175">
        <v>19</v>
      </c>
      <c r="AL1450" s="175">
        <v>11</v>
      </c>
      <c r="AM1450" s="175">
        <v>0</v>
      </c>
      <c r="AN1450" s="175">
        <v>0</v>
      </c>
      <c r="AO1450" s="175">
        <v>30</v>
      </c>
      <c r="AP1450" s="175">
        <v>26</v>
      </c>
      <c r="AQ1450" s="175">
        <v>3</v>
      </c>
      <c r="AR1450" s="175">
        <v>1</v>
      </c>
      <c r="AS1450" s="175">
        <v>6</v>
      </c>
      <c r="AT1450" s="175">
        <v>0</v>
      </c>
    </row>
    <row r="1451" spans="1:46">
      <c r="A1451">
        <v>30316</v>
      </c>
      <c r="B1451" t="s">
        <v>9102</v>
      </c>
      <c r="C1451" t="s">
        <v>9103</v>
      </c>
      <c r="D1451" t="s">
        <v>9104</v>
      </c>
      <c r="E1451" t="s">
        <v>9105</v>
      </c>
      <c r="F1451" t="s">
        <v>1380</v>
      </c>
      <c r="G1451" t="s">
        <v>1381</v>
      </c>
      <c r="H1451" t="s">
        <v>449</v>
      </c>
      <c r="J1451" t="s">
        <v>4032</v>
      </c>
      <c r="K1451" t="s">
        <v>606</v>
      </c>
      <c r="M1451" t="s">
        <v>1382</v>
      </c>
      <c r="N1451" t="s">
        <v>657</v>
      </c>
      <c r="O1451" t="s">
        <v>1383</v>
      </c>
      <c r="P1451" t="s">
        <v>739</v>
      </c>
      <c r="Q1451" t="s">
        <v>510</v>
      </c>
      <c r="R1451" t="s">
        <v>1384</v>
      </c>
      <c r="S1451" t="s">
        <v>1385</v>
      </c>
      <c r="T1451" t="s">
        <v>1320</v>
      </c>
      <c r="U1451">
        <v>178301</v>
      </c>
      <c r="V1451" t="s">
        <v>1515</v>
      </c>
      <c r="W1451" t="s">
        <v>1387</v>
      </c>
      <c r="X1451" t="s">
        <v>9106</v>
      </c>
      <c r="Y1451" t="s">
        <v>9107</v>
      </c>
      <c r="Z1451" t="s">
        <v>8066</v>
      </c>
      <c r="AA1451" t="s">
        <v>9108</v>
      </c>
      <c r="AB1451" t="s">
        <v>9103</v>
      </c>
      <c r="AE1451">
        <v>-37.777583839999998</v>
      </c>
      <c r="AF1451">
        <v>175.26758422</v>
      </c>
      <c r="AG1451" s="175">
        <v>50</v>
      </c>
      <c r="AH1451" s="175">
        <v>20</v>
      </c>
      <c r="AI1451" s="175">
        <v>1</v>
      </c>
      <c r="AJ1451" s="175">
        <v>13</v>
      </c>
      <c r="AK1451" s="175">
        <v>7</v>
      </c>
      <c r="AL1451" s="175">
        <v>13</v>
      </c>
      <c r="AM1451" s="175">
        <v>13</v>
      </c>
      <c r="AN1451" s="175">
        <v>2</v>
      </c>
      <c r="AO1451" s="175">
        <v>49</v>
      </c>
      <c r="AP1451" s="175">
        <v>36</v>
      </c>
      <c r="AQ1451" s="175">
        <v>19</v>
      </c>
      <c r="AR1451" s="175">
        <v>1</v>
      </c>
      <c r="AS1451" s="175">
        <v>12</v>
      </c>
      <c r="AT1451" s="175">
        <v>1</v>
      </c>
    </row>
    <row r="1452" spans="1:46">
      <c r="A1452">
        <v>30317</v>
      </c>
      <c r="B1452" t="s">
        <v>9109</v>
      </c>
      <c r="C1452" t="s">
        <v>9110</v>
      </c>
      <c r="D1452" t="s">
        <v>9111</v>
      </c>
      <c r="E1452" t="s">
        <v>9112</v>
      </c>
      <c r="G1452" t="s">
        <v>1662</v>
      </c>
      <c r="H1452" t="s">
        <v>449</v>
      </c>
      <c r="J1452" t="s">
        <v>4032</v>
      </c>
      <c r="K1452" t="s">
        <v>606</v>
      </c>
      <c r="M1452" t="s">
        <v>1382</v>
      </c>
      <c r="N1452" t="s">
        <v>4586</v>
      </c>
      <c r="O1452" t="s">
        <v>1534</v>
      </c>
      <c r="P1452" t="s">
        <v>610</v>
      </c>
      <c r="Q1452" t="s">
        <v>510</v>
      </c>
      <c r="R1452" t="s">
        <v>1384</v>
      </c>
      <c r="S1452" t="s">
        <v>1384</v>
      </c>
      <c r="T1452" t="s">
        <v>1320</v>
      </c>
      <c r="U1452">
        <v>174901</v>
      </c>
      <c r="V1452" t="s">
        <v>1738</v>
      </c>
      <c r="W1452" t="s">
        <v>1664</v>
      </c>
      <c r="X1452" t="s">
        <v>6327</v>
      </c>
      <c r="Y1452" t="s">
        <v>9113</v>
      </c>
      <c r="AA1452" t="s">
        <v>9114</v>
      </c>
      <c r="AB1452" t="s">
        <v>6329</v>
      </c>
      <c r="AC1452">
        <v>99104</v>
      </c>
      <c r="AD1452" t="s">
        <v>1665</v>
      </c>
      <c r="AE1452">
        <v>-37.80520799</v>
      </c>
      <c r="AF1452">
        <v>175.76969172</v>
      </c>
      <c r="AG1452" s="175">
        <v>72</v>
      </c>
      <c r="AH1452" s="175">
        <v>19</v>
      </c>
      <c r="AI1452" s="175">
        <v>4</v>
      </c>
      <c r="AJ1452" s="175">
        <v>11</v>
      </c>
      <c r="AK1452" s="175">
        <v>10</v>
      </c>
      <c r="AL1452" s="175">
        <v>31</v>
      </c>
      <c r="AM1452" s="175">
        <v>19</v>
      </c>
      <c r="AN1452" s="175">
        <v>1</v>
      </c>
      <c r="AO1452" s="175">
        <v>76</v>
      </c>
      <c r="AP1452" s="175">
        <v>72</v>
      </c>
      <c r="AQ1452" s="175">
        <v>18</v>
      </c>
      <c r="AR1452" s="175">
        <v>2</v>
      </c>
      <c r="AS1452" s="175">
        <v>5</v>
      </c>
      <c r="AT1452" s="175">
        <v>1</v>
      </c>
    </row>
    <row r="1453" spans="1:46">
      <c r="A1453">
        <v>30322</v>
      </c>
      <c r="B1453" t="s">
        <v>9115</v>
      </c>
      <c r="C1453" t="s">
        <v>9116</v>
      </c>
      <c r="D1453" t="s">
        <v>9117</v>
      </c>
      <c r="E1453" t="s">
        <v>9118</v>
      </c>
      <c r="G1453" t="s">
        <v>1702</v>
      </c>
      <c r="H1453" t="s">
        <v>449</v>
      </c>
      <c r="J1453" t="s">
        <v>4032</v>
      </c>
      <c r="K1453" t="s">
        <v>606</v>
      </c>
      <c r="M1453" t="s">
        <v>1382</v>
      </c>
      <c r="N1453" t="s">
        <v>657</v>
      </c>
      <c r="O1453" t="s">
        <v>1703</v>
      </c>
      <c r="P1453" t="s">
        <v>610</v>
      </c>
      <c r="Q1453" t="s">
        <v>510</v>
      </c>
      <c r="R1453" t="s">
        <v>1384</v>
      </c>
      <c r="S1453" t="s">
        <v>1501</v>
      </c>
      <c r="T1453" t="s">
        <v>1568</v>
      </c>
      <c r="U1453">
        <v>185500</v>
      </c>
      <c r="V1453" t="s">
        <v>1704</v>
      </c>
      <c r="W1453" t="s">
        <v>1705</v>
      </c>
      <c r="X1453" t="s">
        <v>8904</v>
      </c>
      <c r="Y1453" t="s">
        <v>8903</v>
      </c>
      <c r="Z1453" t="s">
        <v>1702</v>
      </c>
      <c r="AA1453" t="s">
        <v>8905</v>
      </c>
      <c r="AB1453" t="s">
        <v>8906</v>
      </c>
      <c r="AC1453">
        <v>99194</v>
      </c>
      <c r="AD1453" t="s">
        <v>1706</v>
      </c>
      <c r="AE1453">
        <v>-38.182317169999997</v>
      </c>
      <c r="AF1453">
        <v>175.20641251000001</v>
      </c>
      <c r="AG1453" s="175">
        <v>30</v>
      </c>
      <c r="AH1453" s="175">
        <v>0</v>
      </c>
      <c r="AI1453" s="175">
        <v>0</v>
      </c>
      <c r="AJ1453" s="175">
        <v>0</v>
      </c>
      <c r="AK1453" s="175">
        <v>0</v>
      </c>
      <c r="AL1453" s="175">
        <v>20</v>
      </c>
      <c r="AM1453" s="175">
        <v>19</v>
      </c>
      <c r="AN1453" s="175">
        <v>1</v>
      </c>
      <c r="AO1453" s="175">
        <v>40</v>
      </c>
      <c r="AP1453" s="175">
        <v>36</v>
      </c>
      <c r="AQ1453" s="175">
        <v>9</v>
      </c>
      <c r="AR1453" s="175">
        <v>0</v>
      </c>
      <c r="AS1453" s="175">
        <v>6</v>
      </c>
      <c r="AT1453" s="175">
        <v>1</v>
      </c>
    </row>
    <row r="1454" spans="1:46">
      <c r="A1454">
        <v>30325</v>
      </c>
      <c r="B1454" t="s">
        <v>9119</v>
      </c>
      <c r="C1454" t="s">
        <v>9120</v>
      </c>
      <c r="D1454" t="s">
        <v>9121</v>
      </c>
      <c r="E1454" t="s">
        <v>9122</v>
      </c>
      <c r="F1454" t="s">
        <v>1495</v>
      </c>
      <c r="G1454" t="s">
        <v>1381</v>
      </c>
      <c r="H1454" t="s">
        <v>449</v>
      </c>
      <c r="J1454" t="s">
        <v>605</v>
      </c>
      <c r="K1454" t="s">
        <v>606</v>
      </c>
      <c r="M1454" t="s">
        <v>1382</v>
      </c>
      <c r="N1454" t="s">
        <v>657</v>
      </c>
      <c r="O1454" t="s">
        <v>1383</v>
      </c>
      <c r="P1454" t="s">
        <v>739</v>
      </c>
      <c r="Q1454" t="s">
        <v>510</v>
      </c>
      <c r="R1454" t="s">
        <v>1384</v>
      </c>
      <c r="S1454" t="s">
        <v>1385</v>
      </c>
      <c r="T1454" t="s">
        <v>1320</v>
      </c>
      <c r="U1454">
        <v>175201</v>
      </c>
      <c r="V1454" t="s">
        <v>9123</v>
      </c>
      <c r="W1454" t="s">
        <v>1387</v>
      </c>
      <c r="X1454" t="s">
        <v>8441</v>
      </c>
      <c r="Y1454" t="s">
        <v>4014</v>
      </c>
      <c r="Z1454" t="s">
        <v>4015</v>
      </c>
      <c r="AA1454" t="s">
        <v>4016</v>
      </c>
      <c r="AB1454" t="s">
        <v>8442</v>
      </c>
      <c r="AC1454">
        <v>99035</v>
      </c>
      <c r="AD1454" t="s">
        <v>1392</v>
      </c>
      <c r="AE1454">
        <v>-37.741498059999998</v>
      </c>
      <c r="AF1454">
        <v>175.2297002</v>
      </c>
      <c r="AG1454" s="175">
        <v>100</v>
      </c>
      <c r="AH1454" s="175">
        <v>24</v>
      </c>
      <c r="AI1454" s="175">
        <v>4</v>
      </c>
      <c r="AJ1454" s="175">
        <v>19</v>
      </c>
      <c r="AK1454" s="175">
        <v>20</v>
      </c>
      <c r="AL1454" s="175">
        <v>18</v>
      </c>
      <c r="AM1454" s="175">
        <v>15</v>
      </c>
      <c r="AN1454" s="175">
        <v>1</v>
      </c>
      <c r="AO1454" s="175">
        <v>77</v>
      </c>
      <c r="AP1454" s="175">
        <v>50</v>
      </c>
      <c r="AQ1454" s="175">
        <v>21</v>
      </c>
      <c r="AR1454" s="175">
        <v>4</v>
      </c>
      <c r="AS1454" s="175">
        <v>22</v>
      </c>
      <c r="AT1454" s="175">
        <v>1</v>
      </c>
    </row>
    <row r="1455" spans="1:46">
      <c r="A1455">
        <v>30327</v>
      </c>
      <c r="B1455" t="s">
        <v>9124</v>
      </c>
      <c r="C1455" t="s">
        <v>9125</v>
      </c>
      <c r="E1455" t="s">
        <v>9126</v>
      </c>
      <c r="G1455" t="s">
        <v>9127</v>
      </c>
      <c r="H1455" t="s">
        <v>347</v>
      </c>
      <c r="J1455" t="s">
        <v>605</v>
      </c>
      <c r="K1455" t="s">
        <v>606</v>
      </c>
      <c r="L1455" t="s">
        <v>4273</v>
      </c>
      <c r="M1455" t="s">
        <v>1382</v>
      </c>
      <c r="N1455" t="s">
        <v>625</v>
      </c>
      <c r="O1455" t="s">
        <v>1435</v>
      </c>
      <c r="P1455" t="s">
        <v>658</v>
      </c>
      <c r="Q1455" t="s">
        <v>510</v>
      </c>
      <c r="R1455" t="s">
        <v>1384</v>
      </c>
      <c r="S1455" t="s">
        <v>1384</v>
      </c>
      <c r="T1455" t="s">
        <v>1320</v>
      </c>
      <c r="U1455">
        <v>171901</v>
      </c>
      <c r="V1455" t="s">
        <v>9128</v>
      </c>
      <c r="W1455" t="s">
        <v>1437</v>
      </c>
      <c r="X1455" t="s">
        <v>7695</v>
      </c>
      <c r="Y1455" t="s">
        <v>4276</v>
      </c>
      <c r="Z1455" t="s">
        <v>4277</v>
      </c>
      <c r="AA1455" t="s">
        <v>4278</v>
      </c>
      <c r="AB1455" t="s">
        <v>7696</v>
      </c>
      <c r="AE1455">
        <v>-37.665253399999997</v>
      </c>
      <c r="AF1455">
        <v>175.23495249999999</v>
      </c>
      <c r="AG1455" s="175">
        <v>25</v>
      </c>
      <c r="AH1455" s="175">
        <v>6</v>
      </c>
      <c r="AI1455" s="175">
        <v>1</v>
      </c>
      <c r="AJ1455" s="175">
        <v>5</v>
      </c>
      <c r="AK1455" s="175">
        <v>6</v>
      </c>
      <c r="AL1455" s="175">
        <v>5</v>
      </c>
      <c r="AM1455" s="175">
        <v>2</v>
      </c>
      <c r="AN1455" s="175">
        <v>0</v>
      </c>
      <c r="AO1455" s="175">
        <v>19</v>
      </c>
      <c r="AP1455" s="175">
        <v>0</v>
      </c>
      <c r="AQ1455" s="175">
        <v>19</v>
      </c>
      <c r="AR1455" s="175">
        <v>0</v>
      </c>
      <c r="AS1455" s="175">
        <v>0</v>
      </c>
      <c r="AT1455" s="175">
        <v>0</v>
      </c>
    </row>
    <row r="1456" spans="1:46">
      <c r="A1456">
        <v>30330</v>
      </c>
      <c r="B1456" t="s">
        <v>9129</v>
      </c>
      <c r="C1456" t="s">
        <v>9130</v>
      </c>
      <c r="E1456" t="s">
        <v>9131</v>
      </c>
      <c r="G1456" t="s">
        <v>1717</v>
      </c>
      <c r="H1456" t="s">
        <v>347</v>
      </c>
      <c r="J1456" t="s">
        <v>605</v>
      </c>
      <c r="K1456" t="s">
        <v>606</v>
      </c>
      <c r="L1456" t="s">
        <v>4273</v>
      </c>
      <c r="M1456" t="s">
        <v>1382</v>
      </c>
      <c r="N1456" t="s">
        <v>812</v>
      </c>
      <c r="O1456" t="s">
        <v>1718</v>
      </c>
      <c r="P1456" t="s">
        <v>658</v>
      </c>
      <c r="Q1456" t="s">
        <v>553</v>
      </c>
      <c r="R1456" t="s">
        <v>1841</v>
      </c>
      <c r="S1456" t="s">
        <v>1501</v>
      </c>
      <c r="T1456" t="s">
        <v>1568</v>
      </c>
      <c r="U1456">
        <v>222400</v>
      </c>
      <c r="V1456" t="s">
        <v>9132</v>
      </c>
      <c r="W1456" t="s">
        <v>1721</v>
      </c>
      <c r="X1456" t="s">
        <v>9133</v>
      </c>
      <c r="Y1456" t="s">
        <v>4276</v>
      </c>
      <c r="Z1456" t="s">
        <v>4277</v>
      </c>
      <c r="AA1456" t="s">
        <v>4278</v>
      </c>
      <c r="AB1456" t="s">
        <v>9134</v>
      </c>
      <c r="AE1456">
        <v>-38.807218839999997</v>
      </c>
      <c r="AF1456">
        <v>175.22308676</v>
      </c>
      <c r="AG1456" s="175">
        <v>25</v>
      </c>
      <c r="AH1456" s="175">
        <v>6</v>
      </c>
      <c r="AI1456" s="175">
        <v>2</v>
      </c>
      <c r="AJ1456" s="175">
        <v>4</v>
      </c>
      <c r="AK1456" s="175">
        <v>2</v>
      </c>
      <c r="AL1456" s="175">
        <v>7</v>
      </c>
      <c r="AM1456" s="175">
        <v>5</v>
      </c>
      <c r="AN1456" s="175">
        <v>0</v>
      </c>
      <c r="AO1456" s="175">
        <v>20</v>
      </c>
      <c r="AP1456" s="175">
        <v>0</v>
      </c>
      <c r="AQ1456" s="175">
        <v>20</v>
      </c>
      <c r="AR1456" s="175">
        <v>0</v>
      </c>
      <c r="AS1456" s="175">
        <v>0</v>
      </c>
      <c r="AT1456" s="175">
        <v>0</v>
      </c>
    </row>
    <row r="1457" spans="1:46">
      <c r="A1457">
        <v>30335</v>
      </c>
      <c r="B1457" t="s">
        <v>9135</v>
      </c>
      <c r="C1457" t="s">
        <v>9136</v>
      </c>
      <c r="D1457" t="s">
        <v>1531</v>
      </c>
      <c r="E1457" t="s">
        <v>9137</v>
      </c>
      <c r="G1457" t="s">
        <v>9138</v>
      </c>
      <c r="H1457" t="s">
        <v>452</v>
      </c>
      <c r="J1457" t="s">
        <v>605</v>
      </c>
      <c r="K1457" t="s">
        <v>606</v>
      </c>
      <c r="M1457" t="s">
        <v>1382</v>
      </c>
      <c r="N1457" t="s">
        <v>657</v>
      </c>
      <c r="O1457" t="s">
        <v>1534</v>
      </c>
      <c r="P1457" t="s">
        <v>626</v>
      </c>
      <c r="Q1457" t="s">
        <v>510</v>
      </c>
      <c r="R1457" t="s">
        <v>1384</v>
      </c>
      <c r="S1457" t="s">
        <v>1384</v>
      </c>
      <c r="T1457" t="s">
        <v>1320</v>
      </c>
      <c r="U1457">
        <v>174400</v>
      </c>
      <c r="V1457" t="s">
        <v>9139</v>
      </c>
      <c r="W1457" t="s">
        <v>1536</v>
      </c>
      <c r="X1457" t="s">
        <v>1537</v>
      </c>
      <c r="Y1457" t="s">
        <v>1532</v>
      </c>
      <c r="Z1457" t="s">
        <v>1533</v>
      </c>
      <c r="AA1457" t="s">
        <v>1538</v>
      </c>
      <c r="AB1457" t="s">
        <v>1539</v>
      </c>
      <c r="AC1457">
        <v>99202</v>
      </c>
      <c r="AD1457" t="s">
        <v>1540</v>
      </c>
      <c r="AE1457">
        <v>-37.596297100000001</v>
      </c>
      <c r="AF1457">
        <v>175.63683560000001</v>
      </c>
      <c r="AG1457" s="175">
        <v>40</v>
      </c>
      <c r="AH1457" s="175">
        <v>0</v>
      </c>
      <c r="AI1457" s="175">
        <v>0</v>
      </c>
      <c r="AJ1457" s="175">
        <v>0</v>
      </c>
      <c r="AK1457" s="175">
        <v>0</v>
      </c>
      <c r="AL1457" s="175">
        <v>27</v>
      </c>
      <c r="AM1457" s="175">
        <v>24</v>
      </c>
      <c r="AN1457" s="175">
        <v>3</v>
      </c>
      <c r="AO1457" s="175">
        <v>54</v>
      </c>
      <c r="AP1457" s="175">
        <v>48</v>
      </c>
      <c r="AQ1457" s="175">
        <v>7</v>
      </c>
      <c r="AR1457" s="175">
        <v>3</v>
      </c>
      <c r="AS1457" s="175">
        <v>4</v>
      </c>
      <c r="AT1457" s="175">
        <v>1</v>
      </c>
    </row>
    <row r="1458" spans="1:46">
      <c r="A1458">
        <v>30342</v>
      </c>
      <c r="B1458" t="s">
        <v>9140</v>
      </c>
      <c r="C1458" t="s">
        <v>9141</v>
      </c>
      <c r="E1458" t="s">
        <v>9142</v>
      </c>
      <c r="G1458" t="s">
        <v>9143</v>
      </c>
      <c r="H1458" t="s">
        <v>347</v>
      </c>
      <c r="J1458" t="s">
        <v>605</v>
      </c>
      <c r="K1458" t="s">
        <v>606</v>
      </c>
      <c r="L1458" t="s">
        <v>4273</v>
      </c>
      <c r="M1458" t="s">
        <v>1382</v>
      </c>
      <c r="N1458" t="s">
        <v>643</v>
      </c>
      <c r="O1458" t="s">
        <v>1435</v>
      </c>
      <c r="P1458" t="s">
        <v>658</v>
      </c>
      <c r="Q1458" t="s">
        <v>510</v>
      </c>
      <c r="R1458" t="s">
        <v>1384</v>
      </c>
      <c r="S1458" t="s">
        <v>1501</v>
      </c>
      <c r="T1458" t="s">
        <v>1320</v>
      </c>
      <c r="U1458">
        <v>172800</v>
      </c>
      <c r="V1458" t="s">
        <v>9144</v>
      </c>
      <c r="W1458" t="s">
        <v>1437</v>
      </c>
      <c r="X1458" t="s">
        <v>7695</v>
      </c>
      <c r="Y1458" t="s">
        <v>4276</v>
      </c>
      <c r="Z1458" t="s">
        <v>4277</v>
      </c>
      <c r="AA1458" t="s">
        <v>4278</v>
      </c>
      <c r="AB1458" t="s">
        <v>7696</v>
      </c>
      <c r="AE1458">
        <v>-37.7889847</v>
      </c>
      <c r="AF1458">
        <v>175.1472085</v>
      </c>
      <c r="AG1458" s="175">
        <v>23</v>
      </c>
      <c r="AH1458" s="175">
        <v>8</v>
      </c>
      <c r="AI1458" s="175">
        <v>0</v>
      </c>
      <c r="AJ1458" s="175">
        <v>3</v>
      </c>
      <c r="AK1458" s="175">
        <v>4</v>
      </c>
      <c r="AL1458" s="175">
        <v>4</v>
      </c>
      <c r="AM1458" s="175">
        <v>4</v>
      </c>
      <c r="AN1458" s="175">
        <v>0</v>
      </c>
      <c r="AO1458" s="175">
        <v>15</v>
      </c>
      <c r="AP1458" s="175">
        <v>0</v>
      </c>
      <c r="AQ1458" s="175">
        <v>15</v>
      </c>
      <c r="AR1458" s="175">
        <v>0</v>
      </c>
      <c r="AS1458" s="175">
        <v>0</v>
      </c>
      <c r="AT1458" s="175">
        <v>0</v>
      </c>
    </row>
    <row r="1459" spans="1:46">
      <c r="A1459">
        <v>30343</v>
      </c>
      <c r="B1459" t="s">
        <v>9145</v>
      </c>
      <c r="D1459" t="s">
        <v>9146</v>
      </c>
      <c r="E1459" t="s">
        <v>9147</v>
      </c>
      <c r="F1459" t="s">
        <v>1396</v>
      </c>
      <c r="G1459" t="s">
        <v>1381</v>
      </c>
      <c r="H1459" t="s">
        <v>449</v>
      </c>
      <c r="J1459" t="s">
        <v>4032</v>
      </c>
      <c r="K1459" t="s">
        <v>606</v>
      </c>
      <c r="M1459" t="s">
        <v>1382</v>
      </c>
      <c r="N1459" t="s">
        <v>812</v>
      </c>
      <c r="O1459" t="s">
        <v>1383</v>
      </c>
      <c r="P1459" t="s">
        <v>739</v>
      </c>
      <c r="Q1459" t="s">
        <v>510</v>
      </c>
      <c r="R1459" t="s">
        <v>1384</v>
      </c>
      <c r="S1459" t="s">
        <v>1396</v>
      </c>
      <c r="T1459" t="s">
        <v>1320</v>
      </c>
      <c r="U1459">
        <v>179700</v>
      </c>
      <c r="V1459" t="s">
        <v>8800</v>
      </c>
      <c r="W1459" t="s">
        <v>1398</v>
      </c>
      <c r="X1459" t="s">
        <v>9148</v>
      </c>
      <c r="Y1459" t="s">
        <v>9149</v>
      </c>
      <c r="Z1459" t="s">
        <v>1397</v>
      </c>
      <c r="AA1459" t="s">
        <v>8575</v>
      </c>
      <c r="AB1459" t="s">
        <v>9150</v>
      </c>
      <c r="AE1459">
        <v>-37.797275200000001</v>
      </c>
      <c r="AF1459">
        <v>175.29441979999999</v>
      </c>
      <c r="AG1459" s="175">
        <v>40</v>
      </c>
      <c r="AH1459" s="175">
        <v>10</v>
      </c>
      <c r="AI1459" s="175">
        <v>1</v>
      </c>
      <c r="AJ1459" s="175">
        <v>10</v>
      </c>
      <c r="AK1459" s="175">
        <v>6</v>
      </c>
      <c r="AL1459" s="175">
        <v>8</v>
      </c>
      <c r="AM1459" s="175">
        <v>10</v>
      </c>
      <c r="AN1459" s="175">
        <v>2</v>
      </c>
      <c r="AO1459" s="175">
        <v>37</v>
      </c>
      <c r="AP1459" s="175">
        <v>23</v>
      </c>
      <c r="AQ1459" s="175">
        <v>14</v>
      </c>
      <c r="AR1459" s="175">
        <v>2</v>
      </c>
      <c r="AS1459" s="175">
        <v>6</v>
      </c>
      <c r="AT1459" s="175">
        <v>0</v>
      </c>
    </row>
    <row r="1460" spans="1:46">
      <c r="A1460">
        <v>30346</v>
      </c>
      <c r="B1460" t="s">
        <v>9151</v>
      </c>
      <c r="C1460" t="s">
        <v>9152</v>
      </c>
      <c r="D1460" t="s">
        <v>9153</v>
      </c>
      <c r="E1460" t="s">
        <v>9154</v>
      </c>
      <c r="F1460" t="s">
        <v>1463</v>
      </c>
      <c r="G1460" t="s">
        <v>1402</v>
      </c>
      <c r="H1460" t="s">
        <v>449</v>
      </c>
      <c r="I1460" t="s">
        <v>9155</v>
      </c>
      <c r="J1460" t="s">
        <v>605</v>
      </c>
      <c r="K1460" t="s">
        <v>606</v>
      </c>
      <c r="M1460" t="s">
        <v>1382</v>
      </c>
      <c r="N1460" t="s">
        <v>657</v>
      </c>
      <c r="O1460" t="s">
        <v>1403</v>
      </c>
      <c r="P1460" t="s">
        <v>1347</v>
      </c>
      <c r="Q1460" t="s">
        <v>510</v>
      </c>
      <c r="R1460" t="s">
        <v>1384</v>
      </c>
      <c r="S1460" t="s">
        <v>1404</v>
      </c>
      <c r="T1460" t="s">
        <v>1320</v>
      </c>
      <c r="U1460">
        <v>183500</v>
      </c>
      <c r="V1460" t="s">
        <v>1473</v>
      </c>
      <c r="W1460" t="s">
        <v>1406</v>
      </c>
      <c r="X1460" t="s">
        <v>9156</v>
      </c>
      <c r="Y1460" t="s">
        <v>9154</v>
      </c>
      <c r="Z1460" t="s">
        <v>1463</v>
      </c>
      <c r="AA1460" t="s">
        <v>9157</v>
      </c>
      <c r="AB1460" t="s">
        <v>9158</v>
      </c>
      <c r="AC1460">
        <v>99034</v>
      </c>
      <c r="AD1460" t="s">
        <v>8567</v>
      </c>
      <c r="AE1460">
        <v>-37.901398589999999</v>
      </c>
      <c r="AF1460">
        <v>175.47267876000001</v>
      </c>
      <c r="AG1460" s="175">
        <v>60</v>
      </c>
      <c r="AH1460" s="175">
        <v>20</v>
      </c>
      <c r="AI1460" s="175">
        <v>3</v>
      </c>
      <c r="AJ1460" s="175">
        <v>18</v>
      </c>
      <c r="AK1460" s="175">
        <v>17</v>
      </c>
      <c r="AL1460" s="175">
        <v>16</v>
      </c>
      <c r="AM1460" s="175">
        <v>18</v>
      </c>
      <c r="AN1460" s="175">
        <v>0</v>
      </c>
      <c r="AO1460" s="175">
        <v>72</v>
      </c>
      <c r="AP1460" s="175">
        <v>57</v>
      </c>
      <c r="AQ1460" s="175">
        <v>6</v>
      </c>
      <c r="AR1460" s="175">
        <v>3</v>
      </c>
      <c r="AS1460" s="175">
        <v>18</v>
      </c>
      <c r="AT1460" s="175">
        <v>4</v>
      </c>
    </row>
    <row r="1461" spans="1:46">
      <c r="A1461">
        <v>30349</v>
      </c>
      <c r="B1461" t="s">
        <v>9159</v>
      </c>
      <c r="C1461" t="s">
        <v>9160</v>
      </c>
      <c r="D1461" t="s">
        <v>9161</v>
      </c>
      <c r="E1461" t="s">
        <v>9162</v>
      </c>
      <c r="G1461" t="s">
        <v>1402</v>
      </c>
      <c r="H1461" t="s">
        <v>449</v>
      </c>
      <c r="J1461" t="s">
        <v>4032</v>
      </c>
      <c r="K1461" t="s">
        <v>606</v>
      </c>
      <c r="M1461" t="s">
        <v>1382</v>
      </c>
      <c r="N1461" t="s">
        <v>657</v>
      </c>
      <c r="O1461" t="s">
        <v>1403</v>
      </c>
      <c r="P1461" t="s">
        <v>1347</v>
      </c>
      <c r="Q1461" t="s">
        <v>510</v>
      </c>
      <c r="R1461" t="s">
        <v>1384</v>
      </c>
      <c r="S1461" t="s">
        <v>1404</v>
      </c>
      <c r="T1461" t="s">
        <v>1320</v>
      </c>
      <c r="U1461">
        <v>182600</v>
      </c>
      <c r="V1461" t="s">
        <v>9163</v>
      </c>
      <c r="W1461" t="s">
        <v>1406</v>
      </c>
      <c r="X1461" t="s">
        <v>9164</v>
      </c>
      <c r="Y1461" t="s">
        <v>4051</v>
      </c>
      <c r="AA1461" t="s">
        <v>4052</v>
      </c>
      <c r="AB1461" t="s">
        <v>9165</v>
      </c>
      <c r="AE1461">
        <v>-37.870119600000002</v>
      </c>
      <c r="AF1461">
        <v>175.472508</v>
      </c>
      <c r="AG1461" s="175">
        <v>133</v>
      </c>
      <c r="AH1461" s="175">
        <v>25</v>
      </c>
      <c r="AI1461" s="175">
        <v>2</v>
      </c>
      <c r="AJ1461" s="175">
        <v>14</v>
      </c>
      <c r="AK1461" s="175">
        <v>30</v>
      </c>
      <c r="AL1461" s="175">
        <v>28</v>
      </c>
      <c r="AM1461" s="175">
        <v>23</v>
      </c>
      <c r="AN1461" s="175">
        <v>1</v>
      </c>
      <c r="AO1461" s="175">
        <v>98</v>
      </c>
      <c r="AP1461" s="175">
        <v>70</v>
      </c>
      <c r="AQ1461" s="175">
        <v>16</v>
      </c>
      <c r="AR1461" s="175">
        <v>4</v>
      </c>
      <c r="AS1461" s="175">
        <v>6</v>
      </c>
      <c r="AT1461" s="175">
        <v>21</v>
      </c>
    </row>
    <row r="1462" spans="1:46">
      <c r="A1462">
        <v>30350</v>
      </c>
      <c r="B1462" t="s">
        <v>9166</v>
      </c>
      <c r="C1462" t="s">
        <v>9167</v>
      </c>
      <c r="D1462" t="s">
        <v>9168</v>
      </c>
      <c r="E1462" t="s">
        <v>9169</v>
      </c>
      <c r="G1462" t="s">
        <v>9170</v>
      </c>
      <c r="H1462" t="s">
        <v>449</v>
      </c>
      <c r="J1462" t="s">
        <v>605</v>
      </c>
      <c r="K1462" t="s">
        <v>606</v>
      </c>
      <c r="M1462" t="s">
        <v>1382</v>
      </c>
      <c r="N1462" t="s">
        <v>643</v>
      </c>
      <c r="O1462" t="s">
        <v>1521</v>
      </c>
      <c r="P1462" t="s">
        <v>626</v>
      </c>
      <c r="Q1462" t="s">
        <v>510</v>
      </c>
      <c r="R1462" t="s">
        <v>1384</v>
      </c>
      <c r="S1462" t="s">
        <v>1522</v>
      </c>
      <c r="T1462" t="s">
        <v>1320</v>
      </c>
      <c r="U1462">
        <v>168800</v>
      </c>
      <c r="V1462" t="s">
        <v>9171</v>
      </c>
      <c r="W1462" t="s">
        <v>3927</v>
      </c>
      <c r="X1462" t="s">
        <v>9172</v>
      </c>
      <c r="Y1462" t="s">
        <v>6434</v>
      </c>
      <c r="Z1462" t="s">
        <v>4622</v>
      </c>
      <c r="AA1462" t="s">
        <v>4623</v>
      </c>
      <c r="AB1462" t="s">
        <v>9173</v>
      </c>
      <c r="AC1462">
        <v>99015</v>
      </c>
      <c r="AD1462" t="s">
        <v>3928</v>
      </c>
      <c r="AE1462">
        <v>-37.239174220000002</v>
      </c>
      <c r="AF1462">
        <v>175.56281508000001</v>
      </c>
      <c r="AG1462" s="175">
        <v>55</v>
      </c>
      <c r="AH1462" s="175">
        <v>15</v>
      </c>
      <c r="AI1462" s="175">
        <v>2</v>
      </c>
      <c r="AJ1462" s="175">
        <v>5</v>
      </c>
      <c r="AK1462" s="175">
        <v>10</v>
      </c>
      <c r="AL1462" s="175">
        <v>11</v>
      </c>
      <c r="AM1462" s="175">
        <v>13</v>
      </c>
      <c r="AN1462" s="175">
        <v>1</v>
      </c>
      <c r="AO1462" s="175">
        <v>42</v>
      </c>
      <c r="AP1462" s="175">
        <v>39</v>
      </c>
      <c r="AQ1462" s="175">
        <v>10</v>
      </c>
      <c r="AR1462" s="175">
        <v>1</v>
      </c>
      <c r="AS1462" s="175">
        <v>0</v>
      </c>
      <c r="AT1462" s="175">
        <v>0</v>
      </c>
    </row>
    <row r="1463" spans="1:46">
      <c r="A1463">
        <v>30352</v>
      </c>
      <c r="B1463" t="s">
        <v>9174</v>
      </c>
      <c r="C1463" t="s">
        <v>9175</v>
      </c>
      <c r="D1463" t="s">
        <v>9176</v>
      </c>
      <c r="E1463" t="s">
        <v>9177</v>
      </c>
      <c r="G1463" t="s">
        <v>1402</v>
      </c>
      <c r="H1463" t="s">
        <v>449</v>
      </c>
      <c r="J1463" t="s">
        <v>4032</v>
      </c>
      <c r="K1463" t="s">
        <v>606</v>
      </c>
      <c r="M1463" t="s">
        <v>1382</v>
      </c>
      <c r="N1463" t="s">
        <v>657</v>
      </c>
      <c r="O1463" t="s">
        <v>1403</v>
      </c>
      <c r="P1463" t="s">
        <v>1347</v>
      </c>
      <c r="Q1463" t="s">
        <v>510</v>
      </c>
      <c r="R1463" t="s">
        <v>1384</v>
      </c>
      <c r="S1463" t="s">
        <v>1404</v>
      </c>
      <c r="T1463" t="s">
        <v>1320</v>
      </c>
      <c r="U1463">
        <v>182600</v>
      </c>
      <c r="V1463" t="s">
        <v>9163</v>
      </c>
      <c r="W1463" t="s">
        <v>1406</v>
      </c>
      <c r="X1463" t="s">
        <v>9178</v>
      </c>
      <c r="Y1463" t="s">
        <v>9179</v>
      </c>
      <c r="Z1463" t="s">
        <v>4194</v>
      </c>
      <c r="AA1463" t="s">
        <v>4631</v>
      </c>
      <c r="AB1463" t="s">
        <v>9180</v>
      </c>
      <c r="AE1463">
        <v>-37.876782560000002</v>
      </c>
      <c r="AF1463">
        <v>175.47123131000001</v>
      </c>
      <c r="AG1463" s="175">
        <v>60</v>
      </c>
      <c r="AH1463" s="175">
        <v>20</v>
      </c>
      <c r="AI1463" s="175">
        <v>2</v>
      </c>
      <c r="AJ1463" s="175">
        <v>5</v>
      </c>
      <c r="AK1463" s="175">
        <v>8</v>
      </c>
      <c r="AL1463" s="175">
        <v>5</v>
      </c>
      <c r="AM1463" s="175">
        <v>4</v>
      </c>
      <c r="AN1463" s="175">
        <v>0</v>
      </c>
      <c r="AO1463" s="175">
        <v>24</v>
      </c>
      <c r="AP1463" s="175">
        <v>4</v>
      </c>
      <c r="AQ1463" s="175">
        <v>2</v>
      </c>
      <c r="AR1463" s="175">
        <v>1</v>
      </c>
      <c r="AS1463" s="175">
        <v>18</v>
      </c>
      <c r="AT1463" s="175">
        <v>0</v>
      </c>
    </row>
    <row r="1464" spans="1:46">
      <c r="A1464">
        <v>30353</v>
      </c>
      <c r="B1464" t="s">
        <v>9181</v>
      </c>
      <c r="C1464" t="s">
        <v>9182</v>
      </c>
      <c r="E1464" t="s">
        <v>9183</v>
      </c>
      <c r="F1464" t="s">
        <v>1414</v>
      </c>
      <c r="G1464" t="s">
        <v>1381</v>
      </c>
      <c r="H1464" t="s">
        <v>449</v>
      </c>
      <c r="J1464" t="s">
        <v>605</v>
      </c>
      <c r="K1464" t="s">
        <v>606</v>
      </c>
      <c r="L1464" t="s">
        <v>4273</v>
      </c>
      <c r="M1464" t="s">
        <v>1382</v>
      </c>
      <c r="N1464" t="s">
        <v>657</v>
      </c>
      <c r="O1464" t="s">
        <v>1403</v>
      </c>
      <c r="P1464" t="s">
        <v>658</v>
      </c>
      <c r="Q1464" t="s">
        <v>510</v>
      </c>
      <c r="R1464" t="s">
        <v>1384</v>
      </c>
      <c r="S1464" t="s">
        <v>1501</v>
      </c>
      <c r="T1464" t="s">
        <v>1320</v>
      </c>
      <c r="U1464">
        <v>181600</v>
      </c>
      <c r="V1464" t="s">
        <v>9184</v>
      </c>
      <c r="W1464" t="s">
        <v>9027</v>
      </c>
      <c r="X1464" t="s">
        <v>9185</v>
      </c>
      <c r="Y1464" t="s">
        <v>4276</v>
      </c>
      <c r="Z1464" t="s">
        <v>4277</v>
      </c>
      <c r="AA1464" t="s">
        <v>4278</v>
      </c>
      <c r="AE1464">
        <v>-37.824313510000003</v>
      </c>
      <c r="AF1464">
        <v>175.27152719</v>
      </c>
      <c r="AG1464" s="175">
        <v>40</v>
      </c>
      <c r="AH1464" s="175">
        <v>10</v>
      </c>
      <c r="AI1464" s="175">
        <v>1</v>
      </c>
      <c r="AJ1464" s="175">
        <v>2</v>
      </c>
      <c r="AK1464" s="175">
        <v>6</v>
      </c>
      <c r="AL1464" s="175">
        <v>8</v>
      </c>
      <c r="AM1464" s="175">
        <v>5</v>
      </c>
      <c r="AN1464" s="175">
        <v>0</v>
      </c>
      <c r="AO1464" s="175">
        <v>22</v>
      </c>
      <c r="AP1464" s="175">
        <v>0</v>
      </c>
      <c r="AQ1464" s="175">
        <v>21</v>
      </c>
      <c r="AR1464" s="175">
        <v>1</v>
      </c>
      <c r="AS1464" s="175">
        <v>0</v>
      </c>
      <c r="AT1464" s="175">
        <v>0</v>
      </c>
    </row>
    <row r="1465" spans="1:46">
      <c r="A1465">
        <v>30355</v>
      </c>
      <c r="B1465" t="s">
        <v>9186</v>
      </c>
      <c r="C1465" t="s">
        <v>9187</v>
      </c>
      <c r="D1465" t="s">
        <v>9188</v>
      </c>
      <c r="E1465" t="s">
        <v>9189</v>
      </c>
      <c r="G1465" t="s">
        <v>1500</v>
      </c>
      <c r="H1465" t="s">
        <v>449</v>
      </c>
      <c r="J1465" t="s">
        <v>4032</v>
      </c>
      <c r="K1465" t="s">
        <v>606</v>
      </c>
      <c r="M1465" t="s">
        <v>1382</v>
      </c>
      <c r="N1465" t="s">
        <v>657</v>
      </c>
      <c r="O1465" t="s">
        <v>1435</v>
      </c>
      <c r="P1465" t="s">
        <v>658</v>
      </c>
      <c r="Q1465" t="s">
        <v>510</v>
      </c>
      <c r="R1465" t="s">
        <v>1384</v>
      </c>
      <c r="S1465" t="s">
        <v>1501</v>
      </c>
      <c r="T1465" t="s">
        <v>1320</v>
      </c>
      <c r="U1465">
        <v>171803</v>
      </c>
      <c r="V1465" t="s">
        <v>9190</v>
      </c>
      <c r="W1465" t="s">
        <v>1502</v>
      </c>
      <c r="X1465" t="s">
        <v>9191</v>
      </c>
      <c r="Y1465" t="s">
        <v>9192</v>
      </c>
      <c r="Z1465" t="s">
        <v>1500</v>
      </c>
      <c r="AA1465" t="s">
        <v>9193</v>
      </c>
      <c r="AB1465" t="s">
        <v>9194</v>
      </c>
      <c r="AE1465">
        <v>-37.860248380000002</v>
      </c>
      <c r="AF1465">
        <v>174.89421701000001</v>
      </c>
      <c r="AG1465" s="175">
        <v>40</v>
      </c>
      <c r="AH1465" s="175">
        <v>0</v>
      </c>
      <c r="AI1465" s="175">
        <v>0</v>
      </c>
      <c r="AJ1465" s="175">
        <v>0</v>
      </c>
      <c r="AK1465" s="175">
        <v>0</v>
      </c>
      <c r="AL1465" s="175">
        <v>13</v>
      </c>
      <c r="AM1465" s="175">
        <v>26</v>
      </c>
      <c r="AN1465" s="175">
        <v>7</v>
      </c>
      <c r="AO1465" s="175">
        <v>46</v>
      </c>
      <c r="AP1465" s="175">
        <v>35</v>
      </c>
      <c r="AQ1465" s="175">
        <v>15</v>
      </c>
      <c r="AR1465" s="175">
        <v>1</v>
      </c>
      <c r="AS1465" s="175">
        <v>1</v>
      </c>
      <c r="AT1465" s="175">
        <v>11</v>
      </c>
    </row>
    <row r="1466" spans="1:46">
      <c r="A1466">
        <v>31001</v>
      </c>
      <c r="B1466" t="s">
        <v>9195</v>
      </c>
      <c r="C1466" t="s">
        <v>8390</v>
      </c>
      <c r="D1466" t="s">
        <v>8391</v>
      </c>
      <c r="E1466" t="s">
        <v>9196</v>
      </c>
      <c r="G1466" t="s">
        <v>9197</v>
      </c>
      <c r="H1466" t="s">
        <v>301</v>
      </c>
      <c r="J1466" t="s">
        <v>605</v>
      </c>
      <c r="K1466" t="s">
        <v>606</v>
      </c>
      <c r="M1466" t="s">
        <v>1382</v>
      </c>
      <c r="N1466" t="s">
        <v>657</v>
      </c>
      <c r="O1466" t="s">
        <v>8701</v>
      </c>
      <c r="P1466" t="s">
        <v>658</v>
      </c>
      <c r="Q1466" t="s">
        <v>510</v>
      </c>
      <c r="R1466" t="s">
        <v>1384</v>
      </c>
      <c r="S1466" t="s">
        <v>1501</v>
      </c>
      <c r="T1466" t="s">
        <v>1568</v>
      </c>
      <c r="U1466">
        <v>187200</v>
      </c>
      <c r="V1466" t="s">
        <v>9197</v>
      </c>
      <c r="W1466" t="s">
        <v>9198</v>
      </c>
      <c r="X1466" t="s">
        <v>8394</v>
      </c>
      <c r="Y1466" t="s">
        <v>5253</v>
      </c>
      <c r="AA1466" t="s">
        <v>5254</v>
      </c>
      <c r="AB1466" t="s">
        <v>8390</v>
      </c>
      <c r="AE1466">
        <v>-38.563031299999999</v>
      </c>
      <c r="AF1466">
        <v>174.98580784999999</v>
      </c>
      <c r="AG1466" s="175">
        <v>25</v>
      </c>
      <c r="AH1466" s="175">
        <v>15</v>
      </c>
      <c r="AI1466" s="175">
        <v>1</v>
      </c>
      <c r="AJ1466" s="175">
        <v>0</v>
      </c>
      <c r="AK1466" s="175">
        <v>2</v>
      </c>
      <c r="AL1466" s="175">
        <v>1</v>
      </c>
      <c r="AM1466" s="175">
        <v>1</v>
      </c>
      <c r="AN1466" s="175">
        <v>0</v>
      </c>
      <c r="AO1466" s="175">
        <v>5</v>
      </c>
      <c r="AP1466" s="175">
        <v>5</v>
      </c>
      <c r="AQ1466" s="175">
        <v>1</v>
      </c>
      <c r="AR1466" s="175">
        <v>0</v>
      </c>
      <c r="AS1466" s="175">
        <v>0</v>
      </c>
      <c r="AT1466" s="175">
        <v>0</v>
      </c>
    </row>
    <row r="1467" spans="1:46">
      <c r="A1467">
        <v>31002</v>
      </c>
      <c r="B1467" t="s">
        <v>9199</v>
      </c>
      <c r="C1467" t="s">
        <v>8390</v>
      </c>
      <c r="D1467" t="s">
        <v>8391</v>
      </c>
      <c r="E1467" t="s">
        <v>9200</v>
      </c>
      <c r="G1467" t="s">
        <v>9201</v>
      </c>
      <c r="H1467" t="s">
        <v>301</v>
      </c>
      <c r="J1467" t="s">
        <v>605</v>
      </c>
      <c r="K1467" t="s">
        <v>606</v>
      </c>
      <c r="M1467" t="s">
        <v>1382</v>
      </c>
      <c r="N1467" t="s">
        <v>657</v>
      </c>
      <c r="O1467" t="s">
        <v>1703</v>
      </c>
      <c r="P1467" t="s">
        <v>658</v>
      </c>
      <c r="Q1467" t="s">
        <v>510</v>
      </c>
      <c r="R1467" t="s">
        <v>1384</v>
      </c>
      <c r="S1467" t="s">
        <v>1501</v>
      </c>
      <c r="T1467" t="s">
        <v>1568</v>
      </c>
      <c r="U1467">
        <v>185700</v>
      </c>
      <c r="V1467" t="s">
        <v>9202</v>
      </c>
      <c r="W1467" t="s">
        <v>9203</v>
      </c>
      <c r="X1467" t="s">
        <v>8394</v>
      </c>
      <c r="Y1467" t="s">
        <v>5253</v>
      </c>
      <c r="AA1467" t="s">
        <v>5254</v>
      </c>
      <c r="AB1467" t="s">
        <v>8390</v>
      </c>
      <c r="AE1467">
        <v>-38.192399119999997</v>
      </c>
      <c r="AF1467">
        <v>175.6125462</v>
      </c>
      <c r="AG1467" s="175">
        <v>25</v>
      </c>
      <c r="AH1467" s="175">
        <v>10</v>
      </c>
      <c r="AI1467" s="175">
        <v>0</v>
      </c>
      <c r="AJ1467" s="175">
        <v>2</v>
      </c>
      <c r="AK1467" s="175">
        <v>0</v>
      </c>
      <c r="AL1467" s="175">
        <v>7</v>
      </c>
      <c r="AM1467" s="175">
        <v>3</v>
      </c>
      <c r="AN1467" s="175">
        <v>0</v>
      </c>
      <c r="AO1467" s="175">
        <v>12</v>
      </c>
      <c r="AP1467" s="175">
        <v>8</v>
      </c>
      <c r="AQ1467" s="175">
        <v>2</v>
      </c>
      <c r="AR1467" s="175">
        <v>0</v>
      </c>
      <c r="AS1467" s="175">
        <v>1</v>
      </c>
      <c r="AT1467" s="175">
        <v>1</v>
      </c>
    </row>
    <row r="1468" spans="1:46">
      <c r="A1468">
        <v>31004</v>
      </c>
      <c r="B1468" t="s">
        <v>9204</v>
      </c>
      <c r="C1468" t="s">
        <v>8390</v>
      </c>
      <c r="D1468" t="s">
        <v>9205</v>
      </c>
      <c r="E1468" t="s">
        <v>9206</v>
      </c>
      <c r="G1468" t="s">
        <v>1702</v>
      </c>
      <c r="H1468" t="s">
        <v>301</v>
      </c>
      <c r="J1468" t="s">
        <v>605</v>
      </c>
      <c r="K1468" t="s">
        <v>606</v>
      </c>
      <c r="M1468" t="s">
        <v>1382</v>
      </c>
      <c r="N1468" t="s">
        <v>657</v>
      </c>
      <c r="O1468" t="s">
        <v>1703</v>
      </c>
      <c r="P1468" t="s">
        <v>610</v>
      </c>
      <c r="Q1468" t="s">
        <v>510</v>
      </c>
      <c r="R1468" t="s">
        <v>1384</v>
      </c>
      <c r="S1468" t="s">
        <v>1501</v>
      </c>
      <c r="T1468" t="s">
        <v>1568</v>
      </c>
      <c r="U1468">
        <v>185500</v>
      </c>
      <c r="V1468" t="s">
        <v>1704</v>
      </c>
      <c r="W1468" t="s">
        <v>1705</v>
      </c>
      <c r="X1468" t="s">
        <v>8394</v>
      </c>
      <c r="Y1468" t="s">
        <v>5253</v>
      </c>
      <c r="AA1468" t="s">
        <v>5254</v>
      </c>
      <c r="AB1468" t="s">
        <v>8390</v>
      </c>
      <c r="AE1468">
        <v>-38.183443310000001</v>
      </c>
      <c r="AF1468">
        <v>175.20532051000001</v>
      </c>
      <c r="AG1468" s="175">
        <v>30</v>
      </c>
      <c r="AH1468" s="175">
        <v>15</v>
      </c>
      <c r="AI1468" s="175">
        <v>2</v>
      </c>
      <c r="AJ1468" s="175">
        <v>5</v>
      </c>
      <c r="AK1468" s="175">
        <v>6</v>
      </c>
      <c r="AL1468" s="175">
        <v>4</v>
      </c>
      <c r="AM1468" s="175">
        <v>4</v>
      </c>
      <c r="AN1468" s="175">
        <v>2</v>
      </c>
      <c r="AO1468" s="175">
        <v>23</v>
      </c>
      <c r="AP1468" s="175">
        <v>20</v>
      </c>
      <c r="AQ1468" s="175">
        <v>5</v>
      </c>
      <c r="AR1468" s="175">
        <v>1</v>
      </c>
      <c r="AS1468" s="175">
        <v>0</v>
      </c>
      <c r="AT1468" s="175">
        <v>0</v>
      </c>
    </row>
    <row r="1469" spans="1:46">
      <c r="A1469">
        <v>31005</v>
      </c>
      <c r="B1469" t="s">
        <v>9207</v>
      </c>
      <c r="C1469" t="s">
        <v>8390</v>
      </c>
      <c r="E1469" t="s">
        <v>9208</v>
      </c>
      <c r="G1469" t="s">
        <v>9209</v>
      </c>
      <c r="H1469" t="s">
        <v>301</v>
      </c>
      <c r="J1469" t="s">
        <v>605</v>
      </c>
      <c r="K1469" t="s">
        <v>606</v>
      </c>
      <c r="M1469" t="s">
        <v>1382</v>
      </c>
      <c r="N1469" t="s">
        <v>657</v>
      </c>
      <c r="O1469" t="s">
        <v>1703</v>
      </c>
      <c r="P1469" t="s">
        <v>658</v>
      </c>
      <c r="Q1469" t="s">
        <v>510</v>
      </c>
      <c r="R1469" t="s">
        <v>1384</v>
      </c>
      <c r="S1469" t="s">
        <v>1501</v>
      </c>
      <c r="T1469" t="s">
        <v>1568</v>
      </c>
      <c r="U1469">
        <v>185600</v>
      </c>
      <c r="V1469" t="s">
        <v>9209</v>
      </c>
      <c r="W1469" t="s">
        <v>9210</v>
      </c>
      <c r="X1469" t="s">
        <v>8394</v>
      </c>
      <c r="Y1469" t="s">
        <v>5253</v>
      </c>
      <c r="AA1469" t="s">
        <v>5254</v>
      </c>
      <c r="AB1469" t="s">
        <v>8390</v>
      </c>
      <c r="AE1469">
        <v>-38.215957899999999</v>
      </c>
      <c r="AF1469">
        <v>175.38465479999999</v>
      </c>
      <c r="AG1469" s="175">
        <v>30</v>
      </c>
      <c r="AH1469" s="175">
        <v>11</v>
      </c>
      <c r="AI1469" s="175">
        <v>0</v>
      </c>
      <c r="AJ1469" s="175">
        <v>3</v>
      </c>
      <c r="AK1469" s="175">
        <v>4</v>
      </c>
      <c r="AL1469" s="175">
        <v>3</v>
      </c>
      <c r="AM1469" s="175">
        <v>2</v>
      </c>
      <c r="AN1469" s="175">
        <v>0</v>
      </c>
      <c r="AO1469" s="175">
        <v>12</v>
      </c>
      <c r="AP1469" s="175">
        <v>12</v>
      </c>
      <c r="AQ1469" s="175">
        <v>2</v>
      </c>
      <c r="AR1469" s="175">
        <v>0</v>
      </c>
      <c r="AS1469" s="175">
        <v>0</v>
      </c>
      <c r="AT1469" s="175">
        <v>0</v>
      </c>
    </row>
    <row r="1470" spans="1:46">
      <c r="A1470">
        <v>31006</v>
      </c>
      <c r="B1470" t="s">
        <v>9211</v>
      </c>
      <c r="C1470" t="s">
        <v>8390</v>
      </c>
      <c r="E1470" t="s">
        <v>9212</v>
      </c>
      <c r="G1470" t="s">
        <v>9213</v>
      </c>
      <c r="H1470" t="s">
        <v>301</v>
      </c>
      <c r="J1470" t="s">
        <v>605</v>
      </c>
      <c r="K1470" t="s">
        <v>606</v>
      </c>
      <c r="M1470" t="s">
        <v>1382</v>
      </c>
      <c r="N1470" t="s">
        <v>657</v>
      </c>
      <c r="O1470" t="s">
        <v>8701</v>
      </c>
      <c r="P1470" t="s">
        <v>626</v>
      </c>
      <c r="Q1470" t="s">
        <v>510</v>
      </c>
      <c r="R1470" t="s">
        <v>1384</v>
      </c>
      <c r="S1470" t="s">
        <v>1501</v>
      </c>
      <c r="T1470" t="s">
        <v>1568</v>
      </c>
      <c r="U1470">
        <v>187200</v>
      </c>
      <c r="V1470" t="s">
        <v>9197</v>
      </c>
      <c r="W1470" t="s">
        <v>9198</v>
      </c>
      <c r="X1470" t="s">
        <v>8394</v>
      </c>
      <c r="Y1470" t="s">
        <v>5253</v>
      </c>
      <c r="AA1470" t="s">
        <v>5254</v>
      </c>
      <c r="AB1470" t="s">
        <v>8390</v>
      </c>
      <c r="AE1470">
        <v>-38.468144940000002</v>
      </c>
      <c r="AF1470">
        <v>175.01496405</v>
      </c>
      <c r="AG1470" s="175">
        <v>30</v>
      </c>
      <c r="AH1470" s="175">
        <v>10</v>
      </c>
      <c r="AI1470" s="175">
        <v>0</v>
      </c>
      <c r="AJ1470" s="175">
        <v>2</v>
      </c>
      <c r="AK1470" s="175">
        <v>1</v>
      </c>
      <c r="AL1470" s="175">
        <v>2</v>
      </c>
      <c r="AM1470" s="175">
        <v>1</v>
      </c>
      <c r="AN1470" s="175">
        <v>0</v>
      </c>
      <c r="AO1470" s="175">
        <v>6</v>
      </c>
      <c r="AP1470" s="175">
        <v>6</v>
      </c>
      <c r="AQ1470" s="175">
        <v>0</v>
      </c>
      <c r="AR1470" s="175">
        <v>0</v>
      </c>
      <c r="AS1470" s="175">
        <v>0</v>
      </c>
      <c r="AT1470" s="175">
        <v>0</v>
      </c>
    </row>
    <row r="1471" spans="1:46">
      <c r="A1471">
        <v>31007</v>
      </c>
      <c r="B1471" t="s">
        <v>9214</v>
      </c>
      <c r="C1471" t="s">
        <v>8390</v>
      </c>
      <c r="D1471" t="s">
        <v>8391</v>
      </c>
      <c r="E1471" t="s">
        <v>9215</v>
      </c>
      <c r="G1471" t="s">
        <v>9026</v>
      </c>
      <c r="H1471" t="s">
        <v>301</v>
      </c>
      <c r="J1471" t="s">
        <v>605</v>
      </c>
      <c r="K1471" t="s">
        <v>606</v>
      </c>
      <c r="M1471" t="s">
        <v>1382</v>
      </c>
      <c r="N1471" t="s">
        <v>657</v>
      </c>
      <c r="O1471" t="s">
        <v>1403</v>
      </c>
      <c r="P1471" t="s">
        <v>610</v>
      </c>
      <c r="Q1471" t="s">
        <v>510</v>
      </c>
      <c r="R1471" t="s">
        <v>1384</v>
      </c>
      <c r="S1471" t="s">
        <v>1501</v>
      </c>
      <c r="T1471" t="s">
        <v>1320</v>
      </c>
      <c r="U1471">
        <v>181900</v>
      </c>
      <c r="V1471" t="s">
        <v>9026</v>
      </c>
      <c r="W1471" t="s">
        <v>9027</v>
      </c>
      <c r="X1471" t="s">
        <v>8394</v>
      </c>
      <c r="Y1471" t="s">
        <v>5253</v>
      </c>
      <c r="AA1471" t="s">
        <v>5254</v>
      </c>
      <c r="AB1471" t="s">
        <v>8390</v>
      </c>
      <c r="AE1471">
        <v>-37.990361819999997</v>
      </c>
      <c r="AF1471">
        <v>175.20024305999999</v>
      </c>
      <c r="AG1471" s="175">
        <v>26</v>
      </c>
      <c r="AH1471" s="175">
        <v>15</v>
      </c>
      <c r="AI1471" s="175">
        <v>4</v>
      </c>
      <c r="AJ1471" s="175">
        <v>2</v>
      </c>
      <c r="AK1471" s="175">
        <v>9</v>
      </c>
      <c r="AL1471" s="175">
        <v>3</v>
      </c>
      <c r="AM1471" s="175">
        <v>7</v>
      </c>
      <c r="AN1471" s="175">
        <v>0</v>
      </c>
      <c r="AO1471" s="175">
        <v>25</v>
      </c>
      <c r="AP1471" s="175">
        <v>23</v>
      </c>
      <c r="AQ1471" s="175">
        <v>3</v>
      </c>
      <c r="AR1471" s="175">
        <v>2</v>
      </c>
      <c r="AS1471" s="175">
        <v>1</v>
      </c>
      <c r="AT1471" s="175">
        <v>0</v>
      </c>
    </row>
    <row r="1472" spans="1:46">
      <c r="A1472">
        <v>31009</v>
      </c>
      <c r="B1472" t="s">
        <v>9216</v>
      </c>
      <c r="C1472" t="s">
        <v>8390</v>
      </c>
      <c r="D1472" t="s">
        <v>8391</v>
      </c>
      <c r="E1472" t="s">
        <v>9217</v>
      </c>
      <c r="G1472" t="s">
        <v>1621</v>
      </c>
      <c r="H1472" t="s">
        <v>301</v>
      </c>
      <c r="J1472" t="s">
        <v>605</v>
      </c>
      <c r="K1472" t="s">
        <v>606</v>
      </c>
      <c r="M1472" t="s">
        <v>1382</v>
      </c>
      <c r="N1472" t="s">
        <v>657</v>
      </c>
      <c r="O1472" t="s">
        <v>1403</v>
      </c>
      <c r="P1472" t="s">
        <v>658</v>
      </c>
      <c r="Q1472" t="s">
        <v>510</v>
      </c>
      <c r="R1472" t="s">
        <v>1384</v>
      </c>
      <c r="S1472" t="s">
        <v>1501</v>
      </c>
      <c r="T1472" t="s">
        <v>1320</v>
      </c>
      <c r="U1472">
        <v>184601</v>
      </c>
      <c r="V1472" t="s">
        <v>9218</v>
      </c>
      <c r="W1472" t="s">
        <v>9027</v>
      </c>
      <c r="X1472" t="s">
        <v>8394</v>
      </c>
      <c r="Y1472" t="s">
        <v>5253</v>
      </c>
      <c r="AA1472" t="s">
        <v>5254</v>
      </c>
      <c r="AB1472" t="s">
        <v>8390</v>
      </c>
      <c r="AE1472">
        <v>-38.037519000000003</v>
      </c>
      <c r="AF1472">
        <v>175.40907139999999</v>
      </c>
      <c r="AG1472" s="175">
        <v>25</v>
      </c>
      <c r="AH1472" s="175">
        <v>15</v>
      </c>
      <c r="AI1472" s="175">
        <v>1</v>
      </c>
      <c r="AJ1472" s="175">
        <v>4</v>
      </c>
      <c r="AK1472" s="175">
        <v>1</v>
      </c>
      <c r="AL1472" s="175">
        <v>1</v>
      </c>
      <c r="AM1472" s="175">
        <v>0</v>
      </c>
      <c r="AN1472" s="175">
        <v>1</v>
      </c>
      <c r="AO1472" s="175">
        <v>8</v>
      </c>
      <c r="AP1472" s="175">
        <v>7</v>
      </c>
      <c r="AQ1472" s="175">
        <v>1</v>
      </c>
      <c r="AR1472" s="175">
        <v>0</v>
      </c>
      <c r="AS1472" s="175">
        <v>1</v>
      </c>
      <c r="AT1472" s="175">
        <v>0</v>
      </c>
    </row>
    <row r="1473" spans="1:46">
      <c r="A1473">
        <v>31010</v>
      </c>
      <c r="B1473" t="s">
        <v>9219</v>
      </c>
      <c r="C1473" t="s">
        <v>8390</v>
      </c>
      <c r="D1473" t="s">
        <v>8391</v>
      </c>
      <c r="E1473" t="s">
        <v>9220</v>
      </c>
      <c r="G1473" t="s">
        <v>9221</v>
      </c>
      <c r="H1473" t="s">
        <v>301</v>
      </c>
      <c r="J1473" t="s">
        <v>605</v>
      </c>
      <c r="K1473" t="s">
        <v>606</v>
      </c>
      <c r="M1473" t="s">
        <v>1382</v>
      </c>
      <c r="N1473" t="s">
        <v>657</v>
      </c>
      <c r="O1473" t="s">
        <v>1403</v>
      </c>
      <c r="P1473" t="s">
        <v>658</v>
      </c>
      <c r="Q1473" t="s">
        <v>510</v>
      </c>
      <c r="R1473" t="s">
        <v>1384</v>
      </c>
      <c r="S1473" t="s">
        <v>1501</v>
      </c>
      <c r="T1473" t="s">
        <v>1568</v>
      </c>
      <c r="U1473">
        <v>185000</v>
      </c>
      <c r="V1473" t="s">
        <v>9222</v>
      </c>
      <c r="W1473" t="s">
        <v>9027</v>
      </c>
      <c r="X1473" t="s">
        <v>8394</v>
      </c>
      <c r="Y1473" t="s">
        <v>5253</v>
      </c>
      <c r="AA1473" t="s">
        <v>5254</v>
      </c>
      <c r="AB1473" t="s">
        <v>8390</v>
      </c>
      <c r="AE1473">
        <v>-38.064610500000001</v>
      </c>
      <c r="AF1473">
        <v>175.5587616</v>
      </c>
      <c r="AG1473" s="175">
        <v>25</v>
      </c>
      <c r="AH1473" s="175">
        <v>10</v>
      </c>
      <c r="AI1473" s="175">
        <v>0</v>
      </c>
      <c r="AJ1473" s="175">
        <v>0</v>
      </c>
      <c r="AK1473" s="175">
        <v>1</v>
      </c>
      <c r="AL1473" s="175">
        <v>0</v>
      </c>
      <c r="AM1473" s="175">
        <v>0</v>
      </c>
      <c r="AN1473" s="175">
        <v>0</v>
      </c>
      <c r="AO1473" s="175">
        <v>1</v>
      </c>
      <c r="AP1473" s="175">
        <v>1</v>
      </c>
      <c r="AQ1473" s="175">
        <v>0</v>
      </c>
      <c r="AR1473" s="175">
        <v>0</v>
      </c>
      <c r="AS1473" s="175">
        <v>0</v>
      </c>
      <c r="AT1473" s="175">
        <v>0</v>
      </c>
    </row>
    <row r="1474" spans="1:46">
      <c r="A1474">
        <v>31013</v>
      </c>
      <c r="B1474" t="s">
        <v>9223</v>
      </c>
      <c r="D1474" t="s">
        <v>8391</v>
      </c>
      <c r="E1474" t="s">
        <v>9224</v>
      </c>
      <c r="G1474" t="s">
        <v>1621</v>
      </c>
      <c r="H1474" t="s">
        <v>301</v>
      </c>
      <c r="J1474" t="s">
        <v>605</v>
      </c>
      <c r="K1474" t="s">
        <v>606</v>
      </c>
      <c r="M1474" t="s">
        <v>1382</v>
      </c>
      <c r="N1474" t="s">
        <v>657</v>
      </c>
      <c r="O1474" t="s">
        <v>1403</v>
      </c>
      <c r="P1474" t="s">
        <v>1347</v>
      </c>
      <c r="Q1474" t="s">
        <v>510</v>
      </c>
      <c r="R1474" t="s">
        <v>1384</v>
      </c>
      <c r="S1474" t="s">
        <v>1501</v>
      </c>
      <c r="T1474" t="s">
        <v>1320</v>
      </c>
      <c r="U1474">
        <v>183300</v>
      </c>
      <c r="V1474" t="s">
        <v>8893</v>
      </c>
      <c r="W1474" t="s">
        <v>1623</v>
      </c>
      <c r="X1474" t="s">
        <v>8394</v>
      </c>
      <c r="Y1474" t="s">
        <v>5253</v>
      </c>
      <c r="AA1474" t="s">
        <v>5254</v>
      </c>
      <c r="AB1474" t="s">
        <v>8390</v>
      </c>
      <c r="AE1474">
        <v>-38.005949000000001</v>
      </c>
      <c r="AF1474">
        <v>175.32905880000001</v>
      </c>
      <c r="AG1474" s="175">
        <v>30</v>
      </c>
      <c r="AH1474" s="175">
        <v>15</v>
      </c>
      <c r="AI1474" s="175">
        <v>7</v>
      </c>
      <c r="AJ1474" s="175">
        <v>7</v>
      </c>
      <c r="AK1474" s="175">
        <v>6</v>
      </c>
      <c r="AL1474" s="175">
        <v>4</v>
      </c>
      <c r="AM1474" s="175">
        <v>4</v>
      </c>
      <c r="AN1474" s="175">
        <v>0</v>
      </c>
      <c r="AO1474" s="175">
        <v>28</v>
      </c>
      <c r="AP1474" s="175">
        <v>25</v>
      </c>
      <c r="AQ1474" s="175">
        <v>4</v>
      </c>
      <c r="AR1474" s="175">
        <v>2</v>
      </c>
      <c r="AS1474" s="175">
        <v>2</v>
      </c>
      <c r="AT1474" s="175">
        <v>1</v>
      </c>
    </row>
    <row r="1475" spans="1:46">
      <c r="A1475">
        <v>31014</v>
      </c>
      <c r="B1475" t="s">
        <v>9225</v>
      </c>
      <c r="C1475" t="s">
        <v>8390</v>
      </c>
      <c r="D1475" t="s">
        <v>8391</v>
      </c>
      <c r="E1475" t="s">
        <v>9226</v>
      </c>
      <c r="G1475" t="s">
        <v>8700</v>
      </c>
      <c r="H1475" t="s">
        <v>301</v>
      </c>
      <c r="J1475" t="s">
        <v>605</v>
      </c>
      <c r="K1475" t="s">
        <v>606</v>
      </c>
      <c r="M1475" t="s">
        <v>1382</v>
      </c>
      <c r="N1475" t="s">
        <v>643</v>
      </c>
      <c r="O1475" t="s">
        <v>8701</v>
      </c>
      <c r="P1475" t="s">
        <v>610</v>
      </c>
      <c r="Q1475" t="s">
        <v>510</v>
      </c>
      <c r="R1475" t="s">
        <v>1384</v>
      </c>
      <c r="S1475" t="s">
        <v>1501</v>
      </c>
      <c r="T1475" t="s">
        <v>1568</v>
      </c>
      <c r="U1475">
        <v>187300</v>
      </c>
      <c r="V1475" t="s">
        <v>9227</v>
      </c>
      <c r="W1475" t="s">
        <v>8703</v>
      </c>
      <c r="X1475" t="s">
        <v>8394</v>
      </c>
      <c r="Y1475" t="s">
        <v>5253</v>
      </c>
      <c r="AA1475" t="s">
        <v>5254</v>
      </c>
      <c r="AB1475" t="s">
        <v>8390</v>
      </c>
      <c r="AE1475">
        <v>-38.3352121</v>
      </c>
      <c r="AF1475">
        <v>175.15991030000001</v>
      </c>
      <c r="AG1475" s="175">
        <v>30</v>
      </c>
      <c r="AH1475" s="175">
        <v>15</v>
      </c>
      <c r="AI1475" s="175">
        <v>2</v>
      </c>
      <c r="AJ1475" s="175">
        <v>4</v>
      </c>
      <c r="AK1475" s="175">
        <v>3</v>
      </c>
      <c r="AL1475" s="175">
        <v>2</v>
      </c>
      <c r="AM1475" s="175">
        <v>2</v>
      </c>
      <c r="AN1475" s="175">
        <v>0</v>
      </c>
      <c r="AO1475" s="175">
        <v>13</v>
      </c>
      <c r="AP1475" s="175">
        <v>8</v>
      </c>
      <c r="AQ1475" s="175">
        <v>3</v>
      </c>
      <c r="AR1475" s="175">
        <v>1</v>
      </c>
      <c r="AS1475" s="175">
        <v>4</v>
      </c>
      <c r="AT1475" s="175">
        <v>0</v>
      </c>
    </row>
    <row r="1476" spans="1:46">
      <c r="A1476">
        <v>31016</v>
      </c>
      <c r="B1476" t="s">
        <v>9228</v>
      </c>
      <c r="C1476" t="s">
        <v>8390</v>
      </c>
      <c r="D1476" t="s">
        <v>8391</v>
      </c>
      <c r="E1476" t="s">
        <v>9229</v>
      </c>
      <c r="G1476" t="s">
        <v>1621</v>
      </c>
      <c r="H1476" t="s">
        <v>301</v>
      </c>
      <c r="J1476" t="s">
        <v>605</v>
      </c>
      <c r="K1476" t="s">
        <v>606</v>
      </c>
      <c r="M1476" t="s">
        <v>1382</v>
      </c>
      <c r="N1476" t="s">
        <v>657</v>
      </c>
      <c r="O1476" t="s">
        <v>1703</v>
      </c>
      <c r="P1476" t="s">
        <v>658</v>
      </c>
      <c r="Q1476" t="s">
        <v>510</v>
      </c>
      <c r="R1476" t="s">
        <v>1384</v>
      </c>
      <c r="S1476" t="s">
        <v>1501</v>
      </c>
      <c r="T1476" t="s">
        <v>1568</v>
      </c>
      <c r="U1476">
        <v>185700</v>
      </c>
      <c r="V1476" t="s">
        <v>9202</v>
      </c>
      <c r="W1476" t="s">
        <v>9230</v>
      </c>
      <c r="X1476" t="s">
        <v>8394</v>
      </c>
      <c r="Y1476" t="s">
        <v>5253</v>
      </c>
      <c r="AA1476" t="s">
        <v>5254</v>
      </c>
      <c r="AB1476" t="s">
        <v>8390</v>
      </c>
      <c r="AE1476">
        <v>-38.143969290000001</v>
      </c>
      <c r="AF1476">
        <v>175.41104086999999</v>
      </c>
      <c r="AG1476" s="175">
        <v>30</v>
      </c>
      <c r="AH1476" s="175">
        <v>15</v>
      </c>
      <c r="AI1476" s="175">
        <v>1</v>
      </c>
      <c r="AJ1476" s="175">
        <v>5</v>
      </c>
      <c r="AK1476" s="175">
        <v>5</v>
      </c>
      <c r="AL1476" s="175">
        <v>3</v>
      </c>
      <c r="AM1476" s="175">
        <v>9</v>
      </c>
      <c r="AN1476" s="175">
        <v>0</v>
      </c>
      <c r="AO1476" s="175">
        <v>23</v>
      </c>
      <c r="AP1476" s="175">
        <v>23</v>
      </c>
      <c r="AQ1476" s="175">
        <v>2</v>
      </c>
      <c r="AR1476" s="175">
        <v>0</v>
      </c>
      <c r="AS1476" s="175">
        <v>0</v>
      </c>
      <c r="AT1476" s="175">
        <v>1</v>
      </c>
    </row>
    <row r="1477" spans="1:46">
      <c r="A1477">
        <v>32001</v>
      </c>
      <c r="B1477" t="s">
        <v>9231</v>
      </c>
      <c r="D1477" t="s">
        <v>8974</v>
      </c>
      <c r="E1477" t="s">
        <v>9232</v>
      </c>
      <c r="G1477" t="s">
        <v>1522</v>
      </c>
      <c r="H1477" t="s">
        <v>301</v>
      </c>
      <c r="J1477" t="s">
        <v>605</v>
      </c>
      <c r="K1477" t="s">
        <v>606</v>
      </c>
      <c r="M1477" t="s">
        <v>1382</v>
      </c>
      <c r="N1477" t="s">
        <v>657</v>
      </c>
      <c r="O1477" t="s">
        <v>1545</v>
      </c>
      <c r="P1477" t="s">
        <v>610</v>
      </c>
      <c r="Q1477" t="s">
        <v>510</v>
      </c>
      <c r="R1477" t="s">
        <v>1384</v>
      </c>
      <c r="S1477" t="s">
        <v>1522</v>
      </c>
      <c r="T1477" t="s">
        <v>1320</v>
      </c>
      <c r="U1477">
        <v>166700</v>
      </c>
      <c r="V1477" t="s">
        <v>1522</v>
      </c>
      <c r="W1477" t="s">
        <v>9045</v>
      </c>
      <c r="X1477" t="s">
        <v>8394</v>
      </c>
      <c r="Y1477" t="s">
        <v>5253</v>
      </c>
      <c r="AA1477" t="s">
        <v>5254</v>
      </c>
      <c r="AB1477" t="s">
        <v>8390</v>
      </c>
      <c r="AE1477">
        <v>-36.759246959999999</v>
      </c>
      <c r="AF1477">
        <v>175.4990506</v>
      </c>
      <c r="AG1477" s="175">
        <v>30</v>
      </c>
      <c r="AH1477" s="175">
        <v>13</v>
      </c>
      <c r="AI1477" s="175">
        <v>0</v>
      </c>
      <c r="AJ1477" s="175">
        <v>2</v>
      </c>
      <c r="AK1477" s="175">
        <v>1</v>
      </c>
      <c r="AL1477" s="175">
        <v>4</v>
      </c>
      <c r="AM1477" s="175">
        <v>1</v>
      </c>
      <c r="AN1477" s="175">
        <v>0</v>
      </c>
      <c r="AO1477" s="175">
        <v>8</v>
      </c>
      <c r="AP1477" s="175">
        <v>6</v>
      </c>
      <c r="AQ1477" s="175">
        <v>5</v>
      </c>
      <c r="AR1477" s="175">
        <v>0</v>
      </c>
      <c r="AS1477" s="175">
        <v>0</v>
      </c>
      <c r="AT1477" s="175">
        <v>0</v>
      </c>
    </row>
    <row r="1478" spans="1:46">
      <c r="A1478">
        <v>32003</v>
      </c>
      <c r="B1478" t="s">
        <v>9233</v>
      </c>
      <c r="D1478" t="s">
        <v>8974</v>
      </c>
      <c r="E1478" t="s">
        <v>9234</v>
      </c>
      <c r="G1478" t="s">
        <v>9235</v>
      </c>
      <c r="H1478" t="s">
        <v>301</v>
      </c>
      <c r="J1478" t="s">
        <v>605</v>
      </c>
      <c r="K1478" t="s">
        <v>606</v>
      </c>
      <c r="M1478" t="s">
        <v>1382</v>
      </c>
      <c r="N1478" t="s">
        <v>657</v>
      </c>
      <c r="O1478" t="s">
        <v>1435</v>
      </c>
      <c r="P1478" t="s">
        <v>658</v>
      </c>
      <c r="Q1478" t="s">
        <v>510</v>
      </c>
      <c r="R1478" t="s">
        <v>1384</v>
      </c>
      <c r="S1478" t="s">
        <v>1522</v>
      </c>
      <c r="T1478" t="s">
        <v>1320</v>
      </c>
      <c r="U1478">
        <v>170700</v>
      </c>
      <c r="V1478" t="s">
        <v>7838</v>
      </c>
      <c r="W1478" t="s">
        <v>7768</v>
      </c>
      <c r="X1478" t="s">
        <v>8394</v>
      </c>
      <c r="Y1478" t="s">
        <v>5253</v>
      </c>
      <c r="AA1478" t="s">
        <v>5254</v>
      </c>
      <c r="AB1478" t="s">
        <v>8390</v>
      </c>
      <c r="AE1478">
        <v>-37.200073580000002</v>
      </c>
      <c r="AF1478">
        <v>175.20408739999999</v>
      </c>
      <c r="AG1478" s="175">
        <v>30</v>
      </c>
      <c r="AH1478" s="175">
        <v>10</v>
      </c>
      <c r="AI1478" s="175">
        <v>1</v>
      </c>
      <c r="AJ1478" s="175">
        <v>1</v>
      </c>
      <c r="AK1478" s="175">
        <v>2</v>
      </c>
      <c r="AL1478" s="175">
        <v>1</v>
      </c>
      <c r="AM1478" s="175">
        <v>0</v>
      </c>
      <c r="AN1478" s="175">
        <v>0</v>
      </c>
      <c r="AO1478" s="175">
        <v>5</v>
      </c>
      <c r="AP1478" s="175">
        <v>5</v>
      </c>
      <c r="AQ1478" s="175">
        <v>1</v>
      </c>
      <c r="AR1478" s="175">
        <v>0</v>
      </c>
      <c r="AS1478" s="175">
        <v>0</v>
      </c>
      <c r="AT1478" s="175">
        <v>0</v>
      </c>
    </row>
    <row r="1479" spans="1:46">
      <c r="A1479">
        <v>32005</v>
      </c>
      <c r="B1479" t="s">
        <v>9236</v>
      </c>
      <c r="D1479" t="s">
        <v>8391</v>
      </c>
      <c r="E1479" t="s">
        <v>9237</v>
      </c>
      <c r="G1479" t="s">
        <v>1533</v>
      </c>
      <c r="H1479" t="s">
        <v>301</v>
      </c>
      <c r="J1479" t="s">
        <v>605</v>
      </c>
      <c r="K1479" t="s">
        <v>606</v>
      </c>
      <c r="M1479" t="s">
        <v>1382</v>
      </c>
      <c r="N1479" t="s">
        <v>657</v>
      </c>
      <c r="O1479" t="s">
        <v>1534</v>
      </c>
      <c r="P1479" t="s">
        <v>658</v>
      </c>
      <c r="Q1479" t="s">
        <v>510</v>
      </c>
      <c r="R1479" t="s">
        <v>1384</v>
      </c>
      <c r="S1479" t="s">
        <v>1384</v>
      </c>
      <c r="T1479" t="s">
        <v>1320</v>
      </c>
      <c r="U1479">
        <v>174300</v>
      </c>
      <c r="V1479" t="s">
        <v>9238</v>
      </c>
      <c r="W1479" t="s">
        <v>1536</v>
      </c>
      <c r="X1479" t="s">
        <v>8394</v>
      </c>
      <c r="Y1479" t="s">
        <v>5253</v>
      </c>
      <c r="AA1479" t="s">
        <v>5254</v>
      </c>
      <c r="AB1479" t="s">
        <v>8390</v>
      </c>
      <c r="AE1479">
        <v>-37.62969116</v>
      </c>
      <c r="AF1479">
        <v>175.76285996999999</v>
      </c>
      <c r="AG1479" s="175">
        <v>25</v>
      </c>
      <c r="AH1479" s="175">
        <v>14</v>
      </c>
      <c r="AI1479" s="175">
        <v>0</v>
      </c>
      <c r="AJ1479" s="175">
        <v>2</v>
      </c>
      <c r="AK1479" s="175">
        <v>1</v>
      </c>
      <c r="AL1479" s="175">
        <v>1</v>
      </c>
      <c r="AM1479" s="175">
        <v>4</v>
      </c>
      <c r="AN1479" s="175">
        <v>0</v>
      </c>
      <c r="AO1479" s="175">
        <v>8</v>
      </c>
      <c r="AP1479" s="175">
        <v>7</v>
      </c>
      <c r="AQ1479" s="175">
        <v>3</v>
      </c>
      <c r="AR1479" s="175">
        <v>0</v>
      </c>
      <c r="AS1479" s="175">
        <v>1</v>
      </c>
      <c r="AT1479" s="175">
        <v>0</v>
      </c>
    </row>
    <row r="1480" spans="1:46">
      <c r="A1480">
        <v>32006</v>
      </c>
      <c r="B1480" t="s">
        <v>9239</v>
      </c>
      <c r="D1480" t="s">
        <v>8974</v>
      </c>
      <c r="E1480" t="s">
        <v>9240</v>
      </c>
      <c r="G1480" t="s">
        <v>3926</v>
      </c>
      <c r="H1480" t="s">
        <v>301</v>
      </c>
      <c r="J1480" t="s">
        <v>605</v>
      </c>
      <c r="K1480" t="s">
        <v>606</v>
      </c>
      <c r="M1480" t="s">
        <v>1382</v>
      </c>
      <c r="N1480" t="s">
        <v>657</v>
      </c>
      <c r="O1480" t="s">
        <v>1521</v>
      </c>
      <c r="P1480" t="s">
        <v>610</v>
      </c>
      <c r="Q1480" t="s">
        <v>510</v>
      </c>
      <c r="R1480" t="s">
        <v>1384</v>
      </c>
      <c r="S1480" t="s">
        <v>1522</v>
      </c>
      <c r="T1480" t="s">
        <v>1320</v>
      </c>
      <c r="U1480">
        <v>168901</v>
      </c>
      <c r="V1480" t="s">
        <v>3926</v>
      </c>
      <c r="W1480" t="s">
        <v>3927</v>
      </c>
      <c r="X1480" t="s">
        <v>8394</v>
      </c>
      <c r="Y1480" t="s">
        <v>5253</v>
      </c>
      <c r="AA1480" t="s">
        <v>5254</v>
      </c>
      <c r="AB1480" t="s">
        <v>8390</v>
      </c>
      <c r="AE1480">
        <v>-37.2780773</v>
      </c>
      <c r="AF1480">
        <v>175.49357660000001</v>
      </c>
      <c r="AG1480" s="175">
        <v>24</v>
      </c>
      <c r="AH1480" s="175">
        <v>13</v>
      </c>
      <c r="AI1480" s="175">
        <v>3</v>
      </c>
      <c r="AJ1480" s="175">
        <v>4</v>
      </c>
      <c r="AK1480" s="175">
        <v>8</v>
      </c>
      <c r="AL1480" s="175">
        <v>8</v>
      </c>
      <c r="AM1480" s="175">
        <v>3</v>
      </c>
      <c r="AN1480" s="175">
        <v>0</v>
      </c>
      <c r="AO1480" s="175">
        <v>26</v>
      </c>
      <c r="AP1480" s="175">
        <v>23</v>
      </c>
      <c r="AQ1480" s="175">
        <v>4</v>
      </c>
      <c r="AR1480" s="175">
        <v>0</v>
      </c>
      <c r="AS1480" s="175">
        <v>1</v>
      </c>
      <c r="AT1480" s="175">
        <v>2</v>
      </c>
    </row>
    <row r="1481" spans="1:46">
      <c r="A1481">
        <v>32007</v>
      </c>
      <c r="B1481" t="s">
        <v>9241</v>
      </c>
      <c r="C1481" t="s">
        <v>8390</v>
      </c>
      <c r="D1481" t="s">
        <v>8974</v>
      </c>
      <c r="E1481" t="s">
        <v>9242</v>
      </c>
      <c r="G1481" t="s">
        <v>1520</v>
      </c>
      <c r="H1481" t="s">
        <v>301</v>
      </c>
      <c r="J1481" t="s">
        <v>605</v>
      </c>
      <c r="K1481" t="s">
        <v>606</v>
      </c>
      <c r="M1481" t="s">
        <v>1382</v>
      </c>
      <c r="N1481" t="s">
        <v>657</v>
      </c>
      <c r="O1481" t="s">
        <v>1521</v>
      </c>
      <c r="P1481" t="s">
        <v>610</v>
      </c>
      <c r="Q1481" t="s">
        <v>510</v>
      </c>
      <c r="R1481" t="s">
        <v>1384</v>
      </c>
      <c r="S1481" t="s">
        <v>1522</v>
      </c>
      <c r="T1481" t="s">
        <v>1320</v>
      </c>
      <c r="U1481">
        <v>169200</v>
      </c>
      <c r="V1481" t="s">
        <v>1520</v>
      </c>
      <c r="W1481" t="s">
        <v>1523</v>
      </c>
      <c r="X1481" t="s">
        <v>8394</v>
      </c>
      <c r="Y1481" t="s">
        <v>5253</v>
      </c>
      <c r="AA1481" t="s">
        <v>5254</v>
      </c>
      <c r="AB1481" t="s">
        <v>8390</v>
      </c>
      <c r="AC1481">
        <v>99070</v>
      </c>
      <c r="AD1481" t="s">
        <v>1528</v>
      </c>
      <c r="AE1481">
        <v>-37.377822889999997</v>
      </c>
      <c r="AF1481">
        <v>175.68445396999999</v>
      </c>
      <c r="AG1481" s="175">
        <v>30</v>
      </c>
      <c r="AH1481" s="175">
        <v>14</v>
      </c>
      <c r="AI1481" s="175">
        <v>1</v>
      </c>
      <c r="AJ1481" s="175">
        <v>3</v>
      </c>
      <c r="AK1481" s="175">
        <v>4</v>
      </c>
      <c r="AL1481" s="175">
        <v>3</v>
      </c>
      <c r="AM1481" s="175">
        <v>2</v>
      </c>
      <c r="AN1481" s="175">
        <v>0</v>
      </c>
      <c r="AO1481" s="175">
        <v>13</v>
      </c>
      <c r="AP1481" s="175">
        <v>13</v>
      </c>
      <c r="AQ1481" s="175">
        <v>5</v>
      </c>
      <c r="AR1481" s="175">
        <v>0</v>
      </c>
      <c r="AS1481" s="175">
        <v>0</v>
      </c>
      <c r="AT1481" s="175">
        <v>0</v>
      </c>
    </row>
    <row r="1482" spans="1:46">
      <c r="A1482">
        <v>32009</v>
      </c>
      <c r="B1482" t="s">
        <v>9243</v>
      </c>
      <c r="C1482" t="s">
        <v>8390</v>
      </c>
      <c r="D1482" t="s">
        <v>8974</v>
      </c>
      <c r="E1482" t="s">
        <v>9244</v>
      </c>
      <c r="G1482" t="s">
        <v>1533</v>
      </c>
      <c r="H1482" t="s">
        <v>301</v>
      </c>
      <c r="J1482" t="s">
        <v>605</v>
      </c>
      <c r="K1482" t="s">
        <v>606</v>
      </c>
      <c r="M1482" t="s">
        <v>1382</v>
      </c>
      <c r="N1482" t="s">
        <v>657</v>
      </c>
      <c r="O1482" t="s">
        <v>1534</v>
      </c>
      <c r="P1482" t="s">
        <v>610</v>
      </c>
      <c r="Q1482" t="s">
        <v>510</v>
      </c>
      <c r="R1482" t="s">
        <v>1384</v>
      </c>
      <c r="S1482" t="s">
        <v>1384</v>
      </c>
      <c r="T1482" t="s">
        <v>1320</v>
      </c>
      <c r="U1482">
        <v>174100</v>
      </c>
      <c r="V1482" t="s">
        <v>1535</v>
      </c>
      <c r="W1482" t="s">
        <v>1536</v>
      </c>
      <c r="X1482" t="s">
        <v>8394</v>
      </c>
      <c r="Y1482" t="s">
        <v>5253</v>
      </c>
      <c r="AA1482" t="s">
        <v>5254</v>
      </c>
      <c r="AB1482" t="s">
        <v>8390</v>
      </c>
      <c r="AE1482">
        <v>-37.542103599999997</v>
      </c>
      <c r="AF1482">
        <v>175.70565855000001</v>
      </c>
      <c r="AG1482" s="175">
        <v>30</v>
      </c>
      <c r="AH1482" s="175">
        <v>15</v>
      </c>
      <c r="AI1482" s="175">
        <v>3</v>
      </c>
      <c r="AJ1482" s="175">
        <v>2</v>
      </c>
      <c r="AK1482" s="175">
        <v>5</v>
      </c>
      <c r="AL1482" s="175">
        <v>1</v>
      </c>
      <c r="AM1482" s="175">
        <v>6</v>
      </c>
      <c r="AN1482" s="175">
        <v>0</v>
      </c>
      <c r="AO1482" s="175">
        <v>17</v>
      </c>
      <c r="AP1482" s="175">
        <v>13</v>
      </c>
      <c r="AQ1482" s="175">
        <v>0</v>
      </c>
      <c r="AR1482" s="175">
        <v>0</v>
      </c>
      <c r="AS1482" s="175">
        <v>4</v>
      </c>
      <c r="AT1482" s="175">
        <v>0</v>
      </c>
    </row>
    <row r="1483" spans="1:46">
      <c r="A1483">
        <v>32010</v>
      </c>
      <c r="B1483" t="s">
        <v>9245</v>
      </c>
      <c r="C1483" t="s">
        <v>8390</v>
      </c>
      <c r="D1483" t="s">
        <v>8974</v>
      </c>
      <c r="E1483" t="s">
        <v>9246</v>
      </c>
      <c r="G1483" t="s">
        <v>1544</v>
      </c>
      <c r="H1483" t="s">
        <v>301</v>
      </c>
      <c r="J1483" t="s">
        <v>605</v>
      </c>
      <c r="K1483" t="s">
        <v>606</v>
      </c>
      <c r="M1483" t="s">
        <v>1382</v>
      </c>
      <c r="N1483" t="s">
        <v>657</v>
      </c>
      <c r="O1483" t="s">
        <v>1545</v>
      </c>
      <c r="P1483" t="s">
        <v>610</v>
      </c>
      <c r="Q1483" t="s">
        <v>510</v>
      </c>
      <c r="R1483" t="s">
        <v>1384</v>
      </c>
      <c r="S1483" t="s">
        <v>1522</v>
      </c>
      <c r="T1483" t="s">
        <v>1320</v>
      </c>
      <c r="U1483">
        <v>167800</v>
      </c>
      <c r="V1483" t="s">
        <v>9247</v>
      </c>
      <c r="W1483" t="s">
        <v>1547</v>
      </c>
      <c r="X1483" t="s">
        <v>8394</v>
      </c>
      <c r="Y1483" t="s">
        <v>5253</v>
      </c>
      <c r="AA1483" t="s">
        <v>5254</v>
      </c>
      <c r="AB1483" t="s">
        <v>8390</v>
      </c>
      <c r="AE1483">
        <v>-37.151872820000001</v>
      </c>
      <c r="AF1483">
        <v>175.55705803999999</v>
      </c>
      <c r="AG1483" s="175">
        <v>30</v>
      </c>
      <c r="AH1483" s="175">
        <v>15</v>
      </c>
      <c r="AI1483" s="175">
        <v>1</v>
      </c>
      <c r="AJ1483" s="175">
        <v>2</v>
      </c>
      <c r="AK1483" s="175">
        <v>7</v>
      </c>
      <c r="AL1483" s="175">
        <v>1</v>
      </c>
      <c r="AM1483" s="175">
        <v>3</v>
      </c>
      <c r="AN1483" s="175">
        <v>0</v>
      </c>
      <c r="AO1483" s="175">
        <v>14</v>
      </c>
      <c r="AP1483" s="175">
        <v>11</v>
      </c>
      <c r="AQ1483" s="175">
        <v>5</v>
      </c>
      <c r="AR1483" s="175">
        <v>1</v>
      </c>
      <c r="AS1483" s="175">
        <v>0</v>
      </c>
      <c r="AT1483" s="175">
        <v>1</v>
      </c>
    </row>
    <row r="1484" spans="1:46">
      <c r="A1484">
        <v>32011</v>
      </c>
      <c r="B1484" t="s">
        <v>9248</v>
      </c>
      <c r="C1484" t="s">
        <v>9249</v>
      </c>
      <c r="D1484" t="s">
        <v>8974</v>
      </c>
      <c r="E1484" t="s">
        <v>9250</v>
      </c>
      <c r="G1484" t="s">
        <v>9170</v>
      </c>
      <c r="H1484" t="s">
        <v>301</v>
      </c>
      <c r="J1484" t="s">
        <v>605</v>
      </c>
      <c r="K1484" t="s">
        <v>606</v>
      </c>
      <c r="M1484" t="s">
        <v>1382</v>
      </c>
      <c r="N1484" t="s">
        <v>657</v>
      </c>
      <c r="O1484" t="s">
        <v>1521</v>
      </c>
      <c r="P1484" t="s">
        <v>626</v>
      </c>
      <c r="Q1484" t="s">
        <v>510</v>
      </c>
      <c r="R1484" t="s">
        <v>1384</v>
      </c>
      <c r="S1484" t="s">
        <v>1522</v>
      </c>
      <c r="T1484" t="s">
        <v>1320</v>
      </c>
      <c r="U1484">
        <v>168800</v>
      </c>
      <c r="V1484" t="s">
        <v>9171</v>
      </c>
      <c r="W1484" t="s">
        <v>3927</v>
      </c>
      <c r="X1484" t="s">
        <v>8394</v>
      </c>
      <c r="Y1484" t="s">
        <v>5253</v>
      </c>
      <c r="AA1484" t="s">
        <v>5254</v>
      </c>
      <c r="AB1484" t="s">
        <v>8390</v>
      </c>
      <c r="AC1484">
        <v>99015</v>
      </c>
      <c r="AD1484" t="s">
        <v>3928</v>
      </c>
      <c r="AE1484">
        <v>-37.241419440000001</v>
      </c>
      <c r="AF1484">
        <v>175.56867155</v>
      </c>
      <c r="AG1484" s="175">
        <v>22</v>
      </c>
      <c r="AH1484" s="175">
        <v>13</v>
      </c>
      <c r="AI1484" s="175">
        <v>1</v>
      </c>
      <c r="AJ1484" s="175">
        <v>1</v>
      </c>
      <c r="AK1484" s="175">
        <v>5</v>
      </c>
      <c r="AL1484" s="175">
        <v>0</v>
      </c>
      <c r="AM1484" s="175">
        <v>4</v>
      </c>
      <c r="AN1484" s="175">
        <v>0</v>
      </c>
      <c r="AO1484" s="175">
        <v>11</v>
      </c>
      <c r="AP1484" s="175">
        <v>11</v>
      </c>
      <c r="AQ1484" s="175">
        <v>3</v>
      </c>
      <c r="AR1484" s="175">
        <v>0</v>
      </c>
      <c r="AS1484" s="175">
        <v>0</v>
      </c>
      <c r="AT1484" s="175">
        <v>0</v>
      </c>
    </row>
    <row r="1485" spans="1:46">
      <c r="A1485">
        <v>32013</v>
      </c>
      <c r="B1485" t="s">
        <v>9251</v>
      </c>
      <c r="C1485" t="s">
        <v>8390</v>
      </c>
      <c r="D1485" t="s">
        <v>8974</v>
      </c>
      <c r="E1485" t="s">
        <v>5510</v>
      </c>
      <c r="G1485" t="s">
        <v>9252</v>
      </c>
      <c r="H1485" t="s">
        <v>301</v>
      </c>
      <c r="J1485" t="s">
        <v>605</v>
      </c>
      <c r="K1485" t="s">
        <v>606</v>
      </c>
      <c r="M1485" t="s">
        <v>1382</v>
      </c>
      <c r="N1485" t="s">
        <v>657</v>
      </c>
      <c r="O1485" t="s">
        <v>1825</v>
      </c>
      <c r="P1485" t="s">
        <v>610</v>
      </c>
      <c r="Q1485" t="s">
        <v>511</v>
      </c>
      <c r="R1485" t="s">
        <v>1384</v>
      </c>
      <c r="S1485" t="s">
        <v>1522</v>
      </c>
      <c r="T1485" t="s">
        <v>1320</v>
      </c>
      <c r="U1485">
        <v>190200</v>
      </c>
      <c r="V1485" t="s">
        <v>9253</v>
      </c>
      <c r="W1485" t="s">
        <v>3860</v>
      </c>
      <c r="X1485" t="s">
        <v>8394</v>
      </c>
      <c r="Y1485" t="s">
        <v>5253</v>
      </c>
      <c r="AA1485" t="s">
        <v>5254</v>
      </c>
      <c r="AB1485" t="s">
        <v>8390</v>
      </c>
      <c r="AE1485">
        <v>-37.406200779999999</v>
      </c>
      <c r="AF1485">
        <v>175.93746182000001</v>
      </c>
      <c r="AG1485" s="175">
        <v>28</v>
      </c>
      <c r="AH1485" s="175">
        <v>15</v>
      </c>
      <c r="AI1485" s="175">
        <v>1</v>
      </c>
      <c r="AJ1485" s="175">
        <v>2</v>
      </c>
      <c r="AK1485" s="175">
        <v>5</v>
      </c>
      <c r="AL1485" s="175">
        <v>3</v>
      </c>
      <c r="AM1485" s="175">
        <v>0</v>
      </c>
      <c r="AN1485" s="175">
        <v>0</v>
      </c>
      <c r="AO1485" s="175">
        <v>11</v>
      </c>
      <c r="AP1485" s="175">
        <v>10</v>
      </c>
      <c r="AQ1485" s="175">
        <v>0</v>
      </c>
      <c r="AR1485" s="175">
        <v>0</v>
      </c>
      <c r="AS1485" s="175">
        <v>1</v>
      </c>
      <c r="AT1485" s="175">
        <v>0</v>
      </c>
    </row>
    <row r="1486" spans="1:46">
      <c r="A1486">
        <v>32015</v>
      </c>
      <c r="B1486" t="s">
        <v>9254</v>
      </c>
      <c r="C1486" t="s">
        <v>8390</v>
      </c>
      <c r="D1486" t="s">
        <v>8974</v>
      </c>
      <c r="E1486" t="s">
        <v>9255</v>
      </c>
      <c r="G1486" t="s">
        <v>9256</v>
      </c>
      <c r="H1486" t="s">
        <v>301</v>
      </c>
      <c r="J1486" t="s">
        <v>605</v>
      </c>
      <c r="K1486" t="s">
        <v>606</v>
      </c>
      <c r="M1486" t="s">
        <v>1382</v>
      </c>
      <c r="N1486" t="s">
        <v>657</v>
      </c>
      <c r="O1486" t="s">
        <v>1545</v>
      </c>
      <c r="P1486" t="s">
        <v>610</v>
      </c>
      <c r="Q1486" t="s">
        <v>510</v>
      </c>
      <c r="R1486" t="s">
        <v>1384</v>
      </c>
      <c r="S1486" t="s">
        <v>1522</v>
      </c>
      <c r="T1486" t="s">
        <v>1320</v>
      </c>
      <c r="U1486">
        <v>168502</v>
      </c>
      <c r="V1486" t="s">
        <v>9257</v>
      </c>
      <c r="W1486" t="s">
        <v>8670</v>
      </c>
      <c r="X1486" t="s">
        <v>8394</v>
      </c>
      <c r="Y1486" t="s">
        <v>5253</v>
      </c>
      <c r="AA1486" t="s">
        <v>5254</v>
      </c>
      <c r="AB1486" t="s">
        <v>8390</v>
      </c>
      <c r="AE1486">
        <v>-37.216335800000003</v>
      </c>
      <c r="AF1486">
        <v>175.86629624</v>
      </c>
      <c r="AG1486" s="175">
        <v>25</v>
      </c>
      <c r="AH1486" s="175">
        <v>12</v>
      </c>
      <c r="AI1486" s="175">
        <v>0</v>
      </c>
      <c r="AJ1486" s="175">
        <v>2</v>
      </c>
      <c r="AK1486" s="175">
        <v>5</v>
      </c>
      <c r="AL1486" s="175">
        <v>3</v>
      </c>
      <c r="AM1486" s="175">
        <v>5</v>
      </c>
      <c r="AN1486" s="175">
        <v>0</v>
      </c>
      <c r="AO1486" s="175">
        <v>15</v>
      </c>
      <c r="AP1486" s="175">
        <v>15</v>
      </c>
      <c r="AQ1486" s="175">
        <v>4</v>
      </c>
      <c r="AR1486" s="175">
        <v>0</v>
      </c>
      <c r="AS1486" s="175">
        <v>0</v>
      </c>
      <c r="AT1486" s="175">
        <v>0</v>
      </c>
    </row>
    <row r="1487" spans="1:46">
      <c r="A1487">
        <v>32016</v>
      </c>
      <c r="B1487" t="s">
        <v>9258</v>
      </c>
      <c r="C1487" t="s">
        <v>9259</v>
      </c>
      <c r="D1487" t="s">
        <v>8974</v>
      </c>
      <c r="E1487" t="s">
        <v>9260</v>
      </c>
      <c r="G1487" t="s">
        <v>3897</v>
      </c>
      <c r="H1487" t="s">
        <v>301</v>
      </c>
      <c r="J1487" t="s">
        <v>605</v>
      </c>
      <c r="K1487" t="s">
        <v>606</v>
      </c>
      <c r="M1487" t="s">
        <v>1382</v>
      </c>
      <c r="N1487" t="s">
        <v>657</v>
      </c>
      <c r="O1487" t="s">
        <v>1545</v>
      </c>
      <c r="P1487" t="s">
        <v>610</v>
      </c>
      <c r="Q1487" t="s">
        <v>510</v>
      </c>
      <c r="R1487" t="s">
        <v>1384</v>
      </c>
      <c r="S1487" t="s">
        <v>1522</v>
      </c>
      <c r="T1487" t="s">
        <v>1320</v>
      </c>
      <c r="U1487">
        <v>167101</v>
      </c>
      <c r="V1487" t="s">
        <v>3898</v>
      </c>
      <c r="W1487" t="s">
        <v>3899</v>
      </c>
      <c r="X1487" t="s">
        <v>8394</v>
      </c>
      <c r="Y1487" t="s">
        <v>5253</v>
      </c>
      <c r="AA1487" t="s">
        <v>5254</v>
      </c>
      <c r="AB1487" t="s">
        <v>8390</v>
      </c>
      <c r="AE1487">
        <v>-36.840441599999998</v>
      </c>
      <c r="AF1487">
        <v>175.70142469999999</v>
      </c>
      <c r="AG1487" s="175">
        <v>27</v>
      </c>
      <c r="AH1487" s="175">
        <v>15</v>
      </c>
      <c r="AI1487" s="175">
        <v>3</v>
      </c>
      <c r="AJ1487" s="175">
        <v>7</v>
      </c>
      <c r="AK1487" s="175">
        <v>6</v>
      </c>
      <c r="AL1487" s="175">
        <v>9</v>
      </c>
      <c r="AM1487" s="175">
        <v>2</v>
      </c>
      <c r="AN1487" s="175">
        <v>0</v>
      </c>
      <c r="AO1487" s="175">
        <v>27</v>
      </c>
      <c r="AP1487" s="175">
        <v>25</v>
      </c>
      <c r="AQ1487" s="175">
        <v>1</v>
      </c>
      <c r="AR1487" s="175">
        <v>0</v>
      </c>
      <c r="AS1487" s="175">
        <v>3</v>
      </c>
      <c r="AT1487" s="175">
        <v>0</v>
      </c>
    </row>
    <row r="1488" spans="1:46">
      <c r="A1488">
        <v>33001</v>
      </c>
      <c r="B1488" t="s">
        <v>9261</v>
      </c>
      <c r="C1488" t="s">
        <v>9262</v>
      </c>
      <c r="D1488" t="s">
        <v>8391</v>
      </c>
      <c r="E1488" t="s">
        <v>9263</v>
      </c>
      <c r="G1488" t="s">
        <v>1402</v>
      </c>
      <c r="H1488" t="s">
        <v>301</v>
      </c>
      <c r="J1488" t="s">
        <v>605</v>
      </c>
      <c r="K1488" t="s">
        <v>606</v>
      </c>
      <c r="M1488" t="s">
        <v>1382</v>
      </c>
      <c r="N1488" t="s">
        <v>657</v>
      </c>
      <c r="O1488" t="s">
        <v>1403</v>
      </c>
      <c r="P1488" t="s">
        <v>1347</v>
      </c>
      <c r="Q1488" t="s">
        <v>510</v>
      </c>
      <c r="R1488" t="s">
        <v>1384</v>
      </c>
      <c r="S1488" t="s">
        <v>1404</v>
      </c>
      <c r="T1488" t="s">
        <v>1320</v>
      </c>
      <c r="U1488">
        <v>182700</v>
      </c>
      <c r="V1488" t="s">
        <v>8989</v>
      </c>
      <c r="W1488" t="s">
        <v>1406</v>
      </c>
      <c r="X1488" t="s">
        <v>8394</v>
      </c>
      <c r="Y1488" t="s">
        <v>5253</v>
      </c>
      <c r="AA1488" t="s">
        <v>5254</v>
      </c>
      <c r="AB1488" t="s">
        <v>8390</v>
      </c>
      <c r="AE1488">
        <v>-37.888015099999997</v>
      </c>
      <c r="AF1488">
        <v>175.45614879999999</v>
      </c>
      <c r="AG1488" s="175">
        <v>30</v>
      </c>
      <c r="AH1488" s="175">
        <v>17</v>
      </c>
      <c r="AI1488" s="175">
        <v>14</v>
      </c>
      <c r="AJ1488" s="175">
        <v>2</v>
      </c>
      <c r="AK1488" s="175">
        <v>7</v>
      </c>
      <c r="AL1488" s="175">
        <v>5</v>
      </c>
      <c r="AM1488" s="175">
        <v>2</v>
      </c>
      <c r="AN1488" s="175">
        <v>0</v>
      </c>
      <c r="AO1488" s="175">
        <v>30</v>
      </c>
      <c r="AP1488" s="175">
        <v>26</v>
      </c>
      <c r="AQ1488" s="175">
        <v>3</v>
      </c>
      <c r="AR1488" s="175">
        <v>0</v>
      </c>
      <c r="AS1488" s="175">
        <v>2</v>
      </c>
      <c r="AT1488" s="175">
        <v>1</v>
      </c>
    </row>
    <row r="1489" spans="1:46">
      <c r="A1489">
        <v>33003</v>
      </c>
      <c r="B1489" t="s">
        <v>9264</v>
      </c>
      <c r="C1489" t="s">
        <v>9262</v>
      </c>
      <c r="D1489" t="s">
        <v>8974</v>
      </c>
      <c r="E1489" t="s">
        <v>9265</v>
      </c>
      <c r="F1489" t="s">
        <v>1414</v>
      </c>
      <c r="G1489" t="s">
        <v>1381</v>
      </c>
      <c r="H1489" t="s">
        <v>301</v>
      </c>
      <c r="J1489" t="s">
        <v>605</v>
      </c>
      <c r="K1489" t="s">
        <v>606</v>
      </c>
      <c r="M1489" t="s">
        <v>1382</v>
      </c>
      <c r="N1489" t="s">
        <v>657</v>
      </c>
      <c r="O1489" t="s">
        <v>1383</v>
      </c>
      <c r="P1489" t="s">
        <v>739</v>
      </c>
      <c r="Q1489" t="s">
        <v>510</v>
      </c>
      <c r="R1489" t="s">
        <v>1384</v>
      </c>
      <c r="S1489" t="s">
        <v>1385</v>
      </c>
      <c r="T1489" t="s">
        <v>1320</v>
      </c>
      <c r="U1489">
        <v>180400</v>
      </c>
      <c r="V1489" t="s">
        <v>1414</v>
      </c>
      <c r="W1489" t="s">
        <v>1387</v>
      </c>
      <c r="X1489" t="s">
        <v>8394</v>
      </c>
      <c r="Y1489" t="s">
        <v>5253</v>
      </c>
      <c r="AA1489" t="s">
        <v>5254</v>
      </c>
      <c r="AB1489" t="s">
        <v>8390</v>
      </c>
      <c r="AE1489">
        <v>-37.819988760000001</v>
      </c>
      <c r="AF1489">
        <v>175.27540289999999</v>
      </c>
      <c r="AG1489" s="175">
        <v>30</v>
      </c>
      <c r="AH1489" s="175">
        <v>15</v>
      </c>
      <c r="AI1489" s="175">
        <v>2</v>
      </c>
      <c r="AJ1489" s="175">
        <v>3</v>
      </c>
      <c r="AK1489" s="175">
        <v>3</v>
      </c>
      <c r="AL1489" s="175">
        <v>4</v>
      </c>
      <c r="AM1489" s="175">
        <v>2</v>
      </c>
      <c r="AN1489" s="175">
        <v>0</v>
      </c>
      <c r="AO1489" s="175">
        <v>14</v>
      </c>
      <c r="AP1489" s="175">
        <v>10</v>
      </c>
      <c r="AQ1489" s="175">
        <v>5</v>
      </c>
      <c r="AR1489" s="175">
        <v>1</v>
      </c>
      <c r="AS1489" s="175">
        <v>0</v>
      </c>
      <c r="AT1489" s="175">
        <v>2</v>
      </c>
    </row>
    <row r="1490" spans="1:46">
      <c r="A1490">
        <v>33004</v>
      </c>
      <c r="B1490" t="s">
        <v>9266</v>
      </c>
      <c r="C1490" t="s">
        <v>9262</v>
      </c>
      <c r="D1490" t="s">
        <v>8974</v>
      </c>
      <c r="E1490" t="s">
        <v>9267</v>
      </c>
      <c r="F1490" t="s">
        <v>1429</v>
      </c>
      <c r="G1490" t="s">
        <v>1381</v>
      </c>
      <c r="H1490" t="s">
        <v>301</v>
      </c>
      <c r="J1490" t="s">
        <v>605</v>
      </c>
      <c r="K1490" t="s">
        <v>606</v>
      </c>
      <c r="M1490" t="s">
        <v>1382</v>
      </c>
      <c r="N1490" t="s">
        <v>657</v>
      </c>
      <c r="O1490" t="s">
        <v>1383</v>
      </c>
      <c r="P1490" t="s">
        <v>739</v>
      </c>
      <c r="Q1490" t="s">
        <v>510</v>
      </c>
      <c r="R1490" t="s">
        <v>1384</v>
      </c>
      <c r="S1490" t="s">
        <v>1385</v>
      </c>
      <c r="T1490" t="s">
        <v>1320</v>
      </c>
      <c r="U1490">
        <v>177901</v>
      </c>
      <c r="V1490" t="s">
        <v>1386</v>
      </c>
      <c r="W1490" t="s">
        <v>1387</v>
      </c>
      <c r="X1490" t="s">
        <v>8394</v>
      </c>
      <c r="Y1490" t="s">
        <v>5253</v>
      </c>
      <c r="AA1490" t="s">
        <v>5254</v>
      </c>
      <c r="AB1490" t="s">
        <v>8390</v>
      </c>
      <c r="AE1490">
        <v>-37.782268979999998</v>
      </c>
      <c r="AF1490">
        <v>175.2503624</v>
      </c>
      <c r="AG1490" s="175">
        <v>25</v>
      </c>
      <c r="AH1490" s="175">
        <v>15</v>
      </c>
      <c r="AI1490" s="175">
        <v>4</v>
      </c>
      <c r="AJ1490" s="175">
        <v>6</v>
      </c>
      <c r="AK1490" s="175">
        <v>10</v>
      </c>
      <c r="AL1490" s="175">
        <v>7</v>
      </c>
      <c r="AM1490" s="175">
        <v>6</v>
      </c>
      <c r="AN1490" s="175">
        <v>3</v>
      </c>
      <c r="AO1490" s="175">
        <v>36</v>
      </c>
      <c r="AP1490" s="175">
        <v>33</v>
      </c>
      <c r="AQ1490" s="175">
        <v>7</v>
      </c>
      <c r="AR1490" s="175">
        <v>5</v>
      </c>
      <c r="AS1490" s="175">
        <v>2</v>
      </c>
      <c r="AT1490" s="175">
        <v>0</v>
      </c>
    </row>
    <row r="1491" spans="1:46">
      <c r="A1491">
        <v>33008</v>
      </c>
      <c r="B1491" t="s">
        <v>9268</v>
      </c>
      <c r="C1491" t="s">
        <v>9262</v>
      </c>
      <c r="D1491" t="s">
        <v>8974</v>
      </c>
      <c r="E1491" t="s">
        <v>9269</v>
      </c>
      <c r="F1491" t="s">
        <v>1396</v>
      </c>
      <c r="G1491" t="s">
        <v>1381</v>
      </c>
      <c r="H1491" t="s">
        <v>301</v>
      </c>
      <c r="J1491" t="s">
        <v>605</v>
      </c>
      <c r="K1491" t="s">
        <v>606</v>
      </c>
      <c r="M1491" t="s">
        <v>1382</v>
      </c>
      <c r="N1491" t="s">
        <v>657</v>
      </c>
      <c r="O1491" t="s">
        <v>1383</v>
      </c>
      <c r="P1491" t="s">
        <v>739</v>
      </c>
      <c r="Q1491" t="s">
        <v>510</v>
      </c>
      <c r="R1491" t="s">
        <v>1384</v>
      </c>
      <c r="S1491" t="s">
        <v>1396</v>
      </c>
      <c r="T1491" t="s">
        <v>1320</v>
      </c>
      <c r="U1491">
        <v>180200</v>
      </c>
      <c r="V1491" t="s">
        <v>1396</v>
      </c>
      <c r="W1491" t="s">
        <v>1398</v>
      </c>
      <c r="X1491" t="s">
        <v>8394</v>
      </c>
      <c r="Y1491" t="s">
        <v>5253</v>
      </c>
      <c r="AA1491" t="s">
        <v>5254</v>
      </c>
      <c r="AB1491" t="s">
        <v>8390</v>
      </c>
      <c r="AE1491">
        <v>-37.801090309999999</v>
      </c>
      <c r="AF1491">
        <v>175.29627195</v>
      </c>
      <c r="AG1491" s="175">
        <v>30</v>
      </c>
      <c r="AH1491" s="175">
        <v>17</v>
      </c>
      <c r="AI1491" s="175">
        <v>22</v>
      </c>
      <c r="AJ1491" s="175">
        <v>7</v>
      </c>
      <c r="AK1491" s="175">
        <v>14</v>
      </c>
      <c r="AL1491" s="175">
        <v>7</v>
      </c>
      <c r="AM1491" s="175">
        <v>4</v>
      </c>
      <c r="AN1491" s="175">
        <v>0</v>
      </c>
      <c r="AO1491" s="175">
        <v>54</v>
      </c>
      <c r="AP1491" s="175">
        <v>47</v>
      </c>
      <c r="AQ1491" s="175">
        <v>1</v>
      </c>
      <c r="AR1491" s="175">
        <v>1</v>
      </c>
      <c r="AS1491" s="175">
        <v>6</v>
      </c>
      <c r="AT1491" s="175">
        <v>3</v>
      </c>
    </row>
    <row r="1492" spans="1:46">
      <c r="A1492">
        <v>33009</v>
      </c>
      <c r="B1492" t="s">
        <v>9270</v>
      </c>
      <c r="C1492" t="s">
        <v>9262</v>
      </c>
      <c r="D1492" t="s">
        <v>8974</v>
      </c>
      <c r="E1492" t="s">
        <v>9271</v>
      </c>
      <c r="G1492" t="s">
        <v>8881</v>
      </c>
      <c r="H1492" t="s">
        <v>301</v>
      </c>
      <c r="J1492" t="s">
        <v>605</v>
      </c>
      <c r="K1492" t="s">
        <v>606</v>
      </c>
      <c r="M1492" t="s">
        <v>1382</v>
      </c>
      <c r="N1492" t="s">
        <v>657</v>
      </c>
      <c r="O1492" t="s">
        <v>1435</v>
      </c>
      <c r="P1492" t="s">
        <v>626</v>
      </c>
      <c r="Q1492" t="s">
        <v>510</v>
      </c>
      <c r="R1492" t="s">
        <v>1384</v>
      </c>
      <c r="S1492" t="s">
        <v>1501</v>
      </c>
      <c r="T1492" t="s">
        <v>1320</v>
      </c>
      <c r="U1492">
        <v>172601</v>
      </c>
      <c r="V1492" t="s">
        <v>8881</v>
      </c>
      <c r="W1492" t="s">
        <v>1437</v>
      </c>
      <c r="X1492" t="s">
        <v>8394</v>
      </c>
      <c r="Y1492" t="s">
        <v>5253</v>
      </c>
      <c r="AA1492" t="s">
        <v>5254</v>
      </c>
      <c r="AB1492" t="s">
        <v>8390</v>
      </c>
      <c r="AE1492">
        <v>-37.701912800000002</v>
      </c>
      <c r="AF1492">
        <v>175.20381019999999</v>
      </c>
      <c r="AG1492" s="175">
        <v>30</v>
      </c>
      <c r="AH1492" s="175">
        <v>15</v>
      </c>
      <c r="AI1492" s="175">
        <v>4</v>
      </c>
      <c r="AJ1492" s="175">
        <v>1</v>
      </c>
      <c r="AK1492" s="175">
        <v>2</v>
      </c>
      <c r="AL1492" s="175">
        <v>2</v>
      </c>
      <c r="AM1492" s="175">
        <v>0</v>
      </c>
      <c r="AN1492" s="175">
        <v>0</v>
      </c>
      <c r="AO1492" s="175">
        <v>9</v>
      </c>
      <c r="AP1492" s="175">
        <v>7</v>
      </c>
      <c r="AQ1492" s="175">
        <v>6</v>
      </c>
      <c r="AR1492" s="175">
        <v>0</v>
      </c>
      <c r="AS1492" s="175">
        <v>0</v>
      </c>
      <c r="AT1492" s="175">
        <v>0</v>
      </c>
    </row>
    <row r="1493" spans="1:46">
      <c r="A1493">
        <v>33011</v>
      </c>
      <c r="B1493" t="s">
        <v>9272</v>
      </c>
      <c r="C1493" t="s">
        <v>9273</v>
      </c>
      <c r="D1493" t="s">
        <v>8974</v>
      </c>
      <c r="E1493" t="s">
        <v>9274</v>
      </c>
      <c r="G1493" t="s">
        <v>9275</v>
      </c>
      <c r="H1493" t="s">
        <v>301</v>
      </c>
      <c r="J1493" t="s">
        <v>605</v>
      </c>
      <c r="K1493" t="s">
        <v>606</v>
      </c>
      <c r="M1493" t="s">
        <v>1382</v>
      </c>
      <c r="N1493" t="s">
        <v>657</v>
      </c>
      <c r="O1493" t="s">
        <v>1435</v>
      </c>
      <c r="P1493" t="s">
        <v>658</v>
      </c>
      <c r="Q1493" t="s">
        <v>510</v>
      </c>
      <c r="R1493" t="s">
        <v>1384</v>
      </c>
      <c r="S1493" t="s">
        <v>1384</v>
      </c>
      <c r="T1493" t="s">
        <v>1320</v>
      </c>
      <c r="U1493">
        <v>171700</v>
      </c>
      <c r="V1493" t="s">
        <v>9276</v>
      </c>
      <c r="W1493" t="s">
        <v>7864</v>
      </c>
      <c r="X1493" t="s">
        <v>8394</v>
      </c>
      <c r="Y1493" t="s">
        <v>5253</v>
      </c>
      <c r="AA1493" t="s">
        <v>5254</v>
      </c>
      <c r="AB1493" t="s">
        <v>8390</v>
      </c>
      <c r="AE1493">
        <v>-37.596027739999997</v>
      </c>
      <c r="AF1493">
        <v>175.36363322</v>
      </c>
      <c r="AG1493" s="175">
        <v>29</v>
      </c>
      <c r="AH1493" s="175">
        <v>15</v>
      </c>
      <c r="AI1493" s="175">
        <v>3</v>
      </c>
      <c r="AJ1493" s="175">
        <v>3</v>
      </c>
      <c r="AK1493" s="175">
        <v>2</v>
      </c>
      <c r="AL1493" s="175">
        <v>9</v>
      </c>
      <c r="AM1493" s="175">
        <v>6</v>
      </c>
      <c r="AN1493" s="175">
        <v>0</v>
      </c>
      <c r="AO1493" s="175">
        <v>23</v>
      </c>
      <c r="AP1493" s="175">
        <v>21</v>
      </c>
      <c r="AQ1493" s="175">
        <v>3</v>
      </c>
      <c r="AR1493" s="175">
        <v>0</v>
      </c>
      <c r="AS1493" s="175">
        <v>1</v>
      </c>
      <c r="AT1493" s="175">
        <v>0</v>
      </c>
    </row>
    <row r="1494" spans="1:46">
      <c r="A1494">
        <v>33012</v>
      </c>
      <c r="B1494" t="s">
        <v>9277</v>
      </c>
      <c r="C1494" t="s">
        <v>9262</v>
      </c>
      <c r="E1494" t="s">
        <v>9278</v>
      </c>
      <c r="F1494" t="s">
        <v>1463</v>
      </c>
      <c r="G1494" t="s">
        <v>1402</v>
      </c>
      <c r="H1494" t="s">
        <v>301</v>
      </c>
      <c r="J1494" t="s">
        <v>605</v>
      </c>
      <c r="K1494" t="s">
        <v>606</v>
      </c>
      <c r="M1494" t="s">
        <v>1382</v>
      </c>
      <c r="N1494" t="s">
        <v>657</v>
      </c>
      <c r="O1494" t="s">
        <v>1403</v>
      </c>
      <c r="P1494" t="s">
        <v>1347</v>
      </c>
      <c r="Q1494" t="s">
        <v>510</v>
      </c>
      <c r="R1494" t="s">
        <v>1384</v>
      </c>
      <c r="S1494" t="s">
        <v>1404</v>
      </c>
      <c r="T1494" t="s">
        <v>1320</v>
      </c>
      <c r="U1494">
        <v>183500</v>
      </c>
      <c r="V1494" t="s">
        <v>1473</v>
      </c>
      <c r="W1494" t="s">
        <v>1406</v>
      </c>
      <c r="X1494" t="s">
        <v>8394</v>
      </c>
      <c r="Y1494" t="s">
        <v>5253</v>
      </c>
      <c r="AA1494" t="s">
        <v>5254</v>
      </c>
      <c r="AB1494" t="s">
        <v>8390</v>
      </c>
      <c r="AE1494">
        <v>-37.907556499999998</v>
      </c>
      <c r="AF1494">
        <v>175.47162760000001</v>
      </c>
      <c r="AG1494" s="175">
        <v>30</v>
      </c>
      <c r="AH1494" s="175">
        <v>17</v>
      </c>
      <c r="AI1494" s="175">
        <v>50</v>
      </c>
      <c r="AJ1494" s="175">
        <v>15</v>
      </c>
      <c r="AK1494" s="175">
        <v>5</v>
      </c>
      <c r="AL1494" s="175">
        <v>6</v>
      </c>
      <c r="AM1494" s="175">
        <v>3</v>
      </c>
      <c r="AN1494" s="175">
        <v>0</v>
      </c>
      <c r="AO1494" s="175">
        <v>79</v>
      </c>
      <c r="AP1494" s="175">
        <v>76</v>
      </c>
      <c r="AQ1494" s="175">
        <v>9</v>
      </c>
      <c r="AR1494" s="175">
        <v>2</v>
      </c>
      <c r="AS1494" s="175">
        <v>4</v>
      </c>
      <c r="AT1494" s="175">
        <v>2</v>
      </c>
    </row>
    <row r="1495" spans="1:46">
      <c r="A1495">
        <v>33015</v>
      </c>
      <c r="B1495" t="s">
        <v>9279</v>
      </c>
      <c r="C1495" t="s">
        <v>9262</v>
      </c>
      <c r="E1495" t="s">
        <v>9280</v>
      </c>
      <c r="G1495" t="s">
        <v>1669</v>
      </c>
      <c r="H1495" t="s">
        <v>301</v>
      </c>
      <c r="J1495" t="s">
        <v>605</v>
      </c>
      <c r="K1495" t="s">
        <v>606</v>
      </c>
      <c r="M1495" t="s">
        <v>1382</v>
      </c>
      <c r="N1495" t="s">
        <v>657</v>
      </c>
      <c r="O1495" t="s">
        <v>1534</v>
      </c>
      <c r="P1495" t="s">
        <v>610</v>
      </c>
      <c r="Q1495" t="s">
        <v>510</v>
      </c>
      <c r="R1495" t="s">
        <v>1384</v>
      </c>
      <c r="S1495" t="s">
        <v>1384</v>
      </c>
      <c r="T1495" t="s">
        <v>1320</v>
      </c>
      <c r="U1495">
        <v>174001</v>
      </c>
      <c r="V1495" t="s">
        <v>3893</v>
      </c>
      <c r="W1495" t="s">
        <v>1671</v>
      </c>
      <c r="X1495" t="s">
        <v>8394</v>
      </c>
      <c r="Y1495" t="s">
        <v>5253</v>
      </c>
      <c r="AA1495" t="s">
        <v>5254</v>
      </c>
      <c r="AB1495" t="s">
        <v>8390</v>
      </c>
      <c r="AE1495">
        <v>-37.657025099999998</v>
      </c>
      <c r="AF1495">
        <v>175.52521999999999</v>
      </c>
      <c r="AG1495" s="175">
        <v>30</v>
      </c>
      <c r="AH1495" s="175">
        <v>18</v>
      </c>
      <c r="AI1495" s="175">
        <v>25</v>
      </c>
      <c r="AJ1495" s="175">
        <v>10</v>
      </c>
      <c r="AK1495" s="175">
        <v>11</v>
      </c>
      <c r="AL1495" s="175">
        <v>6</v>
      </c>
      <c r="AM1495" s="175">
        <v>7</v>
      </c>
      <c r="AN1495" s="175">
        <v>1</v>
      </c>
      <c r="AO1495" s="175">
        <v>60</v>
      </c>
      <c r="AP1495" s="175">
        <v>55</v>
      </c>
      <c r="AQ1495" s="175">
        <v>7</v>
      </c>
      <c r="AR1495" s="175">
        <v>1</v>
      </c>
      <c r="AS1495" s="175">
        <v>3</v>
      </c>
      <c r="AT1495" s="175">
        <v>0</v>
      </c>
    </row>
    <row r="1496" spans="1:46">
      <c r="A1496">
        <v>33016</v>
      </c>
      <c r="B1496" t="s">
        <v>9281</v>
      </c>
      <c r="C1496" t="s">
        <v>9262</v>
      </c>
      <c r="D1496" t="s">
        <v>8974</v>
      </c>
      <c r="E1496" t="s">
        <v>9282</v>
      </c>
      <c r="F1496" t="s">
        <v>1442</v>
      </c>
      <c r="G1496" t="s">
        <v>1381</v>
      </c>
      <c r="H1496" t="s">
        <v>301</v>
      </c>
      <c r="J1496" t="s">
        <v>605</v>
      </c>
      <c r="K1496" t="s">
        <v>606</v>
      </c>
      <c r="M1496" t="s">
        <v>1382</v>
      </c>
      <c r="N1496" t="s">
        <v>608</v>
      </c>
      <c r="O1496" t="s">
        <v>1383</v>
      </c>
      <c r="P1496" t="s">
        <v>739</v>
      </c>
      <c r="Q1496" t="s">
        <v>510</v>
      </c>
      <c r="R1496" t="s">
        <v>1384</v>
      </c>
      <c r="S1496" t="s">
        <v>1385</v>
      </c>
      <c r="T1496" t="s">
        <v>1320</v>
      </c>
      <c r="U1496">
        <v>176800</v>
      </c>
      <c r="V1496" t="s">
        <v>3853</v>
      </c>
      <c r="W1496" t="s">
        <v>1387</v>
      </c>
      <c r="X1496" t="s">
        <v>8394</v>
      </c>
      <c r="Y1496" t="s">
        <v>5253</v>
      </c>
      <c r="AA1496" t="s">
        <v>5254</v>
      </c>
      <c r="AB1496" t="s">
        <v>8390</v>
      </c>
      <c r="AE1496">
        <v>-37.777293499999999</v>
      </c>
      <c r="AF1496">
        <v>175.2332692</v>
      </c>
      <c r="AG1496" s="175">
        <v>30</v>
      </c>
      <c r="AH1496" s="175">
        <v>25</v>
      </c>
      <c r="AI1496" s="175">
        <v>86</v>
      </c>
      <c r="AJ1496" s="175">
        <v>3</v>
      </c>
      <c r="AK1496" s="175">
        <v>0</v>
      </c>
      <c r="AL1496" s="175">
        <v>0</v>
      </c>
      <c r="AM1496" s="175">
        <v>0</v>
      </c>
      <c r="AN1496" s="175">
        <v>0</v>
      </c>
      <c r="AO1496" s="175">
        <v>89</v>
      </c>
      <c r="AP1496" s="175">
        <v>77</v>
      </c>
      <c r="AQ1496" s="175">
        <v>19</v>
      </c>
      <c r="AR1496" s="175">
        <v>8</v>
      </c>
      <c r="AS1496" s="175">
        <v>10</v>
      </c>
      <c r="AT1496" s="175">
        <v>5</v>
      </c>
    </row>
    <row r="1497" spans="1:46">
      <c r="A1497">
        <v>33017</v>
      </c>
      <c r="B1497" t="s">
        <v>9283</v>
      </c>
      <c r="C1497" t="s">
        <v>9262</v>
      </c>
      <c r="E1497" t="s">
        <v>9284</v>
      </c>
      <c r="G1497" t="s">
        <v>9285</v>
      </c>
      <c r="H1497" t="s">
        <v>301</v>
      </c>
      <c r="J1497" t="s">
        <v>605</v>
      </c>
      <c r="K1497" t="s">
        <v>606</v>
      </c>
      <c r="M1497" t="s">
        <v>1382</v>
      </c>
      <c r="N1497" t="s">
        <v>657</v>
      </c>
      <c r="O1497" t="s">
        <v>1403</v>
      </c>
      <c r="P1497" t="s">
        <v>626</v>
      </c>
      <c r="Q1497" t="s">
        <v>510</v>
      </c>
      <c r="R1497" t="s">
        <v>1384</v>
      </c>
      <c r="S1497" t="s">
        <v>1501</v>
      </c>
      <c r="T1497" t="s">
        <v>1320</v>
      </c>
      <c r="U1497">
        <v>181800</v>
      </c>
      <c r="V1497" t="s">
        <v>9286</v>
      </c>
      <c r="W1497" t="s">
        <v>9027</v>
      </c>
      <c r="X1497" t="s">
        <v>8394</v>
      </c>
      <c r="Y1497" t="s">
        <v>5253</v>
      </c>
      <c r="AA1497" t="s">
        <v>5254</v>
      </c>
      <c r="AB1497" t="s">
        <v>8390</v>
      </c>
      <c r="AE1497">
        <v>-37.915936799999997</v>
      </c>
      <c r="AF1497">
        <v>175.30344650000001</v>
      </c>
      <c r="AG1497" s="175">
        <v>30</v>
      </c>
      <c r="AH1497" s="175">
        <v>15</v>
      </c>
      <c r="AI1497" s="175">
        <v>1</v>
      </c>
      <c r="AJ1497" s="175">
        <v>4</v>
      </c>
      <c r="AK1497" s="175">
        <v>2</v>
      </c>
      <c r="AL1497" s="175">
        <v>0</v>
      </c>
      <c r="AM1497" s="175">
        <v>5</v>
      </c>
      <c r="AN1497" s="175">
        <v>0</v>
      </c>
      <c r="AO1497" s="175">
        <v>12</v>
      </c>
      <c r="AP1497" s="175">
        <v>11</v>
      </c>
      <c r="AQ1497" s="175">
        <v>2</v>
      </c>
      <c r="AR1497" s="175">
        <v>0</v>
      </c>
      <c r="AS1497" s="175">
        <v>2</v>
      </c>
      <c r="AT1497" s="175">
        <v>0</v>
      </c>
    </row>
    <row r="1498" spans="1:46">
      <c r="A1498">
        <v>33019</v>
      </c>
      <c r="B1498" t="s">
        <v>9287</v>
      </c>
      <c r="C1498" t="s">
        <v>9262</v>
      </c>
      <c r="E1498" t="s">
        <v>9288</v>
      </c>
      <c r="F1498" t="s">
        <v>1380</v>
      </c>
      <c r="G1498" t="s">
        <v>1381</v>
      </c>
      <c r="H1498" t="s">
        <v>301</v>
      </c>
      <c r="J1498" t="s">
        <v>605</v>
      </c>
      <c r="K1498" t="s">
        <v>606</v>
      </c>
      <c r="M1498" t="s">
        <v>1382</v>
      </c>
      <c r="N1498" t="s">
        <v>657</v>
      </c>
      <c r="O1498" t="s">
        <v>1383</v>
      </c>
      <c r="P1498" t="s">
        <v>739</v>
      </c>
      <c r="Q1498" t="s">
        <v>510</v>
      </c>
      <c r="R1498" t="s">
        <v>1384</v>
      </c>
      <c r="S1498" t="s">
        <v>1385</v>
      </c>
      <c r="T1498" t="s">
        <v>1320</v>
      </c>
      <c r="U1498">
        <v>178800</v>
      </c>
      <c r="V1498" t="s">
        <v>3749</v>
      </c>
      <c r="W1498" t="s">
        <v>1387</v>
      </c>
      <c r="X1498" t="s">
        <v>8394</v>
      </c>
      <c r="Y1498" t="s">
        <v>5253</v>
      </c>
      <c r="AA1498" t="s">
        <v>5254</v>
      </c>
      <c r="AB1498" t="s">
        <v>8390</v>
      </c>
      <c r="AE1498">
        <v>-37.797869759999998</v>
      </c>
      <c r="AF1498">
        <v>175.24943575</v>
      </c>
      <c r="AG1498" s="175">
        <v>30</v>
      </c>
      <c r="AH1498" s="175">
        <v>17</v>
      </c>
      <c r="AI1498" s="175">
        <v>16</v>
      </c>
      <c r="AJ1498" s="175">
        <v>5</v>
      </c>
      <c r="AK1498" s="175">
        <v>7</v>
      </c>
      <c r="AL1498" s="175">
        <v>1</v>
      </c>
      <c r="AM1498" s="175">
        <v>4</v>
      </c>
      <c r="AN1498" s="175">
        <v>0</v>
      </c>
      <c r="AO1498" s="175">
        <v>33</v>
      </c>
      <c r="AP1498" s="175">
        <v>28</v>
      </c>
      <c r="AQ1498" s="175">
        <v>7</v>
      </c>
      <c r="AR1498" s="175">
        <v>6</v>
      </c>
      <c r="AS1498" s="175">
        <v>2</v>
      </c>
      <c r="AT1498" s="175">
        <v>2</v>
      </c>
    </row>
    <row r="1499" spans="1:46">
      <c r="A1499">
        <v>33020</v>
      </c>
      <c r="B1499" t="s">
        <v>9289</v>
      </c>
      <c r="C1499" t="s">
        <v>9262</v>
      </c>
      <c r="D1499" t="s">
        <v>8974</v>
      </c>
      <c r="E1499" t="s">
        <v>9290</v>
      </c>
      <c r="F1499" t="s">
        <v>1380</v>
      </c>
      <c r="G1499" t="s">
        <v>1381</v>
      </c>
      <c r="H1499" t="s">
        <v>301</v>
      </c>
      <c r="J1499" t="s">
        <v>605</v>
      </c>
      <c r="K1499" t="s">
        <v>606</v>
      </c>
      <c r="M1499" t="s">
        <v>1382</v>
      </c>
      <c r="N1499" t="s">
        <v>657</v>
      </c>
      <c r="O1499" t="s">
        <v>1383</v>
      </c>
      <c r="P1499" t="s">
        <v>739</v>
      </c>
      <c r="Q1499" t="s">
        <v>510</v>
      </c>
      <c r="R1499" t="s">
        <v>1384</v>
      </c>
      <c r="S1499" t="s">
        <v>1396</v>
      </c>
      <c r="T1499" t="s">
        <v>1320</v>
      </c>
      <c r="U1499">
        <v>179600</v>
      </c>
      <c r="V1499" t="s">
        <v>8874</v>
      </c>
      <c r="W1499" t="s">
        <v>1398</v>
      </c>
      <c r="X1499" t="s">
        <v>8394</v>
      </c>
      <c r="Y1499" t="s">
        <v>5253</v>
      </c>
      <c r="AA1499" t="s">
        <v>5254</v>
      </c>
      <c r="AB1499" t="s">
        <v>8390</v>
      </c>
      <c r="AE1499">
        <v>-37.783352450000002</v>
      </c>
      <c r="AF1499">
        <v>175.29960156000001</v>
      </c>
      <c r="AG1499" s="175">
        <v>30</v>
      </c>
      <c r="AH1499" s="175">
        <v>13</v>
      </c>
      <c r="AI1499" s="175">
        <v>1</v>
      </c>
      <c r="AJ1499" s="175">
        <v>10</v>
      </c>
      <c r="AK1499" s="175">
        <v>7</v>
      </c>
      <c r="AL1499" s="175">
        <v>8</v>
      </c>
      <c r="AM1499" s="175">
        <v>10</v>
      </c>
      <c r="AN1499" s="175">
        <v>3</v>
      </c>
      <c r="AO1499" s="175">
        <v>39</v>
      </c>
      <c r="AP1499" s="175">
        <v>32</v>
      </c>
      <c r="AQ1499" s="175">
        <v>8</v>
      </c>
      <c r="AR1499" s="175">
        <v>0</v>
      </c>
      <c r="AS1499" s="175">
        <v>5</v>
      </c>
      <c r="AT1499" s="175">
        <v>2</v>
      </c>
    </row>
    <row r="1500" spans="1:46">
      <c r="A1500">
        <v>33021</v>
      </c>
      <c r="B1500" t="s">
        <v>9291</v>
      </c>
      <c r="C1500" t="s">
        <v>9262</v>
      </c>
      <c r="D1500" t="s">
        <v>8974</v>
      </c>
      <c r="E1500" t="s">
        <v>9292</v>
      </c>
      <c r="F1500" t="s">
        <v>1380</v>
      </c>
      <c r="G1500" t="s">
        <v>1381</v>
      </c>
      <c r="H1500" t="s">
        <v>301</v>
      </c>
      <c r="J1500" t="s">
        <v>605</v>
      </c>
      <c r="K1500" t="s">
        <v>606</v>
      </c>
      <c r="M1500" t="s">
        <v>1382</v>
      </c>
      <c r="N1500" t="s">
        <v>657</v>
      </c>
      <c r="O1500" t="s">
        <v>1383</v>
      </c>
      <c r="P1500" t="s">
        <v>739</v>
      </c>
      <c r="Q1500" t="s">
        <v>510</v>
      </c>
      <c r="R1500" t="s">
        <v>1384</v>
      </c>
      <c r="S1500" t="s">
        <v>1396</v>
      </c>
      <c r="T1500" t="s">
        <v>1320</v>
      </c>
      <c r="U1500">
        <v>175801</v>
      </c>
      <c r="V1500" t="s">
        <v>8656</v>
      </c>
      <c r="W1500" t="s">
        <v>1398</v>
      </c>
      <c r="X1500" t="s">
        <v>8394</v>
      </c>
      <c r="Y1500" t="s">
        <v>5253</v>
      </c>
      <c r="AA1500" t="s">
        <v>5254</v>
      </c>
      <c r="AB1500" t="s">
        <v>8390</v>
      </c>
      <c r="AE1500">
        <v>-37.738043730000001</v>
      </c>
      <c r="AF1500">
        <v>175.25552956999999</v>
      </c>
      <c r="AG1500" s="175">
        <v>30</v>
      </c>
      <c r="AH1500" s="175">
        <v>20</v>
      </c>
      <c r="AI1500" s="175">
        <v>4</v>
      </c>
      <c r="AJ1500" s="175">
        <v>10</v>
      </c>
      <c r="AK1500" s="175">
        <v>8</v>
      </c>
      <c r="AL1500" s="175">
        <v>2</v>
      </c>
      <c r="AM1500" s="175">
        <v>5</v>
      </c>
      <c r="AN1500" s="175">
        <v>0</v>
      </c>
      <c r="AO1500" s="175">
        <v>29</v>
      </c>
      <c r="AP1500" s="175">
        <v>22</v>
      </c>
      <c r="AQ1500" s="175">
        <v>4</v>
      </c>
      <c r="AR1500" s="175">
        <v>0</v>
      </c>
      <c r="AS1500" s="175">
        <v>9</v>
      </c>
      <c r="AT1500" s="175">
        <v>1</v>
      </c>
    </row>
    <row r="1501" spans="1:46">
      <c r="A1501">
        <v>33024</v>
      </c>
      <c r="B1501" t="s">
        <v>9293</v>
      </c>
      <c r="C1501" t="s">
        <v>9262</v>
      </c>
      <c r="E1501" t="s">
        <v>9294</v>
      </c>
      <c r="G1501" t="s">
        <v>9034</v>
      </c>
      <c r="H1501" t="s">
        <v>301</v>
      </c>
      <c r="J1501" t="s">
        <v>605</v>
      </c>
      <c r="K1501" t="s">
        <v>606</v>
      </c>
      <c r="M1501" t="s">
        <v>1382</v>
      </c>
      <c r="N1501" t="s">
        <v>657</v>
      </c>
      <c r="O1501" t="s">
        <v>1435</v>
      </c>
      <c r="P1501" t="s">
        <v>658</v>
      </c>
      <c r="Q1501" t="s">
        <v>510</v>
      </c>
      <c r="R1501" t="s">
        <v>1384</v>
      </c>
      <c r="S1501" t="s">
        <v>1384</v>
      </c>
      <c r="T1501" t="s">
        <v>1320</v>
      </c>
      <c r="U1501">
        <v>173202</v>
      </c>
      <c r="V1501" t="s">
        <v>9014</v>
      </c>
      <c r="W1501" t="s">
        <v>8422</v>
      </c>
      <c r="X1501" t="s">
        <v>8394</v>
      </c>
      <c r="Y1501" t="s">
        <v>5253</v>
      </c>
      <c r="AA1501" t="s">
        <v>5254</v>
      </c>
      <c r="AB1501" t="s">
        <v>8390</v>
      </c>
      <c r="AE1501">
        <v>-37.828182300000002</v>
      </c>
      <c r="AF1501">
        <v>175.35232769999999</v>
      </c>
      <c r="AG1501" s="175">
        <v>30</v>
      </c>
      <c r="AH1501" s="175">
        <v>15</v>
      </c>
      <c r="AI1501" s="175">
        <v>4</v>
      </c>
      <c r="AJ1501" s="175">
        <v>12</v>
      </c>
      <c r="AK1501" s="175">
        <v>17</v>
      </c>
      <c r="AL1501" s="175">
        <v>7</v>
      </c>
      <c r="AM1501" s="175">
        <v>7</v>
      </c>
      <c r="AN1501" s="175">
        <v>0</v>
      </c>
      <c r="AO1501" s="175">
        <v>47</v>
      </c>
      <c r="AP1501" s="175">
        <v>46</v>
      </c>
      <c r="AQ1501" s="175">
        <v>1</v>
      </c>
      <c r="AR1501" s="175">
        <v>2</v>
      </c>
      <c r="AS1501" s="175">
        <v>0</v>
      </c>
      <c r="AT1501" s="175">
        <v>2</v>
      </c>
    </row>
    <row r="1502" spans="1:46">
      <c r="A1502">
        <v>33025</v>
      </c>
      <c r="B1502" t="s">
        <v>9295</v>
      </c>
      <c r="C1502" t="s">
        <v>9262</v>
      </c>
      <c r="D1502" t="s">
        <v>8974</v>
      </c>
      <c r="E1502" t="s">
        <v>9296</v>
      </c>
      <c r="G1502" t="s">
        <v>9127</v>
      </c>
      <c r="H1502" t="s">
        <v>301</v>
      </c>
      <c r="J1502" t="s">
        <v>605</v>
      </c>
      <c r="K1502" t="s">
        <v>606</v>
      </c>
      <c r="M1502" t="s">
        <v>1382</v>
      </c>
      <c r="N1502" t="s">
        <v>657</v>
      </c>
      <c r="O1502" t="s">
        <v>1435</v>
      </c>
      <c r="P1502" t="s">
        <v>626</v>
      </c>
      <c r="Q1502" t="s">
        <v>510</v>
      </c>
      <c r="R1502" t="s">
        <v>1384</v>
      </c>
      <c r="S1502" t="s">
        <v>1384</v>
      </c>
      <c r="T1502" t="s">
        <v>1320</v>
      </c>
      <c r="U1502">
        <v>171901</v>
      </c>
      <c r="V1502" t="s">
        <v>9128</v>
      </c>
      <c r="W1502" t="s">
        <v>1437</v>
      </c>
      <c r="X1502" t="s">
        <v>8394</v>
      </c>
      <c r="Y1502" t="s">
        <v>5253</v>
      </c>
      <c r="AA1502" t="s">
        <v>5254</v>
      </c>
      <c r="AB1502" t="s">
        <v>8390</v>
      </c>
      <c r="AE1502">
        <v>-37.613849469999998</v>
      </c>
      <c r="AF1502">
        <v>175.18841393</v>
      </c>
      <c r="AG1502" s="175">
        <v>28</v>
      </c>
      <c r="AH1502" s="175">
        <v>15</v>
      </c>
      <c r="AI1502" s="175">
        <v>1</v>
      </c>
      <c r="AJ1502" s="175">
        <v>3</v>
      </c>
      <c r="AK1502" s="175">
        <v>6</v>
      </c>
      <c r="AL1502" s="175">
        <v>4</v>
      </c>
      <c r="AM1502" s="175">
        <v>2</v>
      </c>
      <c r="AN1502" s="175">
        <v>1</v>
      </c>
      <c r="AO1502" s="175">
        <v>17</v>
      </c>
      <c r="AP1502" s="175">
        <v>16</v>
      </c>
      <c r="AQ1502" s="175">
        <v>3</v>
      </c>
      <c r="AR1502" s="175">
        <v>1</v>
      </c>
      <c r="AS1502" s="175">
        <v>0</v>
      </c>
      <c r="AT1502" s="175">
        <v>0</v>
      </c>
    </row>
    <row r="1503" spans="1:46">
      <c r="A1503">
        <v>33026</v>
      </c>
      <c r="B1503" t="s">
        <v>9297</v>
      </c>
      <c r="C1503" t="s">
        <v>9262</v>
      </c>
      <c r="D1503" t="s">
        <v>8974</v>
      </c>
      <c r="E1503" t="s">
        <v>9298</v>
      </c>
      <c r="G1503" t="s">
        <v>1669</v>
      </c>
      <c r="H1503" t="s">
        <v>301</v>
      </c>
      <c r="J1503" t="s">
        <v>605</v>
      </c>
      <c r="K1503" t="s">
        <v>606</v>
      </c>
      <c r="M1503" t="s">
        <v>1382</v>
      </c>
      <c r="N1503" t="s">
        <v>657</v>
      </c>
      <c r="O1503" t="s">
        <v>1534</v>
      </c>
      <c r="P1503" t="s">
        <v>626</v>
      </c>
      <c r="Q1503" t="s">
        <v>510</v>
      </c>
      <c r="R1503" t="s">
        <v>1384</v>
      </c>
      <c r="S1503" t="s">
        <v>1384</v>
      </c>
      <c r="T1503" t="s">
        <v>1320</v>
      </c>
      <c r="U1503">
        <v>173500</v>
      </c>
      <c r="V1503" t="s">
        <v>9299</v>
      </c>
      <c r="W1503" t="s">
        <v>1671</v>
      </c>
      <c r="X1503" t="s">
        <v>8394</v>
      </c>
      <c r="Y1503" t="s">
        <v>5253</v>
      </c>
      <c r="AA1503" t="s">
        <v>5254</v>
      </c>
      <c r="AB1503" t="s">
        <v>8390</v>
      </c>
      <c r="AE1503">
        <v>-37.501903059999997</v>
      </c>
      <c r="AF1503">
        <v>175.4892868</v>
      </c>
      <c r="AG1503" s="175">
        <v>24</v>
      </c>
      <c r="AH1503" s="175">
        <v>10</v>
      </c>
      <c r="AI1503" s="175">
        <v>0</v>
      </c>
      <c r="AJ1503" s="175">
        <v>2</v>
      </c>
      <c r="AK1503" s="175">
        <v>0</v>
      </c>
      <c r="AL1503" s="175">
        <v>1</v>
      </c>
      <c r="AM1503" s="175">
        <v>2</v>
      </c>
      <c r="AN1503" s="175">
        <v>0</v>
      </c>
      <c r="AO1503" s="175">
        <v>5</v>
      </c>
      <c r="AP1503" s="175">
        <v>5</v>
      </c>
      <c r="AQ1503" s="175">
        <v>1</v>
      </c>
      <c r="AR1503" s="175">
        <v>0</v>
      </c>
      <c r="AS1503" s="175">
        <v>0</v>
      </c>
      <c r="AT1503" s="175">
        <v>0</v>
      </c>
    </row>
    <row r="1504" spans="1:46">
      <c r="A1504">
        <v>33027</v>
      </c>
      <c r="B1504" t="s">
        <v>9300</v>
      </c>
      <c r="C1504" t="s">
        <v>9262</v>
      </c>
      <c r="D1504" t="s">
        <v>8974</v>
      </c>
      <c r="E1504" t="s">
        <v>9301</v>
      </c>
      <c r="G1504" t="s">
        <v>1434</v>
      </c>
      <c r="H1504" t="s">
        <v>301</v>
      </c>
      <c r="J1504" t="s">
        <v>605</v>
      </c>
      <c r="K1504" t="s">
        <v>606</v>
      </c>
      <c r="M1504" t="s">
        <v>1382</v>
      </c>
      <c r="N1504" t="s">
        <v>657</v>
      </c>
      <c r="O1504" t="s">
        <v>1435</v>
      </c>
      <c r="P1504" t="s">
        <v>658</v>
      </c>
      <c r="Q1504" t="s">
        <v>510</v>
      </c>
      <c r="R1504" t="s">
        <v>1384</v>
      </c>
      <c r="S1504" t="s">
        <v>1501</v>
      </c>
      <c r="T1504" t="s">
        <v>1320</v>
      </c>
      <c r="U1504">
        <v>170901</v>
      </c>
      <c r="V1504" t="s">
        <v>9302</v>
      </c>
      <c r="W1504" t="s">
        <v>7960</v>
      </c>
      <c r="X1504" t="s">
        <v>8394</v>
      </c>
      <c r="Y1504" t="s">
        <v>5253</v>
      </c>
      <c r="AA1504" t="s">
        <v>5254</v>
      </c>
      <c r="AB1504" t="s">
        <v>8390</v>
      </c>
      <c r="AE1504">
        <v>-37.668978099999997</v>
      </c>
      <c r="AF1504">
        <v>174.87322028</v>
      </c>
      <c r="AG1504" s="175">
        <v>25</v>
      </c>
      <c r="AH1504" s="175">
        <v>15</v>
      </c>
      <c r="AI1504" s="175">
        <v>1</v>
      </c>
      <c r="AJ1504" s="175">
        <v>1</v>
      </c>
      <c r="AK1504" s="175">
        <v>4</v>
      </c>
      <c r="AL1504" s="175">
        <v>2</v>
      </c>
      <c r="AM1504" s="175">
        <v>3</v>
      </c>
      <c r="AN1504" s="175">
        <v>0</v>
      </c>
      <c r="AO1504" s="175">
        <v>11</v>
      </c>
      <c r="AP1504" s="175">
        <v>11</v>
      </c>
      <c r="AQ1504" s="175">
        <v>1</v>
      </c>
      <c r="AR1504" s="175">
        <v>0</v>
      </c>
      <c r="AS1504" s="175">
        <v>0</v>
      </c>
      <c r="AT1504" s="175">
        <v>0</v>
      </c>
    </row>
    <row r="1505" spans="1:46">
      <c r="A1505">
        <v>33036</v>
      </c>
      <c r="B1505" t="s">
        <v>9303</v>
      </c>
      <c r="C1505" t="s">
        <v>9262</v>
      </c>
      <c r="D1505" t="s">
        <v>8974</v>
      </c>
      <c r="E1505" t="s">
        <v>9304</v>
      </c>
      <c r="F1505" t="s">
        <v>1495</v>
      </c>
      <c r="G1505" t="s">
        <v>1381</v>
      </c>
      <c r="H1505" t="s">
        <v>301</v>
      </c>
      <c r="J1505" t="s">
        <v>605</v>
      </c>
      <c r="K1505" t="s">
        <v>606</v>
      </c>
      <c r="M1505" t="s">
        <v>1382</v>
      </c>
      <c r="N1505" t="s">
        <v>657</v>
      </c>
      <c r="O1505" t="s">
        <v>1383</v>
      </c>
      <c r="P1505" t="s">
        <v>739</v>
      </c>
      <c r="Q1505" t="s">
        <v>510</v>
      </c>
      <c r="R1505" t="s">
        <v>1384</v>
      </c>
      <c r="S1505" t="s">
        <v>1385</v>
      </c>
      <c r="T1505" t="s">
        <v>1320</v>
      </c>
      <c r="U1505">
        <v>175700</v>
      </c>
      <c r="V1505" t="s">
        <v>9305</v>
      </c>
      <c r="W1505" t="s">
        <v>1387</v>
      </c>
      <c r="X1505" t="s">
        <v>8394</v>
      </c>
      <c r="Y1505" t="s">
        <v>5253</v>
      </c>
      <c r="AA1505" t="s">
        <v>5254</v>
      </c>
      <c r="AB1505" t="s">
        <v>8390</v>
      </c>
      <c r="AE1505">
        <v>-37.739916379999997</v>
      </c>
      <c r="AF1505">
        <v>175.23630818000001</v>
      </c>
      <c r="AG1505" s="175">
        <v>25</v>
      </c>
      <c r="AH1505" s="175">
        <v>15</v>
      </c>
      <c r="AI1505" s="175">
        <v>1</v>
      </c>
      <c r="AJ1505" s="175">
        <v>7</v>
      </c>
      <c r="AK1505" s="175">
        <v>15</v>
      </c>
      <c r="AL1505" s="175">
        <v>8</v>
      </c>
      <c r="AM1505" s="175">
        <v>9</v>
      </c>
      <c r="AN1505" s="175">
        <v>1</v>
      </c>
      <c r="AO1505" s="175">
        <v>41</v>
      </c>
      <c r="AP1505" s="175">
        <v>36</v>
      </c>
      <c r="AQ1505" s="175">
        <v>10</v>
      </c>
      <c r="AR1505" s="175">
        <v>1</v>
      </c>
      <c r="AS1505" s="175">
        <v>4</v>
      </c>
      <c r="AT1505" s="175">
        <v>0</v>
      </c>
    </row>
    <row r="1506" spans="1:46">
      <c r="A1506">
        <v>34002</v>
      </c>
      <c r="B1506" t="s">
        <v>9306</v>
      </c>
      <c r="C1506" t="s">
        <v>9050</v>
      </c>
      <c r="E1506" t="s">
        <v>9307</v>
      </c>
      <c r="G1506" t="s">
        <v>1402</v>
      </c>
      <c r="H1506" t="s">
        <v>449</v>
      </c>
      <c r="J1506" t="s">
        <v>605</v>
      </c>
      <c r="K1506" t="s">
        <v>606</v>
      </c>
      <c r="M1506" t="s">
        <v>1382</v>
      </c>
      <c r="N1506" t="s">
        <v>657</v>
      </c>
      <c r="O1506" t="s">
        <v>1403</v>
      </c>
      <c r="P1506" t="s">
        <v>1347</v>
      </c>
      <c r="Q1506" t="s">
        <v>510</v>
      </c>
      <c r="R1506" t="s">
        <v>1384</v>
      </c>
      <c r="S1506" t="s">
        <v>1404</v>
      </c>
      <c r="T1506" t="s">
        <v>1320</v>
      </c>
      <c r="U1506">
        <v>183200</v>
      </c>
      <c r="V1506" t="s">
        <v>8564</v>
      </c>
      <c r="W1506" t="s">
        <v>1406</v>
      </c>
      <c r="X1506" t="s">
        <v>9052</v>
      </c>
      <c r="Y1506" t="s">
        <v>9051</v>
      </c>
      <c r="AA1506" t="s">
        <v>8991</v>
      </c>
      <c r="AB1506" t="s">
        <v>9053</v>
      </c>
      <c r="AE1506">
        <v>-37.896215210000001</v>
      </c>
      <c r="AF1506">
        <v>175.47280183000001</v>
      </c>
      <c r="AG1506" s="175">
        <v>75</v>
      </c>
      <c r="AH1506" s="175">
        <v>26</v>
      </c>
      <c r="AI1506" s="175">
        <v>8</v>
      </c>
      <c r="AJ1506" s="175">
        <v>17</v>
      </c>
      <c r="AK1506" s="175">
        <v>29</v>
      </c>
      <c r="AL1506" s="175">
        <v>0</v>
      </c>
      <c r="AM1506" s="175">
        <v>0</v>
      </c>
      <c r="AN1506" s="175">
        <v>0</v>
      </c>
      <c r="AO1506" s="175">
        <v>54</v>
      </c>
      <c r="AP1506" s="175">
        <v>51</v>
      </c>
      <c r="AQ1506" s="175">
        <v>7</v>
      </c>
      <c r="AR1506" s="175">
        <v>1</v>
      </c>
      <c r="AS1506" s="175">
        <v>2</v>
      </c>
      <c r="AT1506" s="175">
        <v>0</v>
      </c>
    </row>
    <row r="1507" spans="1:46">
      <c r="A1507">
        <v>34003</v>
      </c>
      <c r="B1507" t="s">
        <v>9308</v>
      </c>
      <c r="C1507" t="s">
        <v>9309</v>
      </c>
      <c r="D1507" t="s">
        <v>9310</v>
      </c>
      <c r="E1507" t="s">
        <v>9311</v>
      </c>
      <c r="F1507" t="s">
        <v>1450</v>
      </c>
      <c r="G1507" t="s">
        <v>1381</v>
      </c>
      <c r="H1507" t="s">
        <v>449</v>
      </c>
      <c r="J1507" t="s">
        <v>605</v>
      </c>
      <c r="K1507" t="s">
        <v>606</v>
      </c>
      <c r="M1507" t="s">
        <v>1382</v>
      </c>
      <c r="N1507" t="s">
        <v>657</v>
      </c>
      <c r="O1507" t="s">
        <v>1383</v>
      </c>
      <c r="P1507" t="s">
        <v>739</v>
      </c>
      <c r="Q1507" t="s">
        <v>510</v>
      </c>
      <c r="R1507" t="s">
        <v>1384</v>
      </c>
      <c r="S1507" t="s">
        <v>1396</v>
      </c>
      <c r="T1507" t="s">
        <v>1320</v>
      </c>
      <c r="U1507">
        <v>181200</v>
      </c>
      <c r="V1507" t="s">
        <v>9312</v>
      </c>
      <c r="W1507" t="s">
        <v>1398</v>
      </c>
      <c r="X1507" t="s">
        <v>9313</v>
      </c>
      <c r="Y1507" t="s">
        <v>9314</v>
      </c>
      <c r="Z1507" t="s">
        <v>1450</v>
      </c>
      <c r="AA1507" t="s">
        <v>9315</v>
      </c>
      <c r="AB1507" t="s">
        <v>9316</v>
      </c>
      <c r="AE1507">
        <v>-37.801101559999999</v>
      </c>
      <c r="AF1507">
        <v>175.32142379000001</v>
      </c>
      <c r="AG1507" s="175">
        <v>20</v>
      </c>
      <c r="AH1507" s="175">
        <v>0</v>
      </c>
      <c r="AI1507" s="175">
        <v>0</v>
      </c>
      <c r="AJ1507" s="175">
        <v>0</v>
      </c>
      <c r="AK1507" s="175">
        <v>1</v>
      </c>
      <c r="AL1507" s="175">
        <v>8</v>
      </c>
      <c r="AM1507" s="175">
        <v>16</v>
      </c>
      <c r="AN1507" s="175">
        <v>2</v>
      </c>
      <c r="AO1507" s="175">
        <v>27</v>
      </c>
      <c r="AP1507" s="175">
        <v>17</v>
      </c>
      <c r="AQ1507" s="175">
        <v>7</v>
      </c>
      <c r="AR1507" s="175">
        <v>3</v>
      </c>
      <c r="AS1507" s="175">
        <v>8</v>
      </c>
      <c r="AT1507" s="175">
        <v>0</v>
      </c>
    </row>
    <row r="1508" spans="1:46">
      <c r="A1508">
        <v>34005</v>
      </c>
      <c r="B1508" t="s">
        <v>9317</v>
      </c>
      <c r="C1508" t="s">
        <v>9318</v>
      </c>
      <c r="D1508" t="s">
        <v>9319</v>
      </c>
      <c r="E1508" t="s">
        <v>9320</v>
      </c>
      <c r="F1508" t="s">
        <v>1380</v>
      </c>
      <c r="G1508" t="s">
        <v>1381</v>
      </c>
      <c r="H1508" t="s">
        <v>449</v>
      </c>
      <c r="J1508" t="s">
        <v>605</v>
      </c>
      <c r="K1508" t="s">
        <v>606</v>
      </c>
      <c r="M1508" t="s">
        <v>1382</v>
      </c>
      <c r="N1508" t="s">
        <v>657</v>
      </c>
      <c r="O1508" t="s">
        <v>1383</v>
      </c>
      <c r="P1508" t="s">
        <v>739</v>
      </c>
      <c r="Q1508" t="s">
        <v>510</v>
      </c>
      <c r="R1508" t="s">
        <v>1384</v>
      </c>
      <c r="S1508" t="s">
        <v>1396</v>
      </c>
      <c r="T1508" t="s">
        <v>1320</v>
      </c>
      <c r="U1508">
        <v>179202</v>
      </c>
      <c r="V1508" t="s">
        <v>9098</v>
      </c>
      <c r="W1508" t="s">
        <v>1398</v>
      </c>
      <c r="X1508" t="s">
        <v>8712</v>
      </c>
      <c r="Y1508" t="s">
        <v>8713</v>
      </c>
      <c r="AA1508" t="s">
        <v>8714</v>
      </c>
      <c r="AB1508" t="s">
        <v>8715</v>
      </c>
      <c r="AE1508">
        <v>-37.786734090000003</v>
      </c>
      <c r="AF1508">
        <v>175.32087469000001</v>
      </c>
      <c r="AG1508" s="175">
        <v>143</v>
      </c>
      <c r="AH1508" s="175">
        <v>42</v>
      </c>
      <c r="AI1508" s="175">
        <v>5</v>
      </c>
      <c r="AJ1508" s="175">
        <v>18</v>
      </c>
      <c r="AK1508" s="175">
        <v>26</v>
      </c>
      <c r="AL1508" s="175">
        <v>15</v>
      </c>
      <c r="AM1508" s="175">
        <v>19</v>
      </c>
      <c r="AN1508" s="175">
        <v>1</v>
      </c>
      <c r="AO1508" s="175">
        <v>84</v>
      </c>
      <c r="AP1508" s="175">
        <v>52</v>
      </c>
      <c r="AQ1508" s="175">
        <v>28</v>
      </c>
      <c r="AR1508" s="175">
        <v>8</v>
      </c>
      <c r="AS1508" s="175">
        <v>27</v>
      </c>
      <c r="AT1508" s="175">
        <v>4</v>
      </c>
    </row>
    <row r="1509" spans="1:46">
      <c r="A1509">
        <v>34014</v>
      </c>
      <c r="B1509" t="s">
        <v>9321</v>
      </c>
      <c r="C1509" t="s">
        <v>9322</v>
      </c>
      <c r="D1509" t="s">
        <v>9323</v>
      </c>
      <c r="E1509" t="s">
        <v>9324</v>
      </c>
      <c r="G1509" t="s">
        <v>1669</v>
      </c>
      <c r="H1509" t="s">
        <v>449</v>
      </c>
      <c r="I1509" t="s">
        <v>5838</v>
      </c>
      <c r="J1509" t="s">
        <v>605</v>
      </c>
      <c r="K1509" t="s">
        <v>606</v>
      </c>
      <c r="M1509" t="s">
        <v>1382</v>
      </c>
      <c r="N1509" t="s">
        <v>657</v>
      </c>
      <c r="O1509" t="s">
        <v>1534</v>
      </c>
      <c r="P1509" t="s">
        <v>610</v>
      </c>
      <c r="Q1509" t="s">
        <v>510</v>
      </c>
      <c r="R1509" t="s">
        <v>1384</v>
      </c>
      <c r="S1509" t="s">
        <v>1384</v>
      </c>
      <c r="T1509" t="s">
        <v>1320</v>
      </c>
      <c r="U1509">
        <v>174001</v>
      </c>
      <c r="V1509" t="s">
        <v>3893</v>
      </c>
      <c r="W1509" t="s">
        <v>1671</v>
      </c>
      <c r="X1509" t="s">
        <v>9325</v>
      </c>
      <c r="Y1509" t="s">
        <v>9326</v>
      </c>
      <c r="Z1509" t="s">
        <v>1669</v>
      </c>
      <c r="AA1509" t="s">
        <v>9327</v>
      </c>
      <c r="AB1509" t="s">
        <v>9328</v>
      </c>
      <c r="AC1509">
        <v>99131</v>
      </c>
      <c r="AD1509" t="s">
        <v>1672</v>
      </c>
      <c r="AE1509">
        <v>-37.656609950000004</v>
      </c>
      <c r="AF1509">
        <v>175.52911198999999</v>
      </c>
      <c r="AG1509" s="175">
        <v>30</v>
      </c>
      <c r="AH1509" s="175">
        <v>0</v>
      </c>
      <c r="AI1509" s="175">
        <v>0</v>
      </c>
      <c r="AJ1509" s="175">
        <v>0</v>
      </c>
      <c r="AK1509" s="175">
        <v>11</v>
      </c>
      <c r="AL1509" s="175">
        <v>12</v>
      </c>
      <c r="AM1509" s="175">
        <v>22</v>
      </c>
      <c r="AN1509" s="175">
        <v>0</v>
      </c>
      <c r="AO1509" s="175">
        <v>45</v>
      </c>
      <c r="AP1509" s="175">
        <v>34</v>
      </c>
      <c r="AQ1509" s="175">
        <v>9</v>
      </c>
      <c r="AR1509" s="175">
        <v>1</v>
      </c>
      <c r="AS1509" s="175">
        <v>5</v>
      </c>
      <c r="AT1509" s="175">
        <v>5</v>
      </c>
    </row>
    <row r="1510" spans="1:46">
      <c r="A1510">
        <v>34015</v>
      </c>
      <c r="B1510" t="s">
        <v>9329</v>
      </c>
      <c r="C1510" t="s">
        <v>9330</v>
      </c>
      <c r="D1510" t="s">
        <v>1378</v>
      </c>
      <c r="E1510" t="s">
        <v>9331</v>
      </c>
      <c r="F1510" t="s">
        <v>1424</v>
      </c>
      <c r="G1510" t="s">
        <v>1381</v>
      </c>
      <c r="H1510" t="s">
        <v>449</v>
      </c>
      <c r="J1510" t="s">
        <v>605</v>
      </c>
      <c r="K1510" t="s">
        <v>606</v>
      </c>
      <c r="M1510" t="s">
        <v>1382</v>
      </c>
      <c r="N1510" t="s">
        <v>643</v>
      </c>
      <c r="O1510" t="s">
        <v>1383</v>
      </c>
      <c r="P1510" t="s">
        <v>739</v>
      </c>
      <c r="Q1510" t="s">
        <v>510</v>
      </c>
      <c r="R1510" t="s">
        <v>1384</v>
      </c>
      <c r="S1510" t="s">
        <v>1396</v>
      </c>
      <c r="T1510" t="s">
        <v>1320</v>
      </c>
      <c r="U1510">
        <v>177700</v>
      </c>
      <c r="V1510" t="s">
        <v>9332</v>
      </c>
      <c r="W1510" t="s">
        <v>1398</v>
      </c>
      <c r="X1510" t="s">
        <v>1388</v>
      </c>
      <c r="Y1510" t="s">
        <v>1389</v>
      </c>
      <c r="Z1510" t="s">
        <v>1396</v>
      </c>
      <c r="AA1510" t="s">
        <v>1390</v>
      </c>
      <c r="AB1510" t="s">
        <v>1391</v>
      </c>
      <c r="AC1510">
        <v>99132</v>
      </c>
      <c r="AD1510" t="s">
        <v>8577</v>
      </c>
      <c r="AE1510">
        <v>-37.761920760000002</v>
      </c>
      <c r="AF1510">
        <v>175.27658033</v>
      </c>
      <c r="AG1510" s="175">
        <v>70</v>
      </c>
      <c r="AH1510" s="175">
        <v>25</v>
      </c>
      <c r="AI1510" s="175">
        <v>3</v>
      </c>
      <c r="AJ1510" s="175">
        <v>15</v>
      </c>
      <c r="AK1510" s="175">
        <v>19</v>
      </c>
      <c r="AL1510" s="175">
        <v>10</v>
      </c>
      <c r="AM1510" s="175">
        <v>21</v>
      </c>
      <c r="AN1510" s="175">
        <v>2</v>
      </c>
      <c r="AO1510" s="175">
        <v>70</v>
      </c>
      <c r="AP1510" s="175">
        <v>57</v>
      </c>
      <c r="AQ1510" s="175">
        <v>27</v>
      </c>
      <c r="AR1510" s="175">
        <v>8</v>
      </c>
      <c r="AS1510" s="175">
        <v>5</v>
      </c>
      <c r="AT1510" s="175">
        <v>3</v>
      </c>
    </row>
    <row r="1511" spans="1:46">
      <c r="A1511">
        <v>34016</v>
      </c>
      <c r="B1511" t="s">
        <v>9333</v>
      </c>
      <c r="C1511" t="s">
        <v>9330</v>
      </c>
      <c r="D1511" t="s">
        <v>1378</v>
      </c>
      <c r="E1511" t="s">
        <v>9334</v>
      </c>
      <c r="F1511" t="s">
        <v>1396</v>
      </c>
      <c r="G1511" t="s">
        <v>1381</v>
      </c>
      <c r="H1511" t="s">
        <v>450</v>
      </c>
      <c r="J1511" t="s">
        <v>605</v>
      </c>
      <c r="K1511" t="s">
        <v>606</v>
      </c>
      <c r="M1511" t="s">
        <v>1382</v>
      </c>
      <c r="N1511" t="s">
        <v>643</v>
      </c>
      <c r="O1511" t="s">
        <v>1383</v>
      </c>
      <c r="P1511" t="s">
        <v>739</v>
      </c>
      <c r="Q1511" t="s">
        <v>510</v>
      </c>
      <c r="R1511" t="s">
        <v>1384</v>
      </c>
      <c r="S1511" t="s">
        <v>1396</v>
      </c>
      <c r="T1511" t="s">
        <v>1320</v>
      </c>
      <c r="U1511">
        <v>179700</v>
      </c>
      <c r="V1511" t="s">
        <v>8800</v>
      </c>
      <c r="W1511" t="s">
        <v>1398</v>
      </c>
      <c r="X1511" t="s">
        <v>1388</v>
      </c>
      <c r="Y1511" t="s">
        <v>1389</v>
      </c>
      <c r="Z1511" t="s">
        <v>1396</v>
      </c>
      <c r="AA1511" t="s">
        <v>1390</v>
      </c>
      <c r="AB1511" t="s">
        <v>1391</v>
      </c>
      <c r="AE1511">
        <v>-37.794849620000001</v>
      </c>
      <c r="AF1511">
        <v>175.29353259999999</v>
      </c>
      <c r="AG1511" s="175">
        <v>60</v>
      </c>
      <c r="AH1511" s="175">
        <v>60</v>
      </c>
      <c r="AI1511" s="175">
        <v>1</v>
      </c>
      <c r="AJ1511" s="175">
        <v>10</v>
      </c>
      <c r="AK1511" s="175">
        <v>15</v>
      </c>
      <c r="AL1511" s="175">
        <v>12</v>
      </c>
      <c r="AM1511" s="175">
        <v>7</v>
      </c>
      <c r="AN1511" s="175">
        <v>0</v>
      </c>
      <c r="AO1511" s="175">
        <v>45</v>
      </c>
      <c r="AP1511" s="175">
        <v>32</v>
      </c>
      <c r="AQ1511" s="175">
        <v>9</v>
      </c>
      <c r="AR1511" s="175">
        <v>2</v>
      </c>
      <c r="AS1511" s="175">
        <v>8</v>
      </c>
      <c r="AT1511" s="175">
        <v>4</v>
      </c>
    </row>
    <row r="1512" spans="1:46">
      <c r="A1512">
        <v>34023</v>
      </c>
      <c r="B1512" t="s">
        <v>9335</v>
      </c>
      <c r="C1512" t="s">
        <v>9336</v>
      </c>
      <c r="E1512" t="s">
        <v>9337</v>
      </c>
      <c r="F1512" t="s">
        <v>1482</v>
      </c>
      <c r="G1512" t="s">
        <v>1381</v>
      </c>
      <c r="H1512" t="s">
        <v>449</v>
      </c>
      <c r="J1512" t="s">
        <v>605</v>
      </c>
      <c r="K1512" t="s">
        <v>606</v>
      </c>
      <c r="M1512" t="s">
        <v>1382</v>
      </c>
      <c r="N1512" t="s">
        <v>657</v>
      </c>
      <c r="O1512" t="s">
        <v>1383</v>
      </c>
      <c r="P1512" t="s">
        <v>739</v>
      </c>
      <c r="Q1512" t="s">
        <v>510</v>
      </c>
      <c r="R1512" t="s">
        <v>1384</v>
      </c>
      <c r="S1512" t="s">
        <v>1396</v>
      </c>
      <c r="T1512" t="s">
        <v>1320</v>
      </c>
      <c r="U1512">
        <v>179300</v>
      </c>
      <c r="V1512" t="s">
        <v>1482</v>
      </c>
      <c r="W1512" t="s">
        <v>1398</v>
      </c>
      <c r="X1512" t="s">
        <v>1388</v>
      </c>
      <c r="Y1512" t="s">
        <v>1389</v>
      </c>
      <c r="Z1512" t="s">
        <v>1396</v>
      </c>
      <c r="AA1512" t="s">
        <v>1390</v>
      </c>
      <c r="AB1512" t="s">
        <v>1391</v>
      </c>
      <c r="AE1512">
        <v>-37.781472569999998</v>
      </c>
      <c r="AF1512">
        <v>175.28676768</v>
      </c>
      <c r="AG1512" s="175">
        <v>58</v>
      </c>
      <c r="AH1512" s="175">
        <v>20</v>
      </c>
      <c r="AI1512" s="175">
        <v>3</v>
      </c>
      <c r="AJ1512" s="175">
        <v>14</v>
      </c>
      <c r="AK1512" s="175">
        <v>19</v>
      </c>
      <c r="AL1512" s="175">
        <v>11</v>
      </c>
      <c r="AM1512" s="175">
        <v>17</v>
      </c>
      <c r="AN1512" s="175">
        <v>1</v>
      </c>
      <c r="AO1512" s="175">
        <v>65</v>
      </c>
      <c r="AP1512" s="175">
        <v>54</v>
      </c>
      <c r="AQ1512" s="175">
        <v>15</v>
      </c>
      <c r="AR1512" s="175">
        <v>5</v>
      </c>
      <c r="AS1512" s="175">
        <v>6</v>
      </c>
      <c r="AT1512" s="175">
        <v>6</v>
      </c>
    </row>
    <row r="1513" spans="1:46">
      <c r="A1513">
        <v>34024</v>
      </c>
      <c r="B1513" t="s">
        <v>9338</v>
      </c>
      <c r="C1513" t="s">
        <v>9339</v>
      </c>
      <c r="D1513" t="s">
        <v>9340</v>
      </c>
      <c r="E1513" t="s">
        <v>9341</v>
      </c>
      <c r="G1513" t="s">
        <v>1621</v>
      </c>
      <c r="H1513" t="s">
        <v>449</v>
      </c>
      <c r="J1513" t="s">
        <v>4032</v>
      </c>
      <c r="K1513" t="s">
        <v>606</v>
      </c>
      <c r="M1513" t="s">
        <v>1382</v>
      </c>
      <c r="N1513" t="s">
        <v>657</v>
      </c>
      <c r="O1513" t="s">
        <v>1403</v>
      </c>
      <c r="P1513" t="s">
        <v>1347</v>
      </c>
      <c r="Q1513" t="s">
        <v>510</v>
      </c>
      <c r="R1513" t="s">
        <v>1384</v>
      </c>
      <c r="S1513" t="s">
        <v>1501</v>
      </c>
      <c r="T1513" t="s">
        <v>1320</v>
      </c>
      <c r="U1513">
        <v>184000</v>
      </c>
      <c r="V1513" t="s">
        <v>9342</v>
      </c>
      <c r="W1513" t="s">
        <v>1623</v>
      </c>
      <c r="X1513" t="s">
        <v>9343</v>
      </c>
      <c r="Y1513" t="s">
        <v>9341</v>
      </c>
      <c r="AA1513" t="s">
        <v>9344</v>
      </c>
      <c r="AB1513" t="s">
        <v>9345</v>
      </c>
      <c r="AE1513">
        <v>-38.011005830000002</v>
      </c>
      <c r="AF1513">
        <v>175.31720396</v>
      </c>
      <c r="AG1513" s="175">
        <v>44</v>
      </c>
      <c r="AH1513" s="175">
        <v>20</v>
      </c>
      <c r="AI1513" s="175">
        <v>2</v>
      </c>
      <c r="AJ1513" s="175">
        <v>11</v>
      </c>
      <c r="AK1513" s="175">
        <v>16</v>
      </c>
      <c r="AL1513" s="175">
        <v>16</v>
      </c>
      <c r="AM1513" s="175">
        <v>12</v>
      </c>
      <c r="AN1513" s="175">
        <v>1</v>
      </c>
      <c r="AO1513" s="175">
        <v>58</v>
      </c>
      <c r="AP1513" s="175">
        <v>58</v>
      </c>
      <c r="AQ1513" s="175">
        <v>9</v>
      </c>
      <c r="AR1513" s="175">
        <v>0</v>
      </c>
      <c r="AS1513" s="175">
        <v>2</v>
      </c>
      <c r="AT1513" s="175">
        <v>0</v>
      </c>
    </row>
    <row r="1514" spans="1:46">
      <c r="A1514">
        <v>34026</v>
      </c>
      <c r="B1514" t="s">
        <v>9346</v>
      </c>
      <c r="C1514" t="s">
        <v>9347</v>
      </c>
      <c r="D1514" t="s">
        <v>9348</v>
      </c>
      <c r="E1514" t="s">
        <v>9349</v>
      </c>
      <c r="G1514" t="s">
        <v>1662</v>
      </c>
      <c r="H1514" t="s">
        <v>449</v>
      </c>
      <c r="J1514" t="s">
        <v>605</v>
      </c>
      <c r="K1514" t="s">
        <v>606</v>
      </c>
      <c r="M1514" t="s">
        <v>1382</v>
      </c>
      <c r="N1514" t="s">
        <v>657</v>
      </c>
      <c r="O1514" t="s">
        <v>1534</v>
      </c>
      <c r="P1514" t="s">
        <v>610</v>
      </c>
      <c r="Q1514" t="s">
        <v>510</v>
      </c>
      <c r="R1514" t="s">
        <v>1384</v>
      </c>
      <c r="S1514" t="s">
        <v>1384</v>
      </c>
      <c r="T1514" t="s">
        <v>1320</v>
      </c>
      <c r="U1514">
        <v>175001</v>
      </c>
      <c r="V1514" t="s">
        <v>1663</v>
      </c>
      <c r="W1514" t="s">
        <v>1664</v>
      </c>
      <c r="X1514" t="s">
        <v>9350</v>
      </c>
      <c r="Y1514" t="s">
        <v>9351</v>
      </c>
      <c r="Z1514" t="s">
        <v>1662</v>
      </c>
      <c r="AA1514" t="s">
        <v>9352</v>
      </c>
      <c r="AC1514">
        <v>99104</v>
      </c>
      <c r="AD1514" t="s">
        <v>1665</v>
      </c>
      <c r="AE1514">
        <v>-37.813972030000002</v>
      </c>
      <c r="AF1514">
        <v>175.76475282000001</v>
      </c>
      <c r="AG1514" s="175">
        <v>75</v>
      </c>
      <c r="AH1514" s="175">
        <v>25</v>
      </c>
      <c r="AI1514" s="175">
        <v>1</v>
      </c>
      <c r="AJ1514" s="175">
        <v>9</v>
      </c>
      <c r="AK1514" s="175">
        <v>16</v>
      </c>
      <c r="AL1514" s="175">
        <v>11</v>
      </c>
      <c r="AM1514" s="175">
        <v>17</v>
      </c>
      <c r="AN1514" s="175">
        <v>3</v>
      </c>
      <c r="AO1514" s="175">
        <v>57</v>
      </c>
      <c r="AP1514" s="175">
        <v>44</v>
      </c>
      <c r="AQ1514" s="175">
        <v>13</v>
      </c>
      <c r="AR1514" s="175">
        <v>2</v>
      </c>
      <c r="AS1514" s="175">
        <v>8</v>
      </c>
      <c r="AT1514" s="175">
        <v>7</v>
      </c>
    </row>
    <row r="1515" spans="1:46">
      <c r="A1515">
        <v>34028</v>
      </c>
      <c r="B1515" t="s">
        <v>9353</v>
      </c>
      <c r="C1515" t="s">
        <v>9354</v>
      </c>
      <c r="D1515" t="s">
        <v>9355</v>
      </c>
      <c r="E1515" t="s">
        <v>9356</v>
      </c>
      <c r="F1515" t="s">
        <v>1380</v>
      </c>
      <c r="G1515" t="s">
        <v>1381</v>
      </c>
      <c r="H1515" t="s">
        <v>449</v>
      </c>
      <c r="I1515" t="s">
        <v>4182</v>
      </c>
      <c r="J1515" t="s">
        <v>605</v>
      </c>
      <c r="K1515" t="s">
        <v>606</v>
      </c>
      <c r="M1515" t="s">
        <v>1382</v>
      </c>
      <c r="N1515" t="s">
        <v>657</v>
      </c>
      <c r="O1515" t="s">
        <v>1383</v>
      </c>
      <c r="P1515" t="s">
        <v>739</v>
      </c>
      <c r="Q1515" t="s">
        <v>510</v>
      </c>
      <c r="R1515" t="s">
        <v>1384</v>
      </c>
      <c r="S1515" t="s">
        <v>1385</v>
      </c>
      <c r="T1515" t="s">
        <v>1320</v>
      </c>
      <c r="U1515">
        <v>179801</v>
      </c>
      <c r="V1515" t="s">
        <v>1385</v>
      </c>
      <c r="W1515" t="s">
        <v>1387</v>
      </c>
      <c r="X1515" t="s">
        <v>9357</v>
      </c>
      <c r="Y1515" t="s">
        <v>9356</v>
      </c>
      <c r="AA1515" t="s">
        <v>8714</v>
      </c>
      <c r="AB1515" t="s">
        <v>9354</v>
      </c>
      <c r="AE1515">
        <v>-37.799135319999998</v>
      </c>
      <c r="AF1515">
        <v>175.28455853</v>
      </c>
      <c r="AG1515" s="175">
        <v>35</v>
      </c>
      <c r="AH1515" s="175">
        <v>5</v>
      </c>
      <c r="AI1515" s="175">
        <v>3</v>
      </c>
      <c r="AJ1515" s="175">
        <v>5</v>
      </c>
      <c r="AK1515" s="175">
        <v>9</v>
      </c>
      <c r="AL1515" s="175">
        <v>22</v>
      </c>
      <c r="AM1515" s="175">
        <v>18</v>
      </c>
      <c r="AN1515" s="175">
        <v>7</v>
      </c>
      <c r="AO1515" s="175">
        <v>64</v>
      </c>
      <c r="AP1515" s="175">
        <v>43</v>
      </c>
      <c r="AQ1515" s="175">
        <v>33</v>
      </c>
      <c r="AR1515" s="175">
        <v>6</v>
      </c>
      <c r="AS1515" s="175">
        <v>8</v>
      </c>
      <c r="AT1515" s="175">
        <v>7</v>
      </c>
    </row>
    <row r="1516" spans="1:46">
      <c r="A1516">
        <v>34029</v>
      </c>
      <c r="B1516" t="s">
        <v>9358</v>
      </c>
      <c r="C1516" t="s">
        <v>9359</v>
      </c>
      <c r="D1516" t="s">
        <v>9360</v>
      </c>
      <c r="E1516" t="s">
        <v>9361</v>
      </c>
      <c r="F1516" t="s">
        <v>1396</v>
      </c>
      <c r="G1516" t="s">
        <v>1381</v>
      </c>
      <c r="H1516" t="s">
        <v>449</v>
      </c>
      <c r="J1516" t="s">
        <v>605</v>
      </c>
      <c r="K1516" t="s">
        <v>606</v>
      </c>
      <c r="M1516" t="s">
        <v>1382</v>
      </c>
      <c r="N1516" t="s">
        <v>657</v>
      </c>
      <c r="O1516" t="s">
        <v>1383</v>
      </c>
      <c r="P1516" t="s">
        <v>739</v>
      </c>
      <c r="Q1516" t="s">
        <v>510</v>
      </c>
      <c r="R1516" t="s">
        <v>1384</v>
      </c>
      <c r="S1516" t="s">
        <v>1396</v>
      </c>
      <c r="T1516" t="s">
        <v>1320</v>
      </c>
      <c r="U1516">
        <v>179202</v>
      </c>
      <c r="V1516" t="s">
        <v>9098</v>
      </c>
      <c r="W1516" t="s">
        <v>1398</v>
      </c>
      <c r="X1516" t="s">
        <v>9362</v>
      </c>
      <c r="Y1516" t="s">
        <v>9363</v>
      </c>
      <c r="AA1516" t="s">
        <v>9364</v>
      </c>
      <c r="AB1516" t="s">
        <v>9359</v>
      </c>
      <c r="AE1516">
        <v>-37.773593990000002</v>
      </c>
      <c r="AF1516">
        <v>175.30808992999999</v>
      </c>
      <c r="AG1516" s="175">
        <v>60</v>
      </c>
      <c r="AH1516" s="175">
        <v>18</v>
      </c>
      <c r="AI1516" s="175">
        <v>3</v>
      </c>
      <c r="AJ1516" s="175">
        <v>8</v>
      </c>
      <c r="AK1516" s="175">
        <v>14</v>
      </c>
      <c r="AL1516" s="175">
        <v>10</v>
      </c>
      <c r="AM1516" s="175">
        <v>21</v>
      </c>
      <c r="AN1516" s="175">
        <v>1</v>
      </c>
      <c r="AO1516" s="175">
        <v>57</v>
      </c>
      <c r="AP1516" s="175">
        <v>53</v>
      </c>
      <c r="AQ1516" s="175">
        <v>12</v>
      </c>
      <c r="AR1516" s="175">
        <v>0</v>
      </c>
      <c r="AS1516" s="175">
        <v>6</v>
      </c>
      <c r="AT1516" s="175">
        <v>5</v>
      </c>
    </row>
    <row r="1517" spans="1:46">
      <c r="A1517">
        <v>34036</v>
      </c>
      <c r="B1517" t="s">
        <v>9365</v>
      </c>
      <c r="C1517" t="s">
        <v>1517</v>
      </c>
      <c r="E1517" t="s">
        <v>9366</v>
      </c>
      <c r="G1517" t="s">
        <v>1717</v>
      </c>
      <c r="H1517" t="s">
        <v>452</v>
      </c>
      <c r="J1517" t="s">
        <v>605</v>
      </c>
      <c r="K1517" t="s">
        <v>606</v>
      </c>
      <c r="M1517" t="s">
        <v>1382</v>
      </c>
      <c r="N1517" t="s">
        <v>625</v>
      </c>
      <c r="O1517" t="s">
        <v>1718</v>
      </c>
      <c r="P1517" t="s">
        <v>610</v>
      </c>
      <c r="Q1517" t="s">
        <v>553</v>
      </c>
      <c r="R1517" t="s">
        <v>1384</v>
      </c>
      <c r="S1517" t="s">
        <v>1719</v>
      </c>
      <c r="T1517" t="s">
        <v>1568</v>
      </c>
      <c r="U1517">
        <v>222600</v>
      </c>
      <c r="V1517" t="s">
        <v>1720</v>
      </c>
      <c r="W1517" t="s">
        <v>1721</v>
      </c>
      <c r="X1517" t="s">
        <v>1571</v>
      </c>
      <c r="Y1517" t="s">
        <v>1525</v>
      </c>
      <c r="AA1517" t="s">
        <v>1526</v>
      </c>
      <c r="AB1517" t="s">
        <v>1572</v>
      </c>
      <c r="AC1517">
        <v>99201</v>
      </c>
      <c r="AD1517" t="s">
        <v>1722</v>
      </c>
      <c r="AE1517">
        <v>-38.885222659999997</v>
      </c>
      <c r="AF1517">
        <v>175.26233332999999</v>
      </c>
      <c r="AG1517" s="175">
        <v>40</v>
      </c>
      <c r="AH1517" s="175">
        <v>20</v>
      </c>
      <c r="AI1517" s="175">
        <v>0</v>
      </c>
      <c r="AJ1517" s="175">
        <v>11</v>
      </c>
      <c r="AK1517" s="175">
        <v>7</v>
      </c>
      <c r="AL1517" s="175">
        <v>9</v>
      </c>
      <c r="AM1517" s="175">
        <v>12</v>
      </c>
      <c r="AN1517" s="175">
        <v>0</v>
      </c>
      <c r="AO1517" s="175">
        <v>39</v>
      </c>
      <c r="AP1517" s="175">
        <v>20</v>
      </c>
      <c r="AQ1517" s="175">
        <v>19</v>
      </c>
      <c r="AR1517" s="175">
        <v>1</v>
      </c>
      <c r="AS1517" s="175">
        <v>3</v>
      </c>
      <c r="AT1517" s="175">
        <v>4</v>
      </c>
    </row>
    <row r="1518" spans="1:46">
      <c r="A1518">
        <v>34037</v>
      </c>
      <c r="B1518" t="s">
        <v>9367</v>
      </c>
      <c r="C1518" t="s">
        <v>9368</v>
      </c>
      <c r="D1518" t="s">
        <v>1378</v>
      </c>
      <c r="E1518" t="s">
        <v>9369</v>
      </c>
      <c r="G1518" t="s">
        <v>9370</v>
      </c>
      <c r="H1518" t="s">
        <v>452</v>
      </c>
      <c r="J1518" t="s">
        <v>605</v>
      </c>
      <c r="K1518" t="s">
        <v>606</v>
      </c>
      <c r="M1518" t="s">
        <v>1382</v>
      </c>
      <c r="N1518" t="s">
        <v>657</v>
      </c>
      <c r="O1518" t="s">
        <v>1435</v>
      </c>
      <c r="P1518" t="s">
        <v>626</v>
      </c>
      <c r="Q1518" t="s">
        <v>510</v>
      </c>
      <c r="R1518" t="s">
        <v>1384</v>
      </c>
      <c r="S1518" t="s">
        <v>1501</v>
      </c>
      <c r="T1518" t="s">
        <v>1320</v>
      </c>
      <c r="U1518">
        <v>172401</v>
      </c>
      <c r="V1518" t="s">
        <v>9371</v>
      </c>
      <c r="W1518" t="s">
        <v>1437</v>
      </c>
      <c r="X1518" t="s">
        <v>1388</v>
      </c>
      <c r="Y1518" t="s">
        <v>1389</v>
      </c>
      <c r="AA1518" t="s">
        <v>1390</v>
      </c>
      <c r="AB1518" t="s">
        <v>1391</v>
      </c>
      <c r="AC1518">
        <v>99035</v>
      </c>
      <c r="AD1518" t="s">
        <v>1392</v>
      </c>
      <c r="AE1518">
        <v>-37.73992887</v>
      </c>
      <c r="AF1518">
        <v>175.15126530000001</v>
      </c>
      <c r="AG1518" s="175">
        <v>40</v>
      </c>
      <c r="AH1518" s="175">
        <v>0</v>
      </c>
      <c r="AI1518" s="175">
        <v>0</v>
      </c>
      <c r="AJ1518" s="175">
        <v>0</v>
      </c>
      <c r="AK1518" s="175">
        <v>11</v>
      </c>
      <c r="AL1518" s="175">
        <v>9</v>
      </c>
      <c r="AM1518" s="175">
        <v>13</v>
      </c>
      <c r="AN1518" s="175">
        <v>1</v>
      </c>
      <c r="AO1518" s="175">
        <v>34</v>
      </c>
      <c r="AP1518" s="175">
        <v>33</v>
      </c>
      <c r="AQ1518" s="175">
        <v>3</v>
      </c>
      <c r="AR1518" s="175">
        <v>1</v>
      </c>
      <c r="AS1518" s="175">
        <v>1</v>
      </c>
      <c r="AT1518" s="175">
        <v>0</v>
      </c>
    </row>
    <row r="1519" spans="1:46">
      <c r="A1519">
        <v>34038</v>
      </c>
      <c r="B1519" t="s">
        <v>9372</v>
      </c>
      <c r="C1519" t="s">
        <v>9373</v>
      </c>
      <c r="D1519" t="s">
        <v>1378</v>
      </c>
      <c r="E1519" t="s">
        <v>9374</v>
      </c>
      <c r="F1519" t="s">
        <v>1506</v>
      </c>
      <c r="G1519" t="s">
        <v>1381</v>
      </c>
      <c r="H1519" t="s">
        <v>449</v>
      </c>
      <c r="J1519" t="s">
        <v>605</v>
      </c>
      <c r="K1519" t="s">
        <v>606</v>
      </c>
      <c r="M1519" t="s">
        <v>1382</v>
      </c>
      <c r="N1519" t="s">
        <v>657</v>
      </c>
      <c r="O1519" t="s">
        <v>1383</v>
      </c>
      <c r="P1519" t="s">
        <v>739</v>
      </c>
      <c r="Q1519" t="s">
        <v>510</v>
      </c>
      <c r="R1519" t="s">
        <v>1384</v>
      </c>
      <c r="S1519" t="s">
        <v>1385</v>
      </c>
      <c r="T1519" t="s">
        <v>1320</v>
      </c>
      <c r="U1519">
        <v>176301</v>
      </c>
      <c r="V1519" t="s">
        <v>8493</v>
      </c>
      <c r="W1519" t="s">
        <v>1387</v>
      </c>
      <c r="X1519" t="s">
        <v>1388</v>
      </c>
      <c r="Y1519" t="s">
        <v>1389</v>
      </c>
      <c r="Z1519" t="s">
        <v>1396</v>
      </c>
      <c r="AA1519" t="s">
        <v>1390</v>
      </c>
      <c r="AB1519" t="s">
        <v>1391</v>
      </c>
      <c r="AE1519">
        <v>-37.752573310000002</v>
      </c>
      <c r="AF1519">
        <v>175.24493049</v>
      </c>
      <c r="AG1519" s="175">
        <v>61</v>
      </c>
      <c r="AH1519" s="175">
        <v>25</v>
      </c>
      <c r="AI1519" s="175">
        <v>4</v>
      </c>
      <c r="AJ1519" s="175">
        <v>11</v>
      </c>
      <c r="AK1519" s="175">
        <v>18</v>
      </c>
      <c r="AL1519" s="175">
        <v>14</v>
      </c>
      <c r="AM1519" s="175">
        <v>20</v>
      </c>
      <c r="AN1519" s="175">
        <v>0</v>
      </c>
      <c r="AO1519" s="175">
        <v>67</v>
      </c>
      <c r="AP1519" s="175">
        <v>55</v>
      </c>
      <c r="AQ1519" s="175">
        <v>16</v>
      </c>
      <c r="AR1519" s="175">
        <v>3</v>
      </c>
      <c r="AS1519" s="175">
        <v>13</v>
      </c>
      <c r="AT1519" s="175">
        <v>0</v>
      </c>
    </row>
    <row r="1520" spans="1:46">
      <c r="A1520">
        <v>34039</v>
      </c>
      <c r="B1520" t="s">
        <v>9375</v>
      </c>
      <c r="C1520" t="s">
        <v>9376</v>
      </c>
      <c r="D1520" t="s">
        <v>9377</v>
      </c>
      <c r="E1520" t="s">
        <v>9378</v>
      </c>
      <c r="G1520" t="s">
        <v>1544</v>
      </c>
      <c r="H1520" t="s">
        <v>449</v>
      </c>
      <c r="J1520" t="s">
        <v>605</v>
      </c>
      <c r="K1520" t="s">
        <v>606</v>
      </c>
      <c r="M1520" t="s">
        <v>1382</v>
      </c>
      <c r="N1520" t="s">
        <v>625</v>
      </c>
      <c r="O1520" t="s">
        <v>1545</v>
      </c>
      <c r="P1520" t="s">
        <v>610</v>
      </c>
      <c r="Q1520" t="s">
        <v>510</v>
      </c>
      <c r="R1520" t="s">
        <v>1384</v>
      </c>
      <c r="S1520" t="s">
        <v>1522</v>
      </c>
      <c r="T1520" t="s">
        <v>1320</v>
      </c>
      <c r="U1520">
        <v>167700</v>
      </c>
      <c r="V1520" t="s">
        <v>1546</v>
      </c>
      <c r="W1520" t="s">
        <v>1547</v>
      </c>
      <c r="X1520" t="s">
        <v>9379</v>
      </c>
      <c r="Y1520" t="s">
        <v>9378</v>
      </c>
      <c r="Z1520" t="s">
        <v>1544</v>
      </c>
      <c r="AA1520" t="s">
        <v>9380</v>
      </c>
      <c r="AB1520" t="s">
        <v>9381</v>
      </c>
      <c r="AC1520">
        <v>99087</v>
      </c>
      <c r="AD1520" t="s">
        <v>1548</v>
      </c>
      <c r="AE1520">
        <v>-37.129332759999997</v>
      </c>
      <c r="AF1520">
        <v>175.53473281000001</v>
      </c>
      <c r="AG1520" s="175">
        <v>49</v>
      </c>
      <c r="AH1520" s="175">
        <v>12</v>
      </c>
      <c r="AI1520" s="175">
        <v>3</v>
      </c>
      <c r="AJ1520" s="175">
        <v>4</v>
      </c>
      <c r="AK1520" s="175">
        <v>7</v>
      </c>
      <c r="AL1520" s="175">
        <v>8</v>
      </c>
      <c r="AM1520" s="175">
        <v>10</v>
      </c>
      <c r="AN1520" s="175">
        <v>1</v>
      </c>
      <c r="AO1520" s="175">
        <v>33</v>
      </c>
      <c r="AP1520" s="175">
        <v>17</v>
      </c>
      <c r="AQ1520" s="175">
        <v>14</v>
      </c>
      <c r="AR1520" s="175">
        <v>6</v>
      </c>
      <c r="AS1520" s="175">
        <v>7</v>
      </c>
      <c r="AT1520" s="175">
        <v>0</v>
      </c>
    </row>
    <row r="1521" spans="1:46">
      <c r="A1521">
        <v>34043</v>
      </c>
      <c r="B1521" t="s">
        <v>9382</v>
      </c>
      <c r="C1521" t="s">
        <v>9383</v>
      </c>
      <c r="D1521" t="s">
        <v>9176</v>
      </c>
      <c r="E1521" t="s">
        <v>9384</v>
      </c>
      <c r="F1521" t="s">
        <v>1380</v>
      </c>
      <c r="G1521" t="s">
        <v>1381</v>
      </c>
      <c r="H1521" t="s">
        <v>449</v>
      </c>
      <c r="I1521" t="s">
        <v>4023</v>
      </c>
      <c r="J1521" t="s">
        <v>4032</v>
      </c>
      <c r="K1521" t="s">
        <v>606</v>
      </c>
      <c r="M1521" t="s">
        <v>1382</v>
      </c>
      <c r="N1521" t="s">
        <v>643</v>
      </c>
      <c r="O1521" t="s">
        <v>1383</v>
      </c>
      <c r="P1521" t="s">
        <v>739</v>
      </c>
      <c r="Q1521" t="s">
        <v>510</v>
      </c>
      <c r="R1521" t="s">
        <v>1384</v>
      </c>
      <c r="S1521" t="s">
        <v>1385</v>
      </c>
      <c r="T1521" t="s">
        <v>1320</v>
      </c>
      <c r="U1521">
        <v>178000</v>
      </c>
      <c r="V1521" t="s">
        <v>9385</v>
      </c>
      <c r="W1521" t="s">
        <v>1387</v>
      </c>
      <c r="X1521" t="s">
        <v>9178</v>
      </c>
      <c r="Y1521" t="s">
        <v>9179</v>
      </c>
      <c r="Z1521" t="s">
        <v>4194</v>
      </c>
      <c r="AA1521" t="s">
        <v>4631</v>
      </c>
      <c r="AB1521" t="s">
        <v>9180</v>
      </c>
      <c r="AE1521">
        <v>-37.78021408</v>
      </c>
      <c r="AF1521">
        <v>175.25902536000001</v>
      </c>
      <c r="AG1521" s="175">
        <v>27</v>
      </c>
      <c r="AH1521" s="175">
        <v>0</v>
      </c>
      <c r="AI1521" s="175">
        <v>0</v>
      </c>
      <c r="AJ1521" s="175">
        <v>0</v>
      </c>
      <c r="AK1521" s="175">
        <v>3</v>
      </c>
      <c r="AL1521" s="175">
        <v>4</v>
      </c>
      <c r="AM1521" s="175">
        <v>8</v>
      </c>
      <c r="AN1521" s="175">
        <v>1</v>
      </c>
      <c r="AO1521" s="175">
        <v>16</v>
      </c>
      <c r="AP1521" s="175">
        <v>2</v>
      </c>
      <c r="AQ1521" s="175">
        <v>12</v>
      </c>
      <c r="AR1521" s="175">
        <v>1</v>
      </c>
      <c r="AS1521" s="175">
        <v>3</v>
      </c>
      <c r="AT1521" s="175">
        <v>0</v>
      </c>
    </row>
    <row r="1522" spans="1:46">
      <c r="A1522">
        <v>34045</v>
      </c>
      <c r="B1522" t="s">
        <v>9386</v>
      </c>
      <c r="C1522" t="s">
        <v>9387</v>
      </c>
      <c r="D1522" t="s">
        <v>9388</v>
      </c>
      <c r="E1522" t="s">
        <v>9389</v>
      </c>
      <c r="G1522" t="s">
        <v>9390</v>
      </c>
      <c r="H1522" t="s">
        <v>449</v>
      </c>
      <c r="J1522" t="s">
        <v>605</v>
      </c>
      <c r="K1522" t="s">
        <v>606</v>
      </c>
      <c r="M1522" t="s">
        <v>1382</v>
      </c>
      <c r="N1522" t="s">
        <v>643</v>
      </c>
      <c r="O1522" t="s">
        <v>1545</v>
      </c>
      <c r="P1522" t="s">
        <v>658</v>
      </c>
      <c r="Q1522" t="s">
        <v>510</v>
      </c>
      <c r="R1522" t="s">
        <v>1384</v>
      </c>
      <c r="S1522" t="s">
        <v>1522</v>
      </c>
      <c r="T1522" t="s">
        <v>1320</v>
      </c>
      <c r="U1522">
        <v>166500</v>
      </c>
      <c r="V1522" t="s">
        <v>9390</v>
      </c>
      <c r="W1522" t="s">
        <v>9045</v>
      </c>
      <c r="X1522" t="s">
        <v>9391</v>
      </c>
      <c r="Y1522" t="s">
        <v>9392</v>
      </c>
      <c r="Z1522" t="s">
        <v>9390</v>
      </c>
      <c r="AA1522" t="s">
        <v>9393</v>
      </c>
      <c r="AC1522">
        <v>99155</v>
      </c>
      <c r="AD1522" t="s">
        <v>3900</v>
      </c>
      <c r="AE1522">
        <v>-36.628569800000001</v>
      </c>
      <c r="AF1522">
        <v>175.47259774</v>
      </c>
      <c r="AG1522" s="175">
        <v>20</v>
      </c>
      <c r="AH1522" s="175">
        <v>2</v>
      </c>
      <c r="AI1522" s="175">
        <v>0</v>
      </c>
      <c r="AJ1522" s="175">
        <v>2</v>
      </c>
      <c r="AK1522" s="175">
        <v>4</v>
      </c>
      <c r="AL1522" s="175">
        <v>1</v>
      </c>
      <c r="AM1522" s="175">
        <v>7</v>
      </c>
      <c r="AN1522" s="175">
        <v>1</v>
      </c>
      <c r="AO1522" s="175">
        <v>15</v>
      </c>
      <c r="AP1522" s="175">
        <v>14</v>
      </c>
      <c r="AQ1522" s="175">
        <v>6</v>
      </c>
      <c r="AR1522" s="175">
        <v>0</v>
      </c>
      <c r="AS1522" s="175">
        <v>2</v>
      </c>
      <c r="AT1522" s="175">
        <v>0</v>
      </c>
    </row>
    <row r="1523" spans="1:46">
      <c r="A1523">
        <v>34046</v>
      </c>
      <c r="B1523" t="s">
        <v>9394</v>
      </c>
      <c r="C1523" t="s">
        <v>9395</v>
      </c>
      <c r="D1523" t="s">
        <v>9396</v>
      </c>
      <c r="E1523" t="s">
        <v>9397</v>
      </c>
      <c r="G1523" t="s">
        <v>9398</v>
      </c>
      <c r="H1523" t="s">
        <v>449</v>
      </c>
      <c r="J1523" t="s">
        <v>605</v>
      </c>
      <c r="K1523" t="s">
        <v>606</v>
      </c>
      <c r="M1523" t="s">
        <v>1382</v>
      </c>
      <c r="N1523" t="s">
        <v>4586</v>
      </c>
      <c r="O1523" t="s">
        <v>1403</v>
      </c>
      <c r="P1523" t="s">
        <v>658</v>
      </c>
      <c r="Q1523" t="s">
        <v>510</v>
      </c>
      <c r="R1523" t="s">
        <v>1384</v>
      </c>
      <c r="S1523" t="s">
        <v>1501</v>
      </c>
      <c r="T1523" t="s">
        <v>1320</v>
      </c>
      <c r="U1523">
        <v>181400</v>
      </c>
      <c r="V1523" t="s">
        <v>9398</v>
      </c>
      <c r="W1523" t="s">
        <v>9027</v>
      </c>
      <c r="X1523" t="s">
        <v>9399</v>
      </c>
      <c r="Y1523" t="s">
        <v>9400</v>
      </c>
      <c r="AA1523" t="s">
        <v>9401</v>
      </c>
      <c r="AE1523">
        <v>-37.918583730000002</v>
      </c>
      <c r="AF1523">
        <v>175.13432438999999</v>
      </c>
      <c r="AG1523" s="175">
        <v>20</v>
      </c>
      <c r="AH1523" s="175">
        <v>0</v>
      </c>
      <c r="AI1523" s="175">
        <v>0</v>
      </c>
      <c r="AJ1523" s="175">
        <v>0</v>
      </c>
      <c r="AK1523" s="175">
        <v>5</v>
      </c>
      <c r="AL1523" s="175">
        <v>7</v>
      </c>
      <c r="AM1523" s="175">
        <v>6</v>
      </c>
      <c r="AN1523" s="175">
        <v>1</v>
      </c>
      <c r="AO1523" s="175">
        <v>19</v>
      </c>
      <c r="AP1523" s="175">
        <v>19</v>
      </c>
      <c r="AQ1523" s="175">
        <v>2</v>
      </c>
      <c r="AR1523" s="175">
        <v>3</v>
      </c>
      <c r="AS1523" s="175">
        <v>0</v>
      </c>
      <c r="AT1523" s="175">
        <v>0</v>
      </c>
    </row>
    <row r="1524" spans="1:46">
      <c r="A1524">
        <v>34049</v>
      </c>
      <c r="B1524" t="s">
        <v>9402</v>
      </c>
      <c r="C1524" t="s">
        <v>9403</v>
      </c>
      <c r="E1524" t="s">
        <v>9404</v>
      </c>
      <c r="G1524" t="s">
        <v>9256</v>
      </c>
      <c r="H1524" t="s">
        <v>449</v>
      </c>
      <c r="J1524" t="s">
        <v>4032</v>
      </c>
      <c r="K1524" t="s">
        <v>606</v>
      </c>
      <c r="M1524" t="s">
        <v>1382</v>
      </c>
      <c r="N1524" t="s">
        <v>657</v>
      </c>
      <c r="O1524" t="s">
        <v>1545</v>
      </c>
      <c r="P1524" t="s">
        <v>610</v>
      </c>
      <c r="Q1524" t="s">
        <v>510</v>
      </c>
      <c r="R1524" t="s">
        <v>1384</v>
      </c>
      <c r="S1524" t="s">
        <v>1522</v>
      </c>
      <c r="T1524" t="s">
        <v>1320</v>
      </c>
      <c r="U1524">
        <v>168502</v>
      </c>
      <c r="V1524" t="s">
        <v>9257</v>
      </c>
      <c r="W1524" t="s">
        <v>8670</v>
      </c>
      <c r="X1524" t="s">
        <v>9148</v>
      </c>
      <c r="Y1524" t="s">
        <v>9149</v>
      </c>
      <c r="Z1524" t="s">
        <v>1397</v>
      </c>
      <c r="AA1524" t="s">
        <v>8575</v>
      </c>
      <c r="AB1524" t="s">
        <v>9150</v>
      </c>
      <c r="AC1524">
        <v>99155</v>
      </c>
      <c r="AD1524" t="s">
        <v>3900</v>
      </c>
      <c r="AE1524">
        <v>-37.205771179999999</v>
      </c>
      <c r="AF1524">
        <v>175.86880847</v>
      </c>
      <c r="AG1524" s="175">
        <v>40</v>
      </c>
      <c r="AH1524" s="175">
        <v>14</v>
      </c>
      <c r="AI1524" s="175">
        <v>0</v>
      </c>
      <c r="AJ1524" s="175">
        <v>10</v>
      </c>
      <c r="AK1524" s="175">
        <v>11</v>
      </c>
      <c r="AL1524" s="175">
        <v>12</v>
      </c>
      <c r="AM1524" s="175">
        <v>10</v>
      </c>
      <c r="AN1524" s="175">
        <v>1</v>
      </c>
      <c r="AO1524" s="175">
        <v>44</v>
      </c>
      <c r="AP1524" s="175">
        <v>35</v>
      </c>
      <c r="AQ1524" s="175">
        <v>17</v>
      </c>
      <c r="AR1524" s="175">
        <v>0</v>
      </c>
      <c r="AS1524" s="175">
        <v>0</v>
      </c>
      <c r="AT1524" s="175">
        <v>1</v>
      </c>
    </row>
    <row r="1525" spans="1:46">
      <c r="A1525">
        <v>34050</v>
      </c>
      <c r="B1525" t="s">
        <v>9405</v>
      </c>
      <c r="C1525" t="s">
        <v>9406</v>
      </c>
      <c r="D1525" t="s">
        <v>9407</v>
      </c>
      <c r="E1525" t="s">
        <v>9408</v>
      </c>
      <c r="G1525" t="s">
        <v>1520</v>
      </c>
      <c r="H1525" t="s">
        <v>449</v>
      </c>
      <c r="J1525" t="s">
        <v>4032</v>
      </c>
      <c r="K1525" t="s">
        <v>606</v>
      </c>
      <c r="M1525" t="s">
        <v>1382</v>
      </c>
      <c r="N1525" t="s">
        <v>657</v>
      </c>
      <c r="O1525" t="s">
        <v>1521</v>
      </c>
      <c r="P1525" t="s">
        <v>610</v>
      </c>
      <c r="Q1525" t="s">
        <v>510</v>
      </c>
      <c r="R1525" t="s">
        <v>1384</v>
      </c>
      <c r="S1525" t="s">
        <v>1522</v>
      </c>
      <c r="T1525" t="s">
        <v>1320</v>
      </c>
      <c r="U1525">
        <v>169200</v>
      </c>
      <c r="V1525" t="s">
        <v>1520</v>
      </c>
      <c r="W1525" t="s">
        <v>1523</v>
      </c>
      <c r="X1525" t="s">
        <v>9409</v>
      </c>
      <c r="Y1525" t="s">
        <v>9408</v>
      </c>
      <c r="AA1525" t="s">
        <v>9410</v>
      </c>
      <c r="AB1525" t="s">
        <v>9411</v>
      </c>
      <c r="AC1525">
        <v>99070</v>
      </c>
      <c r="AD1525" t="s">
        <v>1528</v>
      </c>
      <c r="AE1525">
        <v>-37.371688030000001</v>
      </c>
      <c r="AF1525">
        <v>175.66158476000001</v>
      </c>
      <c r="AG1525" s="175">
        <v>33</v>
      </c>
      <c r="AH1525" s="175">
        <v>8</v>
      </c>
      <c r="AI1525" s="175">
        <v>0</v>
      </c>
      <c r="AJ1525" s="175">
        <v>4</v>
      </c>
      <c r="AK1525" s="175">
        <v>7</v>
      </c>
      <c r="AL1525" s="175">
        <v>3</v>
      </c>
      <c r="AM1525" s="175">
        <v>6</v>
      </c>
      <c r="AN1525" s="175">
        <v>1</v>
      </c>
      <c r="AO1525" s="175">
        <v>21</v>
      </c>
      <c r="AP1525" s="175">
        <v>17</v>
      </c>
      <c r="AQ1525" s="175">
        <v>8</v>
      </c>
      <c r="AR1525" s="175">
        <v>1</v>
      </c>
      <c r="AS1525" s="175">
        <v>1</v>
      </c>
      <c r="AT1525" s="175">
        <v>0</v>
      </c>
    </row>
    <row r="1526" spans="1:46">
      <c r="A1526">
        <v>34056</v>
      </c>
      <c r="B1526" t="s">
        <v>9412</v>
      </c>
      <c r="C1526" t="s">
        <v>9413</v>
      </c>
      <c r="D1526" t="s">
        <v>9414</v>
      </c>
      <c r="E1526" t="s">
        <v>9415</v>
      </c>
      <c r="G1526" t="s">
        <v>1621</v>
      </c>
      <c r="H1526" t="s">
        <v>449</v>
      </c>
      <c r="J1526" t="s">
        <v>605</v>
      </c>
      <c r="K1526" t="s">
        <v>606</v>
      </c>
      <c r="M1526" t="s">
        <v>1382</v>
      </c>
      <c r="N1526" t="s">
        <v>657</v>
      </c>
      <c r="O1526" t="s">
        <v>1403</v>
      </c>
      <c r="P1526" t="s">
        <v>1347</v>
      </c>
      <c r="Q1526" t="s">
        <v>510</v>
      </c>
      <c r="R1526" t="s">
        <v>1384</v>
      </c>
      <c r="S1526" t="s">
        <v>1501</v>
      </c>
      <c r="T1526" t="s">
        <v>1320</v>
      </c>
      <c r="U1526">
        <v>184100</v>
      </c>
      <c r="V1526" t="s">
        <v>9416</v>
      </c>
      <c r="W1526" t="s">
        <v>1623</v>
      </c>
      <c r="X1526" t="s">
        <v>8441</v>
      </c>
      <c r="Y1526" t="s">
        <v>4014</v>
      </c>
      <c r="Z1526" t="s">
        <v>4015</v>
      </c>
      <c r="AA1526" t="s">
        <v>4016</v>
      </c>
      <c r="AB1526" t="s">
        <v>8442</v>
      </c>
      <c r="AE1526">
        <v>-38.01057883</v>
      </c>
      <c r="AF1526">
        <v>175.32711972999999</v>
      </c>
      <c r="AG1526" s="175">
        <v>84</v>
      </c>
      <c r="AH1526" s="175">
        <v>20</v>
      </c>
      <c r="AI1526" s="175">
        <v>4</v>
      </c>
      <c r="AJ1526" s="175">
        <v>16</v>
      </c>
      <c r="AK1526" s="175">
        <v>22</v>
      </c>
      <c r="AL1526" s="175">
        <v>26</v>
      </c>
      <c r="AM1526" s="175">
        <v>23</v>
      </c>
      <c r="AN1526" s="175">
        <v>0</v>
      </c>
      <c r="AO1526" s="175">
        <v>91</v>
      </c>
      <c r="AP1526" s="175">
        <v>53</v>
      </c>
      <c r="AQ1526" s="175">
        <v>34</v>
      </c>
      <c r="AR1526" s="175">
        <v>4</v>
      </c>
      <c r="AS1526" s="175">
        <v>19</v>
      </c>
      <c r="AT1526" s="175">
        <v>2</v>
      </c>
    </row>
    <row r="1527" spans="1:46">
      <c r="A1527">
        <v>34061</v>
      </c>
      <c r="B1527" t="s">
        <v>9417</v>
      </c>
      <c r="C1527" t="s">
        <v>9418</v>
      </c>
      <c r="D1527" t="s">
        <v>9419</v>
      </c>
      <c r="E1527" t="s">
        <v>9420</v>
      </c>
      <c r="G1527" t="s">
        <v>1566</v>
      </c>
      <c r="H1527" t="s">
        <v>452</v>
      </c>
      <c r="J1527" t="s">
        <v>605</v>
      </c>
      <c r="K1527" t="s">
        <v>606</v>
      </c>
      <c r="M1527" t="s">
        <v>1382</v>
      </c>
      <c r="N1527" t="s">
        <v>643</v>
      </c>
      <c r="O1527" t="s">
        <v>1567</v>
      </c>
      <c r="P1527" t="s">
        <v>1347</v>
      </c>
      <c r="Q1527" t="s">
        <v>510</v>
      </c>
      <c r="R1527" t="s">
        <v>1384</v>
      </c>
      <c r="S1527" t="s">
        <v>1404</v>
      </c>
      <c r="T1527" t="s">
        <v>1568</v>
      </c>
      <c r="U1527">
        <v>186800</v>
      </c>
      <c r="V1527" t="s">
        <v>1569</v>
      </c>
      <c r="W1527" t="s">
        <v>1570</v>
      </c>
      <c r="X1527" t="s">
        <v>1571</v>
      </c>
      <c r="Y1527" t="s">
        <v>1525</v>
      </c>
      <c r="AA1527" t="s">
        <v>1526</v>
      </c>
      <c r="AB1527" t="s">
        <v>1572</v>
      </c>
      <c r="AC1527">
        <v>99195</v>
      </c>
      <c r="AD1527" t="s">
        <v>1573</v>
      </c>
      <c r="AE1527">
        <v>-38.240699159999998</v>
      </c>
      <c r="AF1527">
        <v>175.86767158999999</v>
      </c>
      <c r="AG1527" s="175">
        <v>50</v>
      </c>
      <c r="AH1527" s="175">
        <v>12</v>
      </c>
      <c r="AI1527" s="175">
        <v>1</v>
      </c>
      <c r="AJ1527" s="175">
        <v>10</v>
      </c>
      <c r="AK1527" s="175">
        <v>15</v>
      </c>
      <c r="AL1527" s="175">
        <v>17</v>
      </c>
      <c r="AM1527" s="175">
        <v>10</v>
      </c>
      <c r="AN1527" s="175">
        <v>2</v>
      </c>
      <c r="AO1527" s="175">
        <v>55</v>
      </c>
      <c r="AP1527" s="175">
        <v>43</v>
      </c>
      <c r="AQ1527" s="175">
        <v>25</v>
      </c>
      <c r="AR1527" s="175">
        <v>9</v>
      </c>
      <c r="AS1527" s="175">
        <v>2</v>
      </c>
      <c r="AT1527" s="175">
        <v>2</v>
      </c>
    </row>
    <row r="1528" spans="1:46">
      <c r="A1528">
        <v>34063</v>
      </c>
      <c r="B1528" t="s">
        <v>9421</v>
      </c>
      <c r="C1528" t="s">
        <v>9422</v>
      </c>
      <c r="D1528" t="s">
        <v>9423</v>
      </c>
      <c r="E1528" t="s">
        <v>9424</v>
      </c>
      <c r="G1528" t="s">
        <v>9256</v>
      </c>
      <c r="H1528" t="s">
        <v>449</v>
      </c>
      <c r="J1528" t="s">
        <v>605</v>
      </c>
      <c r="K1528" t="s">
        <v>606</v>
      </c>
      <c r="M1528" t="s">
        <v>1382</v>
      </c>
      <c r="N1528" t="s">
        <v>657</v>
      </c>
      <c r="O1528" t="s">
        <v>1545</v>
      </c>
      <c r="P1528" t="s">
        <v>610</v>
      </c>
      <c r="Q1528" t="s">
        <v>510</v>
      </c>
      <c r="R1528" t="s">
        <v>1384</v>
      </c>
      <c r="S1528" t="s">
        <v>1522</v>
      </c>
      <c r="T1528" t="s">
        <v>1320</v>
      </c>
      <c r="U1528">
        <v>168502</v>
      </c>
      <c r="V1528" t="s">
        <v>9257</v>
      </c>
      <c r="W1528" t="s">
        <v>8670</v>
      </c>
      <c r="X1528" t="s">
        <v>8441</v>
      </c>
      <c r="Y1528" t="s">
        <v>4014</v>
      </c>
      <c r="Z1528" t="s">
        <v>4015</v>
      </c>
      <c r="AA1528" t="s">
        <v>4016</v>
      </c>
      <c r="AB1528" t="s">
        <v>8442</v>
      </c>
      <c r="AE1528">
        <v>-37.204304219999997</v>
      </c>
      <c r="AF1528">
        <v>175.87201035000001</v>
      </c>
      <c r="AG1528" s="175">
        <v>35</v>
      </c>
      <c r="AH1528" s="175">
        <v>8</v>
      </c>
      <c r="AI1528" s="175">
        <v>1</v>
      </c>
      <c r="AJ1528" s="175">
        <v>4</v>
      </c>
      <c r="AK1528" s="175">
        <v>9</v>
      </c>
      <c r="AL1528" s="175">
        <v>10</v>
      </c>
      <c r="AM1528" s="175">
        <v>6</v>
      </c>
      <c r="AN1528" s="175">
        <v>0</v>
      </c>
      <c r="AO1528" s="175">
        <v>30</v>
      </c>
      <c r="AP1528" s="175">
        <v>24</v>
      </c>
      <c r="AQ1528" s="175">
        <v>8</v>
      </c>
      <c r="AR1528" s="175">
        <v>0</v>
      </c>
      <c r="AS1528" s="175">
        <v>4</v>
      </c>
      <c r="AT1528" s="175">
        <v>5</v>
      </c>
    </row>
    <row r="1529" spans="1:46">
      <c r="A1529">
        <v>34064</v>
      </c>
      <c r="B1529" t="s">
        <v>9425</v>
      </c>
      <c r="C1529" t="s">
        <v>9330</v>
      </c>
      <c r="D1529" t="s">
        <v>1378</v>
      </c>
      <c r="E1529" t="s">
        <v>9334</v>
      </c>
      <c r="F1529" t="s">
        <v>1396</v>
      </c>
      <c r="G1529" t="s">
        <v>1381</v>
      </c>
      <c r="H1529" t="s">
        <v>450</v>
      </c>
      <c r="J1529" t="s">
        <v>605</v>
      </c>
      <c r="K1529" t="s">
        <v>606</v>
      </c>
      <c r="M1529" t="s">
        <v>1382</v>
      </c>
      <c r="N1529" t="s">
        <v>657</v>
      </c>
      <c r="O1529" t="s">
        <v>1383</v>
      </c>
      <c r="P1529" t="s">
        <v>739</v>
      </c>
      <c r="Q1529" t="s">
        <v>510</v>
      </c>
      <c r="R1529" t="s">
        <v>1384</v>
      </c>
      <c r="S1529" t="s">
        <v>1396</v>
      </c>
      <c r="T1529" t="s">
        <v>1320</v>
      </c>
      <c r="U1529">
        <v>179700</v>
      </c>
      <c r="V1529" t="s">
        <v>8800</v>
      </c>
      <c r="W1529" t="s">
        <v>1398</v>
      </c>
      <c r="X1529" t="s">
        <v>1388</v>
      </c>
      <c r="Y1529" t="s">
        <v>1389</v>
      </c>
      <c r="Z1529" t="s">
        <v>1396</v>
      </c>
      <c r="AA1529" t="s">
        <v>1390</v>
      </c>
      <c r="AB1529" t="s">
        <v>1391</v>
      </c>
      <c r="AE1529">
        <v>-37.794900849999998</v>
      </c>
      <c r="AF1529">
        <v>175.29355290999999</v>
      </c>
      <c r="AG1529" s="175">
        <v>60</v>
      </c>
      <c r="AH1529" s="175">
        <v>60</v>
      </c>
      <c r="AI1529" s="175">
        <v>1</v>
      </c>
      <c r="AJ1529" s="175">
        <v>17</v>
      </c>
      <c r="AK1529" s="175">
        <v>16</v>
      </c>
      <c r="AL1529" s="175">
        <v>11</v>
      </c>
      <c r="AM1529" s="175">
        <v>11</v>
      </c>
      <c r="AN1529" s="175">
        <v>0</v>
      </c>
      <c r="AO1529" s="175">
        <v>56</v>
      </c>
      <c r="AP1529" s="175">
        <v>42</v>
      </c>
      <c r="AQ1529" s="175">
        <v>13</v>
      </c>
      <c r="AR1529" s="175">
        <v>2</v>
      </c>
      <c r="AS1529" s="175">
        <v>6</v>
      </c>
      <c r="AT1529" s="175">
        <v>7</v>
      </c>
    </row>
    <row r="1530" spans="1:46">
      <c r="A1530">
        <v>34065</v>
      </c>
      <c r="B1530" t="s">
        <v>9426</v>
      </c>
      <c r="C1530" t="s">
        <v>9427</v>
      </c>
      <c r="D1530" t="s">
        <v>9428</v>
      </c>
      <c r="E1530" t="s">
        <v>9429</v>
      </c>
      <c r="F1530" t="s">
        <v>1380</v>
      </c>
      <c r="G1530" t="s">
        <v>1381</v>
      </c>
      <c r="H1530" t="s">
        <v>449</v>
      </c>
      <c r="I1530" t="s">
        <v>4182</v>
      </c>
      <c r="J1530" t="s">
        <v>605</v>
      </c>
      <c r="K1530" t="s">
        <v>606</v>
      </c>
      <c r="M1530" t="s">
        <v>1382</v>
      </c>
      <c r="N1530" t="s">
        <v>657</v>
      </c>
      <c r="O1530" t="s">
        <v>1383</v>
      </c>
      <c r="P1530" t="s">
        <v>739</v>
      </c>
      <c r="Q1530" t="s">
        <v>510</v>
      </c>
      <c r="R1530" t="s">
        <v>1384</v>
      </c>
      <c r="S1530" t="s">
        <v>1396</v>
      </c>
      <c r="T1530" t="s">
        <v>1320</v>
      </c>
      <c r="U1530">
        <v>177700</v>
      </c>
      <c r="V1530" t="s">
        <v>9332</v>
      </c>
      <c r="W1530" t="s">
        <v>1398</v>
      </c>
      <c r="X1530" t="s">
        <v>9430</v>
      </c>
      <c r="Y1530" t="s">
        <v>9431</v>
      </c>
      <c r="Z1530" t="s">
        <v>9432</v>
      </c>
      <c r="AA1530" t="s">
        <v>9433</v>
      </c>
      <c r="AB1530" t="s">
        <v>9434</v>
      </c>
      <c r="AC1530">
        <v>99132</v>
      </c>
      <c r="AD1530" t="s">
        <v>8577</v>
      </c>
      <c r="AE1530">
        <v>-37.76895734</v>
      </c>
      <c r="AF1530">
        <v>175.27506672000001</v>
      </c>
      <c r="AG1530" s="175">
        <v>24</v>
      </c>
      <c r="AH1530" s="175">
        <v>12</v>
      </c>
      <c r="AI1530" s="175">
        <v>0</v>
      </c>
      <c r="AJ1530" s="175">
        <v>1</v>
      </c>
      <c r="AK1530" s="175">
        <v>1</v>
      </c>
      <c r="AL1530" s="175">
        <v>9</v>
      </c>
      <c r="AM1530" s="175">
        <v>7</v>
      </c>
      <c r="AN1530" s="175">
        <v>4</v>
      </c>
      <c r="AO1530" s="175">
        <v>22</v>
      </c>
      <c r="AP1530" s="175">
        <v>15</v>
      </c>
      <c r="AQ1530" s="175">
        <v>2</v>
      </c>
      <c r="AR1530" s="175">
        <v>1</v>
      </c>
      <c r="AS1530" s="175">
        <v>5</v>
      </c>
      <c r="AT1530" s="175">
        <v>1</v>
      </c>
    </row>
    <row r="1531" spans="1:46">
      <c r="A1531">
        <v>34066</v>
      </c>
      <c r="B1531" t="s">
        <v>9435</v>
      </c>
      <c r="C1531" t="s">
        <v>9436</v>
      </c>
      <c r="D1531" t="s">
        <v>9437</v>
      </c>
      <c r="E1531" t="s">
        <v>9438</v>
      </c>
      <c r="F1531" t="s">
        <v>1450</v>
      </c>
      <c r="G1531" t="s">
        <v>1381</v>
      </c>
      <c r="H1531" t="s">
        <v>449</v>
      </c>
      <c r="J1531" t="s">
        <v>605</v>
      </c>
      <c r="K1531" t="s">
        <v>606</v>
      </c>
      <c r="M1531" t="s">
        <v>1382</v>
      </c>
      <c r="N1531" t="s">
        <v>643</v>
      </c>
      <c r="O1531" t="s">
        <v>1383</v>
      </c>
      <c r="P1531" t="s">
        <v>739</v>
      </c>
      <c r="Q1531" t="s">
        <v>510</v>
      </c>
      <c r="R1531" t="s">
        <v>1384</v>
      </c>
      <c r="S1531" t="s">
        <v>1396</v>
      </c>
      <c r="T1531" t="s">
        <v>1320</v>
      </c>
      <c r="U1531">
        <v>180800</v>
      </c>
      <c r="V1531" t="s">
        <v>9439</v>
      </c>
      <c r="W1531" t="s">
        <v>1398</v>
      </c>
      <c r="X1531" t="s">
        <v>9440</v>
      </c>
      <c r="Y1531" t="s">
        <v>9441</v>
      </c>
      <c r="Z1531" t="s">
        <v>1450</v>
      </c>
      <c r="AA1531" t="s">
        <v>9315</v>
      </c>
      <c r="AB1531" t="s">
        <v>9442</v>
      </c>
      <c r="AE1531">
        <v>-37.791507600000003</v>
      </c>
      <c r="AF1531">
        <v>175.32355242</v>
      </c>
      <c r="AG1531" s="175">
        <v>35</v>
      </c>
      <c r="AH1531" s="175">
        <v>8</v>
      </c>
      <c r="AI1531" s="175">
        <v>2</v>
      </c>
      <c r="AJ1531" s="175">
        <v>3</v>
      </c>
      <c r="AK1531" s="175">
        <v>10</v>
      </c>
      <c r="AL1531" s="175">
        <v>12</v>
      </c>
      <c r="AM1531" s="175">
        <v>10</v>
      </c>
      <c r="AN1531" s="175">
        <v>0</v>
      </c>
      <c r="AO1531" s="175">
        <v>37</v>
      </c>
      <c r="AP1531" s="175">
        <v>17</v>
      </c>
      <c r="AQ1531" s="175">
        <v>11</v>
      </c>
      <c r="AR1531" s="175">
        <v>0</v>
      </c>
      <c r="AS1531" s="175">
        <v>12</v>
      </c>
      <c r="AT1531" s="175">
        <v>3</v>
      </c>
    </row>
    <row r="1532" spans="1:46">
      <c r="A1532">
        <v>34067</v>
      </c>
      <c r="B1532" t="s">
        <v>9443</v>
      </c>
      <c r="C1532" t="s">
        <v>9444</v>
      </c>
      <c r="D1532" t="s">
        <v>9445</v>
      </c>
      <c r="E1532" t="s">
        <v>9446</v>
      </c>
      <c r="F1532" t="s">
        <v>1380</v>
      </c>
      <c r="G1532" t="s">
        <v>1381</v>
      </c>
      <c r="H1532" t="s">
        <v>449</v>
      </c>
      <c r="J1532" t="s">
        <v>605</v>
      </c>
      <c r="K1532" t="s">
        <v>606</v>
      </c>
      <c r="M1532" t="s">
        <v>1382</v>
      </c>
      <c r="N1532" t="s">
        <v>657</v>
      </c>
      <c r="O1532" t="s">
        <v>1383</v>
      </c>
      <c r="P1532" t="s">
        <v>739</v>
      </c>
      <c r="Q1532" t="s">
        <v>510</v>
      </c>
      <c r="R1532" t="s">
        <v>1384</v>
      </c>
      <c r="S1532" t="s">
        <v>1385</v>
      </c>
      <c r="T1532" t="s">
        <v>1320</v>
      </c>
      <c r="U1532">
        <v>179401</v>
      </c>
      <c r="V1532" t="s">
        <v>1380</v>
      </c>
      <c r="W1532" t="s">
        <v>1387</v>
      </c>
      <c r="X1532" t="s">
        <v>9447</v>
      </c>
      <c r="Y1532" t="s">
        <v>7418</v>
      </c>
      <c r="AA1532" t="s">
        <v>7419</v>
      </c>
      <c r="AB1532" t="s">
        <v>9448</v>
      </c>
      <c r="AE1532">
        <v>-37.789846019999999</v>
      </c>
      <c r="AF1532">
        <v>175.27902829999999</v>
      </c>
      <c r="AG1532" s="175">
        <v>59</v>
      </c>
      <c r="AH1532" s="175">
        <v>20</v>
      </c>
      <c r="AI1532" s="175">
        <v>3</v>
      </c>
      <c r="AJ1532" s="175">
        <v>14</v>
      </c>
      <c r="AK1532" s="175">
        <v>13</v>
      </c>
      <c r="AL1532" s="175">
        <v>11</v>
      </c>
      <c r="AM1532" s="175">
        <v>13</v>
      </c>
      <c r="AN1532" s="175">
        <v>0</v>
      </c>
      <c r="AO1532" s="175">
        <v>54</v>
      </c>
      <c r="AP1532" s="175">
        <v>24</v>
      </c>
      <c r="AQ1532" s="175">
        <v>17</v>
      </c>
      <c r="AR1532" s="175">
        <v>4</v>
      </c>
      <c r="AS1532" s="175">
        <v>16</v>
      </c>
      <c r="AT1532" s="175">
        <v>6</v>
      </c>
    </row>
    <row r="1533" spans="1:46">
      <c r="A1533">
        <v>34068</v>
      </c>
      <c r="B1533" t="s">
        <v>9449</v>
      </c>
      <c r="C1533" t="s">
        <v>9450</v>
      </c>
      <c r="D1533" t="s">
        <v>9451</v>
      </c>
      <c r="E1533" t="s">
        <v>9452</v>
      </c>
      <c r="G1533" t="s">
        <v>1566</v>
      </c>
      <c r="H1533" t="s">
        <v>449</v>
      </c>
      <c r="J1533" t="s">
        <v>605</v>
      </c>
      <c r="K1533" t="s">
        <v>606</v>
      </c>
      <c r="M1533" t="s">
        <v>1382</v>
      </c>
      <c r="N1533" t="s">
        <v>625</v>
      </c>
      <c r="O1533" t="s">
        <v>1567</v>
      </c>
      <c r="P1533" t="s">
        <v>1347</v>
      </c>
      <c r="Q1533" t="s">
        <v>510</v>
      </c>
      <c r="R1533" t="s">
        <v>1384</v>
      </c>
      <c r="S1533" t="s">
        <v>1404</v>
      </c>
      <c r="T1533" t="s">
        <v>1568</v>
      </c>
      <c r="U1533">
        <v>186400</v>
      </c>
      <c r="V1533" t="s">
        <v>1591</v>
      </c>
      <c r="W1533" t="s">
        <v>1570</v>
      </c>
      <c r="X1533" t="s">
        <v>9453</v>
      </c>
      <c r="Y1533" t="s">
        <v>9454</v>
      </c>
      <c r="AA1533" t="s">
        <v>9455</v>
      </c>
      <c r="AB1533" t="s">
        <v>9450</v>
      </c>
      <c r="AC1533">
        <v>99195</v>
      </c>
      <c r="AD1533" t="s">
        <v>1573</v>
      </c>
      <c r="AE1533">
        <v>-38.228222479999999</v>
      </c>
      <c r="AF1533">
        <v>175.86294108999999</v>
      </c>
      <c r="AG1533" s="175">
        <v>47</v>
      </c>
      <c r="AH1533" s="175">
        <v>12</v>
      </c>
      <c r="AI1533" s="175">
        <v>1</v>
      </c>
      <c r="AJ1533" s="175">
        <v>4</v>
      </c>
      <c r="AK1533" s="175">
        <v>7</v>
      </c>
      <c r="AL1533" s="175">
        <v>7</v>
      </c>
      <c r="AM1533" s="175">
        <v>12</v>
      </c>
      <c r="AN1533" s="175">
        <v>0</v>
      </c>
      <c r="AO1533" s="175">
        <v>31</v>
      </c>
      <c r="AP1533" s="175">
        <v>16</v>
      </c>
      <c r="AQ1533" s="175">
        <v>15</v>
      </c>
      <c r="AR1533" s="175">
        <v>7</v>
      </c>
      <c r="AS1533" s="175">
        <v>4</v>
      </c>
      <c r="AT1533" s="175">
        <v>4</v>
      </c>
    </row>
    <row r="1534" spans="1:46">
      <c r="A1534">
        <v>34070</v>
      </c>
      <c r="B1534" t="s">
        <v>9456</v>
      </c>
      <c r="C1534" t="s">
        <v>9457</v>
      </c>
      <c r="D1534" t="s">
        <v>9458</v>
      </c>
      <c r="E1534" t="s">
        <v>9459</v>
      </c>
      <c r="F1534" t="s">
        <v>1495</v>
      </c>
      <c r="G1534" t="s">
        <v>1381</v>
      </c>
      <c r="H1534" t="s">
        <v>449</v>
      </c>
      <c r="J1534" t="s">
        <v>4032</v>
      </c>
      <c r="K1534" t="s">
        <v>606</v>
      </c>
      <c r="M1534" t="s">
        <v>1382</v>
      </c>
      <c r="N1534" t="s">
        <v>657</v>
      </c>
      <c r="O1534" t="s">
        <v>1383</v>
      </c>
      <c r="P1534" t="s">
        <v>739</v>
      </c>
      <c r="Q1534" t="s">
        <v>510</v>
      </c>
      <c r="R1534" t="s">
        <v>1384</v>
      </c>
      <c r="S1534" t="s">
        <v>1385</v>
      </c>
      <c r="T1534" t="s">
        <v>1320</v>
      </c>
      <c r="U1534">
        <v>176000</v>
      </c>
      <c r="V1534" t="s">
        <v>1496</v>
      </c>
      <c r="W1534" t="s">
        <v>1387</v>
      </c>
      <c r="X1534" t="s">
        <v>9460</v>
      </c>
      <c r="Y1534" t="s">
        <v>4471</v>
      </c>
      <c r="Z1534" t="s">
        <v>4472</v>
      </c>
      <c r="AA1534" t="s">
        <v>4596</v>
      </c>
      <c r="AB1534" t="s">
        <v>9461</v>
      </c>
      <c r="AC1534">
        <v>99132</v>
      </c>
      <c r="AD1534" t="s">
        <v>8577</v>
      </c>
      <c r="AE1534">
        <v>-37.745800770000002</v>
      </c>
      <c r="AF1534">
        <v>175.24043155999999</v>
      </c>
      <c r="AG1534" s="175">
        <v>99</v>
      </c>
      <c r="AH1534" s="175">
        <v>25</v>
      </c>
      <c r="AI1534" s="175">
        <v>0</v>
      </c>
      <c r="AJ1534" s="175">
        <v>9</v>
      </c>
      <c r="AK1534" s="175">
        <v>9</v>
      </c>
      <c r="AL1534" s="175">
        <v>14</v>
      </c>
      <c r="AM1534" s="175">
        <v>9</v>
      </c>
      <c r="AN1534" s="175">
        <v>0</v>
      </c>
      <c r="AO1534" s="175">
        <v>41</v>
      </c>
      <c r="AP1534" s="175">
        <v>19</v>
      </c>
      <c r="AQ1534" s="175">
        <v>14</v>
      </c>
      <c r="AR1534" s="175">
        <v>7</v>
      </c>
      <c r="AS1534" s="175">
        <v>9</v>
      </c>
      <c r="AT1534" s="175">
        <v>2</v>
      </c>
    </row>
    <row r="1535" spans="1:46">
      <c r="A1535">
        <v>34074</v>
      </c>
      <c r="B1535" t="s">
        <v>9462</v>
      </c>
      <c r="C1535" t="s">
        <v>9463</v>
      </c>
      <c r="D1535" t="s">
        <v>9464</v>
      </c>
      <c r="E1535" t="s">
        <v>9465</v>
      </c>
      <c r="G1535" t="s">
        <v>1544</v>
      </c>
      <c r="H1535" t="s">
        <v>449</v>
      </c>
      <c r="I1535" t="s">
        <v>5838</v>
      </c>
      <c r="J1535" t="s">
        <v>4032</v>
      </c>
      <c r="K1535" t="s">
        <v>606</v>
      </c>
      <c r="M1535" t="s">
        <v>1382</v>
      </c>
      <c r="N1535" t="s">
        <v>643</v>
      </c>
      <c r="O1535" t="s">
        <v>1545</v>
      </c>
      <c r="P1535" t="s">
        <v>610</v>
      </c>
      <c r="Q1535" t="s">
        <v>510</v>
      </c>
      <c r="R1535" t="s">
        <v>1384</v>
      </c>
      <c r="S1535" t="s">
        <v>1522</v>
      </c>
      <c r="T1535" t="s">
        <v>1320</v>
      </c>
      <c r="U1535">
        <v>167700</v>
      </c>
      <c r="V1535" t="s">
        <v>1546</v>
      </c>
      <c r="W1535" t="s">
        <v>1547</v>
      </c>
      <c r="X1535" t="s">
        <v>9466</v>
      </c>
      <c r="Y1535" t="s">
        <v>8554</v>
      </c>
      <c r="Z1535" t="s">
        <v>9467</v>
      </c>
      <c r="AA1535" t="s">
        <v>9468</v>
      </c>
      <c r="AB1535" t="s">
        <v>9469</v>
      </c>
      <c r="AC1535">
        <v>99087</v>
      </c>
      <c r="AD1535" t="s">
        <v>1548</v>
      </c>
      <c r="AE1535">
        <v>-37.137385029999997</v>
      </c>
      <c r="AF1535">
        <v>175.54277698000001</v>
      </c>
      <c r="AG1535" s="175">
        <v>50</v>
      </c>
      <c r="AH1535" s="175">
        <v>12</v>
      </c>
      <c r="AI1535" s="175">
        <v>5</v>
      </c>
      <c r="AJ1535" s="175">
        <v>11</v>
      </c>
      <c r="AK1535" s="175">
        <v>8</v>
      </c>
      <c r="AL1535" s="175">
        <v>3</v>
      </c>
      <c r="AM1535" s="175">
        <v>7</v>
      </c>
      <c r="AN1535" s="175">
        <v>0</v>
      </c>
      <c r="AO1535" s="175">
        <v>34</v>
      </c>
      <c r="AP1535" s="175">
        <v>25</v>
      </c>
      <c r="AQ1535" s="175">
        <v>19</v>
      </c>
      <c r="AR1535" s="175">
        <v>1</v>
      </c>
      <c r="AS1535" s="175">
        <v>6</v>
      </c>
      <c r="AT1535" s="175">
        <v>0</v>
      </c>
    </row>
    <row r="1536" spans="1:46">
      <c r="A1536">
        <v>34075</v>
      </c>
      <c r="B1536" t="s">
        <v>9470</v>
      </c>
      <c r="C1536" t="s">
        <v>9471</v>
      </c>
      <c r="D1536" t="s">
        <v>9472</v>
      </c>
      <c r="E1536" t="s">
        <v>9473</v>
      </c>
      <c r="F1536" t="s">
        <v>1380</v>
      </c>
      <c r="G1536" t="s">
        <v>1381</v>
      </c>
      <c r="H1536" t="s">
        <v>451</v>
      </c>
      <c r="I1536" t="s">
        <v>4102</v>
      </c>
      <c r="J1536" t="s">
        <v>605</v>
      </c>
      <c r="K1536" t="s">
        <v>606</v>
      </c>
      <c r="M1536" t="s">
        <v>1382</v>
      </c>
      <c r="N1536" t="s">
        <v>812</v>
      </c>
      <c r="O1536" t="s">
        <v>1383</v>
      </c>
      <c r="P1536" t="s">
        <v>739</v>
      </c>
      <c r="Q1536" t="s">
        <v>510</v>
      </c>
      <c r="R1536" t="s">
        <v>1384</v>
      </c>
      <c r="S1536" t="s">
        <v>1385</v>
      </c>
      <c r="T1536" t="s">
        <v>1320</v>
      </c>
      <c r="U1536">
        <v>179502</v>
      </c>
      <c r="V1536" t="s">
        <v>1447</v>
      </c>
      <c r="W1536" t="s">
        <v>1387</v>
      </c>
      <c r="X1536" t="s">
        <v>9474</v>
      </c>
      <c r="Y1536" t="s">
        <v>9475</v>
      </c>
      <c r="AA1536" t="s">
        <v>9364</v>
      </c>
      <c r="AE1536">
        <v>-37.805434310000003</v>
      </c>
      <c r="AF1536">
        <v>175.28203391</v>
      </c>
      <c r="AG1536" s="175">
        <v>31</v>
      </c>
      <c r="AH1536" s="175">
        <v>20</v>
      </c>
      <c r="AI1536" s="175"/>
      <c r="AJ1536" s="175"/>
      <c r="AK1536" s="175"/>
      <c r="AL1536" s="175"/>
      <c r="AM1536" s="175"/>
      <c r="AN1536" s="175"/>
      <c r="AO1536" s="175"/>
      <c r="AP1536" s="175"/>
      <c r="AQ1536" s="175"/>
      <c r="AR1536" s="175"/>
      <c r="AS1536" s="175"/>
    </row>
    <row r="1537" spans="1:46">
      <c r="A1537">
        <v>34080</v>
      </c>
      <c r="B1537" t="s">
        <v>9476</v>
      </c>
      <c r="C1537" t="s">
        <v>9477</v>
      </c>
      <c r="D1537" t="s">
        <v>9478</v>
      </c>
      <c r="E1537" t="s">
        <v>9479</v>
      </c>
      <c r="G1537" t="s">
        <v>9480</v>
      </c>
      <c r="H1537" t="s">
        <v>449</v>
      </c>
      <c r="J1537" t="s">
        <v>605</v>
      </c>
      <c r="K1537" t="s">
        <v>606</v>
      </c>
      <c r="M1537" t="s">
        <v>1382</v>
      </c>
      <c r="N1537" t="s">
        <v>657</v>
      </c>
      <c r="O1537" t="s">
        <v>1435</v>
      </c>
      <c r="P1537" t="s">
        <v>658</v>
      </c>
      <c r="Q1537" t="s">
        <v>510</v>
      </c>
      <c r="R1537" t="s">
        <v>1384</v>
      </c>
      <c r="S1537" t="s">
        <v>1384</v>
      </c>
      <c r="T1537" t="s">
        <v>1320</v>
      </c>
      <c r="U1537">
        <v>173100</v>
      </c>
      <c r="V1537" t="s">
        <v>9481</v>
      </c>
      <c r="W1537" t="s">
        <v>8422</v>
      </c>
      <c r="X1537" t="s">
        <v>9482</v>
      </c>
      <c r="Y1537" t="s">
        <v>9483</v>
      </c>
      <c r="AA1537" t="s">
        <v>9484</v>
      </c>
      <c r="AB1537" t="s">
        <v>9485</v>
      </c>
      <c r="AE1537">
        <v>-37.772615809999998</v>
      </c>
      <c r="AF1537">
        <v>175.45528741000001</v>
      </c>
      <c r="AG1537" s="175">
        <v>27</v>
      </c>
      <c r="AH1537" s="175">
        <v>7</v>
      </c>
      <c r="AI1537" s="175">
        <v>3</v>
      </c>
      <c r="AJ1537" s="175">
        <v>5</v>
      </c>
      <c r="AK1537" s="175">
        <v>7</v>
      </c>
      <c r="AL1537" s="175">
        <v>7</v>
      </c>
      <c r="AM1537" s="175">
        <v>8</v>
      </c>
      <c r="AN1537" s="175">
        <v>0</v>
      </c>
      <c r="AO1537" s="175">
        <v>30</v>
      </c>
      <c r="AP1537" s="175">
        <v>25</v>
      </c>
      <c r="AQ1537" s="175">
        <v>6</v>
      </c>
      <c r="AR1537" s="175">
        <v>0</v>
      </c>
      <c r="AS1537" s="175">
        <v>3</v>
      </c>
      <c r="AT1537" s="175">
        <v>0</v>
      </c>
    </row>
    <row r="1538" spans="1:46">
      <c r="A1538">
        <v>34084</v>
      </c>
      <c r="B1538" t="s">
        <v>9486</v>
      </c>
      <c r="C1538" t="s">
        <v>9487</v>
      </c>
      <c r="D1538" t="s">
        <v>9488</v>
      </c>
      <c r="E1538" t="s">
        <v>9489</v>
      </c>
      <c r="G1538" t="s">
        <v>9490</v>
      </c>
      <c r="H1538" t="s">
        <v>449</v>
      </c>
      <c r="J1538" t="s">
        <v>4032</v>
      </c>
      <c r="K1538" t="s">
        <v>606</v>
      </c>
      <c r="M1538" t="s">
        <v>1382</v>
      </c>
      <c r="N1538" t="s">
        <v>657</v>
      </c>
      <c r="O1538" t="s">
        <v>1435</v>
      </c>
      <c r="P1538" t="s">
        <v>658</v>
      </c>
      <c r="Q1538" t="s">
        <v>510</v>
      </c>
      <c r="R1538" t="s">
        <v>1384</v>
      </c>
      <c r="S1538" t="s">
        <v>1384</v>
      </c>
      <c r="T1538" t="s">
        <v>1320</v>
      </c>
      <c r="U1538">
        <v>173300</v>
      </c>
      <c r="V1538" t="s">
        <v>9491</v>
      </c>
      <c r="W1538" t="s">
        <v>8422</v>
      </c>
      <c r="X1538" t="s">
        <v>9492</v>
      </c>
      <c r="Y1538" t="s">
        <v>9493</v>
      </c>
      <c r="AA1538" t="s">
        <v>8991</v>
      </c>
      <c r="AB1538" t="s">
        <v>9494</v>
      </c>
      <c r="AE1538">
        <v>-37.804345869999999</v>
      </c>
      <c r="AF1538">
        <v>175.40490764</v>
      </c>
      <c r="AG1538" s="175">
        <v>70</v>
      </c>
      <c r="AH1538" s="175">
        <v>20</v>
      </c>
      <c r="AI1538" s="175">
        <v>3</v>
      </c>
      <c r="AJ1538" s="175">
        <v>18</v>
      </c>
      <c r="AK1538" s="175">
        <v>12</v>
      </c>
      <c r="AL1538" s="175">
        <v>10</v>
      </c>
      <c r="AM1538" s="175">
        <v>19</v>
      </c>
      <c r="AN1538" s="175">
        <v>0</v>
      </c>
      <c r="AO1538" s="175">
        <v>62</v>
      </c>
      <c r="AP1538" s="175">
        <v>57</v>
      </c>
      <c r="AQ1538" s="175">
        <v>14</v>
      </c>
      <c r="AR1538" s="175">
        <v>1</v>
      </c>
      <c r="AS1538" s="175">
        <v>5</v>
      </c>
      <c r="AT1538" s="175">
        <v>0</v>
      </c>
    </row>
    <row r="1539" spans="1:46">
      <c r="A1539">
        <v>34085</v>
      </c>
      <c r="B1539" t="s">
        <v>9495</v>
      </c>
      <c r="C1539" t="s">
        <v>9496</v>
      </c>
      <c r="D1539" t="s">
        <v>9497</v>
      </c>
      <c r="E1539" t="s">
        <v>9498</v>
      </c>
      <c r="G1539" t="s">
        <v>9499</v>
      </c>
      <c r="H1539" t="s">
        <v>449</v>
      </c>
      <c r="J1539" t="s">
        <v>605</v>
      </c>
      <c r="K1539" t="s">
        <v>606</v>
      </c>
      <c r="M1539" t="s">
        <v>1382</v>
      </c>
      <c r="N1539" t="s">
        <v>657</v>
      </c>
      <c r="O1539" t="s">
        <v>1545</v>
      </c>
      <c r="P1539" t="s">
        <v>626</v>
      </c>
      <c r="Q1539" t="s">
        <v>510</v>
      </c>
      <c r="R1539" t="s">
        <v>1384</v>
      </c>
      <c r="S1539" t="s">
        <v>1522</v>
      </c>
      <c r="T1539" t="s">
        <v>1320</v>
      </c>
      <c r="U1539">
        <v>167200</v>
      </c>
      <c r="V1539" t="s">
        <v>9500</v>
      </c>
      <c r="W1539" t="s">
        <v>1547</v>
      </c>
      <c r="X1539" t="s">
        <v>9501</v>
      </c>
      <c r="Y1539" t="s">
        <v>9502</v>
      </c>
      <c r="AA1539" t="s">
        <v>9503</v>
      </c>
      <c r="AB1539" t="s">
        <v>9504</v>
      </c>
      <c r="AE1539">
        <v>-37.046548610000002</v>
      </c>
      <c r="AF1539">
        <v>175.52099057000001</v>
      </c>
      <c r="AG1539" s="175">
        <v>20</v>
      </c>
      <c r="AH1539" s="175">
        <v>0</v>
      </c>
      <c r="AI1539" s="175">
        <v>0</v>
      </c>
      <c r="AJ1539" s="175">
        <v>4</v>
      </c>
      <c r="AK1539" s="175">
        <v>5</v>
      </c>
      <c r="AL1539" s="175">
        <v>6</v>
      </c>
      <c r="AM1539" s="175">
        <v>9</v>
      </c>
      <c r="AN1539" s="175">
        <v>0</v>
      </c>
      <c r="AO1539" s="175">
        <v>24</v>
      </c>
      <c r="AP1539" s="175">
        <v>22</v>
      </c>
      <c r="AQ1539" s="175">
        <v>4</v>
      </c>
      <c r="AR1539" s="175">
        <v>4</v>
      </c>
      <c r="AS1539" s="175">
        <v>1</v>
      </c>
      <c r="AT1539" s="175">
        <v>3</v>
      </c>
    </row>
    <row r="1540" spans="1:46">
      <c r="A1540">
        <v>34088</v>
      </c>
      <c r="B1540" t="s">
        <v>9505</v>
      </c>
      <c r="C1540" t="s">
        <v>9506</v>
      </c>
      <c r="E1540" t="s">
        <v>9507</v>
      </c>
      <c r="G1540" t="s">
        <v>3754</v>
      </c>
      <c r="H1540" t="s">
        <v>449</v>
      </c>
      <c r="J1540" t="s">
        <v>4032</v>
      </c>
      <c r="K1540" t="s">
        <v>606</v>
      </c>
      <c r="M1540" t="s">
        <v>1382</v>
      </c>
      <c r="N1540" t="s">
        <v>643</v>
      </c>
      <c r="O1540" t="s">
        <v>1521</v>
      </c>
      <c r="P1540" t="s">
        <v>610</v>
      </c>
      <c r="Q1540" t="s">
        <v>510</v>
      </c>
      <c r="R1540" t="s">
        <v>1384</v>
      </c>
      <c r="S1540" t="s">
        <v>1522</v>
      </c>
      <c r="T1540" t="s">
        <v>1320</v>
      </c>
      <c r="U1540">
        <v>169401</v>
      </c>
      <c r="V1540" t="s">
        <v>9508</v>
      </c>
      <c r="W1540" t="s">
        <v>3756</v>
      </c>
      <c r="X1540" t="s">
        <v>9509</v>
      </c>
      <c r="Y1540" t="s">
        <v>9510</v>
      </c>
      <c r="AA1540" t="s">
        <v>9511</v>
      </c>
      <c r="AB1540" t="s">
        <v>9512</v>
      </c>
      <c r="AC1540">
        <v>99089</v>
      </c>
      <c r="AD1540" t="s">
        <v>3757</v>
      </c>
      <c r="AE1540">
        <v>-37.388390630000004</v>
      </c>
      <c r="AF1540">
        <v>175.83255492000001</v>
      </c>
      <c r="AG1540" s="175">
        <v>30</v>
      </c>
      <c r="AH1540" s="175">
        <v>8</v>
      </c>
      <c r="AI1540" s="175">
        <v>0</v>
      </c>
      <c r="AJ1540" s="175">
        <v>8</v>
      </c>
      <c r="AK1540" s="175">
        <v>9</v>
      </c>
      <c r="AL1540" s="175">
        <v>9</v>
      </c>
      <c r="AM1540" s="175">
        <v>11</v>
      </c>
      <c r="AN1540" s="175">
        <v>2</v>
      </c>
      <c r="AO1540" s="175">
        <v>39</v>
      </c>
      <c r="AP1540" s="175">
        <v>35</v>
      </c>
      <c r="AQ1540" s="175">
        <v>18</v>
      </c>
      <c r="AR1540" s="175">
        <v>1</v>
      </c>
      <c r="AS1540" s="175">
        <v>1</v>
      </c>
      <c r="AT1540" s="175">
        <v>0</v>
      </c>
    </row>
    <row r="1541" spans="1:46">
      <c r="A1541">
        <v>34089</v>
      </c>
      <c r="B1541" t="s">
        <v>9513</v>
      </c>
      <c r="C1541" t="s">
        <v>9514</v>
      </c>
      <c r="D1541" t="s">
        <v>9515</v>
      </c>
      <c r="E1541" t="s">
        <v>9516</v>
      </c>
      <c r="G1541" t="s">
        <v>1544</v>
      </c>
      <c r="H1541" t="s">
        <v>449</v>
      </c>
      <c r="J1541" t="s">
        <v>4032</v>
      </c>
      <c r="K1541" t="s">
        <v>606</v>
      </c>
      <c r="M1541" t="s">
        <v>1382</v>
      </c>
      <c r="N1541" t="s">
        <v>657</v>
      </c>
      <c r="O1541" t="s">
        <v>1545</v>
      </c>
      <c r="P1541" t="s">
        <v>610</v>
      </c>
      <c r="Q1541" t="s">
        <v>510</v>
      </c>
      <c r="R1541" t="s">
        <v>1384</v>
      </c>
      <c r="S1541" t="s">
        <v>1522</v>
      </c>
      <c r="T1541" t="s">
        <v>1320</v>
      </c>
      <c r="U1541">
        <v>168001</v>
      </c>
      <c r="V1541" t="s">
        <v>9517</v>
      </c>
      <c r="W1541" t="s">
        <v>1547</v>
      </c>
      <c r="X1541" t="s">
        <v>9518</v>
      </c>
      <c r="Y1541" t="s">
        <v>9519</v>
      </c>
      <c r="AA1541" t="s">
        <v>9520</v>
      </c>
      <c r="AB1541" t="s">
        <v>9521</v>
      </c>
      <c r="AC1541">
        <v>99087</v>
      </c>
      <c r="AD1541" t="s">
        <v>1548</v>
      </c>
      <c r="AE1541">
        <v>-37.170345419999997</v>
      </c>
      <c r="AF1541">
        <v>175.55848258</v>
      </c>
      <c r="AG1541" s="175">
        <v>44</v>
      </c>
      <c r="AH1541" s="175">
        <v>10</v>
      </c>
      <c r="AI1541" s="175">
        <v>0</v>
      </c>
      <c r="AJ1541" s="175">
        <v>5</v>
      </c>
      <c r="AK1541" s="175">
        <v>10</v>
      </c>
      <c r="AL1541" s="175">
        <v>12</v>
      </c>
      <c r="AM1541" s="175">
        <v>11</v>
      </c>
      <c r="AN1541" s="175">
        <v>1</v>
      </c>
      <c r="AO1541" s="175">
        <v>39</v>
      </c>
      <c r="AP1541" s="175">
        <v>33</v>
      </c>
      <c r="AQ1541" s="175">
        <v>15</v>
      </c>
      <c r="AR1541" s="175">
        <v>4</v>
      </c>
      <c r="AS1541" s="175">
        <v>2</v>
      </c>
      <c r="AT1541" s="175">
        <v>1</v>
      </c>
    </row>
    <row r="1542" spans="1:46">
      <c r="A1542">
        <v>34093</v>
      </c>
      <c r="B1542" t="s">
        <v>9522</v>
      </c>
      <c r="C1542" t="s">
        <v>9523</v>
      </c>
      <c r="D1542" t="s">
        <v>9524</v>
      </c>
      <c r="E1542" t="s">
        <v>9525</v>
      </c>
      <c r="G1542" t="s">
        <v>1638</v>
      </c>
      <c r="H1542" t="s">
        <v>449</v>
      </c>
      <c r="J1542" t="s">
        <v>605</v>
      </c>
      <c r="K1542" t="s">
        <v>606</v>
      </c>
      <c r="M1542" t="s">
        <v>1382</v>
      </c>
      <c r="N1542" t="s">
        <v>643</v>
      </c>
      <c r="O1542" t="s">
        <v>1435</v>
      </c>
      <c r="P1542" t="s">
        <v>610</v>
      </c>
      <c r="Q1542" t="s">
        <v>510</v>
      </c>
      <c r="R1542" t="s">
        <v>1384</v>
      </c>
      <c r="S1542" t="s">
        <v>1384</v>
      </c>
      <c r="T1542" t="s">
        <v>1320</v>
      </c>
      <c r="U1542">
        <v>171501</v>
      </c>
      <c r="V1542" t="s">
        <v>9526</v>
      </c>
      <c r="W1542" t="s">
        <v>1640</v>
      </c>
      <c r="X1542" t="s">
        <v>9527</v>
      </c>
      <c r="Y1542" t="s">
        <v>9525</v>
      </c>
      <c r="Z1542" t="s">
        <v>1638</v>
      </c>
      <c r="AA1542" t="s">
        <v>9528</v>
      </c>
      <c r="AB1542" t="s">
        <v>9529</v>
      </c>
      <c r="AE1542">
        <v>-37.541994410000001</v>
      </c>
      <c r="AF1542">
        <v>175.1654791</v>
      </c>
      <c r="AG1542" s="175">
        <v>40</v>
      </c>
      <c r="AH1542" s="175">
        <v>0</v>
      </c>
      <c r="AI1542" s="175">
        <v>0</v>
      </c>
      <c r="AJ1542" s="175">
        <v>0</v>
      </c>
      <c r="AK1542" s="175">
        <v>13</v>
      </c>
      <c r="AL1542" s="175">
        <v>14</v>
      </c>
      <c r="AM1542" s="175">
        <v>23</v>
      </c>
      <c r="AN1542" s="175">
        <v>2</v>
      </c>
      <c r="AO1542" s="175">
        <v>52</v>
      </c>
      <c r="AP1542" s="175">
        <v>40</v>
      </c>
      <c r="AQ1542" s="175">
        <v>16</v>
      </c>
      <c r="AR1542" s="175">
        <v>3</v>
      </c>
      <c r="AS1542" s="175">
        <v>5</v>
      </c>
      <c r="AT1542" s="175">
        <v>1</v>
      </c>
    </row>
    <row r="1543" spans="1:46">
      <c r="A1543">
        <v>34095</v>
      </c>
      <c r="B1543" t="s">
        <v>9530</v>
      </c>
      <c r="C1543" t="s">
        <v>9531</v>
      </c>
      <c r="E1543" t="s">
        <v>9532</v>
      </c>
      <c r="F1543" t="s">
        <v>1429</v>
      </c>
      <c r="G1543" t="s">
        <v>1381</v>
      </c>
      <c r="H1543" t="s">
        <v>449</v>
      </c>
      <c r="J1543" t="s">
        <v>605</v>
      </c>
      <c r="K1543" t="s">
        <v>606</v>
      </c>
      <c r="M1543" t="s">
        <v>1382</v>
      </c>
      <c r="N1543" t="s">
        <v>643</v>
      </c>
      <c r="O1543" t="s">
        <v>1383</v>
      </c>
      <c r="P1543" t="s">
        <v>739</v>
      </c>
      <c r="Q1543" t="s">
        <v>510</v>
      </c>
      <c r="R1543" t="s">
        <v>1384</v>
      </c>
      <c r="S1543" t="s">
        <v>1385</v>
      </c>
      <c r="T1543" t="s">
        <v>1320</v>
      </c>
      <c r="U1543">
        <v>178701</v>
      </c>
      <c r="V1543" t="s">
        <v>1430</v>
      </c>
      <c r="W1543" t="s">
        <v>1387</v>
      </c>
      <c r="X1543" t="s">
        <v>8441</v>
      </c>
      <c r="Y1543" t="s">
        <v>4014</v>
      </c>
      <c r="Z1543" t="s">
        <v>4015</v>
      </c>
      <c r="AA1543" t="s">
        <v>4016</v>
      </c>
      <c r="AB1543" t="s">
        <v>8442</v>
      </c>
      <c r="AC1543">
        <v>99035</v>
      </c>
      <c r="AD1543" t="s">
        <v>1392</v>
      </c>
      <c r="AE1543">
        <v>-37.792790170000004</v>
      </c>
      <c r="AF1543">
        <v>175.25566486</v>
      </c>
      <c r="AG1543" s="175">
        <v>40</v>
      </c>
      <c r="AH1543" s="175">
        <v>12</v>
      </c>
      <c r="AI1543" s="175">
        <v>2</v>
      </c>
      <c r="AJ1543" s="175">
        <v>10</v>
      </c>
      <c r="AK1543" s="175">
        <v>8</v>
      </c>
      <c r="AL1543" s="175">
        <v>11</v>
      </c>
      <c r="AM1543" s="175">
        <v>9</v>
      </c>
      <c r="AN1543" s="175">
        <v>0</v>
      </c>
      <c r="AO1543" s="175">
        <v>40</v>
      </c>
      <c r="AP1543" s="175">
        <v>16</v>
      </c>
      <c r="AQ1543" s="175">
        <v>15</v>
      </c>
      <c r="AR1543" s="175">
        <v>7</v>
      </c>
      <c r="AS1543" s="175">
        <v>15</v>
      </c>
      <c r="AT1543" s="175">
        <v>4</v>
      </c>
    </row>
    <row r="1544" spans="1:46">
      <c r="A1544">
        <v>34097</v>
      </c>
      <c r="B1544" t="s">
        <v>9533</v>
      </c>
      <c r="C1544" t="s">
        <v>9534</v>
      </c>
      <c r="D1544" t="s">
        <v>9535</v>
      </c>
      <c r="E1544" t="s">
        <v>9536</v>
      </c>
      <c r="G1544" t="s">
        <v>3754</v>
      </c>
      <c r="H1544" t="s">
        <v>449</v>
      </c>
      <c r="J1544" t="s">
        <v>4032</v>
      </c>
      <c r="K1544" t="s">
        <v>606</v>
      </c>
      <c r="M1544" t="s">
        <v>1382</v>
      </c>
      <c r="N1544" t="s">
        <v>625</v>
      </c>
      <c r="O1544" t="s">
        <v>1521</v>
      </c>
      <c r="P1544" t="s">
        <v>610</v>
      </c>
      <c r="Q1544" t="s">
        <v>510</v>
      </c>
      <c r="R1544" t="s">
        <v>1384</v>
      </c>
      <c r="S1544" t="s">
        <v>1522</v>
      </c>
      <c r="T1544" t="s">
        <v>1320</v>
      </c>
      <c r="U1544">
        <v>169600</v>
      </c>
      <c r="V1544" t="s">
        <v>8976</v>
      </c>
      <c r="W1544" t="s">
        <v>3756</v>
      </c>
      <c r="X1544" t="s">
        <v>9537</v>
      </c>
      <c r="Y1544" t="s">
        <v>9536</v>
      </c>
      <c r="AA1544" t="s">
        <v>9538</v>
      </c>
      <c r="AB1544" t="s">
        <v>9534</v>
      </c>
      <c r="AC1544">
        <v>99089</v>
      </c>
      <c r="AD1544" t="s">
        <v>3757</v>
      </c>
      <c r="AE1544">
        <v>-37.395636099999997</v>
      </c>
      <c r="AF1544">
        <v>175.83212839999999</v>
      </c>
      <c r="AG1544" s="175">
        <v>37</v>
      </c>
      <c r="AH1544" s="175">
        <v>7</v>
      </c>
      <c r="AI1544" s="175">
        <v>3</v>
      </c>
      <c r="AJ1544" s="175">
        <v>8</v>
      </c>
      <c r="AK1544" s="175">
        <v>14</v>
      </c>
      <c r="AL1544" s="175">
        <v>8</v>
      </c>
      <c r="AM1544" s="175">
        <v>12</v>
      </c>
      <c r="AN1544" s="175">
        <v>0</v>
      </c>
      <c r="AO1544" s="175">
        <v>45</v>
      </c>
      <c r="AP1544" s="175">
        <v>36</v>
      </c>
      <c r="AQ1544" s="175">
        <v>6</v>
      </c>
      <c r="AR1544" s="175">
        <v>1</v>
      </c>
      <c r="AS1544" s="175">
        <v>7</v>
      </c>
      <c r="AT1544" s="175">
        <v>1</v>
      </c>
    </row>
    <row r="1545" spans="1:46">
      <c r="A1545">
        <v>34100</v>
      </c>
      <c r="B1545" t="s">
        <v>9539</v>
      </c>
      <c r="C1545" t="s">
        <v>9540</v>
      </c>
      <c r="E1545" t="s">
        <v>9541</v>
      </c>
      <c r="F1545" t="s">
        <v>9542</v>
      </c>
      <c r="G1545" t="s">
        <v>3897</v>
      </c>
      <c r="H1545" t="s">
        <v>449</v>
      </c>
      <c r="I1545" t="s">
        <v>4298</v>
      </c>
      <c r="J1545" t="s">
        <v>605</v>
      </c>
      <c r="K1545" t="s">
        <v>606</v>
      </c>
      <c r="M1545" t="s">
        <v>1382</v>
      </c>
      <c r="N1545" t="s">
        <v>657</v>
      </c>
      <c r="O1545" t="s">
        <v>1545</v>
      </c>
      <c r="P1545" t="s">
        <v>626</v>
      </c>
      <c r="Q1545" t="s">
        <v>510</v>
      </c>
      <c r="R1545" t="s">
        <v>1384</v>
      </c>
      <c r="S1545" t="s">
        <v>1522</v>
      </c>
      <c r="T1545" t="s">
        <v>1320</v>
      </c>
      <c r="U1545">
        <v>166900</v>
      </c>
      <c r="V1545" t="s">
        <v>9543</v>
      </c>
      <c r="W1545" t="s">
        <v>3899</v>
      </c>
      <c r="X1545" t="s">
        <v>9544</v>
      </c>
      <c r="Y1545" t="s">
        <v>9545</v>
      </c>
      <c r="AA1545" t="s">
        <v>9546</v>
      </c>
      <c r="AB1545" t="s">
        <v>9547</v>
      </c>
      <c r="AC1545">
        <v>99155</v>
      </c>
      <c r="AD1545" t="s">
        <v>3900</v>
      </c>
      <c r="AE1545">
        <v>-36.72239579</v>
      </c>
      <c r="AF1545">
        <v>175.73057559</v>
      </c>
      <c r="AG1545" s="175">
        <v>20</v>
      </c>
      <c r="AH1545" s="175">
        <v>0</v>
      </c>
      <c r="AI1545" s="175">
        <v>0</v>
      </c>
      <c r="AJ1545" s="175">
        <v>0</v>
      </c>
      <c r="AK1545" s="175">
        <v>3</v>
      </c>
      <c r="AL1545" s="175">
        <v>11</v>
      </c>
      <c r="AM1545" s="175">
        <v>5</v>
      </c>
      <c r="AN1545" s="175">
        <v>0</v>
      </c>
      <c r="AO1545" s="175">
        <v>19</v>
      </c>
      <c r="AP1545" s="175">
        <v>17</v>
      </c>
      <c r="AQ1545" s="175">
        <v>6</v>
      </c>
      <c r="AR1545" s="175">
        <v>1</v>
      </c>
      <c r="AS1545" s="175">
        <v>0</v>
      </c>
      <c r="AT1545" s="175">
        <v>0</v>
      </c>
    </row>
    <row r="1546" spans="1:46">
      <c r="A1546">
        <v>34102</v>
      </c>
      <c r="B1546" t="s">
        <v>9548</v>
      </c>
      <c r="C1546" t="s">
        <v>9549</v>
      </c>
      <c r="E1546" t="s">
        <v>9550</v>
      </c>
      <c r="G1546" t="s">
        <v>1566</v>
      </c>
      <c r="H1546" t="s">
        <v>449</v>
      </c>
      <c r="I1546" t="s">
        <v>4642</v>
      </c>
      <c r="J1546" t="s">
        <v>605</v>
      </c>
      <c r="K1546" t="s">
        <v>606</v>
      </c>
      <c r="M1546" t="s">
        <v>1382</v>
      </c>
      <c r="N1546" t="s">
        <v>608</v>
      </c>
      <c r="O1546" t="s">
        <v>1567</v>
      </c>
      <c r="P1546" t="s">
        <v>1347</v>
      </c>
      <c r="Q1546" t="s">
        <v>510</v>
      </c>
      <c r="R1546" t="s">
        <v>1384</v>
      </c>
      <c r="S1546" t="s">
        <v>1404</v>
      </c>
      <c r="T1546" t="s">
        <v>1568</v>
      </c>
      <c r="U1546">
        <v>186700</v>
      </c>
      <c r="V1546" t="s">
        <v>8747</v>
      </c>
      <c r="W1546" t="s">
        <v>1570</v>
      </c>
      <c r="X1546" t="s">
        <v>9551</v>
      </c>
      <c r="Y1546" t="s">
        <v>9552</v>
      </c>
      <c r="Z1546" t="s">
        <v>1566</v>
      </c>
      <c r="AA1546" t="s">
        <v>8650</v>
      </c>
      <c r="AB1546" t="s">
        <v>9549</v>
      </c>
      <c r="AC1546">
        <v>99195</v>
      </c>
      <c r="AD1546" t="s">
        <v>1573</v>
      </c>
      <c r="AE1546">
        <v>-38.221132670000003</v>
      </c>
      <c r="AF1546">
        <v>175.87293652</v>
      </c>
      <c r="AG1546" s="175">
        <v>50</v>
      </c>
      <c r="AH1546" s="175">
        <v>10</v>
      </c>
      <c r="AI1546" s="175">
        <v>0</v>
      </c>
      <c r="AJ1546" s="175">
        <v>4</v>
      </c>
      <c r="AK1546" s="175">
        <v>8</v>
      </c>
      <c r="AL1546" s="175">
        <v>13</v>
      </c>
      <c r="AM1546" s="175">
        <v>8</v>
      </c>
      <c r="AN1546" s="175">
        <v>0</v>
      </c>
      <c r="AO1546" s="175">
        <v>33</v>
      </c>
      <c r="AP1546" s="175">
        <v>2</v>
      </c>
      <c r="AQ1546" s="175">
        <v>11</v>
      </c>
      <c r="AR1546" s="175">
        <v>19</v>
      </c>
      <c r="AS1546" s="175">
        <v>2</v>
      </c>
      <c r="AT1546" s="175">
        <v>0</v>
      </c>
    </row>
    <row r="1547" spans="1:46">
      <c r="A1547">
        <v>34106</v>
      </c>
      <c r="B1547" t="s">
        <v>9553</v>
      </c>
      <c r="C1547" t="s">
        <v>9554</v>
      </c>
      <c r="E1547" t="s">
        <v>9555</v>
      </c>
      <c r="F1547" t="s">
        <v>1380</v>
      </c>
      <c r="G1547" t="s">
        <v>1381</v>
      </c>
      <c r="H1547" t="s">
        <v>449</v>
      </c>
      <c r="J1547" t="s">
        <v>4032</v>
      </c>
      <c r="K1547" t="s">
        <v>606</v>
      </c>
      <c r="M1547" t="s">
        <v>1382</v>
      </c>
      <c r="N1547" t="s">
        <v>657</v>
      </c>
      <c r="O1547" t="s">
        <v>1383</v>
      </c>
      <c r="P1547" t="s">
        <v>739</v>
      </c>
      <c r="Q1547" t="s">
        <v>510</v>
      </c>
      <c r="R1547" t="s">
        <v>1384</v>
      </c>
      <c r="S1547" t="s">
        <v>1396</v>
      </c>
      <c r="T1547" t="s">
        <v>1320</v>
      </c>
      <c r="U1547">
        <v>177700</v>
      </c>
      <c r="V1547" t="s">
        <v>9332</v>
      </c>
      <c r="W1547" t="s">
        <v>1398</v>
      </c>
      <c r="X1547" t="s">
        <v>9556</v>
      </c>
      <c r="Y1547" t="s">
        <v>9557</v>
      </c>
      <c r="Z1547" t="s">
        <v>9558</v>
      </c>
      <c r="AA1547" t="s">
        <v>8575</v>
      </c>
      <c r="AB1547" t="s">
        <v>9559</v>
      </c>
      <c r="AE1547">
        <v>-37.759899769999997</v>
      </c>
      <c r="AF1547">
        <v>175.26757187999999</v>
      </c>
      <c r="AG1547" s="175">
        <v>50</v>
      </c>
      <c r="AH1547" s="175">
        <v>14</v>
      </c>
      <c r="AI1547" s="175">
        <v>3</v>
      </c>
      <c r="AJ1547" s="175">
        <v>9</v>
      </c>
      <c r="AK1547" s="175">
        <v>10</v>
      </c>
      <c r="AL1547" s="175">
        <v>12</v>
      </c>
      <c r="AM1547" s="175">
        <v>13</v>
      </c>
      <c r="AN1547" s="175">
        <v>1</v>
      </c>
      <c r="AO1547" s="175">
        <v>48</v>
      </c>
      <c r="AP1547" s="175">
        <v>35</v>
      </c>
      <c r="AQ1547" s="175">
        <v>31</v>
      </c>
      <c r="AR1547" s="175">
        <v>9</v>
      </c>
      <c r="AS1547" s="175">
        <v>2</v>
      </c>
      <c r="AT1547" s="175">
        <v>0</v>
      </c>
    </row>
    <row r="1548" spans="1:46">
      <c r="A1548">
        <v>34108</v>
      </c>
      <c r="B1548" t="s">
        <v>9560</v>
      </c>
      <c r="C1548" t="s">
        <v>9561</v>
      </c>
      <c r="D1548" t="s">
        <v>9562</v>
      </c>
      <c r="E1548" t="s">
        <v>9563</v>
      </c>
      <c r="F1548" t="s">
        <v>1380</v>
      </c>
      <c r="G1548" t="s">
        <v>1381</v>
      </c>
      <c r="H1548" t="s">
        <v>449</v>
      </c>
      <c r="J1548" t="s">
        <v>4032</v>
      </c>
      <c r="K1548" t="s">
        <v>606</v>
      </c>
      <c r="M1548" t="s">
        <v>1382</v>
      </c>
      <c r="N1548" t="s">
        <v>657</v>
      </c>
      <c r="O1548" t="s">
        <v>1383</v>
      </c>
      <c r="P1548" t="s">
        <v>739</v>
      </c>
      <c r="Q1548" t="s">
        <v>510</v>
      </c>
      <c r="R1548" t="s">
        <v>1384</v>
      </c>
      <c r="S1548" t="s">
        <v>1396</v>
      </c>
      <c r="T1548" t="s">
        <v>1320</v>
      </c>
      <c r="U1548">
        <v>180700</v>
      </c>
      <c r="V1548" t="s">
        <v>1451</v>
      </c>
      <c r="W1548" t="s">
        <v>1398</v>
      </c>
      <c r="X1548" t="s">
        <v>9564</v>
      </c>
      <c r="Y1548" t="s">
        <v>9565</v>
      </c>
      <c r="Z1548" t="s">
        <v>1302</v>
      </c>
      <c r="AA1548" t="s">
        <v>9566</v>
      </c>
      <c r="AB1548" t="s">
        <v>9561</v>
      </c>
      <c r="AC1548">
        <v>99057</v>
      </c>
      <c r="AD1548" t="s">
        <v>9567</v>
      </c>
      <c r="AE1548">
        <v>-37.798597600000001</v>
      </c>
      <c r="AF1548">
        <v>175.32193749000001</v>
      </c>
      <c r="AG1548" s="175">
        <v>42</v>
      </c>
      <c r="AH1548" s="175">
        <v>14</v>
      </c>
      <c r="AI1548" s="175">
        <v>2</v>
      </c>
      <c r="AJ1548" s="175">
        <v>4</v>
      </c>
      <c r="AK1548" s="175">
        <v>13</v>
      </c>
      <c r="AL1548" s="175">
        <v>5</v>
      </c>
      <c r="AM1548" s="175">
        <v>14</v>
      </c>
      <c r="AN1548" s="175">
        <v>1</v>
      </c>
      <c r="AO1548" s="175">
        <v>39</v>
      </c>
      <c r="AP1548" s="175">
        <v>2</v>
      </c>
      <c r="AQ1548" s="175">
        <v>4</v>
      </c>
      <c r="AR1548" s="175">
        <v>3</v>
      </c>
      <c r="AS1548" s="175">
        <v>33</v>
      </c>
      <c r="AT1548" s="175">
        <v>1</v>
      </c>
    </row>
    <row r="1549" spans="1:46">
      <c r="A1549">
        <v>34110</v>
      </c>
      <c r="B1549" t="s">
        <v>9568</v>
      </c>
      <c r="C1549" t="s">
        <v>9569</v>
      </c>
      <c r="D1549" t="s">
        <v>9570</v>
      </c>
      <c r="E1549" t="s">
        <v>9571</v>
      </c>
      <c r="F1549" t="s">
        <v>1380</v>
      </c>
      <c r="G1549" t="s">
        <v>1381</v>
      </c>
      <c r="H1549" t="s">
        <v>449</v>
      </c>
      <c r="J1549" t="s">
        <v>605</v>
      </c>
      <c r="K1549" t="s">
        <v>606</v>
      </c>
      <c r="M1549" t="s">
        <v>1382</v>
      </c>
      <c r="N1549" t="s">
        <v>657</v>
      </c>
      <c r="O1549" t="s">
        <v>1383</v>
      </c>
      <c r="P1549" t="s">
        <v>739</v>
      </c>
      <c r="Q1549" t="s">
        <v>510</v>
      </c>
      <c r="R1549" t="s">
        <v>1384</v>
      </c>
      <c r="S1549" t="s">
        <v>1385</v>
      </c>
      <c r="T1549" t="s">
        <v>1320</v>
      </c>
      <c r="U1549">
        <v>179501</v>
      </c>
      <c r="V1549" t="s">
        <v>8612</v>
      </c>
      <c r="W1549" t="s">
        <v>1387</v>
      </c>
      <c r="X1549" t="s">
        <v>9572</v>
      </c>
      <c r="Y1549" t="s">
        <v>4671</v>
      </c>
      <c r="AA1549" t="s">
        <v>4106</v>
      </c>
      <c r="AB1549" t="s">
        <v>9569</v>
      </c>
      <c r="AE1549">
        <v>-37.795748979999999</v>
      </c>
      <c r="AF1549">
        <v>175.28062145999999</v>
      </c>
      <c r="AG1549" s="175">
        <v>58</v>
      </c>
      <c r="AH1549" s="175">
        <v>20</v>
      </c>
      <c r="AI1549" s="175">
        <v>0</v>
      </c>
      <c r="AJ1549" s="175">
        <v>2</v>
      </c>
      <c r="AK1549" s="175">
        <v>10</v>
      </c>
      <c r="AL1549" s="175">
        <v>11</v>
      </c>
      <c r="AM1549" s="175">
        <v>15</v>
      </c>
      <c r="AN1549" s="175">
        <v>1</v>
      </c>
      <c r="AO1549" s="175">
        <v>39</v>
      </c>
      <c r="AP1549" s="175">
        <v>5</v>
      </c>
      <c r="AQ1549" s="175">
        <v>4</v>
      </c>
      <c r="AR1549" s="175">
        <v>1</v>
      </c>
      <c r="AS1549" s="175">
        <v>32</v>
      </c>
      <c r="AT1549" s="175">
        <v>2</v>
      </c>
    </row>
    <row r="1550" spans="1:46">
      <c r="A1550">
        <v>34111</v>
      </c>
      <c r="B1550" t="s">
        <v>9573</v>
      </c>
      <c r="C1550" t="s">
        <v>9574</v>
      </c>
      <c r="D1550" t="s">
        <v>9575</v>
      </c>
      <c r="E1550" t="s">
        <v>9576</v>
      </c>
      <c r="G1550" t="s">
        <v>1694</v>
      </c>
      <c r="H1550" t="s">
        <v>449</v>
      </c>
      <c r="J1550" t="s">
        <v>605</v>
      </c>
      <c r="K1550" t="s">
        <v>606</v>
      </c>
      <c r="M1550" t="s">
        <v>1382</v>
      </c>
      <c r="N1550" t="s">
        <v>812</v>
      </c>
      <c r="O1550" t="s">
        <v>1695</v>
      </c>
      <c r="P1550" t="s">
        <v>610</v>
      </c>
      <c r="Q1550" t="s">
        <v>511</v>
      </c>
      <c r="R1550" t="s">
        <v>1555</v>
      </c>
      <c r="S1550" t="s">
        <v>1556</v>
      </c>
      <c r="T1550" t="s">
        <v>1557</v>
      </c>
      <c r="U1550">
        <v>204400</v>
      </c>
      <c r="V1550" t="s">
        <v>1696</v>
      </c>
      <c r="W1550" t="s">
        <v>1697</v>
      </c>
      <c r="X1550" t="s">
        <v>9577</v>
      </c>
      <c r="Y1550" t="s">
        <v>9578</v>
      </c>
      <c r="AA1550" t="s">
        <v>9579</v>
      </c>
      <c r="AB1550" t="s">
        <v>9580</v>
      </c>
      <c r="AC1550">
        <v>99037</v>
      </c>
      <c r="AD1550" t="s">
        <v>1698</v>
      </c>
      <c r="AE1550">
        <v>-38.01392199</v>
      </c>
      <c r="AF1550">
        <v>177.29233468999999</v>
      </c>
      <c r="AG1550" s="175">
        <v>35</v>
      </c>
      <c r="AH1550" s="175">
        <v>10</v>
      </c>
      <c r="AI1550" s="175">
        <v>1</v>
      </c>
      <c r="AJ1550" s="175">
        <v>2</v>
      </c>
      <c r="AK1550" s="175">
        <v>3</v>
      </c>
      <c r="AL1550" s="175">
        <v>6</v>
      </c>
      <c r="AM1550" s="175">
        <v>16</v>
      </c>
      <c r="AN1550" s="175">
        <v>0</v>
      </c>
      <c r="AO1550" s="175">
        <v>28</v>
      </c>
      <c r="AP1550" s="175">
        <v>9</v>
      </c>
      <c r="AQ1550" s="175">
        <v>19</v>
      </c>
      <c r="AR1550" s="175">
        <v>0</v>
      </c>
      <c r="AS1550" s="175">
        <v>7</v>
      </c>
      <c r="AT1550" s="175">
        <v>0</v>
      </c>
    </row>
    <row r="1551" spans="1:46">
      <c r="A1551">
        <v>34114</v>
      </c>
      <c r="B1551" t="s">
        <v>9581</v>
      </c>
      <c r="C1551" t="s">
        <v>9582</v>
      </c>
      <c r="D1551" t="s">
        <v>9583</v>
      </c>
      <c r="E1551" t="s">
        <v>9584</v>
      </c>
      <c r="G1551" t="s">
        <v>1533</v>
      </c>
      <c r="H1551" t="s">
        <v>449</v>
      </c>
      <c r="J1551" t="s">
        <v>605</v>
      </c>
      <c r="K1551" t="s">
        <v>606</v>
      </c>
      <c r="M1551" t="s">
        <v>1382</v>
      </c>
      <c r="N1551" t="s">
        <v>657</v>
      </c>
      <c r="O1551" t="s">
        <v>1534</v>
      </c>
      <c r="P1551" t="s">
        <v>610</v>
      </c>
      <c r="Q1551" t="s">
        <v>510</v>
      </c>
      <c r="R1551" t="s">
        <v>1384</v>
      </c>
      <c r="S1551" t="s">
        <v>1384</v>
      </c>
      <c r="T1551" t="s">
        <v>1320</v>
      </c>
      <c r="U1551">
        <v>174100</v>
      </c>
      <c r="V1551" t="s">
        <v>1535</v>
      </c>
      <c r="W1551" t="s">
        <v>1536</v>
      </c>
      <c r="X1551" t="s">
        <v>8441</v>
      </c>
      <c r="Y1551" t="s">
        <v>4014</v>
      </c>
      <c r="Z1551" t="s">
        <v>4015</v>
      </c>
      <c r="AA1551" t="s">
        <v>4016</v>
      </c>
      <c r="AB1551" t="s">
        <v>8442</v>
      </c>
      <c r="AC1551">
        <v>99202</v>
      </c>
      <c r="AD1551" t="s">
        <v>1540</v>
      </c>
      <c r="AE1551">
        <v>-37.542104080000001</v>
      </c>
      <c r="AF1551">
        <v>175.71019534000001</v>
      </c>
      <c r="AG1551" s="175">
        <v>49</v>
      </c>
      <c r="AH1551" s="175">
        <v>15</v>
      </c>
      <c r="AI1551" s="175">
        <v>5</v>
      </c>
      <c r="AJ1551" s="175">
        <v>5</v>
      </c>
      <c r="AK1551" s="175">
        <v>10</v>
      </c>
      <c r="AL1551" s="175">
        <v>17</v>
      </c>
      <c r="AM1551" s="175">
        <v>17</v>
      </c>
      <c r="AN1551" s="175">
        <v>0</v>
      </c>
      <c r="AO1551" s="175">
        <v>54</v>
      </c>
      <c r="AP1551" s="175">
        <v>33</v>
      </c>
      <c r="AQ1551" s="175">
        <v>27</v>
      </c>
      <c r="AR1551" s="175">
        <v>5</v>
      </c>
      <c r="AS1551" s="175">
        <v>4</v>
      </c>
      <c r="AT1551" s="175">
        <v>1</v>
      </c>
    </row>
    <row r="1552" spans="1:46">
      <c r="A1552">
        <v>34118</v>
      </c>
      <c r="B1552" t="s">
        <v>9585</v>
      </c>
      <c r="C1552" t="s">
        <v>9586</v>
      </c>
      <c r="E1552" t="s">
        <v>9587</v>
      </c>
      <c r="G1552" t="s">
        <v>1638</v>
      </c>
      <c r="H1552" t="s">
        <v>449</v>
      </c>
      <c r="J1552" t="s">
        <v>605</v>
      </c>
      <c r="K1552" t="s">
        <v>606</v>
      </c>
      <c r="M1552" t="s">
        <v>1382</v>
      </c>
      <c r="N1552" t="s">
        <v>812</v>
      </c>
      <c r="O1552" t="s">
        <v>1435</v>
      </c>
      <c r="P1552" t="s">
        <v>610</v>
      </c>
      <c r="Q1552" t="s">
        <v>510</v>
      </c>
      <c r="R1552" t="s">
        <v>1384</v>
      </c>
      <c r="S1552" t="s">
        <v>1384</v>
      </c>
      <c r="T1552" t="s">
        <v>1320</v>
      </c>
      <c r="U1552">
        <v>171400</v>
      </c>
      <c r="V1552" t="s">
        <v>9588</v>
      </c>
      <c r="W1552" t="s">
        <v>1640</v>
      </c>
      <c r="X1552" t="s">
        <v>9589</v>
      </c>
      <c r="Y1552" t="s">
        <v>8431</v>
      </c>
      <c r="Z1552" t="s">
        <v>1638</v>
      </c>
      <c r="AA1552" t="s">
        <v>9590</v>
      </c>
      <c r="AB1552" t="s">
        <v>9591</v>
      </c>
      <c r="AE1552">
        <v>-37.557577969999997</v>
      </c>
      <c r="AF1552">
        <v>175.15420123000001</v>
      </c>
      <c r="AG1552" s="175">
        <v>20</v>
      </c>
      <c r="AH1552" s="175">
        <v>10</v>
      </c>
      <c r="AI1552" s="175">
        <v>0</v>
      </c>
      <c r="AJ1552" s="175">
        <v>1</v>
      </c>
      <c r="AK1552" s="175">
        <v>4</v>
      </c>
      <c r="AL1552" s="175">
        <v>5</v>
      </c>
      <c r="AM1552" s="175">
        <v>3</v>
      </c>
      <c r="AN1552" s="175">
        <v>0</v>
      </c>
      <c r="AO1552" s="175">
        <v>13</v>
      </c>
      <c r="AP1552" s="175">
        <v>1</v>
      </c>
      <c r="AQ1552" s="175">
        <v>13</v>
      </c>
      <c r="AR1552" s="175">
        <v>0</v>
      </c>
      <c r="AS1552" s="175">
        <v>0</v>
      </c>
      <c r="AT1552" s="175">
        <v>0</v>
      </c>
    </row>
    <row r="1553" spans="1:46">
      <c r="A1553">
        <v>34119</v>
      </c>
      <c r="B1553" t="s">
        <v>9592</v>
      </c>
      <c r="C1553" t="s">
        <v>9593</v>
      </c>
      <c r="D1553" t="s">
        <v>9594</v>
      </c>
      <c r="E1553" t="s">
        <v>9595</v>
      </c>
      <c r="G1553" t="s">
        <v>9596</v>
      </c>
      <c r="H1553" t="s">
        <v>449</v>
      </c>
      <c r="J1553" t="s">
        <v>605</v>
      </c>
      <c r="K1553" t="s">
        <v>606</v>
      </c>
      <c r="M1553" t="s">
        <v>1382</v>
      </c>
      <c r="N1553" t="s">
        <v>657</v>
      </c>
      <c r="O1553" t="s">
        <v>1545</v>
      </c>
      <c r="P1553" t="s">
        <v>610</v>
      </c>
      <c r="Q1553" t="s">
        <v>510</v>
      </c>
      <c r="R1553" t="s">
        <v>1384</v>
      </c>
      <c r="S1553" t="s">
        <v>1522</v>
      </c>
      <c r="T1553" t="s">
        <v>1320</v>
      </c>
      <c r="U1553">
        <v>168200</v>
      </c>
      <c r="V1553" t="s">
        <v>9597</v>
      </c>
      <c r="W1553" t="s">
        <v>8670</v>
      </c>
      <c r="X1553" t="s">
        <v>9598</v>
      </c>
      <c r="Y1553" t="s">
        <v>9599</v>
      </c>
      <c r="Z1553" t="s">
        <v>9596</v>
      </c>
      <c r="AA1553" t="s">
        <v>9600</v>
      </c>
      <c r="AB1553" t="s">
        <v>9593</v>
      </c>
      <c r="AC1553">
        <v>99155</v>
      </c>
      <c r="AD1553" t="s">
        <v>3900</v>
      </c>
      <c r="AE1553">
        <v>-37.021089289999999</v>
      </c>
      <c r="AF1553">
        <v>175.85897084000001</v>
      </c>
      <c r="AG1553" s="175">
        <v>25</v>
      </c>
      <c r="AH1553" s="175">
        <v>8</v>
      </c>
      <c r="AI1553" s="175">
        <v>0</v>
      </c>
      <c r="AJ1553" s="175">
        <v>4</v>
      </c>
      <c r="AK1553" s="175">
        <v>5</v>
      </c>
      <c r="AL1553" s="175">
        <v>5</v>
      </c>
      <c r="AM1553" s="175">
        <v>8</v>
      </c>
      <c r="AN1553" s="175">
        <v>1</v>
      </c>
      <c r="AO1553" s="175">
        <v>23</v>
      </c>
      <c r="AP1553" s="175">
        <v>23</v>
      </c>
      <c r="AQ1553" s="175">
        <v>3</v>
      </c>
      <c r="AR1553" s="175">
        <v>0</v>
      </c>
      <c r="AS1553" s="175">
        <v>3</v>
      </c>
      <c r="AT1553" s="175">
        <v>0</v>
      </c>
    </row>
    <row r="1554" spans="1:46">
      <c r="A1554">
        <v>34120</v>
      </c>
      <c r="B1554" t="s">
        <v>9601</v>
      </c>
      <c r="C1554" t="s">
        <v>9602</v>
      </c>
      <c r="D1554" t="s">
        <v>9603</v>
      </c>
      <c r="E1554" t="s">
        <v>9604</v>
      </c>
      <c r="G1554" t="s">
        <v>1566</v>
      </c>
      <c r="H1554" t="s">
        <v>449</v>
      </c>
      <c r="I1554" t="s">
        <v>6893</v>
      </c>
      <c r="J1554" t="s">
        <v>605</v>
      </c>
      <c r="K1554" t="s">
        <v>606</v>
      </c>
      <c r="M1554" t="s">
        <v>1382</v>
      </c>
      <c r="N1554" t="s">
        <v>625</v>
      </c>
      <c r="O1554" t="s">
        <v>1567</v>
      </c>
      <c r="P1554" t="s">
        <v>1347</v>
      </c>
      <c r="Q1554" t="s">
        <v>510</v>
      </c>
      <c r="R1554" t="s">
        <v>1384</v>
      </c>
      <c r="S1554" t="s">
        <v>1404</v>
      </c>
      <c r="T1554" t="s">
        <v>1568</v>
      </c>
      <c r="U1554">
        <v>186700</v>
      </c>
      <c r="V1554" t="s">
        <v>8747</v>
      </c>
      <c r="W1554" t="s">
        <v>1570</v>
      </c>
      <c r="X1554" t="s">
        <v>9605</v>
      </c>
      <c r="Y1554" t="s">
        <v>9604</v>
      </c>
      <c r="AA1554" t="s">
        <v>1526</v>
      </c>
      <c r="AB1554" t="s">
        <v>9602</v>
      </c>
      <c r="AE1554">
        <v>-38.219089910000001</v>
      </c>
      <c r="AF1554">
        <v>175.86837627</v>
      </c>
      <c r="AG1554" s="175">
        <v>35</v>
      </c>
      <c r="AH1554" s="175">
        <v>10</v>
      </c>
      <c r="AI1554" s="175">
        <v>1</v>
      </c>
      <c r="AJ1554" s="175">
        <v>10</v>
      </c>
      <c r="AK1554" s="175">
        <v>10</v>
      </c>
      <c r="AL1554" s="175">
        <v>8</v>
      </c>
      <c r="AM1554" s="175">
        <v>12</v>
      </c>
      <c r="AN1554" s="175">
        <v>0</v>
      </c>
      <c r="AO1554" s="175">
        <v>41</v>
      </c>
      <c r="AP1554" s="175">
        <v>38</v>
      </c>
      <c r="AQ1554" s="175">
        <v>13</v>
      </c>
      <c r="AR1554" s="175">
        <v>3</v>
      </c>
      <c r="AS1554" s="175">
        <v>1</v>
      </c>
      <c r="AT1554" s="175">
        <v>1</v>
      </c>
    </row>
    <row r="1555" spans="1:46">
      <c r="A1555">
        <v>34121</v>
      </c>
      <c r="B1555" t="s">
        <v>9606</v>
      </c>
      <c r="C1555" t="s">
        <v>9607</v>
      </c>
      <c r="E1555" t="s">
        <v>9608</v>
      </c>
      <c r="F1555" t="s">
        <v>1380</v>
      </c>
      <c r="G1555" t="s">
        <v>1381</v>
      </c>
      <c r="H1555" t="s">
        <v>449</v>
      </c>
      <c r="J1555" t="s">
        <v>4032</v>
      </c>
      <c r="K1555" t="s">
        <v>606</v>
      </c>
      <c r="M1555" t="s">
        <v>1382</v>
      </c>
      <c r="N1555" t="s">
        <v>657</v>
      </c>
      <c r="O1555" t="s">
        <v>1383</v>
      </c>
      <c r="P1555" t="s">
        <v>739</v>
      </c>
      <c r="Q1555" t="s">
        <v>510</v>
      </c>
      <c r="R1555" t="s">
        <v>1384</v>
      </c>
      <c r="S1555" t="s">
        <v>1396</v>
      </c>
      <c r="T1555" t="s">
        <v>1320</v>
      </c>
      <c r="U1555">
        <v>176600</v>
      </c>
      <c r="V1555" t="s">
        <v>1410</v>
      </c>
      <c r="W1555" t="s">
        <v>1398</v>
      </c>
      <c r="X1555" t="s">
        <v>8572</v>
      </c>
      <c r="Y1555" t="s">
        <v>8573</v>
      </c>
      <c r="Z1555" t="s">
        <v>8574</v>
      </c>
      <c r="AA1555" t="s">
        <v>8575</v>
      </c>
      <c r="AB1555" t="s">
        <v>8576</v>
      </c>
      <c r="AC1555">
        <v>99132</v>
      </c>
      <c r="AD1555" t="s">
        <v>8577</v>
      </c>
      <c r="AE1555">
        <v>-37.750074929999997</v>
      </c>
      <c r="AF1555">
        <v>175.26948496</v>
      </c>
      <c r="AG1555" s="175">
        <v>25</v>
      </c>
      <c r="AH1555" s="175">
        <v>0</v>
      </c>
      <c r="AI1555" s="175">
        <v>0</v>
      </c>
      <c r="AJ1555" s="175">
        <v>0</v>
      </c>
      <c r="AK1555" s="175">
        <v>0</v>
      </c>
      <c r="AL1555" s="175">
        <v>9</v>
      </c>
      <c r="AM1555" s="175">
        <v>42</v>
      </c>
      <c r="AN1555" s="175">
        <v>0</v>
      </c>
      <c r="AO1555" s="175">
        <v>51</v>
      </c>
      <c r="AP1555" s="175">
        <v>41</v>
      </c>
      <c r="AQ1555" s="175">
        <v>7</v>
      </c>
      <c r="AR1555" s="175">
        <v>4</v>
      </c>
      <c r="AS1555" s="175">
        <v>9</v>
      </c>
      <c r="AT1555" s="175">
        <v>1</v>
      </c>
    </row>
    <row r="1556" spans="1:46">
      <c r="A1556">
        <v>34122</v>
      </c>
      <c r="B1556" t="s">
        <v>9609</v>
      </c>
      <c r="C1556" t="s">
        <v>9610</v>
      </c>
      <c r="D1556" t="s">
        <v>9611</v>
      </c>
      <c r="E1556" t="s">
        <v>9612</v>
      </c>
      <c r="G1556" t="s">
        <v>9613</v>
      </c>
      <c r="H1556" t="s">
        <v>449</v>
      </c>
      <c r="J1556" t="s">
        <v>4032</v>
      </c>
      <c r="K1556" t="s">
        <v>606</v>
      </c>
      <c r="M1556" t="s">
        <v>1382</v>
      </c>
      <c r="N1556" t="s">
        <v>657</v>
      </c>
      <c r="O1556" t="s">
        <v>1435</v>
      </c>
      <c r="P1556" t="s">
        <v>658</v>
      </c>
      <c r="Q1556" t="s">
        <v>510</v>
      </c>
      <c r="R1556" t="s">
        <v>1384</v>
      </c>
      <c r="S1556" t="s">
        <v>1501</v>
      </c>
      <c r="T1556" t="s">
        <v>1320</v>
      </c>
      <c r="U1556">
        <v>172900</v>
      </c>
      <c r="V1556" t="s">
        <v>9613</v>
      </c>
      <c r="W1556" t="s">
        <v>1437</v>
      </c>
      <c r="X1556" t="s">
        <v>9614</v>
      </c>
      <c r="Y1556" t="s">
        <v>9615</v>
      </c>
      <c r="Z1556" t="s">
        <v>1381</v>
      </c>
      <c r="AA1556" t="s">
        <v>9616</v>
      </c>
      <c r="AB1556" t="s">
        <v>9617</v>
      </c>
      <c r="AC1556">
        <v>99035</v>
      </c>
      <c r="AD1556" t="s">
        <v>1392</v>
      </c>
      <c r="AE1556">
        <v>-37.777136290000001</v>
      </c>
      <c r="AF1556">
        <v>175.21389416</v>
      </c>
      <c r="AG1556" s="175">
        <v>30</v>
      </c>
      <c r="AH1556" s="175">
        <v>10</v>
      </c>
      <c r="AI1556" s="175">
        <v>1</v>
      </c>
      <c r="AJ1556" s="175">
        <v>7</v>
      </c>
      <c r="AK1556" s="175">
        <v>8</v>
      </c>
      <c r="AL1556" s="175">
        <v>11</v>
      </c>
      <c r="AM1556" s="175">
        <v>9</v>
      </c>
      <c r="AN1556" s="175">
        <v>0</v>
      </c>
      <c r="AO1556" s="175">
        <v>36</v>
      </c>
      <c r="AP1556" s="175">
        <v>33</v>
      </c>
      <c r="AQ1556" s="175">
        <v>7</v>
      </c>
      <c r="AR1556" s="175">
        <v>0</v>
      </c>
      <c r="AS1556" s="175">
        <v>3</v>
      </c>
      <c r="AT1556" s="175">
        <v>1</v>
      </c>
    </row>
    <row r="1557" spans="1:46">
      <c r="A1557">
        <v>34123</v>
      </c>
      <c r="B1557" t="s">
        <v>9618</v>
      </c>
      <c r="C1557" t="s">
        <v>9619</v>
      </c>
      <c r="D1557" t="s">
        <v>9620</v>
      </c>
      <c r="E1557" t="s">
        <v>9621</v>
      </c>
      <c r="G1557" t="s">
        <v>1402</v>
      </c>
      <c r="H1557" t="s">
        <v>449</v>
      </c>
      <c r="J1557" t="s">
        <v>4032</v>
      </c>
      <c r="K1557" t="s">
        <v>606</v>
      </c>
      <c r="M1557" t="s">
        <v>1382</v>
      </c>
      <c r="N1557" t="s">
        <v>4586</v>
      </c>
      <c r="O1557" t="s">
        <v>1403</v>
      </c>
      <c r="P1557" t="s">
        <v>1347</v>
      </c>
      <c r="Q1557" t="s">
        <v>510</v>
      </c>
      <c r="R1557" t="s">
        <v>1384</v>
      </c>
      <c r="S1557" t="s">
        <v>1404</v>
      </c>
      <c r="T1557" t="s">
        <v>1320</v>
      </c>
      <c r="U1557">
        <v>183000</v>
      </c>
      <c r="V1557" t="s">
        <v>9622</v>
      </c>
      <c r="W1557" t="s">
        <v>1406</v>
      </c>
      <c r="X1557" t="s">
        <v>9623</v>
      </c>
      <c r="Y1557" t="s">
        <v>9624</v>
      </c>
      <c r="AA1557" t="s">
        <v>9625</v>
      </c>
      <c r="AB1557" t="s">
        <v>9619</v>
      </c>
      <c r="AC1557">
        <v>99034</v>
      </c>
      <c r="AD1557" t="s">
        <v>8567</v>
      </c>
      <c r="AE1557">
        <v>-37.884160870000002</v>
      </c>
      <c r="AF1557">
        <v>175.48805300000001</v>
      </c>
      <c r="AG1557" s="175">
        <v>100</v>
      </c>
      <c r="AH1557" s="175">
        <v>24</v>
      </c>
      <c r="AI1557" s="175">
        <v>3</v>
      </c>
      <c r="AJ1557" s="175">
        <v>15</v>
      </c>
      <c r="AK1557" s="175">
        <v>30</v>
      </c>
      <c r="AL1557" s="175">
        <v>20</v>
      </c>
      <c r="AM1557" s="175">
        <v>28</v>
      </c>
      <c r="AN1557" s="175">
        <v>1</v>
      </c>
      <c r="AO1557" s="175">
        <v>97</v>
      </c>
      <c r="AP1557" s="175">
        <v>91</v>
      </c>
      <c r="AQ1557" s="175">
        <v>13</v>
      </c>
      <c r="AR1557" s="175">
        <v>1</v>
      </c>
      <c r="AS1557" s="175">
        <v>8</v>
      </c>
      <c r="AT1557" s="175">
        <v>0</v>
      </c>
    </row>
    <row r="1558" spans="1:46">
      <c r="A1558">
        <v>34126</v>
      </c>
      <c r="B1558" t="s">
        <v>9626</v>
      </c>
      <c r="C1558" t="s">
        <v>9627</v>
      </c>
      <c r="E1558" t="s">
        <v>9628</v>
      </c>
      <c r="F1558" t="s">
        <v>1380</v>
      </c>
      <c r="G1558" t="s">
        <v>1381</v>
      </c>
      <c r="H1558" t="s">
        <v>449</v>
      </c>
      <c r="I1558" t="s">
        <v>4134</v>
      </c>
      <c r="J1558" t="s">
        <v>4032</v>
      </c>
      <c r="K1558" t="s">
        <v>606</v>
      </c>
      <c r="M1558" t="s">
        <v>1382</v>
      </c>
      <c r="N1558" t="s">
        <v>657</v>
      </c>
      <c r="O1558" t="s">
        <v>1383</v>
      </c>
      <c r="P1558" t="s">
        <v>739</v>
      </c>
      <c r="Q1558" t="s">
        <v>510</v>
      </c>
      <c r="R1558" t="s">
        <v>1384</v>
      </c>
      <c r="S1558" t="s">
        <v>1396</v>
      </c>
      <c r="T1558" t="s">
        <v>1320</v>
      </c>
      <c r="U1558">
        <v>179901</v>
      </c>
      <c r="V1558" t="s">
        <v>9629</v>
      </c>
      <c r="W1558" t="s">
        <v>1398</v>
      </c>
      <c r="X1558" t="s">
        <v>9630</v>
      </c>
      <c r="Y1558" t="s">
        <v>9628</v>
      </c>
      <c r="Z1558" t="s">
        <v>1396</v>
      </c>
      <c r="AA1558" t="s">
        <v>9631</v>
      </c>
      <c r="AB1558" t="s">
        <v>9632</v>
      </c>
      <c r="AE1558">
        <v>-37.7856381</v>
      </c>
      <c r="AF1558">
        <v>175.30871793</v>
      </c>
      <c r="AG1558" s="175">
        <v>30</v>
      </c>
      <c r="AH1558" s="175">
        <v>0</v>
      </c>
      <c r="AI1558" s="175">
        <v>0</v>
      </c>
      <c r="AJ1558" s="175">
        <v>0</v>
      </c>
      <c r="AK1558" s="175">
        <v>8</v>
      </c>
      <c r="AL1558" s="175">
        <v>18</v>
      </c>
      <c r="AM1558" s="175">
        <v>12</v>
      </c>
      <c r="AN1558" s="175">
        <v>1</v>
      </c>
      <c r="AO1558" s="175">
        <v>39</v>
      </c>
      <c r="AP1558" s="175">
        <v>4</v>
      </c>
      <c r="AQ1558" s="175">
        <v>3</v>
      </c>
      <c r="AR1558" s="175">
        <v>0</v>
      </c>
      <c r="AS1558" s="175">
        <v>31</v>
      </c>
      <c r="AT1558" s="175">
        <v>5</v>
      </c>
    </row>
    <row r="1559" spans="1:46">
      <c r="A1559">
        <v>34128</v>
      </c>
      <c r="B1559" t="s">
        <v>9633</v>
      </c>
      <c r="C1559" t="s">
        <v>9634</v>
      </c>
      <c r="D1559" t="s">
        <v>9635</v>
      </c>
      <c r="E1559" t="s">
        <v>9636</v>
      </c>
      <c r="F1559" t="s">
        <v>1380</v>
      </c>
      <c r="G1559" t="s">
        <v>1381</v>
      </c>
      <c r="H1559" t="s">
        <v>449</v>
      </c>
      <c r="J1559" t="s">
        <v>4032</v>
      </c>
      <c r="K1559" t="s">
        <v>606</v>
      </c>
      <c r="M1559" t="s">
        <v>1382</v>
      </c>
      <c r="N1559" t="s">
        <v>643</v>
      </c>
      <c r="O1559" t="s">
        <v>1383</v>
      </c>
      <c r="P1559" t="s">
        <v>739</v>
      </c>
      <c r="Q1559" t="s">
        <v>510</v>
      </c>
      <c r="R1559" t="s">
        <v>1384</v>
      </c>
      <c r="S1559" t="s">
        <v>1385</v>
      </c>
      <c r="T1559" t="s">
        <v>1320</v>
      </c>
      <c r="U1559">
        <v>178901</v>
      </c>
      <c r="V1559" t="s">
        <v>8416</v>
      </c>
      <c r="W1559" t="s">
        <v>1387</v>
      </c>
      <c r="X1559" t="s">
        <v>9637</v>
      </c>
      <c r="Y1559" t="s">
        <v>9638</v>
      </c>
      <c r="Z1559" t="s">
        <v>1442</v>
      </c>
      <c r="AA1559" t="s">
        <v>9639</v>
      </c>
      <c r="AB1559" t="s">
        <v>9640</v>
      </c>
      <c r="AE1559">
        <v>-37.803549269999998</v>
      </c>
      <c r="AF1559">
        <v>175.25769149999999</v>
      </c>
      <c r="AG1559" s="175">
        <v>50</v>
      </c>
      <c r="AH1559" s="175">
        <v>10</v>
      </c>
      <c r="AI1559" s="175">
        <v>1</v>
      </c>
      <c r="AJ1559" s="175">
        <v>7</v>
      </c>
      <c r="AK1559" s="175">
        <v>10</v>
      </c>
      <c r="AL1559" s="175">
        <v>14</v>
      </c>
      <c r="AM1559" s="175">
        <v>14</v>
      </c>
      <c r="AN1559" s="175">
        <v>1</v>
      </c>
      <c r="AO1559" s="175">
        <v>47</v>
      </c>
      <c r="AP1559" s="175">
        <v>9</v>
      </c>
      <c r="AQ1559" s="175">
        <v>33</v>
      </c>
      <c r="AR1559" s="175">
        <v>8</v>
      </c>
      <c r="AS1559" s="175">
        <v>6</v>
      </c>
      <c r="AT1559" s="175">
        <v>0</v>
      </c>
    </row>
    <row r="1560" spans="1:46">
      <c r="A1560">
        <v>34131</v>
      </c>
      <c r="B1560" t="s">
        <v>9641</v>
      </c>
      <c r="C1560" t="s">
        <v>9642</v>
      </c>
      <c r="D1560" t="s">
        <v>9643</v>
      </c>
      <c r="E1560" t="s">
        <v>9644</v>
      </c>
      <c r="F1560" t="s">
        <v>1380</v>
      </c>
      <c r="G1560" t="s">
        <v>1381</v>
      </c>
      <c r="H1560" t="s">
        <v>449</v>
      </c>
      <c r="J1560" t="s">
        <v>4032</v>
      </c>
      <c r="K1560" t="s">
        <v>606</v>
      </c>
      <c r="M1560" t="s">
        <v>1382</v>
      </c>
      <c r="N1560" t="s">
        <v>4586</v>
      </c>
      <c r="O1560" t="s">
        <v>1383</v>
      </c>
      <c r="P1560" t="s">
        <v>739</v>
      </c>
      <c r="Q1560" t="s">
        <v>510</v>
      </c>
      <c r="R1560" t="s">
        <v>1384</v>
      </c>
      <c r="S1560" t="s">
        <v>1396</v>
      </c>
      <c r="T1560" t="s">
        <v>1320</v>
      </c>
      <c r="U1560">
        <v>179300</v>
      </c>
      <c r="V1560" t="s">
        <v>1482</v>
      </c>
      <c r="W1560" t="s">
        <v>1398</v>
      </c>
      <c r="X1560" t="s">
        <v>9645</v>
      </c>
      <c r="Y1560" t="s">
        <v>9644</v>
      </c>
      <c r="Z1560" t="s">
        <v>1381</v>
      </c>
      <c r="AA1560" t="s">
        <v>9646</v>
      </c>
      <c r="AB1560" t="s">
        <v>9642</v>
      </c>
      <c r="AE1560">
        <v>-37.782229780000002</v>
      </c>
      <c r="AF1560">
        <v>175.29413592</v>
      </c>
      <c r="AG1560" s="175">
        <v>45</v>
      </c>
      <c r="AH1560" s="175">
        <v>15</v>
      </c>
      <c r="AI1560" s="175">
        <v>0</v>
      </c>
      <c r="AJ1560" s="175">
        <v>13</v>
      </c>
      <c r="AK1560" s="175">
        <v>8</v>
      </c>
      <c r="AL1560" s="175">
        <v>12</v>
      </c>
      <c r="AM1560" s="175">
        <v>17</v>
      </c>
      <c r="AN1560" s="175">
        <v>1</v>
      </c>
      <c r="AO1560" s="175">
        <v>51</v>
      </c>
      <c r="AP1560" s="175">
        <v>49</v>
      </c>
      <c r="AQ1560" s="175">
        <v>7</v>
      </c>
      <c r="AR1560" s="175">
        <v>3</v>
      </c>
      <c r="AS1560" s="175">
        <v>1</v>
      </c>
      <c r="AT1560" s="175">
        <v>1</v>
      </c>
    </row>
    <row r="1561" spans="1:46">
      <c r="A1561">
        <v>35001</v>
      </c>
      <c r="B1561" t="s">
        <v>9647</v>
      </c>
      <c r="C1561" t="s">
        <v>9648</v>
      </c>
      <c r="E1561" t="s">
        <v>9649</v>
      </c>
      <c r="G1561" t="s">
        <v>1566</v>
      </c>
      <c r="H1561" t="s">
        <v>347</v>
      </c>
      <c r="J1561" t="s">
        <v>605</v>
      </c>
      <c r="K1561" t="s">
        <v>606</v>
      </c>
      <c r="L1561" t="s">
        <v>4273</v>
      </c>
      <c r="M1561" t="s">
        <v>1382</v>
      </c>
      <c r="N1561" t="s">
        <v>608</v>
      </c>
      <c r="O1561" t="s">
        <v>1567</v>
      </c>
      <c r="P1561" t="s">
        <v>1347</v>
      </c>
      <c r="Q1561" t="s">
        <v>510</v>
      </c>
      <c r="R1561" t="s">
        <v>1555</v>
      </c>
      <c r="S1561" t="s">
        <v>1404</v>
      </c>
      <c r="T1561" t="s">
        <v>1568</v>
      </c>
      <c r="U1561">
        <v>186800</v>
      </c>
      <c r="V1561" t="s">
        <v>1569</v>
      </c>
      <c r="W1561" t="s">
        <v>1570</v>
      </c>
      <c r="X1561" t="s">
        <v>8511</v>
      </c>
      <c r="Y1561" t="s">
        <v>4276</v>
      </c>
      <c r="Z1561" t="s">
        <v>4277</v>
      </c>
      <c r="AA1561" t="s">
        <v>4278</v>
      </c>
      <c r="AB1561" t="s">
        <v>8512</v>
      </c>
      <c r="AE1561">
        <v>-38.239424200000002</v>
      </c>
      <c r="AF1561">
        <v>175.85953961999999</v>
      </c>
      <c r="AG1561" s="175">
        <v>25</v>
      </c>
      <c r="AH1561" s="175">
        <v>5</v>
      </c>
      <c r="AI1561" s="175">
        <v>0</v>
      </c>
      <c r="AJ1561" s="175">
        <v>4</v>
      </c>
      <c r="AK1561" s="175">
        <v>6</v>
      </c>
      <c r="AL1561" s="175">
        <v>7</v>
      </c>
      <c r="AM1561" s="175">
        <v>8</v>
      </c>
      <c r="AN1561" s="175">
        <v>0</v>
      </c>
      <c r="AO1561" s="175">
        <v>25</v>
      </c>
      <c r="AP1561" s="175">
        <v>0</v>
      </c>
      <c r="AQ1561" s="175">
        <v>21</v>
      </c>
      <c r="AR1561" s="175">
        <v>4</v>
      </c>
      <c r="AS1561" s="175">
        <v>0</v>
      </c>
      <c r="AT1561" s="175">
        <v>0</v>
      </c>
    </row>
    <row r="1562" spans="1:46">
      <c r="A1562">
        <v>35002</v>
      </c>
      <c r="B1562" t="s">
        <v>9650</v>
      </c>
      <c r="C1562" t="s">
        <v>9651</v>
      </c>
      <c r="E1562" t="s">
        <v>9652</v>
      </c>
      <c r="F1562" t="s">
        <v>1442</v>
      </c>
      <c r="G1562" t="s">
        <v>1381</v>
      </c>
      <c r="H1562" t="s">
        <v>347</v>
      </c>
      <c r="J1562" t="s">
        <v>605</v>
      </c>
      <c r="K1562" t="s">
        <v>606</v>
      </c>
      <c r="L1562" t="s">
        <v>4273</v>
      </c>
      <c r="M1562" t="s">
        <v>1382</v>
      </c>
      <c r="N1562" t="s">
        <v>625</v>
      </c>
      <c r="O1562" t="s">
        <v>1383</v>
      </c>
      <c r="P1562" t="s">
        <v>739</v>
      </c>
      <c r="Q1562" t="s">
        <v>510</v>
      </c>
      <c r="R1562" t="s">
        <v>1384</v>
      </c>
      <c r="S1562" t="s">
        <v>1385</v>
      </c>
      <c r="T1562" t="s">
        <v>1320</v>
      </c>
      <c r="U1562">
        <v>177200</v>
      </c>
      <c r="V1562" t="s">
        <v>1443</v>
      </c>
      <c r="W1562" t="s">
        <v>1387</v>
      </c>
      <c r="X1562" t="s">
        <v>7695</v>
      </c>
      <c r="Y1562" t="s">
        <v>4276</v>
      </c>
      <c r="Z1562" t="s">
        <v>4277</v>
      </c>
      <c r="AA1562" t="s">
        <v>4278</v>
      </c>
      <c r="AB1562" t="s">
        <v>7696</v>
      </c>
      <c r="AE1562">
        <v>-37.778475059999998</v>
      </c>
      <c r="AF1562">
        <v>175.24061598</v>
      </c>
      <c r="AG1562" s="175">
        <v>30</v>
      </c>
      <c r="AH1562" s="175">
        <v>6</v>
      </c>
      <c r="AI1562" s="175">
        <v>0</v>
      </c>
      <c r="AJ1562" s="175">
        <v>5</v>
      </c>
      <c r="AK1562" s="175">
        <v>5</v>
      </c>
      <c r="AL1562" s="175">
        <v>5</v>
      </c>
      <c r="AM1562" s="175">
        <v>6</v>
      </c>
      <c r="AN1562" s="175">
        <v>0</v>
      </c>
      <c r="AO1562" s="175">
        <v>21</v>
      </c>
      <c r="AP1562" s="175">
        <v>0</v>
      </c>
      <c r="AQ1562" s="175">
        <v>21</v>
      </c>
      <c r="AR1562" s="175">
        <v>0</v>
      </c>
      <c r="AS1562" s="175">
        <v>0</v>
      </c>
      <c r="AT1562" s="175">
        <v>0</v>
      </c>
    </row>
    <row r="1563" spans="1:46">
      <c r="A1563">
        <v>35003</v>
      </c>
      <c r="B1563" t="s">
        <v>9653</v>
      </c>
      <c r="C1563" t="s">
        <v>9654</v>
      </c>
      <c r="E1563" t="s">
        <v>9655</v>
      </c>
      <c r="G1563" t="s">
        <v>1638</v>
      </c>
      <c r="H1563" t="s">
        <v>347</v>
      </c>
      <c r="J1563" t="s">
        <v>605</v>
      </c>
      <c r="K1563" t="s">
        <v>606</v>
      </c>
      <c r="L1563" t="s">
        <v>4273</v>
      </c>
      <c r="M1563" t="s">
        <v>1382</v>
      </c>
      <c r="N1563" t="s">
        <v>608</v>
      </c>
      <c r="O1563" t="s">
        <v>1435</v>
      </c>
      <c r="P1563" t="s">
        <v>610</v>
      </c>
      <c r="Q1563" t="s">
        <v>510</v>
      </c>
      <c r="R1563" t="s">
        <v>1384</v>
      </c>
      <c r="S1563" t="s">
        <v>1384</v>
      </c>
      <c r="T1563" t="s">
        <v>1320</v>
      </c>
      <c r="U1563">
        <v>171400</v>
      </c>
      <c r="V1563" t="s">
        <v>9588</v>
      </c>
      <c r="W1563" t="s">
        <v>1640</v>
      </c>
      <c r="X1563" t="s">
        <v>7695</v>
      </c>
      <c r="Y1563" t="s">
        <v>4276</v>
      </c>
      <c r="Z1563" t="s">
        <v>4277</v>
      </c>
      <c r="AA1563" t="s">
        <v>4278</v>
      </c>
      <c r="AB1563" t="s">
        <v>7696</v>
      </c>
      <c r="AE1563">
        <v>-37.533751979999998</v>
      </c>
      <c r="AF1563">
        <v>175.15050117000001</v>
      </c>
      <c r="AG1563" s="175">
        <v>30</v>
      </c>
      <c r="AH1563" s="175">
        <v>8</v>
      </c>
      <c r="AI1563" s="175">
        <v>1</v>
      </c>
      <c r="AJ1563" s="175">
        <v>6</v>
      </c>
      <c r="AK1563" s="175">
        <v>8</v>
      </c>
      <c r="AL1563" s="175">
        <v>7</v>
      </c>
      <c r="AM1563" s="175">
        <v>3</v>
      </c>
      <c r="AN1563" s="175">
        <v>0</v>
      </c>
      <c r="AO1563" s="175">
        <v>25</v>
      </c>
      <c r="AP1563" s="175">
        <v>0</v>
      </c>
      <c r="AQ1563" s="175">
        <v>24</v>
      </c>
      <c r="AR1563" s="175">
        <v>1</v>
      </c>
      <c r="AS1563" s="175">
        <v>0</v>
      </c>
      <c r="AT1563" s="175">
        <v>0</v>
      </c>
    </row>
    <row r="1564" spans="1:46">
      <c r="A1564">
        <v>35005</v>
      </c>
      <c r="B1564" t="s">
        <v>9656</v>
      </c>
      <c r="C1564" t="s">
        <v>9657</v>
      </c>
      <c r="E1564" t="s">
        <v>9658</v>
      </c>
      <c r="G1564" t="s">
        <v>1717</v>
      </c>
      <c r="H1564" t="s">
        <v>347</v>
      </c>
      <c r="J1564" t="s">
        <v>605</v>
      </c>
      <c r="K1564" t="s">
        <v>606</v>
      </c>
      <c r="L1564" t="s">
        <v>4273</v>
      </c>
      <c r="M1564" t="s">
        <v>1382</v>
      </c>
      <c r="N1564" t="s">
        <v>625</v>
      </c>
      <c r="O1564" t="s">
        <v>1718</v>
      </c>
      <c r="P1564" t="s">
        <v>658</v>
      </c>
      <c r="Q1564" t="s">
        <v>553</v>
      </c>
      <c r="R1564" t="s">
        <v>1555</v>
      </c>
      <c r="S1564" t="s">
        <v>1719</v>
      </c>
      <c r="T1564" t="s">
        <v>1568</v>
      </c>
      <c r="U1564">
        <v>222400</v>
      </c>
      <c r="V1564" t="s">
        <v>9132</v>
      </c>
      <c r="W1564" t="s">
        <v>1721</v>
      </c>
      <c r="X1564" t="s">
        <v>8511</v>
      </c>
      <c r="Y1564" t="s">
        <v>4276</v>
      </c>
      <c r="Z1564" t="s">
        <v>4277</v>
      </c>
      <c r="AA1564" t="s">
        <v>4278</v>
      </c>
      <c r="AB1564" t="s">
        <v>8512</v>
      </c>
      <c r="AE1564">
        <v>-38.897317489999999</v>
      </c>
      <c r="AF1564">
        <v>175.25758930000001</v>
      </c>
      <c r="AG1564" s="175">
        <v>29</v>
      </c>
      <c r="AH1564" s="175">
        <v>10</v>
      </c>
      <c r="AI1564" s="175">
        <v>1</v>
      </c>
      <c r="AJ1564" s="175">
        <v>6</v>
      </c>
      <c r="AK1564" s="175">
        <v>5</v>
      </c>
      <c r="AL1564" s="175">
        <v>3</v>
      </c>
      <c r="AM1564" s="175">
        <v>5</v>
      </c>
      <c r="AN1564" s="175">
        <v>0</v>
      </c>
      <c r="AO1564" s="175">
        <v>20</v>
      </c>
      <c r="AP1564" s="175">
        <v>0</v>
      </c>
      <c r="AQ1564" s="175">
        <v>19</v>
      </c>
      <c r="AR1564" s="175">
        <v>0</v>
      </c>
      <c r="AS1564" s="175">
        <v>0</v>
      </c>
      <c r="AT1564" s="175">
        <v>1</v>
      </c>
    </row>
    <row r="1565" spans="1:46">
      <c r="A1565">
        <v>35006</v>
      </c>
      <c r="B1565" t="s">
        <v>9659</v>
      </c>
      <c r="C1565" t="s">
        <v>9660</v>
      </c>
      <c r="E1565" t="s">
        <v>9661</v>
      </c>
      <c r="G1565" t="s">
        <v>1402</v>
      </c>
      <c r="H1565" t="s">
        <v>347</v>
      </c>
      <c r="J1565" t="s">
        <v>605</v>
      </c>
      <c r="K1565" t="s">
        <v>606</v>
      </c>
      <c r="L1565" t="s">
        <v>4273</v>
      </c>
      <c r="M1565" t="s">
        <v>1382</v>
      </c>
      <c r="N1565" t="s">
        <v>657</v>
      </c>
      <c r="O1565" t="s">
        <v>1403</v>
      </c>
      <c r="P1565" t="s">
        <v>1347</v>
      </c>
      <c r="Q1565" t="s">
        <v>510</v>
      </c>
      <c r="R1565" t="s">
        <v>1384</v>
      </c>
      <c r="S1565" t="s">
        <v>1404</v>
      </c>
      <c r="T1565" t="s">
        <v>1320</v>
      </c>
      <c r="U1565">
        <v>183500</v>
      </c>
      <c r="V1565" t="s">
        <v>1473</v>
      </c>
      <c r="W1565" t="s">
        <v>1406</v>
      </c>
      <c r="X1565" t="s">
        <v>7695</v>
      </c>
      <c r="Y1565" t="s">
        <v>4276</v>
      </c>
      <c r="Z1565" t="s">
        <v>4277</v>
      </c>
      <c r="AA1565" t="s">
        <v>4278</v>
      </c>
      <c r="AB1565" t="s">
        <v>7696</v>
      </c>
      <c r="AE1565">
        <v>-37.900804999999998</v>
      </c>
      <c r="AF1565">
        <v>175.46578299999999</v>
      </c>
      <c r="AG1565" s="175">
        <v>24</v>
      </c>
      <c r="AH1565" s="175">
        <v>8</v>
      </c>
      <c r="AI1565" s="175">
        <v>0</v>
      </c>
      <c r="AJ1565" s="175">
        <v>2</v>
      </c>
      <c r="AK1565" s="175">
        <v>0</v>
      </c>
      <c r="AL1565" s="175">
        <v>2</v>
      </c>
      <c r="AM1565" s="175">
        <v>1</v>
      </c>
      <c r="AN1565" s="175">
        <v>0</v>
      </c>
      <c r="AO1565" s="175">
        <v>5</v>
      </c>
      <c r="AP1565" s="175">
        <v>0</v>
      </c>
      <c r="AQ1565" s="175">
        <v>5</v>
      </c>
      <c r="AR1565" s="175">
        <v>0</v>
      </c>
      <c r="AS1565" s="175">
        <v>0</v>
      </c>
      <c r="AT1565" s="175">
        <v>0</v>
      </c>
    </row>
    <row r="1566" spans="1:46">
      <c r="A1566">
        <v>35007</v>
      </c>
      <c r="B1566" t="s">
        <v>9662</v>
      </c>
      <c r="C1566" t="s">
        <v>9663</v>
      </c>
      <c r="E1566" t="s">
        <v>9664</v>
      </c>
      <c r="G1566" t="s">
        <v>9665</v>
      </c>
      <c r="H1566" t="s">
        <v>347</v>
      </c>
      <c r="J1566" t="s">
        <v>605</v>
      </c>
      <c r="K1566" t="s">
        <v>606</v>
      </c>
      <c r="L1566" t="s">
        <v>4273</v>
      </c>
      <c r="M1566" t="s">
        <v>1382</v>
      </c>
      <c r="N1566" t="s">
        <v>643</v>
      </c>
      <c r="O1566" t="s">
        <v>1521</v>
      </c>
      <c r="P1566" t="s">
        <v>626</v>
      </c>
      <c r="Q1566" t="s">
        <v>510</v>
      </c>
      <c r="R1566" t="s">
        <v>1384</v>
      </c>
      <c r="S1566" t="s">
        <v>1522</v>
      </c>
      <c r="T1566" t="s">
        <v>1320</v>
      </c>
      <c r="U1566">
        <v>169000</v>
      </c>
      <c r="V1566" t="s">
        <v>9666</v>
      </c>
      <c r="W1566" t="s">
        <v>3927</v>
      </c>
      <c r="X1566" t="s">
        <v>7695</v>
      </c>
      <c r="Y1566" t="s">
        <v>4276</v>
      </c>
      <c r="Z1566" t="s">
        <v>4277</v>
      </c>
      <c r="AA1566" t="s">
        <v>4278</v>
      </c>
      <c r="AB1566" t="s">
        <v>7696</v>
      </c>
      <c r="AE1566">
        <v>-37.295148599999997</v>
      </c>
      <c r="AF1566">
        <v>175.54031989999999</v>
      </c>
      <c r="AG1566" s="175">
        <v>19</v>
      </c>
      <c r="AH1566" s="175">
        <v>6</v>
      </c>
      <c r="AI1566" s="175">
        <v>0</v>
      </c>
      <c r="AJ1566" s="175">
        <v>4</v>
      </c>
      <c r="AK1566" s="175">
        <v>3</v>
      </c>
      <c r="AL1566" s="175">
        <v>2</v>
      </c>
      <c r="AM1566" s="175">
        <v>1</v>
      </c>
      <c r="AN1566" s="175">
        <v>0</v>
      </c>
      <c r="AO1566" s="175">
        <v>10</v>
      </c>
      <c r="AP1566" s="175">
        <v>0</v>
      </c>
      <c r="AQ1566" s="175">
        <v>8</v>
      </c>
      <c r="AR1566" s="175">
        <v>0</v>
      </c>
      <c r="AS1566" s="175">
        <v>0</v>
      </c>
      <c r="AT1566" s="175">
        <v>2</v>
      </c>
    </row>
    <row r="1567" spans="1:46">
      <c r="A1567">
        <v>35008</v>
      </c>
      <c r="B1567" t="s">
        <v>9667</v>
      </c>
      <c r="C1567" t="s">
        <v>9668</v>
      </c>
      <c r="E1567" t="s">
        <v>9669</v>
      </c>
      <c r="G1567" t="s">
        <v>9670</v>
      </c>
      <c r="H1567" t="s">
        <v>347</v>
      </c>
      <c r="J1567" t="s">
        <v>605</v>
      </c>
      <c r="K1567" t="s">
        <v>606</v>
      </c>
      <c r="L1567" t="s">
        <v>4273</v>
      </c>
      <c r="M1567" t="s">
        <v>1382</v>
      </c>
      <c r="N1567" t="s">
        <v>812</v>
      </c>
      <c r="O1567" t="s">
        <v>1534</v>
      </c>
      <c r="P1567" t="s">
        <v>658</v>
      </c>
      <c r="Q1567" t="s">
        <v>510</v>
      </c>
      <c r="R1567" t="s">
        <v>1384</v>
      </c>
      <c r="S1567" t="s">
        <v>1384</v>
      </c>
      <c r="T1567" t="s">
        <v>1320</v>
      </c>
      <c r="U1567">
        <v>174500</v>
      </c>
      <c r="V1567" t="s">
        <v>9671</v>
      </c>
      <c r="W1567" t="s">
        <v>1664</v>
      </c>
      <c r="X1567" t="s">
        <v>7695</v>
      </c>
      <c r="Y1567" t="s">
        <v>4276</v>
      </c>
      <c r="Z1567" t="s">
        <v>4277</v>
      </c>
      <c r="AA1567" t="s">
        <v>4278</v>
      </c>
      <c r="AB1567" t="s">
        <v>7696</v>
      </c>
      <c r="AE1567">
        <v>-37.757058819999997</v>
      </c>
      <c r="AF1567">
        <v>175.75179510000001</v>
      </c>
      <c r="AG1567" s="175">
        <v>35</v>
      </c>
      <c r="AH1567" s="175">
        <v>10</v>
      </c>
      <c r="AI1567" s="175">
        <v>0</v>
      </c>
      <c r="AJ1567" s="175">
        <v>7</v>
      </c>
      <c r="AK1567" s="175">
        <v>5</v>
      </c>
      <c r="AL1567" s="175">
        <v>11</v>
      </c>
      <c r="AM1567" s="175">
        <v>6</v>
      </c>
      <c r="AN1567" s="175">
        <v>0</v>
      </c>
      <c r="AO1567" s="175">
        <v>29</v>
      </c>
      <c r="AP1567" s="175">
        <v>0</v>
      </c>
      <c r="AQ1567" s="175">
        <v>28</v>
      </c>
      <c r="AR1567" s="175">
        <v>1</v>
      </c>
      <c r="AS1567" s="175">
        <v>0</v>
      </c>
      <c r="AT1567" s="175">
        <v>0</v>
      </c>
    </row>
    <row r="1568" spans="1:46">
      <c r="A1568">
        <v>35010</v>
      </c>
      <c r="B1568" t="s">
        <v>9672</v>
      </c>
      <c r="C1568" t="s">
        <v>9673</v>
      </c>
      <c r="D1568" t="s">
        <v>9674</v>
      </c>
      <c r="E1568" t="s">
        <v>9675</v>
      </c>
      <c r="G1568" t="s">
        <v>1544</v>
      </c>
      <c r="H1568" t="s">
        <v>347</v>
      </c>
      <c r="J1568" t="s">
        <v>605</v>
      </c>
      <c r="K1568" t="s">
        <v>606</v>
      </c>
      <c r="L1568" t="s">
        <v>4273</v>
      </c>
      <c r="M1568" t="s">
        <v>1382</v>
      </c>
      <c r="N1568" t="s">
        <v>657</v>
      </c>
      <c r="O1568" t="s">
        <v>1545</v>
      </c>
      <c r="P1568" t="s">
        <v>658</v>
      </c>
      <c r="Q1568" t="s">
        <v>510</v>
      </c>
      <c r="R1568" t="s">
        <v>1384</v>
      </c>
      <c r="S1568" t="s">
        <v>1522</v>
      </c>
      <c r="T1568" t="s">
        <v>1320</v>
      </c>
      <c r="U1568">
        <v>167501</v>
      </c>
      <c r="V1568" t="s">
        <v>9676</v>
      </c>
      <c r="W1568" t="s">
        <v>1547</v>
      </c>
      <c r="X1568" t="s">
        <v>7695</v>
      </c>
      <c r="Y1568" t="s">
        <v>4276</v>
      </c>
      <c r="Z1568" t="s">
        <v>4277</v>
      </c>
      <c r="AA1568" t="s">
        <v>4278</v>
      </c>
      <c r="AB1568" t="s">
        <v>7696</v>
      </c>
      <c r="AE1568">
        <v>-37.187797199999999</v>
      </c>
      <c r="AF1568">
        <v>175.57420880000001</v>
      </c>
      <c r="AG1568" s="175">
        <v>20</v>
      </c>
      <c r="AH1568" s="175">
        <v>2</v>
      </c>
      <c r="AI1568" s="175">
        <v>0</v>
      </c>
      <c r="AJ1568" s="175">
        <v>0</v>
      </c>
      <c r="AK1568" s="175">
        <v>2</v>
      </c>
      <c r="AL1568" s="175">
        <v>1</v>
      </c>
      <c r="AM1568" s="175">
        <v>1</v>
      </c>
      <c r="AN1568" s="175">
        <v>0</v>
      </c>
      <c r="AO1568" s="175">
        <v>4</v>
      </c>
      <c r="AP1568" s="175">
        <v>0</v>
      </c>
      <c r="AQ1568" s="175">
        <v>3</v>
      </c>
      <c r="AR1568" s="175">
        <v>0</v>
      </c>
      <c r="AS1568" s="175">
        <v>0</v>
      </c>
      <c r="AT1568" s="175">
        <v>1</v>
      </c>
    </row>
    <row r="1569" spans="1:46">
      <c r="A1569">
        <v>35012</v>
      </c>
      <c r="B1569" t="s">
        <v>9677</v>
      </c>
      <c r="C1569" t="s">
        <v>9678</v>
      </c>
      <c r="D1569" t="s">
        <v>9679</v>
      </c>
      <c r="E1569" t="s">
        <v>9680</v>
      </c>
      <c r="G1569" t="s">
        <v>1702</v>
      </c>
      <c r="H1569" t="s">
        <v>347</v>
      </c>
      <c r="J1569" t="s">
        <v>605</v>
      </c>
      <c r="K1569" t="s">
        <v>606</v>
      </c>
      <c r="L1569" t="s">
        <v>4273</v>
      </c>
      <c r="M1569" t="s">
        <v>1382</v>
      </c>
      <c r="N1569" t="s">
        <v>625</v>
      </c>
      <c r="O1569" t="s">
        <v>1703</v>
      </c>
      <c r="P1569" t="s">
        <v>658</v>
      </c>
      <c r="Q1569" t="s">
        <v>510</v>
      </c>
      <c r="R1569" t="s">
        <v>1384</v>
      </c>
      <c r="S1569" t="s">
        <v>1501</v>
      </c>
      <c r="T1569" t="s">
        <v>1568</v>
      </c>
      <c r="U1569">
        <v>185600</v>
      </c>
      <c r="V1569" t="s">
        <v>9209</v>
      </c>
      <c r="W1569" t="s">
        <v>9210</v>
      </c>
      <c r="X1569" t="s">
        <v>7695</v>
      </c>
      <c r="Y1569" t="s">
        <v>4276</v>
      </c>
      <c r="Z1569" t="s">
        <v>4277</v>
      </c>
      <c r="AA1569" t="s">
        <v>4278</v>
      </c>
      <c r="AB1569" t="s">
        <v>7696</v>
      </c>
      <c r="AE1569">
        <v>-38.193734829999997</v>
      </c>
      <c r="AF1569">
        <v>175.20964749999999</v>
      </c>
      <c r="AG1569" s="175">
        <v>29</v>
      </c>
      <c r="AH1569" s="175">
        <v>8</v>
      </c>
      <c r="AI1569" s="175">
        <v>0</v>
      </c>
      <c r="AJ1569" s="175">
        <v>2</v>
      </c>
      <c r="AK1569" s="175">
        <v>6</v>
      </c>
      <c r="AL1569" s="175">
        <v>8</v>
      </c>
      <c r="AM1569" s="175">
        <v>11</v>
      </c>
      <c r="AN1569" s="175">
        <v>0</v>
      </c>
      <c r="AO1569" s="175">
        <v>27</v>
      </c>
      <c r="AP1569" s="175">
        <v>0</v>
      </c>
      <c r="AQ1569" s="175">
        <v>27</v>
      </c>
      <c r="AR1569" s="175">
        <v>0</v>
      </c>
      <c r="AS1569" s="175">
        <v>0</v>
      </c>
      <c r="AT1569" s="175">
        <v>0</v>
      </c>
    </row>
    <row r="1570" spans="1:46">
      <c r="A1570">
        <v>35016</v>
      </c>
      <c r="B1570" t="s">
        <v>9681</v>
      </c>
      <c r="C1570" t="s">
        <v>9682</v>
      </c>
      <c r="E1570" t="s">
        <v>9683</v>
      </c>
      <c r="G1570" t="s">
        <v>8700</v>
      </c>
      <c r="H1570" t="s">
        <v>347</v>
      </c>
      <c r="J1570" t="s">
        <v>605</v>
      </c>
      <c r="K1570" t="s">
        <v>606</v>
      </c>
      <c r="L1570" t="s">
        <v>4273</v>
      </c>
      <c r="M1570" t="s">
        <v>1382</v>
      </c>
      <c r="N1570" t="s">
        <v>608</v>
      </c>
      <c r="O1570" t="s">
        <v>8701</v>
      </c>
      <c r="P1570" t="s">
        <v>658</v>
      </c>
      <c r="Q1570" t="s">
        <v>510</v>
      </c>
      <c r="R1570" t="s">
        <v>1384</v>
      </c>
      <c r="S1570" t="s">
        <v>1501</v>
      </c>
      <c r="T1570" t="s">
        <v>1568</v>
      </c>
      <c r="U1570">
        <v>187100</v>
      </c>
      <c r="V1570" t="s">
        <v>9684</v>
      </c>
      <c r="W1570" t="s">
        <v>9198</v>
      </c>
      <c r="X1570" t="s">
        <v>7695</v>
      </c>
      <c r="Y1570" t="s">
        <v>4276</v>
      </c>
      <c r="Z1570" t="s">
        <v>4277</v>
      </c>
      <c r="AA1570" t="s">
        <v>4278</v>
      </c>
      <c r="AB1570" t="s">
        <v>7696</v>
      </c>
      <c r="AC1570">
        <v>99106</v>
      </c>
      <c r="AD1570" t="s">
        <v>8708</v>
      </c>
      <c r="AE1570">
        <v>-38.315056130000002</v>
      </c>
      <c r="AF1570">
        <v>175.11675652</v>
      </c>
      <c r="AG1570" s="175">
        <v>40</v>
      </c>
      <c r="AH1570" s="175">
        <v>4</v>
      </c>
      <c r="AI1570" s="175">
        <v>0</v>
      </c>
      <c r="AJ1570" s="175">
        <v>1</v>
      </c>
      <c r="AK1570" s="175">
        <v>4</v>
      </c>
      <c r="AL1570" s="175">
        <v>17</v>
      </c>
      <c r="AM1570" s="175">
        <v>3</v>
      </c>
      <c r="AN1570" s="175">
        <v>0</v>
      </c>
      <c r="AO1570" s="175">
        <v>25</v>
      </c>
      <c r="AP1570" s="175">
        <v>0</v>
      </c>
      <c r="AQ1570" s="175">
        <v>23</v>
      </c>
      <c r="AR1570" s="175">
        <v>0</v>
      </c>
      <c r="AS1570" s="175">
        <v>0</v>
      </c>
      <c r="AT1570" s="175">
        <v>2</v>
      </c>
    </row>
    <row r="1571" spans="1:46">
      <c r="A1571">
        <v>35018</v>
      </c>
      <c r="B1571" t="s">
        <v>9685</v>
      </c>
      <c r="C1571" t="s">
        <v>9686</v>
      </c>
      <c r="E1571" t="s">
        <v>9687</v>
      </c>
      <c r="G1571" t="s">
        <v>8603</v>
      </c>
      <c r="H1571" t="s">
        <v>347</v>
      </c>
      <c r="J1571" t="s">
        <v>605</v>
      </c>
      <c r="K1571" t="s">
        <v>606</v>
      </c>
      <c r="L1571" t="s">
        <v>4273</v>
      </c>
      <c r="M1571" t="s">
        <v>1382</v>
      </c>
      <c r="N1571" t="s">
        <v>608</v>
      </c>
      <c r="O1571" t="s">
        <v>1435</v>
      </c>
      <c r="P1571" t="s">
        <v>658</v>
      </c>
      <c r="Q1571" t="s">
        <v>510</v>
      </c>
      <c r="R1571" t="s">
        <v>1384</v>
      </c>
      <c r="S1571" t="s">
        <v>1384</v>
      </c>
      <c r="T1571" t="s">
        <v>1320</v>
      </c>
      <c r="U1571">
        <v>172300</v>
      </c>
      <c r="V1571" t="s">
        <v>8604</v>
      </c>
      <c r="W1571" t="s">
        <v>8422</v>
      </c>
      <c r="X1571" t="s">
        <v>7695</v>
      </c>
      <c r="Y1571" t="s">
        <v>4276</v>
      </c>
      <c r="Z1571" t="s">
        <v>4277</v>
      </c>
      <c r="AA1571" t="s">
        <v>4278</v>
      </c>
      <c r="AB1571" t="s">
        <v>7696</v>
      </c>
      <c r="AE1571">
        <v>-37.685344069999999</v>
      </c>
      <c r="AF1571">
        <v>175.31563181999999</v>
      </c>
      <c r="AG1571" s="175">
        <v>35</v>
      </c>
      <c r="AH1571" s="175">
        <v>8</v>
      </c>
      <c r="AI1571" s="175">
        <v>2</v>
      </c>
      <c r="AJ1571" s="175">
        <v>4</v>
      </c>
      <c r="AK1571" s="175">
        <v>4</v>
      </c>
      <c r="AL1571" s="175">
        <v>5</v>
      </c>
      <c r="AM1571" s="175">
        <v>8</v>
      </c>
      <c r="AN1571" s="175">
        <v>0</v>
      </c>
      <c r="AO1571" s="175">
        <v>23</v>
      </c>
      <c r="AP1571" s="175">
        <v>0</v>
      </c>
      <c r="AQ1571" s="175">
        <v>23</v>
      </c>
      <c r="AR1571" s="175">
        <v>0</v>
      </c>
      <c r="AS1571" s="175">
        <v>0</v>
      </c>
      <c r="AT1571" s="175">
        <v>0</v>
      </c>
    </row>
    <row r="1572" spans="1:46">
      <c r="A1572">
        <v>35019</v>
      </c>
      <c r="B1572" t="s">
        <v>9688</v>
      </c>
      <c r="C1572" t="s">
        <v>9689</v>
      </c>
      <c r="E1572" t="s">
        <v>9690</v>
      </c>
      <c r="G1572" t="s">
        <v>1621</v>
      </c>
      <c r="H1572" t="s">
        <v>347</v>
      </c>
      <c r="J1572" t="s">
        <v>605</v>
      </c>
      <c r="K1572" t="s">
        <v>606</v>
      </c>
      <c r="L1572" t="s">
        <v>4273</v>
      </c>
      <c r="M1572" t="s">
        <v>1382</v>
      </c>
      <c r="N1572" t="s">
        <v>625</v>
      </c>
      <c r="O1572" t="s">
        <v>1403</v>
      </c>
      <c r="P1572" t="s">
        <v>1347</v>
      </c>
      <c r="Q1572" t="s">
        <v>510</v>
      </c>
      <c r="R1572" t="s">
        <v>1384</v>
      </c>
      <c r="S1572" t="s">
        <v>1501</v>
      </c>
      <c r="T1572" t="s">
        <v>1320</v>
      </c>
      <c r="U1572">
        <v>183300</v>
      </c>
      <c r="V1572" t="s">
        <v>8893</v>
      </c>
      <c r="W1572" t="s">
        <v>1623</v>
      </c>
      <c r="X1572" t="s">
        <v>7695</v>
      </c>
      <c r="Y1572" t="s">
        <v>4276</v>
      </c>
      <c r="Z1572" t="s">
        <v>4277</v>
      </c>
      <c r="AA1572" t="s">
        <v>4278</v>
      </c>
      <c r="AB1572" t="s">
        <v>7696</v>
      </c>
      <c r="AE1572">
        <v>-38.003222110000003</v>
      </c>
      <c r="AF1572">
        <v>175.31578210000001</v>
      </c>
      <c r="AG1572" s="175">
        <v>30</v>
      </c>
      <c r="AH1572" s="175">
        <v>8</v>
      </c>
      <c r="AI1572" s="175">
        <v>1</v>
      </c>
      <c r="AJ1572" s="175">
        <v>1</v>
      </c>
      <c r="AK1572" s="175">
        <v>5</v>
      </c>
      <c r="AL1572" s="175">
        <v>4</v>
      </c>
      <c r="AM1572" s="175">
        <v>4</v>
      </c>
      <c r="AN1572" s="175">
        <v>0</v>
      </c>
      <c r="AO1572" s="175">
        <v>15</v>
      </c>
      <c r="AP1572" s="175">
        <v>0</v>
      </c>
      <c r="AQ1572" s="175">
        <v>14</v>
      </c>
      <c r="AR1572" s="175">
        <v>0</v>
      </c>
      <c r="AS1572" s="175">
        <v>0</v>
      </c>
      <c r="AT1572" s="175">
        <v>1</v>
      </c>
    </row>
    <row r="1573" spans="1:46">
      <c r="A1573">
        <v>35020</v>
      </c>
      <c r="B1573" t="s">
        <v>9691</v>
      </c>
      <c r="C1573" t="s">
        <v>9692</v>
      </c>
      <c r="E1573" t="s">
        <v>9693</v>
      </c>
      <c r="G1573" t="s">
        <v>1638</v>
      </c>
      <c r="H1573" t="s">
        <v>347</v>
      </c>
      <c r="J1573" t="s">
        <v>605</v>
      </c>
      <c r="K1573" t="s">
        <v>606</v>
      </c>
      <c r="L1573" t="s">
        <v>4273</v>
      </c>
      <c r="M1573" t="s">
        <v>1382</v>
      </c>
      <c r="N1573" t="s">
        <v>812</v>
      </c>
      <c r="O1573" t="s">
        <v>1435</v>
      </c>
      <c r="P1573" t="s">
        <v>658</v>
      </c>
      <c r="Q1573" t="s">
        <v>510</v>
      </c>
      <c r="R1573" t="s">
        <v>1384</v>
      </c>
      <c r="S1573" t="s">
        <v>1384</v>
      </c>
      <c r="T1573" t="s">
        <v>1320</v>
      </c>
      <c r="U1573">
        <v>171201</v>
      </c>
      <c r="V1573" t="s">
        <v>9694</v>
      </c>
      <c r="W1573" t="s">
        <v>1640</v>
      </c>
      <c r="X1573" t="s">
        <v>7695</v>
      </c>
      <c r="Y1573" t="s">
        <v>4276</v>
      </c>
      <c r="Z1573" t="s">
        <v>4277</v>
      </c>
      <c r="AA1573" t="s">
        <v>4278</v>
      </c>
      <c r="AB1573" t="s">
        <v>7696</v>
      </c>
      <c r="AE1573">
        <v>-37.529626720000003</v>
      </c>
      <c r="AF1573">
        <v>175.15170626</v>
      </c>
      <c r="AG1573" s="175">
        <v>26</v>
      </c>
      <c r="AH1573" s="175">
        <v>10</v>
      </c>
      <c r="AI1573" s="175">
        <v>2</v>
      </c>
      <c r="AJ1573" s="175">
        <v>2</v>
      </c>
      <c r="AK1573" s="175">
        <v>5</v>
      </c>
      <c r="AL1573" s="175">
        <v>8</v>
      </c>
      <c r="AM1573" s="175">
        <v>9</v>
      </c>
      <c r="AN1573" s="175">
        <v>0</v>
      </c>
      <c r="AO1573" s="175">
        <v>26</v>
      </c>
      <c r="AP1573" s="175">
        <v>0</v>
      </c>
      <c r="AQ1573" s="175">
        <v>25</v>
      </c>
      <c r="AR1573" s="175">
        <v>1</v>
      </c>
      <c r="AS1573" s="175">
        <v>0</v>
      </c>
      <c r="AT1573" s="175">
        <v>0</v>
      </c>
    </row>
    <row r="1574" spans="1:46">
      <c r="A1574">
        <v>35021</v>
      </c>
      <c r="B1574" t="s">
        <v>9695</v>
      </c>
      <c r="C1574" t="s">
        <v>9696</v>
      </c>
      <c r="E1574" t="s">
        <v>9697</v>
      </c>
      <c r="G1574" t="s">
        <v>3754</v>
      </c>
      <c r="H1574" t="s">
        <v>347</v>
      </c>
      <c r="J1574" t="s">
        <v>605</v>
      </c>
      <c r="K1574" t="s">
        <v>606</v>
      </c>
      <c r="L1574" t="s">
        <v>4273</v>
      </c>
      <c r="M1574" t="s">
        <v>1382</v>
      </c>
      <c r="N1574" t="s">
        <v>812</v>
      </c>
      <c r="O1574" t="s">
        <v>1521</v>
      </c>
      <c r="P1574" t="s">
        <v>610</v>
      </c>
      <c r="Q1574" t="s">
        <v>510</v>
      </c>
      <c r="R1574" t="s">
        <v>1384</v>
      </c>
      <c r="S1574" t="s">
        <v>1522</v>
      </c>
      <c r="T1574" t="s">
        <v>1320</v>
      </c>
      <c r="U1574">
        <v>169600</v>
      </c>
      <c r="V1574" t="s">
        <v>8976</v>
      </c>
      <c r="W1574" t="s">
        <v>3756</v>
      </c>
      <c r="X1574" t="s">
        <v>7695</v>
      </c>
      <c r="Y1574" t="s">
        <v>4276</v>
      </c>
      <c r="Z1574" t="s">
        <v>4277</v>
      </c>
      <c r="AA1574" t="s">
        <v>4278</v>
      </c>
      <c r="AB1574" t="s">
        <v>7696</v>
      </c>
      <c r="AE1574">
        <v>-37.400343700000001</v>
      </c>
      <c r="AF1574">
        <v>175.83959239999999</v>
      </c>
      <c r="AG1574" s="175">
        <v>24</v>
      </c>
      <c r="AH1574" s="175">
        <v>12</v>
      </c>
      <c r="AI1574" s="175">
        <v>2</v>
      </c>
      <c r="AJ1574" s="175">
        <v>5</v>
      </c>
      <c r="AK1574" s="175">
        <v>8</v>
      </c>
      <c r="AL1574" s="175">
        <v>3</v>
      </c>
      <c r="AM1574" s="175">
        <v>3</v>
      </c>
      <c r="AN1574" s="175">
        <v>0</v>
      </c>
      <c r="AO1574" s="175">
        <v>21</v>
      </c>
      <c r="AP1574" s="175">
        <v>0</v>
      </c>
      <c r="AQ1574" s="175">
        <v>21</v>
      </c>
      <c r="AR1574" s="175">
        <v>0</v>
      </c>
      <c r="AS1574" s="175">
        <v>0</v>
      </c>
      <c r="AT1574" s="175">
        <v>0</v>
      </c>
    </row>
    <row r="1575" spans="1:46">
      <c r="A1575">
        <v>35022</v>
      </c>
      <c r="B1575" t="s">
        <v>9698</v>
      </c>
      <c r="C1575" t="s">
        <v>9699</v>
      </c>
      <c r="E1575" t="s">
        <v>9700</v>
      </c>
      <c r="G1575" t="s">
        <v>1638</v>
      </c>
      <c r="H1575" t="s">
        <v>347</v>
      </c>
      <c r="J1575" t="s">
        <v>605</v>
      </c>
      <c r="K1575" t="s">
        <v>606</v>
      </c>
      <c r="L1575" t="s">
        <v>4273</v>
      </c>
      <c r="M1575" t="s">
        <v>1382</v>
      </c>
      <c r="N1575" t="s">
        <v>608</v>
      </c>
      <c r="O1575" t="s">
        <v>1435</v>
      </c>
      <c r="P1575" t="s">
        <v>610</v>
      </c>
      <c r="Q1575" t="s">
        <v>510</v>
      </c>
      <c r="R1575" t="s">
        <v>1384</v>
      </c>
      <c r="S1575" t="s">
        <v>1384</v>
      </c>
      <c r="T1575" t="s">
        <v>1320</v>
      </c>
      <c r="U1575">
        <v>171400</v>
      </c>
      <c r="V1575" t="s">
        <v>9588</v>
      </c>
      <c r="W1575" t="s">
        <v>1640</v>
      </c>
      <c r="X1575" t="s">
        <v>7695</v>
      </c>
      <c r="Y1575" t="s">
        <v>4276</v>
      </c>
      <c r="Z1575" t="s">
        <v>4277</v>
      </c>
      <c r="AA1575" t="s">
        <v>4278</v>
      </c>
      <c r="AB1575" t="s">
        <v>7696</v>
      </c>
      <c r="AE1575">
        <v>-37.550374040000001</v>
      </c>
      <c r="AF1575">
        <v>175.15431942999999</v>
      </c>
      <c r="AG1575" s="175">
        <v>30</v>
      </c>
      <c r="AH1575" s="175">
        <v>8</v>
      </c>
      <c r="AI1575" s="175">
        <v>0</v>
      </c>
      <c r="AJ1575" s="175">
        <v>8</v>
      </c>
      <c r="AK1575" s="175">
        <v>6</v>
      </c>
      <c r="AL1575" s="175">
        <v>9</v>
      </c>
      <c r="AM1575" s="175">
        <v>4</v>
      </c>
      <c r="AN1575" s="175">
        <v>0</v>
      </c>
      <c r="AO1575" s="175">
        <v>27</v>
      </c>
      <c r="AP1575" s="175">
        <v>0</v>
      </c>
      <c r="AQ1575" s="175">
        <v>27</v>
      </c>
      <c r="AR1575" s="175">
        <v>0</v>
      </c>
      <c r="AS1575" s="175">
        <v>0</v>
      </c>
      <c r="AT1575" s="175">
        <v>0</v>
      </c>
    </row>
    <row r="1576" spans="1:46">
      <c r="A1576">
        <v>35025</v>
      </c>
      <c r="B1576" t="s">
        <v>9701</v>
      </c>
      <c r="C1576" t="s">
        <v>9702</v>
      </c>
      <c r="E1576" t="s">
        <v>9703</v>
      </c>
      <c r="G1576" t="s">
        <v>9704</v>
      </c>
      <c r="H1576" t="s">
        <v>347</v>
      </c>
      <c r="J1576" t="s">
        <v>605</v>
      </c>
      <c r="K1576" t="s">
        <v>606</v>
      </c>
      <c r="L1576" t="s">
        <v>4273</v>
      </c>
      <c r="M1576" t="s">
        <v>1382</v>
      </c>
      <c r="N1576" t="s">
        <v>625</v>
      </c>
      <c r="O1576" t="s">
        <v>8701</v>
      </c>
      <c r="P1576" t="s">
        <v>626</v>
      </c>
      <c r="Q1576" t="s">
        <v>510</v>
      </c>
      <c r="R1576" t="s">
        <v>1384</v>
      </c>
      <c r="S1576" t="s">
        <v>1501</v>
      </c>
      <c r="T1576" t="s">
        <v>1568</v>
      </c>
      <c r="U1576">
        <v>187000</v>
      </c>
      <c r="V1576" t="s">
        <v>9705</v>
      </c>
      <c r="W1576" t="s">
        <v>9198</v>
      </c>
      <c r="X1576" t="s">
        <v>7695</v>
      </c>
      <c r="Y1576" t="s">
        <v>4276</v>
      </c>
      <c r="Z1576" t="s">
        <v>4277</v>
      </c>
      <c r="AA1576" t="s">
        <v>4278</v>
      </c>
      <c r="AB1576" t="s">
        <v>7696</v>
      </c>
      <c r="AE1576">
        <v>-38.152506260000003</v>
      </c>
      <c r="AF1576">
        <v>174.73769633000001</v>
      </c>
      <c r="AG1576" s="175">
        <v>20</v>
      </c>
      <c r="AH1576" s="175">
        <v>5</v>
      </c>
      <c r="AI1576" s="175">
        <v>1</v>
      </c>
      <c r="AJ1576" s="175">
        <v>4</v>
      </c>
      <c r="AK1576" s="175">
        <v>5</v>
      </c>
      <c r="AL1576" s="175">
        <v>5</v>
      </c>
      <c r="AM1576" s="175">
        <v>2</v>
      </c>
      <c r="AN1576" s="175">
        <v>0</v>
      </c>
      <c r="AO1576" s="175">
        <v>17</v>
      </c>
      <c r="AP1576" s="175">
        <v>0</v>
      </c>
      <c r="AQ1576" s="175">
        <v>15</v>
      </c>
      <c r="AR1576" s="175">
        <v>0</v>
      </c>
      <c r="AS1576" s="175">
        <v>0</v>
      </c>
      <c r="AT1576" s="175">
        <v>2</v>
      </c>
    </row>
    <row r="1577" spans="1:46">
      <c r="A1577">
        <v>35027</v>
      </c>
      <c r="B1577" t="s">
        <v>9706</v>
      </c>
      <c r="C1577" t="s">
        <v>9707</v>
      </c>
      <c r="E1577" t="s">
        <v>9708</v>
      </c>
      <c r="G1577" t="s">
        <v>1717</v>
      </c>
      <c r="H1577" t="s">
        <v>347</v>
      </c>
      <c r="J1577" t="s">
        <v>605</v>
      </c>
      <c r="K1577" t="s">
        <v>606</v>
      </c>
      <c r="L1577" t="s">
        <v>4273</v>
      </c>
      <c r="M1577" t="s">
        <v>1382</v>
      </c>
      <c r="N1577" t="s">
        <v>608</v>
      </c>
      <c r="O1577" t="s">
        <v>1718</v>
      </c>
      <c r="P1577" t="s">
        <v>658</v>
      </c>
      <c r="Q1577" t="s">
        <v>553</v>
      </c>
      <c r="R1577" t="s">
        <v>1841</v>
      </c>
      <c r="S1577" t="s">
        <v>1719</v>
      </c>
      <c r="T1577" t="s">
        <v>1568</v>
      </c>
      <c r="U1577">
        <v>222400</v>
      </c>
      <c r="V1577" t="s">
        <v>9132</v>
      </c>
      <c r="W1577" t="s">
        <v>1721</v>
      </c>
      <c r="X1577" t="s">
        <v>9709</v>
      </c>
      <c r="Y1577" t="s">
        <v>4276</v>
      </c>
      <c r="Z1577" t="s">
        <v>4277</v>
      </c>
      <c r="AA1577" t="s">
        <v>4278</v>
      </c>
      <c r="AB1577" t="s">
        <v>6673</v>
      </c>
      <c r="AE1577">
        <v>-38.828860650000003</v>
      </c>
      <c r="AF1577">
        <v>175.32054681</v>
      </c>
      <c r="AG1577" s="175">
        <v>20</v>
      </c>
      <c r="AH1577" s="175">
        <v>5</v>
      </c>
      <c r="AI1577" s="175">
        <v>0</v>
      </c>
      <c r="AJ1577" s="175">
        <v>6</v>
      </c>
      <c r="AK1577" s="175">
        <v>4</v>
      </c>
      <c r="AL1577" s="175">
        <v>3</v>
      </c>
      <c r="AM1577" s="175">
        <v>7</v>
      </c>
      <c r="AN1577" s="175">
        <v>0</v>
      </c>
      <c r="AO1577" s="175">
        <v>20</v>
      </c>
      <c r="AP1577" s="175">
        <v>0</v>
      </c>
      <c r="AQ1577" s="175">
        <v>19</v>
      </c>
      <c r="AR1577" s="175">
        <v>1</v>
      </c>
      <c r="AS1577" s="175">
        <v>0</v>
      </c>
      <c r="AT1577" s="175">
        <v>0</v>
      </c>
    </row>
    <row r="1578" spans="1:46">
      <c r="A1578">
        <v>35028</v>
      </c>
      <c r="B1578" t="s">
        <v>9710</v>
      </c>
      <c r="C1578" t="s">
        <v>9711</v>
      </c>
      <c r="E1578" t="s">
        <v>9712</v>
      </c>
      <c r="G1578" t="s">
        <v>1717</v>
      </c>
      <c r="H1578" t="s">
        <v>347</v>
      </c>
      <c r="J1578" t="s">
        <v>605</v>
      </c>
      <c r="K1578" t="s">
        <v>606</v>
      </c>
      <c r="L1578" t="s">
        <v>4273</v>
      </c>
      <c r="M1578" t="s">
        <v>1382</v>
      </c>
      <c r="N1578" t="s">
        <v>812</v>
      </c>
      <c r="O1578" t="s">
        <v>1718</v>
      </c>
      <c r="P1578" t="s">
        <v>610</v>
      </c>
      <c r="Q1578" t="s">
        <v>553</v>
      </c>
      <c r="R1578" t="s">
        <v>1841</v>
      </c>
      <c r="S1578" t="s">
        <v>1719</v>
      </c>
      <c r="T1578" t="s">
        <v>1568</v>
      </c>
      <c r="U1578">
        <v>222600</v>
      </c>
      <c r="V1578" t="s">
        <v>1720</v>
      </c>
      <c r="W1578" t="s">
        <v>1721</v>
      </c>
      <c r="X1578" t="s">
        <v>9133</v>
      </c>
      <c r="Y1578" t="s">
        <v>4276</v>
      </c>
      <c r="Z1578" t="s">
        <v>4277</v>
      </c>
      <c r="AA1578" t="s">
        <v>4278</v>
      </c>
      <c r="AB1578" t="s">
        <v>9134</v>
      </c>
      <c r="AE1578">
        <v>-38.886306689999998</v>
      </c>
      <c r="AF1578">
        <v>175.26238531999999</v>
      </c>
      <c r="AG1578" s="175">
        <v>27</v>
      </c>
      <c r="AH1578" s="175">
        <v>15</v>
      </c>
      <c r="AI1578" s="175">
        <v>1</v>
      </c>
      <c r="AJ1578" s="175">
        <v>4</v>
      </c>
      <c r="AK1578" s="175">
        <v>5</v>
      </c>
      <c r="AL1578" s="175">
        <v>4</v>
      </c>
      <c r="AM1578" s="175">
        <v>4</v>
      </c>
      <c r="AN1578" s="175">
        <v>0</v>
      </c>
      <c r="AO1578" s="175">
        <v>18</v>
      </c>
      <c r="AP1578" s="175">
        <v>0</v>
      </c>
      <c r="AQ1578" s="175">
        <v>16</v>
      </c>
      <c r="AR1578" s="175">
        <v>2</v>
      </c>
      <c r="AS1578" s="175">
        <v>0</v>
      </c>
      <c r="AT1578" s="175">
        <v>0</v>
      </c>
    </row>
    <row r="1579" spans="1:46">
      <c r="A1579">
        <v>35031</v>
      </c>
      <c r="B1579" t="s">
        <v>9713</v>
      </c>
      <c r="C1579" t="s">
        <v>9714</v>
      </c>
      <c r="E1579" t="s">
        <v>9715</v>
      </c>
      <c r="G1579" t="s">
        <v>1566</v>
      </c>
      <c r="H1579" t="s">
        <v>347</v>
      </c>
      <c r="J1579" t="s">
        <v>605</v>
      </c>
      <c r="K1579" t="s">
        <v>606</v>
      </c>
      <c r="L1579" t="s">
        <v>4273</v>
      </c>
      <c r="M1579" t="s">
        <v>1382</v>
      </c>
      <c r="N1579" t="s">
        <v>608</v>
      </c>
      <c r="O1579" t="s">
        <v>1567</v>
      </c>
      <c r="P1579" t="s">
        <v>1347</v>
      </c>
      <c r="Q1579" t="s">
        <v>510</v>
      </c>
      <c r="R1579" t="s">
        <v>1384</v>
      </c>
      <c r="S1579" t="s">
        <v>1404</v>
      </c>
      <c r="T1579" t="s">
        <v>1568</v>
      </c>
      <c r="U1579">
        <v>186700</v>
      </c>
      <c r="V1579" t="s">
        <v>8747</v>
      </c>
      <c r="W1579" t="s">
        <v>1570</v>
      </c>
      <c r="X1579" t="s">
        <v>7695</v>
      </c>
      <c r="Y1579" t="s">
        <v>4276</v>
      </c>
      <c r="Z1579" t="s">
        <v>4277</v>
      </c>
      <c r="AA1579" t="s">
        <v>4278</v>
      </c>
      <c r="AB1579" t="s">
        <v>7696</v>
      </c>
      <c r="AE1579">
        <v>-38.222952239999998</v>
      </c>
      <c r="AF1579">
        <v>175.87739245</v>
      </c>
      <c r="AG1579" s="175">
        <v>36</v>
      </c>
      <c r="AH1579" s="175">
        <v>12</v>
      </c>
      <c r="AI1579" s="175">
        <v>1</v>
      </c>
      <c r="AJ1579" s="175">
        <v>14</v>
      </c>
      <c r="AK1579" s="175">
        <v>11</v>
      </c>
      <c r="AL1579" s="175">
        <v>5</v>
      </c>
      <c r="AM1579" s="175">
        <v>5</v>
      </c>
      <c r="AN1579" s="175">
        <v>0</v>
      </c>
      <c r="AO1579" s="175">
        <v>36</v>
      </c>
      <c r="AP1579" s="175">
        <v>0</v>
      </c>
      <c r="AQ1579" s="175">
        <v>33</v>
      </c>
      <c r="AR1579" s="175">
        <v>1</v>
      </c>
      <c r="AS1579" s="175">
        <v>0</v>
      </c>
      <c r="AT1579" s="175">
        <v>2</v>
      </c>
    </row>
    <row r="1580" spans="1:46">
      <c r="A1580">
        <v>35034</v>
      </c>
      <c r="B1580" t="s">
        <v>9716</v>
      </c>
      <c r="C1580" t="s">
        <v>9717</v>
      </c>
      <c r="E1580" t="s">
        <v>9718</v>
      </c>
      <c r="G1580" t="s">
        <v>1566</v>
      </c>
      <c r="H1580" t="s">
        <v>347</v>
      </c>
      <c r="J1580" t="s">
        <v>605</v>
      </c>
      <c r="K1580" t="s">
        <v>606</v>
      </c>
      <c r="L1580" t="s">
        <v>4273</v>
      </c>
      <c r="M1580" t="s">
        <v>1382</v>
      </c>
      <c r="N1580" t="s">
        <v>812</v>
      </c>
      <c r="O1580" t="s">
        <v>1567</v>
      </c>
      <c r="P1580" t="s">
        <v>1347</v>
      </c>
      <c r="Q1580" t="s">
        <v>510</v>
      </c>
      <c r="R1580" t="s">
        <v>1384</v>
      </c>
      <c r="S1580" t="s">
        <v>1404</v>
      </c>
      <c r="T1580" t="s">
        <v>1568</v>
      </c>
      <c r="U1580">
        <v>186500</v>
      </c>
      <c r="V1580" t="s">
        <v>1587</v>
      </c>
      <c r="W1580" t="s">
        <v>1570</v>
      </c>
      <c r="X1580" t="s">
        <v>7695</v>
      </c>
      <c r="Y1580" t="s">
        <v>4276</v>
      </c>
      <c r="Z1580" t="s">
        <v>4277</v>
      </c>
      <c r="AA1580" t="s">
        <v>4278</v>
      </c>
      <c r="AB1580" t="s">
        <v>7696</v>
      </c>
      <c r="AE1580">
        <v>-38.217635119999997</v>
      </c>
      <c r="AF1580">
        <v>175.86366823</v>
      </c>
      <c r="AG1580" s="175">
        <v>16</v>
      </c>
      <c r="AH1580" s="175">
        <v>4</v>
      </c>
      <c r="AI1580" s="175">
        <v>2</v>
      </c>
      <c r="AJ1580" s="175">
        <v>0</v>
      </c>
      <c r="AK1580" s="175">
        <v>3</v>
      </c>
      <c r="AL1580" s="175">
        <v>4</v>
      </c>
      <c r="AM1580" s="175">
        <v>1</v>
      </c>
      <c r="AN1580" s="175">
        <v>0</v>
      </c>
      <c r="AO1580" s="175">
        <v>10</v>
      </c>
      <c r="AP1580" s="175">
        <v>0</v>
      </c>
      <c r="AQ1580" s="175">
        <v>8</v>
      </c>
      <c r="AR1580" s="175">
        <v>1</v>
      </c>
      <c r="AS1580" s="175">
        <v>0</v>
      </c>
      <c r="AT1580" s="175">
        <v>1</v>
      </c>
    </row>
    <row r="1581" spans="1:46">
      <c r="A1581">
        <v>35037</v>
      </c>
      <c r="B1581" t="s">
        <v>9719</v>
      </c>
      <c r="C1581" t="s">
        <v>9720</v>
      </c>
      <c r="E1581" t="s">
        <v>9721</v>
      </c>
      <c r="G1581" t="s">
        <v>1638</v>
      </c>
      <c r="H1581" t="s">
        <v>347</v>
      </c>
      <c r="J1581" t="s">
        <v>605</v>
      </c>
      <c r="K1581" t="s">
        <v>606</v>
      </c>
      <c r="L1581" t="s">
        <v>4273</v>
      </c>
      <c r="M1581" t="s">
        <v>1382</v>
      </c>
      <c r="N1581" t="s">
        <v>812</v>
      </c>
      <c r="O1581" t="s">
        <v>1435</v>
      </c>
      <c r="P1581" t="s">
        <v>658</v>
      </c>
      <c r="Q1581" t="s">
        <v>510</v>
      </c>
      <c r="R1581" t="s">
        <v>1384</v>
      </c>
      <c r="S1581" t="s">
        <v>1384</v>
      </c>
      <c r="T1581" t="s">
        <v>1320</v>
      </c>
      <c r="U1581">
        <v>171201</v>
      </c>
      <c r="V1581" t="s">
        <v>9694</v>
      </c>
      <c r="W1581" t="s">
        <v>1640</v>
      </c>
      <c r="X1581" t="s">
        <v>7695</v>
      </c>
      <c r="Y1581" t="s">
        <v>4276</v>
      </c>
      <c r="Z1581" t="s">
        <v>4277</v>
      </c>
      <c r="AA1581" t="s">
        <v>4278</v>
      </c>
      <c r="AB1581" t="s">
        <v>7696</v>
      </c>
      <c r="AE1581">
        <v>-37.546166700000001</v>
      </c>
      <c r="AF1581">
        <v>175.1373773</v>
      </c>
      <c r="AG1581" s="175">
        <v>33</v>
      </c>
      <c r="AH1581" s="175">
        <v>15</v>
      </c>
      <c r="AI1581" s="175">
        <v>0</v>
      </c>
      <c r="AJ1581" s="175">
        <v>8</v>
      </c>
      <c r="AK1581" s="175">
        <v>6</v>
      </c>
      <c r="AL1581" s="175">
        <v>7</v>
      </c>
      <c r="AM1581" s="175">
        <v>7</v>
      </c>
      <c r="AN1581" s="175">
        <v>0</v>
      </c>
      <c r="AO1581" s="175">
        <v>28</v>
      </c>
      <c r="AP1581" s="175">
        <v>0</v>
      </c>
      <c r="AQ1581" s="175">
        <v>25</v>
      </c>
      <c r="AR1581" s="175">
        <v>2</v>
      </c>
      <c r="AS1581" s="175">
        <v>0</v>
      </c>
      <c r="AT1581" s="175">
        <v>1</v>
      </c>
    </row>
    <row r="1582" spans="1:46">
      <c r="A1582">
        <v>35039</v>
      </c>
      <c r="B1582" t="s">
        <v>9722</v>
      </c>
      <c r="C1582" t="s">
        <v>9723</v>
      </c>
      <c r="E1582" t="s">
        <v>9724</v>
      </c>
      <c r="G1582" t="s">
        <v>1566</v>
      </c>
      <c r="H1582" t="s">
        <v>347</v>
      </c>
      <c r="J1582" t="s">
        <v>605</v>
      </c>
      <c r="K1582" t="s">
        <v>606</v>
      </c>
      <c r="L1582" t="s">
        <v>4273</v>
      </c>
      <c r="M1582" t="s">
        <v>1382</v>
      </c>
      <c r="N1582" t="s">
        <v>608</v>
      </c>
      <c r="O1582" t="s">
        <v>1567</v>
      </c>
      <c r="P1582" t="s">
        <v>1347</v>
      </c>
      <c r="Q1582" t="s">
        <v>510</v>
      </c>
      <c r="R1582" t="s">
        <v>1384</v>
      </c>
      <c r="S1582" t="s">
        <v>1404</v>
      </c>
      <c r="T1582" t="s">
        <v>1568</v>
      </c>
      <c r="U1582">
        <v>186600</v>
      </c>
      <c r="V1582" t="s">
        <v>8404</v>
      </c>
      <c r="W1582" t="s">
        <v>1570</v>
      </c>
      <c r="X1582" t="s">
        <v>7695</v>
      </c>
      <c r="Y1582" t="s">
        <v>4276</v>
      </c>
      <c r="Z1582" t="s">
        <v>4277</v>
      </c>
      <c r="AA1582" t="s">
        <v>4278</v>
      </c>
      <c r="AB1582" t="s">
        <v>7696</v>
      </c>
      <c r="AE1582">
        <v>-38.230550200000003</v>
      </c>
      <c r="AF1582">
        <v>175.86750309999999</v>
      </c>
      <c r="AG1582" s="175">
        <v>30</v>
      </c>
      <c r="AH1582" s="175">
        <v>10</v>
      </c>
      <c r="AI1582" s="175">
        <v>1</v>
      </c>
      <c r="AJ1582" s="175">
        <v>0</v>
      </c>
      <c r="AK1582" s="175">
        <v>5</v>
      </c>
      <c r="AL1582" s="175">
        <v>6</v>
      </c>
      <c r="AM1582" s="175">
        <v>3</v>
      </c>
      <c r="AN1582" s="175">
        <v>0</v>
      </c>
      <c r="AO1582" s="175">
        <v>15</v>
      </c>
      <c r="AP1582" s="175">
        <v>0</v>
      </c>
      <c r="AQ1582" s="175">
        <v>15</v>
      </c>
      <c r="AR1582" s="175">
        <v>0</v>
      </c>
      <c r="AS1582" s="175">
        <v>0</v>
      </c>
      <c r="AT1582" s="175">
        <v>0</v>
      </c>
    </row>
    <row r="1583" spans="1:46">
      <c r="A1583">
        <v>35040</v>
      </c>
      <c r="B1583" t="s">
        <v>9725</v>
      </c>
      <c r="C1583" t="s">
        <v>9726</v>
      </c>
      <c r="E1583" t="s">
        <v>9727</v>
      </c>
      <c r="G1583" t="s">
        <v>1566</v>
      </c>
      <c r="H1583" t="s">
        <v>347</v>
      </c>
      <c r="J1583" t="s">
        <v>605</v>
      </c>
      <c r="K1583" t="s">
        <v>606</v>
      </c>
      <c r="L1583" t="s">
        <v>4273</v>
      </c>
      <c r="M1583" t="s">
        <v>1382</v>
      </c>
      <c r="N1583" t="s">
        <v>812</v>
      </c>
      <c r="O1583" t="s">
        <v>1567</v>
      </c>
      <c r="P1583" t="s">
        <v>1347</v>
      </c>
      <c r="Q1583" t="s">
        <v>510</v>
      </c>
      <c r="R1583" t="s">
        <v>1555</v>
      </c>
      <c r="S1583" t="s">
        <v>1404</v>
      </c>
      <c r="T1583" t="s">
        <v>1568</v>
      </c>
      <c r="U1583">
        <v>186700</v>
      </c>
      <c r="V1583" t="s">
        <v>8747</v>
      </c>
      <c r="W1583" t="s">
        <v>1570</v>
      </c>
      <c r="X1583" t="s">
        <v>8511</v>
      </c>
      <c r="Y1583" t="s">
        <v>4276</v>
      </c>
      <c r="Z1583" t="s">
        <v>4277</v>
      </c>
      <c r="AA1583" t="s">
        <v>4278</v>
      </c>
      <c r="AB1583" t="s">
        <v>8512</v>
      </c>
      <c r="AE1583">
        <v>-38.221079770000003</v>
      </c>
      <c r="AF1583">
        <v>175.86928309999999</v>
      </c>
      <c r="AG1583" s="175">
        <v>25</v>
      </c>
      <c r="AH1583" s="175">
        <v>5</v>
      </c>
      <c r="AI1583" s="175">
        <v>0</v>
      </c>
      <c r="AJ1583" s="175">
        <v>1</v>
      </c>
      <c r="AK1583" s="175">
        <v>3</v>
      </c>
      <c r="AL1583" s="175">
        <v>6</v>
      </c>
      <c r="AM1583" s="175">
        <v>2</v>
      </c>
      <c r="AN1583" s="175">
        <v>0</v>
      </c>
      <c r="AO1583" s="175">
        <v>12</v>
      </c>
      <c r="AP1583" s="175">
        <v>0</v>
      </c>
      <c r="AQ1583" s="175">
        <v>12</v>
      </c>
      <c r="AR1583" s="175">
        <v>0</v>
      </c>
      <c r="AS1583" s="175">
        <v>0</v>
      </c>
      <c r="AT1583" s="175">
        <v>0</v>
      </c>
    </row>
    <row r="1584" spans="1:46">
      <c r="A1584">
        <v>35041</v>
      </c>
      <c r="B1584" t="s">
        <v>9728</v>
      </c>
      <c r="C1584" t="s">
        <v>9729</v>
      </c>
      <c r="E1584" t="s">
        <v>9730</v>
      </c>
      <c r="G1584" t="s">
        <v>8700</v>
      </c>
      <c r="H1584" t="s">
        <v>347</v>
      </c>
      <c r="J1584" t="s">
        <v>605</v>
      </c>
      <c r="K1584" t="s">
        <v>606</v>
      </c>
      <c r="L1584" t="s">
        <v>4273</v>
      </c>
      <c r="M1584" t="s">
        <v>1382</v>
      </c>
      <c r="N1584" t="s">
        <v>812</v>
      </c>
      <c r="O1584" t="s">
        <v>8701</v>
      </c>
      <c r="P1584" t="s">
        <v>610</v>
      </c>
      <c r="Q1584" t="s">
        <v>510</v>
      </c>
      <c r="R1584" t="s">
        <v>1384</v>
      </c>
      <c r="S1584" t="s">
        <v>1501</v>
      </c>
      <c r="T1584" t="s">
        <v>1568</v>
      </c>
      <c r="U1584">
        <v>187400</v>
      </c>
      <c r="V1584" t="s">
        <v>8702</v>
      </c>
      <c r="W1584" t="s">
        <v>8703</v>
      </c>
      <c r="X1584" t="s">
        <v>7695</v>
      </c>
      <c r="Y1584" t="s">
        <v>4276</v>
      </c>
      <c r="Z1584" t="s">
        <v>4277</v>
      </c>
      <c r="AA1584" t="s">
        <v>4278</v>
      </c>
      <c r="AB1584" t="s">
        <v>7696</v>
      </c>
      <c r="AC1584">
        <v>99106</v>
      </c>
      <c r="AD1584" t="s">
        <v>8708</v>
      </c>
      <c r="AE1584">
        <v>-38.336064559999997</v>
      </c>
      <c r="AF1584">
        <v>175.17197138</v>
      </c>
      <c r="AG1584" s="175">
        <v>40</v>
      </c>
      <c r="AH1584" s="175">
        <v>10</v>
      </c>
      <c r="AI1584" s="175">
        <v>0</v>
      </c>
      <c r="AJ1584" s="175">
        <v>6</v>
      </c>
      <c r="AK1584" s="175">
        <v>7</v>
      </c>
      <c r="AL1584" s="175">
        <v>16</v>
      </c>
      <c r="AM1584" s="175">
        <v>10</v>
      </c>
      <c r="AN1584" s="175">
        <v>0</v>
      </c>
      <c r="AO1584" s="175">
        <v>39</v>
      </c>
      <c r="AP1584" s="175">
        <v>0</v>
      </c>
      <c r="AQ1584" s="175">
        <v>39</v>
      </c>
      <c r="AR1584" s="175">
        <v>0</v>
      </c>
      <c r="AS1584" s="175">
        <v>0</v>
      </c>
      <c r="AT1584" s="175">
        <v>0</v>
      </c>
    </row>
    <row r="1585" spans="1:46">
      <c r="A1585">
        <v>35044</v>
      </c>
      <c r="B1585" t="s">
        <v>9731</v>
      </c>
      <c r="C1585" t="s">
        <v>9732</v>
      </c>
      <c r="E1585" t="s">
        <v>9733</v>
      </c>
      <c r="G1585" t="s">
        <v>1580</v>
      </c>
      <c r="H1585" t="s">
        <v>347</v>
      </c>
      <c r="J1585" t="s">
        <v>605</v>
      </c>
      <c r="K1585" t="s">
        <v>606</v>
      </c>
      <c r="L1585" t="s">
        <v>4273</v>
      </c>
      <c r="M1585" t="s">
        <v>1382</v>
      </c>
      <c r="N1585" t="s">
        <v>812</v>
      </c>
      <c r="O1585" t="s">
        <v>1567</v>
      </c>
      <c r="P1585" t="s">
        <v>610</v>
      </c>
      <c r="Q1585" t="s">
        <v>510</v>
      </c>
      <c r="R1585" t="s">
        <v>1555</v>
      </c>
      <c r="S1585" t="s">
        <v>1404</v>
      </c>
      <c r="T1585" t="s">
        <v>1568</v>
      </c>
      <c r="U1585">
        <v>186000</v>
      </c>
      <c r="V1585" t="s">
        <v>1581</v>
      </c>
      <c r="W1585" t="s">
        <v>1582</v>
      </c>
      <c r="X1585" t="s">
        <v>8511</v>
      </c>
      <c r="Y1585" t="s">
        <v>4276</v>
      </c>
      <c r="Z1585" t="s">
        <v>4277</v>
      </c>
      <c r="AA1585" t="s">
        <v>4278</v>
      </c>
      <c r="AB1585" t="s">
        <v>8512</v>
      </c>
      <c r="AE1585">
        <v>-38.05409676</v>
      </c>
      <c r="AF1585">
        <v>175.80442252</v>
      </c>
      <c r="AG1585" s="175">
        <v>15</v>
      </c>
      <c r="AH1585" s="175">
        <v>6</v>
      </c>
      <c r="AI1585" s="175">
        <v>1</v>
      </c>
      <c r="AJ1585" s="175">
        <v>1</v>
      </c>
      <c r="AK1585" s="175">
        <v>1</v>
      </c>
      <c r="AL1585" s="175">
        <v>1</v>
      </c>
      <c r="AM1585" s="175">
        <v>2</v>
      </c>
      <c r="AN1585" s="175">
        <v>0</v>
      </c>
      <c r="AO1585" s="175">
        <v>6</v>
      </c>
      <c r="AP1585" s="175">
        <v>0</v>
      </c>
      <c r="AQ1585" s="175">
        <v>5</v>
      </c>
      <c r="AR1585" s="175">
        <v>1</v>
      </c>
      <c r="AS1585" s="175">
        <v>0</v>
      </c>
      <c r="AT1585" s="175">
        <v>0</v>
      </c>
    </row>
    <row r="1586" spans="1:46">
      <c r="A1586">
        <v>35047</v>
      </c>
      <c r="B1586" t="s">
        <v>9734</v>
      </c>
      <c r="C1586" t="s">
        <v>9735</v>
      </c>
      <c r="E1586" t="s">
        <v>9736</v>
      </c>
      <c r="G1586" t="s">
        <v>1638</v>
      </c>
      <c r="H1586" t="s">
        <v>347</v>
      </c>
      <c r="J1586" t="s">
        <v>605</v>
      </c>
      <c r="K1586" t="s">
        <v>606</v>
      </c>
      <c r="L1586" t="s">
        <v>4273</v>
      </c>
      <c r="M1586" t="s">
        <v>1382</v>
      </c>
      <c r="N1586" t="s">
        <v>625</v>
      </c>
      <c r="O1586" t="s">
        <v>1435</v>
      </c>
      <c r="P1586" t="s">
        <v>610</v>
      </c>
      <c r="Q1586" t="s">
        <v>510</v>
      </c>
      <c r="R1586" t="s">
        <v>1384</v>
      </c>
      <c r="S1586" t="s">
        <v>1384</v>
      </c>
      <c r="T1586" t="s">
        <v>1320</v>
      </c>
      <c r="U1586">
        <v>171400</v>
      </c>
      <c r="V1586" t="s">
        <v>9588</v>
      </c>
      <c r="W1586" t="s">
        <v>1640</v>
      </c>
      <c r="X1586" t="s">
        <v>7695</v>
      </c>
      <c r="Y1586" t="s">
        <v>4276</v>
      </c>
      <c r="Z1586" t="s">
        <v>4277</v>
      </c>
      <c r="AA1586" t="s">
        <v>4278</v>
      </c>
      <c r="AB1586" t="s">
        <v>7696</v>
      </c>
      <c r="AE1586">
        <v>-37.557529580000001</v>
      </c>
      <c r="AF1586">
        <v>175.15415222999999</v>
      </c>
      <c r="AG1586" s="175">
        <v>17</v>
      </c>
      <c r="AH1586" s="175">
        <v>4</v>
      </c>
      <c r="AI1586" s="175">
        <v>0</v>
      </c>
      <c r="AJ1586" s="175">
        <v>3</v>
      </c>
      <c r="AK1586" s="175">
        <v>5</v>
      </c>
      <c r="AL1586" s="175">
        <v>1</v>
      </c>
      <c r="AM1586" s="175">
        <v>1</v>
      </c>
      <c r="AN1586" s="175">
        <v>0</v>
      </c>
      <c r="AO1586" s="175">
        <v>10</v>
      </c>
      <c r="AP1586" s="175">
        <v>0</v>
      </c>
      <c r="AQ1586" s="175">
        <v>10</v>
      </c>
      <c r="AR1586" s="175">
        <v>0</v>
      </c>
      <c r="AS1586" s="175">
        <v>0</v>
      </c>
      <c r="AT1586" s="175">
        <v>0</v>
      </c>
    </row>
    <row r="1587" spans="1:46">
      <c r="A1587">
        <v>35050</v>
      </c>
      <c r="B1587" t="s">
        <v>9737</v>
      </c>
      <c r="C1587" t="s">
        <v>9738</v>
      </c>
      <c r="E1587" t="s">
        <v>9739</v>
      </c>
      <c r="G1587" t="s">
        <v>9740</v>
      </c>
      <c r="H1587" t="s">
        <v>347</v>
      </c>
      <c r="J1587" t="s">
        <v>605</v>
      </c>
      <c r="K1587" t="s">
        <v>606</v>
      </c>
      <c r="L1587" t="s">
        <v>4273</v>
      </c>
      <c r="M1587" t="s">
        <v>1382</v>
      </c>
      <c r="N1587" t="s">
        <v>657</v>
      </c>
      <c r="O1587" t="s">
        <v>1383</v>
      </c>
      <c r="P1587" t="s">
        <v>739</v>
      </c>
      <c r="Q1587" t="s">
        <v>510</v>
      </c>
      <c r="R1587" t="s">
        <v>1384</v>
      </c>
      <c r="S1587" t="s">
        <v>1385</v>
      </c>
      <c r="T1587" t="s">
        <v>1320</v>
      </c>
      <c r="U1587">
        <v>178600</v>
      </c>
      <c r="V1587" t="s">
        <v>9740</v>
      </c>
      <c r="W1587" t="s">
        <v>1387</v>
      </c>
      <c r="X1587" t="s">
        <v>7695</v>
      </c>
      <c r="Y1587" t="s">
        <v>4276</v>
      </c>
      <c r="Z1587" t="s">
        <v>4277</v>
      </c>
      <c r="AA1587" t="s">
        <v>4278</v>
      </c>
      <c r="AB1587" t="s">
        <v>7696</v>
      </c>
      <c r="AE1587">
        <v>-37.819005629999999</v>
      </c>
      <c r="AF1587">
        <v>175.21873898000001</v>
      </c>
      <c r="AG1587" s="175">
        <v>27</v>
      </c>
      <c r="AH1587" s="175">
        <v>12</v>
      </c>
      <c r="AI1587" s="175">
        <v>2</v>
      </c>
      <c r="AJ1587" s="175">
        <v>6</v>
      </c>
      <c r="AK1587" s="175">
        <v>7</v>
      </c>
      <c r="AL1587" s="175">
        <v>6</v>
      </c>
      <c r="AM1587" s="175">
        <v>3</v>
      </c>
      <c r="AN1587" s="175">
        <v>0</v>
      </c>
      <c r="AO1587" s="175">
        <v>24</v>
      </c>
      <c r="AP1587" s="175">
        <v>0</v>
      </c>
      <c r="AQ1587" s="175">
        <v>24</v>
      </c>
      <c r="AR1587" s="175">
        <v>0</v>
      </c>
      <c r="AS1587" s="175">
        <v>0</v>
      </c>
      <c r="AT1587" s="175">
        <v>0</v>
      </c>
    </row>
    <row r="1588" spans="1:46">
      <c r="A1588">
        <v>35051</v>
      </c>
      <c r="B1588" t="s">
        <v>9741</v>
      </c>
      <c r="C1588" t="s">
        <v>9742</v>
      </c>
      <c r="E1588" t="s">
        <v>9743</v>
      </c>
      <c r="G1588" t="s">
        <v>1434</v>
      </c>
      <c r="H1588" t="s">
        <v>347</v>
      </c>
      <c r="J1588" t="s">
        <v>605</v>
      </c>
      <c r="K1588" t="s">
        <v>606</v>
      </c>
      <c r="L1588" t="s">
        <v>4273</v>
      </c>
      <c r="M1588" t="s">
        <v>1382</v>
      </c>
      <c r="N1588" t="s">
        <v>608</v>
      </c>
      <c r="O1588" t="s">
        <v>1435</v>
      </c>
      <c r="P1588" t="s">
        <v>610</v>
      </c>
      <c r="Q1588" t="s">
        <v>510</v>
      </c>
      <c r="R1588" t="s">
        <v>1384</v>
      </c>
      <c r="S1588" t="s">
        <v>1384</v>
      </c>
      <c r="T1588" t="s">
        <v>1320</v>
      </c>
      <c r="U1588">
        <v>172001</v>
      </c>
      <c r="V1588" t="s">
        <v>1486</v>
      </c>
      <c r="W1588" t="s">
        <v>1437</v>
      </c>
      <c r="X1588" t="s">
        <v>7695</v>
      </c>
      <c r="Y1588" t="s">
        <v>4276</v>
      </c>
      <c r="Z1588" t="s">
        <v>4277</v>
      </c>
      <c r="AA1588" t="s">
        <v>4278</v>
      </c>
      <c r="AB1588" t="s">
        <v>7696</v>
      </c>
      <c r="AE1588">
        <v>-37.662428609999999</v>
      </c>
      <c r="AF1588">
        <v>175.15300296000001</v>
      </c>
      <c r="AG1588" s="175">
        <v>35</v>
      </c>
      <c r="AH1588" s="175">
        <v>8</v>
      </c>
      <c r="AI1588" s="175">
        <v>0</v>
      </c>
      <c r="AJ1588" s="175">
        <v>7</v>
      </c>
      <c r="AK1588" s="175">
        <v>9</v>
      </c>
      <c r="AL1588" s="175">
        <v>10</v>
      </c>
      <c r="AM1588" s="175">
        <v>10</v>
      </c>
      <c r="AN1588" s="175">
        <v>0</v>
      </c>
      <c r="AO1588" s="175">
        <v>36</v>
      </c>
      <c r="AP1588" s="175">
        <v>0</v>
      </c>
      <c r="AQ1588" s="175">
        <v>36</v>
      </c>
      <c r="AR1588" s="175">
        <v>0</v>
      </c>
      <c r="AS1588" s="175">
        <v>0</v>
      </c>
      <c r="AT1588" s="175">
        <v>0</v>
      </c>
    </row>
    <row r="1589" spans="1:46">
      <c r="A1589">
        <v>35052</v>
      </c>
      <c r="B1589" t="s">
        <v>9744</v>
      </c>
      <c r="C1589" t="s">
        <v>9745</v>
      </c>
      <c r="E1589" t="s">
        <v>9746</v>
      </c>
      <c r="G1589" t="s">
        <v>1500</v>
      </c>
      <c r="H1589" t="s">
        <v>347</v>
      </c>
      <c r="J1589" t="s">
        <v>605</v>
      </c>
      <c r="K1589" t="s">
        <v>606</v>
      </c>
      <c r="L1589" t="s">
        <v>4273</v>
      </c>
      <c r="M1589" t="s">
        <v>1382</v>
      </c>
      <c r="N1589" t="s">
        <v>643</v>
      </c>
      <c r="O1589" t="s">
        <v>1435</v>
      </c>
      <c r="P1589" t="s">
        <v>610</v>
      </c>
      <c r="Q1589" t="s">
        <v>510</v>
      </c>
      <c r="R1589" t="s">
        <v>1384</v>
      </c>
      <c r="S1589" t="s">
        <v>1501</v>
      </c>
      <c r="T1589" t="s">
        <v>1320</v>
      </c>
      <c r="U1589">
        <v>171601</v>
      </c>
      <c r="V1589" t="s">
        <v>1500</v>
      </c>
      <c r="W1589" t="s">
        <v>1502</v>
      </c>
      <c r="X1589" t="s">
        <v>7695</v>
      </c>
      <c r="Y1589" t="s">
        <v>4276</v>
      </c>
      <c r="Z1589" t="s">
        <v>4277</v>
      </c>
      <c r="AA1589" t="s">
        <v>4278</v>
      </c>
      <c r="AB1589" t="s">
        <v>7696</v>
      </c>
      <c r="AE1589">
        <v>-37.804769839999999</v>
      </c>
      <c r="AF1589">
        <v>174.84667680999999</v>
      </c>
      <c r="AG1589" s="175">
        <v>21</v>
      </c>
      <c r="AH1589" s="175">
        <v>6</v>
      </c>
      <c r="AI1589" s="175">
        <v>2</v>
      </c>
      <c r="AJ1589" s="175">
        <v>3</v>
      </c>
      <c r="AK1589" s="175">
        <v>6</v>
      </c>
      <c r="AL1589" s="175">
        <v>2</v>
      </c>
      <c r="AM1589" s="175">
        <v>1</v>
      </c>
      <c r="AN1589" s="175">
        <v>0</v>
      </c>
      <c r="AO1589" s="175">
        <v>14</v>
      </c>
      <c r="AP1589" s="175">
        <v>0</v>
      </c>
      <c r="AQ1589" s="175">
        <v>14</v>
      </c>
      <c r="AR1589" s="175">
        <v>0</v>
      </c>
      <c r="AS1589" s="175">
        <v>0</v>
      </c>
      <c r="AT1589" s="175">
        <v>0</v>
      </c>
    </row>
    <row r="1590" spans="1:46">
      <c r="A1590">
        <v>35053</v>
      </c>
      <c r="B1590" t="s">
        <v>9747</v>
      </c>
      <c r="C1590" t="s">
        <v>9748</v>
      </c>
      <c r="E1590" t="s">
        <v>9749</v>
      </c>
      <c r="F1590" t="s">
        <v>1424</v>
      </c>
      <c r="G1590" t="s">
        <v>1381</v>
      </c>
      <c r="H1590" t="s">
        <v>347</v>
      </c>
      <c r="J1590" t="s">
        <v>605</v>
      </c>
      <c r="K1590" t="s">
        <v>606</v>
      </c>
      <c r="L1590" t="s">
        <v>4273</v>
      </c>
      <c r="M1590" t="s">
        <v>1382</v>
      </c>
      <c r="N1590" t="s">
        <v>608</v>
      </c>
      <c r="O1590" t="s">
        <v>1383</v>
      </c>
      <c r="P1590" t="s">
        <v>739</v>
      </c>
      <c r="Q1590" t="s">
        <v>510</v>
      </c>
      <c r="R1590" t="s">
        <v>1384</v>
      </c>
      <c r="S1590" t="s">
        <v>1396</v>
      </c>
      <c r="T1590" t="s">
        <v>1320</v>
      </c>
      <c r="U1590">
        <v>179100</v>
      </c>
      <c r="V1590" t="s">
        <v>9750</v>
      </c>
      <c r="W1590" t="s">
        <v>1398</v>
      </c>
      <c r="X1590" t="s">
        <v>7695</v>
      </c>
      <c r="Y1590" t="s">
        <v>4276</v>
      </c>
      <c r="Z1590" t="s">
        <v>4277</v>
      </c>
      <c r="AA1590" t="s">
        <v>4278</v>
      </c>
      <c r="AB1590" t="s">
        <v>7696</v>
      </c>
      <c r="AE1590">
        <v>-37.770715709999998</v>
      </c>
      <c r="AF1590">
        <v>175.29539808000001</v>
      </c>
      <c r="AG1590" s="175">
        <v>24</v>
      </c>
      <c r="AH1590" s="175">
        <v>6</v>
      </c>
      <c r="AI1590" s="175">
        <v>0</v>
      </c>
      <c r="AJ1590" s="175">
        <v>5</v>
      </c>
      <c r="AK1590" s="175">
        <v>4</v>
      </c>
      <c r="AL1590" s="175">
        <v>5</v>
      </c>
      <c r="AM1590" s="175">
        <v>9</v>
      </c>
      <c r="AN1590" s="175">
        <v>0</v>
      </c>
      <c r="AO1590" s="175">
        <v>23</v>
      </c>
      <c r="AP1590" s="175">
        <v>0</v>
      </c>
      <c r="AQ1590" s="175">
        <v>23</v>
      </c>
      <c r="AR1590" s="175">
        <v>0</v>
      </c>
      <c r="AS1590" s="175">
        <v>0</v>
      </c>
      <c r="AT1590" s="175">
        <v>0</v>
      </c>
    </row>
    <row r="1591" spans="1:46">
      <c r="A1591">
        <v>35057</v>
      </c>
      <c r="B1591" t="s">
        <v>9751</v>
      </c>
      <c r="C1591" t="s">
        <v>9752</v>
      </c>
      <c r="E1591" t="s">
        <v>9753</v>
      </c>
      <c r="F1591" t="s">
        <v>1396</v>
      </c>
      <c r="G1591" t="s">
        <v>1381</v>
      </c>
      <c r="H1591" t="s">
        <v>347</v>
      </c>
      <c r="J1591" t="s">
        <v>605</v>
      </c>
      <c r="K1591" t="s">
        <v>606</v>
      </c>
      <c r="L1591" t="s">
        <v>4273</v>
      </c>
      <c r="M1591" t="s">
        <v>1382</v>
      </c>
      <c r="N1591" t="s">
        <v>657</v>
      </c>
      <c r="O1591" t="s">
        <v>1383</v>
      </c>
      <c r="P1591" t="s">
        <v>739</v>
      </c>
      <c r="Q1591" t="s">
        <v>510</v>
      </c>
      <c r="R1591" t="s">
        <v>1384</v>
      </c>
      <c r="S1591" t="s">
        <v>1396</v>
      </c>
      <c r="T1591" t="s">
        <v>1320</v>
      </c>
      <c r="U1591">
        <v>180000</v>
      </c>
      <c r="V1591" t="s">
        <v>1490</v>
      </c>
      <c r="W1591" t="s">
        <v>1398</v>
      </c>
      <c r="X1591" t="s">
        <v>7695</v>
      </c>
      <c r="Y1591" t="s">
        <v>4276</v>
      </c>
      <c r="Z1591" t="s">
        <v>4277</v>
      </c>
      <c r="AA1591" t="s">
        <v>4278</v>
      </c>
      <c r="AB1591" t="s">
        <v>7696</v>
      </c>
      <c r="AE1591">
        <v>-37.793721679999997</v>
      </c>
      <c r="AF1591">
        <v>175.30693744000001</v>
      </c>
      <c r="AG1591" s="175">
        <v>35</v>
      </c>
      <c r="AH1591" s="175">
        <v>12</v>
      </c>
      <c r="AI1591" s="175">
        <v>0</v>
      </c>
      <c r="AJ1591" s="175">
        <v>6</v>
      </c>
      <c r="AK1591" s="175">
        <v>8</v>
      </c>
      <c r="AL1591" s="175">
        <v>10</v>
      </c>
      <c r="AM1591" s="175">
        <v>3</v>
      </c>
      <c r="AN1591" s="175">
        <v>0</v>
      </c>
      <c r="AO1591" s="175">
        <v>27</v>
      </c>
      <c r="AP1591" s="175">
        <v>0</v>
      </c>
      <c r="AQ1591" s="175">
        <v>25</v>
      </c>
      <c r="AR1591" s="175">
        <v>1</v>
      </c>
      <c r="AS1591" s="175">
        <v>0</v>
      </c>
      <c r="AT1591" s="175">
        <v>1</v>
      </c>
    </row>
    <row r="1592" spans="1:46">
      <c r="A1592">
        <v>35063</v>
      </c>
      <c r="B1592" t="s">
        <v>9754</v>
      </c>
      <c r="C1592" t="s">
        <v>9755</v>
      </c>
      <c r="E1592" t="s">
        <v>9756</v>
      </c>
      <c r="G1592" t="s">
        <v>1717</v>
      </c>
      <c r="H1592" t="s">
        <v>347</v>
      </c>
      <c r="J1592" t="s">
        <v>605</v>
      </c>
      <c r="K1592" t="s">
        <v>606</v>
      </c>
      <c r="L1592" t="s">
        <v>4273</v>
      </c>
      <c r="M1592" t="s">
        <v>1382</v>
      </c>
      <c r="N1592" t="s">
        <v>625</v>
      </c>
      <c r="O1592" t="s">
        <v>1718</v>
      </c>
      <c r="P1592" t="s">
        <v>658</v>
      </c>
      <c r="Q1592" t="s">
        <v>553</v>
      </c>
      <c r="R1592" t="s">
        <v>1555</v>
      </c>
      <c r="S1592" t="s">
        <v>1719</v>
      </c>
      <c r="T1592" t="s">
        <v>1568</v>
      </c>
      <c r="U1592">
        <v>222400</v>
      </c>
      <c r="V1592" t="s">
        <v>9132</v>
      </c>
      <c r="W1592" t="s">
        <v>1721</v>
      </c>
      <c r="X1592" t="s">
        <v>8511</v>
      </c>
      <c r="Y1592" t="s">
        <v>4276</v>
      </c>
      <c r="Z1592" t="s">
        <v>4277</v>
      </c>
      <c r="AA1592" t="s">
        <v>4278</v>
      </c>
      <c r="AB1592" t="s">
        <v>8512</v>
      </c>
      <c r="AE1592">
        <v>-38.849383410000002</v>
      </c>
      <c r="AF1592">
        <v>175.42633520999999</v>
      </c>
      <c r="AG1592" s="175">
        <v>20</v>
      </c>
      <c r="AH1592" s="175">
        <v>8</v>
      </c>
      <c r="AI1592" s="175">
        <v>0</v>
      </c>
      <c r="AJ1592" s="175">
        <v>1</v>
      </c>
      <c r="AK1592" s="175">
        <v>9</v>
      </c>
      <c r="AL1592" s="175">
        <v>4</v>
      </c>
      <c r="AM1592" s="175">
        <v>4</v>
      </c>
      <c r="AN1592" s="175">
        <v>0</v>
      </c>
      <c r="AO1592" s="175">
        <v>18</v>
      </c>
      <c r="AP1592" s="175">
        <v>0</v>
      </c>
      <c r="AQ1592" s="175">
        <v>18</v>
      </c>
      <c r="AR1592" s="175">
        <v>0</v>
      </c>
      <c r="AS1592" s="175">
        <v>0</v>
      </c>
      <c r="AT1592" s="175">
        <v>0</v>
      </c>
    </row>
    <row r="1593" spans="1:46">
      <c r="A1593">
        <v>35070</v>
      </c>
      <c r="B1593" t="s">
        <v>9757</v>
      </c>
      <c r="C1593" t="s">
        <v>9758</v>
      </c>
      <c r="E1593" t="s">
        <v>9759</v>
      </c>
      <c r="G1593" t="s">
        <v>9760</v>
      </c>
      <c r="H1593" t="s">
        <v>347</v>
      </c>
      <c r="J1593" t="s">
        <v>605</v>
      </c>
      <c r="K1593" t="s">
        <v>606</v>
      </c>
      <c r="L1593" t="s">
        <v>4273</v>
      </c>
      <c r="M1593" t="s">
        <v>1382</v>
      </c>
      <c r="N1593" t="s">
        <v>625</v>
      </c>
      <c r="O1593" t="s">
        <v>8701</v>
      </c>
      <c r="P1593" t="s">
        <v>626</v>
      </c>
      <c r="Q1593" t="s">
        <v>510</v>
      </c>
      <c r="R1593" t="s">
        <v>1384</v>
      </c>
      <c r="S1593" t="s">
        <v>1501</v>
      </c>
      <c r="T1593" t="s">
        <v>1568</v>
      </c>
      <c r="U1593">
        <v>187200</v>
      </c>
      <c r="V1593" t="s">
        <v>9197</v>
      </c>
      <c r="W1593" t="s">
        <v>9198</v>
      </c>
      <c r="X1593" t="s">
        <v>7695</v>
      </c>
      <c r="Y1593" t="s">
        <v>4276</v>
      </c>
      <c r="Z1593" t="s">
        <v>4277</v>
      </c>
      <c r="AA1593" t="s">
        <v>4278</v>
      </c>
      <c r="AB1593" t="s">
        <v>7696</v>
      </c>
      <c r="AC1593">
        <v>99106</v>
      </c>
      <c r="AD1593" t="s">
        <v>8708</v>
      </c>
      <c r="AE1593">
        <v>-38.464635540000003</v>
      </c>
      <c r="AF1593">
        <v>175.02102403000001</v>
      </c>
      <c r="AG1593" s="175">
        <v>25</v>
      </c>
      <c r="AH1593" s="175">
        <v>8</v>
      </c>
      <c r="AI1593" s="175">
        <v>0</v>
      </c>
      <c r="AJ1593" s="175">
        <v>1</v>
      </c>
      <c r="AK1593" s="175">
        <v>8</v>
      </c>
      <c r="AL1593" s="175">
        <v>3</v>
      </c>
      <c r="AM1593" s="175">
        <v>7</v>
      </c>
      <c r="AN1593" s="175">
        <v>0</v>
      </c>
      <c r="AO1593" s="175">
        <v>19</v>
      </c>
      <c r="AP1593" s="175">
        <v>0</v>
      </c>
      <c r="AQ1593" s="175">
        <v>19</v>
      </c>
      <c r="AR1593" s="175">
        <v>0</v>
      </c>
      <c r="AS1593" s="175">
        <v>0</v>
      </c>
      <c r="AT1593" s="175">
        <v>0</v>
      </c>
    </row>
    <row r="1594" spans="1:46">
      <c r="A1594">
        <v>35072</v>
      </c>
      <c r="B1594" t="s">
        <v>9761</v>
      </c>
      <c r="C1594" t="s">
        <v>9762</v>
      </c>
      <c r="E1594" t="s">
        <v>9763</v>
      </c>
      <c r="F1594" t="s">
        <v>1397</v>
      </c>
      <c r="G1594" t="s">
        <v>1381</v>
      </c>
      <c r="H1594" t="s">
        <v>347</v>
      </c>
      <c r="J1594" t="s">
        <v>605</v>
      </c>
      <c r="K1594" t="s">
        <v>606</v>
      </c>
      <c r="L1594" t="s">
        <v>4273</v>
      </c>
      <c r="M1594" t="s">
        <v>1382</v>
      </c>
      <c r="N1594" t="s">
        <v>812</v>
      </c>
      <c r="O1594" t="s">
        <v>1383</v>
      </c>
      <c r="P1594" t="s">
        <v>739</v>
      </c>
      <c r="Q1594" t="s">
        <v>510</v>
      </c>
      <c r="R1594" t="s">
        <v>1384</v>
      </c>
      <c r="S1594" t="s">
        <v>1396</v>
      </c>
      <c r="T1594" t="s">
        <v>1320</v>
      </c>
      <c r="U1594">
        <v>177300</v>
      </c>
      <c r="V1594" t="s">
        <v>1397</v>
      </c>
      <c r="W1594" t="s">
        <v>1398</v>
      </c>
      <c r="X1594" t="s">
        <v>7695</v>
      </c>
      <c r="Y1594" t="s">
        <v>4276</v>
      </c>
      <c r="Z1594" t="s">
        <v>4277</v>
      </c>
      <c r="AA1594" t="s">
        <v>4278</v>
      </c>
      <c r="AB1594" t="s">
        <v>7696</v>
      </c>
      <c r="AE1594">
        <v>-37.754375969999998</v>
      </c>
      <c r="AF1594">
        <v>175.27580741</v>
      </c>
      <c r="AG1594" s="175">
        <v>30</v>
      </c>
      <c r="AH1594" s="175">
        <v>8</v>
      </c>
      <c r="AI1594" s="175">
        <v>1</v>
      </c>
      <c r="AJ1594" s="175">
        <v>2</v>
      </c>
      <c r="AK1594" s="175">
        <v>2</v>
      </c>
      <c r="AL1594" s="175">
        <v>4</v>
      </c>
      <c r="AM1594" s="175">
        <v>2</v>
      </c>
      <c r="AN1594" s="175">
        <v>0</v>
      </c>
      <c r="AO1594" s="175">
        <v>11</v>
      </c>
      <c r="AP1594" s="175">
        <v>0</v>
      </c>
      <c r="AQ1594" s="175">
        <v>11</v>
      </c>
      <c r="AR1594" s="175">
        <v>0</v>
      </c>
      <c r="AS1594" s="175">
        <v>0</v>
      </c>
      <c r="AT1594" s="175">
        <v>0</v>
      </c>
    </row>
    <row r="1595" spans="1:46">
      <c r="A1595">
        <v>35073</v>
      </c>
      <c r="B1595" t="s">
        <v>9764</v>
      </c>
      <c r="C1595" t="s">
        <v>9765</v>
      </c>
      <c r="E1595" t="s">
        <v>9766</v>
      </c>
      <c r="G1595" t="s">
        <v>1580</v>
      </c>
      <c r="H1595" t="s">
        <v>347</v>
      </c>
      <c r="J1595" t="s">
        <v>605</v>
      </c>
      <c r="K1595" t="s">
        <v>606</v>
      </c>
      <c r="L1595" t="s">
        <v>4273</v>
      </c>
      <c r="M1595" t="s">
        <v>1382</v>
      </c>
      <c r="N1595" t="s">
        <v>625</v>
      </c>
      <c r="O1595" t="s">
        <v>1567</v>
      </c>
      <c r="P1595" t="s">
        <v>610</v>
      </c>
      <c r="Q1595" t="s">
        <v>510</v>
      </c>
      <c r="R1595" t="s">
        <v>1384</v>
      </c>
      <c r="S1595" t="s">
        <v>1404</v>
      </c>
      <c r="T1595" t="s">
        <v>1568</v>
      </c>
      <c r="U1595">
        <v>186000</v>
      </c>
      <c r="V1595" t="s">
        <v>1581</v>
      </c>
      <c r="W1595" t="s">
        <v>1582</v>
      </c>
      <c r="X1595" t="s">
        <v>7695</v>
      </c>
      <c r="Y1595" t="s">
        <v>4276</v>
      </c>
      <c r="Z1595" t="s">
        <v>4277</v>
      </c>
      <c r="AA1595" t="s">
        <v>4278</v>
      </c>
      <c r="AB1595" t="s">
        <v>7696</v>
      </c>
      <c r="AE1595">
        <v>-38.05704394</v>
      </c>
      <c r="AF1595">
        <v>175.77406317000001</v>
      </c>
      <c r="AG1595" s="175">
        <v>16</v>
      </c>
      <c r="AH1595" s="175">
        <v>4</v>
      </c>
      <c r="AI1595" s="175">
        <v>1</v>
      </c>
      <c r="AJ1595" s="175">
        <v>1</v>
      </c>
      <c r="AK1595" s="175">
        <v>1</v>
      </c>
      <c r="AL1595" s="175">
        <v>1</v>
      </c>
      <c r="AM1595" s="175">
        <v>2</v>
      </c>
      <c r="AN1595" s="175">
        <v>0</v>
      </c>
      <c r="AO1595" s="175">
        <v>6</v>
      </c>
      <c r="AP1595" s="175">
        <v>0</v>
      </c>
      <c r="AQ1595" s="175">
        <v>6</v>
      </c>
      <c r="AR1595" s="175">
        <v>0</v>
      </c>
      <c r="AS1595" s="175">
        <v>0</v>
      </c>
      <c r="AT1595" s="175">
        <v>0</v>
      </c>
    </row>
    <row r="1596" spans="1:46">
      <c r="A1596">
        <v>35074</v>
      </c>
      <c r="B1596" t="s">
        <v>9767</v>
      </c>
      <c r="C1596" t="s">
        <v>9768</v>
      </c>
      <c r="E1596" t="s">
        <v>9769</v>
      </c>
      <c r="G1596" t="s">
        <v>1669</v>
      </c>
      <c r="H1596" t="s">
        <v>347</v>
      </c>
      <c r="J1596" t="s">
        <v>605</v>
      </c>
      <c r="K1596" t="s">
        <v>606</v>
      </c>
      <c r="L1596" t="s">
        <v>4273</v>
      </c>
      <c r="M1596" t="s">
        <v>1382</v>
      </c>
      <c r="N1596" t="s">
        <v>608</v>
      </c>
      <c r="O1596" t="s">
        <v>1534</v>
      </c>
      <c r="P1596" t="s">
        <v>658</v>
      </c>
      <c r="Q1596" t="s">
        <v>510</v>
      </c>
      <c r="R1596" t="s">
        <v>1384</v>
      </c>
      <c r="S1596" t="s">
        <v>1384</v>
      </c>
      <c r="T1596" t="s">
        <v>1320</v>
      </c>
      <c r="U1596">
        <v>173801</v>
      </c>
      <c r="V1596" t="s">
        <v>9770</v>
      </c>
      <c r="W1596" t="s">
        <v>1671</v>
      </c>
      <c r="X1596" t="s">
        <v>7695</v>
      </c>
      <c r="Y1596" t="s">
        <v>4276</v>
      </c>
      <c r="Z1596" t="s">
        <v>4277</v>
      </c>
      <c r="AA1596" t="s">
        <v>4278</v>
      </c>
      <c r="AB1596" t="s">
        <v>7696</v>
      </c>
      <c r="AE1596">
        <v>-37.698995099999998</v>
      </c>
      <c r="AF1596">
        <v>175.5569538</v>
      </c>
      <c r="AG1596" s="175">
        <v>21</v>
      </c>
      <c r="AH1596" s="175">
        <v>6</v>
      </c>
      <c r="AI1596" s="175">
        <v>1</v>
      </c>
      <c r="AJ1596" s="175">
        <v>3</v>
      </c>
      <c r="AK1596" s="175">
        <v>4</v>
      </c>
      <c r="AL1596" s="175">
        <v>4</v>
      </c>
      <c r="AM1596" s="175">
        <v>6</v>
      </c>
      <c r="AN1596" s="175">
        <v>0</v>
      </c>
      <c r="AO1596" s="175">
        <v>18</v>
      </c>
      <c r="AP1596" s="175">
        <v>0</v>
      </c>
      <c r="AQ1596" s="175">
        <v>18</v>
      </c>
      <c r="AR1596" s="175">
        <v>0</v>
      </c>
      <c r="AS1596" s="175">
        <v>0</v>
      </c>
      <c r="AT1596" s="175">
        <v>0</v>
      </c>
    </row>
    <row r="1597" spans="1:46">
      <c r="A1597">
        <v>35078</v>
      </c>
      <c r="B1597" t="s">
        <v>9771</v>
      </c>
      <c r="C1597" t="s">
        <v>9772</v>
      </c>
      <c r="E1597" t="s">
        <v>9773</v>
      </c>
      <c r="G1597" t="s">
        <v>1434</v>
      </c>
      <c r="H1597" t="s">
        <v>347</v>
      </c>
      <c r="J1597" t="s">
        <v>605</v>
      </c>
      <c r="K1597" t="s">
        <v>606</v>
      </c>
      <c r="L1597" t="s">
        <v>4273</v>
      </c>
      <c r="M1597" t="s">
        <v>1382</v>
      </c>
      <c r="N1597" t="s">
        <v>812</v>
      </c>
      <c r="O1597" t="s">
        <v>1435</v>
      </c>
      <c r="P1597" t="s">
        <v>658</v>
      </c>
      <c r="Q1597" t="s">
        <v>510</v>
      </c>
      <c r="R1597" t="s">
        <v>1384</v>
      </c>
      <c r="S1597" t="s">
        <v>1501</v>
      </c>
      <c r="T1597" t="s">
        <v>1320</v>
      </c>
      <c r="U1597">
        <v>172401</v>
      </c>
      <c r="V1597" t="s">
        <v>9371</v>
      </c>
      <c r="W1597" t="s">
        <v>1437</v>
      </c>
      <c r="X1597" t="s">
        <v>7695</v>
      </c>
      <c r="Y1597" t="s">
        <v>4276</v>
      </c>
      <c r="Z1597" t="s">
        <v>4277</v>
      </c>
      <c r="AA1597" t="s">
        <v>4278</v>
      </c>
      <c r="AB1597" t="s">
        <v>7696</v>
      </c>
      <c r="AE1597">
        <v>-37.705609930000001</v>
      </c>
      <c r="AF1597">
        <v>175.14897098</v>
      </c>
      <c r="AG1597" s="175">
        <v>30</v>
      </c>
      <c r="AH1597" s="175">
        <v>15</v>
      </c>
      <c r="AI1597" s="175">
        <v>0</v>
      </c>
      <c r="AJ1597" s="175">
        <v>1</v>
      </c>
      <c r="AK1597" s="175">
        <v>0</v>
      </c>
      <c r="AL1597" s="175">
        <v>3</v>
      </c>
      <c r="AM1597" s="175">
        <v>2</v>
      </c>
      <c r="AN1597" s="175">
        <v>0</v>
      </c>
      <c r="AO1597" s="175">
        <v>6</v>
      </c>
      <c r="AP1597" s="175">
        <v>0</v>
      </c>
      <c r="AQ1597" s="175">
        <v>6</v>
      </c>
      <c r="AR1597" s="175">
        <v>0</v>
      </c>
      <c r="AS1597" s="175">
        <v>0</v>
      </c>
      <c r="AT1597" s="175">
        <v>0</v>
      </c>
    </row>
    <row r="1598" spans="1:46">
      <c r="A1598">
        <v>35082</v>
      </c>
      <c r="B1598" t="s">
        <v>9774</v>
      </c>
      <c r="C1598" t="s">
        <v>9775</v>
      </c>
      <c r="E1598" t="s">
        <v>9776</v>
      </c>
      <c r="G1598" t="s">
        <v>9777</v>
      </c>
      <c r="H1598" t="s">
        <v>347</v>
      </c>
      <c r="J1598" t="s">
        <v>605</v>
      </c>
      <c r="K1598" t="s">
        <v>606</v>
      </c>
      <c r="L1598" t="s">
        <v>4273</v>
      </c>
      <c r="M1598" t="s">
        <v>1382</v>
      </c>
      <c r="N1598" t="s">
        <v>608</v>
      </c>
      <c r="O1598" t="s">
        <v>1629</v>
      </c>
      <c r="P1598" t="s">
        <v>626</v>
      </c>
      <c r="Q1598" t="s">
        <v>510</v>
      </c>
      <c r="R1598" t="s">
        <v>1384</v>
      </c>
      <c r="S1598" t="s">
        <v>1404</v>
      </c>
      <c r="T1598" t="s">
        <v>1568</v>
      </c>
      <c r="U1598">
        <v>187702</v>
      </c>
      <c r="V1598" t="s">
        <v>9777</v>
      </c>
      <c r="W1598" t="s">
        <v>9778</v>
      </c>
      <c r="X1598" t="s">
        <v>7695</v>
      </c>
      <c r="Y1598" t="s">
        <v>4276</v>
      </c>
      <c r="Z1598" t="s">
        <v>4277</v>
      </c>
      <c r="AA1598" t="s">
        <v>4278</v>
      </c>
      <c r="AB1598" t="s">
        <v>7696</v>
      </c>
      <c r="AE1598">
        <v>-38.368073699999997</v>
      </c>
      <c r="AF1598">
        <v>175.770229</v>
      </c>
      <c r="AG1598" s="175">
        <v>38</v>
      </c>
      <c r="AH1598" s="175">
        <v>12</v>
      </c>
      <c r="AI1598" s="175">
        <v>2</v>
      </c>
      <c r="AJ1598" s="175">
        <v>3</v>
      </c>
      <c r="AK1598" s="175">
        <v>5</v>
      </c>
      <c r="AL1598" s="175">
        <v>1</v>
      </c>
      <c r="AM1598" s="175">
        <v>7</v>
      </c>
      <c r="AN1598" s="175">
        <v>0</v>
      </c>
      <c r="AO1598" s="175">
        <v>18</v>
      </c>
      <c r="AP1598" s="175">
        <v>0</v>
      </c>
      <c r="AQ1598" s="175">
        <v>14</v>
      </c>
      <c r="AR1598" s="175">
        <v>2</v>
      </c>
      <c r="AS1598" s="175">
        <v>0</v>
      </c>
      <c r="AT1598" s="175">
        <v>2</v>
      </c>
    </row>
    <row r="1599" spans="1:46">
      <c r="A1599">
        <v>35088</v>
      </c>
      <c r="B1599" t="s">
        <v>9779</v>
      </c>
      <c r="C1599" t="s">
        <v>9780</v>
      </c>
      <c r="E1599" t="s">
        <v>9781</v>
      </c>
      <c r="G1599" t="s">
        <v>1662</v>
      </c>
      <c r="H1599" t="s">
        <v>347</v>
      </c>
      <c r="J1599" t="s">
        <v>605</v>
      </c>
      <c r="K1599" t="s">
        <v>606</v>
      </c>
      <c r="L1599" t="s">
        <v>4273</v>
      </c>
      <c r="M1599" t="s">
        <v>1382</v>
      </c>
      <c r="N1599" t="s">
        <v>812</v>
      </c>
      <c r="O1599" t="s">
        <v>1534</v>
      </c>
      <c r="P1599" t="s">
        <v>610</v>
      </c>
      <c r="Q1599" t="s">
        <v>510</v>
      </c>
      <c r="R1599" t="s">
        <v>1384</v>
      </c>
      <c r="S1599" t="s">
        <v>1384</v>
      </c>
      <c r="T1599" t="s">
        <v>1320</v>
      </c>
      <c r="U1599">
        <v>175002</v>
      </c>
      <c r="V1599" t="s">
        <v>9782</v>
      </c>
      <c r="W1599" t="s">
        <v>1664</v>
      </c>
      <c r="X1599" t="s">
        <v>7695</v>
      </c>
      <c r="Y1599" t="s">
        <v>4276</v>
      </c>
      <c r="Z1599" t="s">
        <v>4277</v>
      </c>
      <c r="AA1599" t="s">
        <v>4278</v>
      </c>
      <c r="AB1599" t="s">
        <v>7696</v>
      </c>
      <c r="AE1599">
        <v>-37.818658300000003</v>
      </c>
      <c r="AF1599">
        <v>175.7717892</v>
      </c>
      <c r="AG1599" s="175">
        <v>30</v>
      </c>
      <c r="AH1599" s="175">
        <v>12</v>
      </c>
      <c r="AI1599" s="175">
        <v>0</v>
      </c>
      <c r="AJ1599" s="175">
        <v>4</v>
      </c>
      <c r="AK1599" s="175">
        <v>12</v>
      </c>
      <c r="AL1599" s="175">
        <v>7</v>
      </c>
      <c r="AM1599" s="175">
        <v>6</v>
      </c>
      <c r="AN1599" s="175">
        <v>0</v>
      </c>
      <c r="AO1599" s="175">
        <v>29</v>
      </c>
      <c r="AP1599" s="175">
        <v>0</v>
      </c>
      <c r="AQ1599" s="175">
        <v>28</v>
      </c>
      <c r="AR1599" s="175">
        <v>1</v>
      </c>
      <c r="AS1599" s="175">
        <v>0</v>
      </c>
      <c r="AT1599" s="175">
        <v>0</v>
      </c>
    </row>
    <row r="1600" spans="1:46">
      <c r="A1600">
        <v>35089</v>
      </c>
      <c r="B1600" t="s">
        <v>9783</v>
      </c>
      <c r="C1600" t="s">
        <v>9784</v>
      </c>
      <c r="E1600" t="s">
        <v>9785</v>
      </c>
      <c r="G1600" t="s">
        <v>1402</v>
      </c>
      <c r="H1600" t="s">
        <v>347</v>
      </c>
      <c r="J1600" t="s">
        <v>605</v>
      </c>
      <c r="K1600" t="s">
        <v>606</v>
      </c>
      <c r="L1600" t="s">
        <v>4273</v>
      </c>
      <c r="M1600" t="s">
        <v>1382</v>
      </c>
      <c r="N1600" t="s">
        <v>657</v>
      </c>
      <c r="O1600" t="s">
        <v>1403</v>
      </c>
      <c r="P1600" t="s">
        <v>1347</v>
      </c>
      <c r="Q1600" t="s">
        <v>510</v>
      </c>
      <c r="R1600" t="s">
        <v>1384</v>
      </c>
      <c r="S1600" t="s">
        <v>1404</v>
      </c>
      <c r="T1600" t="s">
        <v>1320</v>
      </c>
      <c r="U1600">
        <v>183200</v>
      </c>
      <c r="V1600" t="s">
        <v>8564</v>
      </c>
      <c r="W1600" t="s">
        <v>1406</v>
      </c>
      <c r="X1600" t="s">
        <v>7695</v>
      </c>
      <c r="Y1600" t="s">
        <v>4276</v>
      </c>
      <c r="Z1600" t="s">
        <v>4277</v>
      </c>
      <c r="AA1600" t="s">
        <v>4278</v>
      </c>
      <c r="AB1600" t="s">
        <v>7696</v>
      </c>
      <c r="AE1600">
        <v>-37.885726699999999</v>
      </c>
      <c r="AF1600">
        <v>175.48321379999999</v>
      </c>
      <c r="AG1600" s="175">
        <v>30</v>
      </c>
      <c r="AH1600" s="175">
        <v>8</v>
      </c>
      <c r="AI1600" s="175">
        <v>0</v>
      </c>
      <c r="AJ1600" s="175">
        <v>2</v>
      </c>
      <c r="AK1600" s="175">
        <v>6</v>
      </c>
      <c r="AL1600" s="175">
        <v>6</v>
      </c>
      <c r="AM1600" s="175">
        <v>2</v>
      </c>
      <c r="AN1600" s="175">
        <v>0</v>
      </c>
      <c r="AO1600" s="175">
        <v>16</v>
      </c>
      <c r="AP1600" s="175">
        <v>0</v>
      </c>
      <c r="AQ1600" s="175">
        <v>14</v>
      </c>
      <c r="AR1600" s="175">
        <v>0</v>
      </c>
      <c r="AS1600" s="175">
        <v>0</v>
      </c>
      <c r="AT1600" s="175">
        <v>2</v>
      </c>
    </row>
    <row r="1601" spans="1:46">
      <c r="A1601">
        <v>40001</v>
      </c>
      <c r="B1601" t="s">
        <v>9786</v>
      </c>
      <c r="C1601" t="s">
        <v>9787</v>
      </c>
      <c r="E1601" t="s">
        <v>9788</v>
      </c>
      <c r="G1601" t="s">
        <v>1731</v>
      </c>
      <c r="H1601" t="s">
        <v>449</v>
      </c>
      <c r="J1601" t="s">
        <v>605</v>
      </c>
      <c r="K1601" t="s">
        <v>606</v>
      </c>
      <c r="M1601" t="s">
        <v>1382</v>
      </c>
      <c r="N1601" t="s">
        <v>608</v>
      </c>
      <c r="O1601" t="s">
        <v>1732</v>
      </c>
      <c r="P1601" t="s">
        <v>610</v>
      </c>
      <c r="Q1601" t="s">
        <v>511</v>
      </c>
      <c r="R1601" t="s">
        <v>1555</v>
      </c>
      <c r="S1601" t="s">
        <v>1556</v>
      </c>
      <c r="T1601" t="s">
        <v>1557</v>
      </c>
      <c r="U1601">
        <v>203800</v>
      </c>
      <c r="V1601" t="s">
        <v>9789</v>
      </c>
      <c r="W1601" t="s">
        <v>1734</v>
      </c>
      <c r="X1601" t="s">
        <v>9790</v>
      </c>
      <c r="Y1601" t="s">
        <v>9791</v>
      </c>
      <c r="AA1601" t="s">
        <v>9792</v>
      </c>
      <c r="AB1601" t="s">
        <v>9787</v>
      </c>
      <c r="AC1601">
        <v>99038</v>
      </c>
      <c r="AD1601" t="s">
        <v>1598</v>
      </c>
      <c r="AE1601">
        <v>-38.087039699999998</v>
      </c>
      <c r="AF1601">
        <v>176.70899979999999</v>
      </c>
      <c r="AG1601" s="175">
        <v>55</v>
      </c>
      <c r="AH1601" s="175">
        <v>18</v>
      </c>
      <c r="AI1601" s="175">
        <v>4</v>
      </c>
      <c r="AJ1601" s="175">
        <v>6</v>
      </c>
      <c r="AK1601" s="175">
        <v>10</v>
      </c>
      <c r="AL1601" s="175">
        <v>14</v>
      </c>
      <c r="AM1601" s="175">
        <v>19</v>
      </c>
      <c r="AN1601" s="175">
        <v>0</v>
      </c>
      <c r="AO1601" s="175">
        <v>53</v>
      </c>
      <c r="AP1601" s="175">
        <v>15</v>
      </c>
      <c r="AQ1601" s="175">
        <v>41</v>
      </c>
      <c r="AR1601" s="175">
        <v>2</v>
      </c>
      <c r="AS1601" s="175">
        <v>5</v>
      </c>
      <c r="AT1601" s="175">
        <v>0</v>
      </c>
    </row>
    <row r="1602" spans="1:46">
      <c r="A1602">
        <v>40004</v>
      </c>
      <c r="B1602" t="s">
        <v>9793</v>
      </c>
      <c r="C1602" t="s">
        <v>9794</v>
      </c>
      <c r="D1602" t="s">
        <v>9795</v>
      </c>
      <c r="E1602" t="s">
        <v>9796</v>
      </c>
      <c r="G1602" t="s">
        <v>1824</v>
      </c>
      <c r="H1602" t="s">
        <v>301</v>
      </c>
      <c r="J1602" t="s">
        <v>605</v>
      </c>
      <c r="K1602" t="s">
        <v>606</v>
      </c>
      <c r="M1602" t="s">
        <v>1382</v>
      </c>
      <c r="N1602" t="s">
        <v>657</v>
      </c>
      <c r="O1602" t="s">
        <v>1825</v>
      </c>
      <c r="P1602" t="s">
        <v>610</v>
      </c>
      <c r="Q1602" t="s">
        <v>511</v>
      </c>
      <c r="R1602" t="s">
        <v>1555</v>
      </c>
      <c r="S1602" t="s">
        <v>1604</v>
      </c>
      <c r="T1602" t="s">
        <v>1557</v>
      </c>
      <c r="U1602">
        <v>192101</v>
      </c>
      <c r="V1602" t="s">
        <v>1826</v>
      </c>
      <c r="W1602" t="s">
        <v>1827</v>
      </c>
      <c r="X1602" t="s">
        <v>9797</v>
      </c>
      <c r="Y1602" t="s">
        <v>5253</v>
      </c>
      <c r="AA1602" t="s">
        <v>5254</v>
      </c>
      <c r="AB1602" t="s">
        <v>8390</v>
      </c>
      <c r="AE1602">
        <v>-37.782798700000001</v>
      </c>
      <c r="AF1602">
        <v>176.33070129999999</v>
      </c>
      <c r="AG1602" s="175">
        <v>30</v>
      </c>
      <c r="AH1602" s="175">
        <v>15</v>
      </c>
      <c r="AI1602" s="175">
        <v>24</v>
      </c>
      <c r="AJ1602" s="175">
        <v>9</v>
      </c>
      <c r="AK1602" s="175">
        <v>2</v>
      </c>
      <c r="AL1602" s="175">
        <v>13</v>
      </c>
      <c r="AM1602" s="175">
        <v>6</v>
      </c>
      <c r="AN1602" s="175">
        <v>1</v>
      </c>
      <c r="AO1602" s="175">
        <v>55</v>
      </c>
      <c r="AP1602" s="175">
        <v>48</v>
      </c>
      <c r="AQ1602" s="175">
        <v>6</v>
      </c>
      <c r="AR1602" s="175">
        <v>2</v>
      </c>
      <c r="AS1602" s="175">
        <v>6</v>
      </c>
      <c r="AT1602" s="175">
        <v>3</v>
      </c>
    </row>
    <row r="1603" spans="1:46">
      <c r="A1603">
        <v>40006</v>
      </c>
      <c r="B1603" t="s">
        <v>9798</v>
      </c>
      <c r="C1603" t="s">
        <v>9799</v>
      </c>
      <c r="D1603" t="s">
        <v>9795</v>
      </c>
      <c r="E1603" t="s">
        <v>9800</v>
      </c>
      <c r="F1603" t="s">
        <v>1681</v>
      </c>
      <c r="G1603" t="s">
        <v>1681</v>
      </c>
      <c r="H1603" t="s">
        <v>301</v>
      </c>
      <c r="J1603" t="s">
        <v>605</v>
      </c>
      <c r="K1603" t="s">
        <v>606</v>
      </c>
      <c r="M1603" t="s">
        <v>1382</v>
      </c>
      <c r="N1603" t="s">
        <v>657</v>
      </c>
      <c r="O1603" t="s">
        <v>1825</v>
      </c>
      <c r="P1603" t="s">
        <v>658</v>
      </c>
      <c r="Q1603" t="s">
        <v>511</v>
      </c>
      <c r="R1603" t="s">
        <v>1555</v>
      </c>
      <c r="S1603" t="s">
        <v>1781</v>
      </c>
      <c r="T1603" t="s">
        <v>1557</v>
      </c>
      <c r="U1603">
        <v>191201</v>
      </c>
      <c r="V1603" t="s">
        <v>9801</v>
      </c>
      <c r="W1603" t="s">
        <v>8823</v>
      </c>
      <c r="X1603" t="s">
        <v>9797</v>
      </c>
      <c r="Y1603" t="s">
        <v>5253</v>
      </c>
      <c r="AA1603" t="s">
        <v>5254</v>
      </c>
      <c r="AB1603" t="s">
        <v>8390</v>
      </c>
      <c r="AE1603">
        <v>-37.675658380000002</v>
      </c>
      <c r="AF1603">
        <v>176.07668050999999</v>
      </c>
      <c r="AG1603" s="175">
        <v>25</v>
      </c>
      <c r="AH1603" s="175">
        <v>15</v>
      </c>
      <c r="AI1603" s="175">
        <v>2</v>
      </c>
      <c r="AJ1603" s="175">
        <v>2</v>
      </c>
      <c r="AK1603" s="175">
        <v>1</v>
      </c>
      <c r="AL1603" s="175">
        <v>0</v>
      </c>
      <c r="AM1603" s="175">
        <v>0</v>
      </c>
      <c r="AN1603" s="175">
        <v>0</v>
      </c>
      <c r="AO1603" s="175">
        <v>5</v>
      </c>
      <c r="AP1603" s="175">
        <v>5</v>
      </c>
      <c r="AQ1603" s="175">
        <v>1</v>
      </c>
      <c r="AR1603" s="175">
        <v>0</v>
      </c>
      <c r="AS1603" s="175">
        <v>0</v>
      </c>
      <c r="AT1603" s="175">
        <v>0</v>
      </c>
    </row>
    <row r="1604" spans="1:46">
      <c r="A1604">
        <v>40008</v>
      </c>
      <c r="B1604" t="s">
        <v>9802</v>
      </c>
      <c r="C1604" t="s">
        <v>9803</v>
      </c>
      <c r="D1604" t="s">
        <v>9795</v>
      </c>
      <c r="E1604" t="s">
        <v>9804</v>
      </c>
      <c r="G1604" t="s">
        <v>8953</v>
      </c>
      <c r="H1604" t="s">
        <v>301</v>
      </c>
      <c r="J1604" t="s">
        <v>605</v>
      </c>
      <c r="K1604" t="s">
        <v>606</v>
      </c>
      <c r="M1604" t="s">
        <v>1382</v>
      </c>
      <c r="N1604" t="s">
        <v>657</v>
      </c>
      <c r="O1604" t="s">
        <v>1825</v>
      </c>
      <c r="P1604" t="s">
        <v>610</v>
      </c>
      <c r="Q1604" t="s">
        <v>511</v>
      </c>
      <c r="R1604" t="s">
        <v>1555</v>
      </c>
      <c r="S1604" t="s">
        <v>1522</v>
      </c>
      <c r="T1604" t="s">
        <v>1557</v>
      </c>
      <c r="U1604">
        <v>191101</v>
      </c>
      <c r="V1604" t="s">
        <v>9805</v>
      </c>
      <c r="W1604" t="s">
        <v>8823</v>
      </c>
      <c r="X1604" t="s">
        <v>9797</v>
      </c>
      <c r="Y1604" t="s">
        <v>5253</v>
      </c>
      <c r="AA1604" t="s">
        <v>5254</v>
      </c>
      <c r="AB1604" t="s">
        <v>8390</v>
      </c>
      <c r="AE1604">
        <v>-37.652386239999998</v>
      </c>
      <c r="AF1604">
        <v>176.02603680000001</v>
      </c>
      <c r="AG1604" s="175">
        <v>30</v>
      </c>
      <c r="AH1604" s="175">
        <v>15</v>
      </c>
      <c r="AI1604" s="175">
        <v>26</v>
      </c>
      <c r="AJ1604" s="175">
        <v>5</v>
      </c>
      <c r="AK1604" s="175">
        <v>17</v>
      </c>
      <c r="AL1604" s="175">
        <v>6</v>
      </c>
      <c r="AM1604" s="175">
        <v>7</v>
      </c>
      <c r="AN1604" s="175">
        <v>1</v>
      </c>
      <c r="AO1604" s="175">
        <v>62</v>
      </c>
      <c r="AP1604" s="175">
        <v>60</v>
      </c>
      <c r="AQ1604" s="175">
        <v>12</v>
      </c>
      <c r="AR1604" s="175">
        <v>0</v>
      </c>
      <c r="AS1604" s="175">
        <v>4</v>
      </c>
      <c r="AT1604" s="175">
        <v>2</v>
      </c>
    </row>
    <row r="1605" spans="1:46">
      <c r="A1605">
        <v>40009</v>
      </c>
      <c r="B1605" t="s">
        <v>9806</v>
      </c>
      <c r="C1605" t="s">
        <v>9807</v>
      </c>
      <c r="D1605" t="s">
        <v>9795</v>
      </c>
      <c r="E1605" t="s">
        <v>9808</v>
      </c>
      <c r="F1605" t="s">
        <v>3944</v>
      </c>
      <c r="G1605" t="s">
        <v>1681</v>
      </c>
      <c r="H1605" t="s">
        <v>301</v>
      </c>
      <c r="J1605" t="s">
        <v>605</v>
      </c>
      <c r="K1605" t="s">
        <v>606</v>
      </c>
      <c r="M1605" t="s">
        <v>1382</v>
      </c>
      <c r="N1605" t="s">
        <v>657</v>
      </c>
      <c r="O1605" t="s">
        <v>1780</v>
      </c>
      <c r="P1605" t="s">
        <v>739</v>
      </c>
      <c r="Q1605" t="s">
        <v>511</v>
      </c>
      <c r="R1605" t="s">
        <v>1555</v>
      </c>
      <c r="S1605" t="s">
        <v>1781</v>
      </c>
      <c r="T1605" t="s">
        <v>1557</v>
      </c>
      <c r="U1605">
        <v>196700</v>
      </c>
      <c r="V1605" t="s">
        <v>9809</v>
      </c>
      <c r="W1605" t="s">
        <v>1813</v>
      </c>
      <c r="X1605" t="s">
        <v>9797</v>
      </c>
      <c r="Y1605" t="s">
        <v>5253</v>
      </c>
      <c r="AA1605" t="s">
        <v>5254</v>
      </c>
      <c r="AB1605" t="s">
        <v>8390</v>
      </c>
      <c r="AE1605">
        <v>-37.727173000000001</v>
      </c>
      <c r="AF1605">
        <v>176.19675849999999</v>
      </c>
      <c r="AG1605" s="175">
        <v>25</v>
      </c>
      <c r="AH1605" s="175">
        <v>15</v>
      </c>
      <c r="AI1605" s="175">
        <v>41</v>
      </c>
      <c r="AJ1605" s="175">
        <v>6</v>
      </c>
      <c r="AK1605" s="175">
        <v>16</v>
      </c>
      <c r="AL1605" s="175">
        <v>9</v>
      </c>
      <c r="AM1605" s="175">
        <v>7</v>
      </c>
      <c r="AN1605" s="175">
        <v>0</v>
      </c>
      <c r="AO1605" s="175">
        <v>79</v>
      </c>
      <c r="AP1605" s="175">
        <v>79</v>
      </c>
      <c r="AQ1605" s="175">
        <v>15</v>
      </c>
      <c r="AR1605" s="175">
        <v>4</v>
      </c>
      <c r="AS1605" s="175">
        <v>5</v>
      </c>
      <c r="AT1605" s="175">
        <v>0</v>
      </c>
    </row>
    <row r="1606" spans="1:46">
      <c r="A1606">
        <v>40010</v>
      </c>
      <c r="B1606" t="s">
        <v>9810</v>
      </c>
      <c r="C1606" t="s">
        <v>9811</v>
      </c>
      <c r="D1606" t="s">
        <v>9795</v>
      </c>
      <c r="E1606" t="s">
        <v>9812</v>
      </c>
      <c r="G1606" t="s">
        <v>9813</v>
      </c>
      <c r="H1606" t="s">
        <v>301</v>
      </c>
      <c r="J1606" t="s">
        <v>605</v>
      </c>
      <c r="K1606" t="s">
        <v>606</v>
      </c>
      <c r="M1606" t="s">
        <v>1382</v>
      </c>
      <c r="N1606" t="s">
        <v>657</v>
      </c>
      <c r="O1606" t="s">
        <v>1780</v>
      </c>
      <c r="P1606" t="s">
        <v>739</v>
      </c>
      <c r="Q1606" t="s">
        <v>511</v>
      </c>
      <c r="R1606" t="s">
        <v>1555</v>
      </c>
      <c r="S1606" t="s">
        <v>1681</v>
      </c>
      <c r="T1606" t="s">
        <v>1557</v>
      </c>
      <c r="U1606">
        <v>194500</v>
      </c>
      <c r="V1606" t="s">
        <v>9813</v>
      </c>
      <c r="W1606" t="s">
        <v>1791</v>
      </c>
      <c r="X1606" t="s">
        <v>9797</v>
      </c>
      <c r="Y1606" t="s">
        <v>5253</v>
      </c>
      <c r="AA1606" t="s">
        <v>5254</v>
      </c>
      <c r="AB1606" t="s">
        <v>8390</v>
      </c>
      <c r="AE1606">
        <v>-37.741097000000003</v>
      </c>
      <c r="AF1606">
        <v>176.09454980000001</v>
      </c>
      <c r="AG1606" s="175">
        <v>30</v>
      </c>
      <c r="AH1606" s="175">
        <v>15</v>
      </c>
      <c r="AI1606" s="175">
        <v>14</v>
      </c>
      <c r="AJ1606" s="175">
        <v>2</v>
      </c>
      <c r="AK1606" s="175">
        <v>8</v>
      </c>
      <c r="AL1606" s="175">
        <v>7</v>
      </c>
      <c r="AM1606" s="175">
        <v>3</v>
      </c>
      <c r="AN1606" s="175">
        <v>0</v>
      </c>
      <c r="AO1606" s="175">
        <v>34</v>
      </c>
      <c r="AP1606" s="175">
        <v>33</v>
      </c>
      <c r="AQ1606" s="175">
        <v>5</v>
      </c>
      <c r="AR1606" s="175">
        <v>3</v>
      </c>
      <c r="AS1606" s="175">
        <v>1</v>
      </c>
      <c r="AT1606" s="175">
        <v>0</v>
      </c>
    </row>
    <row r="1607" spans="1:46">
      <c r="A1607">
        <v>40011</v>
      </c>
      <c r="B1607" t="s">
        <v>9814</v>
      </c>
      <c r="C1607" t="s">
        <v>9815</v>
      </c>
      <c r="D1607" t="s">
        <v>9795</v>
      </c>
      <c r="E1607" t="s">
        <v>9816</v>
      </c>
      <c r="F1607" t="s">
        <v>1681</v>
      </c>
      <c r="G1607" t="s">
        <v>1681</v>
      </c>
      <c r="H1607" t="s">
        <v>301</v>
      </c>
      <c r="J1607" t="s">
        <v>605</v>
      </c>
      <c r="K1607" t="s">
        <v>606</v>
      </c>
      <c r="M1607" t="s">
        <v>1382</v>
      </c>
      <c r="N1607" t="s">
        <v>657</v>
      </c>
      <c r="O1607" t="s">
        <v>1825</v>
      </c>
      <c r="P1607" t="s">
        <v>658</v>
      </c>
      <c r="Q1607" t="s">
        <v>511</v>
      </c>
      <c r="R1607" t="s">
        <v>1555</v>
      </c>
      <c r="S1607" t="s">
        <v>1781</v>
      </c>
      <c r="T1607" t="s">
        <v>1557</v>
      </c>
      <c r="U1607">
        <v>191700</v>
      </c>
      <c r="V1607" t="s">
        <v>9817</v>
      </c>
      <c r="W1607" t="s">
        <v>8823</v>
      </c>
      <c r="X1607" t="s">
        <v>9797</v>
      </c>
      <c r="Y1607" t="s">
        <v>5253</v>
      </c>
      <c r="AA1607" t="s">
        <v>5254</v>
      </c>
      <c r="AB1607" t="s">
        <v>8390</v>
      </c>
      <c r="AE1607">
        <v>-37.818156530000003</v>
      </c>
      <c r="AF1607">
        <v>176.12482507999999</v>
      </c>
      <c r="AG1607" s="175">
        <v>25</v>
      </c>
      <c r="AH1607" s="175">
        <v>10</v>
      </c>
      <c r="AI1607" s="175">
        <v>1</v>
      </c>
      <c r="AJ1607" s="175">
        <v>7</v>
      </c>
      <c r="AK1607" s="175">
        <v>5</v>
      </c>
      <c r="AL1607" s="175">
        <v>3</v>
      </c>
      <c r="AM1607" s="175">
        <v>7</v>
      </c>
      <c r="AN1607" s="175">
        <v>0</v>
      </c>
      <c r="AO1607" s="175">
        <v>23</v>
      </c>
      <c r="AP1607" s="175">
        <v>23</v>
      </c>
      <c r="AQ1607" s="175">
        <v>3</v>
      </c>
      <c r="AR1607" s="175">
        <v>2</v>
      </c>
      <c r="AS1607" s="175">
        <v>0</v>
      </c>
      <c r="AT1607" s="175">
        <v>0</v>
      </c>
    </row>
    <row r="1608" spans="1:46">
      <c r="A1608">
        <v>40012</v>
      </c>
      <c r="B1608" t="s">
        <v>9818</v>
      </c>
      <c r="C1608" t="s">
        <v>9819</v>
      </c>
      <c r="D1608" t="s">
        <v>9795</v>
      </c>
      <c r="E1608" t="s">
        <v>9820</v>
      </c>
      <c r="G1608" t="s">
        <v>1833</v>
      </c>
      <c r="H1608" t="s">
        <v>301</v>
      </c>
      <c r="J1608" t="s">
        <v>605</v>
      </c>
      <c r="K1608" t="s">
        <v>606</v>
      </c>
      <c r="M1608" t="s">
        <v>1382</v>
      </c>
      <c r="N1608" t="s">
        <v>657</v>
      </c>
      <c r="O1608" t="s">
        <v>1825</v>
      </c>
      <c r="P1608" t="s">
        <v>658</v>
      </c>
      <c r="Q1608" t="s">
        <v>511</v>
      </c>
      <c r="R1608" t="s">
        <v>1555</v>
      </c>
      <c r="S1608" t="s">
        <v>1556</v>
      </c>
      <c r="T1608" t="s">
        <v>1557</v>
      </c>
      <c r="U1608">
        <v>192500</v>
      </c>
      <c r="V1608" t="s">
        <v>1833</v>
      </c>
      <c r="W1608" t="s">
        <v>1827</v>
      </c>
      <c r="X1608" t="s">
        <v>9797</v>
      </c>
      <c r="Y1608" t="s">
        <v>5253</v>
      </c>
      <c r="AA1608" t="s">
        <v>5254</v>
      </c>
      <c r="AB1608" t="s">
        <v>8390</v>
      </c>
      <c r="AE1608">
        <v>-37.8375299</v>
      </c>
      <c r="AF1608">
        <v>176.4759684</v>
      </c>
      <c r="AG1608" s="175">
        <v>25</v>
      </c>
      <c r="AH1608" s="175">
        <v>13</v>
      </c>
      <c r="AI1608" s="175">
        <v>4</v>
      </c>
      <c r="AJ1608" s="175">
        <v>4</v>
      </c>
      <c r="AK1608" s="175">
        <v>8</v>
      </c>
      <c r="AL1608" s="175">
        <v>8</v>
      </c>
      <c r="AM1608" s="175">
        <v>4</v>
      </c>
      <c r="AN1608" s="175">
        <v>0</v>
      </c>
      <c r="AO1608" s="175">
        <v>28</v>
      </c>
      <c r="AP1608" s="175">
        <v>24</v>
      </c>
      <c r="AQ1608" s="175">
        <v>9</v>
      </c>
      <c r="AR1608" s="175">
        <v>0</v>
      </c>
      <c r="AS1608" s="175">
        <v>1</v>
      </c>
      <c r="AT1608" s="175">
        <v>1</v>
      </c>
    </row>
    <row r="1609" spans="1:46">
      <c r="A1609">
        <v>40013</v>
      </c>
      <c r="B1609" t="s">
        <v>9821</v>
      </c>
      <c r="C1609" t="s">
        <v>9822</v>
      </c>
      <c r="D1609" t="s">
        <v>9795</v>
      </c>
      <c r="E1609" t="s">
        <v>9823</v>
      </c>
      <c r="F1609" t="s">
        <v>3841</v>
      </c>
      <c r="G1609" t="s">
        <v>1681</v>
      </c>
      <c r="H1609" t="s">
        <v>301</v>
      </c>
      <c r="J1609" t="s">
        <v>605</v>
      </c>
      <c r="K1609" t="s">
        <v>606</v>
      </c>
      <c r="M1609" t="s">
        <v>1382</v>
      </c>
      <c r="N1609" t="s">
        <v>657</v>
      </c>
      <c r="O1609" t="s">
        <v>1780</v>
      </c>
      <c r="P1609" t="s">
        <v>739</v>
      </c>
      <c r="Q1609" t="s">
        <v>511</v>
      </c>
      <c r="R1609" t="s">
        <v>1555</v>
      </c>
      <c r="S1609" t="s">
        <v>1781</v>
      </c>
      <c r="T1609" t="s">
        <v>1557</v>
      </c>
      <c r="U1609">
        <v>197400</v>
      </c>
      <c r="V1609" t="s">
        <v>8635</v>
      </c>
      <c r="W1609" t="s">
        <v>3843</v>
      </c>
      <c r="X1609" t="s">
        <v>9797</v>
      </c>
      <c r="Y1609" t="s">
        <v>5253</v>
      </c>
      <c r="AA1609" t="s">
        <v>5254</v>
      </c>
      <c r="AB1609" t="s">
        <v>8390</v>
      </c>
      <c r="AE1609">
        <v>-37.7083686</v>
      </c>
      <c r="AF1609">
        <v>176.31364579999999</v>
      </c>
      <c r="AG1609" s="175">
        <v>30</v>
      </c>
      <c r="AH1609" s="175">
        <v>19</v>
      </c>
      <c r="AI1609" s="175">
        <v>56</v>
      </c>
      <c r="AJ1609" s="175">
        <v>12</v>
      </c>
      <c r="AK1609" s="175">
        <v>21</v>
      </c>
      <c r="AL1609" s="175">
        <v>13</v>
      </c>
      <c r="AM1609" s="175">
        <v>9</v>
      </c>
      <c r="AN1609" s="175">
        <v>1</v>
      </c>
      <c r="AO1609" s="175">
        <v>112</v>
      </c>
      <c r="AP1609" s="175">
        <v>106</v>
      </c>
      <c r="AQ1609" s="175">
        <v>22</v>
      </c>
      <c r="AR1609" s="175">
        <v>5</v>
      </c>
      <c r="AS1609" s="175">
        <v>3</v>
      </c>
      <c r="AT1609" s="175">
        <v>1</v>
      </c>
    </row>
    <row r="1610" spans="1:46">
      <c r="A1610">
        <v>40016</v>
      </c>
      <c r="B1610" t="s">
        <v>9824</v>
      </c>
      <c r="C1610" t="s">
        <v>9825</v>
      </c>
      <c r="D1610" t="s">
        <v>9795</v>
      </c>
      <c r="E1610" t="s">
        <v>9826</v>
      </c>
      <c r="F1610" t="s">
        <v>9827</v>
      </c>
      <c r="G1610" t="s">
        <v>1681</v>
      </c>
      <c r="H1610" t="s">
        <v>301</v>
      </c>
      <c r="J1610" t="s">
        <v>605</v>
      </c>
      <c r="K1610" t="s">
        <v>606</v>
      </c>
      <c r="M1610" t="s">
        <v>1382</v>
      </c>
      <c r="N1610" t="s">
        <v>657</v>
      </c>
      <c r="O1610" t="s">
        <v>1780</v>
      </c>
      <c r="P1610" t="s">
        <v>739</v>
      </c>
      <c r="Q1610" t="s">
        <v>511</v>
      </c>
      <c r="R1610" t="s">
        <v>1555</v>
      </c>
      <c r="S1610" t="s">
        <v>1681</v>
      </c>
      <c r="T1610" t="s">
        <v>1557</v>
      </c>
      <c r="U1610">
        <v>193100</v>
      </c>
      <c r="V1610" t="s">
        <v>9827</v>
      </c>
      <c r="W1610" t="s">
        <v>1819</v>
      </c>
      <c r="X1610" t="s">
        <v>9797</v>
      </c>
      <c r="Y1610" t="s">
        <v>5253</v>
      </c>
      <c r="AA1610" t="s">
        <v>5254</v>
      </c>
      <c r="AB1610" t="s">
        <v>8390</v>
      </c>
      <c r="AE1610">
        <v>-37.681664820000002</v>
      </c>
      <c r="AF1610">
        <v>176.12959143</v>
      </c>
      <c r="AG1610" s="175">
        <v>30</v>
      </c>
      <c r="AH1610" s="175">
        <v>18</v>
      </c>
      <c r="AI1610" s="175">
        <v>37</v>
      </c>
      <c r="AJ1610" s="175">
        <v>16</v>
      </c>
      <c r="AK1610" s="175">
        <v>18</v>
      </c>
      <c r="AL1610" s="175">
        <v>16</v>
      </c>
      <c r="AM1610" s="175">
        <v>7</v>
      </c>
      <c r="AN1610" s="175">
        <v>1</v>
      </c>
      <c r="AO1610" s="175">
        <v>95</v>
      </c>
      <c r="AP1610" s="175">
        <v>88</v>
      </c>
      <c r="AQ1610" s="175">
        <v>9</v>
      </c>
      <c r="AR1610" s="175">
        <v>1</v>
      </c>
      <c r="AS1610" s="175">
        <v>9</v>
      </c>
      <c r="AT1610" s="175">
        <v>3</v>
      </c>
    </row>
    <row r="1611" spans="1:46">
      <c r="A1611">
        <v>40017</v>
      </c>
      <c r="B1611" t="s">
        <v>9828</v>
      </c>
      <c r="C1611" t="s">
        <v>9829</v>
      </c>
      <c r="D1611" t="s">
        <v>9795</v>
      </c>
      <c r="E1611" t="s">
        <v>9830</v>
      </c>
      <c r="G1611" t="s">
        <v>3858</v>
      </c>
      <c r="H1611" t="s">
        <v>301</v>
      </c>
      <c r="J1611" t="s">
        <v>605</v>
      </c>
      <c r="K1611" t="s">
        <v>606</v>
      </c>
      <c r="M1611" t="s">
        <v>1382</v>
      </c>
      <c r="N1611" t="s">
        <v>657</v>
      </c>
      <c r="O1611" t="s">
        <v>1825</v>
      </c>
      <c r="P1611" t="s">
        <v>610</v>
      </c>
      <c r="Q1611" t="s">
        <v>511</v>
      </c>
      <c r="R1611" t="s">
        <v>1555</v>
      </c>
      <c r="S1611" t="s">
        <v>1522</v>
      </c>
      <c r="T1611" t="s">
        <v>1557</v>
      </c>
      <c r="U1611">
        <v>190601</v>
      </c>
      <c r="V1611" t="s">
        <v>9831</v>
      </c>
      <c r="W1611" t="s">
        <v>3860</v>
      </c>
      <c r="X1611" t="s">
        <v>9797</v>
      </c>
      <c r="Y1611" t="s">
        <v>5253</v>
      </c>
      <c r="AA1611" t="s">
        <v>5254</v>
      </c>
      <c r="AB1611" t="s">
        <v>8390</v>
      </c>
      <c r="AE1611">
        <v>-37.546172499999997</v>
      </c>
      <c r="AF1611">
        <v>175.92443829999999</v>
      </c>
      <c r="AG1611" s="175">
        <v>25</v>
      </c>
      <c r="AH1611" s="175">
        <v>12</v>
      </c>
      <c r="AI1611" s="175">
        <v>2</v>
      </c>
      <c r="AJ1611" s="175">
        <v>1</v>
      </c>
      <c r="AK1611" s="175">
        <v>4</v>
      </c>
      <c r="AL1611" s="175">
        <v>4</v>
      </c>
      <c r="AM1611" s="175">
        <v>5</v>
      </c>
      <c r="AN1611" s="175">
        <v>0</v>
      </c>
      <c r="AO1611" s="175">
        <v>16</v>
      </c>
      <c r="AP1611" s="175">
        <v>15</v>
      </c>
      <c r="AQ1611" s="175">
        <v>3</v>
      </c>
      <c r="AR1611" s="175">
        <v>2</v>
      </c>
      <c r="AS1611" s="175">
        <v>1</v>
      </c>
      <c r="AT1611" s="175">
        <v>0</v>
      </c>
    </row>
    <row r="1612" spans="1:46">
      <c r="A1612">
        <v>40018</v>
      </c>
      <c r="B1612" t="s">
        <v>9832</v>
      </c>
      <c r="C1612" t="s">
        <v>9833</v>
      </c>
      <c r="D1612" t="s">
        <v>9795</v>
      </c>
      <c r="E1612" t="s">
        <v>9834</v>
      </c>
      <c r="F1612" t="s">
        <v>1797</v>
      </c>
      <c r="G1612" t="s">
        <v>1681</v>
      </c>
      <c r="H1612" t="s">
        <v>301</v>
      </c>
      <c r="J1612" t="s">
        <v>605</v>
      </c>
      <c r="K1612" t="s">
        <v>606</v>
      </c>
      <c r="M1612" t="s">
        <v>1382</v>
      </c>
      <c r="N1612" t="s">
        <v>657</v>
      </c>
      <c r="O1612" t="s">
        <v>1780</v>
      </c>
      <c r="P1612" t="s">
        <v>739</v>
      </c>
      <c r="Q1612" t="s">
        <v>511</v>
      </c>
      <c r="R1612" t="s">
        <v>1555</v>
      </c>
      <c r="S1612" t="s">
        <v>1681</v>
      </c>
      <c r="T1612" t="s">
        <v>1557</v>
      </c>
      <c r="U1612">
        <v>195200</v>
      </c>
      <c r="V1612" t="s">
        <v>8945</v>
      </c>
      <c r="W1612" t="s">
        <v>1799</v>
      </c>
      <c r="X1612" t="s">
        <v>9797</v>
      </c>
      <c r="Y1612" t="s">
        <v>5253</v>
      </c>
      <c r="AA1612" t="s">
        <v>5254</v>
      </c>
      <c r="AB1612" t="s">
        <v>8390</v>
      </c>
      <c r="AE1612">
        <v>-37.733035399999999</v>
      </c>
      <c r="AF1612">
        <v>176.1284119</v>
      </c>
      <c r="AG1612" s="175">
        <v>30</v>
      </c>
      <c r="AH1612" s="175">
        <v>18</v>
      </c>
      <c r="AI1612" s="175">
        <v>22</v>
      </c>
      <c r="AJ1612" s="175">
        <v>7</v>
      </c>
      <c r="AK1612" s="175">
        <v>7</v>
      </c>
      <c r="AL1612" s="175">
        <v>1</v>
      </c>
      <c r="AM1612" s="175">
        <v>1</v>
      </c>
      <c r="AN1612" s="175">
        <v>0</v>
      </c>
      <c r="AO1612" s="175">
        <v>38</v>
      </c>
      <c r="AP1612" s="175">
        <v>38</v>
      </c>
      <c r="AQ1612" s="175">
        <v>4</v>
      </c>
      <c r="AR1612" s="175">
        <v>2</v>
      </c>
      <c r="AS1612" s="175">
        <v>0</v>
      </c>
      <c r="AT1612" s="175">
        <v>0</v>
      </c>
    </row>
    <row r="1613" spans="1:46">
      <c r="A1613">
        <v>40019</v>
      </c>
      <c r="B1613" t="s">
        <v>9835</v>
      </c>
      <c r="C1613" t="s">
        <v>9836</v>
      </c>
      <c r="D1613" t="s">
        <v>9837</v>
      </c>
      <c r="E1613" t="s">
        <v>9838</v>
      </c>
      <c r="G1613" t="s">
        <v>1596</v>
      </c>
      <c r="H1613" t="s">
        <v>301</v>
      </c>
      <c r="J1613" t="s">
        <v>605</v>
      </c>
      <c r="K1613" t="s">
        <v>606</v>
      </c>
      <c r="M1613" t="s">
        <v>1382</v>
      </c>
      <c r="N1613" t="s">
        <v>657</v>
      </c>
      <c r="O1613" t="s">
        <v>1554</v>
      </c>
      <c r="P1613" t="s">
        <v>610</v>
      </c>
      <c r="Q1613" t="s">
        <v>511</v>
      </c>
      <c r="R1613" t="s">
        <v>1555</v>
      </c>
      <c r="S1613" t="s">
        <v>1556</v>
      </c>
      <c r="T1613" t="s">
        <v>1557</v>
      </c>
      <c r="U1613">
        <v>202200</v>
      </c>
      <c r="V1613" t="s">
        <v>1596</v>
      </c>
      <c r="W1613" t="s">
        <v>1597</v>
      </c>
      <c r="X1613" t="s">
        <v>9797</v>
      </c>
      <c r="Y1613" t="s">
        <v>5253</v>
      </c>
      <c r="AA1613" t="s">
        <v>5254</v>
      </c>
      <c r="AB1613" t="s">
        <v>8390</v>
      </c>
      <c r="AE1613">
        <v>-37.962671159999999</v>
      </c>
      <c r="AF1613">
        <v>176.83439754</v>
      </c>
      <c r="AG1613" s="175">
        <v>30</v>
      </c>
      <c r="AH1613" s="175">
        <v>15</v>
      </c>
      <c r="AI1613" s="175">
        <v>4</v>
      </c>
      <c r="AJ1613" s="175">
        <v>3</v>
      </c>
      <c r="AK1613" s="175">
        <v>4</v>
      </c>
      <c r="AL1613" s="175">
        <v>1</v>
      </c>
      <c r="AM1613" s="175">
        <v>1</v>
      </c>
      <c r="AN1613" s="175">
        <v>0</v>
      </c>
      <c r="AO1613" s="175">
        <v>13</v>
      </c>
      <c r="AP1613" s="175">
        <v>13</v>
      </c>
      <c r="AQ1613" s="175">
        <v>1</v>
      </c>
      <c r="AR1613" s="175">
        <v>0</v>
      </c>
      <c r="AS1613" s="175">
        <v>0</v>
      </c>
      <c r="AT1613" s="175">
        <v>1</v>
      </c>
    </row>
    <row r="1614" spans="1:46">
      <c r="A1614">
        <v>40022</v>
      </c>
      <c r="B1614" t="s">
        <v>9839</v>
      </c>
      <c r="C1614" t="s">
        <v>9836</v>
      </c>
      <c r="D1614" t="s">
        <v>9795</v>
      </c>
      <c r="E1614" t="s">
        <v>9840</v>
      </c>
      <c r="G1614" t="s">
        <v>1553</v>
      </c>
      <c r="H1614" t="s">
        <v>301</v>
      </c>
      <c r="J1614" t="s">
        <v>605</v>
      </c>
      <c r="K1614" t="s">
        <v>606</v>
      </c>
      <c r="M1614" t="s">
        <v>1382</v>
      </c>
      <c r="N1614" t="s">
        <v>657</v>
      </c>
      <c r="O1614" t="s">
        <v>1554</v>
      </c>
      <c r="P1614" t="s">
        <v>1347</v>
      </c>
      <c r="Q1614" t="s">
        <v>511</v>
      </c>
      <c r="R1614" t="s">
        <v>1555</v>
      </c>
      <c r="S1614" t="s">
        <v>1556</v>
      </c>
      <c r="T1614" t="s">
        <v>1557</v>
      </c>
      <c r="U1614">
        <v>202700</v>
      </c>
      <c r="V1614" t="s">
        <v>1558</v>
      </c>
      <c r="W1614" t="s">
        <v>1559</v>
      </c>
      <c r="X1614" t="s">
        <v>9797</v>
      </c>
      <c r="Y1614" t="s">
        <v>5253</v>
      </c>
      <c r="AA1614" t="s">
        <v>5254</v>
      </c>
      <c r="AB1614" t="s">
        <v>8390</v>
      </c>
      <c r="AE1614">
        <v>-37.950418110000001</v>
      </c>
      <c r="AF1614">
        <v>177.00473726999999</v>
      </c>
      <c r="AG1614" s="175">
        <v>25</v>
      </c>
      <c r="AH1614" s="175">
        <v>15</v>
      </c>
      <c r="AI1614" s="175">
        <v>7</v>
      </c>
      <c r="AJ1614" s="175">
        <v>3</v>
      </c>
      <c r="AK1614" s="175">
        <v>5</v>
      </c>
      <c r="AL1614" s="175">
        <v>5</v>
      </c>
      <c r="AM1614" s="175">
        <v>1</v>
      </c>
      <c r="AN1614" s="175">
        <v>0</v>
      </c>
      <c r="AO1614" s="175">
        <v>21</v>
      </c>
      <c r="AP1614" s="175">
        <v>21</v>
      </c>
      <c r="AQ1614" s="175">
        <v>5</v>
      </c>
      <c r="AR1614" s="175">
        <v>0</v>
      </c>
      <c r="AS1614" s="175">
        <v>1</v>
      </c>
      <c r="AT1614" s="175">
        <v>0</v>
      </c>
    </row>
    <row r="1615" spans="1:46">
      <c r="A1615">
        <v>40023</v>
      </c>
      <c r="B1615" t="s">
        <v>9841</v>
      </c>
      <c r="C1615" t="s">
        <v>9836</v>
      </c>
      <c r="E1615" t="s">
        <v>9842</v>
      </c>
      <c r="G1615" t="s">
        <v>1694</v>
      </c>
      <c r="H1615" t="s">
        <v>301</v>
      </c>
      <c r="J1615" t="s">
        <v>605</v>
      </c>
      <c r="K1615" t="s">
        <v>606</v>
      </c>
      <c r="M1615" t="s">
        <v>1382</v>
      </c>
      <c r="N1615" t="s">
        <v>643</v>
      </c>
      <c r="O1615" t="s">
        <v>1695</v>
      </c>
      <c r="P1615" t="s">
        <v>610</v>
      </c>
      <c r="Q1615" t="s">
        <v>511</v>
      </c>
      <c r="R1615" t="s">
        <v>1555</v>
      </c>
      <c r="S1615" t="s">
        <v>1556</v>
      </c>
      <c r="T1615" t="s">
        <v>1557</v>
      </c>
      <c r="U1615">
        <v>204400</v>
      </c>
      <c r="V1615" t="s">
        <v>1696</v>
      </c>
      <c r="W1615" t="s">
        <v>1697</v>
      </c>
      <c r="X1615" t="s">
        <v>9797</v>
      </c>
      <c r="Y1615" t="s">
        <v>5253</v>
      </c>
      <c r="AA1615" t="s">
        <v>5254</v>
      </c>
      <c r="AB1615" t="s">
        <v>8390</v>
      </c>
      <c r="AE1615">
        <v>-38.011379099999999</v>
      </c>
      <c r="AF1615">
        <v>177.28996264</v>
      </c>
      <c r="AG1615" s="175">
        <v>30</v>
      </c>
      <c r="AH1615" s="175">
        <v>15</v>
      </c>
      <c r="AI1615" s="175">
        <v>5</v>
      </c>
      <c r="AJ1615" s="175">
        <v>5</v>
      </c>
      <c r="AK1615" s="175">
        <v>3</v>
      </c>
      <c r="AL1615" s="175">
        <v>3</v>
      </c>
      <c r="AM1615" s="175">
        <v>4</v>
      </c>
      <c r="AN1615" s="175">
        <v>0</v>
      </c>
      <c r="AO1615" s="175">
        <v>20</v>
      </c>
      <c r="AP1615" s="175">
        <v>19</v>
      </c>
      <c r="AQ1615" s="175">
        <v>12</v>
      </c>
      <c r="AR1615" s="175">
        <v>2</v>
      </c>
      <c r="AS1615" s="175">
        <v>0</v>
      </c>
      <c r="AT1615" s="175">
        <v>1</v>
      </c>
    </row>
    <row r="1616" spans="1:46">
      <c r="A1616">
        <v>40024</v>
      </c>
      <c r="B1616" t="s">
        <v>9843</v>
      </c>
      <c r="C1616" t="s">
        <v>9836</v>
      </c>
      <c r="E1616" t="s">
        <v>9844</v>
      </c>
      <c r="G1616" t="s">
        <v>9845</v>
      </c>
      <c r="H1616" t="s">
        <v>301</v>
      </c>
      <c r="J1616" t="s">
        <v>605</v>
      </c>
      <c r="K1616" t="s">
        <v>606</v>
      </c>
      <c r="M1616" t="s">
        <v>1382</v>
      </c>
      <c r="N1616" t="s">
        <v>657</v>
      </c>
      <c r="O1616" t="s">
        <v>1554</v>
      </c>
      <c r="P1616" t="s">
        <v>658</v>
      </c>
      <c r="Q1616" t="s">
        <v>511</v>
      </c>
      <c r="R1616" t="s">
        <v>1555</v>
      </c>
      <c r="S1616" t="s">
        <v>1556</v>
      </c>
      <c r="T1616" t="s">
        <v>1557</v>
      </c>
      <c r="U1616">
        <v>202300</v>
      </c>
      <c r="V1616" t="s">
        <v>9846</v>
      </c>
      <c r="W1616" t="s">
        <v>1597</v>
      </c>
      <c r="X1616" t="s">
        <v>9797</v>
      </c>
      <c r="Y1616" t="s">
        <v>5253</v>
      </c>
      <c r="AA1616" t="s">
        <v>5254</v>
      </c>
      <c r="AB1616" t="s">
        <v>8390</v>
      </c>
      <c r="AE1616">
        <v>-37.995125199999997</v>
      </c>
      <c r="AF1616">
        <v>176.89738933999999</v>
      </c>
      <c r="AG1616" s="175">
        <v>30</v>
      </c>
      <c r="AH1616" s="175">
        <v>12</v>
      </c>
      <c r="AI1616" s="175">
        <v>4</v>
      </c>
      <c r="AJ1616" s="175">
        <v>1</v>
      </c>
      <c r="AK1616" s="175">
        <v>5</v>
      </c>
      <c r="AL1616" s="175">
        <v>6</v>
      </c>
      <c r="AM1616" s="175">
        <v>3</v>
      </c>
      <c r="AN1616" s="175">
        <v>1</v>
      </c>
      <c r="AO1616" s="175">
        <v>20</v>
      </c>
      <c r="AP1616" s="175">
        <v>18</v>
      </c>
      <c r="AQ1616" s="175">
        <v>4</v>
      </c>
      <c r="AR1616" s="175">
        <v>0</v>
      </c>
      <c r="AS1616" s="175">
        <v>3</v>
      </c>
      <c r="AT1616" s="175">
        <v>0</v>
      </c>
    </row>
    <row r="1617" spans="1:46">
      <c r="A1617">
        <v>40026</v>
      </c>
      <c r="B1617" t="s">
        <v>9847</v>
      </c>
      <c r="C1617" t="s">
        <v>9848</v>
      </c>
      <c r="D1617" t="s">
        <v>9849</v>
      </c>
      <c r="E1617" t="s">
        <v>9850</v>
      </c>
      <c r="G1617" t="s">
        <v>1553</v>
      </c>
      <c r="H1617" t="s">
        <v>301</v>
      </c>
      <c r="J1617" t="s">
        <v>605</v>
      </c>
      <c r="K1617" t="s">
        <v>606</v>
      </c>
      <c r="M1617" t="s">
        <v>1382</v>
      </c>
      <c r="N1617" t="s">
        <v>657</v>
      </c>
      <c r="O1617" t="s">
        <v>1554</v>
      </c>
      <c r="P1617" t="s">
        <v>658</v>
      </c>
      <c r="Q1617" t="s">
        <v>511</v>
      </c>
      <c r="R1617" t="s">
        <v>1555</v>
      </c>
      <c r="S1617" t="s">
        <v>1556</v>
      </c>
      <c r="T1617" t="s">
        <v>1557</v>
      </c>
      <c r="U1617">
        <v>202100</v>
      </c>
      <c r="V1617" t="s">
        <v>9851</v>
      </c>
      <c r="W1617" t="s">
        <v>1597</v>
      </c>
      <c r="X1617" t="s">
        <v>9797</v>
      </c>
      <c r="Y1617" t="s">
        <v>5253</v>
      </c>
      <c r="AA1617" t="s">
        <v>5254</v>
      </c>
      <c r="AB1617" t="s">
        <v>8390</v>
      </c>
      <c r="AE1617">
        <v>-37.985656839999997</v>
      </c>
      <c r="AF1617">
        <v>176.76149910000001</v>
      </c>
      <c r="AG1617" s="175">
        <v>25</v>
      </c>
      <c r="AH1617" s="175">
        <v>12</v>
      </c>
      <c r="AI1617" s="175">
        <v>3</v>
      </c>
      <c r="AJ1617" s="175">
        <v>3</v>
      </c>
      <c r="AK1617" s="175">
        <v>3</v>
      </c>
      <c r="AL1617" s="175">
        <v>1</v>
      </c>
      <c r="AM1617" s="175">
        <v>4</v>
      </c>
      <c r="AN1617" s="175">
        <v>0</v>
      </c>
      <c r="AO1617" s="175">
        <v>14</v>
      </c>
      <c r="AP1617" s="175">
        <v>11</v>
      </c>
      <c r="AQ1617" s="175">
        <v>7</v>
      </c>
      <c r="AR1617" s="175">
        <v>1</v>
      </c>
      <c r="AS1617" s="175">
        <v>0</v>
      </c>
      <c r="AT1617" s="175">
        <v>0</v>
      </c>
    </row>
    <row r="1618" spans="1:46">
      <c r="A1618">
        <v>40027</v>
      </c>
      <c r="B1618" t="s">
        <v>9852</v>
      </c>
      <c r="C1618" t="s">
        <v>9836</v>
      </c>
      <c r="E1618" t="s">
        <v>9853</v>
      </c>
      <c r="G1618" t="s">
        <v>9854</v>
      </c>
      <c r="H1618" t="s">
        <v>301</v>
      </c>
      <c r="J1618" t="s">
        <v>605</v>
      </c>
      <c r="K1618" t="s">
        <v>606</v>
      </c>
      <c r="M1618" t="s">
        <v>1382</v>
      </c>
      <c r="N1618" t="s">
        <v>657</v>
      </c>
      <c r="O1618" t="s">
        <v>1554</v>
      </c>
      <c r="P1618" t="s">
        <v>610</v>
      </c>
      <c r="Q1618" t="s">
        <v>511</v>
      </c>
      <c r="R1618" t="s">
        <v>1555</v>
      </c>
      <c r="S1618" t="s">
        <v>1556</v>
      </c>
      <c r="T1618" t="s">
        <v>1557</v>
      </c>
      <c r="U1618">
        <v>203200</v>
      </c>
      <c r="V1618" t="s">
        <v>9855</v>
      </c>
      <c r="W1618" t="s">
        <v>1559</v>
      </c>
      <c r="X1618" t="s">
        <v>9797</v>
      </c>
      <c r="Y1618" t="s">
        <v>5253</v>
      </c>
      <c r="AA1618" t="s">
        <v>5254</v>
      </c>
      <c r="AB1618" t="s">
        <v>8390</v>
      </c>
      <c r="AC1618">
        <v>99016</v>
      </c>
      <c r="AD1618" t="s">
        <v>1562</v>
      </c>
      <c r="AE1618">
        <v>-37.983524299999999</v>
      </c>
      <c r="AF1618">
        <v>177.1104502</v>
      </c>
      <c r="AG1618" s="175">
        <v>30</v>
      </c>
      <c r="AH1618" s="175">
        <v>15</v>
      </c>
      <c r="AI1618" s="175">
        <v>2</v>
      </c>
      <c r="AJ1618" s="175">
        <v>5</v>
      </c>
      <c r="AK1618" s="175">
        <v>4</v>
      </c>
      <c r="AL1618" s="175">
        <v>3</v>
      </c>
      <c r="AM1618" s="175">
        <v>1</v>
      </c>
      <c r="AN1618" s="175">
        <v>0</v>
      </c>
      <c r="AO1618" s="175">
        <v>15</v>
      </c>
      <c r="AP1618" s="175">
        <v>14</v>
      </c>
      <c r="AQ1618" s="175">
        <v>1</v>
      </c>
      <c r="AR1618" s="175">
        <v>0</v>
      </c>
      <c r="AS1618" s="175">
        <v>2</v>
      </c>
      <c r="AT1618" s="175">
        <v>0</v>
      </c>
    </row>
    <row r="1619" spans="1:46">
      <c r="A1619">
        <v>40028</v>
      </c>
      <c r="B1619" t="s">
        <v>9856</v>
      </c>
      <c r="C1619" t="s">
        <v>9836</v>
      </c>
      <c r="E1619" t="s">
        <v>9857</v>
      </c>
      <c r="G1619" t="s">
        <v>9858</v>
      </c>
      <c r="H1619" t="s">
        <v>301</v>
      </c>
      <c r="J1619" t="s">
        <v>605</v>
      </c>
      <c r="K1619" t="s">
        <v>606</v>
      </c>
      <c r="M1619" t="s">
        <v>1382</v>
      </c>
      <c r="N1619" t="s">
        <v>657</v>
      </c>
      <c r="O1619" t="s">
        <v>1554</v>
      </c>
      <c r="P1619" t="s">
        <v>658</v>
      </c>
      <c r="Q1619" t="s">
        <v>511</v>
      </c>
      <c r="R1619" t="s">
        <v>1555</v>
      </c>
      <c r="S1619" t="s">
        <v>1556</v>
      </c>
      <c r="T1619" t="s">
        <v>1557</v>
      </c>
      <c r="U1619">
        <v>203400</v>
      </c>
      <c r="V1619" t="s">
        <v>9858</v>
      </c>
      <c r="W1619" t="s">
        <v>1678</v>
      </c>
      <c r="X1619" t="s">
        <v>9797</v>
      </c>
      <c r="Y1619" t="s">
        <v>5253</v>
      </c>
      <c r="AA1619" t="s">
        <v>5254</v>
      </c>
      <c r="AB1619" t="s">
        <v>8390</v>
      </c>
      <c r="AE1619">
        <v>-38.410848180000002</v>
      </c>
      <c r="AF1619">
        <v>176.73882014</v>
      </c>
      <c r="AG1619" s="175">
        <v>25</v>
      </c>
      <c r="AH1619" s="175">
        <v>12</v>
      </c>
      <c r="AI1619" s="175">
        <v>1</v>
      </c>
      <c r="AJ1619" s="175">
        <v>3</v>
      </c>
      <c r="AK1619" s="175">
        <v>5</v>
      </c>
      <c r="AL1619" s="175">
        <v>2</v>
      </c>
      <c r="AM1619" s="175">
        <v>3</v>
      </c>
      <c r="AN1619" s="175">
        <v>0</v>
      </c>
      <c r="AO1619" s="175">
        <v>14</v>
      </c>
      <c r="AP1619" s="175">
        <v>14</v>
      </c>
      <c r="AQ1619" s="175">
        <v>1</v>
      </c>
      <c r="AR1619" s="175">
        <v>0</v>
      </c>
      <c r="AS1619" s="175">
        <v>0</v>
      </c>
      <c r="AT1619" s="175">
        <v>0</v>
      </c>
    </row>
    <row r="1620" spans="1:46">
      <c r="A1620">
        <v>40031</v>
      </c>
      <c r="B1620" t="s">
        <v>9859</v>
      </c>
      <c r="C1620" t="s">
        <v>9836</v>
      </c>
      <c r="D1620" t="s">
        <v>9795</v>
      </c>
      <c r="E1620" t="s">
        <v>9860</v>
      </c>
      <c r="G1620" t="s">
        <v>1553</v>
      </c>
      <c r="H1620" t="s">
        <v>301</v>
      </c>
      <c r="J1620" t="s">
        <v>605</v>
      </c>
      <c r="K1620" t="s">
        <v>606</v>
      </c>
      <c r="M1620" t="s">
        <v>1382</v>
      </c>
      <c r="N1620" t="s">
        <v>608</v>
      </c>
      <c r="O1620" t="s">
        <v>1554</v>
      </c>
      <c r="P1620" t="s">
        <v>1347</v>
      </c>
      <c r="Q1620" t="s">
        <v>511</v>
      </c>
      <c r="R1620" t="s">
        <v>1555</v>
      </c>
      <c r="S1620" t="s">
        <v>1556</v>
      </c>
      <c r="T1620" t="s">
        <v>1557</v>
      </c>
      <c r="U1620">
        <v>202600</v>
      </c>
      <c r="V1620" t="s">
        <v>9861</v>
      </c>
      <c r="W1620" t="s">
        <v>1559</v>
      </c>
      <c r="X1620" t="s">
        <v>9797</v>
      </c>
      <c r="Y1620" t="s">
        <v>5253</v>
      </c>
      <c r="AA1620" t="s">
        <v>5254</v>
      </c>
      <c r="AB1620" t="s">
        <v>8390</v>
      </c>
      <c r="AE1620">
        <v>-37.963355700000001</v>
      </c>
      <c r="AF1620">
        <v>176.96112020000001</v>
      </c>
      <c r="AG1620" s="175">
        <v>25</v>
      </c>
      <c r="AH1620" s="175">
        <v>15</v>
      </c>
      <c r="AI1620" s="175">
        <v>18</v>
      </c>
      <c r="AJ1620" s="175">
        <v>0</v>
      </c>
      <c r="AK1620" s="175">
        <v>0</v>
      </c>
      <c r="AL1620" s="175">
        <v>0</v>
      </c>
      <c r="AM1620" s="175">
        <v>1</v>
      </c>
      <c r="AN1620" s="175">
        <v>1</v>
      </c>
      <c r="AO1620" s="175">
        <v>20</v>
      </c>
      <c r="AP1620" s="175">
        <v>19</v>
      </c>
      <c r="AQ1620" s="175">
        <v>8</v>
      </c>
      <c r="AR1620" s="175">
        <v>0</v>
      </c>
      <c r="AS1620" s="175">
        <v>0</v>
      </c>
      <c r="AT1620" s="175">
        <v>1</v>
      </c>
    </row>
    <row r="1621" spans="1:46">
      <c r="A1621">
        <v>40032</v>
      </c>
      <c r="B1621" t="s">
        <v>9862</v>
      </c>
      <c r="C1621" t="s">
        <v>9863</v>
      </c>
      <c r="D1621" t="s">
        <v>9864</v>
      </c>
      <c r="E1621" t="s">
        <v>9865</v>
      </c>
      <c r="F1621" t="s">
        <v>8536</v>
      </c>
      <c r="G1621" t="s">
        <v>1681</v>
      </c>
      <c r="H1621" t="s">
        <v>449</v>
      </c>
      <c r="I1621" t="s">
        <v>4023</v>
      </c>
      <c r="J1621" t="s">
        <v>605</v>
      </c>
      <c r="K1621" t="s">
        <v>606</v>
      </c>
      <c r="M1621" t="s">
        <v>1382</v>
      </c>
      <c r="N1621" t="s">
        <v>657</v>
      </c>
      <c r="O1621" t="s">
        <v>1780</v>
      </c>
      <c r="P1621" t="s">
        <v>739</v>
      </c>
      <c r="Q1621" t="s">
        <v>511</v>
      </c>
      <c r="R1621" t="s">
        <v>1555</v>
      </c>
      <c r="S1621" t="s">
        <v>1681</v>
      </c>
      <c r="T1621" t="s">
        <v>1557</v>
      </c>
      <c r="U1621">
        <v>193500</v>
      </c>
      <c r="V1621" t="s">
        <v>8537</v>
      </c>
      <c r="W1621" t="s">
        <v>1791</v>
      </c>
      <c r="X1621" t="s">
        <v>8770</v>
      </c>
      <c r="Y1621" t="s">
        <v>8771</v>
      </c>
      <c r="AA1621" t="s">
        <v>8772</v>
      </c>
      <c r="AB1621" t="s">
        <v>8773</v>
      </c>
      <c r="AC1621">
        <v>99157</v>
      </c>
      <c r="AD1621" t="s">
        <v>8774</v>
      </c>
      <c r="AE1621">
        <v>-37.705167009999997</v>
      </c>
      <c r="AF1621">
        <v>176.11274900999999</v>
      </c>
      <c r="AG1621" s="175">
        <v>45</v>
      </c>
      <c r="AH1621" s="175">
        <v>0</v>
      </c>
      <c r="AI1621" s="175">
        <v>0</v>
      </c>
      <c r="AJ1621" s="175">
        <v>0</v>
      </c>
      <c r="AK1621" s="175">
        <v>1</v>
      </c>
      <c r="AL1621" s="175">
        <v>24</v>
      </c>
      <c r="AM1621" s="175">
        <v>25</v>
      </c>
      <c r="AN1621" s="175">
        <v>2</v>
      </c>
      <c r="AO1621" s="175">
        <v>52</v>
      </c>
      <c r="AP1621" s="175">
        <v>40</v>
      </c>
      <c r="AQ1621" s="175">
        <v>3</v>
      </c>
      <c r="AR1621" s="175">
        <v>0</v>
      </c>
      <c r="AS1621" s="175">
        <v>12</v>
      </c>
      <c r="AT1621" s="175">
        <v>1</v>
      </c>
    </row>
    <row r="1622" spans="1:46">
      <c r="A1622">
        <v>40033</v>
      </c>
      <c r="B1622" t="s">
        <v>9866</v>
      </c>
      <c r="C1622" t="s">
        <v>9867</v>
      </c>
      <c r="E1622" t="s">
        <v>9868</v>
      </c>
      <c r="F1622" t="s">
        <v>8555</v>
      </c>
      <c r="G1622" t="s">
        <v>1604</v>
      </c>
      <c r="H1622" t="s">
        <v>449</v>
      </c>
      <c r="J1622" t="s">
        <v>4032</v>
      </c>
      <c r="K1622" t="s">
        <v>606</v>
      </c>
      <c r="M1622" t="s">
        <v>1382</v>
      </c>
      <c r="N1622" t="s">
        <v>643</v>
      </c>
      <c r="O1622" t="s">
        <v>1605</v>
      </c>
      <c r="P1622" t="s">
        <v>670</v>
      </c>
      <c r="Q1622" t="s">
        <v>511</v>
      </c>
      <c r="R1622" t="s">
        <v>1555</v>
      </c>
      <c r="S1622" t="s">
        <v>1604</v>
      </c>
      <c r="T1622" t="s">
        <v>1557</v>
      </c>
      <c r="U1622">
        <v>200300</v>
      </c>
      <c r="V1622" t="s">
        <v>9869</v>
      </c>
      <c r="W1622" t="s">
        <v>1606</v>
      </c>
      <c r="X1622" t="s">
        <v>9870</v>
      </c>
      <c r="Y1622" t="s">
        <v>9868</v>
      </c>
      <c r="Z1622" t="s">
        <v>9869</v>
      </c>
      <c r="AA1622" t="s">
        <v>8971</v>
      </c>
      <c r="AB1622" t="s">
        <v>9867</v>
      </c>
      <c r="AC1622">
        <v>99019</v>
      </c>
      <c r="AD1622" t="s">
        <v>1648</v>
      </c>
      <c r="AE1622">
        <v>-38.143517180000003</v>
      </c>
      <c r="AF1622">
        <v>176.25232133</v>
      </c>
      <c r="AG1622" s="175">
        <v>70</v>
      </c>
      <c r="AH1622" s="175">
        <v>20</v>
      </c>
      <c r="AI1622" s="175">
        <v>3</v>
      </c>
      <c r="AJ1622" s="175">
        <v>11</v>
      </c>
      <c r="AK1622" s="175">
        <v>18</v>
      </c>
      <c r="AL1622" s="175">
        <v>15</v>
      </c>
      <c r="AM1622" s="175">
        <v>19</v>
      </c>
      <c r="AN1622" s="175">
        <v>0</v>
      </c>
      <c r="AO1622" s="175">
        <v>66</v>
      </c>
      <c r="AP1622" s="175">
        <v>27</v>
      </c>
      <c r="AQ1622" s="175">
        <v>19</v>
      </c>
      <c r="AR1622" s="175">
        <v>2</v>
      </c>
      <c r="AS1622" s="175">
        <v>32</v>
      </c>
      <c r="AT1622" s="175">
        <v>0</v>
      </c>
    </row>
    <row r="1623" spans="1:46">
      <c r="A1623">
        <v>40034</v>
      </c>
      <c r="B1623" t="s">
        <v>9871</v>
      </c>
      <c r="C1623" t="s">
        <v>9872</v>
      </c>
      <c r="D1623" t="s">
        <v>9873</v>
      </c>
      <c r="E1623" t="s">
        <v>9874</v>
      </c>
      <c r="G1623" t="s">
        <v>1604</v>
      </c>
      <c r="H1623" t="s">
        <v>449</v>
      </c>
      <c r="J1623" t="s">
        <v>605</v>
      </c>
      <c r="K1623" t="s">
        <v>606</v>
      </c>
      <c r="M1623" t="s">
        <v>1382</v>
      </c>
      <c r="N1623" t="s">
        <v>657</v>
      </c>
      <c r="O1623" t="s">
        <v>1605</v>
      </c>
      <c r="P1623" t="s">
        <v>626</v>
      </c>
      <c r="Q1623" t="s">
        <v>511</v>
      </c>
      <c r="R1623" t="s">
        <v>1555</v>
      </c>
      <c r="S1623" t="s">
        <v>1604</v>
      </c>
      <c r="T1623" t="s">
        <v>1557</v>
      </c>
      <c r="U1623">
        <v>201700</v>
      </c>
      <c r="V1623" t="s">
        <v>9875</v>
      </c>
      <c r="W1623" t="s">
        <v>1606</v>
      </c>
      <c r="X1623" t="s">
        <v>9876</v>
      </c>
      <c r="Y1623" t="s">
        <v>9877</v>
      </c>
      <c r="Z1623" t="s">
        <v>8628</v>
      </c>
      <c r="AA1623" t="s">
        <v>9878</v>
      </c>
      <c r="AC1623">
        <v>99017</v>
      </c>
      <c r="AD1623" t="s">
        <v>1713</v>
      </c>
      <c r="AE1623">
        <v>-38.169839699999997</v>
      </c>
      <c r="AF1623">
        <v>176.34622909999999</v>
      </c>
      <c r="AG1623" s="175">
        <v>25</v>
      </c>
      <c r="AH1623" s="175">
        <v>0</v>
      </c>
      <c r="AI1623" s="175">
        <v>0</v>
      </c>
      <c r="AJ1623" s="175">
        <v>0</v>
      </c>
      <c r="AK1623" s="175">
        <v>2</v>
      </c>
      <c r="AL1623" s="175">
        <v>7</v>
      </c>
      <c r="AM1623" s="175">
        <v>15</v>
      </c>
      <c r="AN1623" s="175">
        <v>4</v>
      </c>
      <c r="AO1623" s="175">
        <v>28</v>
      </c>
      <c r="AP1623" s="175">
        <v>27</v>
      </c>
      <c r="AQ1623" s="175">
        <v>3</v>
      </c>
      <c r="AR1623" s="175">
        <v>0</v>
      </c>
      <c r="AS1623" s="175">
        <v>2</v>
      </c>
      <c r="AT1623" s="175">
        <v>0</v>
      </c>
    </row>
    <row r="1624" spans="1:46">
      <c r="A1624">
        <v>40035</v>
      </c>
      <c r="B1624" t="s">
        <v>9879</v>
      </c>
      <c r="C1624" t="s">
        <v>9880</v>
      </c>
      <c r="D1624" t="s">
        <v>9881</v>
      </c>
      <c r="E1624" t="s">
        <v>9882</v>
      </c>
      <c r="F1624" t="s">
        <v>9883</v>
      </c>
      <c r="G1624" t="s">
        <v>1681</v>
      </c>
      <c r="H1624" t="s">
        <v>452</v>
      </c>
      <c r="J1624" t="s">
        <v>605</v>
      </c>
      <c r="K1624" t="s">
        <v>606</v>
      </c>
      <c r="M1624" t="s">
        <v>1382</v>
      </c>
      <c r="N1624" t="s">
        <v>657</v>
      </c>
      <c r="O1624" t="s">
        <v>1780</v>
      </c>
      <c r="P1624" t="s">
        <v>739</v>
      </c>
      <c r="Q1624" t="s">
        <v>511</v>
      </c>
      <c r="R1624" t="s">
        <v>1555</v>
      </c>
      <c r="S1624" t="s">
        <v>1681</v>
      </c>
      <c r="T1624" t="s">
        <v>1557</v>
      </c>
      <c r="U1624">
        <v>192600</v>
      </c>
      <c r="V1624" t="s">
        <v>9884</v>
      </c>
      <c r="W1624" t="s">
        <v>1819</v>
      </c>
      <c r="X1624" t="s">
        <v>1679</v>
      </c>
      <c r="Y1624" t="s">
        <v>1680</v>
      </c>
      <c r="Z1624" t="s">
        <v>1681</v>
      </c>
      <c r="AA1624" t="s">
        <v>1682</v>
      </c>
      <c r="AB1624" t="s">
        <v>1683</v>
      </c>
      <c r="AC1624">
        <v>99036</v>
      </c>
      <c r="AD1624" t="s">
        <v>1792</v>
      </c>
      <c r="AE1624">
        <v>-37.66522818</v>
      </c>
      <c r="AF1624">
        <v>176.12916172000001</v>
      </c>
      <c r="AG1624" s="175">
        <v>40</v>
      </c>
      <c r="AH1624" s="175">
        <v>0</v>
      </c>
      <c r="AI1624" s="175">
        <v>0</v>
      </c>
      <c r="AJ1624" s="175">
        <v>0</v>
      </c>
      <c r="AK1624" s="175">
        <v>5</v>
      </c>
      <c r="AL1624" s="175">
        <v>14</v>
      </c>
      <c r="AM1624" s="175">
        <v>28</v>
      </c>
      <c r="AN1624" s="175">
        <v>0</v>
      </c>
      <c r="AO1624" s="175">
        <v>47</v>
      </c>
      <c r="AP1624" s="175">
        <v>40</v>
      </c>
      <c r="AQ1624" s="175">
        <v>2</v>
      </c>
      <c r="AR1624" s="175">
        <v>0</v>
      </c>
      <c r="AS1624" s="175">
        <v>2</v>
      </c>
      <c r="AT1624" s="175">
        <v>10</v>
      </c>
    </row>
    <row r="1625" spans="1:46">
      <c r="A1625">
        <v>40036</v>
      </c>
      <c r="B1625" t="s">
        <v>9885</v>
      </c>
      <c r="C1625" t="s">
        <v>9886</v>
      </c>
      <c r="E1625" t="s">
        <v>9887</v>
      </c>
      <c r="G1625" t="s">
        <v>9888</v>
      </c>
      <c r="H1625" t="s">
        <v>301</v>
      </c>
      <c r="J1625" t="s">
        <v>605</v>
      </c>
      <c r="K1625" t="s">
        <v>606</v>
      </c>
      <c r="M1625" t="s">
        <v>1382</v>
      </c>
      <c r="N1625" t="s">
        <v>657</v>
      </c>
      <c r="O1625" t="s">
        <v>1605</v>
      </c>
      <c r="P1625" t="s">
        <v>658</v>
      </c>
      <c r="Q1625" t="s">
        <v>510</v>
      </c>
      <c r="R1625" t="s">
        <v>1555</v>
      </c>
      <c r="S1625" t="s">
        <v>1604</v>
      </c>
      <c r="T1625" t="s">
        <v>1557</v>
      </c>
      <c r="U1625">
        <v>201800</v>
      </c>
      <c r="V1625" t="s">
        <v>9889</v>
      </c>
      <c r="W1625" t="s">
        <v>9890</v>
      </c>
      <c r="X1625" t="s">
        <v>9797</v>
      </c>
      <c r="Y1625" t="s">
        <v>5253</v>
      </c>
      <c r="AA1625" t="s">
        <v>5254</v>
      </c>
      <c r="AB1625" t="s">
        <v>8390</v>
      </c>
      <c r="AE1625">
        <v>-38.434623680000001</v>
      </c>
      <c r="AF1625">
        <v>176.34397730000001</v>
      </c>
      <c r="AG1625" s="175">
        <v>30</v>
      </c>
      <c r="AH1625" s="175">
        <v>20</v>
      </c>
      <c r="AI1625" s="175">
        <v>0</v>
      </c>
      <c r="AJ1625" s="175">
        <v>7</v>
      </c>
      <c r="AK1625" s="175">
        <v>4</v>
      </c>
      <c r="AL1625" s="175">
        <v>2</v>
      </c>
      <c r="AM1625" s="175">
        <v>1</v>
      </c>
      <c r="AN1625" s="175">
        <v>0</v>
      </c>
      <c r="AO1625" s="175">
        <v>14</v>
      </c>
      <c r="AP1625" s="175">
        <v>14</v>
      </c>
      <c r="AQ1625" s="175">
        <v>2</v>
      </c>
      <c r="AR1625" s="175">
        <v>0</v>
      </c>
      <c r="AS1625" s="175">
        <v>1</v>
      </c>
      <c r="AT1625" s="175">
        <v>0</v>
      </c>
    </row>
    <row r="1626" spans="1:46">
      <c r="A1626">
        <v>40037</v>
      </c>
      <c r="B1626" t="s">
        <v>9891</v>
      </c>
      <c r="C1626" t="s">
        <v>9892</v>
      </c>
      <c r="E1626" t="s">
        <v>9893</v>
      </c>
      <c r="G1626" t="s">
        <v>1628</v>
      </c>
      <c r="H1626" t="s">
        <v>301</v>
      </c>
      <c r="J1626" t="s">
        <v>605</v>
      </c>
      <c r="K1626" t="s">
        <v>606</v>
      </c>
      <c r="M1626" t="s">
        <v>1382</v>
      </c>
      <c r="N1626" t="s">
        <v>657</v>
      </c>
      <c r="O1626" t="s">
        <v>1629</v>
      </c>
      <c r="P1626" t="s">
        <v>1347</v>
      </c>
      <c r="Q1626" t="s">
        <v>510</v>
      </c>
      <c r="R1626" t="s">
        <v>1555</v>
      </c>
      <c r="S1626" t="s">
        <v>1404</v>
      </c>
      <c r="T1626" t="s">
        <v>1557</v>
      </c>
      <c r="U1626">
        <v>189101</v>
      </c>
      <c r="V1626" t="s">
        <v>9894</v>
      </c>
      <c r="W1626" t="s">
        <v>1631</v>
      </c>
      <c r="X1626" t="s">
        <v>9797</v>
      </c>
      <c r="Y1626" t="s">
        <v>5253</v>
      </c>
      <c r="AA1626" t="s">
        <v>5254</v>
      </c>
      <c r="AB1626" t="s">
        <v>8390</v>
      </c>
      <c r="AE1626">
        <v>-38.692952980000001</v>
      </c>
      <c r="AF1626">
        <v>176.09924963</v>
      </c>
      <c r="AG1626" s="175">
        <v>30</v>
      </c>
      <c r="AH1626" s="175">
        <v>25</v>
      </c>
      <c r="AI1626" s="175">
        <v>6</v>
      </c>
      <c r="AJ1626" s="175">
        <v>6</v>
      </c>
      <c r="AK1626" s="175">
        <v>14</v>
      </c>
      <c r="AL1626" s="175">
        <v>7</v>
      </c>
      <c r="AM1626" s="175">
        <v>6</v>
      </c>
      <c r="AN1626" s="175">
        <v>1</v>
      </c>
      <c r="AO1626" s="175">
        <v>40</v>
      </c>
      <c r="AP1626" s="175">
        <v>34</v>
      </c>
      <c r="AQ1626" s="175">
        <v>6</v>
      </c>
      <c r="AR1626" s="175">
        <v>0</v>
      </c>
      <c r="AS1626" s="175">
        <v>5</v>
      </c>
      <c r="AT1626" s="175">
        <v>0</v>
      </c>
    </row>
    <row r="1627" spans="1:46">
      <c r="A1627">
        <v>40040</v>
      </c>
      <c r="B1627" t="s">
        <v>9895</v>
      </c>
      <c r="C1627" t="s">
        <v>9896</v>
      </c>
      <c r="D1627" t="s">
        <v>9897</v>
      </c>
      <c r="E1627" t="s">
        <v>9898</v>
      </c>
      <c r="G1627" t="s">
        <v>1628</v>
      </c>
      <c r="H1627" t="s">
        <v>449</v>
      </c>
      <c r="J1627" t="s">
        <v>605</v>
      </c>
      <c r="K1627" t="s">
        <v>606</v>
      </c>
      <c r="M1627" t="s">
        <v>1382</v>
      </c>
      <c r="N1627" t="s">
        <v>657</v>
      </c>
      <c r="O1627" t="s">
        <v>1629</v>
      </c>
      <c r="P1627" t="s">
        <v>1347</v>
      </c>
      <c r="Q1627" t="s">
        <v>510</v>
      </c>
      <c r="R1627" t="s">
        <v>1555</v>
      </c>
      <c r="S1627" t="s">
        <v>1404</v>
      </c>
      <c r="T1627" t="s">
        <v>1557</v>
      </c>
      <c r="U1627">
        <v>188600</v>
      </c>
      <c r="V1627" t="s">
        <v>9899</v>
      </c>
      <c r="W1627" t="s">
        <v>1631</v>
      </c>
      <c r="X1627" t="s">
        <v>9900</v>
      </c>
      <c r="Y1627" t="s">
        <v>9898</v>
      </c>
      <c r="Z1627" t="s">
        <v>1628</v>
      </c>
      <c r="AA1627" t="s">
        <v>9901</v>
      </c>
      <c r="AB1627" t="s">
        <v>9896</v>
      </c>
      <c r="AC1627">
        <v>99020</v>
      </c>
      <c r="AD1627" t="s">
        <v>1633</v>
      </c>
      <c r="AE1627">
        <v>-38.681540599999998</v>
      </c>
      <c r="AF1627">
        <v>176.07208116000001</v>
      </c>
      <c r="AG1627" s="175">
        <v>45</v>
      </c>
      <c r="AH1627" s="175">
        <v>15</v>
      </c>
      <c r="AI1627" s="175">
        <v>1</v>
      </c>
      <c r="AJ1627" s="175">
        <v>11</v>
      </c>
      <c r="AK1627" s="175">
        <v>14</v>
      </c>
      <c r="AL1627" s="175">
        <v>8</v>
      </c>
      <c r="AM1627" s="175">
        <v>10</v>
      </c>
      <c r="AN1627" s="175">
        <v>0</v>
      </c>
      <c r="AO1627" s="175">
        <v>44</v>
      </c>
      <c r="AP1627" s="175">
        <v>41</v>
      </c>
      <c r="AQ1627" s="175">
        <v>13</v>
      </c>
      <c r="AR1627" s="175">
        <v>0</v>
      </c>
      <c r="AS1627" s="175">
        <v>2</v>
      </c>
      <c r="AT1627" s="175">
        <v>0</v>
      </c>
    </row>
    <row r="1628" spans="1:46">
      <c r="A1628">
        <v>40041</v>
      </c>
      <c r="B1628" t="s">
        <v>9902</v>
      </c>
      <c r="C1628" t="s">
        <v>9903</v>
      </c>
      <c r="D1628" t="s">
        <v>9904</v>
      </c>
      <c r="E1628" t="s">
        <v>9905</v>
      </c>
      <c r="F1628" t="s">
        <v>1789</v>
      </c>
      <c r="G1628" t="s">
        <v>1681</v>
      </c>
      <c r="H1628" t="s">
        <v>452</v>
      </c>
      <c r="J1628" t="s">
        <v>605</v>
      </c>
      <c r="K1628" t="s">
        <v>606</v>
      </c>
      <c r="M1628" t="s">
        <v>1382</v>
      </c>
      <c r="N1628" t="s">
        <v>657</v>
      </c>
      <c r="O1628" t="s">
        <v>1780</v>
      </c>
      <c r="P1628" t="s">
        <v>739</v>
      </c>
      <c r="Q1628" t="s">
        <v>511</v>
      </c>
      <c r="R1628" t="s">
        <v>1555</v>
      </c>
      <c r="S1628" t="s">
        <v>1681</v>
      </c>
      <c r="T1628" t="s">
        <v>1557</v>
      </c>
      <c r="U1628">
        <v>193600</v>
      </c>
      <c r="V1628" t="s">
        <v>1790</v>
      </c>
      <c r="W1628" t="s">
        <v>1819</v>
      </c>
      <c r="X1628" t="s">
        <v>1679</v>
      </c>
      <c r="Y1628" t="s">
        <v>1680</v>
      </c>
      <c r="Z1628" t="s">
        <v>1681</v>
      </c>
      <c r="AA1628" t="s">
        <v>1682</v>
      </c>
      <c r="AB1628" t="s">
        <v>1683</v>
      </c>
      <c r="AC1628">
        <v>99036</v>
      </c>
      <c r="AD1628" t="s">
        <v>1792</v>
      </c>
      <c r="AE1628">
        <v>-37.683805100000001</v>
      </c>
      <c r="AF1628">
        <v>176.13651429999999</v>
      </c>
      <c r="AG1628" s="175">
        <v>60</v>
      </c>
      <c r="AH1628" s="175">
        <v>18</v>
      </c>
      <c r="AI1628" s="175">
        <v>4</v>
      </c>
      <c r="AJ1628" s="175">
        <v>11</v>
      </c>
      <c r="AK1628" s="175">
        <v>18</v>
      </c>
      <c r="AL1628" s="175">
        <v>24</v>
      </c>
      <c r="AM1628" s="175">
        <v>19</v>
      </c>
      <c r="AN1628" s="175">
        <v>2</v>
      </c>
      <c r="AO1628" s="175">
        <v>78</v>
      </c>
      <c r="AP1628" s="175">
        <v>74</v>
      </c>
      <c r="AQ1628" s="175">
        <v>13</v>
      </c>
      <c r="AR1628" s="175">
        <v>2</v>
      </c>
      <c r="AS1628" s="175">
        <v>7</v>
      </c>
      <c r="AT1628" s="175">
        <v>3</v>
      </c>
    </row>
    <row r="1629" spans="1:46">
      <c r="A1629">
        <v>40042</v>
      </c>
      <c r="B1629" t="s">
        <v>9906</v>
      </c>
      <c r="C1629" t="s">
        <v>9907</v>
      </c>
      <c r="E1629" t="s">
        <v>9908</v>
      </c>
      <c r="F1629" t="s">
        <v>9909</v>
      </c>
      <c r="G1629" t="s">
        <v>1681</v>
      </c>
      <c r="H1629" t="s">
        <v>449</v>
      </c>
      <c r="J1629" t="s">
        <v>605</v>
      </c>
      <c r="K1629" t="s">
        <v>606</v>
      </c>
      <c r="M1629" t="s">
        <v>1382</v>
      </c>
      <c r="N1629" t="s">
        <v>657</v>
      </c>
      <c r="O1629" t="s">
        <v>1780</v>
      </c>
      <c r="P1629" t="s">
        <v>739</v>
      </c>
      <c r="Q1629" t="s">
        <v>511</v>
      </c>
      <c r="R1629" t="s">
        <v>1555</v>
      </c>
      <c r="S1629" t="s">
        <v>1781</v>
      </c>
      <c r="T1629" t="s">
        <v>1557</v>
      </c>
      <c r="U1629">
        <v>195700</v>
      </c>
      <c r="V1629" t="s">
        <v>9909</v>
      </c>
      <c r="W1629" t="s">
        <v>1799</v>
      </c>
      <c r="X1629" t="s">
        <v>9910</v>
      </c>
      <c r="Y1629" t="s">
        <v>7418</v>
      </c>
      <c r="AA1629" t="s">
        <v>7419</v>
      </c>
      <c r="AC1629">
        <v>99085</v>
      </c>
      <c r="AD1629" t="s">
        <v>1800</v>
      </c>
      <c r="AE1629">
        <v>-37.731873239999999</v>
      </c>
      <c r="AF1629">
        <v>176.14698129999999</v>
      </c>
      <c r="AG1629" s="175">
        <v>100</v>
      </c>
      <c r="AH1629" s="175">
        <v>35</v>
      </c>
      <c r="AI1629" s="175">
        <v>1</v>
      </c>
      <c r="AJ1629" s="175">
        <v>16</v>
      </c>
      <c r="AK1629" s="175">
        <v>12</v>
      </c>
      <c r="AL1629" s="175">
        <v>13</v>
      </c>
      <c r="AM1629" s="175">
        <v>18</v>
      </c>
      <c r="AN1629" s="175">
        <v>2</v>
      </c>
      <c r="AO1629" s="175">
        <v>62</v>
      </c>
      <c r="AP1629" s="175">
        <v>48</v>
      </c>
      <c r="AQ1629" s="175">
        <v>25</v>
      </c>
      <c r="AR1629" s="175">
        <v>7</v>
      </c>
      <c r="AS1629" s="175">
        <v>8</v>
      </c>
      <c r="AT1629" s="175">
        <v>3</v>
      </c>
    </row>
    <row r="1630" spans="1:46">
      <c r="A1630">
        <v>40044</v>
      </c>
      <c r="B1630" t="s">
        <v>9911</v>
      </c>
      <c r="C1630" t="s">
        <v>9912</v>
      </c>
      <c r="E1630" t="s">
        <v>9913</v>
      </c>
      <c r="F1630" t="s">
        <v>3793</v>
      </c>
      <c r="G1630" t="s">
        <v>1681</v>
      </c>
      <c r="H1630" t="s">
        <v>449</v>
      </c>
      <c r="J1630" t="s">
        <v>4032</v>
      </c>
      <c r="K1630" t="s">
        <v>606</v>
      </c>
      <c r="M1630" t="s">
        <v>1382</v>
      </c>
      <c r="N1630" t="s">
        <v>657</v>
      </c>
      <c r="O1630" t="s">
        <v>1780</v>
      </c>
      <c r="P1630" t="s">
        <v>739</v>
      </c>
      <c r="Q1630" t="s">
        <v>511</v>
      </c>
      <c r="R1630" t="s">
        <v>1555</v>
      </c>
      <c r="S1630" t="s">
        <v>1681</v>
      </c>
      <c r="T1630" t="s">
        <v>1557</v>
      </c>
      <c r="U1630">
        <v>194801</v>
      </c>
      <c r="V1630" t="s">
        <v>3793</v>
      </c>
      <c r="W1630" t="s">
        <v>3795</v>
      </c>
      <c r="X1630" t="s">
        <v>9914</v>
      </c>
      <c r="Y1630" t="s">
        <v>9915</v>
      </c>
      <c r="Z1630" t="s">
        <v>3793</v>
      </c>
      <c r="AA1630" t="s">
        <v>8947</v>
      </c>
      <c r="AC1630">
        <v>99085</v>
      </c>
      <c r="AD1630" t="s">
        <v>1800</v>
      </c>
      <c r="AE1630">
        <v>-37.702292890000003</v>
      </c>
      <c r="AF1630">
        <v>176.16319406</v>
      </c>
      <c r="AG1630" s="175">
        <v>45</v>
      </c>
      <c r="AH1630" s="175">
        <v>11</v>
      </c>
      <c r="AI1630" s="175">
        <v>1</v>
      </c>
      <c r="AJ1630" s="175">
        <v>10</v>
      </c>
      <c r="AK1630" s="175">
        <v>11</v>
      </c>
      <c r="AL1630" s="175">
        <v>14</v>
      </c>
      <c r="AM1630" s="175">
        <v>10</v>
      </c>
      <c r="AN1630" s="175">
        <v>1</v>
      </c>
      <c r="AO1630" s="175">
        <v>47</v>
      </c>
      <c r="AP1630" s="175">
        <v>7</v>
      </c>
      <c r="AQ1630" s="175">
        <v>13</v>
      </c>
      <c r="AR1630" s="175">
        <v>1</v>
      </c>
      <c r="AS1630" s="175">
        <v>25</v>
      </c>
      <c r="AT1630" s="175">
        <v>6</v>
      </c>
    </row>
    <row r="1631" spans="1:46">
      <c r="A1631">
        <v>40046</v>
      </c>
      <c r="B1631" t="s">
        <v>9916</v>
      </c>
      <c r="C1631" t="s">
        <v>9917</v>
      </c>
      <c r="D1631" t="s">
        <v>9918</v>
      </c>
      <c r="E1631" t="s">
        <v>9919</v>
      </c>
      <c r="F1631" t="s">
        <v>1789</v>
      </c>
      <c r="G1631" t="s">
        <v>1681</v>
      </c>
      <c r="H1631" t="s">
        <v>449</v>
      </c>
      <c r="I1631" t="s">
        <v>9920</v>
      </c>
      <c r="J1631" t="s">
        <v>605</v>
      </c>
      <c r="K1631" t="s">
        <v>606</v>
      </c>
      <c r="M1631" t="s">
        <v>1382</v>
      </c>
      <c r="N1631" t="s">
        <v>657</v>
      </c>
      <c r="O1631" t="s">
        <v>1780</v>
      </c>
      <c r="P1631" t="s">
        <v>739</v>
      </c>
      <c r="Q1631" t="s">
        <v>511</v>
      </c>
      <c r="R1631" t="s">
        <v>1555</v>
      </c>
      <c r="S1631" t="s">
        <v>1681</v>
      </c>
      <c r="T1631" t="s">
        <v>1557</v>
      </c>
      <c r="U1631">
        <v>193301</v>
      </c>
      <c r="V1631" t="s">
        <v>9921</v>
      </c>
      <c r="W1631" t="s">
        <v>1819</v>
      </c>
      <c r="X1631" t="s">
        <v>9922</v>
      </c>
      <c r="Y1631" t="s">
        <v>9923</v>
      </c>
      <c r="Z1631" t="s">
        <v>1681</v>
      </c>
      <c r="AA1631" t="s">
        <v>9924</v>
      </c>
      <c r="AB1631" t="s">
        <v>9917</v>
      </c>
      <c r="AC1631">
        <v>99036</v>
      </c>
      <c r="AD1631" t="s">
        <v>1792</v>
      </c>
      <c r="AE1631">
        <v>-37.681475919999997</v>
      </c>
      <c r="AF1631">
        <v>176.13613974</v>
      </c>
      <c r="AG1631" s="175">
        <v>50</v>
      </c>
      <c r="AH1631" s="175">
        <v>0</v>
      </c>
      <c r="AI1631" s="175">
        <v>0</v>
      </c>
      <c r="AJ1631" s="175">
        <v>0</v>
      </c>
      <c r="AK1631" s="175">
        <v>7</v>
      </c>
      <c r="AL1631" s="175">
        <v>23</v>
      </c>
      <c r="AM1631" s="175">
        <v>24</v>
      </c>
      <c r="AN1631" s="175">
        <v>2</v>
      </c>
      <c r="AO1631" s="175">
        <v>56</v>
      </c>
      <c r="AP1631" s="175">
        <v>45</v>
      </c>
      <c r="AQ1631" s="175">
        <v>8</v>
      </c>
      <c r="AR1631" s="175">
        <v>1</v>
      </c>
      <c r="AS1631" s="175">
        <v>9</v>
      </c>
      <c r="AT1631" s="175">
        <v>7</v>
      </c>
    </row>
    <row r="1632" spans="1:46">
      <c r="A1632">
        <v>40047</v>
      </c>
      <c r="B1632" t="s">
        <v>9925</v>
      </c>
      <c r="C1632" t="s">
        <v>9926</v>
      </c>
      <c r="D1632" t="s">
        <v>9927</v>
      </c>
      <c r="E1632" t="s">
        <v>9928</v>
      </c>
      <c r="F1632" t="s">
        <v>9827</v>
      </c>
      <c r="G1632" t="s">
        <v>1681</v>
      </c>
      <c r="H1632" t="s">
        <v>449</v>
      </c>
      <c r="I1632" t="s">
        <v>4134</v>
      </c>
      <c r="J1632" t="s">
        <v>605</v>
      </c>
      <c r="K1632" t="s">
        <v>606</v>
      </c>
      <c r="M1632" t="s">
        <v>1382</v>
      </c>
      <c r="N1632" t="s">
        <v>657</v>
      </c>
      <c r="O1632" t="s">
        <v>1780</v>
      </c>
      <c r="P1632" t="s">
        <v>739</v>
      </c>
      <c r="Q1632" t="s">
        <v>511</v>
      </c>
      <c r="R1632" t="s">
        <v>1555</v>
      </c>
      <c r="S1632" t="s">
        <v>1681</v>
      </c>
      <c r="T1632" t="s">
        <v>1557</v>
      </c>
      <c r="U1632">
        <v>193100</v>
      </c>
      <c r="V1632" t="s">
        <v>9827</v>
      </c>
      <c r="W1632" t="s">
        <v>1819</v>
      </c>
      <c r="X1632" t="s">
        <v>8441</v>
      </c>
      <c r="Y1632" t="s">
        <v>4014</v>
      </c>
      <c r="Z1632" t="s">
        <v>4015</v>
      </c>
      <c r="AA1632" t="s">
        <v>4016</v>
      </c>
      <c r="AB1632" t="s">
        <v>8442</v>
      </c>
      <c r="AC1632">
        <v>99036</v>
      </c>
      <c r="AD1632" t="s">
        <v>1792</v>
      </c>
      <c r="AE1632">
        <v>-37.677841579999999</v>
      </c>
      <c r="AF1632">
        <v>176.12794317999999</v>
      </c>
      <c r="AG1632" s="175">
        <v>30</v>
      </c>
      <c r="AH1632" s="175">
        <v>0</v>
      </c>
      <c r="AI1632" s="175">
        <v>0</v>
      </c>
      <c r="AJ1632" s="175">
        <v>0</v>
      </c>
      <c r="AK1632" s="175">
        <v>8</v>
      </c>
      <c r="AL1632" s="175">
        <v>15</v>
      </c>
      <c r="AM1632" s="175">
        <v>6</v>
      </c>
      <c r="AN1632" s="175">
        <v>6</v>
      </c>
      <c r="AO1632" s="175">
        <v>35</v>
      </c>
      <c r="AP1632" s="175">
        <v>17</v>
      </c>
      <c r="AQ1632" s="175">
        <v>3</v>
      </c>
      <c r="AR1632" s="175">
        <v>0</v>
      </c>
      <c r="AS1632" s="175">
        <v>12</v>
      </c>
      <c r="AT1632" s="175">
        <v>11</v>
      </c>
    </row>
    <row r="1633" spans="1:46">
      <c r="A1633">
        <v>40048</v>
      </c>
      <c r="B1633" t="s">
        <v>9929</v>
      </c>
      <c r="C1633" t="s">
        <v>9930</v>
      </c>
      <c r="D1633" t="s">
        <v>9931</v>
      </c>
      <c r="E1633" t="s">
        <v>9932</v>
      </c>
      <c r="F1633" t="s">
        <v>8439</v>
      </c>
      <c r="G1633" t="s">
        <v>1681</v>
      </c>
      <c r="H1633" t="s">
        <v>449</v>
      </c>
      <c r="I1633" t="s">
        <v>6871</v>
      </c>
      <c r="J1633" t="s">
        <v>605</v>
      </c>
      <c r="K1633" t="s">
        <v>606</v>
      </c>
      <c r="M1633" t="s">
        <v>1382</v>
      </c>
      <c r="N1633" t="s">
        <v>657</v>
      </c>
      <c r="O1633" t="s">
        <v>1780</v>
      </c>
      <c r="P1633" t="s">
        <v>739</v>
      </c>
      <c r="Q1633" t="s">
        <v>511</v>
      </c>
      <c r="R1633" t="s">
        <v>1555</v>
      </c>
      <c r="S1633" t="s">
        <v>1781</v>
      </c>
      <c r="T1633" t="s">
        <v>1557</v>
      </c>
      <c r="U1633">
        <v>195500</v>
      </c>
      <c r="V1633" t="s">
        <v>9933</v>
      </c>
      <c r="W1633" t="s">
        <v>1806</v>
      </c>
      <c r="X1633" t="s">
        <v>9934</v>
      </c>
      <c r="Y1633" t="s">
        <v>8431</v>
      </c>
      <c r="AA1633" t="s">
        <v>8432</v>
      </c>
      <c r="AB1633" t="s">
        <v>9935</v>
      </c>
      <c r="AC1633">
        <v>99064</v>
      </c>
      <c r="AD1633" t="s">
        <v>1784</v>
      </c>
      <c r="AE1633">
        <v>-37.6744062</v>
      </c>
      <c r="AF1633">
        <v>176.22684158000001</v>
      </c>
      <c r="AG1633" s="175">
        <v>50</v>
      </c>
      <c r="AH1633" s="175">
        <v>21</v>
      </c>
      <c r="AI1633" s="175">
        <v>2</v>
      </c>
      <c r="AJ1633" s="175">
        <v>8</v>
      </c>
      <c r="AK1633" s="175">
        <v>18</v>
      </c>
      <c r="AL1633" s="175">
        <v>14</v>
      </c>
      <c r="AM1633" s="175">
        <v>11</v>
      </c>
      <c r="AN1633" s="175">
        <v>0</v>
      </c>
      <c r="AO1633" s="175">
        <v>53</v>
      </c>
      <c r="AP1633" s="175">
        <v>46</v>
      </c>
      <c r="AQ1633" s="175">
        <v>13</v>
      </c>
      <c r="AR1633" s="175">
        <v>3</v>
      </c>
      <c r="AS1633" s="175">
        <v>5</v>
      </c>
      <c r="AT1633" s="175">
        <v>6</v>
      </c>
    </row>
    <row r="1634" spans="1:46">
      <c r="A1634">
        <v>40049</v>
      </c>
      <c r="B1634" t="s">
        <v>9936</v>
      </c>
      <c r="C1634" t="s">
        <v>9937</v>
      </c>
      <c r="D1634" t="s">
        <v>9938</v>
      </c>
      <c r="E1634" t="s">
        <v>9939</v>
      </c>
      <c r="F1634" t="s">
        <v>9940</v>
      </c>
      <c r="G1634" t="s">
        <v>1604</v>
      </c>
      <c r="H1634" t="s">
        <v>449</v>
      </c>
      <c r="J1634" t="s">
        <v>605</v>
      </c>
      <c r="K1634" t="s">
        <v>606</v>
      </c>
      <c r="M1634" t="s">
        <v>1382</v>
      </c>
      <c r="N1634" t="s">
        <v>657</v>
      </c>
      <c r="O1634" t="s">
        <v>1605</v>
      </c>
      <c r="P1634" t="s">
        <v>670</v>
      </c>
      <c r="Q1634" t="s">
        <v>511</v>
      </c>
      <c r="R1634" t="s">
        <v>1555</v>
      </c>
      <c r="S1634" t="s">
        <v>1604</v>
      </c>
      <c r="T1634" t="s">
        <v>1557</v>
      </c>
      <c r="U1634">
        <v>199900</v>
      </c>
      <c r="V1634" t="s">
        <v>9940</v>
      </c>
      <c r="W1634" t="s">
        <v>1606</v>
      </c>
      <c r="X1634" t="s">
        <v>9941</v>
      </c>
      <c r="Y1634" t="s">
        <v>9939</v>
      </c>
      <c r="Z1634" t="s">
        <v>8628</v>
      </c>
      <c r="AA1634" t="s">
        <v>9468</v>
      </c>
      <c r="AC1634">
        <v>99019</v>
      </c>
      <c r="AD1634" t="s">
        <v>1648</v>
      </c>
      <c r="AE1634">
        <v>-38.142079979999998</v>
      </c>
      <c r="AF1634">
        <v>176.2365571</v>
      </c>
      <c r="AG1634" s="175">
        <v>38</v>
      </c>
      <c r="AH1634" s="175">
        <v>8</v>
      </c>
      <c r="AI1634" s="175">
        <v>0</v>
      </c>
      <c r="AJ1634" s="175">
        <v>7</v>
      </c>
      <c r="AK1634" s="175">
        <v>9</v>
      </c>
      <c r="AL1634" s="175">
        <v>8</v>
      </c>
      <c r="AM1634" s="175">
        <v>14</v>
      </c>
      <c r="AN1634" s="175">
        <v>0</v>
      </c>
      <c r="AO1634" s="175">
        <v>38</v>
      </c>
      <c r="AP1634" s="175">
        <v>28</v>
      </c>
      <c r="AQ1634" s="175">
        <v>15</v>
      </c>
      <c r="AR1634" s="175">
        <v>8</v>
      </c>
      <c r="AS1634" s="175">
        <v>1</v>
      </c>
      <c r="AT1634" s="175">
        <v>1</v>
      </c>
    </row>
    <row r="1635" spans="1:46">
      <c r="A1635">
        <v>40051</v>
      </c>
      <c r="B1635" t="s">
        <v>9942</v>
      </c>
      <c r="C1635" t="s">
        <v>9943</v>
      </c>
      <c r="D1635" t="s">
        <v>9944</v>
      </c>
      <c r="E1635" t="s">
        <v>9945</v>
      </c>
      <c r="G1635" t="s">
        <v>3858</v>
      </c>
      <c r="H1635" t="s">
        <v>449</v>
      </c>
      <c r="I1635" t="s">
        <v>4023</v>
      </c>
      <c r="J1635" t="s">
        <v>605</v>
      </c>
      <c r="K1635" t="s">
        <v>606</v>
      </c>
      <c r="M1635" t="s">
        <v>1382</v>
      </c>
      <c r="N1635" t="s">
        <v>657</v>
      </c>
      <c r="O1635" t="s">
        <v>1825</v>
      </c>
      <c r="P1635" t="s">
        <v>610</v>
      </c>
      <c r="Q1635" t="s">
        <v>511</v>
      </c>
      <c r="R1635" t="s">
        <v>1555</v>
      </c>
      <c r="S1635" t="s">
        <v>1522</v>
      </c>
      <c r="T1635" t="s">
        <v>1557</v>
      </c>
      <c r="U1635">
        <v>190601</v>
      </c>
      <c r="V1635" t="s">
        <v>9831</v>
      </c>
      <c r="W1635" t="s">
        <v>3860</v>
      </c>
      <c r="X1635" t="s">
        <v>8441</v>
      </c>
      <c r="Y1635" t="s">
        <v>4014</v>
      </c>
      <c r="Z1635" t="s">
        <v>4015</v>
      </c>
      <c r="AA1635" t="s">
        <v>4016</v>
      </c>
      <c r="AB1635" t="s">
        <v>8442</v>
      </c>
      <c r="AE1635">
        <v>-37.551626280000001</v>
      </c>
      <c r="AF1635">
        <v>175.92299138000001</v>
      </c>
      <c r="AG1635" s="175">
        <v>40</v>
      </c>
      <c r="AH1635" s="175">
        <v>10</v>
      </c>
      <c r="AI1635" s="175">
        <v>1</v>
      </c>
      <c r="AJ1635" s="175">
        <v>7</v>
      </c>
      <c r="AK1635" s="175">
        <v>15</v>
      </c>
      <c r="AL1635" s="175">
        <v>12</v>
      </c>
      <c r="AM1635" s="175">
        <v>16</v>
      </c>
      <c r="AN1635" s="175">
        <v>0</v>
      </c>
      <c r="AO1635" s="175">
        <v>51</v>
      </c>
      <c r="AP1635" s="175">
        <v>36</v>
      </c>
      <c r="AQ1635" s="175">
        <v>13</v>
      </c>
      <c r="AR1635" s="175">
        <v>5</v>
      </c>
      <c r="AS1635" s="175">
        <v>9</v>
      </c>
      <c r="AT1635" s="175">
        <v>5</v>
      </c>
    </row>
    <row r="1636" spans="1:46">
      <c r="A1636">
        <v>40052</v>
      </c>
      <c r="B1636" t="s">
        <v>9946</v>
      </c>
      <c r="C1636" t="s">
        <v>9947</v>
      </c>
      <c r="D1636" t="s">
        <v>9948</v>
      </c>
      <c r="E1636" t="s">
        <v>9949</v>
      </c>
      <c r="F1636" t="s">
        <v>1688</v>
      </c>
      <c r="G1636" t="s">
        <v>1604</v>
      </c>
      <c r="H1636" t="s">
        <v>449</v>
      </c>
      <c r="J1636" t="s">
        <v>4032</v>
      </c>
      <c r="K1636" t="s">
        <v>606</v>
      </c>
      <c r="M1636" t="s">
        <v>1382</v>
      </c>
      <c r="N1636" t="s">
        <v>608</v>
      </c>
      <c r="O1636" t="s">
        <v>1605</v>
      </c>
      <c r="P1636" t="s">
        <v>610</v>
      </c>
      <c r="Q1636" t="s">
        <v>511</v>
      </c>
      <c r="R1636" t="s">
        <v>1555</v>
      </c>
      <c r="S1636" t="s">
        <v>1604</v>
      </c>
      <c r="T1636" t="s">
        <v>1557</v>
      </c>
      <c r="U1636">
        <v>198100</v>
      </c>
      <c r="V1636" t="s">
        <v>9950</v>
      </c>
      <c r="W1636" t="s">
        <v>1606</v>
      </c>
      <c r="X1636" t="s">
        <v>9951</v>
      </c>
      <c r="Y1636" t="s">
        <v>4051</v>
      </c>
      <c r="AA1636" t="s">
        <v>4052</v>
      </c>
      <c r="AB1636" t="s">
        <v>9947</v>
      </c>
      <c r="AC1636">
        <v>99107</v>
      </c>
      <c r="AD1636" t="s">
        <v>1609</v>
      </c>
      <c r="AE1636">
        <v>-38.079638770000003</v>
      </c>
      <c r="AF1636">
        <v>176.21665239999999</v>
      </c>
      <c r="AG1636" s="175">
        <v>60</v>
      </c>
      <c r="AH1636" s="175">
        <v>15</v>
      </c>
      <c r="AI1636" s="175">
        <v>0</v>
      </c>
      <c r="AJ1636" s="175">
        <v>5</v>
      </c>
      <c r="AK1636" s="175">
        <v>14</v>
      </c>
      <c r="AL1636" s="175">
        <v>18</v>
      </c>
      <c r="AM1636" s="175">
        <v>16</v>
      </c>
      <c r="AN1636" s="175">
        <v>1</v>
      </c>
      <c r="AO1636" s="175">
        <v>54</v>
      </c>
      <c r="AP1636" s="175">
        <v>42</v>
      </c>
      <c r="AQ1636" s="175">
        <v>32</v>
      </c>
      <c r="AR1636" s="175">
        <v>3</v>
      </c>
      <c r="AS1636" s="175">
        <v>5</v>
      </c>
      <c r="AT1636" s="175">
        <v>2</v>
      </c>
    </row>
    <row r="1637" spans="1:46">
      <c r="A1637">
        <v>40053</v>
      </c>
      <c r="B1637" t="s">
        <v>9952</v>
      </c>
      <c r="C1637" t="s">
        <v>9953</v>
      </c>
      <c r="D1637" t="s">
        <v>9954</v>
      </c>
      <c r="E1637" t="s">
        <v>9955</v>
      </c>
      <c r="F1637" t="s">
        <v>8555</v>
      </c>
      <c r="G1637" t="s">
        <v>1604</v>
      </c>
      <c r="H1637" t="s">
        <v>449</v>
      </c>
      <c r="I1637" t="s">
        <v>4298</v>
      </c>
      <c r="J1637" t="s">
        <v>605</v>
      </c>
      <c r="K1637" t="s">
        <v>606</v>
      </c>
      <c r="M1637" t="s">
        <v>1382</v>
      </c>
      <c r="N1637" t="s">
        <v>657</v>
      </c>
      <c r="O1637" t="s">
        <v>1605</v>
      </c>
      <c r="P1637" t="s">
        <v>670</v>
      </c>
      <c r="Q1637" t="s">
        <v>511</v>
      </c>
      <c r="R1637" t="s">
        <v>1555</v>
      </c>
      <c r="S1637" t="s">
        <v>1604</v>
      </c>
      <c r="T1637" t="s">
        <v>1557</v>
      </c>
      <c r="U1637">
        <v>200300</v>
      </c>
      <c r="V1637" t="s">
        <v>9869</v>
      </c>
      <c r="W1637" t="s">
        <v>1606</v>
      </c>
      <c r="X1637" t="s">
        <v>9956</v>
      </c>
      <c r="Y1637" t="s">
        <v>9957</v>
      </c>
      <c r="Z1637" t="s">
        <v>9958</v>
      </c>
      <c r="AA1637" t="s">
        <v>9959</v>
      </c>
      <c r="AC1637">
        <v>99019</v>
      </c>
      <c r="AD1637" t="s">
        <v>1648</v>
      </c>
      <c r="AE1637">
        <v>-38.142984980000001</v>
      </c>
      <c r="AF1637">
        <v>176.23967959999999</v>
      </c>
      <c r="AG1637" s="175">
        <v>20</v>
      </c>
      <c r="AH1637" s="175">
        <v>0</v>
      </c>
      <c r="AI1637" s="175">
        <v>0</v>
      </c>
      <c r="AJ1637" s="175">
        <v>0</v>
      </c>
      <c r="AK1637" s="175">
        <v>2</v>
      </c>
      <c r="AL1637" s="175">
        <v>9</v>
      </c>
      <c r="AM1637" s="175">
        <v>13</v>
      </c>
      <c r="AN1637" s="175">
        <v>3</v>
      </c>
      <c r="AO1637" s="175">
        <v>27</v>
      </c>
      <c r="AP1637" s="175">
        <v>24</v>
      </c>
      <c r="AQ1637" s="175">
        <v>4</v>
      </c>
      <c r="AR1637" s="175">
        <v>2</v>
      </c>
      <c r="AS1637" s="175">
        <v>2</v>
      </c>
      <c r="AT1637" s="175">
        <v>1</v>
      </c>
    </row>
    <row r="1638" spans="1:46">
      <c r="A1638">
        <v>40054</v>
      </c>
      <c r="B1638" t="s">
        <v>9960</v>
      </c>
      <c r="C1638" t="s">
        <v>9961</v>
      </c>
      <c r="D1638" t="s">
        <v>9962</v>
      </c>
      <c r="E1638" t="s">
        <v>9963</v>
      </c>
      <c r="F1638" t="s">
        <v>8555</v>
      </c>
      <c r="G1638" t="s">
        <v>1604</v>
      </c>
      <c r="H1638" t="s">
        <v>449</v>
      </c>
      <c r="J1638" t="s">
        <v>4032</v>
      </c>
      <c r="K1638" t="s">
        <v>606</v>
      </c>
      <c r="M1638" t="s">
        <v>1382</v>
      </c>
      <c r="N1638" t="s">
        <v>625</v>
      </c>
      <c r="O1638" t="s">
        <v>1605</v>
      </c>
      <c r="P1638" t="s">
        <v>670</v>
      </c>
      <c r="Q1638" t="s">
        <v>511</v>
      </c>
      <c r="R1638" t="s">
        <v>1555</v>
      </c>
      <c r="S1638" t="s">
        <v>1604</v>
      </c>
      <c r="T1638" t="s">
        <v>1557</v>
      </c>
      <c r="U1638">
        <v>199800</v>
      </c>
      <c r="V1638" t="s">
        <v>8625</v>
      </c>
      <c r="W1638" t="s">
        <v>1606</v>
      </c>
      <c r="X1638" t="s">
        <v>9964</v>
      </c>
      <c r="Y1638" t="s">
        <v>4051</v>
      </c>
      <c r="AA1638" t="s">
        <v>4052</v>
      </c>
      <c r="AB1638" t="s">
        <v>9965</v>
      </c>
      <c r="AC1638">
        <v>99019</v>
      </c>
      <c r="AD1638" t="s">
        <v>1648</v>
      </c>
      <c r="AE1638">
        <v>-38.138597689999997</v>
      </c>
      <c r="AF1638">
        <v>176.24387462000001</v>
      </c>
      <c r="AG1638" s="175">
        <v>80</v>
      </c>
      <c r="AH1638" s="175">
        <v>20</v>
      </c>
      <c r="AI1638" s="175">
        <v>3</v>
      </c>
      <c r="AJ1638" s="175">
        <v>16</v>
      </c>
      <c r="AK1638" s="175">
        <v>23</v>
      </c>
      <c r="AL1638" s="175">
        <v>14</v>
      </c>
      <c r="AM1638" s="175">
        <v>12</v>
      </c>
      <c r="AN1638" s="175">
        <v>0</v>
      </c>
      <c r="AO1638" s="175">
        <v>68</v>
      </c>
      <c r="AP1638" s="175">
        <v>26</v>
      </c>
      <c r="AQ1638" s="175">
        <v>40</v>
      </c>
      <c r="AR1638" s="175">
        <v>12</v>
      </c>
      <c r="AS1638" s="175">
        <v>14</v>
      </c>
      <c r="AT1638" s="175">
        <v>2</v>
      </c>
    </row>
    <row r="1639" spans="1:46">
      <c r="A1639">
        <v>40055</v>
      </c>
      <c r="B1639" t="s">
        <v>9966</v>
      </c>
      <c r="C1639" t="s">
        <v>9967</v>
      </c>
      <c r="D1639" t="s">
        <v>9968</v>
      </c>
      <c r="E1639" t="s">
        <v>9969</v>
      </c>
      <c r="G1639" t="s">
        <v>9888</v>
      </c>
      <c r="H1639" t="s">
        <v>452</v>
      </c>
      <c r="J1639" t="s">
        <v>605</v>
      </c>
      <c r="K1639" t="s">
        <v>606</v>
      </c>
      <c r="M1639" t="s">
        <v>1382</v>
      </c>
      <c r="N1639" t="s">
        <v>657</v>
      </c>
      <c r="O1639" t="s">
        <v>1605</v>
      </c>
      <c r="P1639" t="s">
        <v>658</v>
      </c>
      <c r="Q1639" t="s">
        <v>510</v>
      </c>
      <c r="R1639" t="s">
        <v>1555</v>
      </c>
      <c r="S1639" t="s">
        <v>1604</v>
      </c>
      <c r="T1639" t="s">
        <v>1557</v>
      </c>
      <c r="U1639">
        <v>201800</v>
      </c>
      <c r="V1639" t="s">
        <v>9889</v>
      </c>
      <c r="W1639" t="s">
        <v>9890</v>
      </c>
      <c r="X1639" t="s">
        <v>1607</v>
      </c>
      <c r="Y1639" t="s">
        <v>1525</v>
      </c>
      <c r="AA1639" t="s">
        <v>1526</v>
      </c>
      <c r="AB1639" t="s">
        <v>1608</v>
      </c>
      <c r="AC1639">
        <v>99133</v>
      </c>
      <c r="AD1639" t="s">
        <v>9970</v>
      </c>
      <c r="AE1639">
        <v>-38.435380690000002</v>
      </c>
      <c r="AF1639">
        <v>176.34334104999999</v>
      </c>
      <c r="AG1639" s="175">
        <v>40</v>
      </c>
      <c r="AH1639" s="175">
        <v>0</v>
      </c>
      <c r="AI1639" s="175">
        <v>0</v>
      </c>
      <c r="AJ1639" s="175">
        <v>0</v>
      </c>
      <c r="AK1639" s="175">
        <v>15</v>
      </c>
      <c r="AL1639" s="175">
        <v>10</v>
      </c>
      <c r="AM1639" s="175">
        <v>15</v>
      </c>
      <c r="AN1639" s="175">
        <v>2</v>
      </c>
      <c r="AO1639" s="175">
        <v>42</v>
      </c>
      <c r="AP1639" s="175">
        <v>32</v>
      </c>
      <c r="AQ1639" s="175">
        <v>7</v>
      </c>
      <c r="AR1639" s="175">
        <v>2</v>
      </c>
      <c r="AS1639" s="175">
        <v>5</v>
      </c>
      <c r="AT1639" s="175">
        <v>4</v>
      </c>
    </row>
    <row r="1640" spans="1:46">
      <c r="A1640">
        <v>40058</v>
      </c>
      <c r="B1640" t="s">
        <v>9971</v>
      </c>
      <c r="C1640" t="s">
        <v>9972</v>
      </c>
      <c r="E1640" t="s">
        <v>9973</v>
      </c>
      <c r="F1640" t="s">
        <v>9974</v>
      </c>
      <c r="G1640" t="s">
        <v>1604</v>
      </c>
      <c r="H1640" t="s">
        <v>449</v>
      </c>
      <c r="J1640" t="s">
        <v>605</v>
      </c>
      <c r="K1640" t="s">
        <v>606</v>
      </c>
      <c r="M1640" t="s">
        <v>1382</v>
      </c>
      <c r="N1640" t="s">
        <v>657</v>
      </c>
      <c r="O1640" t="s">
        <v>1605</v>
      </c>
      <c r="P1640" t="s">
        <v>670</v>
      </c>
      <c r="Q1640" t="s">
        <v>511</v>
      </c>
      <c r="R1640" t="s">
        <v>1555</v>
      </c>
      <c r="S1640" t="s">
        <v>1604</v>
      </c>
      <c r="T1640" t="s">
        <v>1557</v>
      </c>
      <c r="U1640">
        <v>201501</v>
      </c>
      <c r="V1640" t="s">
        <v>9974</v>
      </c>
      <c r="W1640" t="s">
        <v>1606</v>
      </c>
      <c r="X1640" t="s">
        <v>8441</v>
      </c>
      <c r="Y1640" t="s">
        <v>4014</v>
      </c>
      <c r="Z1640" t="s">
        <v>4015</v>
      </c>
      <c r="AA1640" t="s">
        <v>4016</v>
      </c>
      <c r="AB1640" t="s">
        <v>8442</v>
      </c>
      <c r="AC1640">
        <v>99017</v>
      </c>
      <c r="AD1640" t="s">
        <v>1713</v>
      </c>
      <c r="AE1640">
        <v>-38.144553530000003</v>
      </c>
      <c r="AF1640">
        <v>176.28544919999999</v>
      </c>
      <c r="AG1640" s="175">
        <v>42</v>
      </c>
      <c r="AH1640" s="175">
        <v>10</v>
      </c>
      <c r="AI1640" s="175">
        <v>3</v>
      </c>
      <c r="AJ1640" s="175">
        <v>8</v>
      </c>
      <c r="AK1640" s="175">
        <v>13</v>
      </c>
      <c r="AL1640" s="175">
        <v>12</v>
      </c>
      <c r="AM1640" s="175">
        <v>13</v>
      </c>
      <c r="AN1640" s="175">
        <v>1</v>
      </c>
      <c r="AO1640" s="175">
        <v>50</v>
      </c>
      <c r="AP1640" s="175">
        <v>30</v>
      </c>
      <c r="AQ1640" s="175">
        <v>16</v>
      </c>
      <c r="AR1640" s="175">
        <v>0</v>
      </c>
      <c r="AS1640" s="175">
        <v>16</v>
      </c>
      <c r="AT1640" s="175">
        <v>6</v>
      </c>
    </row>
    <row r="1641" spans="1:46">
      <c r="A1641">
        <v>40059</v>
      </c>
      <c r="B1641" t="s">
        <v>9975</v>
      </c>
      <c r="C1641" t="s">
        <v>9976</v>
      </c>
      <c r="D1641" t="s">
        <v>9977</v>
      </c>
      <c r="E1641" t="s">
        <v>9978</v>
      </c>
      <c r="F1641" t="s">
        <v>8555</v>
      </c>
      <c r="G1641" t="s">
        <v>1604</v>
      </c>
      <c r="H1641" t="s">
        <v>449</v>
      </c>
      <c r="J1641" t="s">
        <v>4032</v>
      </c>
      <c r="K1641" t="s">
        <v>606</v>
      </c>
      <c r="M1641" t="s">
        <v>1382</v>
      </c>
      <c r="N1641" t="s">
        <v>608</v>
      </c>
      <c r="O1641" t="s">
        <v>1605</v>
      </c>
      <c r="P1641" t="s">
        <v>670</v>
      </c>
      <c r="Q1641" t="s">
        <v>511</v>
      </c>
      <c r="R1641" t="s">
        <v>1555</v>
      </c>
      <c r="S1641" t="s">
        <v>1604</v>
      </c>
      <c r="T1641" t="s">
        <v>1557</v>
      </c>
      <c r="U1641">
        <v>199000</v>
      </c>
      <c r="V1641" t="s">
        <v>1774</v>
      </c>
      <c r="W1641" t="s">
        <v>1606</v>
      </c>
      <c r="X1641" t="s">
        <v>9979</v>
      </c>
      <c r="Y1641" t="s">
        <v>9980</v>
      </c>
      <c r="AA1641" t="s">
        <v>8584</v>
      </c>
      <c r="AE1641">
        <v>-38.124761100000001</v>
      </c>
      <c r="AF1641">
        <v>176.21733169999999</v>
      </c>
      <c r="AG1641" s="175">
        <v>30</v>
      </c>
      <c r="AH1641" s="175">
        <v>10</v>
      </c>
      <c r="AI1641" s="175">
        <v>2</v>
      </c>
      <c r="AJ1641" s="175">
        <v>5</v>
      </c>
      <c r="AK1641" s="175">
        <v>1</v>
      </c>
      <c r="AL1641" s="175">
        <v>4</v>
      </c>
      <c r="AM1641" s="175">
        <v>4</v>
      </c>
      <c r="AN1641" s="175">
        <v>0</v>
      </c>
      <c r="AO1641" s="175">
        <v>16</v>
      </c>
      <c r="AP1641" s="175">
        <v>10</v>
      </c>
      <c r="AQ1641" s="175">
        <v>12</v>
      </c>
      <c r="AR1641" s="175">
        <v>1</v>
      </c>
      <c r="AS1641" s="175">
        <v>1</v>
      </c>
      <c r="AT1641" s="175">
        <v>1</v>
      </c>
    </row>
    <row r="1642" spans="1:46">
      <c r="A1642">
        <v>40061</v>
      </c>
      <c r="B1642" t="s">
        <v>9981</v>
      </c>
      <c r="C1642" t="s">
        <v>9982</v>
      </c>
      <c r="E1642" t="s">
        <v>9983</v>
      </c>
      <c r="F1642" t="s">
        <v>8547</v>
      </c>
      <c r="G1642" t="s">
        <v>1681</v>
      </c>
      <c r="H1642" t="s">
        <v>449</v>
      </c>
      <c r="J1642" t="s">
        <v>605</v>
      </c>
      <c r="K1642" t="s">
        <v>606</v>
      </c>
      <c r="M1642" t="s">
        <v>1382</v>
      </c>
      <c r="N1642" t="s">
        <v>643</v>
      </c>
      <c r="O1642" t="s">
        <v>1780</v>
      </c>
      <c r="P1642" t="s">
        <v>739</v>
      </c>
      <c r="Q1642" t="s">
        <v>511</v>
      </c>
      <c r="R1642" t="s">
        <v>1555</v>
      </c>
      <c r="S1642" t="s">
        <v>1681</v>
      </c>
      <c r="T1642" t="s">
        <v>1557</v>
      </c>
      <c r="U1642">
        <v>194601</v>
      </c>
      <c r="V1642" t="s">
        <v>8547</v>
      </c>
      <c r="W1642" t="s">
        <v>3795</v>
      </c>
      <c r="X1642" t="s">
        <v>9984</v>
      </c>
      <c r="Y1642" t="s">
        <v>9983</v>
      </c>
      <c r="Z1642" t="s">
        <v>1681</v>
      </c>
      <c r="AA1642" t="s">
        <v>9985</v>
      </c>
      <c r="AC1642">
        <v>99085</v>
      </c>
      <c r="AD1642" t="s">
        <v>1800</v>
      </c>
      <c r="AE1642">
        <v>-37.707433909999999</v>
      </c>
      <c r="AF1642">
        <v>176.13822454999999</v>
      </c>
      <c r="AG1642" s="175">
        <v>40</v>
      </c>
      <c r="AH1642" s="175">
        <v>10</v>
      </c>
      <c r="AI1642" s="175">
        <v>1</v>
      </c>
      <c r="AJ1642" s="175">
        <v>8</v>
      </c>
      <c r="AK1642" s="175">
        <v>6</v>
      </c>
      <c r="AL1642" s="175">
        <v>10</v>
      </c>
      <c r="AM1642" s="175">
        <v>12</v>
      </c>
      <c r="AN1642" s="175">
        <v>0</v>
      </c>
      <c r="AO1642" s="175">
        <v>37</v>
      </c>
      <c r="AP1642" s="175">
        <v>15</v>
      </c>
      <c r="AQ1642" s="175">
        <v>24</v>
      </c>
      <c r="AR1642" s="175">
        <v>8</v>
      </c>
      <c r="AS1642" s="175">
        <v>6</v>
      </c>
      <c r="AT1642" s="175">
        <v>1</v>
      </c>
    </row>
    <row r="1643" spans="1:46">
      <c r="A1643">
        <v>40063</v>
      </c>
      <c r="B1643" t="s">
        <v>9986</v>
      </c>
      <c r="C1643" t="s">
        <v>9987</v>
      </c>
      <c r="E1643" t="s">
        <v>9988</v>
      </c>
      <c r="F1643" t="s">
        <v>8555</v>
      </c>
      <c r="G1643" t="s">
        <v>1604</v>
      </c>
      <c r="H1643" t="s">
        <v>449</v>
      </c>
      <c r="J1643" t="s">
        <v>605</v>
      </c>
      <c r="K1643" t="s">
        <v>606</v>
      </c>
      <c r="M1643" t="s">
        <v>1382</v>
      </c>
      <c r="N1643" t="s">
        <v>625</v>
      </c>
      <c r="O1643" t="s">
        <v>1605</v>
      </c>
      <c r="P1643" t="s">
        <v>670</v>
      </c>
      <c r="Q1643" t="s">
        <v>511</v>
      </c>
      <c r="R1643" t="s">
        <v>1555</v>
      </c>
      <c r="S1643" t="s">
        <v>1604</v>
      </c>
      <c r="T1643" t="s">
        <v>1557</v>
      </c>
      <c r="U1643">
        <v>200300</v>
      </c>
      <c r="V1643" t="s">
        <v>9869</v>
      </c>
      <c r="W1643" t="s">
        <v>1606</v>
      </c>
      <c r="X1643" t="s">
        <v>8441</v>
      </c>
      <c r="Y1643" t="s">
        <v>4014</v>
      </c>
      <c r="Z1643" t="s">
        <v>4015</v>
      </c>
      <c r="AA1643" t="s">
        <v>4016</v>
      </c>
      <c r="AB1643" t="s">
        <v>8442</v>
      </c>
      <c r="AC1643">
        <v>99019</v>
      </c>
      <c r="AD1643" t="s">
        <v>1648</v>
      </c>
      <c r="AE1643">
        <v>-38.14379083</v>
      </c>
      <c r="AF1643">
        <v>176.24944403999999</v>
      </c>
      <c r="AG1643" s="175">
        <v>75</v>
      </c>
      <c r="AH1643" s="175">
        <v>20</v>
      </c>
      <c r="AI1643" s="175">
        <v>5</v>
      </c>
      <c r="AJ1643" s="175">
        <v>14</v>
      </c>
      <c r="AK1643" s="175">
        <v>17</v>
      </c>
      <c r="AL1643" s="175">
        <v>18</v>
      </c>
      <c r="AM1643" s="175">
        <v>11</v>
      </c>
      <c r="AN1643" s="175">
        <v>1</v>
      </c>
      <c r="AO1643" s="175">
        <v>66</v>
      </c>
      <c r="AP1643" s="175">
        <v>18</v>
      </c>
      <c r="AQ1643" s="175">
        <v>35</v>
      </c>
      <c r="AR1643" s="175">
        <v>2</v>
      </c>
      <c r="AS1643" s="175">
        <v>17</v>
      </c>
      <c r="AT1643" s="175">
        <v>7</v>
      </c>
    </row>
    <row r="1644" spans="1:46">
      <c r="A1644">
        <v>40065</v>
      </c>
      <c r="B1644" t="s">
        <v>9989</v>
      </c>
      <c r="C1644" t="s">
        <v>9990</v>
      </c>
      <c r="D1644" t="s">
        <v>9991</v>
      </c>
      <c r="E1644" t="s">
        <v>9992</v>
      </c>
      <c r="F1644" t="s">
        <v>1450</v>
      </c>
      <c r="G1644" t="s">
        <v>1604</v>
      </c>
      <c r="H1644" t="s">
        <v>449</v>
      </c>
      <c r="J1644" t="s">
        <v>605</v>
      </c>
      <c r="K1644" t="s">
        <v>606</v>
      </c>
      <c r="M1644" t="s">
        <v>1382</v>
      </c>
      <c r="N1644" t="s">
        <v>657</v>
      </c>
      <c r="O1644" t="s">
        <v>1605</v>
      </c>
      <c r="P1644" t="s">
        <v>670</v>
      </c>
      <c r="Q1644" t="s">
        <v>511</v>
      </c>
      <c r="R1644" t="s">
        <v>1555</v>
      </c>
      <c r="S1644" t="s">
        <v>1604</v>
      </c>
      <c r="T1644" t="s">
        <v>1557</v>
      </c>
      <c r="U1644">
        <v>200200</v>
      </c>
      <c r="V1644" t="s">
        <v>8507</v>
      </c>
      <c r="W1644" t="s">
        <v>1606</v>
      </c>
      <c r="X1644" t="s">
        <v>9993</v>
      </c>
      <c r="Y1644" t="s">
        <v>9992</v>
      </c>
      <c r="Z1644" t="s">
        <v>9940</v>
      </c>
      <c r="AA1644" t="s">
        <v>9468</v>
      </c>
      <c r="AB1644" t="s">
        <v>9990</v>
      </c>
      <c r="AC1644">
        <v>99019</v>
      </c>
      <c r="AD1644" t="s">
        <v>1648</v>
      </c>
      <c r="AE1644">
        <v>-38.146476249999999</v>
      </c>
      <c r="AF1644">
        <v>176.23660497</v>
      </c>
      <c r="AG1644" s="175">
        <v>31</v>
      </c>
      <c r="AH1644" s="175">
        <v>10</v>
      </c>
      <c r="AI1644" s="175">
        <v>1</v>
      </c>
      <c r="AJ1644" s="175">
        <v>6</v>
      </c>
      <c r="AK1644" s="175">
        <v>11</v>
      </c>
      <c r="AL1644" s="175">
        <v>3</v>
      </c>
      <c r="AM1644" s="175">
        <v>9</v>
      </c>
      <c r="AN1644" s="175">
        <v>0</v>
      </c>
      <c r="AO1644" s="175">
        <v>30</v>
      </c>
      <c r="AP1644" s="175">
        <v>24</v>
      </c>
      <c r="AQ1644" s="175">
        <v>7</v>
      </c>
      <c r="AR1644" s="175">
        <v>2</v>
      </c>
      <c r="AS1644" s="175">
        <v>4</v>
      </c>
      <c r="AT1644" s="175">
        <v>2</v>
      </c>
    </row>
    <row r="1645" spans="1:46">
      <c r="A1645">
        <v>40067</v>
      </c>
      <c r="B1645" t="s">
        <v>9994</v>
      </c>
      <c r="C1645" t="s">
        <v>9995</v>
      </c>
      <c r="D1645" t="s">
        <v>9996</v>
      </c>
      <c r="E1645" t="s">
        <v>9997</v>
      </c>
      <c r="G1645" t="s">
        <v>1628</v>
      </c>
      <c r="H1645" t="s">
        <v>449</v>
      </c>
      <c r="I1645" t="s">
        <v>4182</v>
      </c>
      <c r="J1645" t="s">
        <v>605</v>
      </c>
      <c r="K1645" t="s">
        <v>606</v>
      </c>
      <c r="M1645" t="s">
        <v>1382</v>
      </c>
      <c r="N1645" t="s">
        <v>657</v>
      </c>
      <c r="O1645" t="s">
        <v>1629</v>
      </c>
      <c r="P1645" t="s">
        <v>1347</v>
      </c>
      <c r="Q1645" t="s">
        <v>510</v>
      </c>
      <c r="R1645" t="s">
        <v>1555</v>
      </c>
      <c r="S1645" t="s">
        <v>1404</v>
      </c>
      <c r="T1645" t="s">
        <v>1557</v>
      </c>
      <c r="U1645">
        <v>189101</v>
      </c>
      <c r="V1645" t="s">
        <v>9894</v>
      </c>
      <c r="W1645" t="s">
        <v>1631</v>
      </c>
      <c r="X1645" t="s">
        <v>9998</v>
      </c>
      <c r="Y1645" t="s">
        <v>9997</v>
      </c>
      <c r="Z1645" t="s">
        <v>9999</v>
      </c>
      <c r="AA1645" t="s">
        <v>10000</v>
      </c>
      <c r="AB1645" t="s">
        <v>10001</v>
      </c>
      <c r="AC1645">
        <v>99020</v>
      </c>
      <c r="AD1645" t="s">
        <v>1633</v>
      </c>
      <c r="AE1645">
        <v>-38.69579323</v>
      </c>
      <c r="AF1645">
        <v>176.09907476000001</v>
      </c>
      <c r="AG1645" s="175">
        <v>35</v>
      </c>
      <c r="AH1645" s="175">
        <v>0</v>
      </c>
      <c r="AI1645" s="175">
        <v>0</v>
      </c>
      <c r="AJ1645" s="175">
        <v>0</v>
      </c>
      <c r="AK1645" s="175">
        <v>1</v>
      </c>
      <c r="AL1645" s="175">
        <v>12</v>
      </c>
      <c r="AM1645" s="175">
        <v>23</v>
      </c>
      <c r="AN1645" s="175">
        <v>4</v>
      </c>
      <c r="AO1645" s="175">
        <v>40</v>
      </c>
      <c r="AP1645" s="175">
        <v>36</v>
      </c>
      <c r="AQ1645" s="175">
        <v>8</v>
      </c>
      <c r="AR1645" s="175">
        <v>1</v>
      </c>
      <c r="AS1645" s="175">
        <v>2</v>
      </c>
      <c r="AT1645" s="175">
        <v>1</v>
      </c>
    </row>
    <row r="1646" spans="1:46">
      <c r="A1646">
        <v>40068</v>
      </c>
      <c r="B1646" t="s">
        <v>10002</v>
      </c>
      <c r="C1646" t="s">
        <v>10003</v>
      </c>
      <c r="D1646" t="s">
        <v>10004</v>
      </c>
      <c r="E1646" t="s">
        <v>10005</v>
      </c>
      <c r="G1646" t="s">
        <v>1553</v>
      </c>
      <c r="H1646" t="s">
        <v>449</v>
      </c>
      <c r="I1646" t="s">
        <v>6871</v>
      </c>
      <c r="J1646" t="s">
        <v>605</v>
      </c>
      <c r="K1646" t="s">
        <v>606</v>
      </c>
      <c r="M1646" t="s">
        <v>1382</v>
      </c>
      <c r="N1646" t="s">
        <v>657</v>
      </c>
      <c r="O1646" t="s">
        <v>1554</v>
      </c>
      <c r="P1646" t="s">
        <v>1347</v>
      </c>
      <c r="Q1646" t="s">
        <v>511</v>
      </c>
      <c r="R1646" t="s">
        <v>1555</v>
      </c>
      <c r="S1646" t="s">
        <v>1556</v>
      </c>
      <c r="T1646" t="s">
        <v>1557</v>
      </c>
      <c r="U1646">
        <v>202700</v>
      </c>
      <c r="V1646" t="s">
        <v>1558</v>
      </c>
      <c r="W1646" t="s">
        <v>1559</v>
      </c>
      <c r="X1646" t="s">
        <v>10006</v>
      </c>
      <c r="Y1646" t="s">
        <v>8431</v>
      </c>
      <c r="AA1646" t="s">
        <v>8432</v>
      </c>
      <c r="AC1646">
        <v>99016</v>
      </c>
      <c r="AD1646" t="s">
        <v>1562</v>
      </c>
      <c r="AE1646">
        <v>-37.958258620000002</v>
      </c>
      <c r="AF1646">
        <v>176.98963925000001</v>
      </c>
      <c r="AG1646" s="175">
        <v>50</v>
      </c>
      <c r="AH1646" s="175">
        <v>20</v>
      </c>
      <c r="AI1646" s="175">
        <v>0</v>
      </c>
      <c r="AJ1646" s="175">
        <v>13</v>
      </c>
      <c r="AK1646" s="175">
        <v>16</v>
      </c>
      <c r="AL1646" s="175">
        <v>13</v>
      </c>
      <c r="AM1646" s="175">
        <v>13</v>
      </c>
      <c r="AN1646" s="175">
        <v>0</v>
      </c>
      <c r="AO1646" s="175">
        <v>55</v>
      </c>
      <c r="AP1646" s="175">
        <v>42</v>
      </c>
      <c r="AQ1646" s="175">
        <v>13</v>
      </c>
      <c r="AR1646" s="175">
        <v>2</v>
      </c>
      <c r="AS1646" s="175">
        <v>12</v>
      </c>
      <c r="AT1646" s="175">
        <v>3</v>
      </c>
    </row>
    <row r="1647" spans="1:46">
      <c r="A1647">
        <v>40069</v>
      </c>
      <c r="B1647" t="s">
        <v>10007</v>
      </c>
      <c r="C1647" t="s">
        <v>10008</v>
      </c>
      <c r="E1647" t="s">
        <v>10009</v>
      </c>
      <c r="G1647" t="s">
        <v>1694</v>
      </c>
      <c r="H1647" t="s">
        <v>449</v>
      </c>
      <c r="J1647" t="s">
        <v>605</v>
      </c>
      <c r="K1647" t="s">
        <v>606</v>
      </c>
      <c r="M1647" t="s">
        <v>1382</v>
      </c>
      <c r="N1647" t="s">
        <v>643</v>
      </c>
      <c r="O1647" t="s">
        <v>1695</v>
      </c>
      <c r="P1647" t="s">
        <v>610</v>
      </c>
      <c r="Q1647" t="s">
        <v>511</v>
      </c>
      <c r="R1647" t="s">
        <v>1555</v>
      </c>
      <c r="S1647" t="s">
        <v>1556</v>
      </c>
      <c r="T1647" t="s">
        <v>1557</v>
      </c>
      <c r="U1647">
        <v>204400</v>
      </c>
      <c r="V1647" t="s">
        <v>1696</v>
      </c>
      <c r="W1647" t="s">
        <v>1697</v>
      </c>
      <c r="X1647" t="s">
        <v>10010</v>
      </c>
      <c r="Y1647" t="s">
        <v>10009</v>
      </c>
      <c r="Z1647" t="s">
        <v>1694</v>
      </c>
      <c r="AA1647" t="s">
        <v>10011</v>
      </c>
      <c r="AB1647" t="s">
        <v>10012</v>
      </c>
      <c r="AC1647">
        <v>99037</v>
      </c>
      <c r="AD1647" t="s">
        <v>1698</v>
      </c>
      <c r="AE1647">
        <v>-38.0141366</v>
      </c>
      <c r="AF1647">
        <v>177.28896</v>
      </c>
      <c r="AG1647" s="175">
        <v>70</v>
      </c>
      <c r="AH1647" s="175">
        <v>15</v>
      </c>
      <c r="AI1647" s="175">
        <v>0</v>
      </c>
      <c r="AJ1647" s="175">
        <v>10</v>
      </c>
      <c r="AK1647" s="175">
        <v>16</v>
      </c>
      <c r="AL1647" s="175">
        <v>10</v>
      </c>
      <c r="AM1647" s="175">
        <v>21</v>
      </c>
      <c r="AN1647" s="175">
        <v>0</v>
      </c>
      <c r="AO1647" s="175">
        <v>57</v>
      </c>
      <c r="AP1647" s="175">
        <v>37</v>
      </c>
      <c r="AQ1647" s="175">
        <v>40</v>
      </c>
      <c r="AR1647" s="175">
        <v>0</v>
      </c>
      <c r="AS1647" s="175">
        <v>5</v>
      </c>
      <c r="AT1647" s="175">
        <v>0</v>
      </c>
    </row>
    <row r="1648" spans="1:46">
      <c r="A1648">
        <v>40070</v>
      </c>
      <c r="B1648" t="s">
        <v>10013</v>
      </c>
      <c r="C1648" t="s">
        <v>10014</v>
      </c>
      <c r="E1648" t="s">
        <v>10015</v>
      </c>
      <c r="F1648" t="s">
        <v>10016</v>
      </c>
      <c r="G1648" t="s">
        <v>1553</v>
      </c>
      <c r="H1648" t="s">
        <v>449</v>
      </c>
      <c r="I1648" t="s">
        <v>5017</v>
      </c>
      <c r="J1648" t="s">
        <v>605</v>
      </c>
      <c r="K1648" t="s">
        <v>606</v>
      </c>
      <c r="M1648" t="s">
        <v>1382</v>
      </c>
      <c r="N1648" t="s">
        <v>643</v>
      </c>
      <c r="O1648" t="s">
        <v>1554</v>
      </c>
      <c r="P1648" t="s">
        <v>658</v>
      </c>
      <c r="Q1648" t="s">
        <v>511</v>
      </c>
      <c r="R1648" t="s">
        <v>1555</v>
      </c>
      <c r="S1648" t="s">
        <v>1556</v>
      </c>
      <c r="T1648" t="s">
        <v>1557</v>
      </c>
      <c r="U1648">
        <v>203500</v>
      </c>
      <c r="V1648" t="s">
        <v>10017</v>
      </c>
      <c r="W1648" t="s">
        <v>1678</v>
      </c>
      <c r="X1648" t="s">
        <v>10018</v>
      </c>
      <c r="Y1648" t="s">
        <v>10019</v>
      </c>
      <c r="AA1648" t="s">
        <v>10020</v>
      </c>
      <c r="AC1648">
        <v>99016</v>
      </c>
      <c r="AD1648" t="s">
        <v>1562</v>
      </c>
      <c r="AE1648">
        <v>-38.104363599999999</v>
      </c>
      <c r="AF1648">
        <v>176.99602709999999</v>
      </c>
      <c r="AG1648" s="175">
        <v>30</v>
      </c>
      <c r="AH1648" s="175">
        <v>10</v>
      </c>
      <c r="AI1648" s="175">
        <v>0</v>
      </c>
      <c r="AJ1648" s="175">
        <v>5</v>
      </c>
      <c r="AK1648" s="175">
        <v>9</v>
      </c>
      <c r="AL1648" s="175">
        <v>5</v>
      </c>
      <c r="AM1648" s="175">
        <v>7</v>
      </c>
      <c r="AN1648" s="175">
        <v>0</v>
      </c>
      <c r="AO1648" s="175">
        <v>26</v>
      </c>
      <c r="AP1648" s="175">
        <v>4</v>
      </c>
      <c r="AQ1648" s="175">
        <v>26</v>
      </c>
      <c r="AR1648" s="175">
        <v>4</v>
      </c>
      <c r="AS1648" s="175">
        <v>1</v>
      </c>
      <c r="AT1648" s="175">
        <v>0</v>
      </c>
    </row>
    <row r="1649" spans="1:46">
      <c r="A1649">
        <v>40071</v>
      </c>
      <c r="B1649" t="s">
        <v>10021</v>
      </c>
      <c r="C1649" t="s">
        <v>10022</v>
      </c>
      <c r="E1649" t="s">
        <v>10023</v>
      </c>
      <c r="F1649" t="s">
        <v>3944</v>
      </c>
      <c r="G1649" t="s">
        <v>1681</v>
      </c>
      <c r="H1649" t="s">
        <v>449</v>
      </c>
      <c r="I1649" t="s">
        <v>4298</v>
      </c>
      <c r="J1649" t="s">
        <v>605</v>
      </c>
      <c r="K1649" t="s">
        <v>606</v>
      </c>
      <c r="M1649" t="s">
        <v>1382</v>
      </c>
      <c r="N1649" t="s">
        <v>657</v>
      </c>
      <c r="O1649" t="s">
        <v>1780</v>
      </c>
      <c r="P1649" t="s">
        <v>739</v>
      </c>
      <c r="Q1649" t="s">
        <v>511</v>
      </c>
      <c r="R1649" t="s">
        <v>1555</v>
      </c>
      <c r="S1649" t="s">
        <v>1781</v>
      </c>
      <c r="T1649" t="s">
        <v>1557</v>
      </c>
      <c r="U1649">
        <v>196900</v>
      </c>
      <c r="V1649" t="s">
        <v>10024</v>
      </c>
      <c r="W1649" t="s">
        <v>1813</v>
      </c>
      <c r="X1649" t="s">
        <v>10025</v>
      </c>
      <c r="Y1649" t="s">
        <v>10026</v>
      </c>
      <c r="Z1649" t="s">
        <v>10027</v>
      </c>
      <c r="AA1649" t="s">
        <v>1682</v>
      </c>
      <c r="AB1649" t="s">
        <v>10028</v>
      </c>
      <c r="AC1649">
        <v>99085</v>
      </c>
      <c r="AD1649" t="s">
        <v>1800</v>
      </c>
      <c r="AE1649">
        <v>-37.727888129999997</v>
      </c>
      <c r="AF1649">
        <v>176.1994397</v>
      </c>
      <c r="AG1649" s="175">
        <v>70</v>
      </c>
      <c r="AH1649" s="175">
        <v>0</v>
      </c>
      <c r="AI1649" s="175">
        <v>0</v>
      </c>
      <c r="AJ1649" s="175">
        <v>0</v>
      </c>
      <c r="AK1649" s="175">
        <v>0</v>
      </c>
      <c r="AL1649" s="175">
        <v>15</v>
      </c>
      <c r="AM1649" s="175">
        <v>19</v>
      </c>
      <c r="AN1649" s="175">
        <v>44</v>
      </c>
      <c r="AO1649" s="175">
        <v>78</v>
      </c>
      <c r="AP1649" s="175">
        <v>73</v>
      </c>
      <c r="AQ1649" s="175">
        <v>10</v>
      </c>
      <c r="AR1649" s="175">
        <v>1</v>
      </c>
      <c r="AS1649" s="175">
        <v>5</v>
      </c>
      <c r="AT1649" s="175">
        <v>7</v>
      </c>
    </row>
    <row r="1650" spans="1:46">
      <c r="A1650">
        <v>40075</v>
      </c>
      <c r="B1650" t="s">
        <v>10029</v>
      </c>
      <c r="C1650" t="s">
        <v>10030</v>
      </c>
      <c r="D1650" t="s">
        <v>10031</v>
      </c>
      <c r="E1650" t="s">
        <v>10032</v>
      </c>
      <c r="G1650" t="s">
        <v>1596</v>
      </c>
      <c r="H1650" t="s">
        <v>449</v>
      </c>
      <c r="J1650" t="s">
        <v>4032</v>
      </c>
      <c r="K1650" t="s">
        <v>606</v>
      </c>
      <c r="M1650" t="s">
        <v>1382</v>
      </c>
      <c r="N1650" t="s">
        <v>657</v>
      </c>
      <c r="O1650" t="s">
        <v>1554</v>
      </c>
      <c r="P1650" t="s">
        <v>658</v>
      </c>
      <c r="Q1650" t="s">
        <v>511</v>
      </c>
      <c r="R1650" t="s">
        <v>1555</v>
      </c>
      <c r="S1650" t="s">
        <v>1556</v>
      </c>
      <c r="T1650" t="s">
        <v>1557</v>
      </c>
      <c r="U1650">
        <v>202300</v>
      </c>
      <c r="V1650" t="s">
        <v>9846</v>
      </c>
      <c r="W1650" t="s">
        <v>1597</v>
      </c>
      <c r="X1650" t="s">
        <v>10033</v>
      </c>
      <c r="Y1650" t="s">
        <v>10034</v>
      </c>
      <c r="AA1650" t="s">
        <v>10035</v>
      </c>
      <c r="AC1650">
        <v>99038</v>
      </c>
      <c r="AD1650" t="s">
        <v>1598</v>
      </c>
      <c r="AE1650">
        <v>-37.981837710000001</v>
      </c>
      <c r="AF1650">
        <v>176.84798527000001</v>
      </c>
      <c r="AG1650" s="175">
        <v>58</v>
      </c>
      <c r="AH1650" s="175">
        <v>12</v>
      </c>
      <c r="AI1650" s="175">
        <v>1</v>
      </c>
      <c r="AJ1650" s="175">
        <v>10</v>
      </c>
      <c r="AK1650" s="175">
        <v>16</v>
      </c>
      <c r="AL1650" s="175">
        <v>17</v>
      </c>
      <c r="AM1650" s="175">
        <v>25</v>
      </c>
      <c r="AN1650" s="175">
        <v>1</v>
      </c>
      <c r="AO1650" s="175">
        <v>70</v>
      </c>
      <c r="AP1650" s="175">
        <v>55</v>
      </c>
      <c r="AQ1650" s="175">
        <v>28</v>
      </c>
      <c r="AR1650" s="175">
        <v>3</v>
      </c>
      <c r="AS1650" s="175">
        <v>8</v>
      </c>
      <c r="AT1650" s="175">
        <v>0</v>
      </c>
    </row>
    <row r="1651" spans="1:46">
      <c r="A1651">
        <v>40076</v>
      </c>
      <c r="B1651" t="s">
        <v>10036</v>
      </c>
      <c r="C1651" t="s">
        <v>10037</v>
      </c>
      <c r="E1651" t="s">
        <v>10038</v>
      </c>
      <c r="F1651" t="s">
        <v>8555</v>
      </c>
      <c r="G1651" t="s">
        <v>1604</v>
      </c>
      <c r="H1651" t="s">
        <v>449</v>
      </c>
      <c r="J1651" t="s">
        <v>4032</v>
      </c>
      <c r="K1651" t="s">
        <v>606</v>
      </c>
      <c r="M1651" t="s">
        <v>1382</v>
      </c>
      <c r="N1651" t="s">
        <v>625</v>
      </c>
      <c r="O1651" t="s">
        <v>1605</v>
      </c>
      <c r="P1651" t="s">
        <v>670</v>
      </c>
      <c r="Q1651" t="s">
        <v>511</v>
      </c>
      <c r="R1651" t="s">
        <v>1555</v>
      </c>
      <c r="S1651" t="s">
        <v>1604</v>
      </c>
      <c r="T1651" t="s">
        <v>1557</v>
      </c>
      <c r="U1651">
        <v>200300</v>
      </c>
      <c r="V1651" t="s">
        <v>9869</v>
      </c>
      <c r="W1651" t="s">
        <v>1606</v>
      </c>
      <c r="X1651" t="s">
        <v>10039</v>
      </c>
      <c r="Y1651" t="s">
        <v>10040</v>
      </c>
      <c r="Z1651" t="s">
        <v>1688</v>
      </c>
      <c r="AA1651" t="s">
        <v>8971</v>
      </c>
      <c r="AB1651" t="s">
        <v>10037</v>
      </c>
      <c r="AC1651">
        <v>99019</v>
      </c>
      <c r="AD1651" t="s">
        <v>1648</v>
      </c>
      <c r="AE1651">
        <v>-38.141004000000002</v>
      </c>
      <c r="AF1651">
        <v>176.24384911000001</v>
      </c>
      <c r="AG1651" s="175">
        <v>39</v>
      </c>
      <c r="AH1651" s="175">
        <v>10</v>
      </c>
      <c r="AI1651" s="175">
        <v>2</v>
      </c>
      <c r="AJ1651" s="175">
        <v>9</v>
      </c>
      <c r="AK1651" s="175">
        <v>10</v>
      </c>
      <c r="AL1651" s="175">
        <v>10</v>
      </c>
      <c r="AM1651" s="175">
        <v>6</v>
      </c>
      <c r="AN1651" s="175">
        <v>0</v>
      </c>
      <c r="AO1651" s="175">
        <v>37</v>
      </c>
      <c r="AP1651" s="175">
        <v>13</v>
      </c>
      <c r="AQ1651" s="175">
        <v>36</v>
      </c>
      <c r="AR1651" s="175">
        <v>11</v>
      </c>
      <c r="AS1651" s="175">
        <v>0</v>
      </c>
      <c r="AT1651" s="175">
        <v>0</v>
      </c>
    </row>
    <row r="1652" spans="1:46">
      <c r="A1652">
        <v>40077</v>
      </c>
      <c r="B1652" t="s">
        <v>10041</v>
      </c>
      <c r="C1652" t="s">
        <v>10042</v>
      </c>
      <c r="E1652" t="s">
        <v>10043</v>
      </c>
      <c r="G1652" t="s">
        <v>10044</v>
      </c>
      <c r="H1652" t="s">
        <v>301</v>
      </c>
      <c r="J1652" t="s">
        <v>605</v>
      </c>
      <c r="K1652" t="s">
        <v>606</v>
      </c>
      <c r="M1652" t="s">
        <v>1382</v>
      </c>
      <c r="N1652" t="s">
        <v>4586</v>
      </c>
      <c r="O1652" t="s">
        <v>1605</v>
      </c>
      <c r="P1652" t="s">
        <v>658</v>
      </c>
      <c r="Q1652" t="s">
        <v>510</v>
      </c>
      <c r="R1652" t="s">
        <v>1555</v>
      </c>
      <c r="S1652" t="s">
        <v>1604</v>
      </c>
      <c r="T1652" t="s">
        <v>1557</v>
      </c>
      <c r="U1652">
        <v>201600</v>
      </c>
      <c r="V1652" t="s">
        <v>10045</v>
      </c>
      <c r="W1652" t="s">
        <v>9890</v>
      </c>
      <c r="X1652" t="s">
        <v>9797</v>
      </c>
      <c r="Y1652" t="s">
        <v>5253</v>
      </c>
      <c r="AA1652" t="s">
        <v>5254</v>
      </c>
      <c r="AB1652" t="s">
        <v>8390</v>
      </c>
      <c r="AE1652">
        <v>-38.331476760000001</v>
      </c>
      <c r="AF1652">
        <v>176.06864729</v>
      </c>
      <c r="AG1652" s="175">
        <v>30</v>
      </c>
      <c r="AH1652" s="175">
        <v>18</v>
      </c>
      <c r="AI1652" s="175">
        <v>0</v>
      </c>
      <c r="AJ1652" s="175">
        <v>1</v>
      </c>
      <c r="AK1652" s="175">
        <v>1</v>
      </c>
      <c r="AL1652" s="175">
        <v>1</v>
      </c>
      <c r="AM1652" s="175">
        <v>1</v>
      </c>
      <c r="AN1652" s="175">
        <v>0</v>
      </c>
      <c r="AO1652" s="175">
        <v>4</v>
      </c>
      <c r="AP1652" s="175">
        <v>3</v>
      </c>
      <c r="AQ1652" s="175">
        <v>0</v>
      </c>
      <c r="AR1652" s="175">
        <v>0</v>
      </c>
      <c r="AS1652" s="175">
        <v>1</v>
      </c>
      <c r="AT1652" s="175">
        <v>0</v>
      </c>
    </row>
    <row r="1653" spans="1:46">
      <c r="A1653">
        <v>40078</v>
      </c>
      <c r="B1653" t="s">
        <v>10046</v>
      </c>
      <c r="C1653" t="s">
        <v>10047</v>
      </c>
      <c r="E1653" t="s">
        <v>10048</v>
      </c>
      <c r="F1653" t="s">
        <v>1604</v>
      </c>
      <c r="G1653" t="s">
        <v>1604</v>
      </c>
      <c r="H1653" t="s">
        <v>301</v>
      </c>
      <c r="J1653" t="s">
        <v>605</v>
      </c>
      <c r="K1653" t="s">
        <v>606</v>
      </c>
      <c r="M1653" t="s">
        <v>1382</v>
      </c>
      <c r="N1653" t="s">
        <v>657</v>
      </c>
      <c r="O1653" t="s">
        <v>1605</v>
      </c>
      <c r="P1653" t="s">
        <v>626</v>
      </c>
      <c r="Q1653" t="s">
        <v>511</v>
      </c>
      <c r="R1653" t="s">
        <v>1555</v>
      </c>
      <c r="S1653" t="s">
        <v>1604</v>
      </c>
      <c r="T1653" t="s">
        <v>1557</v>
      </c>
      <c r="U1653">
        <v>198000</v>
      </c>
      <c r="V1653" t="s">
        <v>10049</v>
      </c>
      <c r="W1653" t="s">
        <v>1606</v>
      </c>
      <c r="X1653" t="s">
        <v>9797</v>
      </c>
      <c r="Y1653" t="s">
        <v>5253</v>
      </c>
      <c r="AA1653" t="s">
        <v>5254</v>
      </c>
      <c r="AB1653" t="s">
        <v>8390</v>
      </c>
      <c r="AE1653">
        <v>-38.036681659999999</v>
      </c>
      <c r="AF1653">
        <v>176.22137723</v>
      </c>
      <c r="AG1653" s="175">
        <v>30</v>
      </c>
      <c r="AH1653" s="175">
        <v>15</v>
      </c>
      <c r="AI1653" s="175">
        <v>0</v>
      </c>
      <c r="AJ1653" s="175">
        <v>1</v>
      </c>
      <c r="AK1653" s="175">
        <v>2</v>
      </c>
      <c r="AL1653" s="175">
        <v>2</v>
      </c>
      <c r="AM1653" s="175">
        <v>4</v>
      </c>
      <c r="AN1653" s="175">
        <v>0</v>
      </c>
      <c r="AO1653" s="175">
        <v>9</v>
      </c>
      <c r="AP1653" s="175">
        <v>7</v>
      </c>
      <c r="AQ1653" s="175">
        <v>0</v>
      </c>
      <c r="AR1653" s="175">
        <v>0</v>
      </c>
      <c r="AS1653" s="175">
        <v>0</v>
      </c>
      <c r="AT1653" s="175">
        <v>2</v>
      </c>
    </row>
    <row r="1654" spans="1:46">
      <c r="A1654">
        <v>40080</v>
      </c>
      <c r="B1654" t="s">
        <v>10050</v>
      </c>
      <c r="C1654" t="s">
        <v>10051</v>
      </c>
      <c r="E1654" t="s">
        <v>10052</v>
      </c>
      <c r="F1654" t="s">
        <v>10053</v>
      </c>
      <c r="G1654" t="s">
        <v>1604</v>
      </c>
      <c r="H1654" t="s">
        <v>301</v>
      </c>
      <c r="J1654" t="s">
        <v>605</v>
      </c>
      <c r="K1654" t="s">
        <v>606</v>
      </c>
      <c r="M1654" t="s">
        <v>1382</v>
      </c>
      <c r="N1654" t="s">
        <v>625</v>
      </c>
      <c r="O1654" t="s">
        <v>1605</v>
      </c>
      <c r="P1654" t="s">
        <v>670</v>
      </c>
      <c r="Q1654" t="s">
        <v>511</v>
      </c>
      <c r="R1654" t="s">
        <v>1555</v>
      </c>
      <c r="S1654" t="s">
        <v>1604</v>
      </c>
      <c r="T1654" t="s">
        <v>1557</v>
      </c>
      <c r="U1654">
        <v>199400</v>
      </c>
      <c r="V1654" t="s">
        <v>10054</v>
      </c>
      <c r="W1654" t="s">
        <v>1606</v>
      </c>
      <c r="X1654" t="s">
        <v>9797</v>
      </c>
      <c r="Y1654" t="s">
        <v>5253</v>
      </c>
      <c r="AA1654" t="s">
        <v>5254</v>
      </c>
      <c r="AB1654" t="s">
        <v>8390</v>
      </c>
      <c r="AE1654">
        <v>-38.119467780000001</v>
      </c>
      <c r="AF1654">
        <v>176.23706188</v>
      </c>
      <c r="AG1654" s="175">
        <v>30</v>
      </c>
      <c r="AH1654" s="175">
        <v>16</v>
      </c>
      <c r="AI1654" s="175">
        <v>3</v>
      </c>
      <c r="AJ1654" s="175">
        <v>3</v>
      </c>
      <c r="AK1654" s="175">
        <v>3</v>
      </c>
      <c r="AL1654" s="175">
        <v>5</v>
      </c>
      <c r="AM1654" s="175">
        <v>2</v>
      </c>
      <c r="AN1654" s="175">
        <v>2</v>
      </c>
      <c r="AO1654" s="175">
        <v>18</v>
      </c>
      <c r="AP1654" s="175">
        <v>18</v>
      </c>
      <c r="AQ1654" s="175">
        <v>1</v>
      </c>
      <c r="AR1654" s="175">
        <v>0</v>
      </c>
      <c r="AS1654" s="175">
        <v>1</v>
      </c>
      <c r="AT1654" s="175">
        <v>1</v>
      </c>
    </row>
    <row r="1655" spans="1:46">
      <c r="A1655">
        <v>40081</v>
      </c>
      <c r="B1655" t="s">
        <v>10055</v>
      </c>
      <c r="C1655" t="s">
        <v>10056</v>
      </c>
      <c r="E1655" t="s">
        <v>10057</v>
      </c>
      <c r="F1655" t="s">
        <v>9974</v>
      </c>
      <c r="G1655" t="s">
        <v>1604</v>
      </c>
      <c r="H1655" t="s">
        <v>301</v>
      </c>
      <c r="J1655" t="s">
        <v>605</v>
      </c>
      <c r="K1655" t="s">
        <v>606</v>
      </c>
      <c r="M1655" t="s">
        <v>1382</v>
      </c>
      <c r="N1655" t="s">
        <v>657</v>
      </c>
      <c r="O1655" t="s">
        <v>1605</v>
      </c>
      <c r="P1655" t="s">
        <v>670</v>
      </c>
      <c r="Q1655" t="s">
        <v>511</v>
      </c>
      <c r="R1655" t="s">
        <v>1555</v>
      </c>
      <c r="S1655" t="s">
        <v>1604</v>
      </c>
      <c r="T1655" t="s">
        <v>1557</v>
      </c>
      <c r="U1655">
        <v>201501</v>
      </c>
      <c r="V1655" t="s">
        <v>9974</v>
      </c>
      <c r="W1655" t="s">
        <v>1606</v>
      </c>
      <c r="X1655" t="s">
        <v>9797</v>
      </c>
      <c r="Y1655" t="s">
        <v>5253</v>
      </c>
      <c r="AA1655" t="s">
        <v>5254</v>
      </c>
      <c r="AB1655" t="s">
        <v>8390</v>
      </c>
      <c r="AE1655">
        <v>-38.1483779</v>
      </c>
      <c r="AF1655">
        <v>176.28405427999999</v>
      </c>
      <c r="AG1655" s="175">
        <v>30</v>
      </c>
      <c r="AH1655" s="175">
        <v>20</v>
      </c>
      <c r="AI1655" s="175">
        <v>5</v>
      </c>
      <c r="AJ1655" s="175">
        <v>5</v>
      </c>
      <c r="AK1655" s="175">
        <v>7</v>
      </c>
      <c r="AL1655" s="175">
        <v>5</v>
      </c>
      <c r="AM1655" s="175">
        <v>4</v>
      </c>
      <c r="AN1655" s="175">
        <v>1</v>
      </c>
      <c r="AO1655" s="175">
        <v>27</v>
      </c>
      <c r="AP1655" s="175">
        <v>27</v>
      </c>
      <c r="AQ1655" s="175">
        <v>1</v>
      </c>
      <c r="AR1655" s="175">
        <v>1</v>
      </c>
      <c r="AS1655" s="175">
        <v>2</v>
      </c>
      <c r="AT1655" s="175">
        <v>0</v>
      </c>
    </row>
    <row r="1656" spans="1:46">
      <c r="A1656">
        <v>40082</v>
      </c>
      <c r="B1656" t="s">
        <v>10058</v>
      </c>
      <c r="C1656" t="s">
        <v>10059</v>
      </c>
      <c r="E1656" t="s">
        <v>10060</v>
      </c>
      <c r="G1656" t="s">
        <v>10061</v>
      </c>
      <c r="H1656" t="s">
        <v>301</v>
      </c>
      <c r="J1656" t="s">
        <v>605</v>
      </c>
      <c r="K1656" t="s">
        <v>606</v>
      </c>
      <c r="M1656" t="s">
        <v>1382</v>
      </c>
      <c r="N1656" t="s">
        <v>643</v>
      </c>
      <c r="O1656" t="s">
        <v>1605</v>
      </c>
      <c r="P1656" t="s">
        <v>626</v>
      </c>
      <c r="Q1656" t="s">
        <v>511</v>
      </c>
      <c r="R1656" t="s">
        <v>1555</v>
      </c>
      <c r="S1656" t="s">
        <v>1604</v>
      </c>
      <c r="T1656" t="s">
        <v>1557</v>
      </c>
      <c r="U1656">
        <v>197900</v>
      </c>
      <c r="V1656" t="s">
        <v>10062</v>
      </c>
      <c r="W1656" t="s">
        <v>9890</v>
      </c>
      <c r="X1656" t="s">
        <v>9797</v>
      </c>
      <c r="Y1656" t="s">
        <v>5253</v>
      </c>
      <c r="AA1656" t="s">
        <v>5254</v>
      </c>
      <c r="AB1656" t="s">
        <v>8390</v>
      </c>
      <c r="AE1656">
        <v>-38.095607809999997</v>
      </c>
      <c r="AF1656">
        <v>176.07579562999999</v>
      </c>
      <c r="AG1656" s="175">
        <v>30</v>
      </c>
      <c r="AH1656" s="175">
        <v>15</v>
      </c>
      <c r="AI1656" s="175">
        <v>1</v>
      </c>
      <c r="AJ1656" s="175">
        <v>2</v>
      </c>
      <c r="AK1656" s="175">
        <v>2</v>
      </c>
      <c r="AL1656" s="175">
        <v>1</v>
      </c>
      <c r="AM1656" s="175">
        <v>0</v>
      </c>
      <c r="AN1656" s="175">
        <v>0</v>
      </c>
      <c r="AO1656" s="175">
        <v>6</v>
      </c>
      <c r="AP1656" s="175">
        <v>5</v>
      </c>
      <c r="AQ1656" s="175">
        <v>3</v>
      </c>
      <c r="AR1656" s="175">
        <v>0</v>
      </c>
      <c r="AS1656" s="175">
        <v>0</v>
      </c>
      <c r="AT1656" s="175">
        <v>0</v>
      </c>
    </row>
    <row r="1657" spans="1:46">
      <c r="A1657">
        <v>40084</v>
      </c>
      <c r="B1657" t="s">
        <v>10063</v>
      </c>
      <c r="C1657" t="s">
        <v>10064</v>
      </c>
      <c r="E1657" t="s">
        <v>10065</v>
      </c>
      <c r="F1657" t="s">
        <v>10045</v>
      </c>
      <c r="G1657" t="s">
        <v>1604</v>
      </c>
      <c r="H1657" t="s">
        <v>301</v>
      </c>
      <c r="J1657" t="s">
        <v>605</v>
      </c>
      <c r="K1657" t="s">
        <v>606</v>
      </c>
      <c r="M1657" t="s">
        <v>1382</v>
      </c>
      <c r="N1657" t="s">
        <v>657</v>
      </c>
      <c r="O1657" t="s">
        <v>1605</v>
      </c>
      <c r="P1657" t="s">
        <v>658</v>
      </c>
      <c r="Q1657" t="s">
        <v>510</v>
      </c>
      <c r="R1657" t="s">
        <v>1555</v>
      </c>
      <c r="S1657" t="s">
        <v>1604</v>
      </c>
      <c r="T1657" t="s">
        <v>1557</v>
      </c>
      <c r="U1657">
        <v>201600</v>
      </c>
      <c r="V1657" t="s">
        <v>10045</v>
      </c>
      <c r="W1657" t="s">
        <v>9890</v>
      </c>
      <c r="X1657" t="s">
        <v>9797</v>
      </c>
      <c r="Y1657" t="s">
        <v>5253</v>
      </c>
      <c r="AA1657" t="s">
        <v>5254</v>
      </c>
      <c r="AB1657" t="s">
        <v>8390</v>
      </c>
      <c r="AE1657">
        <v>-38.322009549999997</v>
      </c>
      <c r="AF1657">
        <v>176.19242442000001</v>
      </c>
      <c r="AG1657" s="175">
        <v>26</v>
      </c>
      <c r="AH1657" s="175">
        <v>16</v>
      </c>
      <c r="AI1657" s="175">
        <v>3</v>
      </c>
      <c r="AJ1657" s="175">
        <v>3</v>
      </c>
      <c r="AK1657" s="175">
        <v>7</v>
      </c>
      <c r="AL1657" s="175">
        <v>3</v>
      </c>
      <c r="AM1657" s="175">
        <v>7</v>
      </c>
      <c r="AN1657" s="175">
        <v>0</v>
      </c>
      <c r="AO1657" s="175">
        <v>23</v>
      </c>
      <c r="AP1657" s="175">
        <v>21</v>
      </c>
      <c r="AQ1657" s="175">
        <v>4</v>
      </c>
      <c r="AR1657" s="175">
        <v>0</v>
      </c>
      <c r="AS1657" s="175">
        <v>1</v>
      </c>
      <c r="AT1657" s="175">
        <v>2</v>
      </c>
    </row>
    <row r="1658" spans="1:46">
      <c r="A1658">
        <v>40091</v>
      </c>
      <c r="B1658" t="s">
        <v>10066</v>
      </c>
      <c r="C1658" t="s">
        <v>10067</v>
      </c>
      <c r="D1658" t="s">
        <v>10068</v>
      </c>
      <c r="E1658" t="s">
        <v>10069</v>
      </c>
      <c r="F1658" t="s">
        <v>8555</v>
      </c>
      <c r="G1658" t="s">
        <v>1604</v>
      </c>
      <c r="H1658" t="s">
        <v>449</v>
      </c>
      <c r="I1658" t="s">
        <v>4134</v>
      </c>
      <c r="J1658" t="s">
        <v>4032</v>
      </c>
      <c r="K1658" t="s">
        <v>606</v>
      </c>
      <c r="M1658" t="s">
        <v>1382</v>
      </c>
      <c r="N1658" t="s">
        <v>657</v>
      </c>
      <c r="O1658" t="s">
        <v>1605</v>
      </c>
      <c r="P1658" t="s">
        <v>670</v>
      </c>
      <c r="Q1658" t="s">
        <v>511</v>
      </c>
      <c r="R1658" t="s">
        <v>1555</v>
      </c>
      <c r="S1658" t="s">
        <v>1604</v>
      </c>
      <c r="T1658" t="s">
        <v>1557</v>
      </c>
      <c r="U1658">
        <v>201200</v>
      </c>
      <c r="V1658" t="s">
        <v>10070</v>
      </c>
      <c r="W1658" t="s">
        <v>1606</v>
      </c>
      <c r="X1658" t="s">
        <v>10071</v>
      </c>
      <c r="Y1658" t="s">
        <v>10072</v>
      </c>
      <c r="Z1658" t="s">
        <v>10073</v>
      </c>
      <c r="AA1658" t="s">
        <v>8584</v>
      </c>
      <c r="AB1658" t="s">
        <v>10074</v>
      </c>
      <c r="AC1658">
        <v>99019</v>
      </c>
      <c r="AD1658" t="s">
        <v>1648</v>
      </c>
      <c r="AE1658">
        <v>-38.158465300000003</v>
      </c>
      <c r="AF1658">
        <v>176.2591209</v>
      </c>
      <c r="AG1658" s="175">
        <v>75</v>
      </c>
      <c r="AH1658" s="175">
        <v>15</v>
      </c>
      <c r="AI1658" s="175">
        <v>1</v>
      </c>
      <c r="AJ1658" s="175">
        <v>4</v>
      </c>
      <c r="AK1658" s="175">
        <v>11</v>
      </c>
      <c r="AL1658" s="175">
        <v>9</v>
      </c>
      <c r="AM1658" s="175">
        <v>11</v>
      </c>
      <c r="AN1658" s="175">
        <v>2</v>
      </c>
      <c r="AO1658" s="175">
        <v>38</v>
      </c>
      <c r="AP1658" s="175">
        <v>26</v>
      </c>
      <c r="AQ1658" s="175">
        <v>5</v>
      </c>
      <c r="AR1658" s="175">
        <v>2</v>
      </c>
      <c r="AS1658" s="175">
        <v>10</v>
      </c>
      <c r="AT1658" s="175">
        <v>5</v>
      </c>
    </row>
    <row r="1659" spans="1:46">
      <c r="A1659">
        <v>40092</v>
      </c>
      <c r="B1659" t="s">
        <v>10075</v>
      </c>
      <c r="C1659" t="s">
        <v>10076</v>
      </c>
      <c r="E1659" t="s">
        <v>10077</v>
      </c>
      <c r="F1659" t="s">
        <v>8555</v>
      </c>
      <c r="G1659" t="s">
        <v>1604</v>
      </c>
      <c r="H1659" t="s">
        <v>449</v>
      </c>
      <c r="J1659" t="s">
        <v>605</v>
      </c>
      <c r="K1659" t="s">
        <v>606</v>
      </c>
      <c r="M1659" t="s">
        <v>1382</v>
      </c>
      <c r="N1659" t="s">
        <v>657</v>
      </c>
      <c r="O1659" t="s">
        <v>1605</v>
      </c>
      <c r="P1659" t="s">
        <v>670</v>
      </c>
      <c r="Q1659" t="s">
        <v>511</v>
      </c>
      <c r="R1659" t="s">
        <v>1555</v>
      </c>
      <c r="S1659" t="s">
        <v>1604</v>
      </c>
      <c r="T1659" t="s">
        <v>1557</v>
      </c>
      <c r="U1659">
        <v>199800</v>
      </c>
      <c r="V1659" t="s">
        <v>8625</v>
      </c>
      <c r="W1659" t="s">
        <v>1606</v>
      </c>
      <c r="X1659" t="s">
        <v>10078</v>
      </c>
      <c r="Y1659" t="s">
        <v>10079</v>
      </c>
      <c r="Z1659" t="s">
        <v>8628</v>
      </c>
      <c r="AA1659" t="s">
        <v>8629</v>
      </c>
      <c r="AB1659" t="s">
        <v>10076</v>
      </c>
      <c r="AE1659">
        <v>-38.134389089999999</v>
      </c>
      <c r="AF1659">
        <v>176.23884541999999</v>
      </c>
      <c r="AG1659" s="175">
        <v>60</v>
      </c>
      <c r="AH1659" s="175">
        <v>10</v>
      </c>
      <c r="AI1659" s="175">
        <v>0</v>
      </c>
      <c r="AJ1659" s="175">
        <v>9</v>
      </c>
      <c r="AK1659" s="175">
        <v>15</v>
      </c>
      <c r="AL1659" s="175">
        <v>15</v>
      </c>
      <c r="AM1659" s="175">
        <v>13</v>
      </c>
      <c r="AN1659" s="175">
        <v>3</v>
      </c>
      <c r="AO1659" s="175">
        <v>55</v>
      </c>
      <c r="AP1659" s="175">
        <v>27</v>
      </c>
      <c r="AQ1659" s="175">
        <v>16</v>
      </c>
      <c r="AR1659" s="175">
        <v>6</v>
      </c>
      <c r="AS1659" s="175">
        <v>25</v>
      </c>
      <c r="AT1659" s="175">
        <v>0</v>
      </c>
    </row>
    <row r="1660" spans="1:46">
      <c r="A1660">
        <v>40094</v>
      </c>
      <c r="B1660" t="s">
        <v>10080</v>
      </c>
      <c r="C1660" t="s">
        <v>10081</v>
      </c>
      <c r="D1660" t="s">
        <v>10082</v>
      </c>
      <c r="E1660" t="s">
        <v>10083</v>
      </c>
      <c r="F1660" t="s">
        <v>1646</v>
      </c>
      <c r="G1660" t="s">
        <v>1604</v>
      </c>
      <c r="H1660" t="s">
        <v>449</v>
      </c>
      <c r="J1660" t="s">
        <v>4032</v>
      </c>
      <c r="K1660" t="s">
        <v>606</v>
      </c>
      <c r="M1660" t="s">
        <v>1382</v>
      </c>
      <c r="N1660" t="s">
        <v>625</v>
      </c>
      <c r="O1660" t="s">
        <v>1605</v>
      </c>
      <c r="P1660" t="s">
        <v>670</v>
      </c>
      <c r="Q1660" t="s">
        <v>511</v>
      </c>
      <c r="R1660" t="s">
        <v>1555</v>
      </c>
      <c r="S1660" t="s">
        <v>1604</v>
      </c>
      <c r="T1660" t="s">
        <v>1557</v>
      </c>
      <c r="U1660">
        <v>201300</v>
      </c>
      <c r="V1660" t="s">
        <v>8582</v>
      </c>
      <c r="W1660" t="s">
        <v>1606</v>
      </c>
      <c r="X1660" t="s">
        <v>10084</v>
      </c>
      <c r="Y1660" t="s">
        <v>10085</v>
      </c>
      <c r="AA1660" t="s">
        <v>8629</v>
      </c>
      <c r="AB1660" t="s">
        <v>10086</v>
      </c>
      <c r="AC1660">
        <v>99019</v>
      </c>
      <c r="AD1660" t="s">
        <v>1648</v>
      </c>
      <c r="AE1660">
        <v>-38.167880510000003</v>
      </c>
      <c r="AF1660">
        <v>176.24300821</v>
      </c>
      <c r="AG1660" s="175">
        <v>60</v>
      </c>
      <c r="AH1660" s="175">
        <v>16</v>
      </c>
      <c r="AI1660" s="175">
        <v>6</v>
      </c>
      <c r="AJ1660" s="175">
        <v>9</v>
      </c>
      <c r="AK1660" s="175">
        <v>9</v>
      </c>
      <c r="AL1660" s="175">
        <v>5</v>
      </c>
      <c r="AM1660" s="175">
        <v>7</v>
      </c>
      <c r="AN1660" s="175">
        <v>0</v>
      </c>
      <c r="AO1660" s="175">
        <v>36</v>
      </c>
      <c r="AP1660" s="175">
        <v>22</v>
      </c>
      <c r="AQ1660" s="175">
        <v>15</v>
      </c>
      <c r="AR1660" s="175">
        <v>2</v>
      </c>
      <c r="AS1660" s="175">
        <v>4</v>
      </c>
      <c r="AT1660" s="175">
        <v>3</v>
      </c>
    </row>
    <row r="1661" spans="1:46">
      <c r="A1661">
        <v>40095</v>
      </c>
      <c r="B1661" t="s">
        <v>10087</v>
      </c>
      <c r="C1661" t="s">
        <v>10088</v>
      </c>
      <c r="D1661" t="s">
        <v>10089</v>
      </c>
      <c r="E1661" t="s">
        <v>10090</v>
      </c>
      <c r="F1661" t="s">
        <v>1711</v>
      </c>
      <c r="G1661" t="s">
        <v>1604</v>
      </c>
      <c r="H1661" t="s">
        <v>449</v>
      </c>
      <c r="J1661" t="s">
        <v>605</v>
      </c>
      <c r="K1661" t="s">
        <v>606</v>
      </c>
      <c r="M1661" t="s">
        <v>1382</v>
      </c>
      <c r="N1661" t="s">
        <v>643</v>
      </c>
      <c r="O1661" t="s">
        <v>1605</v>
      </c>
      <c r="P1661" t="s">
        <v>670</v>
      </c>
      <c r="Q1661" t="s">
        <v>511</v>
      </c>
      <c r="R1661" t="s">
        <v>1555</v>
      </c>
      <c r="S1661" t="s">
        <v>1604</v>
      </c>
      <c r="T1661" t="s">
        <v>1557</v>
      </c>
      <c r="U1661">
        <v>200900</v>
      </c>
      <c r="V1661" t="s">
        <v>10091</v>
      </c>
      <c r="W1661" t="s">
        <v>1606</v>
      </c>
      <c r="X1661" t="s">
        <v>10092</v>
      </c>
      <c r="Y1661" t="s">
        <v>10093</v>
      </c>
      <c r="Z1661" t="s">
        <v>8628</v>
      </c>
      <c r="AA1661" t="s">
        <v>10094</v>
      </c>
      <c r="AB1661" t="s">
        <v>10095</v>
      </c>
      <c r="AC1661">
        <v>99017</v>
      </c>
      <c r="AD1661" t="s">
        <v>1713</v>
      </c>
      <c r="AE1661">
        <v>-38.131765710000003</v>
      </c>
      <c r="AF1661">
        <v>176.29372479</v>
      </c>
      <c r="AG1661" s="175">
        <v>35</v>
      </c>
      <c r="AH1661" s="175">
        <v>15</v>
      </c>
      <c r="AI1661" s="175">
        <v>1</v>
      </c>
      <c r="AJ1661" s="175">
        <v>2</v>
      </c>
      <c r="AK1661" s="175">
        <v>6</v>
      </c>
      <c r="AL1661" s="175">
        <v>4</v>
      </c>
      <c r="AM1661" s="175">
        <v>11</v>
      </c>
      <c r="AN1661" s="175">
        <v>1</v>
      </c>
      <c r="AO1661" s="175">
        <v>25</v>
      </c>
      <c r="AP1661" s="175">
        <v>10</v>
      </c>
      <c r="AQ1661" s="175">
        <v>13</v>
      </c>
      <c r="AR1661" s="175">
        <v>1</v>
      </c>
      <c r="AS1661" s="175">
        <v>3</v>
      </c>
      <c r="AT1661" s="175">
        <v>1</v>
      </c>
    </row>
    <row r="1662" spans="1:46">
      <c r="A1662">
        <v>40097</v>
      </c>
      <c r="B1662" t="s">
        <v>10096</v>
      </c>
      <c r="C1662" t="s">
        <v>10097</v>
      </c>
      <c r="D1662" t="s">
        <v>10098</v>
      </c>
      <c r="E1662" t="s">
        <v>10099</v>
      </c>
      <c r="F1662" t="s">
        <v>10100</v>
      </c>
      <c r="G1662" t="s">
        <v>1681</v>
      </c>
      <c r="H1662" t="s">
        <v>452</v>
      </c>
      <c r="J1662" t="s">
        <v>605</v>
      </c>
      <c r="K1662" t="s">
        <v>606</v>
      </c>
      <c r="M1662" t="s">
        <v>1382</v>
      </c>
      <c r="N1662" t="s">
        <v>657</v>
      </c>
      <c r="O1662" t="s">
        <v>1780</v>
      </c>
      <c r="P1662" t="s">
        <v>739</v>
      </c>
      <c r="Q1662" t="s">
        <v>511</v>
      </c>
      <c r="R1662" t="s">
        <v>1555</v>
      </c>
      <c r="S1662" t="s">
        <v>1681</v>
      </c>
      <c r="T1662" t="s">
        <v>1557</v>
      </c>
      <c r="U1662">
        <v>192800</v>
      </c>
      <c r="V1662" t="s">
        <v>10101</v>
      </c>
      <c r="W1662" t="s">
        <v>1806</v>
      </c>
      <c r="X1662" t="s">
        <v>1679</v>
      </c>
      <c r="Y1662" t="s">
        <v>1680</v>
      </c>
      <c r="Z1662" t="s">
        <v>1681</v>
      </c>
      <c r="AA1662" t="s">
        <v>1682</v>
      </c>
      <c r="AB1662" t="s">
        <v>1683</v>
      </c>
      <c r="AC1662">
        <v>99064</v>
      </c>
      <c r="AD1662" t="s">
        <v>1784</v>
      </c>
      <c r="AE1662">
        <v>-37.645880290000001</v>
      </c>
      <c r="AF1662">
        <v>176.18940979999999</v>
      </c>
      <c r="AG1662" s="175">
        <v>30</v>
      </c>
      <c r="AH1662" s="175">
        <v>8</v>
      </c>
      <c r="AI1662" s="175">
        <v>0</v>
      </c>
      <c r="AJ1662" s="175">
        <v>12</v>
      </c>
      <c r="AK1662" s="175">
        <v>7</v>
      </c>
      <c r="AL1662" s="175">
        <v>10</v>
      </c>
      <c r="AM1662" s="175">
        <v>8</v>
      </c>
      <c r="AN1662" s="175">
        <v>1</v>
      </c>
      <c r="AO1662" s="175">
        <v>38</v>
      </c>
      <c r="AP1662" s="175">
        <v>34</v>
      </c>
      <c r="AQ1662" s="175">
        <v>8</v>
      </c>
      <c r="AR1662" s="175">
        <v>0</v>
      </c>
      <c r="AS1662" s="175">
        <v>2</v>
      </c>
      <c r="AT1662" s="175">
        <v>1</v>
      </c>
    </row>
    <row r="1663" spans="1:46">
      <c r="A1663">
        <v>40100</v>
      </c>
      <c r="B1663" t="s">
        <v>10102</v>
      </c>
      <c r="C1663" t="s">
        <v>10103</v>
      </c>
      <c r="D1663" t="s">
        <v>10104</v>
      </c>
      <c r="E1663" t="s">
        <v>10105</v>
      </c>
      <c r="F1663" t="s">
        <v>1789</v>
      </c>
      <c r="G1663" t="s">
        <v>1681</v>
      </c>
      <c r="H1663" t="s">
        <v>449</v>
      </c>
      <c r="J1663" t="s">
        <v>4032</v>
      </c>
      <c r="K1663" t="s">
        <v>606</v>
      </c>
      <c r="M1663" t="s">
        <v>1382</v>
      </c>
      <c r="N1663" t="s">
        <v>657</v>
      </c>
      <c r="O1663" t="s">
        <v>1780</v>
      </c>
      <c r="P1663" t="s">
        <v>739</v>
      </c>
      <c r="Q1663" t="s">
        <v>511</v>
      </c>
      <c r="R1663" t="s">
        <v>1555</v>
      </c>
      <c r="S1663" t="s">
        <v>1681</v>
      </c>
      <c r="T1663" t="s">
        <v>1557</v>
      </c>
      <c r="U1663">
        <v>193202</v>
      </c>
      <c r="V1663" t="s">
        <v>1818</v>
      </c>
      <c r="W1663" t="s">
        <v>1819</v>
      </c>
      <c r="X1663" t="s">
        <v>9914</v>
      </c>
      <c r="Y1663" t="s">
        <v>9915</v>
      </c>
      <c r="Z1663" t="s">
        <v>3793</v>
      </c>
      <c r="AA1663" t="s">
        <v>8947</v>
      </c>
      <c r="AE1663">
        <v>-37.669741899999998</v>
      </c>
      <c r="AF1663">
        <v>176.16115429999999</v>
      </c>
      <c r="AG1663" s="175">
        <v>42</v>
      </c>
      <c r="AH1663" s="175">
        <v>17</v>
      </c>
      <c r="AI1663" s="175">
        <v>5</v>
      </c>
      <c r="AJ1663" s="175">
        <v>5</v>
      </c>
      <c r="AK1663" s="175">
        <v>18</v>
      </c>
      <c r="AL1663" s="175">
        <v>10</v>
      </c>
      <c r="AM1663" s="175">
        <v>7</v>
      </c>
      <c r="AN1663" s="175">
        <v>0</v>
      </c>
      <c r="AO1663" s="175">
        <v>45</v>
      </c>
      <c r="AP1663" s="175">
        <v>42</v>
      </c>
      <c r="AQ1663" s="175">
        <v>8</v>
      </c>
      <c r="AR1663" s="175">
        <v>0</v>
      </c>
      <c r="AS1663" s="175">
        <v>3</v>
      </c>
      <c r="AT1663" s="175">
        <v>3</v>
      </c>
    </row>
    <row r="1664" spans="1:46">
      <c r="A1664">
        <v>40102</v>
      </c>
      <c r="B1664" t="s">
        <v>10106</v>
      </c>
      <c r="C1664" t="s">
        <v>10107</v>
      </c>
      <c r="D1664" t="s">
        <v>10108</v>
      </c>
      <c r="E1664" t="s">
        <v>10109</v>
      </c>
      <c r="G1664" t="s">
        <v>1731</v>
      </c>
      <c r="H1664" t="s">
        <v>449</v>
      </c>
      <c r="J1664" t="s">
        <v>4032</v>
      </c>
      <c r="K1664" t="s">
        <v>606</v>
      </c>
      <c r="M1664" t="s">
        <v>1382</v>
      </c>
      <c r="N1664" t="s">
        <v>608</v>
      </c>
      <c r="O1664" t="s">
        <v>1732</v>
      </c>
      <c r="P1664" t="s">
        <v>610</v>
      </c>
      <c r="Q1664" t="s">
        <v>511</v>
      </c>
      <c r="R1664" t="s">
        <v>1555</v>
      </c>
      <c r="S1664" t="s">
        <v>1556</v>
      </c>
      <c r="T1664" t="s">
        <v>1557</v>
      </c>
      <c r="U1664">
        <v>203700</v>
      </c>
      <c r="V1664" t="s">
        <v>1733</v>
      </c>
      <c r="W1664" t="s">
        <v>1734</v>
      </c>
      <c r="X1664" t="s">
        <v>10110</v>
      </c>
      <c r="Y1664" t="s">
        <v>10111</v>
      </c>
      <c r="AA1664" t="s">
        <v>9792</v>
      </c>
      <c r="AC1664">
        <v>99038</v>
      </c>
      <c r="AD1664" t="s">
        <v>1598</v>
      </c>
      <c r="AE1664">
        <v>-38.093048289999999</v>
      </c>
      <c r="AF1664">
        <v>176.68168093</v>
      </c>
      <c r="AG1664" s="175">
        <v>50</v>
      </c>
      <c r="AH1664" s="175">
        <v>15</v>
      </c>
      <c r="AI1664" s="175">
        <v>2</v>
      </c>
      <c r="AJ1664" s="175">
        <v>10</v>
      </c>
      <c r="AK1664" s="175">
        <v>12</v>
      </c>
      <c r="AL1664" s="175">
        <v>6</v>
      </c>
      <c r="AM1664" s="175">
        <v>15</v>
      </c>
      <c r="AN1664" s="175">
        <v>0</v>
      </c>
      <c r="AO1664" s="175">
        <v>45</v>
      </c>
      <c r="AP1664" s="175">
        <v>19</v>
      </c>
      <c r="AQ1664" s="175">
        <v>37</v>
      </c>
      <c r="AR1664" s="175">
        <v>4</v>
      </c>
      <c r="AS1664" s="175">
        <v>3</v>
      </c>
      <c r="AT1664" s="175">
        <v>0</v>
      </c>
    </row>
    <row r="1665" spans="1:46">
      <c r="A1665">
        <v>40104</v>
      </c>
      <c r="B1665" t="s">
        <v>10112</v>
      </c>
      <c r="C1665" t="s">
        <v>10113</v>
      </c>
      <c r="D1665" t="s">
        <v>10114</v>
      </c>
      <c r="E1665" t="s">
        <v>10115</v>
      </c>
      <c r="G1665" t="s">
        <v>1694</v>
      </c>
      <c r="H1665" t="s">
        <v>449</v>
      </c>
      <c r="J1665" t="s">
        <v>605</v>
      </c>
      <c r="K1665" t="s">
        <v>606</v>
      </c>
      <c r="M1665" t="s">
        <v>1382</v>
      </c>
      <c r="N1665" t="s">
        <v>643</v>
      </c>
      <c r="O1665" t="s">
        <v>1695</v>
      </c>
      <c r="P1665" t="s">
        <v>610</v>
      </c>
      <c r="Q1665" t="s">
        <v>511</v>
      </c>
      <c r="R1665" t="s">
        <v>1555</v>
      </c>
      <c r="S1665" t="s">
        <v>1556</v>
      </c>
      <c r="T1665" t="s">
        <v>1557</v>
      </c>
      <c r="U1665">
        <v>204400</v>
      </c>
      <c r="V1665" t="s">
        <v>1696</v>
      </c>
      <c r="W1665" t="s">
        <v>1697</v>
      </c>
      <c r="X1665" t="s">
        <v>10116</v>
      </c>
      <c r="Y1665" t="s">
        <v>10117</v>
      </c>
      <c r="AA1665" t="s">
        <v>10118</v>
      </c>
      <c r="AB1665" t="s">
        <v>10113</v>
      </c>
      <c r="AC1665">
        <v>99037</v>
      </c>
      <c r="AD1665" t="s">
        <v>1698</v>
      </c>
      <c r="AE1665">
        <v>-38.010031840000003</v>
      </c>
      <c r="AF1665">
        <v>177.28508733000001</v>
      </c>
      <c r="AG1665" s="175">
        <v>37</v>
      </c>
      <c r="AH1665" s="175">
        <v>8</v>
      </c>
      <c r="AI1665" s="175">
        <v>3</v>
      </c>
      <c r="AJ1665" s="175">
        <v>8</v>
      </c>
      <c r="AK1665" s="175">
        <v>15</v>
      </c>
      <c r="AL1665" s="175">
        <v>13</v>
      </c>
      <c r="AM1665" s="175">
        <v>9</v>
      </c>
      <c r="AN1665" s="175">
        <v>0</v>
      </c>
      <c r="AO1665" s="175">
        <v>48</v>
      </c>
      <c r="AP1665" s="175">
        <v>28</v>
      </c>
      <c r="AQ1665" s="175">
        <v>27</v>
      </c>
      <c r="AR1665" s="175">
        <v>4</v>
      </c>
      <c r="AS1665" s="175">
        <v>2</v>
      </c>
      <c r="AT1665" s="175">
        <v>1</v>
      </c>
    </row>
    <row r="1666" spans="1:46">
      <c r="A1666">
        <v>40115</v>
      </c>
      <c r="B1666" t="s">
        <v>10119</v>
      </c>
      <c r="C1666" t="s">
        <v>10120</v>
      </c>
      <c r="E1666" t="s">
        <v>10121</v>
      </c>
      <c r="F1666" t="s">
        <v>9467</v>
      </c>
      <c r="G1666" t="s">
        <v>1604</v>
      </c>
      <c r="H1666" t="s">
        <v>347</v>
      </c>
      <c r="J1666" t="s">
        <v>605</v>
      </c>
      <c r="K1666" t="s">
        <v>606</v>
      </c>
      <c r="L1666" t="s">
        <v>4273</v>
      </c>
      <c r="M1666" t="s">
        <v>1382</v>
      </c>
      <c r="N1666" t="s">
        <v>812</v>
      </c>
      <c r="O1666" t="s">
        <v>1605</v>
      </c>
      <c r="P1666" t="s">
        <v>670</v>
      </c>
      <c r="Q1666" t="s">
        <v>511</v>
      </c>
      <c r="R1666" t="s">
        <v>1555</v>
      </c>
      <c r="S1666" t="s">
        <v>1604</v>
      </c>
      <c r="T1666" t="s">
        <v>1557</v>
      </c>
      <c r="U1666">
        <v>199100</v>
      </c>
      <c r="V1666" t="s">
        <v>10122</v>
      </c>
      <c r="W1666" t="s">
        <v>1606</v>
      </c>
      <c r="X1666" t="s">
        <v>8511</v>
      </c>
      <c r="Y1666" t="s">
        <v>4276</v>
      </c>
      <c r="Z1666" t="s">
        <v>4277</v>
      </c>
      <c r="AA1666" t="s">
        <v>4278</v>
      </c>
      <c r="AB1666" t="s">
        <v>8512</v>
      </c>
      <c r="AE1666">
        <v>-38.132950809999997</v>
      </c>
      <c r="AF1666">
        <v>176.20865031</v>
      </c>
      <c r="AG1666" s="175">
        <v>32</v>
      </c>
      <c r="AH1666" s="175">
        <v>8</v>
      </c>
      <c r="AI1666" s="175">
        <v>1</v>
      </c>
      <c r="AJ1666" s="175">
        <v>4</v>
      </c>
      <c r="AK1666" s="175">
        <v>8</v>
      </c>
      <c r="AL1666" s="175">
        <v>5</v>
      </c>
      <c r="AM1666" s="175">
        <v>6</v>
      </c>
      <c r="AN1666" s="175">
        <v>0</v>
      </c>
      <c r="AO1666" s="175">
        <v>24</v>
      </c>
      <c r="AP1666" s="175">
        <v>0</v>
      </c>
      <c r="AQ1666" s="175">
        <v>24</v>
      </c>
      <c r="AR1666" s="175">
        <v>0</v>
      </c>
      <c r="AS1666" s="175">
        <v>0</v>
      </c>
      <c r="AT1666" s="175">
        <v>0</v>
      </c>
    </row>
    <row r="1667" spans="1:46">
      <c r="A1667">
        <v>40116</v>
      </c>
      <c r="B1667" t="s">
        <v>10123</v>
      </c>
      <c r="C1667" t="s">
        <v>10124</v>
      </c>
      <c r="E1667" t="s">
        <v>10125</v>
      </c>
      <c r="F1667" t="s">
        <v>10053</v>
      </c>
      <c r="G1667" t="s">
        <v>1604</v>
      </c>
      <c r="H1667" t="s">
        <v>347</v>
      </c>
      <c r="J1667" t="s">
        <v>605</v>
      </c>
      <c r="K1667" t="s">
        <v>606</v>
      </c>
      <c r="L1667" t="s">
        <v>4273</v>
      </c>
      <c r="M1667" t="s">
        <v>1382</v>
      </c>
      <c r="N1667" t="s">
        <v>625</v>
      </c>
      <c r="O1667" t="s">
        <v>1605</v>
      </c>
      <c r="P1667" t="s">
        <v>670</v>
      </c>
      <c r="Q1667" t="s">
        <v>511</v>
      </c>
      <c r="R1667" t="s">
        <v>1555</v>
      </c>
      <c r="S1667" t="s">
        <v>1604</v>
      </c>
      <c r="T1667" t="s">
        <v>1557</v>
      </c>
      <c r="U1667">
        <v>199400</v>
      </c>
      <c r="V1667" t="s">
        <v>10054</v>
      </c>
      <c r="W1667" t="s">
        <v>1606</v>
      </c>
      <c r="X1667" t="s">
        <v>8511</v>
      </c>
      <c r="Y1667" t="s">
        <v>4276</v>
      </c>
      <c r="Z1667" t="s">
        <v>4277</v>
      </c>
      <c r="AA1667" t="s">
        <v>4278</v>
      </c>
      <c r="AB1667" t="s">
        <v>8512</v>
      </c>
      <c r="AE1667">
        <v>-38.122192130000002</v>
      </c>
      <c r="AF1667">
        <v>176.23739001999999</v>
      </c>
      <c r="AG1667" s="175">
        <v>30</v>
      </c>
      <c r="AH1667" s="175">
        <v>8</v>
      </c>
      <c r="AI1667" s="175">
        <v>1</v>
      </c>
      <c r="AJ1667" s="175">
        <v>6</v>
      </c>
      <c r="AK1667" s="175">
        <v>8</v>
      </c>
      <c r="AL1667" s="175">
        <v>5</v>
      </c>
      <c r="AM1667" s="175">
        <v>4</v>
      </c>
      <c r="AN1667" s="175">
        <v>0</v>
      </c>
      <c r="AO1667" s="175">
        <v>24</v>
      </c>
      <c r="AP1667" s="175">
        <v>0</v>
      </c>
      <c r="AQ1667" s="175">
        <v>23</v>
      </c>
      <c r="AR1667" s="175">
        <v>0</v>
      </c>
      <c r="AS1667" s="175">
        <v>0</v>
      </c>
      <c r="AT1667" s="175">
        <v>1</v>
      </c>
    </row>
    <row r="1668" spans="1:46">
      <c r="A1668">
        <v>40118</v>
      </c>
      <c r="B1668" t="s">
        <v>10126</v>
      </c>
      <c r="C1668" t="s">
        <v>10127</v>
      </c>
      <c r="E1668" t="s">
        <v>10128</v>
      </c>
      <c r="F1668" t="s">
        <v>9940</v>
      </c>
      <c r="G1668" t="s">
        <v>1604</v>
      </c>
      <c r="H1668" t="s">
        <v>347</v>
      </c>
      <c r="J1668" t="s">
        <v>605</v>
      </c>
      <c r="K1668" t="s">
        <v>606</v>
      </c>
      <c r="L1668" t="s">
        <v>4273</v>
      </c>
      <c r="M1668" t="s">
        <v>1382</v>
      </c>
      <c r="N1668" t="s">
        <v>608</v>
      </c>
      <c r="O1668" t="s">
        <v>1605</v>
      </c>
      <c r="P1668" t="s">
        <v>670</v>
      </c>
      <c r="Q1668" t="s">
        <v>511</v>
      </c>
      <c r="R1668" t="s">
        <v>1555</v>
      </c>
      <c r="S1668" t="s">
        <v>1604</v>
      </c>
      <c r="T1668" t="s">
        <v>1557</v>
      </c>
      <c r="U1668">
        <v>199800</v>
      </c>
      <c r="V1668" t="s">
        <v>8625</v>
      </c>
      <c r="W1668" t="s">
        <v>1606</v>
      </c>
      <c r="X1668" t="s">
        <v>8511</v>
      </c>
      <c r="Y1668" t="s">
        <v>4276</v>
      </c>
      <c r="Z1668" t="s">
        <v>4277</v>
      </c>
      <c r="AA1668" t="s">
        <v>4278</v>
      </c>
      <c r="AB1668" t="s">
        <v>8512</v>
      </c>
      <c r="AE1668">
        <v>-38.135651699999997</v>
      </c>
      <c r="AF1668">
        <v>176.24167070999999</v>
      </c>
      <c r="AG1668" s="175">
        <v>34</v>
      </c>
      <c r="AH1668" s="175">
        <v>10</v>
      </c>
      <c r="AI1668" s="175">
        <v>0</v>
      </c>
      <c r="AJ1668" s="175">
        <v>9</v>
      </c>
      <c r="AK1668" s="175">
        <v>4</v>
      </c>
      <c r="AL1668" s="175">
        <v>11</v>
      </c>
      <c r="AM1668" s="175">
        <v>5</v>
      </c>
      <c r="AN1668" s="175">
        <v>0</v>
      </c>
      <c r="AO1668" s="175">
        <v>29</v>
      </c>
      <c r="AP1668" s="175">
        <v>0</v>
      </c>
      <c r="AQ1668" s="175">
        <v>29</v>
      </c>
      <c r="AR1668" s="175">
        <v>0</v>
      </c>
      <c r="AS1668" s="175">
        <v>0</v>
      </c>
      <c r="AT1668" s="175">
        <v>0</v>
      </c>
    </row>
    <row r="1669" spans="1:46">
      <c r="A1669">
        <v>40119</v>
      </c>
      <c r="B1669" t="s">
        <v>10129</v>
      </c>
      <c r="C1669" t="s">
        <v>10130</v>
      </c>
      <c r="E1669" t="s">
        <v>10131</v>
      </c>
      <c r="F1669" t="s">
        <v>8555</v>
      </c>
      <c r="G1669" t="s">
        <v>1604</v>
      </c>
      <c r="H1669" t="s">
        <v>347</v>
      </c>
      <c r="J1669" t="s">
        <v>605</v>
      </c>
      <c r="K1669" t="s">
        <v>606</v>
      </c>
      <c r="L1669" t="s">
        <v>4273</v>
      </c>
      <c r="M1669" t="s">
        <v>1382</v>
      </c>
      <c r="N1669" t="s">
        <v>608</v>
      </c>
      <c r="O1669" t="s">
        <v>1605</v>
      </c>
      <c r="P1669" t="s">
        <v>670</v>
      </c>
      <c r="Q1669" t="s">
        <v>511</v>
      </c>
      <c r="R1669" t="s">
        <v>1555</v>
      </c>
      <c r="S1669" t="s">
        <v>1604</v>
      </c>
      <c r="T1669" t="s">
        <v>1557</v>
      </c>
      <c r="U1669">
        <v>200100</v>
      </c>
      <c r="V1669" t="s">
        <v>8555</v>
      </c>
      <c r="W1669" t="s">
        <v>1606</v>
      </c>
      <c r="X1669" t="s">
        <v>8511</v>
      </c>
      <c r="Y1669" t="s">
        <v>4276</v>
      </c>
      <c r="Z1669" t="s">
        <v>4277</v>
      </c>
      <c r="AA1669" t="s">
        <v>4278</v>
      </c>
      <c r="AB1669" t="s">
        <v>8512</v>
      </c>
      <c r="AE1669">
        <v>-38.134561210000001</v>
      </c>
      <c r="AF1669">
        <v>176.24931760999999</v>
      </c>
      <c r="AG1669" s="175">
        <v>34</v>
      </c>
      <c r="AH1669" s="175">
        <v>0</v>
      </c>
      <c r="AI1669" s="175">
        <v>0</v>
      </c>
      <c r="AJ1669" s="175">
        <v>0</v>
      </c>
      <c r="AK1669" s="175">
        <v>0</v>
      </c>
      <c r="AL1669" s="175">
        <v>9</v>
      </c>
      <c r="AM1669" s="175">
        <v>18</v>
      </c>
      <c r="AN1669" s="175">
        <v>0</v>
      </c>
      <c r="AO1669" s="175">
        <v>27</v>
      </c>
      <c r="AP1669" s="175">
        <v>0</v>
      </c>
      <c r="AQ1669" s="175">
        <v>27</v>
      </c>
      <c r="AR1669" s="175">
        <v>0</v>
      </c>
      <c r="AS1669" s="175">
        <v>0</v>
      </c>
      <c r="AT1669" s="175">
        <v>0</v>
      </c>
    </row>
    <row r="1670" spans="1:46">
      <c r="A1670">
        <v>40121</v>
      </c>
      <c r="B1670" t="s">
        <v>10132</v>
      </c>
      <c r="C1670" t="s">
        <v>10133</v>
      </c>
      <c r="E1670" t="s">
        <v>10134</v>
      </c>
      <c r="F1670" t="s">
        <v>1752</v>
      </c>
      <c r="G1670" t="s">
        <v>1604</v>
      </c>
      <c r="H1670" t="s">
        <v>347</v>
      </c>
      <c r="J1670" t="s">
        <v>605</v>
      </c>
      <c r="K1670" t="s">
        <v>606</v>
      </c>
      <c r="L1670" t="s">
        <v>4273</v>
      </c>
      <c r="M1670" t="s">
        <v>1382</v>
      </c>
      <c r="N1670" t="s">
        <v>643</v>
      </c>
      <c r="O1670" t="s">
        <v>1605</v>
      </c>
      <c r="P1670" t="s">
        <v>670</v>
      </c>
      <c r="Q1670" t="s">
        <v>511</v>
      </c>
      <c r="R1670" t="s">
        <v>1555</v>
      </c>
      <c r="S1670" t="s">
        <v>1604</v>
      </c>
      <c r="T1670" t="s">
        <v>1557</v>
      </c>
      <c r="U1670">
        <v>198500</v>
      </c>
      <c r="V1670" t="s">
        <v>1752</v>
      </c>
      <c r="W1670" t="s">
        <v>1606</v>
      </c>
      <c r="X1670" t="s">
        <v>8511</v>
      </c>
      <c r="Y1670" t="s">
        <v>4276</v>
      </c>
      <c r="Z1670" t="s">
        <v>4277</v>
      </c>
      <c r="AA1670" t="s">
        <v>4278</v>
      </c>
      <c r="AB1670" t="s">
        <v>8512</v>
      </c>
      <c r="AE1670">
        <v>-38.117198700000003</v>
      </c>
      <c r="AF1670">
        <v>176.22431377999999</v>
      </c>
      <c r="AG1670" s="175">
        <v>30</v>
      </c>
      <c r="AH1670" s="175">
        <v>6</v>
      </c>
      <c r="AI1670" s="175">
        <v>0</v>
      </c>
      <c r="AJ1670" s="175">
        <v>3</v>
      </c>
      <c r="AK1670" s="175">
        <v>11</v>
      </c>
      <c r="AL1670" s="175">
        <v>7</v>
      </c>
      <c r="AM1670" s="175">
        <v>8</v>
      </c>
      <c r="AN1670" s="175">
        <v>0</v>
      </c>
      <c r="AO1670" s="175">
        <v>29</v>
      </c>
      <c r="AP1670" s="175">
        <v>0</v>
      </c>
      <c r="AQ1670" s="175">
        <v>28</v>
      </c>
      <c r="AR1670" s="175">
        <v>1</v>
      </c>
      <c r="AS1670" s="175">
        <v>0</v>
      </c>
      <c r="AT1670" s="175">
        <v>0</v>
      </c>
    </row>
    <row r="1671" spans="1:46">
      <c r="A1671">
        <v>40122</v>
      </c>
      <c r="B1671" t="s">
        <v>10135</v>
      </c>
      <c r="C1671" t="s">
        <v>10136</v>
      </c>
      <c r="E1671" t="s">
        <v>10137</v>
      </c>
      <c r="F1671" t="s">
        <v>10138</v>
      </c>
      <c r="G1671" t="s">
        <v>1604</v>
      </c>
      <c r="H1671" t="s">
        <v>347</v>
      </c>
      <c r="J1671" t="s">
        <v>605</v>
      </c>
      <c r="K1671" t="s">
        <v>606</v>
      </c>
      <c r="L1671" t="s">
        <v>4273</v>
      </c>
      <c r="M1671" t="s">
        <v>1382</v>
      </c>
      <c r="N1671" t="s">
        <v>812</v>
      </c>
      <c r="O1671" t="s">
        <v>1605</v>
      </c>
      <c r="P1671" t="s">
        <v>670</v>
      </c>
      <c r="Q1671" t="s">
        <v>511</v>
      </c>
      <c r="R1671" t="s">
        <v>1555</v>
      </c>
      <c r="S1671" t="s">
        <v>1604</v>
      </c>
      <c r="T1671" t="s">
        <v>1557</v>
      </c>
      <c r="U1671">
        <v>199700</v>
      </c>
      <c r="V1671" t="s">
        <v>1603</v>
      </c>
      <c r="W1671" t="s">
        <v>1606</v>
      </c>
      <c r="X1671" t="s">
        <v>8511</v>
      </c>
      <c r="Y1671" t="s">
        <v>4276</v>
      </c>
      <c r="Z1671" t="s">
        <v>4277</v>
      </c>
      <c r="AA1671" t="s">
        <v>4278</v>
      </c>
      <c r="AB1671" t="s">
        <v>8512</v>
      </c>
      <c r="AE1671">
        <v>-38.138485969999998</v>
      </c>
      <c r="AF1671">
        <v>176.22493811999999</v>
      </c>
      <c r="AG1671" s="175">
        <v>30</v>
      </c>
      <c r="AH1671" s="175">
        <v>8</v>
      </c>
      <c r="AI1671" s="175">
        <v>0</v>
      </c>
      <c r="AJ1671" s="175">
        <v>7</v>
      </c>
      <c r="AK1671" s="175">
        <v>4</v>
      </c>
      <c r="AL1671" s="175">
        <v>9</v>
      </c>
      <c r="AM1671" s="175">
        <v>6</v>
      </c>
      <c r="AN1671" s="175">
        <v>0</v>
      </c>
      <c r="AO1671" s="175">
        <v>26</v>
      </c>
      <c r="AP1671" s="175">
        <v>0</v>
      </c>
      <c r="AQ1671" s="175">
        <v>26</v>
      </c>
      <c r="AR1671" s="175">
        <v>0</v>
      </c>
      <c r="AS1671" s="175">
        <v>0</v>
      </c>
      <c r="AT1671" s="175">
        <v>0</v>
      </c>
    </row>
    <row r="1672" spans="1:46">
      <c r="A1672">
        <v>40123</v>
      </c>
      <c r="B1672" t="s">
        <v>10139</v>
      </c>
      <c r="C1672" t="s">
        <v>10140</v>
      </c>
      <c r="E1672" t="s">
        <v>10141</v>
      </c>
      <c r="F1672" t="s">
        <v>8555</v>
      </c>
      <c r="G1672" t="s">
        <v>1604</v>
      </c>
      <c r="H1672" t="s">
        <v>347</v>
      </c>
      <c r="J1672" t="s">
        <v>605</v>
      </c>
      <c r="K1672" t="s">
        <v>606</v>
      </c>
      <c r="L1672" t="s">
        <v>4273</v>
      </c>
      <c r="M1672" t="s">
        <v>1382</v>
      </c>
      <c r="N1672" t="s">
        <v>625</v>
      </c>
      <c r="O1672" t="s">
        <v>1605</v>
      </c>
      <c r="P1672" t="s">
        <v>670</v>
      </c>
      <c r="Q1672" t="s">
        <v>511</v>
      </c>
      <c r="R1672" t="s">
        <v>1555</v>
      </c>
      <c r="S1672" t="s">
        <v>1604</v>
      </c>
      <c r="T1672" t="s">
        <v>1557</v>
      </c>
      <c r="U1672">
        <v>199800</v>
      </c>
      <c r="V1672" t="s">
        <v>8625</v>
      </c>
      <c r="W1672" t="s">
        <v>1606</v>
      </c>
      <c r="X1672" t="s">
        <v>8511</v>
      </c>
      <c r="Y1672" t="s">
        <v>4276</v>
      </c>
      <c r="Z1672" t="s">
        <v>4277</v>
      </c>
      <c r="AA1672" t="s">
        <v>4278</v>
      </c>
      <c r="AB1672" t="s">
        <v>8512</v>
      </c>
      <c r="AE1672">
        <v>-38.131369339999999</v>
      </c>
      <c r="AF1672">
        <v>176.24096003</v>
      </c>
      <c r="AG1672" s="175">
        <v>25</v>
      </c>
      <c r="AH1672" s="175">
        <v>5</v>
      </c>
      <c r="AI1672" s="175">
        <v>0</v>
      </c>
      <c r="AJ1672" s="175">
        <v>4</v>
      </c>
      <c r="AK1672" s="175">
        <v>7</v>
      </c>
      <c r="AL1672" s="175">
        <v>3</v>
      </c>
      <c r="AM1672" s="175">
        <v>6</v>
      </c>
      <c r="AN1672" s="175">
        <v>0</v>
      </c>
      <c r="AO1672" s="175">
        <v>20</v>
      </c>
      <c r="AP1672" s="175">
        <v>0</v>
      </c>
      <c r="AQ1672" s="175">
        <v>19</v>
      </c>
      <c r="AR1672" s="175">
        <v>1</v>
      </c>
      <c r="AS1672" s="175">
        <v>0</v>
      </c>
      <c r="AT1672" s="175">
        <v>0</v>
      </c>
    </row>
    <row r="1673" spans="1:46">
      <c r="A1673">
        <v>40124</v>
      </c>
      <c r="B1673" t="s">
        <v>10142</v>
      </c>
      <c r="C1673" t="s">
        <v>10143</v>
      </c>
      <c r="E1673" t="s">
        <v>10144</v>
      </c>
      <c r="F1673" t="s">
        <v>10073</v>
      </c>
      <c r="G1673" t="s">
        <v>1604</v>
      </c>
      <c r="H1673" t="s">
        <v>347</v>
      </c>
      <c r="J1673" t="s">
        <v>605</v>
      </c>
      <c r="K1673" t="s">
        <v>606</v>
      </c>
      <c r="L1673" t="s">
        <v>4273</v>
      </c>
      <c r="M1673" t="s">
        <v>1382</v>
      </c>
      <c r="N1673" t="s">
        <v>608</v>
      </c>
      <c r="O1673" t="s">
        <v>1605</v>
      </c>
      <c r="P1673" t="s">
        <v>670</v>
      </c>
      <c r="Q1673" t="s">
        <v>511</v>
      </c>
      <c r="R1673" t="s">
        <v>1555</v>
      </c>
      <c r="S1673" t="s">
        <v>1604</v>
      </c>
      <c r="T1673" t="s">
        <v>1557</v>
      </c>
      <c r="U1673">
        <v>201300</v>
      </c>
      <c r="V1673" t="s">
        <v>8582</v>
      </c>
      <c r="W1673" t="s">
        <v>1606</v>
      </c>
      <c r="X1673" t="s">
        <v>8511</v>
      </c>
      <c r="Y1673" t="s">
        <v>4276</v>
      </c>
      <c r="Z1673" t="s">
        <v>4277</v>
      </c>
      <c r="AA1673" t="s">
        <v>4278</v>
      </c>
      <c r="AB1673" t="s">
        <v>8512</v>
      </c>
      <c r="AE1673">
        <v>-38.158311320000003</v>
      </c>
      <c r="AF1673">
        <v>176.26421163000001</v>
      </c>
      <c r="AG1673" s="175">
        <v>22</v>
      </c>
      <c r="AH1673" s="175">
        <v>8</v>
      </c>
      <c r="AI1673" s="175">
        <v>1</v>
      </c>
      <c r="AJ1673" s="175">
        <v>2</v>
      </c>
      <c r="AK1673" s="175">
        <v>7</v>
      </c>
      <c r="AL1673" s="175">
        <v>7</v>
      </c>
      <c r="AM1673" s="175">
        <v>1</v>
      </c>
      <c r="AN1673" s="175">
        <v>0</v>
      </c>
      <c r="AO1673" s="175">
        <v>18</v>
      </c>
      <c r="AP1673" s="175">
        <v>0</v>
      </c>
      <c r="AQ1673" s="175">
        <v>18</v>
      </c>
      <c r="AR1673" s="175">
        <v>0</v>
      </c>
      <c r="AS1673" s="175">
        <v>0</v>
      </c>
      <c r="AT1673" s="175">
        <v>0</v>
      </c>
    </row>
    <row r="1674" spans="1:46">
      <c r="A1674">
        <v>40125</v>
      </c>
      <c r="B1674" t="s">
        <v>10145</v>
      </c>
      <c r="C1674" t="s">
        <v>10146</v>
      </c>
      <c r="E1674" t="s">
        <v>10147</v>
      </c>
      <c r="G1674" t="s">
        <v>10148</v>
      </c>
      <c r="H1674" t="s">
        <v>347</v>
      </c>
      <c r="J1674" t="s">
        <v>605</v>
      </c>
      <c r="K1674" t="s">
        <v>606</v>
      </c>
      <c r="L1674" t="s">
        <v>4273</v>
      </c>
      <c r="M1674" t="s">
        <v>1382</v>
      </c>
      <c r="N1674" t="s">
        <v>608</v>
      </c>
      <c r="O1674" t="s">
        <v>1605</v>
      </c>
      <c r="P1674" t="s">
        <v>626</v>
      </c>
      <c r="Q1674" t="s">
        <v>511</v>
      </c>
      <c r="R1674" t="s">
        <v>1555</v>
      </c>
      <c r="S1674" t="s">
        <v>1604</v>
      </c>
      <c r="T1674" t="s">
        <v>1557</v>
      </c>
      <c r="U1674">
        <v>198700</v>
      </c>
      <c r="V1674" t="s">
        <v>10149</v>
      </c>
      <c r="W1674" t="s">
        <v>1606</v>
      </c>
      <c r="X1674" t="s">
        <v>8511</v>
      </c>
      <c r="Y1674" t="s">
        <v>4276</v>
      </c>
      <c r="Z1674" t="s">
        <v>4277</v>
      </c>
      <c r="AA1674" t="s">
        <v>4278</v>
      </c>
      <c r="AB1674" t="s">
        <v>8512</v>
      </c>
      <c r="AE1674">
        <v>-38.016952289999999</v>
      </c>
      <c r="AF1674">
        <v>176.34660969999999</v>
      </c>
      <c r="AG1674" s="175">
        <v>25</v>
      </c>
      <c r="AH1674" s="175">
        <v>8</v>
      </c>
      <c r="AI1674" s="175">
        <v>0</v>
      </c>
      <c r="AJ1674" s="175">
        <v>6</v>
      </c>
      <c r="AK1674" s="175">
        <v>5</v>
      </c>
      <c r="AL1674" s="175">
        <v>4</v>
      </c>
      <c r="AM1674" s="175">
        <v>10</v>
      </c>
      <c r="AN1674" s="175">
        <v>0</v>
      </c>
      <c r="AO1674" s="175">
        <v>25</v>
      </c>
      <c r="AP1674" s="175">
        <v>0</v>
      </c>
      <c r="AQ1674" s="175">
        <v>25</v>
      </c>
      <c r="AR1674" s="175">
        <v>0</v>
      </c>
      <c r="AS1674" s="175">
        <v>0</v>
      </c>
      <c r="AT1674" s="175">
        <v>0</v>
      </c>
    </row>
    <row r="1675" spans="1:46">
      <c r="A1675">
        <v>40126</v>
      </c>
      <c r="B1675" t="s">
        <v>10150</v>
      </c>
      <c r="C1675" t="s">
        <v>10151</v>
      </c>
      <c r="E1675" t="s">
        <v>10152</v>
      </c>
      <c r="F1675" t="s">
        <v>10153</v>
      </c>
      <c r="G1675" t="s">
        <v>1604</v>
      </c>
      <c r="H1675" t="s">
        <v>347</v>
      </c>
      <c r="J1675" t="s">
        <v>605</v>
      </c>
      <c r="K1675" t="s">
        <v>606</v>
      </c>
      <c r="L1675" t="s">
        <v>4273</v>
      </c>
      <c r="M1675" t="s">
        <v>1382</v>
      </c>
      <c r="N1675" t="s">
        <v>625</v>
      </c>
      <c r="O1675" t="s">
        <v>1605</v>
      </c>
      <c r="P1675" t="s">
        <v>670</v>
      </c>
      <c r="Q1675" t="s">
        <v>511</v>
      </c>
      <c r="R1675" t="s">
        <v>1555</v>
      </c>
      <c r="S1675" t="s">
        <v>1604</v>
      </c>
      <c r="T1675" t="s">
        <v>1557</v>
      </c>
      <c r="U1675">
        <v>201001</v>
      </c>
      <c r="V1675" t="s">
        <v>10154</v>
      </c>
      <c r="W1675" t="s">
        <v>1606</v>
      </c>
      <c r="X1675" t="s">
        <v>8511</v>
      </c>
      <c r="Y1675" t="s">
        <v>4276</v>
      </c>
      <c r="Z1675" t="s">
        <v>4277</v>
      </c>
      <c r="AA1675" t="s">
        <v>4278</v>
      </c>
      <c r="AB1675" t="s">
        <v>8512</v>
      </c>
      <c r="AE1675">
        <v>-38.108218360000002</v>
      </c>
      <c r="AF1675">
        <v>176.3206552</v>
      </c>
      <c r="AG1675" s="175">
        <v>25</v>
      </c>
      <c r="AH1675" s="175">
        <v>6</v>
      </c>
      <c r="AI1675" s="175">
        <v>0</v>
      </c>
      <c r="AJ1675" s="175">
        <v>5</v>
      </c>
      <c r="AK1675" s="175">
        <v>3</v>
      </c>
      <c r="AL1675" s="175">
        <v>6</v>
      </c>
      <c r="AM1675" s="175">
        <v>2</v>
      </c>
      <c r="AN1675" s="175">
        <v>0</v>
      </c>
      <c r="AO1675" s="175">
        <v>16</v>
      </c>
      <c r="AP1675" s="175">
        <v>0</v>
      </c>
      <c r="AQ1675" s="175">
        <v>15</v>
      </c>
      <c r="AR1675" s="175">
        <v>1</v>
      </c>
      <c r="AS1675" s="175">
        <v>0</v>
      </c>
      <c r="AT1675" s="175">
        <v>0</v>
      </c>
    </row>
    <row r="1676" spans="1:46">
      <c r="A1676">
        <v>40127</v>
      </c>
      <c r="B1676" t="s">
        <v>10155</v>
      </c>
      <c r="C1676" t="s">
        <v>10156</v>
      </c>
      <c r="E1676" t="s">
        <v>10157</v>
      </c>
      <c r="G1676" t="s">
        <v>10158</v>
      </c>
      <c r="H1676" t="s">
        <v>347</v>
      </c>
      <c r="J1676" t="s">
        <v>605</v>
      </c>
      <c r="K1676" t="s">
        <v>606</v>
      </c>
      <c r="L1676" t="s">
        <v>4273</v>
      </c>
      <c r="M1676" t="s">
        <v>1382</v>
      </c>
      <c r="N1676" t="s">
        <v>625</v>
      </c>
      <c r="O1676" t="s">
        <v>1605</v>
      </c>
      <c r="P1676" t="s">
        <v>626</v>
      </c>
      <c r="Q1676" t="s">
        <v>511</v>
      </c>
      <c r="R1676" t="s">
        <v>1555</v>
      </c>
      <c r="S1676" t="s">
        <v>1604</v>
      </c>
      <c r="T1676" t="s">
        <v>1557</v>
      </c>
      <c r="U1676">
        <v>198700</v>
      </c>
      <c r="V1676" t="s">
        <v>10149</v>
      </c>
      <c r="W1676" t="s">
        <v>1606</v>
      </c>
      <c r="X1676" t="s">
        <v>8511</v>
      </c>
      <c r="Y1676" t="s">
        <v>4276</v>
      </c>
      <c r="Z1676" t="s">
        <v>4277</v>
      </c>
      <c r="AA1676" t="s">
        <v>4278</v>
      </c>
      <c r="AB1676" t="s">
        <v>8512</v>
      </c>
      <c r="AE1676">
        <v>-38.047863589999999</v>
      </c>
      <c r="AF1676">
        <v>176.48403275999999</v>
      </c>
      <c r="AG1676" s="175">
        <v>18</v>
      </c>
      <c r="AH1676" s="175">
        <v>9</v>
      </c>
      <c r="AI1676" s="175">
        <v>0</v>
      </c>
      <c r="AJ1676" s="175">
        <v>4</v>
      </c>
      <c r="AK1676" s="175">
        <v>5</v>
      </c>
      <c r="AL1676" s="175">
        <v>2</v>
      </c>
      <c r="AM1676" s="175">
        <v>4</v>
      </c>
      <c r="AN1676" s="175">
        <v>0</v>
      </c>
      <c r="AO1676" s="175">
        <v>15</v>
      </c>
      <c r="AP1676" s="175">
        <v>0</v>
      </c>
      <c r="AQ1676" s="175">
        <v>14</v>
      </c>
      <c r="AR1676" s="175">
        <v>0</v>
      </c>
      <c r="AS1676" s="175">
        <v>0</v>
      </c>
      <c r="AT1676" s="175">
        <v>1</v>
      </c>
    </row>
    <row r="1677" spans="1:46">
      <c r="A1677">
        <v>40129</v>
      </c>
      <c r="B1677" t="s">
        <v>10159</v>
      </c>
      <c r="C1677" t="s">
        <v>10160</v>
      </c>
      <c r="E1677" t="s">
        <v>10161</v>
      </c>
      <c r="F1677" t="s">
        <v>1688</v>
      </c>
      <c r="G1677" t="s">
        <v>1604</v>
      </c>
      <c r="H1677" t="s">
        <v>347</v>
      </c>
      <c r="J1677" t="s">
        <v>605</v>
      </c>
      <c r="K1677" t="s">
        <v>606</v>
      </c>
      <c r="L1677" t="s">
        <v>4273</v>
      </c>
      <c r="M1677" t="s">
        <v>1382</v>
      </c>
      <c r="N1677" t="s">
        <v>608</v>
      </c>
      <c r="O1677" t="s">
        <v>1605</v>
      </c>
      <c r="P1677" t="s">
        <v>610</v>
      </c>
      <c r="Q1677" t="s">
        <v>511</v>
      </c>
      <c r="R1677" t="s">
        <v>1555</v>
      </c>
      <c r="S1677" t="s">
        <v>1604</v>
      </c>
      <c r="T1677" t="s">
        <v>1557</v>
      </c>
      <c r="U1677">
        <v>198100</v>
      </c>
      <c r="V1677" t="s">
        <v>9950</v>
      </c>
      <c r="W1677" t="s">
        <v>1606</v>
      </c>
      <c r="X1677" t="s">
        <v>8511</v>
      </c>
      <c r="Y1677" t="s">
        <v>4276</v>
      </c>
      <c r="Z1677" t="s">
        <v>4277</v>
      </c>
      <c r="AA1677" t="s">
        <v>4278</v>
      </c>
      <c r="AB1677" t="s">
        <v>8512</v>
      </c>
      <c r="AE1677">
        <v>-38.080306489999998</v>
      </c>
      <c r="AF1677">
        <v>176.21503815</v>
      </c>
      <c r="AG1677" s="175">
        <v>16</v>
      </c>
      <c r="AH1677" s="175">
        <v>4</v>
      </c>
      <c r="AI1677" s="175">
        <v>1</v>
      </c>
      <c r="AJ1677" s="175">
        <v>3</v>
      </c>
      <c r="AK1677" s="175">
        <v>5</v>
      </c>
      <c r="AL1677" s="175">
        <v>3</v>
      </c>
      <c r="AM1677" s="175">
        <v>2</v>
      </c>
      <c r="AN1677" s="175">
        <v>0</v>
      </c>
      <c r="AO1677" s="175">
        <v>14</v>
      </c>
      <c r="AP1677" s="175">
        <v>0</v>
      </c>
      <c r="AQ1677" s="175">
        <v>14</v>
      </c>
      <c r="AR1677" s="175">
        <v>0</v>
      </c>
      <c r="AS1677" s="175">
        <v>0</v>
      </c>
      <c r="AT1677" s="175">
        <v>0</v>
      </c>
    </row>
    <row r="1678" spans="1:46">
      <c r="A1678">
        <v>40130</v>
      </c>
      <c r="B1678" t="s">
        <v>10162</v>
      </c>
      <c r="C1678" t="s">
        <v>10163</v>
      </c>
      <c r="E1678" t="s">
        <v>10164</v>
      </c>
      <c r="G1678" t="s">
        <v>1628</v>
      </c>
      <c r="H1678" t="s">
        <v>347</v>
      </c>
      <c r="J1678" t="s">
        <v>605</v>
      </c>
      <c r="K1678" t="s">
        <v>606</v>
      </c>
      <c r="L1678" t="s">
        <v>4273</v>
      </c>
      <c r="M1678" t="s">
        <v>1382</v>
      </c>
      <c r="N1678" t="s">
        <v>643</v>
      </c>
      <c r="O1678" t="s">
        <v>1629</v>
      </c>
      <c r="P1678" t="s">
        <v>1347</v>
      </c>
      <c r="Q1678" t="s">
        <v>510</v>
      </c>
      <c r="R1678" t="s">
        <v>1555</v>
      </c>
      <c r="S1678" t="s">
        <v>1404</v>
      </c>
      <c r="T1678" t="s">
        <v>1557</v>
      </c>
      <c r="U1678">
        <v>189101</v>
      </c>
      <c r="V1678" t="s">
        <v>9894</v>
      </c>
      <c r="W1678" t="s">
        <v>1631</v>
      </c>
      <c r="X1678" t="s">
        <v>8511</v>
      </c>
      <c r="Y1678" t="s">
        <v>4276</v>
      </c>
      <c r="Z1678" t="s">
        <v>4277</v>
      </c>
      <c r="AA1678" t="s">
        <v>4278</v>
      </c>
      <c r="AB1678" t="s">
        <v>8512</v>
      </c>
      <c r="AE1678">
        <v>-38.691540799999999</v>
      </c>
      <c r="AF1678">
        <v>176.10115880000001</v>
      </c>
      <c r="AG1678" s="175">
        <v>35</v>
      </c>
      <c r="AH1678" s="175">
        <v>9</v>
      </c>
      <c r="AI1678" s="175">
        <v>2</v>
      </c>
      <c r="AJ1678" s="175">
        <v>7</v>
      </c>
      <c r="AK1678" s="175">
        <v>4</v>
      </c>
      <c r="AL1678" s="175">
        <v>5</v>
      </c>
      <c r="AM1678" s="175">
        <v>4</v>
      </c>
      <c r="AN1678" s="175">
        <v>0</v>
      </c>
      <c r="AO1678" s="175">
        <v>22</v>
      </c>
      <c r="AP1678" s="175">
        <v>0</v>
      </c>
      <c r="AQ1678" s="175">
        <v>20</v>
      </c>
      <c r="AR1678" s="175">
        <v>0</v>
      </c>
      <c r="AS1678" s="175">
        <v>0</v>
      </c>
      <c r="AT1678" s="175">
        <v>2</v>
      </c>
    </row>
    <row r="1679" spans="1:46">
      <c r="A1679">
        <v>40132</v>
      </c>
      <c r="B1679" t="s">
        <v>10165</v>
      </c>
      <c r="C1679" t="s">
        <v>10166</v>
      </c>
      <c r="E1679" t="s">
        <v>10167</v>
      </c>
      <c r="F1679" t="s">
        <v>8517</v>
      </c>
      <c r="G1679" t="s">
        <v>1628</v>
      </c>
      <c r="H1679" t="s">
        <v>347</v>
      </c>
      <c r="J1679" t="s">
        <v>605</v>
      </c>
      <c r="K1679" t="s">
        <v>606</v>
      </c>
      <c r="L1679" t="s">
        <v>4273</v>
      </c>
      <c r="M1679" t="s">
        <v>1382</v>
      </c>
      <c r="N1679" t="s">
        <v>608</v>
      </c>
      <c r="O1679" t="s">
        <v>1629</v>
      </c>
      <c r="P1679" t="s">
        <v>1347</v>
      </c>
      <c r="Q1679" t="s">
        <v>510</v>
      </c>
      <c r="R1679" t="s">
        <v>1555</v>
      </c>
      <c r="S1679" t="s">
        <v>1404</v>
      </c>
      <c r="T1679" t="s">
        <v>1557</v>
      </c>
      <c r="U1679">
        <v>188501</v>
      </c>
      <c r="V1679" t="s">
        <v>8517</v>
      </c>
      <c r="W1679" t="s">
        <v>1631</v>
      </c>
      <c r="X1679" t="s">
        <v>8511</v>
      </c>
      <c r="Y1679" t="s">
        <v>4276</v>
      </c>
      <c r="Z1679" t="s">
        <v>4277</v>
      </c>
      <c r="AA1679" t="s">
        <v>4278</v>
      </c>
      <c r="AB1679" t="s">
        <v>8512</v>
      </c>
      <c r="AE1679">
        <v>-38.682615650000002</v>
      </c>
      <c r="AF1679">
        <v>176.06095995999999</v>
      </c>
      <c r="AG1679" s="175">
        <v>15</v>
      </c>
      <c r="AH1679" s="175">
        <v>5</v>
      </c>
      <c r="AI1679" s="175">
        <v>0</v>
      </c>
      <c r="AJ1679" s="175">
        <v>1</v>
      </c>
      <c r="AK1679" s="175">
        <v>3</v>
      </c>
      <c r="AL1679" s="175">
        <v>0</v>
      </c>
      <c r="AM1679" s="175">
        <v>3</v>
      </c>
      <c r="AN1679" s="175">
        <v>0</v>
      </c>
      <c r="AO1679" s="175">
        <v>7</v>
      </c>
      <c r="AP1679" s="175">
        <v>0</v>
      </c>
      <c r="AQ1679" s="175">
        <v>7</v>
      </c>
      <c r="AR1679" s="175">
        <v>0</v>
      </c>
      <c r="AS1679" s="175">
        <v>0</v>
      </c>
      <c r="AT1679" s="175">
        <v>0</v>
      </c>
    </row>
    <row r="1680" spans="1:46">
      <c r="A1680">
        <v>40133</v>
      </c>
      <c r="B1680" t="s">
        <v>10168</v>
      </c>
      <c r="C1680" t="s">
        <v>10169</v>
      </c>
      <c r="E1680" t="s">
        <v>9812</v>
      </c>
      <c r="G1680" t="s">
        <v>10170</v>
      </c>
      <c r="H1680" t="s">
        <v>347</v>
      </c>
      <c r="J1680" t="s">
        <v>605</v>
      </c>
      <c r="K1680" t="s">
        <v>606</v>
      </c>
      <c r="L1680" t="s">
        <v>4273</v>
      </c>
      <c r="M1680" t="s">
        <v>1382</v>
      </c>
      <c r="N1680" t="s">
        <v>812</v>
      </c>
      <c r="O1680" t="s">
        <v>1629</v>
      </c>
      <c r="P1680" t="s">
        <v>626</v>
      </c>
      <c r="Q1680" t="s">
        <v>510</v>
      </c>
      <c r="R1680" t="s">
        <v>1555</v>
      </c>
      <c r="S1680" t="s">
        <v>1404</v>
      </c>
      <c r="T1680" t="s">
        <v>1557</v>
      </c>
      <c r="U1680">
        <v>189600</v>
      </c>
      <c r="V1680" t="s">
        <v>10170</v>
      </c>
      <c r="W1680" t="s">
        <v>1631</v>
      </c>
      <c r="X1680" t="s">
        <v>8511</v>
      </c>
      <c r="Y1680" t="s">
        <v>4276</v>
      </c>
      <c r="Z1680" t="s">
        <v>4277</v>
      </c>
      <c r="AA1680" t="s">
        <v>4278</v>
      </c>
      <c r="AB1680" t="s">
        <v>8512</v>
      </c>
      <c r="AE1680">
        <v>-38.788114200000003</v>
      </c>
      <c r="AF1680">
        <v>176.07682611999999</v>
      </c>
      <c r="AG1680" s="175">
        <v>30</v>
      </c>
      <c r="AH1680" s="175">
        <v>8</v>
      </c>
      <c r="AI1680" s="175">
        <v>2</v>
      </c>
      <c r="AJ1680" s="175">
        <v>4</v>
      </c>
      <c r="AK1680" s="175">
        <v>6</v>
      </c>
      <c r="AL1680" s="175">
        <v>8</v>
      </c>
      <c r="AM1680" s="175">
        <v>5</v>
      </c>
      <c r="AN1680" s="175">
        <v>0</v>
      </c>
      <c r="AO1680" s="175">
        <v>25</v>
      </c>
      <c r="AP1680" s="175">
        <v>0</v>
      </c>
      <c r="AQ1680" s="175">
        <v>25</v>
      </c>
      <c r="AR1680" s="175">
        <v>0</v>
      </c>
      <c r="AS1680" s="175">
        <v>0</v>
      </c>
      <c r="AT1680" s="175">
        <v>0</v>
      </c>
    </row>
    <row r="1681" spans="1:46">
      <c r="A1681">
        <v>40137</v>
      </c>
      <c r="B1681" t="s">
        <v>10171</v>
      </c>
      <c r="C1681" t="s">
        <v>10172</v>
      </c>
      <c r="E1681" t="s">
        <v>10173</v>
      </c>
      <c r="G1681" t="s">
        <v>1761</v>
      </c>
      <c r="H1681" t="s">
        <v>347</v>
      </c>
      <c r="J1681" t="s">
        <v>605</v>
      </c>
      <c r="K1681" t="s">
        <v>606</v>
      </c>
      <c r="L1681" t="s">
        <v>4273</v>
      </c>
      <c r="M1681" t="s">
        <v>1382</v>
      </c>
      <c r="N1681" t="s">
        <v>608</v>
      </c>
      <c r="O1681" t="s">
        <v>1629</v>
      </c>
      <c r="P1681" t="s">
        <v>658</v>
      </c>
      <c r="Q1681" t="s">
        <v>510</v>
      </c>
      <c r="R1681" t="s">
        <v>1555</v>
      </c>
      <c r="S1681" t="s">
        <v>1404</v>
      </c>
      <c r="T1681" t="s">
        <v>1557</v>
      </c>
      <c r="U1681">
        <v>187900</v>
      </c>
      <c r="V1681" t="s">
        <v>10174</v>
      </c>
      <c r="W1681" t="s">
        <v>1763</v>
      </c>
      <c r="X1681" t="s">
        <v>8511</v>
      </c>
      <c r="Y1681" t="s">
        <v>4276</v>
      </c>
      <c r="Z1681" t="s">
        <v>4277</v>
      </c>
      <c r="AA1681" t="s">
        <v>4278</v>
      </c>
      <c r="AB1681" t="s">
        <v>8512</v>
      </c>
      <c r="AE1681">
        <v>-39.036970789999998</v>
      </c>
      <c r="AF1681">
        <v>175.65054764999999</v>
      </c>
      <c r="AG1681" s="175">
        <v>18</v>
      </c>
      <c r="AH1681" s="175">
        <v>6</v>
      </c>
      <c r="AI1681" s="175">
        <v>0</v>
      </c>
      <c r="AJ1681" s="175">
        <v>5</v>
      </c>
      <c r="AK1681" s="175">
        <v>4</v>
      </c>
      <c r="AL1681" s="175">
        <v>2</v>
      </c>
      <c r="AM1681" s="175">
        <v>1</v>
      </c>
      <c r="AN1681" s="175">
        <v>0</v>
      </c>
      <c r="AO1681" s="175">
        <v>12</v>
      </c>
      <c r="AP1681" s="175">
        <v>0</v>
      </c>
      <c r="AQ1681" s="175">
        <v>12</v>
      </c>
      <c r="AR1681" s="175">
        <v>0</v>
      </c>
      <c r="AS1681" s="175">
        <v>0</v>
      </c>
      <c r="AT1681" s="175">
        <v>0</v>
      </c>
    </row>
    <row r="1682" spans="1:46">
      <c r="A1682">
        <v>40139</v>
      </c>
      <c r="B1682" t="s">
        <v>10175</v>
      </c>
      <c r="C1682" t="s">
        <v>10176</v>
      </c>
      <c r="E1682" t="s">
        <v>10177</v>
      </c>
      <c r="G1682" t="s">
        <v>1761</v>
      </c>
      <c r="H1682" t="s">
        <v>347</v>
      </c>
      <c r="J1682" t="s">
        <v>605</v>
      </c>
      <c r="K1682" t="s">
        <v>606</v>
      </c>
      <c r="L1682" t="s">
        <v>4273</v>
      </c>
      <c r="M1682" t="s">
        <v>1382</v>
      </c>
      <c r="N1682" t="s">
        <v>608</v>
      </c>
      <c r="O1682" t="s">
        <v>1629</v>
      </c>
      <c r="P1682" t="s">
        <v>658</v>
      </c>
      <c r="Q1682" t="s">
        <v>510</v>
      </c>
      <c r="R1682" t="s">
        <v>1555</v>
      </c>
      <c r="S1682" t="s">
        <v>1404</v>
      </c>
      <c r="T1682" t="s">
        <v>1557</v>
      </c>
      <c r="U1682">
        <v>187900</v>
      </c>
      <c r="V1682" t="s">
        <v>10174</v>
      </c>
      <c r="W1682" t="s">
        <v>1763</v>
      </c>
      <c r="X1682" t="s">
        <v>8511</v>
      </c>
      <c r="Y1682" t="s">
        <v>4276</v>
      </c>
      <c r="Z1682" t="s">
        <v>4277</v>
      </c>
      <c r="AA1682" t="s">
        <v>4278</v>
      </c>
      <c r="AB1682" t="s">
        <v>8512</v>
      </c>
      <c r="AE1682">
        <v>-38.957187490000003</v>
      </c>
      <c r="AF1682">
        <v>175.86392785000001</v>
      </c>
      <c r="AG1682" s="175">
        <v>20</v>
      </c>
      <c r="AH1682" s="175">
        <v>8</v>
      </c>
      <c r="AI1682" s="175">
        <v>1</v>
      </c>
      <c r="AJ1682" s="175">
        <v>0</v>
      </c>
      <c r="AK1682" s="175">
        <v>4</v>
      </c>
      <c r="AL1682" s="175">
        <v>3</v>
      </c>
      <c r="AM1682" s="175">
        <v>2</v>
      </c>
      <c r="AN1682" s="175">
        <v>0</v>
      </c>
      <c r="AO1682" s="175">
        <v>10</v>
      </c>
      <c r="AP1682" s="175">
        <v>0</v>
      </c>
      <c r="AQ1682" s="175">
        <v>9</v>
      </c>
      <c r="AR1682" s="175">
        <v>0</v>
      </c>
      <c r="AS1682" s="175">
        <v>0</v>
      </c>
      <c r="AT1682" s="175">
        <v>1</v>
      </c>
    </row>
    <row r="1683" spans="1:46">
      <c r="A1683">
        <v>40140</v>
      </c>
      <c r="B1683" t="s">
        <v>10178</v>
      </c>
      <c r="C1683" t="s">
        <v>10179</v>
      </c>
      <c r="E1683" t="s">
        <v>10180</v>
      </c>
      <c r="F1683" t="s">
        <v>8517</v>
      </c>
      <c r="G1683" t="s">
        <v>1628</v>
      </c>
      <c r="H1683" t="s">
        <v>347</v>
      </c>
      <c r="J1683" t="s">
        <v>605</v>
      </c>
      <c r="K1683" t="s">
        <v>606</v>
      </c>
      <c r="L1683" t="s">
        <v>4273</v>
      </c>
      <c r="M1683" t="s">
        <v>1382</v>
      </c>
      <c r="N1683" t="s">
        <v>625</v>
      </c>
      <c r="O1683" t="s">
        <v>1629</v>
      </c>
      <c r="P1683" t="s">
        <v>1347</v>
      </c>
      <c r="Q1683" t="s">
        <v>510</v>
      </c>
      <c r="R1683" t="s">
        <v>1555</v>
      </c>
      <c r="S1683" t="s">
        <v>1404</v>
      </c>
      <c r="T1683" t="s">
        <v>1557</v>
      </c>
      <c r="U1683">
        <v>188501</v>
      </c>
      <c r="V1683" t="s">
        <v>8517</v>
      </c>
      <c r="W1683" t="s">
        <v>1631</v>
      </c>
      <c r="X1683" t="s">
        <v>8511</v>
      </c>
      <c r="Y1683" t="s">
        <v>4276</v>
      </c>
      <c r="Z1683" t="s">
        <v>4277</v>
      </c>
      <c r="AA1683" t="s">
        <v>4278</v>
      </c>
      <c r="AB1683" t="s">
        <v>8512</v>
      </c>
      <c r="AE1683">
        <v>-38.684249649999998</v>
      </c>
      <c r="AF1683">
        <v>176.06218677000001</v>
      </c>
      <c r="AG1683" s="175">
        <v>20</v>
      </c>
      <c r="AH1683" s="175">
        <v>5</v>
      </c>
      <c r="AI1683" s="175">
        <v>0</v>
      </c>
      <c r="AJ1683" s="175">
        <v>4</v>
      </c>
      <c r="AK1683" s="175">
        <v>3</v>
      </c>
      <c r="AL1683" s="175">
        <v>7</v>
      </c>
      <c r="AM1683" s="175">
        <v>1</v>
      </c>
      <c r="AN1683" s="175">
        <v>0</v>
      </c>
      <c r="AO1683" s="175">
        <v>15</v>
      </c>
      <c r="AP1683" s="175">
        <v>0</v>
      </c>
      <c r="AQ1683" s="175">
        <v>15</v>
      </c>
      <c r="AR1683" s="175">
        <v>0</v>
      </c>
      <c r="AS1683" s="175">
        <v>0</v>
      </c>
      <c r="AT1683" s="175">
        <v>0</v>
      </c>
    </row>
    <row r="1684" spans="1:46">
      <c r="A1684">
        <v>40141</v>
      </c>
      <c r="B1684" t="s">
        <v>10181</v>
      </c>
      <c r="C1684" t="s">
        <v>10182</v>
      </c>
      <c r="E1684" t="s">
        <v>10183</v>
      </c>
      <c r="G1684" t="s">
        <v>9888</v>
      </c>
      <c r="H1684" t="s">
        <v>347</v>
      </c>
      <c r="J1684" t="s">
        <v>605</v>
      </c>
      <c r="K1684" t="s">
        <v>606</v>
      </c>
      <c r="L1684" t="s">
        <v>4273</v>
      </c>
      <c r="M1684" t="s">
        <v>1382</v>
      </c>
      <c r="N1684" t="s">
        <v>643</v>
      </c>
      <c r="O1684" t="s">
        <v>1605</v>
      </c>
      <c r="P1684" t="s">
        <v>658</v>
      </c>
      <c r="Q1684" t="s">
        <v>510</v>
      </c>
      <c r="R1684" t="s">
        <v>1555</v>
      </c>
      <c r="S1684" t="s">
        <v>1604</v>
      </c>
      <c r="T1684" t="s">
        <v>1557</v>
      </c>
      <c r="U1684">
        <v>201800</v>
      </c>
      <c r="V1684" t="s">
        <v>9889</v>
      </c>
      <c r="W1684" t="s">
        <v>9890</v>
      </c>
      <c r="X1684" t="s">
        <v>8511</v>
      </c>
      <c r="Y1684" t="s">
        <v>4276</v>
      </c>
      <c r="Z1684" t="s">
        <v>4277</v>
      </c>
      <c r="AA1684" t="s">
        <v>4278</v>
      </c>
      <c r="AB1684" t="s">
        <v>8512</v>
      </c>
      <c r="AE1684">
        <v>-38.432049839999998</v>
      </c>
      <c r="AF1684">
        <v>176.31996556000001</v>
      </c>
      <c r="AG1684" s="175">
        <v>15</v>
      </c>
      <c r="AH1684" s="175">
        <v>6</v>
      </c>
      <c r="AI1684" s="175">
        <v>1</v>
      </c>
      <c r="AJ1684" s="175">
        <v>3</v>
      </c>
      <c r="AK1684" s="175">
        <v>4</v>
      </c>
      <c r="AL1684" s="175">
        <v>4</v>
      </c>
      <c r="AM1684" s="175">
        <v>1</v>
      </c>
      <c r="AN1684" s="175">
        <v>0</v>
      </c>
      <c r="AO1684" s="175">
        <v>13</v>
      </c>
      <c r="AP1684" s="175">
        <v>0</v>
      </c>
      <c r="AQ1684" s="175">
        <v>13</v>
      </c>
      <c r="AR1684" s="175">
        <v>0</v>
      </c>
      <c r="AS1684" s="175">
        <v>0</v>
      </c>
      <c r="AT1684" s="175">
        <v>0</v>
      </c>
    </row>
    <row r="1685" spans="1:46">
      <c r="A1685">
        <v>40143</v>
      </c>
      <c r="B1685" t="s">
        <v>10184</v>
      </c>
      <c r="C1685" t="s">
        <v>10185</v>
      </c>
      <c r="E1685" t="s">
        <v>10186</v>
      </c>
      <c r="F1685" t="s">
        <v>10187</v>
      </c>
      <c r="G1685" t="s">
        <v>1681</v>
      </c>
      <c r="H1685" t="s">
        <v>347</v>
      </c>
      <c r="J1685" t="s">
        <v>605</v>
      </c>
      <c r="K1685" t="s">
        <v>606</v>
      </c>
      <c r="L1685" t="s">
        <v>4273</v>
      </c>
      <c r="M1685" t="s">
        <v>1382</v>
      </c>
      <c r="N1685" t="s">
        <v>608</v>
      </c>
      <c r="O1685" t="s">
        <v>1780</v>
      </c>
      <c r="P1685" t="s">
        <v>739</v>
      </c>
      <c r="Q1685" t="s">
        <v>511</v>
      </c>
      <c r="R1685" t="s">
        <v>1555</v>
      </c>
      <c r="S1685" t="s">
        <v>1781</v>
      </c>
      <c r="T1685" t="s">
        <v>1557</v>
      </c>
      <c r="U1685">
        <v>196000</v>
      </c>
      <c r="V1685" t="s">
        <v>10187</v>
      </c>
      <c r="W1685" t="s">
        <v>1813</v>
      </c>
      <c r="X1685" t="s">
        <v>10188</v>
      </c>
      <c r="Y1685" t="s">
        <v>4276</v>
      </c>
      <c r="Z1685" t="s">
        <v>4277</v>
      </c>
      <c r="AA1685" t="s">
        <v>4278</v>
      </c>
      <c r="AB1685" t="s">
        <v>10189</v>
      </c>
      <c r="AE1685">
        <v>-37.724073740000001</v>
      </c>
      <c r="AF1685">
        <v>176.16542451000001</v>
      </c>
      <c r="AG1685" s="175">
        <v>35</v>
      </c>
      <c r="AH1685" s="175">
        <v>14</v>
      </c>
      <c r="AI1685" s="175">
        <v>0</v>
      </c>
      <c r="AJ1685" s="175">
        <v>3</v>
      </c>
      <c r="AK1685" s="175">
        <v>6</v>
      </c>
      <c r="AL1685" s="175">
        <v>9</v>
      </c>
      <c r="AM1685" s="175">
        <v>4</v>
      </c>
      <c r="AN1685" s="175">
        <v>0</v>
      </c>
      <c r="AO1685" s="175">
        <v>22</v>
      </c>
      <c r="AP1685" s="175">
        <v>0</v>
      </c>
      <c r="AQ1685" s="175">
        <v>22</v>
      </c>
      <c r="AR1685" s="175">
        <v>0</v>
      </c>
      <c r="AS1685" s="175">
        <v>0</v>
      </c>
      <c r="AT1685" s="175">
        <v>0</v>
      </c>
    </row>
    <row r="1686" spans="1:46">
      <c r="A1686">
        <v>40144</v>
      </c>
      <c r="B1686" t="s">
        <v>10190</v>
      </c>
      <c r="C1686" t="s">
        <v>10191</v>
      </c>
      <c r="E1686" t="s">
        <v>10192</v>
      </c>
      <c r="F1686" t="s">
        <v>8536</v>
      </c>
      <c r="G1686" t="s">
        <v>1681</v>
      </c>
      <c r="H1686" t="s">
        <v>347</v>
      </c>
      <c r="J1686" t="s">
        <v>605</v>
      </c>
      <c r="K1686" t="s">
        <v>606</v>
      </c>
      <c r="L1686" t="s">
        <v>4273</v>
      </c>
      <c r="M1686" t="s">
        <v>1382</v>
      </c>
      <c r="N1686" t="s">
        <v>625</v>
      </c>
      <c r="O1686" t="s">
        <v>1780</v>
      </c>
      <c r="P1686" t="s">
        <v>739</v>
      </c>
      <c r="Q1686" t="s">
        <v>511</v>
      </c>
      <c r="R1686" t="s">
        <v>1555</v>
      </c>
      <c r="S1686" t="s">
        <v>1681</v>
      </c>
      <c r="T1686" t="s">
        <v>1557</v>
      </c>
      <c r="U1686">
        <v>193000</v>
      </c>
      <c r="V1686" t="s">
        <v>10193</v>
      </c>
      <c r="W1686" t="s">
        <v>1791</v>
      </c>
      <c r="X1686" t="s">
        <v>10188</v>
      </c>
      <c r="Y1686" t="s">
        <v>4276</v>
      </c>
      <c r="Z1686" t="s">
        <v>4277</v>
      </c>
      <c r="AA1686" t="s">
        <v>4278</v>
      </c>
      <c r="AB1686" t="s">
        <v>10189</v>
      </c>
      <c r="AE1686">
        <v>-37.681939059999998</v>
      </c>
      <c r="AF1686">
        <v>176.10828463999999</v>
      </c>
      <c r="AG1686" s="175">
        <v>30</v>
      </c>
      <c r="AH1686" s="175">
        <v>8</v>
      </c>
      <c r="AI1686" s="175">
        <v>0</v>
      </c>
      <c r="AJ1686" s="175">
        <v>4</v>
      </c>
      <c r="AK1686" s="175">
        <v>8</v>
      </c>
      <c r="AL1686" s="175">
        <v>2</v>
      </c>
      <c r="AM1686" s="175">
        <v>1</v>
      </c>
      <c r="AN1686" s="175">
        <v>0</v>
      </c>
      <c r="AO1686" s="175">
        <v>15</v>
      </c>
      <c r="AP1686" s="175">
        <v>0</v>
      </c>
      <c r="AQ1686" s="175">
        <v>15</v>
      </c>
      <c r="AR1686" s="175">
        <v>0</v>
      </c>
      <c r="AS1686" s="175">
        <v>0</v>
      </c>
      <c r="AT1686" s="175">
        <v>0</v>
      </c>
    </row>
    <row r="1687" spans="1:46">
      <c r="A1687">
        <v>40145</v>
      </c>
      <c r="B1687" t="s">
        <v>10194</v>
      </c>
      <c r="C1687" t="s">
        <v>10195</v>
      </c>
      <c r="E1687" t="s">
        <v>10196</v>
      </c>
      <c r="G1687" t="s">
        <v>10197</v>
      </c>
      <c r="H1687" t="s">
        <v>347</v>
      </c>
      <c r="J1687" t="s">
        <v>605</v>
      </c>
      <c r="K1687" t="s">
        <v>606</v>
      </c>
      <c r="L1687" t="s">
        <v>4273</v>
      </c>
      <c r="M1687" t="s">
        <v>1382</v>
      </c>
      <c r="N1687" t="s">
        <v>812</v>
      </c>
      <c r="O1687" t="s">
        <v>1825</v>
      </c>
      <c r="P1687" t="s">
        <v>658</v>
      </c>
      <c r="Q1687" t="s">
        <v>511</v>
      </c>
      <c r="R1687" t="s">
        <v>1555</v>
      </c>
      <c r="S1687" t="s">
        <v>1522</v>
      </c>
      <c r="T1687" t="s">
        <v>1557</v>
      </c>
      <c r="U1687">
        <v>190800</v>
      </c>
      <c r="V1687" t="s">
        <v>10197</v>
      </c>
      <c r="W1687" t="s">
        <v>3860</v>
      </c>
      <c r="X1687" t="s">
        <v>10188</v>
      </c>
      <c r="Y1687" t="s">
        <v>4276</v>
      </c>
      <c r="Z1687" t="s">
        <v>4277</v>
      </c>
      <c r="AA1687" t="s">
        <v>4278</v>
      </c>
      <c r="AB1687" t="s">
        <v>10189</v>
      </c>
      <c r="AE1687">
        <v>-37.613680590000001</v>
      </c>
      <c r="AF1687">
        <v>176.07753550000001</v>
      </c>
      <c r="AG1687" s="175">
        <v>25</v>
      </c>
      <c r="AH1687" s="175">
        <v>4</v>
      </c>
      <c r="AI1687" s="175">
        <v>1</v>
      </c>
      <c r="AJ1687" s="175">
        <v>2</v>
      </c>
      <c r="AK1687" s="175">
        <v>1</v>
      </c>
      <c r="AL1687" s="175">
        <v>6</v>
      </c>
      <c r="AM1687" s="175">
        <v>2</v>
      </c>
      <c r="AN1687" s="175">
        <v>0</v>
      </c>
      <c r="AO1687" s="175">
        <v>12</v>
      </c>
      <c r="AP1687" s="175">
        <v>0</v>
      </c>
      <c r="AQ1687" s="175">
        <v>11</v>
      </c>
      <c r="AR1687" s="175">
        <v>0</v>
      </c>
      <c r="AS1687" s="175">
        <v>0</v>
      </c>
      <c r="AT1687" s="175">
        <v>1</v>
      </c>
    </row>
    <row r="1688" spans="1:46">
      <c r="A1688">
        <v>40146</v>
      </c>
      <c r="B1688" t="s">
        <v>10198</v>
      </c>
      <c r="C1688" t="s">
        <v>10199</v>
      </c>
      <c r="E1688" t="s">
        <v>10200</v>
      </c>
      <c r="F1688" t="s">
        <v>1681</v>
      </c>
      <c r="G1688" t="s">
        <v>1681</v>
      </c>
      <c r="H1688" t="s">
        <v>347</v>
      </c>
      <c r="J1688" t="s">
        <v>605</v>
      </c>
      <c r="K1688" t="s">
        <v>606</v>
      </c>
      <c r="L1688" t="s">
        <v>4273</v>
      </c>
      <c r="M1688" t="s">
        <v>1382</v>
      </c>
      <c r="N1688" t="s">
        <v>608</v>
      </c>
      <c r="O1688" t="s">
        <v>1780</v>
      </c>
      <c r="P1688" t="s">
        <v>739</v>
      </c>
      <c r="Q1688" t="s">
        <v>511</v>
      </c>
      <c r="R1688" t="s">
        <v>1555</v>
      </c>
      <c r="S1688" t="s">
        <v>1781</v>
      </c>
      <c r="T1688" t="s">
        <v>1557</v>
      </c>
      <c r="U1688">
        <v>195000</v>
      </c>
      <c r="V1688" t="s">
        <v>10201</v>
      </c>
      <c r="W1688" t="s">
        <v>1806</v>
      </c>
      <c r="X1688" t="s">
        <v>10188</v>
      </c>
      <c r="Y1688" t="s">
        <v>4276</v>
      </c>
      <c r="Z1688" t="s">
        <v>4277</v>
      </c>
      <c r="AA1688" t="s">
        <v>4278</v>
      </c>
      <c r="AB1688" t="s">
        <v>10189</v>
      </c>
      <c r="AE1688">
        <v>-37.697287209999999</v>
      </c>
      <c r="AF1688">
        <v>176.19464517</v>
      </c>
      <c r="AG1688" s="175">
        <v>52</v>
      </c>
      <c r="AH1688" s="175">
        <v>15</v>
      </c>
      <c r="AI1688" s="175">
        <v>0</v>
      </c>
      <c r="AJ1688" s="175">
        <v>3</v>
      </c>
      <c r="AK1688" s="175">
        <v>11</v>
      </c>
      <c r="AL1688" s="175">
        <v>9</v>
      </c>
      <c r="AM1688" s="175">
        <v>13</v>
      </c>
      <c r="AN1688" s="175">
        <v>0</v>
      </c>
      <c r="AO1688" s="175">
        <v>36</v>
      </c>
      <c r="AP1688" s="175">
        <v>0</v>
      </c>
      <c r="AQ1688" s="175">
        <v>36</v>
      </c>
      <c r="AR1688" s="175">
        <v>0</v>
      </c>
      <c r="AS1688" s="175">
        <v>0</v>
      </c>
      <c r="AT1688" s="175">
        <v>0</v>
      </c>
    </row>
    <row r="1689" spans="1:46">
      <c r="A1689">
        <v>40147</v>
      </c>
      <c r="B1689" t="s">
        <v>10202</v>
      </c>
      <c r="C1689" t="s">
        <v>10203</v>
      </c>
      <c r="E1689" t="s">
        <v>10204</v>
      </c>
      <c r="G1689" t="s">
        <v>9801</v>
      </c>
      <c r="H1689" t="s">
        <v>347</v>
      </c>
      <c r="J1689" t="s">
        <v>605</v>
      </c>
      <c r="K1689" t="s">
        <v>606</v>
      </c>
      <c r="L1689" t="s">
        <v>4273</v>
      </c>
      <c r="M1689" t="s">
        <v>1382</v>
      </c>
      <c r="N1689" t="s">
        <v>643</v>
      </c>
      <c r="O1689" t="s">
        <v>1825</v>
      </c>
      <c r="P1689" t="s">
        <v>658</v>
      </c>
      <c r="Q1689" t="s">
        <v>511</v>
      </c>
      <c r="R1689" t="s">
        <v>1555</v>
      </c>
      <c r="S1689" t="s">
        <v>1781</v>
      </c>
      <c r="T1689" t="s">
        <v>1557</v>
      </c>
      <c r="U1689">
        <v>191201</v>
      </c>
      <c r="V1689" t="s">
        <v>9801</v>
      </c>
      <c r="W1689" t="s">
        <v>8823</v>
      </c>
      <c r="X1689" t="s">
        <v>10188</v>
      </c>
      <c r="Y1689" t="s">
        <v>4276</v>
      </c>
      <c r="Z1689" t="s">
        <v>4277</v>
      </c>
      <c r="AA1689" t="s">
        <v>4278</v>
      </c>
      <c r="AB1689" t="s">
        <v>10189</v>
      </c>
      <c r="AE1689">
        <v>-37.666797629999998</v>
      </c>
      <c r="AF1689">
        <v>176.07984101</v>
      </c>
      <c r="AG1689" s="175">
        <v>35</v>
      </c>
      <c r="AH1689" s="175">
        <v>10</v>
      </c>
      <c r="AI1689" s="175">
        <v>0</v>
      </c>
      <c r="AJ1689" s="175">
        <v>1</v>
      </c>
      <c r="AK1689" s="175">
        <v>6</v>
      </c>
      <c r="AL1689" s="175">
        <v>4</v>
      </c>
      <c r="AM1689" s="175">
        <v>3</v>
      </c>
      <c r="AN1689" s="175">
        <v>0</v>
      </c>
      <c r="AO1689" s="175">
        <v>14</v>
      </c>
      <c r="AP1689" s="175">
        <v>0</v>
      </c>
      <c r="AQ1689" s="175">
        <v>14</v>
      </c>
      <c r="AR1689" s="175">
        <v>0</v>
      </c>
      <c r="AS1689" s="175">
        <v>0</v>
      </c>
      <c r="AT1689" s="175">
        <v>0</v>
      </c>
    </row>
    <row r="1690" spans="1:46">
      <c r="A1690">
        <v>40148</v>
      </c>
      <c r="B1690" t="s">
        <v>10205</v>
      </c>
      <c r="C1690" t="s">
        <v>10206</v>
      </c>
      <c r="E1690" t="s">
        <v>10207</v>
      </c>
      <c r="F1690" t="s">
        <v>10208</v>
      </c>
      <c r="G1690" t="s">
        <v>1681</v>
      </c>
      <c r="H1690" t="s">
        <v>347</v>
      </c>
      <c r="J1690" t="s">
        <v>605</v>
      </c>
      <c r="K1690" t="s">
        <v>606</v>
      </c>
      <c r="L1690" t="s">
        <v>4273</v>
      </c>
      <c r="M1690" t="s">
        <v>1382</v>
      </c>
      <c r="N1690" t="s">
        <v>812</v>
      </c>
      <c r="O1690" t="s">
        <v>1780</v>
      </c>
      <c r="P1690" t="s">
        <v>739</v>
      </c>
      <c r="Q1690" t="s">
        <v>511</v>
      </c>
      <c r="R1690" t="s">
        <v>1555</v>
      </c>
      <c r="S1690" t="s">
        <v>1681</v>
      </c>
      <c r="T1690" t="s">
        <v>1557</v>
      </c>
      <c r="U1690">
        <v>195300</v>
      </c>
      <c r="V1690" t="s">
        <v>10209</v>
      </c>
      <c r="W1690" t="s">
        <v>3795</v>
      </c>
      <c r="X1690" t="s">
        <v>10188</v>
      </c>
      <c r="Y1690" t="s">
        <v>4276</v>
      </c>
      <c r="Z1690" t="s">
        <v>4277</v>
      </c>
      <c r="AA1690" t="s">
        <v>4278</v>
      </c>
      <c r="AB1690" t="s">
        <v>10189</v>
      </c>
      <c r="AE1690">
        <v>-37.722116100000001</v>
      </c>
      <c r="AF1690">
        <v>176.14292602</v>
      </c>
      <c r="AG1690" s="175">
        <v>20</v>
      </c>
      <c r="AH1690" s="175">
        <v>6</v>
      </c>
      <c r="AI1690" s="175">
        <v>1</v>
      </c>
      <c r="AJ1690" s="175">
        <v>4</v>
      </c>
      <c r="AK1690" s="175">
        <v>4</v>
      </c>
      <c r="AL1690" s="175">
        <v>4</v>
      </c>
      <c r="AM1690" s="175">
        <v>3</v>
      </c>
      <c r="AN1690" s="175">
        <v>0</v>
      </c>
      <c r="AO1690" s="175">
        <v>16</v>
      </c>
      <c r="AP1690" s="175">
        <v>0</v>
      </c>
      <c r="AQ1690" s="175">
        <v>15</v>
      </c>
      <c r="AR1690" s="175">
        <v>0</v>
      </c>
      <c r="AS1690" s="175">
        <v>0</v>
      </c>
      <c r="AT1690" s="175">
        <v>1</v>
      </c>
    </row>
    <row r="1691" spans="1:46">
      <c r="A1691">
        <v>40149</v>
      </c>
      <c r="B1691" t="s">
        <v>10210</v>
      </c>
      <c r="C1691" t="s">
        <v>10211</v>
      </c>
      <c r="E1691" t="s">
        <v>10212</v>
      </c>
      <c r="G1691" t="s">
        <v>9801</v>
      </c>
      <c r="H1691" t="s">
        <v>347</v>
      </c>
      <c r="J1691" t="s">
        <v>605</v>
      </c>
      <c r="K1691" t="s">
        <v>606</v>
      </c>
      <c r="L1691" t="s">
        <v>4273</v>
      </c>
      <c r="M1691" t="s">
        <v>1382</v>
      </c>
      <c r="N1691" t="s">
        <v>643</v>
      </c>
      <c r="O1691" t="s">
        <v>1825</v>
      </c>
      <c r="P1691" t="s">
        <v>658</v>
      </c>
      <c r="Q1691" t="s">
        <v>511</v>
      </c>
      <c r="R1691" t="s">
        <v>1555</v>
      </c>
      <c r="S1691" t="s">
        <v>1781</v>
      </c>
      <c r="T1691" t="s">
        <v>1557</v>
      </c>
      <c r="U1691">
        <v>191201</v>
      </c>
      <c r="V1691" t="s">
        <v>9801</v>
      </c>
      <c r="W1691" t="s">
        <v>8823</v>
      </c>
      <c r="X1691" t="s">
        <v>10188</v>
      </c>
      <c r="Y1691" t="s">
        <v>4276</v>
      </c>
      <c r="Z1691" t="s">
        <v>4277</v>
      </c>
      <c r="AA1691" t="s">
        <v>4278</v>
      </c>
      <c r="AB1691" t="s">
        <v>10189</v>
      </c>
      <c r="AE1691">
        <v>-37.663363490000002</v>
      </c>
      <c r="AF1691">
        <v>176.07109822999999</v>
      </c>
      <c r="AG1691" s="175">
        <v>25</v>
      </c>
      <c r="AH1691" s="175">
        <v>8</v>
      </c>
      <c r="AI1691" s="175">
        <v>0</v>
      </c>
      <c r="AJ1691" s="175">
        <v>3</v>
      </c>
      <c r="AK1691" s="175">
        <v>4</v>
      </c>
      <c r="AL1691" s="175">
        <v>4</v>
      </c>
      <c r="AM1691" s="175">
        <v>3</v>
      </c>
      <c r="AN1691" s="175">
        <v>0</v>
      </c>
      <c r="AO1691" s="175">
        <v>14</v>
      </c>
      <c r="AP1691" s="175">
        <v>0</v>
      </c>
      <c r="AQ1691" s="175">
        <v>14</v>
      </c>
      <c r="AR1691" s="175">
        <v>0</v>
      </c>
      <c r="AS1691" s="175">
        <v>0</v>
      </c>
      <c r="AT1691" s="175">
        <v>0</v>
      </c>
    </row>
    <row r="1692" spans="1:46">
      <c r="A1692">
        <v>40150</v>
      </c>
      <c r="B1692" t="s">
        <v>10213</v>
      </c>
      <c r="C1692" t="s">
        <v>10214</v>
      </c>
      <c r="E1692" t="s">
        <v>10215</v>
      </c>
      <c r="F1692" t="s">
        <v>10216</v>
      </c>
      <c r="G1692" t="s">
        <v>1681</v>
      </c>
      <c r="H1692" t="s">
        <v>347</v>
      </c>
      <c r="J1692" t="s">
        <v>605</v>
      </c>
      <c r="K1692" t="s">
        <v>606</v>
      </c>
      <c r="L1692" t="s">
        <v>4273</v>
      </c>
      <c r="M1692" t="s">
        <v>1382</v>
      </c>
      <c r="N1692" t="s">
        <v>625</v>
      </c>
      <c r="O1692" t="s">
        <v>1780</v>
      </c>
      <c r="P1692" t="s">
        <v>739</v>
      </c>
      <c r="Q1692" t="s">
        <v>511</v>
      </c>
      <c r="R1692" t="s">
        <v>1555</v>
      </c>
      <c r="S1692" t="s">
        <v>1681</v>
      </c>
      <c r="T1692" t="s">
        <v>1557</v>
      </c>
      <c r="U1692">
        <v>193600</v>
      </c>
      <c r="V1692" t="s">
        <v>1790</v>
      </c>
      <c r="W1692" t="s">
        <v>1791</v>
      </c>
      <c r="X1692" t="s">
        <v>10188</v>
      </c>
      <c r="Y1692" t="s">
        <v>4276</v>
      </c>
      <c r="Z1692" t="s">
        <v>4277</v>
      </c>
      <c r="AA1692" t="s">
        <v>4278</v>
      </c>
      <c r="AB1692" t="s">
        <v>10189</v>
      </c>
      <c r="AE1692">
        <v>-37.690875579999997</v>
      </c>
      <c r="AF1692">
        <v>176.14656661000001</v>
      </c>
      <c r="AG1692" s="175">
        <v>20</v>
      </c>
      <c r="AH1692" s="175">
        <v>5</v>
      </c>
      <c r="AI1692" s="175">
        <v>1</v>
      </c>
      <c r="AJ1692" s="175">
        <v>1</v>
      </c>
      <c r="AK1692" s="175">
        <v>5</v>
      </c>
      <c r="AL1692" s="175">
        <v>8</v>
      </c>
      <c r="AM1692" s="175">
        <v>2</v>
      </c>
      <c r="AN1692" s="175">
        <v>0</v>
      </c>
      <c r="AO1692" s="175">
        <v>17</v>
      </c>
      <c r="AP1692" s="175">
        <v>0</v>
      </c>
      <c r="AQ1692" s="175">
        <v>14</v>
      </c>
      <c r="AR1692" s="175">
        <v>0</v>
      </c>
      <c r="AS1692" s="175">
        <v>0</v>
      </c>
      <c r="AT1692" s="175">
        <v>3</v>
      </c>
    </row>
    <row r="1693" spans="1:46">
      <c r="A1693">
        <v>40151</v>
      </c>
      <c r="B1693" t="s">
        <v>10217</v>
      </c>
      <c r="C1693" t="s">
        <v>10218</v>
      </c>
      <c r="E1693" t="s">
        <v>10219</v>
      </c>
      <c r="F1693" t="s">
        <v>3944</v>
      </c>
      <c r="G1693" t="s">
        <v>1681</v>
      </c>
      <c r="H1693" t="s">
        <v>347</v>
      </c>
      <c r="J1693" t="s">
        <v>605</v>
      </c>
      <c r="K1693" t="s">
        <v>606</v>
      </c>
      <c r="L1693" t="s">
        <v>4273</v>
      </c>
      <c r="M1693" t="s">
        <v>1382</v>
      </c>
      <c r="N1693" t="s">
        <v>608</v>
      </c>
      <c r="O1693" t="s">
        <v>1825</v>
      </c>
      <c r="P1693" t="s">
        <v>658</v>
      </c>
      <c r="Q1693" t="s">
        <v>511</v>
      </c>
      <c r="R1693" t="s">
        <v>1555</v>
      </c>
      <c r="S1693" t="s">
        <v>1604</v>
      </c>
      <c r="T1693" t="s">
        <v>1557</v>
      </c>
      <c r="U1693">
        <v>191601</v>
      </c>
      <c r="V1693" t="s">
        <v>10220</v>
      </c>
      <c r="W1693" t="s">
        <v>8823</v>
      </c>
      <c r="X1693" t="s">
        <v>10188</v>
      </c>
      <c r="Y1693" t="s">
        <v>4276</v>
      </c>
      <c r="Z1693" t="s">
        <v>4277</v>
      </c>
      <c r="AA1693" t="s">
        <v>4278</v>
      </c>
      <c r="AB1693" t="s">
        <v>10189</v>
      </c>
      <c r="AE1693">
        <v>-37.719846560000001</v>
      </c>
      <c r="AF1693">
        <v>176.22709086</v>
      </c>
      <c r="AG1693" s="175">
        <v>25</v>
      </c>
      <c r="AH1693" s="175">
        <v>8</v>
      </c>
      <c r="AI1693" s="175">
        <v>0</v>
      </c>
      <c r="AJ1693" s="175">
        <v>4</v>
      </c>
      <c r="AK1693" s="175">
        <v>6</v>
      </c>
      <c r="AL1693" s="175">
        <v>4</v>
      </c>
      <c r="AM1693" s="175">
        <v>4</v>
      </c>
      <c r="AN1693" s="175">
        <v>0</v>
      </c>
      <c r="AO1693" s="175">
        <v>18</v>
      </c>
      <c r="AP1693" s="175">
        <v>0</v>
      </c>
      <c r="AQ1693" s="175">
        <v>18</v>
      </c>
      <c r="AR1693" s="175">
        <v>0</v>
      </c>
      <c r="AS1693" s="175">
        <v>0</v>
      </c>
      <c r="AT1693" s="175">
        <v>0</v>
      </c>
    </row>
    <row r="1694" spans="1:46">
      <c r="A1694">
        <v>40152</v>
      </c>
      <c r="B1694" t="s">
        <v>10221</v>
      </c>
      <c r="C1694" t="s">
        <v>10222</v>
      </c>
      <c r="E1694" t="s">
        <v>10223</v>
      </c>
      <c r="G1694" t="s">
        <v>1779</v>
      </c>
      <c r="H1694" t="s">
        <v>347</v>
      </c>
      <c r="J1694" t="s">
        <v>605</v>
      </c>
      <c r="K1694" t="s">
        <v>606</v>
      </c>
      <c r="L1694" t="s">
        <v>4273</v>
      </c>
      <c r="M1694" t="s">
        <v>1382</v>
      </c>
      <c r="N1694" t="s">
        <v>608</v>
      </c>
      <c r="O1694" t="s">
        <v>1780</v>
      </c>
      <c r="P1694" t="s">
        <v>739</v>
      </c>
      <c r="Q1694" t="s">
        <v>511</v>
      </c>
      <c r="R1694" t="s">
        <v>1555</v>
      </c>
      <c r="S1694" t="s">
        <v>1781</v>
      </c>
      <c r="T1694" t="s">
        <v>1557</v>
      </c>
      <c r="U1694">
        <v>195800</v>
      </c>
      <c r="V1694" t="s">
        <v>1782</v>
      </c>
      <c r="W1694" t="s">
        <v>1783</v>
      </c>
      <c r="X1694" t="s">
        <v>10188</v>
      </c>
      <c r="Y1694" t="s">
        <v>4276</v>
      </c>
      <c r="Z1694" t="s">
        <v>4277</v>
      </c>
      <c r="AA1694" t="s">
        <v>4278</v>
      </c>
      <c r="AB1694" t="s">
        <v>10189</v>
      </c>
      <c r="AE1694">
        <v>-37.68319881</v>
      </c>
      <c r="AF1694">
        <v>176.22944580000001</v>
      </c>
      <c r="AG1694" s="175">
        <v>30</v>
      </c>
      <c r="AH1694" s="175">
        <v>5</v>
      </c>
      <c r="AI1694" s="175">
        <v>1</v>
      </c>
      <c r="AJ1694" s="175">
        <v>1</v>
      </c>
      <c r="AK1694" s="175">
        <v>6</v>
      </c>
      <c r="AL1694" s="175">
        <v>10</v>
      </c>
      <c r="AM1694" s="175">
        <v>2</v>
      </c>
      <c r="AN1694" s="175">
        <v>0</v>
      </c>
      <c r="AO1694" s="175">
        <v>20</v>
      </c>
      <c r="AP1694" s="175">
        <v>0</v>
      </c>
      <c r="AQ1694" s="175">
        <v>20</v>
      </c>
      <c r="AR1694" s="175">
        <v>0</v>
      </c>
      <c r="AS1694" s="175">
        <v>0</v>
      </c>
      <c r="AT1694" s="175">
        <v>0</v>
      </c>
    </row>
    <row r="1695" spans="1:46">
      <c r="A1695">
        <v>40154</v>
      </c>
      <c r="B1695" t="s">
        <v>10224</v>
      </c>
      <c r="C1695" t="s">
        <v>10225</v>
      </c>
      <c r="E1695" t="s">
        <v>10226</v>
      </c>
      <c r="G1695" t="s">
        <v>1553</v>
      </c>
      <c r="H1695" t="s">
        <v>347</v>
      </c>
      <c r="J1695" t="s">
        <v>605</v>
      </c>
      <c r="K1695" t="s">
        <v>606</v>
      </c>
      <c r="L1695" t="s">
        <v>4273</v>
      </c>
      <c r="M1695" t="s">
        <v>1382</v>
      </c>
      <c r="N1695" t="s">
        <v>812</v>
      </c>
      <c r="O1695" t="s">
        <v>1554</v>
      </c>
      <c r="P1695" t="s">
        <v>1347</v>
      </c>
      <c r="Q1695" t="s">
        <v>511</v>
      </c>
      <c r="R1695" t="s">
        <v>1555</v>
      </c>
      <c r="S1695" t="s">
        <v>1556</v>
      </c>
      <c r="T1695" t="s">
        <v>1557</v>
      </c>
      <c r="U1695">
        <v>202800</v>
      </c>
      <c r="V1695" t="s">
        <v>1614</v>
      </c>
      <c r="W1695" t="s">
        <v>1559</v>
      </c>
      <c r="X1695" t="s">
        <v>10188</v>
      </c>
      <c r="Y1695" t="s">
        <v>4276</v>
      </c>
      <c r="Z1695" t="s">
        <v>4277</v>
      </c>
      <c r="AA1695" t="s">
        <v>4278</v>
      </c>
      <c r="AB1695" t="s">
        <v>10189</v>
      </c>
      <c r="AE1695">
        <v>-37.975639899999997</v>
      </c>
      <c r="AF1695">
        <v>176.97972687000001</v>
      </c>
      <c r="AG1695" s="175">
        <v>40</v>
      </c>
      <c r="AH1695" s="175">
        <v>13</v>
      </c>
      <c r="AI1695" s="175">
        <v>0</v>
      </c>
      <c r="AJ1695" s="175">
        <v>2</v>
      </c>
      <c r="AK1695" s="175">
        <v>6</v>
      </c>
      <c r="AL1695" s="175">
        <v>10</v>
      </c>
      <c r="AM1695" s="175">
        <v>7</v>
      </c>
      <c r="AN1695" s="175">
        <v>0</v>
      </c>
      <c r="AO1695" s="175">
        <v>25</v>
      </c>
      <c r="AP1695" s="175">
        <v>0</v>
      </c>
      <c r="AQ1695" s="175">
        <v>24</v>
      </c>
      <c r="AR1695" s="175">
        <v>0</v>
      </c>
      <c r="AS1695" s="175">
        <v>0</v>
      </c>
      <c r="AT1695" s="175">
        <v>1</v>
      </c>
    </row>
    <row r="1696" spans="1:46">
      <c r="A1696">
        <v>40155</v>
      </c>
      <c r="B1696" t="s">
        <v>10227</v>
      </c>
      <c r="C1696" t="s">
        <v>10228</v>
      </c>
      <c r="E1696" t="s">
        <v>10229</v>
      </c>
      <c r="G1696" t="s">
        <v>10230</v>
      </c>
      <c r="H1696" t="s">
        <v>347</v>
      </c>
      <c r="J1696" t="s">
        <v>605</v>
      </c>
      <c r="K1696" t="s">
        <v>606</v>
      </c>
      <c r="L1696" t="s">
        <v>4273</v>
      </c>
      <c r="M1696" t="s">
        <v>1382</v>
      </c>
      <c r="N1696" t="s">
        <v>625</v>
      </c>
      <c r="O1696" t="s">
        <v>1554</v>
      </c>
      <c r="P1696" t="s">
        <v>658</v>
      </c>
      <c r="Q1696" t="s">
        <v>511</v>
      </c>
      <c r="R1696" t="s">
        <v>1555</v>
      </c>
      <c r="S1696" t="s">
        <v>1556</v>
      </c>
      <c r="T1696" t="s">
        <v>1557</v>
      </c>
      <c r="U1696">
        <v>202400</v>
      </c>
      <c r="V1696" t="s">
        <v>10231</v>
      </c>
      <c r="W1696" t="s">
        <v>1597</v>
      </c>
      <c r="X1696" t="s">
        <v>10188</v>
      </c>
      <c r="Y1696" t="s">
        <v>4276</v>
      </c>
      <c r="Z1696" t="s">
        <v>4277</v>
      </c>
      <c r="AA1696" t="s">
        <v>4278</v>
      </c>
      <c r="AB1696" t="s">
        <v>10189</v>
      </c>
      <c r="AE1696">
        <v>-38.010630730000003</v>
      </c>
      <c r="AF1696">
        <v>176.81355006000001</v>
      </c>
      <c r="AG1696" s="175">
        <v>35</v>
      </c>
      <c r="AH1696" s="175">
        <v>10</v>
      </c>
      <c r="AI1696" s="175">
        <v>1</v>
      </c>
      <c r="AJ1696" s="175">
        <v>9</v>
      </c>
      <c r="AK1696" s="175">
        <v>5</v>
      </c>
      <c r="AL1696" s="175">
        <v>9</v>
      </c>
      <c r="AM1696" s="175">
        <v>7</v>
      </c>
      <c r="AN1696" s="175">
        <v>0</v>
      </c>
      <c r="AO1696" s="175">
        <v>31</v>
      </c>
      <c r="AP1696" s="175">
        <v>0</v>
      </c>
      <c r="AQ1696" s="175">
        <v>31</v>
      </c>
      <c r="AR1696" s="175">
        <v>0</v>
      </c>
      <c r="AS1696" s="175">
        <v>0</v>
      </c>
      <c r="AT1696" s="175">
        <v>0</v>
      </c>
    </row>
    <row r="1697" spans="1:46">
      <c r="A1697">
        <v>40156</v>
      </c>
      <c r="B1697" t="s">
        <v>10232</v>
      </c>
      <c r="C1697" t="s">
        <v>10233</v>
      </c>
      <c r="E1697" t="s">
        <v>10234</v>
      </c>
      <c r="G1697" t="s">
        <v>1731</v>
      </c>
      <c r="H1697" t="s">
        <v>347</v>
      </c>
      <c r="J1697" t="s">
        <v>605</v>
      </c>
      <c r="K1697" t="s">
        <v>606</v>
      </c>
      <c r="L1697" t="s">
        <v>4273</v>
      </c>
      <c r="M1697" t="s">
        <v>1382</v>
      </c>
      <c r="N1697" t="s">
        <v>812</v>
      </c>
      <c r="O1697" t="s">
        <v>1732</v>
      </c>
      <c r="P1697" t="s">
        <v>610</v>
      </c>
      <c r="Q1697" t="s">
        <v>511</v>
      </c>
      <c r="R1697" t="s">
        <v>1555</v>
      </c>
      <c r="S1697" t="s">
        <v>1556</v>
      </c>
      <c r="T1697" t="s">
        <v>1557</v>
      </c>
      <c r="U1697">
        <v>203901</v>
      </c>
      <c r="V1697" t="s">
        <v>10235</v>
      </c>
      <c r="W1697" t="s">
        <v>1734</v>
      </c>
      <c r="X1697" t="s">
        <v>10188</v>
      </c>
      <c r="Y1697" t="s">
        <v>4276</v>
      </c>
      <c r="Z1697" t="s">
        <v>4277</v>
      </c>
      <c r="AA1697" t="s">
        <v>4278</v>
      </c>
      <c r="AB1697" t="s">
        <v>10189</v>
      </c>
      <c r="AE1697">
        <v>-38.089402980000003</v>
      </c>
      <c r="AF1697">
        <v>176.70530189999999</v>
      </c>
      <c r="AG1697" s="175">
        <v>25</v>
      </c>
      <c r="AH1697" s="175">
        <v>9</v>
      </c>
      <c r="AI1697" s="175">
        <v>2</v>
      </c>
      <c r="AJ1697" s="175">
        <v>3</v>
      </c>
      <c r="AK1697" s="175">
        <v>2</v>
      </c>
      <c r="AL1697" s="175">
        <v>4</v>
      </c>
      <c r="AM1697" s="175">
        <v>4</v>
      </c>
      <c r="AN1697" s="175">
        <v>0</v>
      </c>
      <c r="AO1697" s="175">
        <v>15</v>
      </c>
      <c r="AP1697" s="175">
        <v>0</v>
      </c>
      <c r="AQ1697" s="175">
        <v>14</v>
      </c>
      <c r="AR1697" s="175">
        <v>1</v>
      </c>
      <c r="AS1697" s="175">
        <v>0</v>
      </c>
      <c r="AT1697" s="175">
        <v>0</v>
      </c>
    </row>
    <row r="1698" spans="1:46">
      <c r="A1698">
        <v>40157</v>
      </c>
      <c r="B1698" t="s">
        <v>10236</v>
      </c>
      <c r="C1698" t="s">
        <v>10237</v>
      </c>
      <c r="E1698" t="s">
        <v>10238</v>
      </c>
      <c r="G1698" t="s">
        <v>10230</v>
      </c>
      <c r="H1698" t="s">
        <v>347</v>
      </c>
      <c r="J1698" t="s">
        <v>605</v>
      </c>
      <c r="K1698" t="s">
        <v>606</v>
      </c>
      <c r="L1698" t="s">
        <v>4273</v>
      </c>
      <c r="M1698" t="s">
        <v>1382</v>
      </c>
      <c r="N1698" t="s">
        <v>812</v>
      </c>
      <c r="O1698" t="s">
        <v>1554</v>
      </c>
      <c r="P1698" t="s">
        <v>626</v>
      </c>
      <c r="Q1698" t="s">
        <v>511</v>
      </c>
      <c r="R1698" t="s">
        <v>1555</v>
      </c>
      <c r="S1698" t="s">
        <v>1556</v>
      </c>
      <c r="T1698" t="s">
        <v>1557</v>
      </c>
      <c r="U1698">
        <v>202400</v>
      </c>
      <c r="V1698" t="s">
        <v>10231</v>
      </c>
      <c r="W1698" t="s">
        <v>1597</v>
      </c>
      <c r="X1698" t="s">
        <v>10188</v>
      </c>
      <c r="Y1698" t="s">
        <v>4276</v>
      </c>
      <c r="Z1698" t="s">
        <v>4277</v>
      </c>
      <c r="AA1698" t="s">
        <v>4278</v>
      </c>
      <c r="AB1698" t="s">
        <v>10189</v>
      </c>
      <c r="AE1698">
        <v>-38.035388400000002</v>
      </c>
      <c r="AF1698">
        <v>176.79726185999999</v>
      </c>
      <c r="AG1698" s="175">
        <v>35</v>
      </c>
      <c r="AH1698" s="175">
        <v>12</v>
      </c>
      <c r="AI1698" s="175">
        <v>0</v>
      </c>
      <c r="AJ1698" s="175">
        <v>7</v>
      </c>
      <c r="AK1698" s="175">
        <v>3</v>
      </c>
      <c r="AL1698" s="175">
        <v>4</v>
      </c>
      <c r="AM1698" s="175">
        <v>10</v>
      </c>
      <c r="AN1698" s="175">
        <v>0</v>
      </c>
      <c r="AO1698" s="175">
        <v>24</v>
      </c>
      <c r="AP1698" s="175">
        <v>0</v>
      </c>
      <c r="AQ1698" s="175">
        <v>24</v>
      </c>
      <c r="AR1698" s="175">
        <v>0</v>
      </c>
      <c r="AS1698" s="175">
        <v>0</v>
      </c>
      <c r="AT1698" s="175">
        <v>0</v>
      </c>
    </row>
    <row r="1699" spans="1:46">
      <c r="A1699">
        <v>40158</v>
      </c>
      <c r="B1699" t="s">
        <v>10239</v>
      </c>
      <c r="C1699" t="s">
        <v>10240</v>
      </c>
      <c r="E1699" t="s">
        <v>10241</v>
      </c>
      <c r="G1699" t="s">
        <v>10242</v>
      </c>
      <c r="H1699" t="s">
        <v>347</v>
      </c>
      <c r="J1699" t="s">
        <v>605</v>
      </c>
      <c r="K1699" t="s">
        <v>606</v>
      </c>
      <c r="L1699" t="s">
        <v>4273</v>
      </c>
      <c r="M1699" t="s">
        <v>1382</v>
      </c>
      <c r="N1699" t="s">
        <v>812</v>
      </c>
      <c r="O1699" t="s">
        <v>1554</v>
      </c>
      <c r="P1699" t="s">
        <v>626</v>
      </c>
      <c r="Q1699" t="s">
        <v>511</v>
      </c>
      <c r="R1699" t="s">
        <v>1555</v>
      </c>
      <c r="S1699" t="s">
        <v>1556</v>
      </c>
      <c r="T1699" t="s">
        <v>1557</v>
      </c>
      <c r="U1699">
        <v>203100</v>
      </c>
      <c r="V1699" t="s">
        <v>10243</v>
      </c>
      <c r="W1699" t="s">
        <v>1678</v>
      </c>
      <c r="X1699" t="s">
        <v>10188</v>
      </c>
      <c r="Y1699" t="s">
        <v>4276</v>
      </c>
      <c r="Z1699" t="s">
        <v>4277</v>
      </c>
      <c r="AA1699" t="s">
        <v>4278</v>
      </c>
      <c r="AB1699" t="s">
        <v>10189</v>
      </c>
      <c r="AE1699">
        <v>-38.062596990000003</v>
      </c>
      <c r="AF1699">
        <v>177.00697489999999</v>
      </c>
      <c r="AG1699" s="175">
        <v>23</v>
      </c>
      <c r="AH1699" s="175">
        <v>10</v>
      </c>
      <c r="AI1699" s="175">
        <v>0</v>
      </c>
      <c r="AJ1699" s="175">
        <v>3</v>
      </c>
      <c r="AK1699" s="175">
        <v>5</v>
      </c>
      <c r="AL1699" s="175">
        <v>4</v>
      </c>
      <c r="AM1699" s="175">
        <v>3</v>
      </c>
      <c r="AN1699" s="175">
        <v>0</v>
      </c>
      <c r="AO1699" s="175">
        <v>15</v>
      </c>
      <c r="AP1699" s="175">
        <v>0</v>
      </c>
      <c r="AQ1699" s="175">
        <v>14</v>
      </c>
      <c r="AR1699" s="175">
        <v>1</v>
      </c>
      <c r="AS1699" s="175">
        <v>0</v>
      </c>
      <c r="AT1699" s="175">
        <v>0</v>
      </c>
    </row>
    <row r="1700" spans="1:46">
      <c r="A1700">
        <v>40159</v>
      </c>
      <c r="B1700" t="s">
        <v>10244</v>
      </c>
      <c r="C1700" t="s">
        <v>10245</v>
      </c>
      <c r="E1700" t="s">
        <v>10246</v>
      </c>
      <c r="G1700" t="s">
        <v>10230</v>
      </c>
      <c r="H1700" t="s">
        <v>347</v>
      </c>
      <c r="J1700" t="s">
        <v>605</v>
      </c>
      <c r="K1700" t="s">
        <v>606</v>
      </c>
      <c r="L1700" t="s">
        <v>4273</v>
      </c>
      <c r="M1700" t="s">
        <v>1382</v>
      </c>
      <c r="N1700" t="s">
        <v>812</v>
      </c>
      <c r="O1700" t="s">
        <v>1554</v>
      </c>
      <c r="P1700" t="s">
        <v>626</v>
      </c>
      <c r="Q1700" t="s">
        <v>511</v>
      </c>
      <c r="R1700" t="s">
        <v>1555</v>
      </c>
      <c r="S1700" t="s">
        <v>1556</v>
      </c>
      <c r="T1700" t="s">
        <v>1557</v>
      </c>
      <c r="U1700">
        <v>202400</v>
      </c>
      <c r="V1700" t="s">
        <v>10231</v>
      </c>
      <c r="W1700" t="s">
        <v>1597</v>
      </c>
      <c r="X1700" t="s">
        <v>10188</v>
      </c>
      <c r="Y1700" t="s">
        <v>4276</v>
      </c>
      <c r="Z1700" t="s">
        <v>4277</v>
      </c>
      <c r="AA1700" t="s">
        <v>4278</v>
      </c>
      <c r="AB1700" t="s">
        <v>10189</v>
      </c>
      <c r="AE1700">
        <v>-38.035490750000001</v>
      </c>
      <c r="AF1700">
        <v>176.79704616999999</v>
      </c>
      <c r="AG1700" s="175">
        <v>40</v>
      </c>
      <c r="AH1700" s="175">
        <v>12</v>
      </c>
      <c r="AI1700" s="175">
        <v>0</v>
      </c>
      <c r="AJ1700" s="175">
        <v>11</v>
      </c>
      <c r="AK1700" s="175">
        <v>9</v>
      </c>
      <c r="AL1700" s="175">
        <v>4</v>
      </c>
      <c r="AM1700" s="175">
        <v>13</v>
      </c>
      <c r="AN1700" s="175">
        <v>0</v>
      </c>
      <c r="AO1700" s="175">
        <v>37</v>
      </c>
      <c r="AP1700" s="175">
        <v>0</v>
      </c>
      <c r="AQ1700" s="175">
        <v>37</v>
      </c>
      <c r="AR1700" s="175">
        <v>0</v>
      </c>
      <c r="AS1700" s="175">
        <v>0</v>
      </c>
      <c r="AT1700" s="175">
        <v>0</v>
      </c>
    </row>
    <row r="1701" spans="1:46">
      <c r="A1701">
        <v>40160</v>
      </c>
      <c r="B1701" t="s">
        <v>10247</v>
      </c>
      <c r="C1701" t="s">
        <v>10248</v>
      </c>
      <c r="E1701" t="s">
        <v>10249</v>
      </c>
      <c r="G1701" t="s">
        <v>1553</v>
      </c>
      <c r="H1701" t="s">
        <v>347</v>
      </c>
      <c r="J1701" t="s">
        <v>605</v>
      </c>
      <c r="K1701" t="s">
        <v>606</v>
      </c>
      <c r="L1701" t="s">
        <v>4273</v>
      </c>
      <c r="M1701" t="s">
        <v>1382</v>
      </c>
      <c r="N1701" t="s">
        <v>812</v>
      </c>
      <c r="O1701" t="s">
        <v>1554</v>
      </c>
      <c r="P1701" t="s">
        <v>658</v>
      </c>
      <c r="Q1701" t="s">
        <v>511</v>
      </c>
      <c r="R1701" t="s">
        <v>1555</v>
      </c>
      <c r="S1701" t="s">
        <v>1556</v>
      </c>
      <c r="T1701" t="s">
        <v>1557</v>
      </c>
      <c r="U1701">
        <v>203500</v>
      </c>
      <c r="V1701" t="s">
        <v>10017</v>
      </c>
      <c r="W1701" t="s">
        <v>1678</v>
      </c>
      <c r="X1701" t="s">
        <v>10188</v>
      </c>
      <c r="Y1701" t="s">
        <v>4276</v>
      </c>
      <c r="Z1701" t="s">
        <v>4277</v>
      </c>
      <c r="AA1701" t="s">
        <v>4278</v>
      </c>
      <c r="AB1701" t="s">
        <v>10189</v>
      </c>
      <c r="AE1701">
        <v>-38.152568250000002</v>
      </c>
      <c r="AF1701">
        <v>176.98484379999999</v>
      </c>
      <c r="AG1701" s="175">
        <v>22</v>
      </c>
      <c r="AH1701" s="175">
        <v>12</v>
      </c>
      <c r="AI1701" s="175">
        <v>1</v>
      </c>
      <c r="AJ1701" s="175">
        <v>4</v>
      </c>
      <c r="AK1701" s="175">
        <v>7</v>
      </c>
      <c r="AL1701" s="175">
        <v>0</v>
      </c>
      <c r="AM1701" s="175">
        <v>1</v>
      </c>
      <c r="AN1701" s="175">
        <v>0</v>
      </c>
      <c r="AO1701" s="175">
        <v>13</v>
      </c>
      <c r="AP1701" s="175">
        <v>0</v>
      </c>
      <c r="AQ1701" s="175">
        <v>13</v>
      </c>
      <c r="AR1701" s="175">
        <v>0</v>
      </c>
      <c r="AS1701" s="175">
        <v>0</v>
      </c>
      <c r="AT1701" s="175">
        <v>0</v>
      </c>
    </row>
    <row r="1702" spans="1:46">
      <c r="A1702">
        <v>40164</v>
      </c>
      <c r="B1702" t="s">
        <v>10250</v>
      </c>
      <c r="C1702" t="s">
        <v>10251</v>
      </c>
      <c r="E1702" t="s">
        <v>10252</v>
      </c>
      <c r="G1702" t="s">
        <v>1694</v>
      </c>
      <c r="H1702" t="s">
        <v>347</v>
      </c>
      <c r="J1702" t="s">
        <v>605</v>
      </c>
      <c r="K1702" t="s">
        <v>606</v>
      </c>
      <c r="L1702" t="s">
        <v>4273</v>
      </c>
      <c r="M1702" t="s">
        <v>1382</v>
      </c>
      <c r="N1702" t="s">
        <v>812</v>
      </c>
      <c r="O1702" t="s">
        <v>1695</v>
      </c>
      <c r="P1702" t="s">
        <v>610</v>
      </c>
      <c r="Q1702" t="s">
        <v>511</v>
      </c>
      <c r="R1702" t="s">
        <v>1555</v>
      </c>
      <c r="S1702" t="s">
        <v>1556</v>
      </c>
      <c r="T1702" t="s">
        <v>1557</v>
      </c>
      <c r="U1702">
        <v>204400</v>
      </c>
      <c r="V1702" t="s">
        <v>1696</v>
      </c>
      <c r="W1702" t="s">
        <v>1697</v>
      </c>
      <c r="X1702" t="s">
        <v>10188</v>
      </c>
      <c r="Y1702" t="s">
        <v>4276</v>
      </c>
      <c r="Z1702" t="s">
        <v>4277</v>
      </c>
      <c r="AA1702" t="s">
        <v>4278</v>
      </c>
      <c r="AB1702" t="s">
        <v>10189</v>
      </c>
      <c r="AE1702">
        <v>-38.001856680000003</v>
      </c>
      <c r="AF1702">
        <v>177.28440248000001</v>
      </c>
      <c r="AG1702" s="175">
        <v>40</v>
      </c>
      <c r="AH1702" s="175">
        <v>10</v>
      </c>
      <c r="AI1702" s="175">
        <v>1</v>
      </c>
      <c r="AJ1702" s="175">
        <v>7</v>
      </c>
      <c r="AK1702" s="175">
        <v>8</v>
      </c>
      <c r="AL1702" s="175">
        <v>10</v>
      </c>
      <c r="AM1702" s="175">
        <v>4</v>
      </c>
      <c r="AN1702" s="175">
        <v>0</v>
      </c>
      <c r="AO1702" s="175">
        <v>30</v>
      </c>
      <c r="AP1702" s="175">
        <v>0</v>
      </c>
      <c r="AQ1702" s="175">
        <v>30</v>
      </c>
      <c r="AR1702" s="175">
        <v>0</v>
      </c>
      <c r="AS1702" s="175">
        <v>0</v>
      </c>
      <c r="AT1702" s="175">
        <v>0</v>
      </c>
    </row>
    <row r="1703" spans="1:46">
      <c r="A1703">
        <v>40165</v>
      </c>
      <c r="B1703" t="s">
        <v>10253</v>
      </c>
      <c r="C1703" t="s">
        <v>10254</v>
      </c>
      <c r="E1703" t="s">
        <v>10255</v>
      </c>
      <c r="G1703" t="s">
        <v>1677</v>
      </c>
      <c r="H1703" t="s">
        <v>347</v>
      </c>
      <c r="J1703" t="s">
        <v>605</v>
      </c>
      <c r="K1703" t="s">
        <v>606</v>
      </c>
      <c r="L1703" t="s">
        <v>4273</v>
      </c>
      <c r="M1703" t="s">
        <v>1382</v>
      </c>
      <c r="N1703" t="s">
        <v>812</v>
      </c>
      <c r="O1703" t="s">
        <v>1554</v>
      </c>
      <c r="P1703" t="s">
        <v>610</v>
      </c>
      <c r="Q1703" t="s">
        <v>511</v>
      </c>
      <c r="R1703" t="s">
        <v>1555</v>
      </c>
      <c r="S1703" t="s">
        <v>1556</v>
      </c>
      <c r="T1703" t="s">
        <v>1557</v>
      </c>
      <c r="U1703">
        <v>203600</v>
      </c>
      <c r="V1703" t="s">
        <v>1677</v>
      </c>
      <c r="W1703" t="s">
        <v>1678</v>
      </c>
      <c r="X1703" t="s">
        <v>10188</v>
      </c>
      <c r="Y1703" t="s">
        <v>4276</v>
      </c>
      <c r="Z1703" t="s">
        <v>4277</v>
      </c>
      <c r="AA1703" t="s">
        <v>4278</v>
      </c>
      <c r="AB1703" t="s">
        <v>10189</v>
      </c>
      <c r="AE1703">
        <v>-38.457915620000001</v>
      </c>
      <c r="AF1703">
        <v>176.70619092000001</v>
      </c>
      <c r="AG1703" s="175">
        <v>25</v>
      </c>
      <c r="AH1703" s="175">
        <v>10</v>
      </c>
      <c r="AI1703" s="175">
        <v>4</v>
      </c>
      <c r="AJ1703" s="175">
        <v>6</v>
      </c>
      <c r="AK1703" s="175">
        <v>1</v>
      </c>
      <c r="AL1703" s="175">
        <v>5</v>
      </c>
      <c r="AM1703" s="175">
        <v>2</v>
      </c>
      <c r="AN1703" s="175">
        <v>0</v>
      </c>
      <c r="AO1703" s="175">
        <v>18</v>
      </c>
      <c r="AP1703" s="175">
        <v>0</v>
      </c>
      <c r="AQ1703" s="175">
        <v>16</v>
      </c>
      <c r="AR1703" s="175">
        <v>0</v>
      </c>
      <c r="AS1703" s="175">
        <v>0</v>
      </c>
      <c r="AT1703" s="175">
        <v>2</v>
      </c>
    </row>
    <row r="1704" spans="1:46">
      <c r="A1704">
        <v>40167</v>
      </c>
      <c r="B1704" t="s">
        <v>10256</v>
      </c>
      <c r="C1704" t="s">
        <v>10257</v>
      </c>
      <c r="E1704" t="s">
        <v>10258</v>
      </c>
      <c r="G1704" t="s">
        <v>10016</v>
      </c>
      <c r="H1704" t="s">
        <v>347</v>
      </c>
      <c r="J1704" t="s">
        <v>605</v>
      </c>
      <c r="K1704" t="s">
        <v>606</v>
      </c>
      <c r="L1704" t="s">
        <v>4273</v>
      </c>
      <c r="M1704" t="s">
        <v>1382</v>
      </c>
      <c r="N1704" t="s">
        <v>812</v>
      </c>
      <c r="O1704" t="s">
        <v>1554</v>
      </c>
      <c r="P1704" t="s">
        <v>658</v>
      </c>
      <c r="Q1704" t="s">
        <v>511</v>
      </c>
      <c r="R1704" t="s">
        <v>1555</v>
      </c>
      <c r="S1704" t="s">
        <v>1556</v>
      </c>
      <c r="T1704" t="s">
        <v>1557</v>
      </c>
      <c r="U1704">
        <v>203500</v>
      </c>
      <c r="V1704" t="s">
        <v>10017</v>
      </c>
      <c r="W1704" t="s">
        <v>1678</v>
      </c>
      <c r="X1704" t="s">
        <v>10188</v>
      </c>
      <c r="Y1704" t="s">
        <v>4276</v>
      </c>
      <c r="Z1704" t="s">
        <v>4277</v>
      </c>
      <c r="AA1704" t="s">
        <v>4278</v>
      </c>
      <c r="AB1704" t="s">
        <v>10189</v>
      </c>
      <c r="AE1704">
        <v>-38.13991601</v>
      </c>
      <c r="AF1704">
        <v>177.00415630000001</v>
      </c>
      <c r="AG1704" s="175">
        <v>35</v>
      </c>
      <c r="AH1704" s="175">
        <v>15</v>
      </c>
      <c r="AI1704" s="175">
        <v>1</v>
      </c>
      <c r="AJ1704" s="175">
        <v>6</v>
      </c>
      <c r="AK1704" s="175">
        <v>8</v>
      </c>
      <c r="AL1704" s="175">
        <v>6</v>
      </c>
      <c r="AM1704" s="175">
        <v>7</v>
      </c>
      <c r="AN1704" s="175">
        <v>0</v>
      </c>
      <c r="AO1704" s="175">
        <v>28</v>
      </c>
      <c r="AP1704" s="175">
        <v>0</v>
      </c>
      <c r="AQ1704" s="175">
        <v>28</v>
      </c>
      <c r="AR1704" s="175">
        <v>0</v>
      </c>
      <c r="AS1704" s="175">
        <v>0</v>
      </c>
      <c r="AT1704" s="175">
        <v>0</v>
      </c>
    </row>
    <row r="1705" spans="1:46">
      <c r="A1705">
        <v>40169</v>
      </c>
      <c r="B1705" t="s">
        <v>10259</v>
      </c>
      <c r="C1705" t="s">
        <v>10260</v>
      </c>
      <c r="E1705" t="s">
        <v>10261</v>
      </c>
      <c r="G1705" t="s">
        <v>1824</v>
      </c>
      <c r="H1705" t="s">
        <v>347</v>
      </c>
      <c r="J1705" t="s">
        <v>605</v>
      </c>
      <c r="K1705" t="s">
        <v>606</v>
      </c>
      <c r="L1705" t="s">
        <v>4273</v>
      </c>
      <c r="M1705" t="s">
        <v>1382</v>
      </c>
      <c r="N1705" t="s">
        <v>812</v>
      </c>
      <c r="O1705" t="s">
        <v>1825</v>
      </c>
      <c r="P1705" t="s">
        <v>610</v>
      </c>
      <c r="Q1705" t="s">
        <v>511</v>
      </c>
      <c r="R1705" t="s">
        <v>1555</v>
      </c>
      <c r="S1705" t="s">
        <v>1604</v>
      </c>
      <c r="T1705" t="s">
        <v>1557</v>
      </c>
      <c r="U1705">
        <v>191901</v>
      </c>
      <c r="V1705" t="s">
        <v>10262</v>
      </c>
      <c r="W1705" t="s">
        <v>1827</v>
      </c>
      <c r="X1705" t="s">
        <v>8511</v>
      </c>
      <c r="Y1705" t="s">
        <v>4276</v>
      </c>
      <c r="Z1705" t="s">
        <v>4277</v>
      </c>
      <c r="AA1705" t="s">
        <v>4278</v>
      </c>
      <c r="AB1705" t="s">
        <v>8512</v>
      </c>
      <c r="AE1705">
        <v>-37.775669499999999</v>
      </c>
      <c r="AF1705">
        <v>176.29543197999999</v>
      </c>
      <c r="AG1705" s="175">
        <v>23</v>
      </c>
      <c r="AH1705" s="175">
        <v>6</v>
      </c>
      <c r="AI1705" s="175">
        <v>0</v>
      </c>
      <c r="AJ1705" s="175">
        <v>2</v>
      </c>
      <c r="AK1705" s="175">
        <v>6</v>
      </c>
      <c r="AL1705" s="175">
        <v>8</v>
      </c>
      <c r="AM1705" s="175">
        <v>3</v>
      </c>
      <c r="AN1705" s="175">
        <v>0</v>
      </c>
      <c r="AO1705" s="175">
        <v>19</v>
      </c>
      <c r="AP1705" s="175">
        <v>0</v>
      </c>
      <c r="AQ1705" s="175">
        <v>19</v>
      </c>
      <c r="AR1705" s="175">
        <v>0</v>
      </c>
      <c r="AS1705" s="175">
        <v>0</v>
      </c>
      <c r="AT1705" s="175">
        <v>0</v>
      </c>
    </row>
    <row r="1706" spans="1:46">
      <c r="A1706">
        <v>40170</v>
      </c>
      <c r="B1706" t="s">
        <v>10263</v>
      </c>
      <c r="C1706" t="s">
        <v>10264</v>
      </c>
      <c r="E1706" t="s">
        <v>10265</v>
      </c>
      <c r="G1706" t="s">
        <v>1596</v>
      </c>
      <c r="H1706" t="s">
        <v>347</v>
      </c>
      <c r="J1706" t="s">
        <v>605</v>
      </c>
      <c r="K1706" t="s">
        <v>606</v>
      </c>
      <c r="L1706" t="s">
        <v>4273</v>
      </c>
      <c r="M1706" t="s">
        <v>1382</v>
      </c>
      <c r="N1706" t="s">
        <v>812</v>
      </c>
      <c r="O1706" t="s">
        <v>1554</v>
      </c>
      <c r="P1706" t="s">
        <v>610</v>
      </c>
      <c r="Q1706" t="s">
        <v>511</v>
      </c>
      <c r="R1706" t="s">
        <v>1555</v>
      </c>
      <c r="S1706" t="s">
        <v>1556</v>
      </c>
      <c r="T1706" t="s">
        <v>1557</v>
      </c>
      <c r="U1706">
        <v>202200</v>
      </c>
      <c r="V1706" t="s">
        <v>1596</v>
      </c>
      <c r="W1706" t="s">
        <v>1597</v>
      </c>
      <c r="X1706" t="s">
        <v>10188</v>
      </c>
      <c r="Y1706" t="s">
        <v>4276</v>
      </c>
      <c r="Z1706" t="s">
        <v>4277</v>
      </c>
      <c r="AA1706" t="s">
        <v>4278</v>
      </c>
      <c r="AB1706" t="s">
        <v>10189</v>
      </c>
      <c r="AE1706">
        <v>-37.961940579999997</v>
      </c>
      <c r="AF1706">
        <v>176.83495177</v>
      </c>
      <c r="AG1706" s="175">
        <v>37</v>
      </c>
      <c r="AH1706" s="175">
        <v>8</v>
      </c>
      <c r="AI1706" s="175">
        <v>1</v>
      </c>
      <c r="AJ1706" s="175">
        <v>6</v>
      </c>
      <c r="AK1706" s="175">
        <v>12</v>
      </c>
      <c r="AL1706" s="175">
        <v>10</v>
      </c>
      <c r="AM1706" s="175">
        <v>3</v>
      </c>
      <c r="AN1706" s="175">
        <v>0</v>
      </c>
      <c r="AO1706" s="175">
        <v>32</v>
      </c>
      <c r="AP1706" s="175">
        <v>0</v>
      </c>
      <c r="AQ1706" s="175">
        <v>29</v>
      </c>
      <c r="AR1706" s="175">
        <v>3</v>
      </c>
      <c r="AS1706" s="175">
        <v>0</v>
      </c>
      <c r="AT1706" s="175">
        <v>0</v>
      </c>
    </row>
    <row r="1707" spans="1:46">
      <c r="A1707">
        <v>40172</v>
      </c>
      <c r="B1707" t="s">
        <v>10266</v>
      </c>
      <c r="C1707" t="s">
        <v>10267</v>
      </c>
      <c r="E1707" t="s">
        <v>10268</v>
      </c>
      <c r="G1707" t="s">
        <v>3858</v>
      </c>
      <c r="H1707" t="s">
        <v>347</v>
      </c>
      <c r="J1707" t="s">
        <v>605</v>
      </c>
      <c r="K1707" t="s">
        <v>606</v>
      </c>
      <c r="L1707" t="s">
        <v>4273</v>
      </c>
      <c r="M1707" t="s">
        <v>1382</v>
      </c>
      <c r="N1707" t="s">
        <v>625</v>
      </c>
      <c r="O1707" t="s">
        <v>1825</v>
      </c>
      <c r="P1707" t="s">
        <v>610</v>
      </c>
      <c r="Q1707" t="s">
        <v>511</v>
      </c>
      <c r="R1707" t="s">
        <v>1555</v>
      </c>
      <c r="S1707" t="s">
        <v>1522</v>
      </c>
      <c r="T1707" t="s">
        <v>1557</v>
      </c>
      <c r="U1707">
        <v>190602</v>
      </c>
      <c r="V1707" t="s">
        <v>3859</v>
      </c>
      <c r="W1707" t="s">
        <v>3860</v>
      </c>
      <c r="X1707" t="s">
        <v>10188</v>
      </c>
      <c r="Y1707" t="s">
        <v>4276</v>
      </c>
      <c r="Z1707" t="s">
        <v>4277</v>
      </c>
      <c r="AA1707" t="s">
        <v>4278</v>
      </c>
      <c r="AB1707" t="s">
        <v>10189</v>
      </c>
      <c r="AE1707">
        <v>-37.551416760000002</v>
      </c>
      <c r="AF1707">
        <v>175.9332187</v>
      </c>
      <c r="AG1707" s="175">
        <v>25</v>
      </c>
      <c r="AH1707" s="175">
        <v>7</v>
      </c>
      <c r="AI1707" s="175">
        <v>0</v>
      </c>
      <c r="AJ1707" s="175">
        <v>3</v>
      </c>
      <c r="AK1707" s="175">
        <v>1</v>
      </c>
      <c r="AL1707" s="175">
        <v>5</v>
      </c>
      <c r="AM1707" s="175">
        <v>0</v>
      </c>
      <c r="AN1707" s="175">
        <v>0</v>
      </c>
      <c r="AO1707" s="175">
        <v>9</v>
      </c>
      <c r="AP1707" s="175">
        <v>0</v>
      </c>
      <c r="AQ1707" s="175">
        <v>9</v>
      </c>
      <c r="AR1707" s="175">
        <v>0</v>
      </c>
      <c r="AS1707" s="175">
        <v>0</v>
      </c>
      <c r="AT1707" s="175">
        <v>0</v>
      </c>
    </row>
    <row r="1708" spans="1:46">
      <c r="A1708">
        <v>40173</v>
      </c>
      <c r="B1708" t="s">
        <v>10269</v>
      </c>
      <c r="C1708" t="s">
        <v>10270</v>
      </c>
      <c r="E1708" t="s">
        <v>10271</v>
      </c>
      <c r="F1708" t="s">
        <v>1811</v>
      </c>
      <c r="G1708" t="s">
        <v>1681</v>
      </c>
      <c r="H1708" t="s">
        <v>347</v>
      </c>
      <c r="J1708" t="s">
        <v>605</v>
      </c>
      <c r="K1708" t="s">
        <v>606</v>
      </c>
      <c r="L1708" t="s">
        <v>4273</v>
      </c>
      <c r="M1708" t="s">
        <v>1382</v>
      </c>
      <c r="N1708" t="s">
        <v>643</v>
      </c>
      <c r="O1708" t="s">
        <v>1780</v>
      </c>
      <c r="P1708" t="s">
        <v>739</v>
      </c>
      <c r="Q1708" t="s">
        <v>511</v>
      </c>
      <c r="R1708" t="s">
        <v>1555</v>
      </c>
      <c r="S1708" t="s">
        <v>1781</v>
      </c>
      <c r="T1708" t="s">
        <v>1557</v>
      </c>
      <c r="U1708">
        <v>195900</v>
      </c>
      <c r="V1708" t="s">
        <v>1812</v>
      </c>
      <c r="W1708" t="s">
        <v>1813</v>
      </c>
      <c r="X1708" t="s">
        <v>10188</v>
      </c>
      <c r="Y1708" t="s">
        <v>4276</v>
      </c>
      <c r="Z1708" t="s">
        <v>4277</v>
      </c>
      <c r="AA1708" t="s">
        <v>4278</v>
      </c>
      <c r="AB1708" t="s">
        <v>10189</v>
      </c>
      <c r="AE1708">
        <v>-37.710299380000002</v>
      </c>
      <c r="AF1708">
        <v>176.18540272000001</v>
      </c>
      <c r="AG1708" s="175">
        <v>39</v>
      </c>
      <c r="AH1708" s="175">
        <v>8</v>
      </c>
      <c r="AI1708" s="175">
        <v>1</v>
      </c>
      <c r="AJ1708" s="175">
        <v>4</v>
      </c>
      <c r="AK1708" s="175">
        <v>5</v>
      </c>
      <c r="AL1708" s="175">
        <v>4</v>
      </c>
      <c r="AM1708" s="175">
        <v>3</v>
      </c>
      <c r="AN1708" s="175">
        <v>0</v>
      </c>
      <c r="AO1708" s="175">
        <v>17</v>
      </c>
      <c r="AP1708" s="175">
        <v>0</v>
      </c>
      <c r="AQ1708" s="175">
        <v>17</v>
      </c>
      <c r="AR1708" s="175">
        <v>0</v>
      </c>
      <c r="AS1708" s="175">
        <v>0</v>
      </c>
      <c r="AT1708" s="175">
        <v>0</v>
      </c>
    </row>
    <row r="1709" spans="1:46">
      <c r="A1709">
        <v>40176</v>
      </c>
      <c r="B1709" t="s">
        <v>10272</v>
      </c>
      <c r="C1709" t="s">
        <v>10273</v>
      </c>
      <c r="E1709" t="s">
        <v>10274</v>
      </c>
      <c r="F1709" t="s">
        <v>3841</v>
      </c>
      <c r="G1709" t="s">
        <v>1681</v>
      </c>
      <c r="H1709" t="s">
        <v>347</v>
      </c>
      <c r="J1709" t="s">
        <v>605</v>
      </c>
      <c r="K1709" t="s">
        <v>606</v>
      </c>
      <c r="L1709" t="s">
        <v>4273</v>
      </c>
      <c r="M1709" t="s">
        <v>1382</v>
      </c>
      <c r="N1709" t="s">
        <v>608</v>
      </c>
      <c r="O1709" t="s">
        <v>1780</v>
      </c>
      <c r="P1709" t="s">
        <v>739</v>
      </c>
      <c r="Q1709" t="s">
        <v>511</v>
      </c>
      <c r="R1709" t="s">
        <v>1555</v>
      </c>
      <c r="S1709" t="s">
        <v>1781</v>
      </c>
      <c r="T1709" t="s">
        <v>1557</v>
      </c>
      <c r="U1709">
        <v>197000</v>
      </c>
      <c r="V1709" t="s">
        <v>4783</v>
      </c>
      <c r="W1709" t="s">
        <v>1783</v>
      </c>
      <c r="X1709" t="s">
        <v>10188</v>
      </c>
      <c r="Y1709" t="s">
        <v>4276</v>
      </c>
      <c r="Z1709" t="s">
        <v>4277</v>
      </c>
      <c r="AA1709" t="s">
        <v>4278</v>
      </c>
      <c r="AB1709" t="s">
        <v>10189</v>
      </c>
      <c r="AE1709">
        <v>-37.696917900000003</v>
      </c>
      <c r="AF1709">
        <v>176.26566489999999</v>
      </c>
      <c r="AG1709" s="175">
        <v>25</v>
      </c>
      <c r="AH1709" s="175">
        <v>6</v>
      </c>
      <c r="AI1709" s="175">
        <v>1</v>
      </c>
      <c r="AJ1709" s="175">
        <v>2</v>
      </c>
      <c r="AK1709" s="175">
        <v>5</v>
      </c>
      <c r="AL1709" s="175">
        <v>5</v>
      </c>
      <c r="AM1709" s="175">
        <v>7</v>
      </c>
      <c r="AN1709" s="175">
        <v>0</v>
      </c>
      <c r="AO1709" s="175">
        <v>20</v>
      </c>
      <c r="AP1709" s="175">
        <v>0</v>
      </c>
      <c r="AQ1709" s="175">
        <v>17</v>
      </c>
      <c r="AR1709" s="175">
        <v>2</v>
      </c>
      <c r="AS1709" s="175">
        <v>0</v>
      </c>
      <c r="AT1709" s="175">
        <v>1</v>
      </c>
    </row>
    <row r="1710" spans="1:46">
      <c r="A1710">
        <v>40178</v>
      </c>
      <c r="B1710" t="s">
        <v>10275</v>
      </c>
      <c r="C1710" t="s">
        <v>10276</v>
      </c>
      <c r="E1710" t="s">
        <v>10277</v>
      </c>
      <c r="G1710" t="s">
        <v>10230</v>
      </c>
      <c r="H1710" t="s">
        <v>347</v>
      </c>
      <c r="J1710" t="s">
        <v>605</v>
      </c>
      <c r="K1710" t="s">
        <v>606</v>
      </c>
      <c r="L1710" t="s">
        <v>4273</v>
      </c>
      <c r="M1710" t="s">
        <v>1382</v>
      </c>
      <c r="N1710" t="s">
        <v>812</v>
      </c>
      <c r="O1710" t="s">
        <v>1554</v>
      </c>
      <c r="P1710" t="s">
        <v>658</v>
      </c>
      <c r="Q1710" t="s">
        <v>511</v>
      </c>
      <c r="R1710" t="s">
        <v>1555</v>
      </c>
      <c r="S1710" t="s">
        <v>1556</v>
      </c>
      <c r="T1710" t="s">
        <v>1557</v>
      </c>
      <c r="U1710">
        <v>202400</v>
      </c>
      <c r="V1710" t="s">
        <v>10231</v>
      </c>
      <c r="W1710" t="s">
        <v>1597</v>
      </c>
      <c r="X1710" t="s">
        <v>10188</v>
      </c>
      <c r="Y1710" t="s">
        <v>4276</v>
      </c>
      <c r="Z1710" t="s">
        <v>4277</v>
      </c>
      <c r="AA1710" t="s">
        <v>4278</v>
      </c>
      <c r="AB1710" t="s">
        <v>10189</v>
      </c>
      <c r="AE1710">
        <v>-38.037394390000003</v>
      </c>
      <c r="AF1710">
        <v>176.80732949</v>
      </c>
      <c r="AG1710" s="175">
        <v>50</v>
      </c>
      <c r="AH1710" s="175">
        <v>20</v>
      </c>
      <c r="AI1710" s="175">
        <v>3</v>
      </c>
      <c r="AJ1710" s="175">
        <v>6</v>
      </c>
      <c r="AK1710" s="175">
        <v>10</v>
      </c>
      <c r="AL1710" s="175">
        <v>12</v>
      </c>
      <c r="AM1710" s="175">
        <v>5</v>
      </c>
      <c r="AN1710" s="175">
        <v>0</v>
      </c>
      <c r="AO1710" s="175">
        <v>36</v>
      </c>
      <c r="AP1710" s="175">
        <v>0</v>
      </c>
      <c r="AQ1710" s="175">
        <v>35</v>
      </c>
      <c r="AR1710" s="175">
        <v>1</v>
      </c>
      <c r="AS1710" s="175">
        <v>0</v>
      </c>
      <c r="AT1710" s="175">
        <v>0</v>
      </c>
    </row>
    <row r="1711" spans="1:46">
      <c r="A1711">
        <v>40179</v>
      </c>
      <c r="B1711" t="s">
        <v>10278</v>
      </c>
      <c r="C1711" t="s">
        <v>10279</v>
      </c>
      <c r="E1711" t="s">
        <v>10280</v>
      </c>
      <c r="G1711" t="s">
        <v>10281</v>
      </c>
      <c r="H1711" t="s">
        <v>347</v>
      </c>
      <c r="J1711" t="s">
        <v>605</v>
      </c>
      <c r="K1711" t="s">
        <v>606</v>
      </c>
      <c r="L1711" t="s">
        <v>4273</v>
      </c>
      <c r="M1711" t="s">
        <v>1382</v>
      </c>
      <c r="N1711" t="s">
        <v>625</v>
      </c>
      <c r="O1711" t="s">
        <v>1554</v>
      </c>
      <c r="P1711" t="s">
        <v>626</v>
      </c>
      <c r="Q1711" t="s">
        <v>511</v>
      </c>
      <c r="R1711" t="s">
        <v>1555</v>
      </c>
      <c r="S1711" t="s">
        <v>1556</v>
      </c>
      <c r="T1711" t="s">
        <v>1557</v>
      </c>
      <c r="U1711">
        <v>202000</v>
      </c>
      <c r="V1711" t="s">
        <v>10282</v>
      </c>
      <c r="W1711" t="s">
        <v>1597</v>
      </c>
      <c r="X1711" t="s">
        <v>10188</v>
      </c>
      <c r="Y1711" t="s">
        <v>4276</v>
      </c>
      <c r="Z1711" t="s">
        <v>4277</v>
      </c>
      <c r="AA1711" t="s">
        <v>4278</v>
      </c>
      <c r="AB1711" t="s">
        <v>10189</v>
      </c>
      <c r="AE1711">
        <v>-37.8906943</v>
      </c>
      <c r="AF1711">
        <v>176.7629838</v>
      </c>
      <c r="AG1711" s="175">
        <v>25</v>
      </c>
      <c r="AH1711" s="175">
        <v>6</v>
      </c>
      <c r="AI1711" s="175">
        <v>0</v>
      </c>
      <c r="AJ1711" s="175">
        <v>2</v>
      </c>
      <c r="AK1711" s="175">
        <v>4</v>
      </c>
      <c r="AL1711" s="175">
        <v>4</v>
      </c>
      <c r="AM1711" s="175">
        <v>4</v>
      </c>
      <c r="AN1711" s="175">
        <v>0</v>
      </c>
      <c r="AO1711" s="175">
        <v>14</v>
      </c>
      <c r="AP1711" s="175">
        <v>0</v>
      </c>
      <c r="AQ1711" s="175">
        <v>14</v>
      </c>
      <c r="AR1711" s="175">
        <v>0</v>
      </c>
      <c r="AS1711" s="175">
        <v>0</v>
      </c>
      <c r="AT1711" s="175">
        <v>0</v>
      </c>
    </row>
    <row r="1712" spans="1:46">
      <c r="A1712">
        <v>40180</v>
      </c>
      <c r="B1712" t="s">
        <v>10283</v>
      </c>
      <c r="C1712" t="s">
        <v>10284</v>
      </c>
      <c r="E1712" t="s">
        <v>10285</v>
      </c>
      <c r="G1712" t="s">
        <v>10286</v>
      </c>
      <c r="H1712" t="s">
        <v>347</v>
      </c>
      <c r="J1712" t="s">
        <v>605</v>
      </c>
      <c r="K1712" t="s">
        <v>606</v>
      </c>
      <c r="L1712" t="s">
        <v>4273</v>
      </c>
      <c r="M1712" t="s">
        <v>1382</v>
      </c>
      <c r="N1712" t="s">
        <v>812</v>
      </c>
      <c r="O1712" t="s">
        <v>1695</v>
      </c>
      <c r="P1712" t="s">
        <v>626</v>
      </c>
      <c r="Q1712" t="s">
        <v>511</v>
      </c>
      <c r="R1712" t="s">
        <v>1555</v>
      </c>
      <c r="S1712" t="s">
        <v>1556</v>
      </c>
      <c r="T1712" t="s">
        <v>1557</v>
      </c>
      <c r="U1712">
        <v>204200</v>
      </c>
      <c r="V1712" t="s">
        <v>10287</v>
      </c>
      <c r="W1712" t="s">
        <v>10288</v>
      </c>
      <c r="X1712" t="s">
        <v>10188</v>
      </c>
      <c r="Y1712" t="s">
        <v>4276</v>
      </c>
      <c r="Z1712" t="s">
        <v>4277</v>
      </c>
      <c r="AA1712" t="s">
        <v>4278</v>
      </c>
      <c r="AB1712" t="s">
        <v>10189</v>
      </c>
      <c r="AE1712">
        <v>-37.729877999999999</v>
      </c>
      <c r="AF1712">
        <v>177.69515723999999</v>
      </c>
      <c r="AG1712" s="175">
        <v>30</v>
      </c>
      <c r="AH1712" s="175">
        <v>8</v>
      </c>
      <c r="AI1712" s="175">
        <v>1</v>
      </c>
      <c r="AJ1712" s="175">
        <v>4</v>
      </c>
      <c r="AK1712" s="175">
        <v>2</v>
      </c>
      <c r="AL1712" s="175">
        <v>5</v>
      </c>
      <c r="AM1712" s="175">
        <v>4</v>
      </c>
      <c r="AN1712" s="175">
        <v>0</v>
      </c>
      <c r="AO1712" s="175">
        <v>16</v>
      </c>
      <c r="AP1712" s="175">
        <v>0</v>
      </c>
      <c r="AQ1712" s="175">
        <v>15</v>
      </c>
      <c r="AR1712" s="175">
        <v>1</v>
      </c>
      <c r="AS1712" s="175">
        <v>0</v>
      </c>
      <c r="AT1712" s="175">
        <v>0</v>
      </c>
    </row>
    <row r="1713" spans="1:46">
      <c r="A1713">
        <v>40183</v>
      </c>
      <c r="B1713" t="s">
        <v>10289</v>
      </c>
      <c r="C1713" t="s">
        <v>10290</v>
      </c>
      <c r="E1713" t="s">
        <v>10291</v>
      </c>
      <c r="G1713" t="s">
        <v>10292</v>
      </c>
      <c r="H1713" t="s">
        <v>347</v>
      </c>
      <c r="J1713" t="s">
        <v>605</v>
      </c>
      <c r="K1713" t="s">
        <v>606</v>
      </c>
      <c r="L1713" t="s">
        <v>4273</v>
      </c>
      <c r="M1713" t="s">
        <v>1382</v>
      </c>
      <c r="N1713" t="s">
        <v>625</v>
      </c>
      <c r="O1713" t="s">
        <v>1554</v>
      </c>
      <c r="P1713" t="s">
        <v>658</v>
      </c>
      <c r="Q1713" t="s">
        <v>511</v>
      </c>
      <c r="R1713" t="s">
        <v>1555</v>
      </c>
      <c r="S1713" t="s">
        <v>1556</v>
      </c>
      <c r="T1713" t="s">
        <v>1557</v>
      </c>
      <c r="U1713">
        <v>203400</v>
      </c>
      <c r="V1713" t="s">
        <v>9858</v>
      </c>
      <c r="W1713" t="s">
        <v>1678</v>
      </c>
      <c r="X1713" t="s">
        <v>10188</v>
      </c>
      <c r="Y1713" t="s">
        <v>4276</v>
      </c>
      <c r="Z1713" t="s">
        <v>4277</v>
      </c>
      <c r="AA1713" t="s">
        <v>4278</v>
      </c>
      <c r="AB1713" t="s">
        <v>10189</v>
      </c>
      <c r="AE1713">
        <v>-38.225509070000001</v>
      </c>
      <c r="AF1713">
        <v>176.84381594999999</v>
      </c>
      <c r="AG1713" s="175">
        <v>20</v>
      </c>
      <c r="AH1713" s="175">
        <v>5</v>
      </c>
      <c r="AI1713" s="175">
        <v>0</v>
      </c>
      <c r="AJ1713" s="175">
        <v>1</v>
      </c>
      <c r="AK1713" s="175">
        <v>2</v>
      </c>
      <c r="AL1713" s="175">
        <v>2</v>
      </c>
      <c r="AM1713" s="175">
        <v>0</v>
      </c>
      <c r="AN1713" s="175">
        <v>0</v>
      </c>
      <c r="AO1713" s="175">
        <v>5</v>
      </c>
      <c r="AP1713" s="175">
        <v>0</v>
      </c>
      <c r="AQ1713" s="175">
        <v>5</v>
      </c>
      <c r="AR1713" s="175">
        <v>0</v>
      </c>
      <c r="AS1713" s="175">
        <v>0</v>
      </c>
      <c r="AT1713" s="175">
        <v>0</v>
      </c>
    </row>
    <row r="1714" spans="1:46">
      <c r="A1714">
        <v>40184</v>
      </c>
      <c r="B1714" t="s">
        <v>10293</v>
      </c>
      <c r="C1714" t="s">
        <v>10294</v>
      </c>
      <c r="E1714" t="s">
        <v>10295</v>
      </c>
      <c r="G1714" t="s">
        <v>1694</v>
      </c>
      <c r="H1714" t="s">
        <v>347</v>
      </c>
      <c r="J1714" t="s">
        <v>605</v>
      </c>
      <c r="K1714" t="s">
        <v>606</v>
      </c>
      <c r="L1714" t="s">
        <v>4273</v>
      </c>
      <c r="M1714" t="s">
        <v>1382</v>
      </c>
      <c r="N1714" t="s">
        <v>608</v>
      </c>
      <c r="O1714" t="s">
        <v>1695</v>
      </c>
      <c r="P1714" t="s">
        <v>658</v>
      </c>
      <c r="Q1714" t="s">
        <v>511</v>
      </c>
      <c r="R1714" t="s">
        <v>1555</v>
      </c>
      <c r="S1714" t="s">
        <v>1556</v>
      </c>
      <c r="T1714" t="s">
        <v>1557</v>
      </c>
      <c r="U1714">
        <v>204200</v>
      </c>
      <c r="V1714" t="s">
        <v>10287</v>
      </c>
      <c r="W1714" t="s">
        <v>10288</v>
      </c>
      <c r="X1714" t="s">
        <v>10188</v>
      </c>
      <c r="Y1714" t="s">
        <v>4276</v>
      </c>
      <c r="Z1714" t="s">
        <v>4277</v>
      </c>
      <c r="AA1714" t="s">
        <v>4278</v>
      </c>
      <c r="AB1714" t="s">
        <v>10189</v>
      </c>
      <c r="AE1714">
        <v>-37.574556639999997</v>
      </c>
      <c r="AF1714">
        <v>177.99702690999999</v>
      </c>
      <c r="AG1714" s="175">
        <v>27</v>
      </c>
      <c r="AH1714" s="175">
        <v>10</v>
      </c>
      <c r="AI1714" s="175">
        <v>0</v>
      </c>
      <c r="AJ1714" s="175">
        <v>6</v>
      </c>
      <c r="AK1714" s="175">
        <v>3</v>
      </c>
      <c r="AL1714" s="175">
        <v>8</v>
      </c>
      <c r="AM1714" s="175">
        <v>2</v>
      </c>
      <c r="AN1714" s="175">
        <v>0</v>
      </c>
      <c r="AO1714" s="175">
        <v>19</v>
      </c>
      <c r="AP1714" s="175">
        <v>0</v>
      </c>
      <c r="AQ1714" s="175">
        <v>19</v>
      </c>
      <c r="AR1714" s="175">
        <v>0</v>
      </c>
      <c r="AS1714" s="175">
        <v>0</v>
      </c>
      <c r="AT1714" s="175">
        <v>0</v>
      </c>
    </row>
    <row r="1715" spans="1:46">
      <c r="A1715">
        <v>40185</v>
      </c>
      <c r="B1715" t="s">
        <v>10296</v>
      </c>
      <c r="C1715" t="s">
        <v>10297</v>
      </c>
      <c r="E1715" t="s">
        <v>10298</v>
      </c>
      <c r="G1715" t="s">
        <v>1553</v>
      </c>
      <c r="H1715" t="s">
        <v>347</v>
      </c>
      <c r="J1715" t="s">
        <v>605</v>
      </c>
      <c r="K1715" t="s">
        <v>606</v>
      </c>
      <c r="L1715" t="s">
        <v>4273</v>
      </c>
      <c r="M1715" t="s">
        <v>1382</v>
      </c>
      <c r="N1715" t="s">
        <v>812</v>
      </c>
      <c r="O1715" t="s">
        <v>1554</v>
      </c>
      <c r="P1715" t="s">
        <v>1347</v>
      </c>
      <c r="Q1715" t="s">
        <v>511</v>
      </c>
      <c r="R1715" t="s">
        <v>1555</v>
      </c>
      <c r="S1715" t="s">
        <v>1556</v>
      </c>
      <c r="T1715" t="s">
        <v>1557</v>
      </c>
      <c r="U1715">
        <v>202700</v>
      </c>
      <c r="V1715" t="s">
        <v>1558</v>
      </c>
      <c r="W1715" t="s">
        <v>1559</v>
      </c>
      <c r="X1715" t="s">
        <v>10188</v>
      </c>
      <c r="Y1715" t="s">
        <v>4276</v>
      </c>
      <c r="Z1715" t="s">
        <v>4277</v>
      </c>
      <c r="AA1715" t="s">
        <v>4278</v>
      </c>
      <c r="AB1715" t="s">
        <v>10189</v>
      </c>
      <c r="AE1715">
        <v>-37.950096719999998</v>
      </c>
      <c r="AF1715">
        <v>177.004322</v>
      </c>
      <c r="AG1715" s="175">
        <v>24</v>
      </c>
      <c r="AH1715" s="175">
        <v>8</v>
      </c>
      <c r="AI1715" s="175">
        <v>0</v>
      </c>
      <c r="AJ1715" s="175">
        <v>3</v>
      </c>
      <c r="AK1715" s="175">
        <v>7</v>
      </c>
      <c r="AL1715" s="175">
        <v>5</v>
      </c>
      <c r="AM1715" s="175">
        <v>5</v>
      </c>
      <c r="AN1715" s="175">
        <v>0</v>
      </c>
      <c r="AO1715" s="175">
        <v>20</v>
      </c>
      <c r="AP1715" s="175">
        <v>0</v>
      </c>
      <c r="AQ1715" s="175">
        <v>20</v>
      </c>
      <c r="AR1715" s="175">
        <v>0</v>
      </c>
      <c r="AS1715" s="175">
        <v>0</v>
      </c>
      <c r="AT1715" s="175">
        <v>0</v>
      </c>
    </row>
    <row r="1716" spans="1:46">
      <c r="A1716">
        <v>40186</v>
      </c>
      <c r="B1716" t="s">
        <v>10299</v>
      </c>
      <c r="C1716" t="s">
        <v>10300</v>
      </c>
      <c r="E1716" t="s">
        <v>10301</v>
      </c>
      <c r="G1716" t="s">
        <v>1553</v>
      </c>
      <c r="H1716" t="s">
        <v>347</v>
      </c>
      <c r="J1716" t="s">
        <v>605</v>
      </c>
      <c r="K1716" t="s">
        <v>606</v>
      </c>
      <c r="L1716" t="s">
        <v>4273</v>
      </c>
      <c r="M1716" t="s">
        <v>1382</v>
      </c>
      <c r="N1716" t="s">
        <v>608</v>
      </c>
      <c r="O1716" t="s">
        <v>1554</v>
      </c>
      <c r="P1716" t="s">
        <v>1347</v>
      </c>
      <c r="Q1716" t="s">
        <v>511</v>
      </c>
      <c r="R1716" t="s">
        <v>1555</v>
      </c>
      <c r="S1716" t="s">
        <v>1556</v>
      </c>
      <c r="T1716" t="s">
        <v>1557</v>
      </c>
      <c r="U1716">
        <v>202500</v>
      </c>
      <c r="V1716" t="s">
        <v>10302</v>
      </c>
      <c r="W1716" t="s">
        <v>1597</v>
      </c>
      <c r="X1716" t="s">
        <v>10188</v>
      </c>
      <c r="Y1716" t="s">
        <v>4276</v>
      </c>
      <c r="Z1716" t="s">
        <v>4277</v>
      </c>
      <c r="AA1716" t="s">
        <v>4278</v>
      </c>
      <c r="AB1716" t="s">
        <v>10189</v>
      </c>
      <c r="AE1716">
        <v>-37.957184269999999</v>
      </c>
      <c r="AF1716">
        <v>176.95019912999999</v>
      </c>
      <c r="AG1716" s="175">
        <v>40</v>
      </c>
      <c r="AH1716" s="175">
        <v>15</v>
      </c>
      <c r="AI1716" s="175">
        <v>4</v>
      </c>
      <c r="AJ1716" s="175">
        <v>7</v>
      </c>
      <c r="AK1716" s="175">
        <v>11</v>
      </c>
      <c r="AL1716" s="175">
        <v>6</v>
      </c>
      <c r="AM1716" s="175">
        <v>9</v>
      </c>
      <c r="AN1716" s="175">
        <v>0</v>
      </c>
      <c r="AO1716" s="175">
        <v>37</v>
      </c>
      <c r="AP1716" s="175">
        <v>0</v>
      </c>
      <c r="AQ1716" s="175">
        <v>37</v>
      </c>
      <c r="AR1716" s="175">
        <v>0</v>
      </c>
      <c r="AS1716" s="175">
        <v>0</v>
      </c>
      <c r="AT1716" s="175">
        <v>0</v>
      </c>
    </row>
    <row r="1717" spans="1:46">
      <c r="A1717">
        <v>40187</v>
      </c>
      <c r="B1717" t="s">
        <v>10303</v>
      </c>
      <c r="C1717" t="s">
        <v>10304</v>
      </c>
      <c r="E1717" t="s">
        <v>10305</v>
      </c>
      <c r="G1717" t="s">
        <v>1694</v>
      </c>
      <c r="H1717" t="s">
        <v>347</v>
      </c>
      <c r="J1717" t="s">
        <v>605</v>
      </c>
      <c r="K1717" t="s">
        <v>606</v>
      </c>
      <c r="L1717" t="s">
        <v>4273</v>
      </c>
      <c r="M1717" t="s">
        <v>1382</v>
      </c>
      <c r="N1717" t="s">
        <v>812</v>
      </c>
      <c r="O1717" t="s">
        <v>1695</v>
      </c>
      <c r="P1717" t="s">
        <v>658</v>
      </c>
      <c r="Q1717" t="s">
        <v>511</v>
      </c>
      <c r="R1717" t="s">
        <v>1555</v>
      </c>
      <c r="S1717" t="s">
        <v>1556</v>
      </c>
      <c r="T1717" t="s">
        <v>1557</v>
      </c>
      <c r="U1717">
        <v>204200</v>
      </c>
      <c r="V1717" t="s">
        <v>10287</v>
      </c>
      <c r="W1717" t="s">
        <v>10288</v>
      </c>
      <c r="X1717" t="s">
        <v>10188</v>
      </c>
      <c r="Y1717" t="s">
        <v>4276</v>
      </c>
      <c r="Z1717" t="s">
        <v>4277</v>
      </c>
      <c r="AA1717" t="s">
        <v>4278</v>
      </c>
      <c r="AB1717" t="s">
        <v>10189</v>
      </c>
      <c r="AE1717">
        <v>-37.999659479999998</v>
      </c>
      <c r="AF1717">
        <v>177.29766290000001</v>
      </c>
      <c r="AG1717" s="175">
        <v>30</v>
      </c>
      <c r="AH1717" s="175">
        <v>10</v>
      </c>
      <c r="AI1717" s="175">
        <v>0</v>
      </c>
      <c r="AJ1717" s="175">
        <v>3</v>
      </c>
      <c r="AK1717" s="175">
        <v>5</v>
      </c>
      <c r="AL1717" s="175">
        <v>5</v>
      </c>
      <c r="AM1717" s="175">
        <v>5</v>
      </c>
      <c r="AN1717" s="175">
        <v>0</v>
      </c>
      <c r="AO1717" s="175">
        <v>18</v>
      </c>
      <c r="AP1717" s="175">
        <v>0</v>
      </c>
      <c r="AQ1717" s="175">
        <v>17</v>
      </c>
      <c r="AR1717" s="175">
        <v>1</v>
      </c>
      <c r="AS1717" s="175">
        <v>0</v>
      </c>
      <c r="AT1717" s="175">
        <v>0</v>
      </c>
    </row>
    <row r="1718" spans="1:46">
      <c r="A1718">
        <v>40192</v>
      </c>
      <c r="B1718" t="s">
        <v>10306</v>
      </c>
      <c r="C1718" t="s">
        <v>10307</v>
      </c>
      <c r="E1718" t="s">
        <v>10308</v>
      </c>
      <c r="G1718" t="s">
        <v>10309</v>
      </c>
      <c r="H1718" t="s">
        <v>347</v>
      </c>
      <c r="J1718" t="s">
        <v>605</v>
      </c>
      <c r="K1718" t="s">
        <v>606</v>
      </c>
      <c r="L1718" t="s">
        <v>4273</v>
      </c>
      <c r="M1718" t="s">
        <v>1382</v>
      </c>
      <c r="N1718" t="s">
        <v>608</v>
      </c>
      <c r="O1718" t="s">
        <v>1605</v>
      </c>
      <c r="P1718" t="s">
        <v>610</v>
      </c>
      <c r="Q1718" t="s">
        <v>511</v>
      </c>
      <c r="R1718" t="s">
        <v>1555</v>
      </c>
      <c r="S1718" t="s">
        <v>1604</v>
      </c>
      <c r="T1718" t="s">
        <v>1557</v>
      </c>
      <c r="U1718">
        <v>198100</v>
      </c>
      <c r="V1718" t="s">
        <v>9950</v>
      </c>
      <c r="W1718" t="s">
        <v>9890</v>
      </c>
      <c r="X1718" t="s">
        <v>8511</v>
      </c>
      <c r="Y1718" t="s">
        <v>4276</v>
      </c>
      <c r="Z1718" t="s">
        <v>4277</v>
      </c>
      <c r="AA1718" t="s">
        <v>4278</v>
      </c>
      <c r="AB1718" t="s">
        <v>8512</v>
      </c>
      <c r="AE1718">
        <v>-38.050246139999999</v>
      </c>
      <c r="AF1718">
        <v>176.2210054</v>
      </c>
      <c r="AG1718" s="175">
        <v>30</v>
      </c>
      <c r="AH1718" s="175">
        <v>10</v>
      </c>
      <c r="AI1718" s="175">
        <v>2</v>
      </c>
      <c r="AJ1718" s="175">
        <v>4</v>
      </c>
      <c r="AK1718" s="175">
        <v>12</v>
      </c>
      <c r="AL1718" s="175">
        <v>3</v>
      </c>
      <c r="AM1718" s="175">
        <v>3</v>
      </c>
      <c r="AN1718" s="175">
        <v>0</v>
      </c>
      <c r="AO1718" s="175">
        <v>24</v>
      </c>
      <c r="AP1718" s="175">
        <v>0</v>
      </c>
      <c r="AQ1718" s="175">
        <v>24</v>
      </c>
      <c r="AR1718" s="175">
        <v>0</v>
      </c>
      <c r="AS1718" s="175">
        <v>0</v>
      </c>
      <c r="AT1718" s="175">
        <v>0</v>
      </c>
    </row>
    <row r="1719" spans="1:46">
      <c r="A1719">
        <v>40193</v>
      </c>
      <c r="B1719" t="s">
        <v>10310</v>
      </c>
      <c r="C1719" t="s">
        <v>10311</v>
      </c>
      <c r="E1719" t="s">
        <v>10312</v>
      </c>
      <c r="F1719" t="s">
        <v>10073</v>
      </c>
      <c r="G1719" t="s">
        <v>1604</v>
      </c>
      <c r="H1719" t="s">
        <v>347</v>
      </c>
      <c r="J1719" t="s">
        <v>605</v>
      </c>
      <c r="K1719" t="s">
        <v>606</v>
      </c>
      <c r="L1719" t="s">
        <v>4273</v>
      </c>
      <c r="M1719" t="s">
        <v>1382</v>
      </c>
      <c r="N1719" t="s">
        <v>608</v>
      </c>
      <c r="O1719" t="s">
        <v>1605</v>
      </c>
      <c r="P1719" t="s">
        <v>670</v>
      </c>
      <c r="Q1719" t="s">
        <v>511</v>
      </c>
      <c r="R1719" t="s">
        <v>1555</v>
      </c>
      <c r="S1719" t="s">
        <v>1604</v>
      </c>
      <c r="T1719" t="s">
        <v>1557</v>
      </c>
      <c r="U1719">
        <v>201300</v>
      </c>
      <c r="V1719" t="s">
        <v>8582</v>
      </c>
      <c r="W1719" t="s">
        <v>1606</v>
      </c>
      <c r="X1719" t="s">
        <v>8511</v>
      </c>
      <c r="Y1719" t="s">
        <v>4276</v>
      </c>
      <c r="Z1719" t="s">
        <v>4277</v>
      </c>
      <c r="AA1719" t="s">
        <v>4278</v>
      </c>
      <c r="AB1719" t="s">
        <v>8512</v>
      </c>
      <c r="AE1719">
        <v>-38.162708709999997</v>
      </c>
      <c r="AF1719">
        <v>176.25600104</v>
      </c>
      <c r="AG1719" s="175">
        <v>15</v>
      </c>
      <c r="AH1719" s="175">
        <v>10</v>
      </c>
      <c r="AI1719" s="175">
        <v>0</v>
      </c>
      <c r="AJ1719" s="175">
        <v>3</v>
      </c>
      <c r="AK1719" s="175">
        <v>4</v>
      </c>
      <c r="AL1719" s="175">
        <v>3</v>
      </c>
      <c r="AM1719" s="175">
        <v>4</v>
      </c>
      <c r="AN1719" s="175">
        <v>0</v>
      </c>
      <c r="AO1719" s="175">
        <v>14</v>
      </c>
      <c r="AP1719" s="175">
        <v>0</v>
      </c>
      <c r="AQ1719" s="175">
        <v>14</v>
      </c>
      <c r="AR1719" s="175">
        <v>0</v>
      </c>
      <c r="AS1719" s="175">
        <v>0</v>
      </c>
      <c r="AT1719" s="175">
        <v>0</v>
      </c>
    </row>
    <row r="1720" spans="1:46">
      <c r="A1720">
        <v>40195</v>
      </c>
      <c r="B1720" t="s">
        <v>10313</v>
      </c>
      <c r="C1720" t="s">
        <v>10314</v>
      </c>
      <c r="E1720" t="s">
        <v>10315</v>
      </c>
      <c r="G1720" t="s">
        <v>9777</v>
      </c>
      <c r="H1720" t="s">
        <v>347</v>
      </c>
      <c r="J1720" t="s">
        <v>605</v>
      </c>
      <c r="K1720" t="s">
        <v>606</v>
      </c>
      <c r="L1720" t="s">
        <v>4273</v>
      </c>
      <c r="M1720" t="s">
        <v>1382</v>
      </c>
      <c r="N1720" t="s">
        <v>608</v>
      </c>
      <c r="O1720" t="s">
        <v>1629</v>
      </c>
      <c r="P1720" t="s">
        <v>626</v>
      </c>
      <c r="Q1720" t="s">
        <v>510</v>
      </c>
      <c r="R1720" t="s">
        <v>1555</v>
      </c>
      <c r="S1720" t="s">
        <v>1404</v>
      </c>
      <c r="T1720" t="s">
        <v>1568</v>
      </c>
      <c r="U1720">
        <v>187702</v>
      </c>
      <c r="V1720" t="s">
        <v>9777</v>
      </c>
      <c r="W1720" t="s">
        <v>9778</v>
      </c>
      <c r="X1720" t="s">
        <v>8511</v>
      </c>
      <c r="Y1720" t="s">
        <v>4276</v>
      </c>
      <c r="Z1720" t="s">
        <v>4277</v>
      </c>
      <c r="AA1720" t="s">
        <v>4278</v>
      </c>
      <c r="AB1720" t="s">
        <v>8512</v>
      </c>
      <c r="AE1720">
        <v>-38.366289969999997</v>
      </c>
      <c r="AF1720">
        <v>175.77524553000001</v>
      </c>
      <c r="AG1720" s="175">
        <v>20</v>
      </c>
      <c r="AH1720" s="175">
        <v>5</v>
      </c>
      <c r="AI1720" s="175">
        <v>4</v>
      </c>
      <c r="AJ1720" s="175">
        <v>1</v>
      </c>
      <c r="AK1720" s="175">
        <v>0</v>
      </c>
      <c r="AL1720" s="175">
        <v>1</v>
      </c>
      <c r="AM1720" s="175">
        <v>1</v>
      </c>
      <c r="AN1720" s="175">
        <v>0</v>
      </c>
      <c r="AO1720" s="175">
        <v>7</v>
      </c>
      <c r="AP1720" s="175">
        <v>0</v>
      </c>
      <c r="AQ1720" s="175">
        <v>7</v>
      </c>
      <c r="AR1720" s="175">
        <v>0</v>
      </c>
      <c r="AS1720" s="175">
        <v>0</v>
      </c>
      <c r="AT1720" s="175">
        <v>0</v>
      </c>
    </row>
    <row r="1721" spans="1:46">
      <c r="A1721">
        <v>40199</v>
      </c>
      <c r="B1721" t="s">
        <v>10316</v>
      </c>
      <c r="C1721" t="s">
        <v>10317</v>
      </c>
      <c r="E1721" t="s">
        <v>10318</v>
      </c>
      <c r="F1721" t="s">
        <v>10302</v>
      </c>
      <c r="G1721" t="s">
        <v>1553</v>
      </c>
      <c r="H1721" t="s">
        <v>347</v>
      </c>
      <c r="J1721" t="s">
        <v>605</v>
      </c>
      <c r="K1721" t="s">
        <v>606</v>
      </c>
      <c r="L1721" t="s">
        <v>4273</v>
      </c>
      <c r="M1721" t="s">
        <v>1382</v>
      </c>
      <c r="N1721" t="s">
        <v>812</v>
      </c>
      <c r="O1721" t="s">
        <v>1554</v>
      </c>
      <c r="P1721" t="s">
        <v>1347</v>
      </c>
      <c r="Q1721" t="s">
        <v>511</v>
      </c>
      <c r="R1721" t="s">
        <v>1555</v>
      </c>
      <c r="S1721" t="s">
        <v>1556</v>
      </c>
      <c r="T1721" t="s">
        <v>1557</v>
      </c>
      <c r="U1721">
        <v>202500</v>
      </c>
      <c r="V1721" t="s">
        <v>10302</v>
      </c>
      <c r="W1721" t="s">
        <v>1559</v>
      </c>
      <c r="X1721" t="s">
        <v>10188</v>
      </c>
      <c r="Y1721" t="s">
        <v>4276</v>
      </c>
      <c r="Z1721" t="s">
        <v>4277</v>
      </c>
      <c r="AA1721" t="s">
        <v>4278</v>
      </c>
      <c r="AB1721" t="s">
        <v>10189</v>
      </c>
      <c r="AE1721">
        <v>-37.931013700000001</v>
      </c>
      <c r="AF1721">
        <v>176.94229923</v>
      </c>
      <c r="AG1721" s="175">
        <v>47</v>
      </c>
      <c r="AH1721" s="175">
        <v>20</v>
      </c>
      <c r="AI1721" s="175">
        <v>2</v>
      </c>
      <c r="AJ1721" s="175">
        <v>2</v>
      </c>
      <c r="AK1721" s="175">
        <v>7</v>
      </c>
      <c r="AL1721" s="175">
        <v>5</v>
      </c>
      <c r="AM1721" s="175">
        <v>6</v>
      </c>
      <c r="AN1721" s="175">
        <v>0</v>
      </c>
      <c r="AO1721" s="175">
        <v>22</v>
      </c>
      <c r="AP1721" s="175">
        <v>0</v>
      </c>
      <c r="AQ1721" s="175">
        <v>21</v>
      </c>
      <c r="AR1721" s="175">
        <v>0</v>
      </c>
      <c r="AS1721" s="175">
        <v>0</v>
      </c>
      <c r="AT1721" s="175">
        <v>1</v>
      </c>
    </row>
    <row r="1722" spans="1:46">
      <c r="A1722">
        <v>40200</v>
      </c>
      <c r="B1722" t="s">
        <v>10319</v>
      </c>
      <c r="C1722" t="s">
        <v>10320</v>
      </c>
      <c r="D1722" t="s">
        <v>10321</v>
      </c>
      <c r="E1722" t="s">
        <v>10322</v>
      </c>
      <c r="F1722" t="s">
        <v>10138</v>
      </c>
      <c r="G1722" t="s">
        <v>1604</v>
      </c>
      <c r="H1722" t="s">
        <v>449</v>
      </c>
      <c r="J1722" t="s">
        <v>4032</v>
      </c>
      <c r="K1722" t="s">
        <v>606</v>
      </c>
      <c r="M1722" t="s">
        <v>1382</v>
      </c>
      <c r="N1722" t="s">
        <v>608</v>
      </c>
      <c r="O1722" t="s">
        <v>1605</v>
      </c>
      <c r="P1722" t="s">
        <v>670</v>
      </c>
      <c r="Q1722" t="s">
        <v>511</v>
      </c>
      <c r="R1722" t="s">
        <v>1555</v>
      </c>
      <c r="S1722" t="s">
        <v>1604</v>
      </c>
      <c r="T1722" t="s">
        <v>1557</v>
      </c>
      <c r="U1722">
        <v>199500</v>
      </c>
      <c r="V1722" t="s">
        <v>8769</v>
      </c>
      <c r="W1722" t="s">
        <v>1606</v>
      </c>
      <c r="X1722" t="s">
        <v>10323</v>
      </c>
      <c r="Y1722" t="s">
        <v>4051</v>
      </c>
      <c r="AA1722" t="s">
        <v>4052</v>
      </c>
      <c r="AB1722" t="s">
        <v>10320</v>
      </c>
      <c r="AC1722">
        <v>99107</v>
      </c>
      <c r="AD1722" t="s">
        <v>1609</v>
      </c>
      <c r="AE1722">
        <v>-38.13218758</v>
      </c>
      <c r="AF1722">
        <v>176.21644545000001</v>
      </c>
      <c r="AG1722" s="175">
        <v>46</v>
      </c>
      <c r="AH1722" s="175">
        <v>14</v>
      </c>
      <c r="AI1722" s="175">
        <v>4</v>
      </c>
      <c r="AJ1722" s="175">
        <v>12</v>
      </c>
      <c r="AK1722" s="175">
        <v>10</v>
      </c>
      <c r="AL1722" s="175">
        <v>9</v>
      </c>
      <c r="AM1722" s="175">
        <v>15</v>
      </c>
      <c r="AN1722" s="175">
        <v>0</v>
      </c>
      <c r="AO1722" s="175">
        <v>50</v>
      </c>
      <c r="AP1722" s="175">
        <v>20</v>
      </c>
      <c r="AQ1722" s="175">
        <v>36</v>
      </c>
      <c r="AR1722" s="175">
        <v>10</v>
      </c>
      <c r="AS1722" s="175">
        <v>1</v>
      </c>
      <c r="AT1722" s="175">
        <v>0</v>
      </c>
    </row>
    <row r="1723" spans="1:46">
      <c r="A1723">
        <v>40201</v>
      </c>
      <c r="B1723" t="s">
        <v>10324</v>
      </c>
      <c r="C1723" t="s">
        <v>10325</v>
      </c>
      <c r="E1723" t="s">
        <v>10326</v>
      </c>
      <c r="G1723" t="s">
        <v>1923</v>
      </c>
      <c r="H1723" t="s">
        <v>449</v>
      </c>
      <c r="J1723" t="s">
        <v>4032</v>
      </c>
      <c r="K1723" t="s">
        <v>606</v>
      </c>
      <c r="M1723" t="s">
        <v>1382</v>
      </c>
      <c r="N1723" t="s">
        <v>643</v>
      </c>
      <c r="O1723" t="s">
        <v>1968</v>
      </c>
      <c r="P1723" t="s">
        <v>670</v>
      </c>
      <c r="Q1723" t="s">
        <v>553</v>
      </c>
      <c r="R1723" t="s">
        <v>1841</v>
      </c>
      <c r="S1723" t="s">
        <v>1923</v>
      </c>
      <c r="T1723" t="s">
        <v>1568</v>
      </c>
      <c r="U1723">
        <v>225700</v>
      </c>
      <c r="V1723" t="s">
        <v>10327</v>
      </c>
      <c r="W1723" t="s">
        <v>1734</v>
      </c>
      <c r="X1723" t="s">
        <v>10328</v>
      </c>
      <c r="Y1723" t="s">
        <v>10329</v>
      </c>
      <c r="Z1723" t="s">
        <v>10330</v>
      </c>
      <c r="AA1723" t="s">
        <v>10331</v>
      </c>
      <c r="AB1723" t="s">
        <v>10332</v>
      </c>
      <c r="AC1723">
        <v>99218</v>
      </c>
      <c r="AD1723" t="s">
        <v>1974</v>
      </c>
      <c r="AE1723">
        <v>-39.936537989999998</v>
      </c>
      <c r="AF1723">
        <v>175.04420891999999</v>
      </c>
      <c r="AG1723" s="175">
        <v>37</v>
      </c>
      <c r="AH1723" s="175">
        <v>9</v>
      </c>
      <c r="AI1723" s="175">
        <v>1</v>
      </c>
      <c r="AJ1723" s="175">
        <v>8</v>
      </c>
      <c r="AK1723" s="175">
        <v>7</v>
      </c>
      <c r="AL1723" s="175">
        <v>9</v>
      </c>
      <c r="AM1723" s="175">
        <v>8</v>
      </c>
      <c r="AN1723" s="175">
        <v>1</v>
      </c>
      <c r="AO1723" s="175">
        <v>34</v>
      </c>
      <c r="AP1723" s="175">
        <v>29</v>
      </c>
      <c r="AQ1723" s="175">
        <v>10</v>
      </c>
      <c r="AR1723" s="175">
        <v>5</v>
      </c>
      <c r="AS1723" s="175">
        <v>2</v>
      </c>
      <c r="AT1723" s="175">
        <v>0</v>
      </c>
    </row>
    <row r="1724" spans="1:46">
      <c r="A1724">
        <v>40202</v>
      </c>
      <c r="B1724" t="s">
        <v>10333</v>
      </c>
      <c r="C1724" t="s">
        <v>10334</v>
      </c>
      <c r="E1724" t="s">
        <v>10335</v>
      </c>
      <c r="G1724" t="s">
        <v>1761</v>
      </c>
      <c r="H1724" t="s">
        <v>347</v>
      </c>
      <c r="J1724" t="s">
        <v>605</v>
      </c>
      <c r="K1724" t="s">
        <v>606</v>
      </c>
      <c r="L1724" t="s">
        <v>4273</v>
      </c>
      <c r="M1724" t="s">
        <v>1382</v>
      </c>
      <c r="N1724" t="s">
        <v>812</v>
      </c>
      <c r="O1724" t="s">
        <v>1629</v>
      </c>
      <c r="P1724" t="s">
        <v>610</v>
      </c>
      <c r="Q1724" t="s">
        <v>510</v>
      </c>
      <c r="R1724" t="s">
        <v>1555</v>
      </c>
      <c r="S1724" t="s">
        <v>1404</v>
      </c>
      <c r="T1724" t="s">
        <v>1557</v>
      </c>
      <c r="U1724">
        <v>189700</v>
      </c>
      <c r="V1724" t="s">
        <v>1762</v>
      </c>
      <c r="W1724" t="s">
        <v>1763</v>
      </c>
      <c r="X1724" t="s">
        <v>8511</v>
      </c>
      <c r="Y1724" t="s">
        <v>4276</v>
      </c>
      <c r="Z1724" t="s">
        <v>4277</v>
      </c>
      <c r="AA1724" t="s">
        <v>4278</v>
      </c>
      <c r="AB1724" t="s">
        <v>8512</v>
      </c>
      <c r="AE1724">
        <v>-38.985122279999999</v>
      </c>
      <c r="AF1724">
        <v>175.80539711</v>
      </c>
      <c r="AG1724" s="175">
        <v>20</v>
      </c>
      <c r="AH1724" s="175">
        <v>8</v>
      </c>
      <c r="AI1724" s="175">
        <v>1</v>
      </c>
      <c r="AJ1724" s="175">
        <v>4</v>
      </c>
      <c r="AK1724" s="175">
        <v>4</v>
      </c>
      <c r="AL1724" s="175">
        <v>4</v>
      </c>
      <c r="AM1724" s="175">
        <v>3</v>
      </c>
      <c r="AN1724" s="175">
        <v>0</v>
      </c>
      <c r="AO1724" s="175">
        <v>16</v>
      </c>
      <c r="AP1724" s="175">
        <v>0</v>
      </c>
      <c r="AQ1724" s="175">
        <v>16</v>
      </c>
      <c r="AR1724" s="175">
        <v>0</v>
      </c>
      <c r="AS1724" s="175">
        <v>0</v>
      </c>
      <c r="AT1724" s="175">
        <v>0</v>
      </c>
    </row>
    <row r="1725" spans="1:46">
      <c r="A1725">
        <v>40204</v>
      </c>
      <c r="B1725" t="s">
        <v>10336</v>
      </c>
      <c r="C1725" t="s">
        <v>10337</v>
      </c>
      <c r="D1725" t="s">
        <v>10338</v>
      </c>
      <c r="E1725" t="s">
        <v>10339</v>
      </c>
      <c r="F1725" t="s">
        <v>1604</v>
      </c>
      <c r="G1725" t="s">
        <v>1604</v>
      </c>
      <c r="H1725" t="s">
        <v>449</v>
      </c>
      <c r="J1725" t="s">
        <v>4032</v>
      </c>
      <c r="K1725" t="s">
        <v>606</v>
      </c>
      <c r="M1725" t="s">
        <v>1382</v>
      </c>
      <c r="N1725" t="s">
        <v>625</v>
      </c>
      <c r="O1725" t="s">
        <v>1605</v>
      </c>
      <c r="P1725" t="s">
        <v>670</v>
      </c>
      <c r="Q1725" t="s">
        <v>511</v>
      </c>
      <c r="R1725" t="s">
        <v>1555</v>
      </c>
      <c r="S1725" t="s">
        <v>1604</v>
      </c>
      <c r="T1725" t="s">
        <v>1557</v>
      </c>
      <c r="U1725">
        <v>199300</v>
      </c>
      <c r="V1725" t="s">
        <v>10340</v>
      </c>
      <c r="W1725" t="s">
        <v>1606</v>
      </c>
      <c r="X1725" t="s">
        <v>10341</v>
      </c>
      <c r="Y1725" t="s">
        <v>10342</v>
      </c>
      <c r="Z1725" t="s">
        <v>8628</v>
      </c>
      <c r="AA1725" t="s">
        <v>10343</v>
      </c>
      <c r="AB1725" t="s">
        <v>10344</v>
      </c>
      <c r="AE1725">
        <v>-38.119707099999999</v>
      </c>
      <c r="AF1725">
        <v>176.22730254999999</v>
      </c>
      <c r="AG1725" s="175">
        <v>90</v>
      </c>
      <c r="AH1725" s="175">
        <v>40</v>
      </c>
      <c r="AI1725" s="175">
        <v>7</v>
      </c>
      <c r="AJ1725" s="175">
        <v>8</v>
      </c>
      <c r="AK1725" s="175">
        <v>18</v>
      </c>
      <c r="AL1725" s="175">
        <v>14</v>
      </c>
      <c r="AM1725" s="175">
        <v>19</v>
      </c>
      <c r="AN1725" s="175">
        <v>1</v>
      </c>
      <c r="AO1725" s="175">
        <v>67</v>
      </c>
      <c r="AP1725" s="175">
        <v>35</v>
      </c>
      <c r="AQ1725" s="175">
        <v>27</v>
      </c>
      <c r="AR1725" s="175">
        <v>5</v>
      </c>
      <c r="AS1725" s="175">
        <v>21</v>
      </c>
      <c r="AT1725" s="175">
        <v>0</v>
      </c>
    </row>
    <row r="1726" spans="1:46">
      <c r="A1726">
        <v>40207</v>
      </c>
      <c r="B1726" t="s">
        <v>10345</v>
      </c>
      <c r="C1726" t="s">
        <v>10346</v>
      </c>
      <c r="D1726" t="s">
        <v>10347</v>
      </c>
      <c r="E1726" t="s">
        <v>10348</v>
      </c>
      <c r="F1726" t="s">
        <v>3793</v>
      </c>
      <c r="G1726" t="s">
        <v>1681</v>
      </c>
      <c r="H1726" t="s">
        <v>449</v>
      </c>
      <c r="J1726" t="s">
        <v>4032</v>
      </c>
      <c r="K1726" t="s">
        <v>606</v>
      </c>
      <c r="M1726" t="s">
        <v>1382</v>
      </c>
      <c r="N1726" t="s">
        <v>643</v>
      </c>
      <c r="O1726" t="s">
        <v>1780</v>
      </c>
      <c r="P1726" t="s">
        <v>739</v>
      </c>
      <c r="Q1726" t="s">
        <v>511</v>
      </c>
      <c r="R1726" t="s">
        <v>1555</v>
      </c>
      <c r="S1726" t="s">
        <v>1681</v>
      </c>
      <c r="T1726" t="s">
        <v>1557</v>
      </c>
      <c r="U1726">
        <v>194802</v>
      </c>
      <c r="V1726" t="s">
        <v>3794</v>
      </c>
      <c r="W1726" t="s">
        <v>3795</v>
      </c>
      <c r="X1726" t="s">
        <v>10349</v>
      </c>
      <c r="Y1726" t="s">
        <v>10350</v>
      </c>
      <c r="Z1726" t="s">
        <v>906</v>
      </c>
      <c r="AA1726" t="s">
        <v>4138</v>
      </c>
      <c r="AC1726">
        <v>99085</v>
      </c>
      <c r="AD1726" t="s">
        <v>1800</v>
      </c>
      <c r="AE1726">
        <v>-37.709666069999997</v>
      </c>
      <c r="AF1726">
        <v>176.15043813</v>
      </c>
      <c r="AG1726" s="175">
        <v>42</v>
      </c>
      <c r="AH1726" s="175">
        <v>15</v>
      </c>
      <c r="AI1726" s="175">
        <v>1</v>
      </c>
      <c r="AJ1726" s="175">
        <v>3</v>
      </c>
      <c r="AK1726" s="175">
        <v>5</v>
      </c>
      <c r="AL1726" s="175">
        <v>11</v>
      </c>
      <c r="AM1726" s="175">
        <v>12</v>
      </c>
      <c r="AN1726" s="175">
        <v>0</v>
      </c>
      <c r="AO1726" s="175">
        <v>32</v>
      </c>
      <c r="AP1726" s="175">
        <v>13</v>
      </c>
      <c r="AQ1726" s="175">
        <v>13</v>
      </c>
      <c r="AR1726" s="175">
        <v>3</v>
      </c>
      <c r="AS1726" s="175">
        <v>12</v>
      </c>
      <c r="AT1726" s="175">
        <v>2</v>
      </c>
    </row>
    <row r="1727" spans="1:46">
      <c r="A1727">
        <v>40209</v>
      </c>
      <c r="B1727" t="s">
        <v>10351</v>
      </c>
      <c r="C1727" t="s">
        <v>10352</v>
      </c>
      <c r="E1727" t="s">
        <v>10353</v>
      </c>
      <c r="G1727" t="s">
        <v>2803</v>
      </c>
      <c r="H1727" t="s">
        <v>449</v>
      </c>
      <c r="J1727" t="s">
        <v>4032</v>
      </c>
      <c r="K1727" t="s">
        <v>606</v>
      </c>
      <c r="M1727" t="s">
        <v>2366</v>
      </c>
      <c r="N1727" t="s">
        <v>625</v>
      </c>
      <c r="O1727" t="s">
        <v>2147</v>
      </c>
      <c r="P1727" t="s">
        <v>1347</v>
      </c>
      <c r="Q1727" t="s">
        <v>553</v>
      </c>
      <c r="R1727" t="s">
        <v>2368</v>
      </c>
      <c r="S1727" t="s">
        <v>2148</v>
      </c>
      <c r="T1727" t="s">
        <v>1568</v>
      </c>
      <c r="U1727">
        <v>235100</v>
      </c>
      <c r="V1727" t="s">
        <v>10354</v>
      </c>
      <c r="W1727" t="s">
        <v>2805</v>
      </c>
      <c r="X1727" t="s">
        <v>10355</v>
      </c>
      <c r="Y1727" t="s">
        <v>10356</v>
      </c>
      <c r="AA1727" t="s">
        <v>10357</v>
      </c>
      <c r="AB1727" t="s">
        <v>10358</v>
      </c>
      <c r="AE1727">
        <v>-40.618936599999998</v>
      </c>
      <c r="AF1727">
        <v>175.30438214</v>
      </c>
      <c r="AG1727" s="175">
        <v>40</v>
      </c>
      <c r="AH1727" s="175">
        <v>15</v>
      </c>
      <c r="AI1727" s="175">
        <v>2</v>
      </c>
      <c r="AJ1727" s="175">
        <v>9</v>
      </c>
      <c r="AK1727" s="175">
        <v>18</v>
      </c>
      <c r="AL1727" s="175">
        <v>14</v>
      </c>
      <c r="AM1727" s="175">
        <v>8</v>
      </c>
      <c r="AN1727" s="175">
        <v>0</v>
      </c>
      <c r="AO1727" s="175">
        <v>51</v>
      </c>
      <c r="AP1727" s="175">
        <v>45</v>
      </c>
      <c r="AQ1727" s="175">
        <v>24</v>
      </c>
      <c r="AR1727" s="175">
        <v>6</v>
      </c>
      <c r="AS1727" s="175">
        <v>1</v>
      </c>
      <c r="AT1727" s="175">
        <v>1</v>
      </c>
    </row>
    <row r="1728" spans="1:46">
      <c r="A1728">
        <v>40210</v>
      </c>
      <c r="B1728" t="s">
        <v>10359</v>
      </c>
      <c r="C1728" t="s">
        <v>10360</v>
      </c>
      <c r="D1728" t="s">
        <v>10361</v>
      </c>
      <c r="E1728" t="s">
        <v>10362</v>
      </c>
      <c r="G1728" t="s">
        <v>10363</v>
      </c>
      <c r="H1728" t="s">
        <v>347</v>
      </c>
      <c r="J1728" t="s">
        <v>605</v>
      </c>
      <c r="K1728" t="s">
        <v>606</v>
      </c>
      <c r="L1728" t="s">
        <v>4273</v>
      </c>
      <c r="M1728" t="s">
        <v>1382</v>
      </c>
      <c r="N1728" t="s">
        <v>643</v>
      </c>
      <c r="O1728" t="s">
        <v>2197</v>
      </c>
      <c r="P1728" t="s">
        <v>626</v>
      </c>
      <c r="Q1728" t="s">
        <v>513</v>
      </c>
      <c r="R1728" t="s">
        <v>1555</v>
      </c>
      <c r="S1728" t="s">
        <v>2198</v>
      </c>
      <c r="T1728" t="s">
        <v>1557</v>
      </c>
      <c r="U1728">
        <v>207400</v>
      </c>
      <c r="V1728" t="s">
        <v>10364</v>
      </c>
      <c r="W1728" t="s">
        <v>651</v>
      </c>
      <c r="X1728" t="s">
        <v>10188</v>
      </c>
      <c r="Y1728" t="s">
        <v>4276</v>
      </c>
      <c r="Z1728" t="s">
        <v>4277</v>
      </c>
      <c r="AA1728" t="s">
        <v>4278</v>
      </c>
      <c r="AB1728" t="s">
        <v>10189</v>
      </c>
      <c r="AE1728">
        <v>-38.817490620000001</v>
      </c>
      <c r="AF1728">
        <v>177.14003933000001</v>
      </c>
      <c r="AG1728" s="175">
        <v>20</v>
      </c>
      <c r="AH1728" s="175">
        <v>10</v>
      </c>
      <c r="AI1728" s="175">
        <v>1</v>
      </c>
      <c r="AJ1728" s="175">
        <v>4</v>
      </c>
      <c r="AK1728" s="175">
        <v>3</v>
      </c>
      <c r="AL1728" s="175">
        <v>3</v>
      </c>
      <c r="AM1728" s="175">
        <v>4</v>
      </c>
      <c r="AN1728" s="175">
        <v>0</v>
      </c>
      <c r="AO1728" s="175">
        <v>15</v>
      </c>
      <c r="AP1728" s="175">
        <v>0</v>
      </c>
      <c r="AQ1728" s="175">
        <v>15</v>
      </c>
      <c r="AR1728" s="175">
        <v>0</v>
      </c>
      <c r="AS1728" s="175">
        <v>0</v>
      </c>
      <c r="AT1728" s="175">
        <v>0</v>
      </c>
    </row>
    <row r="1729" spans="1:46">
      <c r="A1729">
        <v>40212</v>
      </c>
      <c r="B1729" t="s">
        <v>10365</v>
      </c>
      <c r="C1729" t="s">
        <v>10366</v>
      </c>
      <c r="E1729" t="s">
        <v>10367</v>
      </c>
      <c r="G1729" t="s">
        <v>10368</v>
      </c>
      <c r="H1729" t="s">
        <v>347</v>
      </c>
      <c r="J1729" t="s">
        <v>605</v>
      </c>
      <c r="K1729" t="s">
        <v>606</v>
      </c>
      <c r="L1729" t="s">
        <v>4273</v>
      </c>
      <c r="M1729" t="s">
        <v>1382</v>
      </c>
      <c r="N1729" t="s">
        <v>812</v>
      </c>
      <c r="O1729" t="s">
        <v>1554</v>
      </c>
      <c r="P1729" t="s">
        <v>658</v>
      </c>
      <c r="Q1729" t="s">
        <v>511</v>
      </c>
      <c r="R1729" t="s">
        <v>1555</v>
      </c>
      <c r="S1729" t="s">
        <v>1556</v>
      </c>
      <c r="T1729" t="s">
        <v>1557</v>
      </c>
      <c r="U1729">
        <v>203500</v>
      </c>
      <c r="V1729" t="s">
        <v>10017</v>
      </c>
      <c r="W1729" t="s">
        <v>1678</v>
      </c>
      <c r="X1729" t="s">
        <v>10188</v>
      </c>
      <c r="Y1729" t="s">
        <v>4276</v>
      </c>
      <c r="Z1729" t="s">
        <v>4277</v>
      </c>
      <c r="AA1729" t="s">
        <v>4278</v>
      </c>
      <c r="AB1729" t="s">
        <v>10189</v>
      </c>
      <c r="AE1729">
        <v>-38.179113639999997</v>
      </c>
      <c r="AF1729">
        <v>177.10673797999999</v>
      </c>
      <c r="AG1729" s="175">
        <v>28</v>
      </c>
      <c r="AH1729" s="175">
        <v>10</v>
      </c>
      <c r="AI1729" s="175">
        <v>1</v>
      </c>
      <c r="AJ1729" s="175">
        <v>5</v>
      </c>
      <c r="AK1729" s="175">
        <v>7</v>
      </c>
      <c r="AL1729" s="175">
        <v>3</v>
      </c>
      <c r="AM1729" s="175">
        <v>2</v>
      </c>
      <c r="AN1729" s="175">
        <v>0</v>
      </c>
      <c r="AO1729" s="175">
        <v>18</v>
      </c>
      <c r="AP1729" s="175">
        <v>0</v>
      </c>
      <c r="AQ1729" s="175">
        <v>17</v>
      </c>
      <c r="AR1729" s="175">
        <v>0</v>
      </c>
      <c r="AS1729" s="175">
        <v>0</v>
      </c>
      <c r="AT1729" s="175">
        <v>1</v>
      </c>
    </row>
    <row r="1730" spans="1:46">
      <c r="A1730">
        <v>40213</v>
      </c>
      <c r="B1730" t="s">
        <v>10369</v>
      </c>
      <c r="C1730" t="s">
        <v>10370</v>
      </c>
      <c r="E1730" t="s">
        <v>10371</v>
      </c>
      <c r="G1730" t="s">
        <v>1731</v>
      </c>
      <c r="H1730" t="s">
        <v>347</v>
      </c>
      <c r="J1730" t="s">
        <v>605</v>
      </c>
      <c r="K1730" t="s">
        <v>606</v>
      </c>
      <c r="L1730" t="s">
        <v>4273</v>
      </c>
      <c r="M1730" t="s">
        <v>1382</v>
      </c>
      <c r="N1730" t="s">
        <v>812</v>
      </c>
      <c r="O1730" t="s">
        <v>1732</v>
      </c>
      <c r="P1730" t="s">
        <v>610</v>
      </c>
      <c r="Q1730" t="s">
        <v>511</v>
      </c>
      <c r="R1730" t="s">
        <v>1555</v>
      </c>
      <c r="S1730" t="s">
        <v>1556</v>
      </c>
      <c r="T1730" t="s">
        <v>1557</v>
      </c>
      <c r="U1730">
        <v>203901</v>
      </c>
      <c r="V1730" t="s">
        <v>10235</v>
      </c>
      <c r="W1730" t="s">
        <v>1734</v>
      </c>
      <c r="X1730" t="s">
        <v>10188</v>
      </c>
      <c r="Y1730" t="s">
        <v>4276</v>
      </c>
      <c r="Z1730" t="s">
        <v>4277</v>
      </c>
      <c r="AA1730" t="s">
        <v>4278</v>
      </c>
      <c r="AB1730" t="s">
        <v>10189</v>
      </c>
      <c r="AE1730">
        <v>-38.088874099999998</v>
      </c>
      <c r="AF1730">
        <v>176.70866140999999</v>
      </c>
      <c r="AG1730" s="175">
        <v>30</v>
      </c>
      <c r="AH1730" s="175">
        <v>8</v>
      </c>
      <c r="AI1730" s="175">
        <v>0</v>
      </c>
      <c r="AJ1730" s="175">
        <v>2</v>
      </c>
      <c r="AK1730" s="175">
        <v>8</v>
      </c>
      <c r="AL1730" s="175">
        <v>1</v>
      </c>
      <c r="AM1730" s="175">
        <v>6</v>
      </c>
      <c r="AN1730" s="175">
        <v>0</v>
      </c>
      <c r="AO1730" s="175">
        <v>17</v>
      </c>
      <c r="AP1730" s="175">
        <v>0</v>
      </c>
      <c r="AQ1730" s="175">
        <v>17</v>
      </c>
      <c r="AR1730" s="175">
        <v>0</v>
      </c>
      <c r="AS1730" s="175">
        <v>0</v>
      </c>
      <c r="AT1730" s="175">
        <v>0</v>
      </c>
    </row>
    <row r="1731" spans="1:46">
      <c r="A1731">
        <v>40215</v>
      </c>
      <c r="B1731" t="s">
        <v>10372</v>
      </c>
      <c r="C1731" t="s">
        <v>10373</v>
      </c>
      <c r="E1731" t="s">
        <v>10374</v>
      </c>
      <c r="G1731" t="s">
        <v>1628</v>
      </c>
      <c r="H1731" t="s">
        <v>347</v>
      </c>
      <c r="J1731" t="s">
        <v>605</v>
      </c>
      <c r="K1731" t="s">
        <v>606</v>
      </c>
      <c r="L1731" t="s">
        <v>4273</v>
      </c>
      <c r="M1731" t="s">
        <v>1382</v>
      </c>
      <c r="N1731" t="s">
        <v>643</v>
      </c>
      <c r="O1731" t="s">
        <v>1629</v>
      </c>
      <c r="P1731" t="s">
        <v>1347</v>
      </c>
      <c r="Q1731" t="s">
        <v>510</v>
      </c>
      <c r="R1731" t="s">
        <v>1555</v>
      </c>
      <c r="S1731" t="s">
        <v>1404</v>
      </c>
      <c r="T1731" t="s">
        <v>1557</v>
      </c>
      <c r="U1731">
        <v>188600</v>
      </c>
      <c r="V1731" t="s">
        <v>9899</v>
      </c>
      <c r="W1731" t="s">
        <v>1631</v>
      </c>
      <c r="X1731" t="s">
        <v>8511</v>
      </c>
      <c r="Y1731" t="s">
        <v>4276</v>
      </c>
      <c r="Z1731" t="s">
        <v>4277</v>
      </c>
      <c r="AA1731" t="s">
        <v>4278</v>
      </c>
      <c r="AB1731" t="s">
        <v>8512</v>
      </c>
      <c r="AE1731">
        <v>-38.679869189999998</v>
      </c>
      <c r="AF1731">
        <v>176.07513376</v>
      </c>
      <c r="AG1731" s="175">
        <v>30</v>
      </c>
      <c r="AH1731" s="175">
        <v>8</v>
      </c>
      <c r="AI1731" s="175">
        <v>0</v>
      </c>
      <c r="AJ1731" s="175">
        <v>5</v>
      </c>
      <c r="AK1731" s="175">
        <v>9</v>
      </c>
      <c r="AL1731" s="175">
        <v>3</v>
      </c>
      <c r="AM1731" s="175">
        <v>6</v>
      </c>
      <c r="AN1731" s="175">
        <v>0</v>
      </c>
      <c r="AO1731" s="175">
        <v>23</v>
      </c>
      <c r="AP1731" s="175">
        <v>0</v>
      </c>
      <c r="AQ1731" s="175">
        <v>21</v>
      </c>
      <c r="AR1731" s="175">
        <v>1</v>
      </c>
      <c r="AS1731" s="175">
        <v>0</v>
      </c>
      <c r="AT1731" s="175">
        <v>1</v>
      </c>
    </row>
    <row r="1732" spans="1:46">
      <c r="A1732">
        <v>40217</v>
      </c>
      <c r="B1732" t="s">
        <v>10375</v>
      </c>
      <c r="C1732" t="s">
        <v>10376</v>
      </c>
      <c r="E1732" t="s">
        <v>10305</v>
      </c>
      <c r="G1732" t="s">
        <v>2990</v>
      </c>
      <c r="H1732" t="s">
        <v>347</v>
      </c>
      <c r="J1732" t="s">
        <v>605</v>
      </c>
      <c r="K1732" t="s">
        <v>606</v>
      </c>
      <c r="L1732" t="s">
        <v>4273</v>
      </c>
      <c r="M1732" t="s">
        <v>1382</v>
      </c>
      <c r="N1732" t="s">
        <v>812</v>
      </c>
      <c r="O1732" t="s">
        <v>1695</v>
      </c>
      <c r="P1732" t="s">
        <v>626</v>
      </c>
      <c r="Q1732" t="s">
        <v>511</v>
      </c>
      <c r="R1732" t="s">
        <v>1555</v>
      </c>
      <c r="S1732" t="s">
        <v>1556</v>
      </c>
      <c r="T1732" t="s">
        <v>1557</v>
      </c>
      <c r="U1732">
        <v>204200</v>
      </c>
      <c r="V1732" t="s">
        <v>10287</v>
      </c>
      <c r="W1732" t="s">
        <v>10288</v>
      </c>
      <c r="X1732" t="s">
        <v>10188</v>
      </c>
      <c r="Y1732" t="s">
        <v>4276</v>
      </c>
      <c r="Z1732" t="s">
        <v>4277</v>
      </c>
      <c r="AA1732" t="s">
        <v>4278</v>
      </c>
      <c r="AB1732" t="s">
        <v>10189</v>
      </c>
      <c r="AE1732">
        <v>-37.767930190000001</v>
      </c>
      <c r="AF1732">
        <v>177.68034904000001</v>
      </c>
      <c r="AG1732" s="175">
        <v>25</v>
      </c>
      <c r="AH1732" s="175">
        <v>10</v>
      </c>
      <c r="AI1732" s="175">
        <v>0</v>
      </c>
      <c r="AJ1732" s="175">
        <v>2</v>
      </c>
      <c r="AK1732" s="175">
        <v>0</v>
      </c>
      <c r="AL1732" s="175">
        <v>4</v>
      </c>
      <c r="AM1732" s="175">
        <v>5</v>
      </c>
      <c r="AN1732" s="175">
        <v>0</v>
      </c>
      <c r="AO1732" s="175">
        <v>11</v>
      </c>
      <c r="AP1732" s="175">
        <v>0</v>
      </c>
      <c r="AQ1732" s="175">
        <v>11</v>
      </c>
      <c r="AR1732" s="175">
        <v>0</v>
      </c>
      <c r="AS1732" s="175">
        <v>0</v>
      </c>
      <c r="AT1732" s="175">
        <v>0</v>
      </c>
    </row>
    <row r="1733" spans="1:46">
      <c r="A1733">
        <v>40218</v>
      </c>
      <c r="B1733" t="s">
        <v>10377</v>
      </c>
      <c r="C1733" t="s">
        <v>10378</v>
      </c>
      <c r="E1733" t="s">
        <v>10379</v>
      </c>
      <c r="G1733" t="s">
        <v>1694</v>
      </c>
      <c r="H1733" t="s">
        <v>347</v>
      </c>
      <c r="J1733" t="s">
        <v>605</v>
      </c>
      <c r="K1733" t="s">
        <v>606</v>
      </c>
      <c r="L1733" t="s">
        <v>4273</v>
      </c>
      <c r="M1733" t="s">
        <v>1382</v>
      </c>
      <c r="N1733" t="s">
        <v>812</v>
      </c>
      <c r="O1733" t="s">
        <v>1695</v>
      </c>
      <c r="P1733" t="s">
        <v>658</v>
      </c>
      <c r="Q1733" t="s">
        <v>511</v>
      </c>
      <c r="R1733" t="s">
        <v>1555</v>
      </c>
      <c r="S1733" t="s">
        <v>1556</v>
      </c>
      <c r="T1733" t="s">
        <v>1557</v>
      </c>
      <c r="U1733">
        <v>204500</v>
      </c>
      <c r="V1733" t="s">
        <v>10380</v>
      </c>
      <c r="W1733" t="s">
        <v>10381</v>
      </c>
      <c r="X1733" t="s">
        <v>10188</v>
      </c>
      <c r="Y1733" t="s">
        <v>4276</v>
      </c>
      <c r="Z1733" t="s">
        <v>4277</v>
      </c>
      <c r="AA1733" t="s">
        <v>4278</v>
      </c>
      <c r="AB1733" t="s">
        <v>10189</v>
      </c>
      <c r="AE1733">
        <v>-38.02074365</v>
      </c>
      <c r="AF1733">
        <v>177.30040052999999</v>
      </c>
      <c r="AG1733" s="175">
        <v>28</v>
      </c>
      <c r="AH1733" s="175">
        <v>7</v>
      </c>
      <c r="AI1733" s="175">
        <v>0</v>
      </c>
      <c r="AJ1733" s="175">
        <v>5</v>
      </c>
      <c r="AK1733" s="175">
        <v>4</v>
      </c>
      <c r="AL1733" s="175">
        <v>6</v>
      </c>
      <c r="AM1733" s="175">
        <v>2</v>
      </c>
      <c r="AN1733" s="175">
        <v>0</v>
      </c>
      <c r="AO1733" s="175">
        <v>17</v>
      </c>
      <c r="AP1733" s="175">
        <v>0</v>
      </c>
      <c r="AQ1733" s="175">
        <v>17</v>
      </c>
      <c r="AR1733" s="175">
        <v>0</v>
      </c>
      <c r="AS1733" s="175">
        <v>0</v>
      </c>
      <c r="AT1733" s="175">
        <v>0</v>
      </c>
    </row>
    <row r="1734" spans="1:46">
      <c r="A1734">
        <v>40221</v>
      </c>
      <c r="B1734" t="s">
        <v>10382</v>
      </c>
      <c r="C1734" t="s">
        <v>10383</v>
      </c>
      <c r="E1734" t="s">
        <v>10384</v>
      </c>
      <c r="F1734" t="s">
        <v>2030</v>
      </c>
      <c r="G1734" t="s">
        <v>1923</v>
      </c>
      <c r="H1734" t="s">
        <v>347</v>
      </c>
      <c r="J1734" t="s">
        <v>605</v>
      </c>
      <c r="K1734" t="s">
        <v>606</v>
      </c>
      <c r="L1734" t="s">
        <v>4273</v>
      </c>
      <c r="M1734" t="s">
        <v>1382</v>
      </c>
      <c r="N1734" t="s">
        <v>608</v>
      </c>
      <c r="O1734" t="s">
        <v>1968</v>
      </c>
      <c r="P1734" t="s">
        <v>670</v>
      </c>
      <c r="Q1734" t="s">
        <v>553</v>
      </c>
      <c r="R1734" t="s">
        <v>1841</v>
      </c>
      <c r="S1734" t="s">
        <v>1923</v>
      </c>
      <c r="T1734" t="s">
        <v>1568</v>
      </c>
      <c r="U1734">
        <v>224900</v>
      </c>
      <c r="V1734" t="s">
        <v>10385</v>
      </c>
      <c r="W1734" t="s">
        <v>1734</v>
      </c>
      <c r="X1734" t="s">
        <v>9133</v>
      </c>
      <c r="Y1734" t="s">
        <v>4276</v>
      </c>
      <c r="Z1734" t="s">
        <v>4277</v>
      </c>
      <c r="AA1734" t="s">
        <v>4278</v>
      </c>
      <c r="AB1734" t="s">
        <v>9134</v>
      </c>
      <c r="AE1734">
        <v>-39.906213219999998</v>
      </c>
      <c r="AF1734">
        <v>175.06598063999999</v>
      </c>
      <c r="AG1734" s="175">
        <v>30</v>
      </c>
      <c r="AH1734" s="175">
        <v>8</v>
      </c>
      <c r="AI1734" s="175">
        <v>0</v>
      </c>
      <c r="AJ1734" s="175">
        <v>3</v>
      </c>
      <c r="AK1734" s="175">
        <v>3</v>
      </c>
      <c r="AL1734" s="175">
        <v>0</v>
      </c>
      <c r="AM1734" s="175">
        <v>3</v>
      </c>
      <c r="AN1734" s="175">
        <v>0</v>
      </c>
      <c r="AO1734" s="175">
        <v>9</v>
      </c>
      <c r="AP1734" s="175">
        <v>0</v>
      </c>
      <c r="AQ1734" s="175">
        <v>9</v>
      </c>
      <c r="AR1734" s="175">
        <v>0</v>
      </c>
      <c r="AS1734" s="175">
        <v>0</v>
      </c>
      <c r="AT1734" s="175">
        <v>0</v>
      </c>
    </row>
    <row r="1735" spans="1:46">
      <c r="A1735">
        <v>40224</v>
      </c>
      <c r="B1735" t="s">
        <v>10386</v>
      </c>
      <c r="C1735" t="s">
        <v>10387</v>
      </c>
      <c r="D1735" t="s">
        <v>10388</v>
      </c>
      <c r="E1735" t="s">
        <v>10389</v>
      </c>
      <c r="F1735" t="s">
        <v>10390</v>
      </c>
      <c r="G1735" t="s">
        <v>2055</v>
      </c>
      <c r="H1735" t="s">
        <v>347</v>
      </c>
      <c r="J1735" t="s">
        <v>605</v>
      </c>
      <c r="K1735" t="s">
        <v>606</v>
      </c>
      <c r="L1735" t="s">
        <v>4273</v>
      </c>
      <c r="M1735" t="s">
        <v>2366</v>
      </c>
      <c r="N1735" t="s">
        <v>657</v>
      </c>
      <c r="O1735" t="s">
        <v>2037</v>
      </c>
      <c r="P1735" t="s">
        <v>670</v>
      </c>
      <c r="Q1735" t="s">
        <v>553</v>
      </c>
      <c r="R1735" t="s">
        <v>2368</v>
      </c>
      <c r="S1735" t="s">
        <v>1719</v>
      </c>
      <c r="T1735" t="s">
        <v>1568</v>
      </c>
      <c r="U1735">
        <v>231900</v>
      </c>
      <c r="V1735" t="s">
        <v>10391</v>
      </c>
      <c r="W1735" t="s">
        <v>2038</v>
      </c>
      <c r="X1735" t="s">
        <v>10392</v>
      </c>
      <c r="Y1735" t="s">
        <v>4276</v>
      </c>
      <c r="Z1735" t="s">
        <v>4277</v>
      </c>
      <c r="AA1735" t="s">
        <v>4278</v>
      </c>
      <c r="AB1735" t="s">
        <v>10393</v>
      </c>
      <c r="AE1735">
        <v>-40.390900420000001</v>
      </c>
      <c r="AF1735">
        <v>175.61675700999999</v>
      </c>
      <c r="AG1735" s="175">
        <v>24</v>
      </c>
      <c r="AH1735" s="175">
        <v>8</v>
      </c>
      <c r="AI1735" s="175">
        <v>2</v>
      </c>
      <c r="AJ1735" s="175">
        <v>4</v>
      </c>
      <c r="AK1735" s="175">
        <v>8</v>
      </c>
      <c r="AL1735" s="175">
        <v>3</v>
      </c>
      <c r="AM1735" s="175">
        <v>4</v>
      </c>
      <c r="AN1735" s="175">
        <v>0</v>
      </c>
      <c r="AO1735" s="175">
        <v>21</v>
      </c>
      <c r="AP1735" s="175">
        <v>0</v>
      </c>
      <c r="AQ1735" s="175">
        <v>21</v>
      </c>
      <c r="AR1735" s="175">
        <v>0</v>
      </c>
      <c r="AS1735" s="175">
        <v>0</v>
      </c>
      <c r="AT1735" s="175">
        <v>0</v>
      </c>
    </row>
    <row r="1736" spans="1:46">
      <c r="A1736">
        <v>40226</v>
      </c>
      <c r="B1736" t="s">
        <v>10394</v>
      </c>
      <c r="C1736" t="s">
        <v>10395</v>
      </c>
      <c r="E1736" t="s">
        <v>10396</v>
      </c>
      <c r="G1736" t="s">
        <v>10397</v>
      </c>
      <c r="H1736" t="s">
        <v>347</v>
      </c>
      <c r="J1736" t="s">
        <v>605</v>
      </c>
      <c r="K1736" t="s">
        <v>606</v>
      </c>
      <c r="L1736" t="s">
        <v>4273</v>
      </c>
      <c r="M1736" t="s">
        <v>1382</v>
      </c>
      <c r="N1736" t="s">
        <v>812</v>
      </c>
      <c r="O1736" t="s">
        <v>1695</v>
      </c>
      <c r="P1736" t="s">
        <v>658</v>
      </c>
      <c r="Q1736" t="s">
        <v>511</v>
      </c>
      <c r="R1736" t="s">
        <v>1555</v>
      </c>
      <c r="S1736" t="s">
        <v>1556</v>
      </c>
      <c r="T1736" t="s">
        <v>1557</v>
      </c>
      <c r="U1736">
        <v>204101</v>
      </c>
      <c r="V1736" t="s">
        <v>10398</v>
      </c>
      <c r="W1736" t="s">
        <v>10381</v>
      </c>
      <c r="X1736" t="s">
        <v>10188</v>
      </c>
      <c r="Y1736" t="s">
        <v>4276</v>
      </c>
      <c r="Z1736" t="s">
        <v>4277</v>
      </c>
      <c r="AA1736" t="s">
        <v>4278</v>
      </c>
      <c r="AB1736" t="s">
        <v>10189</v>
      </c>
      <c r="AE1736">
        <v>-38.046718669999997</v>
      </c>
      <c r="AF1736">
        <v>177.14523500999999</v>
      </c>
      <c r="AG1736" s="175">
        <v>30</v>
      </c>
      <c r="AH1736" s="175">
        <v>5</v>
      </c>
      <c r="AI1736" s="175">
        <v>1</v>
      </c>
      <c r="AJ1736" s="175">
        <v>3</v>
      </c>
      <c r="AK1736" s="175">
        <v>3</v>
      </c>
      <c r="AL1736" s="175">
        <v>8</v>
      </c>
      <c r="AM1736" s="175">
        <v>1</v>
      </c>
      <c r="AN1736" s="175">
        <v>0</v>
      </c>
      <c r="AO1736" s="175">
        <v>16</v>
      </c>
      <c r="AP1736" s="175">
        <v>0</v>
      </c>
      <c r="AQ1736" s="175">
        <v>16</v>
      </c>
      <c r="AR1736" s="175">
        <v>0</v>
      </c>
      <c r="AS1736" s="175">
        <v>0</v>
      </c>
      <c r="AT1736" s="175">
        <v>0</v>
      </c>
    </row>
    <row r="1737" spans="1:46">
      <c r="A1737">
        <v>40228</v>
      </c>
      <c r="B1737" t="s">
        <v>10399</v>
      </c>
      <c r="C1737" t="s">
        <v>10400</v>
      </c>
      <c r="D1737" t="s">
        <v>10401</v>
      </c>
      <c r="E1737" t="s">
        <v>10402</v>
      </c>
      <c r="G1737" t="s">
        <v>1938</v>
      </c>
      <c r="H1737" t="s">
        <v>449</v>
      </c>
      <c r="J1737" t="s">
        <v>605</v>
      </c>
      <c r="K1737" t="s">
        <v>606</v>
      </c>
      <c r="M1737" t="s">
        <v>1382</v>
      </c>
      <c r="N1737" t="s">
        <v>657</v>
      </c>
      <c r="O1737" t="s">
        <v>1932</v>
      </c>
      <c r="P1737" t="s">
        <v>610</v>
      </c>
      <c r="Q1737" t="s">
        <v>514</v>
      </c>
      <c r="R1737" t="s">
        <v>1841</v>
      </c>
      <c r="S1737" t="s">
        <v>1923</v>
      </c>
      <c r="T1737" t="s">
        <v>1568</v>
      </c>
      <c r="U1737">
        <v>221800</v>
      </c>
      <c r="V1737" t="s">
        <v>1939</v>
      </c>
      <c r="W1737" t="s">
        <v>1940</v>
      </c>
      <c r="X1737" t="s">
        <v>10403</v>
      </c>
      <c r="Y1737" t="s">
        <v>10404</v>
      </c>
      <c r="AA1737" t="s">
        <v>10405</v>
      </c>
      <c r="AB1737" t="s">
        <v>10406</v>
      </c>
      <c r="AC1737">
        <v>99167</v>
      </c>
      <c r="AD1737" t="s">
        <v>1941</v>
      </c>
      <c r="AE1737">
        <v>-39.594277439999999</v>
      </c>
      <c r="AF1737">
        <v>174.27494383000001</v>
      </c>
      <c r="AG1737" s="175">
        <v>50</v>
      </c>
      <c r="AH1737" s="175">
        <v>15</v>
      </c>
      <c r="AI1737" s="175">
        <v>6</v>
      </c>
      <c r="AJ1737" s="175">
        <v>16</v>
      </c>
      <c r="AK1737" s="175">
        <v>16</v>
      </c>
      <c r="AL1737" s="175">
        <v>20</v>
      </c>
      <c r="AM1737" s="175">
        <v>14</v>
      </c>
      <c r="AN1737" s="175">
        <v>0</v>
      </c>
      <c r="AO1737" s="175">
        <v>72</v>
      </c>
      <c r="AP1737" s="175">
        <v>70</v>
      </c>
      <c r="AQ1737" s="175">
        <v>20</v>
      </c>
      <c r="AR1737" s="175">
        <v>0</v>
      </c>
      <c r="AS1737" s="175">
        <v>0</v>
      </c>
      <c r="AT1737" s="175">
        <v>0</v>
      </c>
    </row>
    <row r="1738" spans="1:46">
      <c r="A1738">
        <v>40229</v>
      </c>
      <c r="B1738" t="s">
        <v>10407</v>
      </c>
      <c r="C1738" t="s">
        <v>10408</v>
      </c>
      <c r="D1738" t="s">
        <v>10409</v>
      </c>
      <c r="E1738" t="s">
        <v>10410</v>
      </c>
      <c r="F1738" t="s">
        <v>2084</v>
      </c>
      <c r="G1738" t="s">
        <v>2055</v>
      </c>
      <c r="H1738" t="s">
        <v>449</v>
      </c>
      <c r="J1738" t="s">
        <v>4032</v>
      </c>
      <c r="K1738" t="s">
        <v>606</v>
      </c>
      <c r="M1738" t="s">
        <v>1382</v>
      </c>
      <c r="N1738" t="s">
        <v>657</v>
      </c>
      <c r="O1738" t="s">
        <v>2037</v>
      </c>
      <c r="P1738" t="s">
        <v>670</v>
      </c>
      <c r="Q1738" t="s">
        <v>553</v>
      </c>
      <c r="R1738" t="s">
        <v>1841</v>
      </c>
      <c r="S1738" t="s">
        <v>2055</v>
      </c>
      <c r="T1738" t="s">
        <v>1568</v>
      </c>
      <c r="U1738">
        <v>231700</v>
      </c>
      <c r="V1738" t="s">
        <v>10411</v>
      </c>
      <c r="W1738" t="s">
        <v>2038</v>
      </c>
      <c r="X1738" t="s">
        <v>10412</v>
      </c>
      <c r="Y1738" t="s">
        <v>10413</v>
      </c>
      <c r="Z1738" t="s">
        <v>2119</v>
      </c>
      <c r="AA1738" t="s">
        <v>2041</v>
      </c>
      <c r="AB1738" t="s">
        <v>10408</v>
      </c>
      <c r="AC1738">
        <v>99052</v>
      </c>
      <c r="AD1738" t="s">
        <v>2043</v>
      </c>
      <c r="AE1738">
        <v>-40.361381450000003</v>
      </c>
      <c r="AF1738">
        <v>175.63227273000001</v>
      </c>
      <c r="AG1738" s="175">
        <v>81</v>
      </c>
      <c r="AH1738" s="175">
        <v>20</v>
      </c>
      <c r="AI1738" s="175">
        <v>2</v>
      </c>
      <c r="AJ1738" s="175">
        <v>13</v>
      </c>
      <c r="AK1738" s="175">
        <v>20</v>
      </c>
      <c r="AL1738" s="175">
        <v>17</v>
      </c>
      <c r="AM1738" s="175">
        <v>29</v>
      </c>
      <c r="AN1738" s="175">
        <v>1</v>
      </c>
      <c r="AO1738" s="175">
        <v>82</v>
      </c>
      <c r="AP1738" s="175">
        <v>57</v>
      </c>
      <c r="AQ1738" s="175">
        <v>22</v>
      </c>
      <c r="AR1738" s="175">
        <v>7</v>
      </c>
      <c r="AS1738" s="175">
        <v>20</v>
      </c>
      <c r="AT1738" s="175">
        <v>3</v>
      </c>
    </row>
    <row r="1739" spans="1:46">
      <c r="A1739">
        <v>40230</v>
      </c>
      <c r="B1739" t="s">
        <v>10414</v>
      </c>
      <c r="C1739" t="s">
        <v>10415</v>
      </c>
      <c r="D1739" t="s">
        <v>10416</v>
      </c>
      <c r="E1739" t="s">
        <v>10417</v>
      </c>
      <c r="F1739" t="s">
        <v>2030</v>
      </c>
      <c r="G1739" t="s">
        <v>1923</v>
      </c>
      <c r="H1739" t="s">
        <v>301</v>
      </c>
      <c r="J1739" t="s">
        <v>605</v>
      </c>
      <c r="K1739" t="s">
        <v>606</v>
      </c>
      <c r="M1739" t="s">
        <v>1382</v>
      </c>
      <c r="N1739" t="s">
        <v>657</v>
      </c>
      <c r="O1739" t="s">
        <v>1968</v>
      </c>
      <c r="P1739" t="s">
        <v>670</v>
      </c>
      <c r="Q1739" t="s">
        <v>553</v>
      </c>
      <c r="R1739" t="s">
        <v>1841</v>
      </c>
      <c r="S1739" t="s">
        <v>1923</v>
      </c>
      <c r="T1739" t="s">
        <v>1568</v>
      </c>
      <c r="U1739">
        <v>225500</v>
      </c>
      <c r="V1739" t="s">
        <v>2031</v>
      </c>
      <c r="W1739" t="s">
        <v>1734</v>
      </c>
      <c r="X1739" t="s">
        <v>10418</v>
      </c>
      <c r="Y1739" t="s">
        <v>5253</v>
      </c>
      <c r="AA1739" t="s">
        <v>5254</v>
      </c>
      <c r="AB1739" t="s">
        <v>10419</v>
      </c>
      <c r="AE1739">
        <v>-39.918557399999997</v>
      </c>
      <c r="AF1739">
        <v>175.06693509999999</v>
      </c>
      <c r="AG1739" s="175">
        <v>17</v>
      </c>
      <c r="AH1739" s="175">
        <v>10</v>
      </c>
      <c r="AI1739" s="175">
        <v>0</v>
      </c>
      <c r="AJ1739" s="175">
        <v>4</v>
      </c>
      <c r="AK1739" s="175">
        <v>2</v>
      </c>
      <c r="AL1739" s="175">
        <v>6</v>
      </c>
      <c r="AM1739" s="175">
        <v>1</v>
      </c>
      <c r="AN1739" s="175">
        <v>1</v>
      </c>
      <c r="AO1739" s="175">
        <v>14</v>
      </c>
      <c r="AP1739" s="175">
        <v>14</v>
      </c>
      <c r="AQ1739" s="175">
        <v>5</v>
      </c>
      <c r="AR1739" s="175">
        <v>2</v>
      </c>
      <c r="AS1739" s="175">
        <v>1</v>
      </c>
      <c r="AT1739" s="175">
        <v>0</v>
      </c>
    </row>
    <row r="1740" spans="1:46">
      <c r="A1740">
        <v>40233</v>
      </c>
      <c r="B1740" t="s">
        <v>10420</v>
      </c>
      <c r="C1740" t="s">
        <v>10421</v>
      </c>
      <c r="D1740" t="s">
        <v>10422</v>
      </c>
      <c r="E1740" t="s">
        <v>10423</v>
      </c>
      <c r="G1740" t="s">
        <v>1839</v>
      </c>
      <c r="H1740" t="s">
        <v>449</v>
      </c>
      <c r="J1740" t="s">
        <v>605</v>
      </c>
      <c r="K1740" t="s">
        <v>606</v>
      </c>
      <c r="M1740" t="s">
        <v>1382</v>
      </c>
      <c r="N1740" t="s">
        <v>657</v>
      </c>
      <c r="O1740" t="s">
        <v>1840</v>
      </c>
      <c r="P1740" t="s">
        <v>670</v>
      </c>
      <c r="Q1740" t="s">
        <v>514</v>
      </c>
      <c r="R1740" t="s">
        <v>1841</v>
      </c>
      <c r="S1740" t="s">
        <v>1839</v>
      </c>
      <c r="T1740" t="s">
        <v>1568</v>
      </c>
      <c r="U1740">
        <v>216900</v>
      </c>
      <c r="V1740" t="s">
        <v>10424</v>
      </c>
      <c r="W1740" t="s">
        <v>1843</v>
      </c>
      <c r="X1740" t="s">
        <v>10425</v>
      </c>
      <c r="Y1740" t="s">
        <v>4014</v>
      </c>
      <c r="Z1740" t="s">
        <v>4015</v>
      </c>
      <c r="AA1740" t="s">
        <v>4016</v>
      </c>
      <c r="AE1740">
        <v>-39.061643619999998</v>
      </c>
      <c r="AF1740">
        <v>174.06740809999999</v>
      </c>
      <c r="AG1740" s="175">
        <v>50</v>
      </c>
      <c r="AH1740" s="175">
        <v>15</v>
      </c>
      <c r="AI1740" s="175">
        <v>1</v>
      </c>
      <c r="AJ1740" s="175">
        <v>10</v>
      </c>
      <c r="AK1740" s="175">
        <v>20</v>
      </c>
      <c r="AL1740" s="175">
        <v>17</v>
      </c>
      <c r="AM1740" s="175">
        <v>11</v>
      </c>
      <c r="AN1740" s="175">
        <v>0</v>
      </c>
      <c r="AO1740" s="175">
        <v>59</v>
      </c>
      <c r="AP1740" s="175">
        <v>34</v>
      </c>
      <c r="AQ1740" s="175">
        <v>7</v>
      </c>
      <c r="AR1740" s="175">
        <v>2</v>
      </c>
      <c r="AS1740" s="175">
        <v>23</v>
      </c>
      <c r="AT1740" s="175">
        <v>7</v>
      </c>
    </row>
    <row r="1741" spans="1:46">
      <c r="A1741">
        <v>40234</v>
      </c>
      <c r="B1741" t="s">
        <v>10426</v>
      </c>
      <c r="C1741" t="s">
        <v>10427</v>
      </c>
      <c r="D1741" t="s">
        <v>10428</v>
      </c>
      <c r="E1741" t="s">
        <v>10429</v>
      </c>
      <c r="G1741" t="s">
        <v>10430</v>
      </c>
      <c r="H1741" t="s">
        <v>449</v>
      </c>
      <c r="J1741" t="s">
        <v>605</v>
      </c>
      <c r="K1741" t="s">
        <v>606</v>
      </c>
      <c r="M1741" t="s">
        <v>1382</v>
      </c>
      <c r="N1741" t="s">
        <v>657</v>
      </c>
      <c r="O1741" t="s">
        <v>1932</v>
      </c>
      <c r="P1741" t="s">
        <v>626</v>
      </c>
      <c r="Q1741" t="s">
        <v>514</v>
      </c>
      <c r="R1741" t="s">
        <v>1841</v>
      </c>
      <c r="S1741" t="s">
        <v>1923</v>
      </c>
      <c r="T1741" t="s">
        <v>1568</v>
      </c>
      <c r="U1741">
        <v>220901</v>
      </c>
      <c r="V1741" t="s">
        <v>10430</v>
      </c>
      <c r="W1741" t="s">
        <v>10431</v>
      </c>
      <c r="X1741" t="s">
        <v>10432</v>
      </c>
      <c r="Y1741" t="s">
        <v>10433</v>
      </c>
      <c r="AA1741" t="s">
        <v>10434</v>
      </c>
      <c r="AB1741" t="s">
        <v>10435</v>
      </c>
      <c r="AE1741">
        <v>-39.546868910000001</v>
      </c>
      <c r="AF1741">
        <v>174.12151399000001</v>
      </c>
      <c r="AG1741" s="175">
        <v>24</v>
      </c>
      <c r="AH1741" s="175">
        <v>0</v>
      </c>
      <c r="AI1741" s="175">
        <v>0</v>
      </c>
      <c r="AJ1741" s="175">
        <v>0</v>
      </c>
      <c r="AK1741" s="175">
        <v>8</v>
      </c>
      <c r="AL1741" s="175">
        <v>8</v>
      </c>
      <c r="AM1741" s="175">
        <v>14</v>
      </c>
      <c r="AN1741" s="175">
        <v>4</v>
      </c>
      <c r="AO1741" s="175">
        <v>34</v>
      </c>
      <c r="AP1741" s="175">
        <v>24</v>
      </c>
      <c r="AQ1741" s="175">
        <v>14</v>
      </c>
      <c r="AR1741" s="175">
        <v>2</v>
      </c>
      <c r="AS1741" s="175">
        <v>5</v>
      </c>
      <c r="AT1741" s="175">
        <v>1</v>
      </c>
    </row>
    <row r="1742" spans="1:46">
      <c r="A1742">
        <v>40235</v>
      </c>
      <c r="B1742" t="s">
        <v>10436</v>
      </c>
      <c r="C1742" t="s">
        <v>10437</v>
      </c>
      <c r="D1742" t="s">
        <v>10438</v>
      </c>
      <c r="E1742" t="s">
        <v>10439</v>
      </c>
      <c r="F1742" t="s">
        <v>10440</v>
      </c>
      <c r="G1742" t="s">
        <v>2055</v>
      </c>
      <c r="H1742" t="s">
        <v>452</v>
      </c>
      <c r="J1742" t="s">
        <v>605</v>
      </c>
      <c r="K1742" t="s">
        <v>606</v>
      </c>
      <c r="M1742" t="s">
        <v>1382</v>
      </c>
      <c r="N1742" t="s">
        <v>657</v>
      </c>
      <c r="O1742" t="s">
        <v>2037</v>
      </c>
      <c r="P1742" t="s">
        <v>670</v>
      </c>
      <c r="Q1742" t="s">
        <v>553</v>
      </c>
      <c r="R1742" t="s">
        <v>1841</v>
      </c>
      <c r="S1742" t="s">
        <v>2055</v>
      </c>
      <c r="T1742" t="s">
        <v>1568</v>
      </c>
      <c r="U1742">
        <v>230300</v>
      </c>
      <c r="V1742" t="s">
        <v>10441</v>
      </c>
      <c r="W1742" t="s">
        <v>2038</v>
      </c>
      <c r="X1742" t="s">
        <v>2039</v>
      </c>
      <c r="Y1742" t="s">
        <v>2040</v>
      </c>
      <c r="AA1742" t="s">
        <v>2041</v>
      </c>
      <c r="AB1742" t="s">
        <v>2042</v>
      </c>
      <c r="AC1742">
        <v>99052</v>
      </c>
      <c r="AD1742" t="s">
        <v>2043</v>
      </c>
      <c r="AE1742">
        <v>-40.327882879999997</v>
      </c>
      <c r="AF1742">
        <v>175.64807868</v>
      </c>
      <c r="AG1742" s="175">
        <v>40</v>
      </c>
      <c r="AH1742" s="175">
        <v>0</v>
      </c>
      <c r="AI1742" s="175">
        <v>0</v>
      </c>
      <c r="AJ1742" s="175">
        <v>0</v>
      </c>
      <c r="AK1742" s="175">
        <v>2</v>
      </c>
      <c r="AL1742" s="175">
        <v>16</v>
      </c>
      <c r="AM1742" s="175">
        <v>21</v>
      </c>
      <c r="AN1742" s="175">
        <v>1</v>
      </c>
      <c r="AO1742" s="175">
        <v>40</v>
      </c>
      <c r="AP1742" s="175">
        <v>26</v>
      </c>
      <c r="AQ1742" s="175">
        <v>12</v>
      </c>
      <c r="AR1742" s="175">
        <v>4</v>
      </c>
      <c r="AS1742" s="175">
        <v>8</v>
      </c>
      <c r="AT1742" s="175">
        <v>1</v>
      </c>
    </row>
    <row r="1743" spans="1:46">
      <c r="A1743">
        <v>40238</v>
      </c>
      <c r="B1743" t="s">
        <v>10442</v>
      </c>
      <c r="C1743" t="s">
        <v>10443</v>
      </c>
      <c r="D1743" t="s">
        <v>10444</v>
      </c>
      <c r="E1743" t="s">
        <v>10445</v>
      </c>
      <c r="F1743" t="s">
        <v>10446</v>
      </c>
      <c r="G1743" t="s">
        <v>2803</v>
      </c>
      <c r="H1743" t="s">
        <v>449</v>
      </c>
      <c r="I1743" t="s">
        <v>5017</v>
      </c>
      <c r="J1743" t="s">
        <v>605</v>
      </c>
      <c r="K1743" t="s">
        <v>606</v>
      </c>
      <c r="M1743" t="s">
        <v>2366</v>
      </c>
      <c r="N1743" t="s">
        <v>812</v>
      </c>
      <c r="O1743" t="s">
        <v>2147</v>
      </c>
      <c r="P1743" t="s">
        <v>1347</v>
      </c>
      <c r="Q1743" t="s">
        <v>553</v>
      </c>
      <c r="R1743" t="s">
        <v>2368</v>
      </c>
      <c r="S1743" t="s">
        <v>2148</v>
      </c>
      <c r="T1743" t="s">
        <v>1568</v>
      </c>
      <c r="U1743">
        <v>235600</v>
      </c>
      <c r="V1743" t="s">
        <v>10447</v>
      </c>
      <c r="W1743" t="s">
        <v>2805</v>
      </c>
      <c r="X1743" t="s">
        <v>10448</v>
      </c>
      <c r="Y1743" t="s">
        <v>10445</v>
      </c>
      <c r="Z1743" t="s">
        <v>2803</v>
      </c>
      <c r="AA1743" t="s">
        <v>10449</v>
      </c>
      <c r="AC1743">
        <v>99058</v>
      </c>
      <c r="AD1743" t="s">
        <v>2806</v>
      </c>
      <c r="AE1743">
        <v>-40.628085169999999</v>
      </c>
      <c r="AF1743">
        <v>175.28463141</v>
      </c>
      <c r="AG1743" s="175">
        <v>15</v>
      </c>
      <c r="AH1743" s="175">
        <v>7</v>
      </c>
      <c r="AI1743" s="175">
        <v>0</v>
      </c>
      <c r="AJ1743" s="175">
        <v>3</v>
      </c>
      <c r="AK1743" s="175">
        <v>5</v>
      </c>
      <c r="AL1743" s="175">
        <v>5</v>
      </c>
      <c r="AM1743" s="175">
        <v>3</v>
      </c>
      <c r="AN1743" s="175">
        <v>0</v>
      </c>
      <c r="AO1743" s="175">
        <v>16</v>
      </c>
      <c r="AP1743" s="175">
        <v>4</v>
      </c>
      <c r="AQ1743" s="175">
        <v>16</v>
      </c>
      <c r="AR1743" s="175">
        <v>0</v>
      </c>
      <c r="AS1743" s="175">
        <v>0</v>
      </c>
      <c r="AT1743" s="175">
        <v>0</v>
      </c>
    </row>
    <row r="1744" spans="1:46">
      <c r="A1744">
        <v>40239</v>
      </c>
      <c r="B1744" t="s">
        <v>10450</v>
      </c>
      <c r="C1744" t="s">
        <v>10451</v>
      </c>
      <c r="E1744" t="s">
        <v>10452</v>
      </c>
      <c r="F1744" t="s">
        <v>2130</v>
      </c>
      <c r="G1744" t="s">
        <v>2055</v>
      </c>
      <c r="H1744" t="s">
        <v>449</v>
      </c>
      <c r="J1744" t="s">
        <v>605</v>
      </c>
      <c r="K1744" t="s">
        <v>606</v>
      </c>
      <c r="M1744" t="s">
        <v>1382</v>
      </c>
      <c r="N1744" t="s">
        <v>643</v>
      </c>
      <c r="O1744" t="s">
        <v>2037</v>
      </c>
      <c r="P1744" t="s">
        <v>670</v>
      </c>
      <c r="Q1744" t="s">
        <v>553</v>
      </c>
      <c r="R1744" t="s">
        <v>1841</v>
      </c>
      <c r="S1744" t="s">
        <v>2055</v>
      </c>
      <c r="T1744" t="s">
        <v>1568</v>
      </c>
      <c r="U1744">
        <v>230200</v>
      </c>
      <c r="V1744" t="s">
        <v>10453</v>
      </c>
      <c r="W1744" t="s">
        <v>2038</v>
      </c>
      <c r="X1744" t="s">
        <v>10454</v>
      </c>
      <c r="Y1744" t="s">
        <v>6434</v>
      </c>
      <c r="Z1744" t="s">
        <v>4622</v>
      </c>
      <c r="AA1744" t="s">
        <v>4623</v>
      </c>
      <c r="AB1744" t="s">
        <v>10451</v>
      </c>
      <c r="AE1744">
        <v>-40.33013167</v>
      </c>
      <c r="AF1744">
        <v>175.63278786000001</v>
      </c>
      <c r="AG1744" s="175">
        <v>38</v>
      </c>
      <c r="AH1744" s="175">
        <v>10</v>
      </c>
      <c r="AI1744" s="175">
        <v>1</v>
      </c>
      <c r="AJ1744" s="175">
        <v>2</v>
      </c>
      <c r="AK1744" s="175">
        <v>10</v>
      </c>
      <c r="AL1744" s="175">
        <v>7</v>
      </c>
      <c r="AM1744" s="175">
        <v>13</v>
      </c>
      <c r="AN1744" s="175">
        <v>2</v>
      </c>
      <c r="AO1744" s="175">
        <v>35</v>
      </c>
      <c r="AP1744" s="175">
        <v>22</v>
      </c>
      <c r="AQ1744" s="175">
        <v>12</v>
      </c>
      <c r="AR1744" s="175">
        <v>4</v>
      </c>
      <c r="AS1744" s="175">
        <v>7</v>
      </c>
      <c r="AT1744" s="175">
        <v>0</v>
      </c>
    </row>
    <row r="1745" spans="1:46">
      <c r="A1745">
        <v>40240</v>
      </c>
      <c r="B1745" t="s">
        <v>10455</v>
      </c>
      <c r="C1745" t="s">
        <v>10456</v>
      </c>
      <c r="D1745" t="s">
        <v>10457</v>
      </c>
      <c r="E1745" t="s">
        <v>10458</v>
      </c>
      <c r="G1745" t="s">
        <v>2803</v>
      </c>
      <c r="H1745" t="s">
        <v>347</v>
      </c>
      <c r="J1745" t="s">
        <v>605</v>
      </c>
      <c r="K1745" t="s">
        <v>606</v>
      </c>
      <c r="L1745" t="s">
        <v>4273</v>
      </c>
      <c r="M1745" t="s">
        <v>2366</v>
      </c>
      <c r="N1745" t="s">
        <v>643</v>
      </c>
      <c r="O1745" t="s">
        <v>2147</v>
      </c>
      <c r="P1745" t="s">
        <v>1347</v>
      </c>
      <c r="Q1745" t="s">
        <v>553</v>
      </c>
      <c r="R1745" t="s">
        <v>2368</v>
      </c>
      <c r="S1745" t="s">
        <v>2148</v>
      </c>
      <c r="T1745" t="s">
        <v>1568</v>
      </c>
      <c r="U1745">
        <v>235500</v>
      </c>
      <c r="V1745" t="s">
        <v>10459</v>
      </c>
      <c r="W1745" t="s">
        <v>2805</v>
      </c>
      <c r="X1745" t="s">
        <v>10392</v>
      </c>
      <c r="Y1745" t="s">
        <v>4276</v>
      </c>
      <c r="Z1745" t="s">
        <v>4277</v>
      </c>
      <c r="AA1745" t="s">
        <v>4278</v>
      </c>
      <c r="AB1745" t="s">
        <v>10393</v>
      </c>
      <c r="AE1745">
        <v>-40.622596180000002</v>
      </c>
      <c r="AF1745">
        <v>175.29973329000001</v>
      </c>
      <c r="AG1745" s="175">
        <v>12</v>
      </c>
      <c r="AH1745" s="175">
        <v>4</v>
      </c>
      <c r="AI1745" s="175">
        <v>0</v>
      </c>
      <c r="AJ1745" s="175">
        <v>2</v>
      </c>
      <c r="AK1745" s="175">
        <v>4</v>
      </c>
      <c r="AL1745" s="175">
        <v>3</v>
      </c>
      <c r="AM1745" s="175">
        <v>2</v>
      </c>
      <c r="AN1745" s="175">
        <v>0</v>
      </c>
      <c r="AO1745" s="175">
        <v>11</v>
      </c>
      <c r="AP1745" s="175">
        <v>0</v>
      </c>
      <c r="AQ1745" s="175">
        <v>11</v>
      </c>
      <c r="AR1745" s="175">
        <v>0</v>
      </c>
      <c r="AS1745" s="175">
        <v>0</v>
      </c>
      <c r="AT1745" s="175">
        <v>0</v>
      </c>
    </row>
    <row r="1746" spans="1:46">
      <c r="A1746">
        <v>40241</v>
      </c>
      <c r="B1746" t="s">
        <v>10460</v>
      </c>
      <c r="C1746" t="s">
        <v>10461</v>
      </c>
      <c r="E1746" t="s">
        <v>10462</v>
      </c>
      <c r="F1746" t="s">
        <v>2084</v>
      </c>
      <c r="G1746" t="s">
        <v>2055</v>
      </c>
      <c r="H1746" t="s">
        <v>449</v>
      </c>
      <c r="J1746" t="s">
        <v>605</v>
      </c>
      <c r="K1746" t="s">
        <v>606</v>
      </c>
      <c r="M1746" t="s">
        <v>1382</v>
      </c>
      <c r="N1746" t="s">
        <v>657</v>
      </c>
      <c r="O1746" t="s">
        <v>2037</v>
      </c>
      <c r="P1746" t="s">
        <v>670</v>
      </c>
      <c r="Q1746" t="s">
        <v>553</v>
      </c>
      <c r="R1746" t="s">
        <v>1841</v>
      </c>
      <c r="S1746" t="s">
        <v>2055</v>
      </c>
      <c r="T1746" t="s">
        <v>1568</v>
      </c>
      <c r="U1746">
        <v>231700</v>
      </c>
      <c r="V1746" t="s">
        <v>10411</v>
      </c>
      <c r="W1746" t="s">
        <v>2038</v>
      </c>
      <c r="X1746" t="s">
        <v>10463</v>
      </c>
      <c r="Y1746" t="s">
        <v>4014</v>
      </c>
      <c r="Z1746" t="s">
        <v>4015</v>
      </c>
      <c r="AA1746" t="s">
        <v>4016</v>
      </c>
      <c r="AB1746" t="s">
        <v>10464</v>
      </c>
      <c r="AE1746">
        <v>-40.363750099999997</v>
      </c>
      <c r="AF1746">
        <v>175.62123647999999</v>
      </c>
      <c r="AG1746" s="175">
        <v>59</v>
      </c>
      <c r="AH1746" s="175">
        <v>20</v>
      </c>
      <c r="AI1746" s="175">
        <v>3</v>
      </c>
      <c r="AJ1746" s="175">
        <v>13</v>
      </c>
      <c r="AK1746" s="175">
        <v>18</v>
      </c>
      <c r="AL1746" s="175">
        <v>11</v>
      </c>
      <c r="AM1746" s="175">
        <v>20</v>
      </c>
      <c r="AN1746" s="175">
        <v>0</v>
      </c>
      <c r="AO1746" s="175">
        <v>65</v>
      </c>
      <c r="AP1746" s="175">
        <v>52</v>
      </c>
      <c r="AQ1746" s="175">
        <v>23</v>
      </c>
      <c r="AR1746" s="175">
        <v>7</v>
      </c>
      <c r="AS1746" s="175">
        <v>6</v>
      </c>
      <c r="AT1746" s="175">
        <v>1</v>
      </c>
    </row>
    <row r="1747" spans="1:46">
      <c r="A1747">
        <v>40243</v>
      </c>
      <c r="B1747" t="s">
        <v>10465</v>
      </c>
      <c r="C1747" t="s">
        <v>10466</v>
      </c>
      <c r="D1747" t="s">
        <v>10467</v>
      </c>
      <c r="E1747" t="s">
        <v>10468</v>
      </c>
      <c r="G1747" t="s">
        <v>2055</v>
      </c>
      <c r="H1747" t="s">
        <v>449</v>
      </c>
      <c r="J1747" t="s">
        <v>605</v>
      </c>
      <c r="K1747" t="s">
        <v>606</v>
      </c>
      <c r="M1747" t="s">
        <v>1382</v>
      </c>
      <c r="N1747" t="s">
        <v>657</v>
      </c>
      <c r="O1747" t="s">
        <v>2037</v>
      </c>
      <c r="P1747" t="s">
        <v>670</v>
      </c>
      <c r="Q1747" t="s">
        <v>553</v>
      </c>
      <c r="R1747" t="s">
        <v>1841</v>
      </c>
      <c r="S1747" t="s">
        <v>2055</v>
      </c>
      <c r="T1747" t="s">
        <v>1568</v>
      </c>
      <c r="U1747">
        <v>230500</v>
      </c>
      <c r="V1747" t="s">
        <v>10469</v>
      </c>
      <c r="W1747" t="s">
        <v>2038</v>
      </c>
      <c r="X1747" t="s">
        <v>10463</v>
      </c>
      <c r="Y1747" t="s">
        <v>4014</v>
      </c>
      <c r="Z1747" t="s">
        <v>4015</v>
      </c>
      <c r="AA1747" t="s">
        <v>4016</v>
      </c>
      <c r="AB1747" t="s">
        <v>10464</v>
      </c>
      <c r="AE1747">
        <v>-40.3504954</v>
      </c>
      <c r="AF1747">
        <v>175.6114982</v>
      </c>
      <c r="AG1747" s="175">
        <v>59</v>
      </c>
      <c r="AH1747" s="175">
        <v>25</v>
      </c>
      <c r="AI1747" s="175">
        <v>1</v>
      </c>
      <c r="AJ1747" s="175">
        <v>19</v>
      </c>
      <c r="AK1747" s="175">
        <v>0</v>
      </c>
      <c r="AL1747" s="175">
        <v>4</v>
      </c>
      <c r="AM1747" s="175">
        <v>28</v>
      </c>
      <c r="AN1747" s="175">
        <v>6</v>
      </c>
      <c r="AO1747" s="175">
        <v>58</v>
      </c>
      <c r="AP1747" s="175">
        <v>38</v>
      </c>
      <c r="AQ1747" s="175">
        <v>25</v>
      </c>
      <c r="AR1747" s="175">
        <v>2</v>
      </c>
      <c r="AS1747" s="175">
        <v>6</v>
      </c>
      <c r="AT1747" s="175">
        <v>6</v>
      </c>
    </row>
    <row r="1748" spans="1:46">
      <c r="A1748">
        <v>40244</v>
      </c>
      <c r="B1748" t="s">
        <v>10470</v>
      </c>
      <c r="C1748" t="s">
        <v>10471</v>
      </c>
      <c r="D1748" t="s">
        <v>10472</v>
      </c>
      <c r="E1748" t="s">
        <v>10473</v>
      </c>
      <c r="G1748" t="s">
        <v>2803</v>
      </c>
      <c r="H1748" t="s">
        <v>449</v>
      </c>
      <c r="J1748" t="s">
        <v>4032</v>
      </c>
      <c r="K1748" t="s">
        <v>606</v>
      </c>
      <c r="M1748" t="s">
        <v>2366</v>
      </c>
      <c r="N1748" t="s">
        <v>657</v>
      </c>
      <c r="O1748" t="s">
        <v>2147</v>
      </c>
      <c r="P1748" t="s">
        <v>658</v>
      </c>
      <c r="Q1748" t="s">
        <v>553</v>
      </c>
      <c r="R1748" t="s">
        <v>2368</v>
      </c>
      <c r="S1748" t="s">
        <v>2148</v>
      </c>
      <c r="T1748" t="s">
        <v>1568</v>
      </c>
      <c r="U1748">
        <v>234801</v>
      </c>
      <c r="V1748" t="s">
        <v>10474</v>
      </c>
      <c r="W1748" t="s">
        <v>10475</v>
      </c>
      <c r="X1748" t="s">
        <v>10476</v>
      </c>
      <c r="Y1748" t="s">
        <v>10477</v>
      </c>
      <c r="AA1748" t="s">
        <v>10478</v>
      </c>
      <c r="AB1748" t="s">
        <v>10479</v>
      </c>
      <c r="AE1748">
        <v>-40.631932769999999</v>
      </c>
      <c r="AF1748">
        <v>175.24178062999999</v>
      </c>
      <c r="AG1748" s="175">
        <v>30</v>
      </c>
      <c r="AH1748" s="175">
        <v>15</v>
      </c>
      <c r="AI1748" s="175">
        <v>2</v>
      </c>
      <c r="AJ1748" s="175">
        <v>10</v>
      </c>
      <c r="AK1748" s="175">
        <v>8</v>
      </c>
      <c r="AL1748" s="175">
        <v>11</v>
      </c>
      <c r="AM1748" s="175">
        <v>8</v>
      </c>
      <c r="AN1748" s="175">
        <v>0</v>
      </c>
      <c r="AO1748" s="175">
        <v>39</v>
      </c>
      <c r="AP1748" s="175">
        <v>38</v>
      </c>
      <c r="AQ1748" s="175">
        <v>12</v>
      </c>
      <c r="AR1748" s="175">
        <v>0</v>
      </c>
      <c r="AS1748" s="175">
        <v>2</v>
      </c>
      <c r="AT1748" s="175">
        <v>0</v>
      </c>
    </row>
    <row r="1749" spans="1:46">
      <c r="A1749">
        <v>40247</v>
      </c>
      <c r="B1749" t="s">
        <v>10480</v>
      </c>
      <c r="C1749" t="s">
        <v>10481</v>
      </c>
      <c r="D1749" t="s">
        <v>10482</v>
      </c>
      <c r="E1749" t="s">
        <v>10483</v>
      </c>
      <c r="G1749" t="s">
        <v>2055</v>
      </c>
      <c r="H1749" t="s">
        <v>449</v>
      </c>
      <c r="J1749" t="s">
        <v>4032</v>
      </c>
      <c r="K1749" t="s">
        <v>606</v>
      </c>
      <c r="M1749" t="s">
        <v>1382</v>
      </c>
      <c r="N1749" t="s">
        <v>643</v>
      </c>
      <c r="O1749" t="s">
        <v>2037</v>
      </c>
      <c r="P1749" t="s">
        <v>670</v>
      </c>
      <c r="Q1749" t="s">
        <v>553</v>
      </c>
      <c r="R1749" t="s">
        <v>1841</v>
      </c>
      <c r="S1749" t="s">
        <v>2055</v>
      </c>
      <c r="T1749" t="s">
        <v>1568</v>
      </c>
      <c r="U1749">
        <v>230600</v>
      </c>
      <c r="V1749" t="s">
        <v>2056</v>
      </c>
      <c r="W1749" t="s">
        <v>2038</v>
      </c>
      <c r="X1749" t="s">
        <v>10484</v>
      </c>
      <c r="Y1749" t="s">
        <v>4701</v>
      </c>
      <c r="AA1749" t="s">
        <v>4702</v>
      </c>
      <c r="AB1749" t="s">
        <v>10481</v>
      </c>
      <c r="AE1749">
        <v>-40.359838949999997</v>
      </c>
      <c r="AF1749">
        <v>175.60786338</v>
      </c>
      <c r="AG1749" s="175">
        <v>60</v>
      </c>
      <c r="AH1749" s="175">
        <v>16</v>
      </c>
      <c r="AI1749" s="175">
        <v>3</v>
      </c>
      <c r="AJ1749" s="175">
        <v>8</v>
      </c>
      <c r="AK1749" s="175">
        <v>16</v>
      </c>
      <c r="AL1749" s="175">
        <v>23</v>
      </c>
      <c r="AM1749" s="175">
        <v>14</v>
      </c>
      <c r="AN1749" s="175">
        <v>0</v>
      </c>
      <c r="AO1749" s="175">
        <v>64</v>
      </c>
      <c r="AP1749" s="175">
        <v>28</v>
      </c>
      <c r="AQ1749" s="175">
        <v>28</v>
      </c>
      <c r="AR1749" s="175">
        <v>3</v>
      </c>
      <c r="AS1749" s="175">
        <v>15</v>
      </c>
      <c r="AT1749" s="175">
        <v>6</v>
      </c>
    </row>
    <row r="1750" spans="1:46">
      <c r="A1750">
        <v>40249</v>
      </c>
      <c r="B1750" t="s">
        <v>10485</v>
      </c>
      <c r="C1750" t="s">
        <v>10486</v>
      </c>
      <c r="D1750" t="s">
        <v>10487</v>
      </c>
      <c r="E1750" t="s">
        <v>10488</v>
      </c>
      <c r="G1750" t="s">
        <v>2055</v>
      </c>
      <c r="H1750" t="s">
        <v>449</v>
      </c>
      <c r="I1750" t="s">
        <v>4023</v>
      </c>
      <c r="J1750" t="s">
        <v>605</v>
      </c>
      <c r="K1750" t="s">
        <v>606</v>
      </c>
      <c r="M1750" t="s">
        <v>1382</v>
      </c>
      <c r="N1750" t="s">
        <v>657</v>
      </c>
      <c r="O1750" t="s">
        <v>2037</v>
      </c>
      <c r="P1750" t="s">
        <v>670</v>
      </c>
      <c r="Q1750" t="s">
        <v>553</v>
      </c>
      <c r="R1750" t="s">
        <v>1841</v>
      </c>
      <c r="S1750" t="s">
        <v>2055</v>
      </c>
      <c r="T1750" t="s">
        <v>1568</v>
      </c>
      <c r="U1750">
        <v>230600</v>
      </c>
      <c r="V1750" t="s">
        <v>2056</v>
      </c>
      <c r="W1750" t="s">
        <v>2038</v>
      </c>
      <c r="X1750" t="s">
        <v>10489</v>
      </c>
      <c r="Y1750" t="s">
        <v>10488</v>
      </c>
      <c r="Z1750" t="s">
        <v>2055</v>
      </c>
      <c r="AA1750" t="s">
        <v>10490</v>
      </c>
      <c r="AB1750" t="s">
        <v>10491</v>
      </c>
      <c r="AE1750">
        <v>-40.361699299999998</v>
      </c>
      <c r="AF1750">
        <v>175.6026774</v>
      </c>
      <c r="AG1750" s="175">
        <v>45</v>
      </c>
      <c r="AH1750" s="175">
        <v>15</v>
      </c>
      <c r="AI1750" s="175">
        <v>0</v>
      </c>
      <c r="AJ1750" s="175">
        <v>1</v>
      </c>
      <c r="AK1750" s="175">
        <v>10</v>
      </c>
      <c r="AL1750" s="175">
        <v>11</v>
      </c>
      <c r="AM1750" s="175">
        <v>13</v>
      </c>
      <c r="AN1750" s="175">
        <v>2</v>
      </c>
      <c r="AO1750" s="175">
        <v>37</v>
      </c>
      <c r="AP1750" s="175">
        <v>31</v>
      </c>
      <c r="AQ1750" s="175">
        <v>6</v>
      </c>
      <c r="AR1750" s="175">
        <v>2</v>
      </c>
      <c r="AS1750" s="175">
        <v>6</v>
      </c>
      <c r="AT1750" s="175">
        <v>2</v>
      </c>
    </row>
    <row r="1751" spans="1:46">
      <c r="A1751">
        <v>40251</v>
      </c>
      <c r="B1751" t="s">
        <v>10492</v>
      </c>
      <c r="C1751" t="s">
        <v>10493</v>
      </c>
      <c r="D1751" t="s">
        <v>10494</v>
      </c>
      <c r="E1751" t="s">
        <v>10495</v>
      </c>
      <c r="G1751" t="s">
        <v>10496</v>
      </c>
      <c r="H1751" t="s">
        <v>449</v>
      </c>
      <c r="J1751" t="s">
        <v>605</v>
      </c>
      <c r="K1751" t="s">
        <v>606</v>
      </c>
      <c r="M1751" t="s">
        <v>2366</v>
      </c>
      <c r="N1751" t="s">
        <v>625</v>
      </c>
      <c r="O1751" t="s">
        <v>2147</v>
      </c>
      <c r="P1751" t="s">
        <v>610</v>
      </c>
      <c r="Q1751" t="s">
        <v>553</v>
      </c>
      <c r="R1751" t="s">
        <v>2368</v>
      </c>
      <c r="S1751" t="s">
        <v>2148</v>
      </c>
      <c r="T1751" t="s">
        <v>1568</v>
      </c>
      <c r="U1751">
        <v>234100</v>
      </c>
      <c r="V1751" t="s">
        <v>10496</v>
      </c>
      <c r="W1751" t="s">
        <v>2150</v>
      </c>
      <c r="X1751" t="s">
        <v>10497</v>
      </c>
      <c r="Y1751" t="s">
        <v>4014</v>
      </c>
      <c r="Z1751" t="s">
        <v>4015</v>
      </c>
      <c r="AA1751" t="s">
        <v>4016</v>
      </c>
      <c r="AE1751">
        <v>-40.4615315</v>
      </c>
      <c r="AF1751">
        <v>175.2268115</v>
      </c>
      <c r="AG1751" s="175">
        <v>30</v>
      </c>
      <c r="AH1751" s="175">
        <v>0</v>
      </c>
      <c r="AI1751" s="175">
        <v>0</v>
      </c>
      <c r="AJ1751" s="175">
        <v>0</v>
      </c>
      <c r="AK1751" s="175">
        <v>4</v>
      </c>
      <c r="AL1751" s="175">
        <v>7</v>
      </c>
      <c r="AM1751" s="175">
        <v>6</v>
      </c>
      <c r="AN1751" s="175">
        <v>0</v>
      </c>
      <c r="AO1751" s="175">
        <v>17</v>
      </c>
      <c r="AP1751" s="175">
        <v>13</v>
      </c>
      <c r="AQ1751" s="175">
        <v>4</v>
      </c>
      <c r="AR1751" s="175">
        <v>0</v>
      </c>
      <c r="AS1751" s="175">
        <v>0</v>
      </c>
      <c r="AT1751" s="175">
        <v>0</v>
      </c>
    </row>
    <row r="1752" spans="1:46">
      <c r="A1752">
        <v>40255</v>
      </c>
      <c r="B1752" t="s">
        <v>10498</v>
      </c>
      <c r="C1752" t="s">
        <v>10499</v>
      </c>
      <c r="D1752" t="s">
        <v>10500</v>
      </c>
      <c r="E1752" t="s">
        <v>10501</v>
      </c>
      <c r="G1752" t="s">
        <v>1717</v>
      </c>
      <c r="H1752" t="s">
        <v>449</v>
      </c>
      <c r="J1752" t="s">
        <v>605</v>
      </c>
      <c r="K1752" t="s">
        <v>606</v>
      </c>
      <c r="M1752" t="s">
        <v>1382</v>
      </c>
      <c r="N1752" t="s">
        <v>643</v>
      </c>
      <c r="O1752" t="s">
        <v>1718</v>
      </c>
      <c r="P1752" t="s">
        <v>610</v>
      </c>
      <c r="Q1752" t="s">
        <v>553</v>
      </c>
      <c r="R1752" t="s">
        <v>1384</v>
      </c>
      <c r="S1752" t="s">
        <v>1719</v>
      </c>
      <c r="T1752" t="s">
        <v>1568</v>
      </c>
      <c r="U1752">
        <v>222700</v>
      </c>
      <c r="V1752" t="s">
        <v>10502</v>
      </c>
      <c r="W1752" t="s">
        <v>1721</v>
      </c>
      <c r="X1752" t="s">
        <v>10503</v>
      </c>
      <c r="Y1752" t="s">
        <v>10504</v>
      </c>
      <c r="Z1752" t="s">
        <v>1717</v>
      </c>
      <c r="AA1752" t="s">
        <v>10505</v>
      </c>
      <c r="AC1752">
        <v>99201</v>
      </c>
      <c r="AD1752" t="s">
        <v>1722</v>
      </c>
      <c r="AE1752">
        <v>-38.888358060000002</v>
      </c>
      <c r="AF1752">
        <v>175.32304192000001</v>
      </c>
      <c r="AG1752" s="175">
        <v>40</v>
      </c>
      <c r="AH1752" s="175">
        <v>0</v>
      </c>
      <c r="AI1752" s="175">
        <v>0</v>
      </c>
      <c r="AJ1752" s="175">
        <v>0</v>
      </c>
      <c r="AK1752" s="175">
        <v>6</v>
      </c>
      <c r="AL1752" s="175">
        <v>28</v>
      </c>
      <c r="AM1752" s="175">
        <v>18</v>
      </c>
      <c r="AN1752" s="175">
        <v>1</v>
      </c>
      <c r="AO1752" s="175">
        <v>53</v>
      </c>
      <c r="AP1752" s="175">
        <v>44</v>
      </c>
      <c r="AQ1752" s="175">
        <v>23</v>
      </c>
      <c r="AR1752" s="175">
        <v>0</v>
      </c>
      <c r="AS1752" s="175">
        <v>4</v>
      </c>
      <c r="AT1752" s="175">
        <v>2</v>
      </c>
    </row>
    <row r="1753" spans="1:46">
      <c r="A1753">
        <v>40259</v>
      </c>
      <c r="B1753" t="s">
        <v>10506</v>
      </c>
      <c r="C1753" t="s">
        <v>10507</v>
      </c>
      <c r="D1753" t="s">
        <v>10508</v>
      </c>
      <c r="E1753" t="s">
        <v>10509</v>
      </c>
      <c r="F1753" t="s">
        <v>3793</v>
      </c>
      <c r="G1753" t="s">
        <v>1681</v>
      </c>
      <c r="H1753" t="s">
        <v>449</v>
      </c>
      <c r="J1753" t="s">
        <v>4032</v>
      </c>
      <c r="K1753" t="s">
        <v>606</v>
      </c>
      <c r="M1753" t="s">
        <v>1382</v>
      </c>
      <c r="N1753" t="s">
        <v>657</v>
      </c>
      <c r="O1753" t="s">
        <v>1780</v>
      </c>
      <c r="P1753" t="s">
        <v>739</v>
      </c>
      <c r="Q1753" t="s">
        <v>511</v>
      </c>
      <c r="R1753" t="s">
        <v>1555</v>
      </c>
      <c r="S1753" t="s">
        <v>1681</v>
      </c>
      <c r="T1753" t="s">
        <v>1557</v>
      </c>
      <c r="U1753">
        <v>194801</v>
      </c>
      <c r="V1753" t="s">
        <v>3793</v>
      </c>
      <c r="W1753" t="s">
        <v>3795</v>
      </c>
      <c r="X1753" t="s">
        <v>10510</v>
      </c>
      <c r="Y1753" t="s">
        <v>10509</v>
      </c>
      <c r="AA1753" t="s">
        <v>8947</v>
      </c>
      <c r="AB1753" t="s">
        <v>10511</v>
      </c>
      <c r="AC1753">
        <v>99085</v>
      </c>
      <c r="AD1753" t="s">
        <v>1800</v>
      </c>
      <c r="AE1753">
        <v>-37.705532650000002</v>
      </c>
      <c r="AF1753">
        <v>176.15727074</v>
      </c>
      <c r="AG1753" s="175">
        <v>35</v>
      </c>
      <c r="AH1753" s="175">
        <v>12</v>
      </c>
      <c r="AI1753" s="175">
        <v>0</v>
      </c>
      <c r="AJ1753" s="175">
        <v>7</v>
      </c>
      <c r="AK1753" s="175">
        <v>3</v>
      </c>
      <c r="AL1753" s="175">
        <v>6</v>
      </c>
      <c r="AM1753" s="175">
        <v>6</v>
      </c>
      <c r="AN1753" s="175">
        <v>1</v>
      </c>
      <c r="AO1753" s="175">
        <v>23</v>
      </c>
      <c r="AP1753" s="175">
        <v>16</v>
      </c>
      <c r="AQ1753" s="175">
        <v>7</v>
      </c>
      <c r="AR1753" s="175">
        <v>1</v>
      </c>
      <c r="AS1753" s="175">
        <v>2</v>
      </c>
      <c r="AT1753" s="175">
        <v>3</v>
      </c>
    </row>
    <row r="1754" spans="1:46">
      <c r="A1754">
        <v>40265</v>
      </c>
      <c r="B1754" t="s">
        <v>10512</v>
      </c>
      <c r="C1754" t="s">
        <v>10513</v>
      </c>
      <c r="D1754" t="s">
        <v>10514</v>
      </c>
      <c r="E1754" t="s">
        <v>10515</v>
      </c>
      <c r="F1754" t="s">
        <v>8555</v>
      </c>
      <c r="G1754" t="s">
        <v>1604</v>
      </c>
      <c r="H1754" t="s">
        <v>449</v>
      </c>
      <c r="J1754" t="s">
        <v>4032</v>
      </c>
      <c r="K1754" t="s">
        <v>606</v>
      </c>
      <c r="M1754" t="s">
        <v>1382</v>
      </c>
      <c r="N1754" t="s">
        <v>657</v>
      </c>
      <c r="O1754" t="s">
        <v>1605</v>
      </c>
      <c r="P1754" t="s">
        <v>670</v>
      </c>
      <c r="Q1754" t="s">
        <v>511</v>
      </c>
      <c r="R1754" t="s">
        <v>1555</v>
      </c>
      <c r="S1754" t="s">
        <v>1604</v>
      </c>
      <c r="T1754" t="s">
        <v>1557</v>
      </c>
      <c r="U1754">
        <v>200100</v>
      </c>
      <c r="V1754" t="s">
        <v>8555</v>
      </c>
      <c r="W1754" t="s">
        <v>1606</v>
      </c>
      <c r="X1754" t="s">
        <v>8807</v>
      </c>
      <c r="Y1754" t="s">
        <v>10516</v>
      </c>
      <c r="AA1754" t="s">
        <v>8971</v>
      </c>
      <c r="AB1754" t="s">
        <v>8805</v>
      </c>
      <c r="AC1754">
        <v>99019</v>
      </c>
      <c r="AD1754" t="s">
        <v>1648</v>
      </c>
      <c r="AE1754">
        <v>-38.133630189999998</v>
      </c>
      <c r="AF1754">
        <v>176.25220231</v>
      </c>
      <c r="AG1754" s="175">
        <v>35</v>
      </c>
      <c r="AH1754" s="175">
        <v>10</v>
      </c>
      <c r="AI1754" s="175">
        <v>0</v>
      </c>
      <c r="AJ1754" s="175">
        <v>8</v>
      </c>
      <c r="AK1754" s="175">
        <v>4</v>
      </c>
      <c r="AL1754" s="175">
        <v>9</v>
      </c>
      <c r="AM1754" s="175">
        <v>3</v>
      </c>
      <c r="AN1754" s="175">
        <v>0</v>
      </c>
      <c r="AO1754" s="175">
        <v>24</v>
      </c>
      <c r="AP1754" s="175">
        <v>17</v>
      </c>
      <c r="AQ1754" s="175">
        <v>10</v>
      </c>
      <c r="AR1754" s="175">
        <v>2</v>
      </c>
      <c r="AS1754" s="175">
        <v>1</v>
      </c>
      <c r="AT1754" s="175">
        <v>4</v>
      </c>
    </row>
    <row r="1755" spans="1:46">
      <c r="A1755">
        <v>40266</v>
      </c>
      <c r="B1755" t="s">
        <v>10517</v>
      </c>
      <c r="C1755" t="s">
        <v>10518</v>
      </c>
      <c r="D1755" t="s">
        <v>10519</v>
      </c>
      <c r="E1755" t="s">
        <v>4782</v>
      </c>
      <c r="F1755" t="s">
        <v>3841</v>
      </c>
      <c r="G1755" t="s">
        <v>1681</v>
      </c>
      <c r="H1755" t="s">
        <v>450</v>
      </c>
      <c r="J1755" t="s">
        <v>4032</v>
      </c>
      <c r="K1755" t="s">
        <v>606</v>
      </c>
      <c r="M1755" t="s">
        <v>1382</v>
      </c>
      <c r="N1755" t="s">
        <v>657</v>
      </c>
      <c r="O1755" t="s">
        <v>1780</v>
      </c>
      <c r="P1755" t="s">
        <v>739</v>
      </c>
      <c r="Q1755" t="s">
        <v>511</v>
      </c>
      <c r="R1755" t="s">
        <v>1555</v>
      </c>
      <c r="S1755" t="s">
        <v>1781</v>
      </c>
      <c r="T1755" t="s">
        <v>1557</v>
      </c>
      <c r="U1755">
        <v>197000</v>
      </c>
      <c r="V1755" t="s">
        <v>4783</v>
      </c>
      <c r="W1755" t="s">
        <v>1783</v>
      </c>
      <c r="X1755" t="s">
        <v>10520</v>
      </c>
      <c r="Y1755" t="s">
        <v>4782</v>
      </c>
      <c r="Z1755" t="s">
        <v>3841</v>
      </c>
      <c r="AA1755" t="s">
        <v>4785</v>
      </c>
      <c r="AB1755" t="s">
        <v>10518</v>
      </c>
      <c r="AE1755">
        <v>-37.697152350000003</v>
      </c>
      <c r="AF1755">
        <v>176.26234006000001</v>
      </c>
      <c r="AG1755" s="175">
        <v>60</v>
      </c>
      <c r="AH1755" s="175">
        <v>60</v>
      </c>
      <c r="AI1755" s="175">
        <v>0</v>
      </c>
      <c r="AJ1755" s="175">
        <v>3</v>
      </c>
      <c r="AK1755" s="175">
        <v>3</v>
      </c>
      <c r="AL1755" s="175">
        <v>1</v>
      </c>
      <c r="AM1755" s="175">
        <v>2</v>
      </c>
      <c r="AN1755" s="175">
        <v>0</v>
      </c>
      <c r="AO1755" s="175">
        <v>9</v>
      </c>
      <c r="AP1755" s="175">
        <v>8</v>
      </c>
      <c r="AQ1755" s="175">
        <v>2</v>
      </c>
      <c r="AR1755" s="175">
        <v>0</v>
      </c>
      <c r="AS1755" s="175">
        <v>0</v>
      </c>
      <c r="AT1755" s="175">
        <v>1</v>
      </c>
    </row>
    <row r="1756" spans="1:46">
      <c r="A1756">
        <v>40268</v>
      </c>
      <c r="B1756" t="s">
        <v>10521</v>
      </c>
      <c r="C1756" t="s">
        <v>10522</v>
      </c>
      <c r="D1756" t="s">
        <v>10523</v>
      </c>
      <c r="E1756" t="s">
        <v>10524</v>
      </c>
      <c r="G1756" t="s">
        <v>1824</v>
      </c>
      <c r="H1756" t="s">
        <v>449</v>
      </c>
      <c r="J1756" t="s">
        <v>4032</v>
      </c>
      <c r="K1756" t="s">
        <v>606</v>
      </c>
      <c r="M1756" t="s">
        <v>1382</v>
      </c>
      <c r="N1756" t="s">
        <v>4586</v>
      </c>
      <c r="O1756" t="s">
        <v>1825</v>
      </c>
      <c r="P1756" t="s">
        <v>610</v>
      </c>
      <c r="Q1756" t="s">
        <v>511</v>
      </c>
      <c r="R1756" t="s">
        <v>1555</v>
      </c>
      <c r="S1756" t="s">
        <v>1604</v>
      </c>
      <c r="T1756" t="s">
        <v>1557</v>
      </c>
      <c r="U1756">
        <v>192101</v>
      </c>
      <c r="V1756" t="s">
        <v>1826</v>
      </c>
      <c r="W1756" t="s">
        <v>1827</v>
      </c>
      <c r="X1756" t="s">
        <v>10525</v>
      </c>
      <c r="Y1756" t="s">
        <v>10526</v>
      </c>
      <c r="Z1756" t="s">
        <v>1824</v>
      </c>
      <c r="AA1756" t="s">
        <v>10527</v>
      </c>
      <c r="AB1756" t="s">
        <v>10522</v>
      </c>
      <c r="AE1756">
        <v>-37.784484329999998</v>
      </c>
      <c r="AF1756">
        <v>176.33001949999999</v>
      </c>
      <c r="AG1756" s="175">
        <v>50</v>
      </c>
      <c r="AH1756" s="175">
        <v>15</v>
      </c>
      <c r="AI1756" s="175">
        <v>1</v>
      </c>
      <c r="AJ1756" s="175">
        <v>3</v>
      </c>
      <c r="AK1756" s="175">
        <v>5</v>
      </c>
      <c r="AL1756" s="175">
        <v>21</v>
      </c>
      <c r="AM1756" s="175">
        <v>14</v>
      </c>
      <c r="AN1756" s="175">
        <v>1</v>
      </c>
      <c r="AO1756" s="175">
        <v>45</v>
      </c>
      <c r="AP1756" s="175">
        <v>14</v>
      </c>
      <c r="AQ1756" s="175">
        <v>15</v>
      </c>
      <c r="AR1756" s="175">
        <v>3</v>
      </c>
      <c r="AS1756" s="175">
        <v>22</v>
      </c>
      <c r="AT1756" s="175">
        <v>0</v>
      </c>
    </row>
    <row r="1757" spans="1:46">
      <c r="A1757">
        <v>40269</v>
      </c>
      <c r="B1757" t="s">
        <v>10528</v>
      </c>
      <c r="C1757" t="s">
        <v>10529</v>
      </c>
      <c r="D1757" t="s">
        <v>10530</v>
      </c>
      <c r="E1757" t="s">
        <v>10531</v>
      </c>
      <c r="F1757" t="s">
        <v>1797</v>
      </c>
      <c r="G1757" t="s">
        <v>1681</v>
      </c>
      <c r="H1757" t="s">
        <v>451</v>
      </c>
      <c r="J1757" t="s">
        <v>605</v>
      </c>
      <c r="K1757" t="s">
        <v>606</v>
      </c>
      <c r="M1757" t="s">
        <v>1382</v>
      </c>
      <c r="N1757" t="s">
        <v>812</v>
      </c>
      <c r="O1757" t="s">
        <v>1780</v>
      </c>
      <c r="P1757" t="s">
        <v>739</v>
      </c>
      <c r="Q1757" t="s">
        <v>511</v>
      </c>
      <c r="R1757" t="s">
        <v>1555</v>
      </c>
      <c r="S1757" t="s">
        <v>1681</v>
      </c>
      <c r="T1757" t="s">
        <v>1557</v>
      </c>
      <c r="U1757">
        <v>194400</v>
      </c>
      <c r="V1757" t="s">
        <v>10532</v>
      </c>
      <c r="W1757" t="s">
        <v>3795</v>
      </c>
      <c r="X1757" t="s">
        <v>10533</v>
      </c>
      <c r="Y1757" t="s">
        <v>10534</v>
      </c>
      <c r="AA1757" t="s">
        <v>8772</v>
      </c>
      <c r="AB1757" t="s">
        <v>10529</v>
      </c>
      <c r="AE1757">
        <v>-37.707247330000001</v>
      </c>
      <c r="AF1757">
        <v>176.14872301</v>
      </c>
      <c r="AG1757" s="175">
        <v>22</v>
      </c>
      <c r="AH1757" s="175">
        <v>5</v>
      </c>
      <c r="AI1757" s="175"/>
      <c r="AJ1757" s="175"/>
      <c r="AK1757" s="175"/>
      <c r="AL1757" s="175"/>
      <c r="AM1757" s="175"/>
      <c r="AN1757" s="175"/>
      <c r="AO1757" s="175"/>
      <c r="AP1757" s="175"/>
      <c r="AQ1757" s="175"/>
      <c r="AR1757" s="175"/>
      <c r="AS1757" s="175"/>
    </row>
    <row r="1758" spans="1:46">
      <c r="A1758">
        <v>40271</v>
      </c>
      <c r="B1758" t="s">
        <v>10535</v>
      </c>
      <c r="C1758" t="s">
        <v>10536</v>
      </c>
      <c r="D1758" t="s">
        <v>10537</v>
      </c>
      <c r="E1758" t="s">
        <v>10538</v>
      </c>
      <c r="F1758" t="s">
        <v>3841</v>
      </c>
      <c r="G1758" t="s">
        <v>1681</v>
      </c>
      <c r="H1758" t="s">
        <v>449</v>
      </c>
      <c r="J1758" t="s">
        <v>605</v>
      </c>
      <c r="K1758" t="s">
        <v>606</v>
      </c>
      <c r="M1758" t="s">
        <v>1382</v>
      </c>
      <c r="N1758" t="s">
        <v>657</v>
      </c>
      <c r="O1758" t="s">
        <v>1780</v>
      </c>
      <c r="P1758" t="s">
        <v>739</v>
      </c>
      <c r="Q1758" t="s">
        <v>511</v>
      </c>
      <c r="R1758" t="s">
        <v>1555</v>
      </c>
      <c r="S1758" t="s">
        <v>1781</v>
      </c>
      <c r="T1758" t="s">
        <v>1557</v>
      </c>
      <c r="U1758">
        <v>197400</v>
      </c>
      <c r="V1758" t="s">
        <v>8635</v>
      </c>
      <c r="W1758" t="s">
        <v>3843</v>
      </c>
      <c r="X1758" t="s">
        <v>8441</v>
      </c>
      <c r="Y1758" t="s">
        <v>4014</v>
      </c>
      <c r="Z1758" t="s">
        <v>4015</v>
      </c>
      <c r="AA1758" t="s">
        <v>4016</v>
      </c>
      <c r="AB1758" t="s">
        <v>8442</v>
      </c>
      <c r="AE1758">
        <v>-37.711212719999999</v>
      </c>
      <c r="AF1758">
        <v>176.3137423</v>
      </c>
      <c r="AG1758" s="175">
        <v>80</v>
      </c>
      <c r="AH1758" s="175">
        <v>15</v>
      </c>
      <c r="AI1758" s="175">
        <v>2</v>
      </c>
      <c r="AJ1758" s="175">
        <v>6</v>
      </c>
      <c r="AK1758" s="175">
        <v>18</v>
      </c>
      <c r="AL1758" s="175">
        <v>24</v>
      </c>
      <c r="AM1758" s="175">
        <v>27</v>
      </c>
      <c r="AN1758" s="175">
        <v>2</v>
      </c>
      <c r="AO1758" s="175">
        <v>79</v>
      </c>
      <c r="AP1758" s="175">
        <v>25</v>
      </c>
      <c r="AQ1758" s="175">
        <v>23</v>
      </c>
      <c r="AR1758" s="175">
        <v>2</v>
      </c>
      <c r="AS1758" s="175">
        <v>33</v>
      </c>
      <c r="AT1758" s="175">
        <v>8</v>
      </c>
    </row>
    <row r="1759" spans="1:46">
      <c r="A1759">
        <v>40272</v>
      </c>
      <c r="B1759" t="s">
        <v>10539</v>
      </c>
      <c r="C1759" t="s">
        <v>10540</v>
      </c>
      <c r="D1759" t="s">
        <v>10541</v>
      </c>
      <c r="E1759" t="s">
        <v>10542</v>
      </c>
      <c r="G1759" t="s">
        <v>10281</v>
      </c>
      <c r="H1759" t="s">
        <v>452</v>
      </c>
      <c r="J1759" t="s">
        <v>605</v>
      </c>
      <c r="K1759" t="s">
        <v>606</v>
      </c>
      <c r="M1759" t="s">
        <v>1382</v>
      </c>
      <c r="N1759" t="s">
        <v>608</v>
      </c>
      <c r="O1759" t="s">
        <v>1554</v>
      </c>
      <c r="P1759" t="s">
        <v>626</v>
      </c>
      <c r="Q1759" t="s">
        <v>511</v>
      </c>
      <c r="R1759" t="s">
        <v>1555</v>
      </c>
      <c r="S1759" t="s">
        <v>1556</v>
      </c>
      <c r="T1759" t="s">
        <v>1557</v>
      </c>
      <c r="U1759">
        <v>202000</v>
      </c>
      <c r="V1759" t="s">
        <v>10282</v>
      </c>
      <c r="W1759" t="s">
        <v>1597</v>
      </c>
      <c r="X1759" t="s">
        <v>1560</v>
      </c>
      <c r="Y1759" t="s">
        <v>1525</v>
      </c>
      <c r="AA1759" t="s">
        <v>1526</v>
      </c>
      <c r="AB1759" t="s">
        <v>1561</v>
      </c>
      <c r="AC1759">
        <v>99038</v>
      </c>
      <c r="AD1759" t="s">
        <v>1598</v>
      </c>
      <c r="AE1759">
        <v>-37.892995399999997</v>
      </c>
      <c r="AF1759">
        <v>176.75895743999999</v>
      </c>
      <c r="AG1759" s="175">
        <v>30</v>
      </c>
      <c r="AH1759" s="175">
        <v>10</v>
      </c>
      <c r="AI1759" s="175">
        <v>0</v>
      </c>
      <c r="AJ1759" s="175">
        <v>2</v>
      </c>
      <c r="AK1759" s="175">
        <v>8</v>
      </c>
      <c r="AL1759" s="175">
        <v>4</v>
      </c>
      <c r="AM1759" s="175">
        <v>9</v>
      </c>
      <c r="AN1759" s="175">
        <v>0</v>
      </c>
      <c r="AO1759" s="175">
        <v>23</v>
      </c>
      <c r="AP1759" s="175">
        <v>16</v>
      </c>
      <c r="AQ1759" s="175">
        <v>10</v>
      </c>
      <c r="AR1759" s="175">
        <v>2</v>
      </c>
      <c r="AS1759" s="175">
        <v>4</v>
      </c>
      <c r="AT1759" s="175">
        <v>0</v>
      </c>
    </row>
    <row r="1760" spans="1:46">
      <c r="A1760">
        <v>40274</v>
      </c>
      <c r="B1760" t="s">
        <v>10543</v>
      </c>
      <c r="C1760" t="s">
        <v>10544</v>
      </c>
      <c r="E1760" t="s">
        <v>10545</v>
      </c>
      <c r="F1760" t="s">
        <v>1773</v>
      </c>
      <c r="G1760" t="s">
        <v>1604</v>
      </c>
      <c r="H1760" t="s">
        <v>449</v>
      </c>
      <c r="J1760" t="s">
        <v>4032</v>
      </c>
      <c r="K1760" t="s">
        <v>606</v>
      </c>
      <c r="M1760" t="s">
        <v>1382</v>
      </c>
      <c r="N1760" t="s">
        <v>608</v>
      </c>
      <c r="O1760" t="s">
        <v>1605</v>
      </c>
      <c r="P1760" t="s">
        <v>670</v>
      </c>
      <c r="Q1760" t="s">
        <v>511</v>
      </c>
      <c r="R1760" t="s">
        <v>1555</v>
      </c>
      <c r="S1760" t="s">
        <v>1604</v>
      </c>
      <c r="T1760" t="s">
        <v>1557</v>
      </c>
      <c r="U1760">
        <v>198600</v>
      </c>
      <c r="V1760" t="s">
        <v>8674</v>
      </c>
      <c r="W1760" t="s">
        <v>1606</v>
      </c>
      <c r="X1760" t="s">
        <v>10546</v>
      </c>
      <c r="Y1760" t="s">
        <v>4051</v>
      </c>
      <c r="AA1760" t="s">
        <v>4052</v>
      </c>
      <c r="AB1760" t="s">
        <v>10544</v>
      </c>
      <c r="AC1760">
        <v>99107</v>
      </c>
      <c r="AD1760" t="s">
        <v>1609</v>
      </c>
      <c r="AE1760">
        <v>-38.130470320000001</v>
      </c>
      <c r="AF1760">
        <v>176.21413368</v>
      </c>
      <c r="AG1760" s="175">
        <v>42</v>
      </c>
      <c r="AH1760" s="175">
        <v>15</v>
      </c>
      <c r="AI1760" s="175">
        <v>0</v>
      </c>
      <c r="AJ1760" s="175">
        <v>8</v>
      </c>
      <c r="AK1760" s="175">
        <v>8</v>
      </c>
      <c r="AL1760" s="175">
        <v>8</v>
      </c>
      <c r="AM1760" s="175">
        <v>10</v>
      </c>
      <c r="AN1760" s="175">
        <v>0</v>
      </c>
      <c r="AO1760" s="175">
        <v>34</v>
      </c>
      <c r="AP1760" s="175">
        <v>19</v>
      </c>
      <c r="AQ1760" s="175">
        <v>16</v>
      </c>
      <c r="AR1760" s="175">
        <v>3</v>
      </c>
      <c r="AS1760" s="175">
        <v>3</v>
      </c>
      <c r="AT1760" s="175">
        <v>1</v>
      </c>
    </row>
    <row r="1761" spans="1:46">
      <c r="A1761">
        <v>40277</v>
      </c>
      <c r="B1761" t="s">
        <v>10547</v>
      </c>
      <c r="C1761" t="s">
        <v>10548</v>
      </c>
      <c r="E1761" t="s">
        <v>10549</v>
      </c>
      <c r="G1761" t="s">
        <v>1628</v>
      </c>
      <c r="H1761" t="s">
        <v>449</v>
      </c>
      <c r="J1761" t="s">
        <v>605</v>
      </c>
      <c r="K1761" t="s">
        <v>606</v>
      </c>
      <c r="M1761" t="s">
        <v>1382</v>
      </c>
      <c r="N1761" t="s">
        <v>657</v>
      </c>
      <c r="O1761" t="s">
        <v>1629</v>
      </c>
      <c r="P1761" t="s">
        <v>1347</v>
      </c>
      <c r="Q1761" t="s">
        <v>510</v>
      </c>
      <c r="R1761" t="s">
        <v>1555</v>
      </c>
      <c r="S1761" t="s">
        <v>1404</v>
      </c>
      <c r="T1761" t="s">
        <v>1557</v>
      </c>
      <c r="U1761">
        <v>188900</v>
      </c>
      <c r="V1761" t="s">
        <v>1630</v>
      </c>
      <c r="W1761" t="s">
        <v>1631</v>
      </c>
      <c r="X1761" t="s">
        <v>10550</v>
      </c>
      <c r="Y1761" t="s">
        <v>4014</v>
      </c>
      <c r="Z1761" t="s">
        <v>4015</v>
      </c>
      <c r="AA1761" t="s">
        <v>4016</v>
      </c>
      <c r="AB1761" t="s">
        <v>10551</v>
      </c>
      <c r="AC1761">
        <v>99020</v>
      </c>
      <c r="AD1761" t="s">
        <v>1633</v>
      </c>
      <c r="AE1761">
        <v>-38.68197164</v>
      </c>
      <c r="AF1761">
        <v>176.08783500000001</v>
      </c>
      <c r="AG1761" s="175">
        <v>80</v>
      </c>
      <c r="AH1761" s="175">
        <v>18</v>
      </c>
      <c r="AI1761" s="175">
        <v>4</v>
      </c>
      <c r="AJ1761" s="175">
        <v>15</v>
      </c>
      <c r="AK1761" s="175">
        <v>18</v>
      </c>
      <c r="AL1761" s="175">
        <v>18</v>
      </c>
      <c r="AM1761" s="175">
        <v>27</v>
      </c>
      <c r="AN1761" s="175">
        <v>2</v>
      </c>
      <c r="AO1761" s="175">
        <v>84</v>
      </c>
      <c r="AP1761" s="175">
        <v>46</v>
      </c>
      <c r="AQ1761" s="175">
        <v>33</v>
      </c>
      <c r="AR1761" s="175">
        <v>6</v>
      </c>
      <c r="AS1761" s="175">
        <v>10</v>
      </c>
      <c r="AT1761" s="175">
        <v>18</v>
      </c>
    </row>
    <row r="1762" spans="1:46">
      <c r="A1762">
        <v>40278</v>
      </c>
      <c r="B1762" t="s">
        <v>10552</v>
      </c>
      <c r="C1762" t="s">
        <v>10553</v>
      </c>
      <c r="E1762" t="s">
        <v>10554</v>
      </c>
      <c r="F1762" t="s">
        <v>10302</v>
      </c>
      <c r="G1762" t="s">
        <v>1553</v>
      </c>
      <c r="H1762" t="s">
        <v>449</v>
      </c>
      <c r="J1762" t="s">
        <v>4032</v>
      </c>
      <c r="K1762" t="s">
        <v>606</v>
      </c>
      <c r="M1762" t="s">
        <v>1382</v>
      </c>
      <c r="N1762" t="s">
        <v>657</v>
      </c>
      <c r="O1762" t="s">
        <v>1554</v>
      </c>
      <c r="P1762" t="s">
        <v>1347</v>
      </c>
      <c r="Q1762" t="s">
        <v>511</v>
      </c>
      <c r="R1762" t="s">
        <v>1555</v>
      </c>
      <c r="S1762" t="s">
        <v>1556</v>
      </c>
      <c r="T1762" t="s">
        <v>1557</v>
      </c>
      <c r="U1762">
        <v>202500</v>
      </c>
      <c r="V1762" t="s">
        <v>10302</v>
      </c>
      <c r="W1762" t="s">
        <v>1559</v>
      </c>
      <c r="X1762" t="s">
        <v>10555</v>
      </c>
      <c r="Y1762" t="s">
        <v>10554</v>
      </c>
      <c r="Z1762" t="s">
        <v>10302</v>
      </c>
      <c r="AA1762" t="s">
        <v>10556</v>
      </c>
      <c r="AB1762" t="s">
        <v>10557</v>
      </c>
      <c r="AC1762">
        <v>99016</v>
      </c>
      <c r="AD1762" t="s">
        <v>1562</v>
      </c>
      <c r="AE1762">
        <v>-37.933261170000002</v>
      </c>
      <c r="AF1762">
        <v>176.97174838999999</v>
      </c>
      <c r="AG1762" s="175">
        <v>125</v>
      </c>
      <c r="AH1762" s="175">
        <v>25</v>
      </c>
      <c r="AI1762" s="175">
        <v>4</v>
      </c>
      <c r="AJ1762" s="175">
        <v>30</v>
      </c>
      <c r="AK1762" s="175">
        <v>25</v>
      </c>
      <c r="AL1762" s="175">
        <v>36</v>
      </c>
      <c r="AM1762" s="175">
        <v>30</v>
      </c>
      <c r="AN1762" s="175">
        <v>1</v>
      </c>
      <c r="AO1762" s="175">
        <v>126</v>
      </c>
      <c r="AP1762" s="175">
        <v>105</v>
      </c>
      <c r="AQ1762" s="175">
        <v>37</v>
      </c>
      <c r="AR1762" s="175">
        <v>3</v>
      </c>
      <c r="AS1762" s="175">
        <v>11</v>
      </c>
      <c r="AT1762" s="175">
        <v>2</v>
      </c>
    </row>
    <row r="1763" spans="1:46">
      <c r="A1763">
        <v>40281</v>
      </c>
      <c r="B1763" t="s">
        <v>10558</v>
      </c>
      <c r="C1763" t="s">
        <v>10559</v>
      </c>
      <c r="D1763" t="s">
        <v>10560</v>
      </c>
      <c r="E1763" t="s">
        <v>10561</v>
      </c>
      <c r="F1763" t="s">
        <v>8555</v>
      </c>
      <c r="G1763" t="s">
        <v>1604</v>
      </c>
      <c r="H1763" t="s">
        <v>449</v>
      </c>
      <c r="J1763" t="s">
        <v>4032</v>
      </c>
      <c r="K1763" t="s">
        <v>606</v>
      </c>
      <c r="M1763" t="s">
        <v>1382</v>
      </c>
      <c r="N1763" t="s">
        <v>657</v>
      </c>
      <c r="O1763" t="s">
        <v>1605</v>
      </c>
      <c r="P1763" t="s">
        <v>670</v>
      </c>
      <c r="Q1763" t="s">
        <v>511</v>
      </c>
      <c r="R1763" t="s">
        <v>1555</v>
      </c>
      <c r="S1763" t="s">
        <v>1604</v>
      </c>
      <c r="T1763" t="s">
        <v>1557</v>
      </c>
      <c r="U1763">
        <v>200300</v>
      </c>
      <c r="V1763" t="s">
        <v>9869</v>
      </c>
      <c r="W1763" t="s">
        <v>1606</v>
      </c>
      <c r="X1763" t="s">
        <v>10562</v>
      </c>
      <c r="Y1763" t="s">
        <v>10563</v>
      </c>
      <c r="Z1763" t="s">
        <v>8628</v>
      </c>
      <c r="AA1763" t="s">
        <v>8629</v>
      </c>
      <c r="AB1763" t="s">
        <v>10564</v>
      </c>
      <c r="AC1763">
        <v>99019</v>
      </c>
      <c r="AD1763" t="s">
        <v>1648</v>
      </c>
      <c r="AE1763">
        <v>-38.141044569999998</v>
      </c>
      <c r="AF1763">
        <v>176.23755636000001</v>
      </c>
      <c r="AG1763" s="175">
        <v>30</v>
      </c>
      <c r="AH1763" s="175">
        <v>8</v>
      </c>
      <c r="AI1763" s="175">
        <v>1</v>
      </c>
      <c r="AJ1763" s="175">
        <v>1</v>
      </c>
      <c r="AK1763" s="175">
        <v>9</v>
      </c>
      <c r="AL1763" s="175">
        <v>7</v>
      </c>
      <c r="AM1763" s="175">
        <v>2</v>
      </c>
      <c r="AN1763" s="175">
        <v>0</v>
      </c>
      <c r="AO1763" s="175">
        <v>20</v>
      </c>
      <c r="AP1763" s="175">
        <v>7</v>
      </c>
      <c r="AQ1763" s="175">
        <v>13</v>
      </c>
      <c r="AR1763" s="175">
        <v>2</v>
      </c>
      <c r="AS1763" s="175">
        <v>1</v>
      </c>
      <c r="AT1763" s="175">
        <v>0</v>
      </c>
    </row>
    <row r="1764" spans="1:46">
      <c r="A1764">
        <v>40282</v>
      </c>
      <c r="B1764" t="s">
        <v>10565</v>
      </c>
      <c r="C1764" t="s">
        <v>10566</v>
      </c>
      <c r="E1764" t="s">
        <v>10567</v>
      </c>
      <c r="G1764" t="s">
        <v>1553</v>
      </c>
      <c r="H1764" t="s">
        <v>450</v>
      </c>
      <c r="J1764" t="s">
        <v>4032</v>
      </c>
      <c r="K1764" t="s">
        <v>606</v>
      </c>
      <c r="M1764" t="s">
        <v>1382</v>
      </c>
      <c r="N1764" t="s">
        <v>625</v>
      </c>
      <c r="O1764" t="s">
        <v>1554</v>
      </c>
      <c r="P1764" t="s">
        <v>1347</v>
      </c>
      <c r="Q1764" t="s">
        <v>511</v>
      </c>
      <c r="R1764" t="s">
        <v>1555</v>
      </c>
      <c r="S1764" t="s">
        <v>1556</v>
      </c>
      <c r="T1764" t="s">
        <v>1557</v>
      </c>
      <c r="U1764">
        <v>202900</v>
      </c>
      <c r="V1764" t="s">
        <v>8935</v>
      </c>
      <c r="W1764" t="s">
        <v>1559</v>
      </c>
      <c r="X1764" t="s">
        <v>10568</v>
      </c>
      <c r="Y1764" t="s">
        <v>10569</v>
      </c>
      <c r="AA1764" t="s">
        <v>10570</v>
      </c>
      <c r="AB1764" t="s">
        <v>10571</v>
      </c>
      <c r="AC1764">
        <v>99016</v>
      </c>
      <c r="AD1764" t="s">
        <v>1562</v>
      </c>
      <c r="AE1764">
        <v>-37.967075610000002</v>
      </c>
      <c r="AF1764">
        <v>176.98292180999999</v>
      </c>
      <c r="AG1764" s="175">
        <v>50</v>
      </c>
      <c r="AH1764" s="175">
        <v>50</v>
      </c>
      <c r="AI1764" s="175">
        <v>2</v>
      </c>
      <c r="AJ1764" s="175">
        <v>4</v>
      </c>
      <c r="AK1764" s="175">
        <v>11</v>
      </c>
      <c r="AL1764" s="175">
        <v>4</v>
      </c>
      <c r="AM1764" s="175">
        <v>10</v>
      </c>
      <c r="AN1764" s="175">
        <v>1</v>
      </c>
      <c r="AO1764" s="175">
        <v>32</v>
      </c>
      <c r="AP1764" s="175">
        <v>22</v>
      </c>
      <c r="AQ1764" s="175">
        <v>22</v>
      </c>
      <c r="AR1764" s="175">
        <v>2</v>
      </c>
      <c r="AS1764" s="175">
        <v>1</v>
      </c>
      <c r="AT1764" s="175">
        <v>1</v>
      </c>
    </row>
    <row r="1765" spans="1:46">
      <c r="A1765">
        <v>40283</v>
      </c>
      <c r="B1765" t="s">
        <v>10572</v>
      </c>
      <c r="C1765" t="s">
        <v>10573</v>
      </c>
      <c r="D1765" t="s">
        <v>10574</v>
      </c>
      <c r="E1765" t="s">
        <v>10575</v>
      </c>
      <c r="F1765" t="s">
        <v>1604</v>
      </c>
      <c r="G1765" t="s">
        <v>1604</v>
      </c>
      <c r="H1765" t="s">
        <v>449</v>
      </c>
      <c r="J1765" t="s">
        <v>605</v>
      </c>
      <c r="K1765" t="s">
        <v>606</v>
      </c>
      <c r="M1765" t="s">
        <v>1382</v>
      </c>
      <c r="N1765" t="s">
        <v>608</v>
      </c>
      <c r="O1765" t="s">
        <v>1605</v>
      </c>
      <c r="P1765" t="s">
        <v>670</v>
      </c>
      <c r="Q1765" t="s">
        <v>511</v>
      </c>
      <c r="R1765" t="s">
        <v>1555</v>
      </c>
      <c r="S1765" t="s">
        <v>1604</v>
      </c>
      <c r="T1765" t="s">
        <v>1557</v>
      </c>
      <c r="U1765">
        <v>199300</v>
      </c>
      <c r="V1765" t="s">
        <v>10340</v>
      </c>
      <c r="W1765" t="s">
        <v>1606</v>
      </c>
      <c r="X1765" t="s">
        <v>8441</v>
      </c>
      <c r="Y1765" t="s">
        <v>4014</v>
      </c>
      <c r="Z1765" t="s">
        <v>4015</v>
      </c>
      <c r="AA1765" t="s">
        <v>4016</v>
      </c>
      <c r="AB1765" t="s">
        <v>8442</v>
      </c>
      <c r="AC1765">
        <v>99107</v>
      </c>
      <c r="AD1765" t="s">
        <v>1609</v>
      </c>
      <c r="AE1765">
        <v>-38.124645370000003</v>
      </c>
      <c r="AF1765">
        <v>176.23483302</v>
      </c>
      <c r="AG1765" s="175">
        <v>50</v>
      </c>
      <c r="AH1765" s="175">
        <v>14</v>
      </c>
      <c r="AI1765" s="175">
        <v>0</v>
      </c>
      <c r="AJ1765" s="175">
        <v>16</v>
      </c>
      <c r="AK1765" s="175">
        <v>10</v>
      </c>
      <c r="AL1765" s="175">
        <v>6</v>
      </c>
      <c r="AM1765" s="175">
        <v>18</v>
      </c>
      <c r="AN1765" s="175">
        <v>0</v>
      </c>
      <c r="AO1765" s="175">
        <v>50</v>
      </c>
      <c r="AP1765" s="175">
        <v>17</v>
      </c>
      <c r="AQ1765" s="175">
        <v>28</v>
      </c>
      <c r="AR1765" s="175">
        <v>5</v>
      </c>
      <c r="AS1765" s="175">
        <v>16</v>
      </c>
      <c r="AT1765" s="175">
        <v>2</v>
      </c>
    </row>
    <row r="1766" spans="1:46">
      <c r="A1766">
        <v>40286</v>
      </c>
      <c r="B1766" t="s">
        <v>10576</v>
      </c>
      <c r="C1766" t="s">
        <v>10577</v>
      </c>
      <c r="E1766" t="s">
        <v>10578</v>
      </c>
      <c r="G1766" t="s">
        <v>10579</v>
      </c>
      <c r="H1766" t="s">
        <v>449</v>
      </c>
      <c r="J1766" t="s">
        <v>4032</v>
      </c>
      <c r="K1766" t="s">
        <v>606</v>
      </c>
      <c r="M1766" t="s">
        <v>1382</v>
      </c>
      <c r="N1766" t="s">
        <v>657</v>
      </c>
      <c r="O1766" t="s">
        <v>1825</v>
      </c>
      <c r="P1766" t="s">
        <v>658</v>
      </c>
      <c r="Q1766" t="s">
        <v>511</v>
      </c>
      <c r="R1766" t="s">
        <v>1555</v>
      </c>
      <c r="S1766" t="s">
        <v>1522</v>
      </c>
      <c r="T1766" t="s">
        <v>1557</v>
      </c>
      <c r="U1766">
        <v>190501</v>
      </c>
      <c r="V1766" t="s">
        <v>10579</v>
      </c>
      <c r="W1766" t="s">
        <v>3860</v>
      </c>
      <c r="X1766" t="s">
        <v>10580</v>
      </c>
      <c r="Y1766" t="s">
        <v>10581</v>
      </c>
      <c r="AA1766" t="s">
        <v>10582</v>
      </c>
      <c r="AB1766" t="s">
        <v>10583</v>
      </c>
      <c r="AE1766">
        <v>-37.617594789999998</v>
      </c>
      <c r="AF1766">
        <v>175.95040796999999</v>
      </c>
      <c r="AG1766" s="175">
        <v>25</v>
      </c>
      <c r="AH1766" s="175">
        <v>0</v>
      </c>
      <c r="AI1766" s="175">
        <v>0</v>
      </c>
      <c r="AJ1766" s="175">
        <v>0</v>
      </c>
      <c r="AK1766" s="175">
        <v>9</v>
      </c>
      <c r="AL1766" s="175">
        <v>8</v>
      </c>
      <c r="AM1766" s="175">
        <v>12</v>
      </c>
      <c r="AN1766" s="175">
        <v>1</v>
      </c>
      <c r="AO1766" s="175">
        <v>30</v>
      </c>
      <c r="AP1766" s="175">
        <v>26</v>
      </c>
      <c r="AQ1766" s="175">
        <v>4</v>
      </c>
      <c r="AR1766" s="175">
        <v>0</v>
      </c>
      <c r="AS1766" s="175">
        <v>0</v>
      </c>
      <c r="AT1766" s="175">
        <v>3</v>
      </c>
    </row>
    <row r="1767" spans="1:46">
      <c r="A1767">
        <v>40290</v>
      </c>
      <c r="B1767" t="s">
        <v>10584</v>
      </c>
      <c r="C1767" t="s">
        <v>10585</v>
      </c>
      <c r="E1767" t="s">
        <v>10586</v>
      </c>
      <c r="F1767" t="s">
        <v>1797</v>
      </c>
      <c r="G1767" t="s">
        <v>1681</v>
      </c>
      <c r="H1767" t="s">
        <v>449</v>
      </c>
      <c r="J1767" t="s">
        <v>4032</v>
      </c>
      <c r="K1767" t="s">
        <v>606</v>
      </c>
      <c r="M1767" t="s">
        <v>1382</v>
      </c>
      <c r="N1767" t="s">
        <v>643</v>
      </c>
      <c r="O1767" t="s">
        <v>1780</v>
      </c>
      <c r="P1767" t="s">
        <v>739</v>
      </c>
      <c r="Q1767" t="s">
        <v>511</v>
      </c>
      <c r="R1767" t="s">
        <v>1555</v>
      </c>
      <c r="S1767" t="s">
        <v>1681</v>
      </c>
      <c r="T1767" t="s">
        <v>1557</v>
      </c>
      <c r="U1767">
        <v>195200</v>
      </c>
      <c r="V1767" t="s">
        <v>8945</v>
      </c>
      <c r="W1767" t="s">
        <v>3795</v>
      </c>
      <c r="X1767" t="s">
        <v>10587</v>
      </c>
      <c r="Y1767" t="s">
        <v>10588</v>
      </c>
      <c r="Z1767" t="s">
        <v>9801</v>
      </c>
      <c r="AA1767" t="s">
        <v>10589</v>
      </c>
      <c r="AB1767" t="s">
        <v>10590</v>
      </c>
      <c r="AC1767">
        <v>99085</v>
      </c>
      <c r="AD1767" t="s">
        <v>1800</v>
      </c>
      <c r="AE1767">
        <v>-37.729677379999998</v>
      </c>
      <c r="AF1767">
        <v>176.14028175999999</v>
      </c>
      <c r="AG1767" s="175">
        <v>25</v>
      </c>
      <c r="AH1767" s="175">
        <v>10</v>
      </c>
      <c r="AI1767" s="175">
        <v>1</v>
      </c>
      <c r="AJ1767" s="175">
        <v>5</v>
      </c>
      <c r="AK1767" s="175">
        <v>8</v>
      </c>
      <c r="AL1767" s="175">
        <v>5</v>
      </c>
      <c r="AM1767" s="175">
        <v>12</v>
      </c>
      <c r="AN1767" s="175">
        <v>0</v>
      </c>
      <c r="AO1767" s="175">
        <v>31</v>
      </c>
      <c r="AP1767" s="175">
        <v>15</v>
      </c>
      <c r="AQ1767" s="175">
        <v>17</v>
      </c>
      <c r="AR1767" s="175">
        <v>1</v>
      </c>
      <c r="AS1767" s="175">
        <v>5</v>
      </c>
      <c r="AT1767" s="175">
        <v>0</v>
      </c>
    </row>
    <row r="1768" spans="1:46">
      <c r="A1768">
        <v>40293</v>
      </c>
      <c r="B1768" t="s">
        <v>10591</v>
      </c>
      <c r="C1768" t="s">
        <v>10592</v>
      </c>
      <c r="D1768" t="s">
        <v>10593</v>
      </c>
      <c r="E1768" t="s">
        <v>10594</v>
      </c>
      <c r="F1768" t="s">
        <v>10595</v>
      </c>
      <c r="G1768" t="s">
        <v>1681</v>
      </c>
      <c r="H1768" t="s">
        <v>450</v>
      </c>
      <c r="J1768" t="s">
        <v>605</v>
      </c>
      <c r="K1768" t="s">
        <v>606</v>
      </c>
      <c r="M1768" t="s">
        <v>1382</v>
      </c>
      <c r="N1768" t="s">
        <v>657</v>
      </c>
      <c r="O1768" t="s">
        <v>1780</v>
      </c>
      <c r="P1768" t="s">
        <v>739</v>
      </c>
      <c r="Q1768" t="s">
        <v>511</v>
      </c>
      <c r="R1768" t="s">
        <v>1555</v>
      </c>
      <c r="S1768" t="s">
        <v>1681</v>
      </c>
      <c r="T1768" t="s">
        <v>1557</v>
      </c>
      <c r="U1768">
        <v>193800</v>
      </c>
      <c r="V1768" t="s">
        <v>8466</v>
      </c>
      <c r="W1768" t="s">
        <v>3795</v>
      </c>
      <c r="X1768" t="s">
        <v>1679</v>
      </c>
      <c r="Y1768" t="s">
        <v>1680</v>
      </c>
      <c r="Z1768" t="s">
        <v>1681</v>
      </c>
      <c r="AA1768" t="s">
        <v>1682</v>
      </c>
      <c r="AB1768" t="s">
        <v>1683</v>
      </c>
      <c r="AE1768">
        <v>-37.676468929999999</v>
      </c>
      <c r="AF1768">
        <v>176.16617405</v>
      </c>
      <c r="AG1768" s="175">
        <v>70</v>
      </c>
      <c r="AH1768" s="175">
        <v>70</v>
      </c>
      <c r="AI1768" s="175">
        <v>2</v>
      </c>
      <c r="AJ1768" s="175">
        <v>11</v>
      </c>
      <c r="AK1768" s="175">
        <v>15</v>
      </c>
      <c r="AL1768" s="175">
        <v>11</v>
      </c>
      <c r="AM1768" s="175">
        <v>4</v>
      </c>
      <c r="AN1768" s="175">
        <v>0</v>
      </c>
      <c r="AO1768" s="175">
        <v>43</v>
      </c>
      <c r="AP1768" s="175">
        <v>39</v>
      </c>
      <c r="AQ1768" s="175">
        <v>7</v>
      </c>
      <c r="AR1768" s="175">
        <v>2</v>
      </c>
      <c r="AS1768" s="175">
        <v>2</v>
      </c>
      <c r="AT1768" s="175">
        <v>1</v>
      </c>
    </row>
    <row r="1769" spans="1:46">
      <c r="A1769">
        <v>40294</v>
      </c>
      <c r="B1769" t="s">
        <v>10596</v>
      </c>
      <c r="C1769" t="s">
        <v>10597</v>
      </c>
      <c r="D1769" t="s">
        <v>10598</v>
      </c>
      <c r="E1769" t="s">
        <v>10599</v>
      </c>
      <c r="G1769" t="s">
        <v>9256</v>
      </c>
      <c r="H1769" t="s">
        <v>452</v>
      </c>
      <c r="J1769" t="s">
        <v>605</v>
      </c>
      <c r="K1769" t="s">
        <v>606</v>
      </c>
      <c r="M1769" t="s">
        <v>1382</v>
      </c>
      <c r="N1769" t="s">
        <v>643</v>
      </c>
      <c r="O1769" t="s">
        <v>1545</v>
      </c>
      <c r="P1769" t="s">
        <v>610</v>
      </c>
      <c r="Q1769" t="s">
        <v>510</v>
      </c>
      <c r="R1769" t="s">
        <v>1384</v>
      </c>
      <c r="S1769" t="s">
        <v>1522</v>
      </c>
      <c r="T1769" t="s">
        <v>1320</v>
      </c>
      <c r="U1769">
        <v>168502</v>
      </c>
      <c r="V1769" t="s">
        <v>9257</v>
      </c>
      <c r="W1769" t="s">
        <v>8670</v>
      </c>
      <c r="X1769" t="s">
        <v>1679</v>
      </c>
      <c r="Y1769" t="s">
        <v>1680</v>
      </c>
      <c r="Z1769" t="s">
        <v>1681</v>
      </c>
      <c r="AA1769" t="s">
        <v>1682</v>
      </c>
      <c r="AB1769" t="s">
        <v>1683</v>
      </c>
      <c r="AE1769">
        <v>-37.215967540000001</v>
      </c>
      <c r="AF1769">
        <v>175.86636554</v>
      </c>
      <c r="AG1769" s="175">
        <v>40</v>
      </c>
      <c r="AH1769" s="175">
        <v>0</v>
      </c>
      <c r="AI1769" s="175">
        <v>0</v>
      </c>
      <c r="AJ1769" s="175">
        <v>0</v>
      </c>
      <c r="AK1769" s="175">
        <v>1</v>
      </c>
      <c r="AL1769" s="175">
        <v>13</v>
      </c>
      <c r="AM1769" s="175">
        <v>23</v>
      </c>
      <c r="AN1769" s="175">
        <v>2</v>
      </c>
      <c r="AO1769" s="175">
        <v>39</v>
      </c>
      <c r="AP1769" s="175">
        <v>38</v>
      </c>
      <c r="AQ1769" s="175">
        <v>10</v>
      </c>
      <c r="AR1769" s="175">
        <v>3</v>
      </c>
      <c r="AS1769" s="175">
        <v>2</v>
      </c>
      <c r="AT1769" s="175">
        <v>1</v>
      </c>
    </row>
    <row r="1770" spans="1:46">
      <c r="A1770">
        <v>40295</v>
      </c>
      <c r="B1770" t="s">
        <v>10600</v>
      </c>
      <c r="C1770" t="s">
        <v>10601</v>
      </c>
      <c r="D1770" t="s">
        <v>10602</v>
      </c>
      <c r="E1770" t="s">
        <v>10603</v>
      </c>
      <c r="F1770" t="s">
        <v>3841</v>
      </c>
      <c r="G1770" t="s">
        <v>1681</v>
      </c>
      <c r="H1770" t="s">
        <v>449</v>
      </c>
      <c r="J1770" t="s">
        <v>4032</v>
      </c>
      <c r="K1770" t="s">
        <v>606</v>
      </c>
      <c r="M1770" t="s">
        <v>1382</v>
      </c>
      <c r="N1770" t="s">
        <v>657</v>
      </c>
      <c r="O1770" t="s">
        <v>1780</v>
      </c>
      <c r="P1770" t="s">
        <v>739</v>
      </c>
      <c r="Q1770" t="s">
        <v>511</v>
      </c>
      <c r="R1770" t="s">
        <v>1555</v>
      </c>
      <c r="S1770" t="s">
        <v>1781</v>
      </c>
      <c r="T1770" t="s">
        <v>1557</v>
      </c>
      <c r="U1770">
        <v>197300</v>
      </c>
      <c r="V1770" t="s">
        <v>3842</v>
      </c>
      <c r="W1770" t="s">
        <v>3843</v>
      </c>
      <c r="X1770" t="s">
        <v>10604</v>
      </c>
      <c r="Y1770" t="s">
        <v>4725</v>
      </c>
      <c r="Z1770" t="s">
        <v>1043</v>
      </c>
      <c r="AA1770" t="s">
        <v>4726</v>
      </c>
      <c r="AB1770" t="s">
        <v>10605</v>
      </c>
      <c r="AE1770">
        <v>-37.708368040000003</v>
      </c>
      <c r="AF1770">
        <v>176.28507200999999</v>
      </c>
      <c r="AG1770" s="175">
        <v>50</v>
      </c>
      <c r="AH1770" s="175">
        <v>8</v>
      </c>
      <c r="AI1770" s="175">
        <v>2</v>
      </c>
      <c r="AJ1770" s="175">
        <v>6</v>
      </c>
      <c r="AK1770" s="175">
        <v>10</v>
      </c>
      <c r="AL1770" s="175">
        <v>11</v>
      </c>
      <c r="AM1770" s="175">
        <v>9</v>
      </c>
      <c r="AN1770" s="175">
        <v>0</v>
      </c>
      <c r="AO1770" s="175">
        <v>38</v>
      </c>
      <c r="AP1770" s="175">
        <v>18</v>
      </c>
      <c r="AQ1770" s="175">
        <v>20</v>
      </c>
      <c r="AR1770" s="175">
        <v>3</v>
      </c>
      <c r="AS1770" s="175">
        <v>6</v>
      </c>
      <c r="AT1770" s="175">
        <v>2</v>
      </c>
    </row>
    <row r="1771" spans="1:46">
      <c r="A1771">
        <v>40296</v>
      </c>
      <c r="B1771" t="s">
        <v>10606</v>
      </c>
      <c r="C1771" t="s">
        <v>10607</v>
      </c>
      <c r="E1771" t="s">
        <v>10608</v>
      </c>
      <c r="F1771" t="s">
        <v>1711</v>
      </c>
      <c r="G1771" t="s">
        <v>1604</v>
      </c>
      <c r="H1771" t="s">
        <v>449</v>
      </c>
      <c r="J1771" t="s">
        <v>4032</v>
      </c>
      <c r="K1771" t="s">
        <v>606</v>
      </c>
      <c r="M1771" t="s">
        <v>1382</v>
      </c>
      <c r="N1771" t="s">
        <v>625</v>
      </c>
      <c r="O1771" t="s">
        <v>1605</v>
      </c>
      <c r="P1771" t="s">
        <v>670</v>
      </c>
      <c r="Q1771" t="s">
        <v>511</v>
      </c>
      <c r="R1771" t="s">
        <v>1555</v>
      </c>
      <c r="S1771" t="s">
        <v>1604</v>
      </c>
      <c r="T1771" t="s">
        <v>1557</v>
      </c>
      <c r="U1771">
        <v>201401</v>
      </c>
      <c r="V1771" t="s">
        <v>1712</v>
      </c>
      <c r="W1771" t="s">
        <v>1606</v>
      </c>
      <c r="X1771" t="s">
        <v>10341</v>
      </c>
      <c r="Y1771" t="s">
        <v>10342</v>
      </c>
      <c r="Z1771" t="s">
        <v>8628</v>
      </c>
      <c r="AA1771" t="s">
        <v>10343</v>
      </c>
      <c r="AB1771" t="s">
        <v>10344</v>
      </c>
      <c r="AE1771">
        <v>-38.136543160000002</v>
      </c>
      <c r="AF1771">
        <v>176.29764445000001</v>
      </c>
      <c r="AG1771" s="175">
        <v>43</v>
      </c>
      <c r="AH1771" s="175">
        <v>18</v>
      </c>
      <c r="AI1771" s="175">
        <v>3</v>
      </c>
      <c r="AJ1771" s="175">
        <v>1</v>
      </c>
      <c r="AK1771" s="175">
        <v>11</v>
      </c>
      <c r="AL1771" s="175">
        <v>3</v>
      </c>
      <c r="AM1771" s="175">
        <v>5</v>
      </c>
      <c r="AN1771" s="175">
        <v>1</v>
      </c>
      <c r="AO1771" s="175">
        <v>24</v>
      </c>
      <c r="AP1771" s="175">
        <v>10</v>
      </c>
      <c r="AQ1771" s="175">
        <v>15</v>
      </c>
      <c r="AR1771" s="175">
        <v>2</v>
      </c>
      <c r="AS1771" s="175">
        <v>6</v>
      </c>
      <c r="AT1771" s="175">
        <v>0</v>
      </c>
    </row>
    <row r="1772" spans="1:46">
      <c r="A1772">
        <v>40300</v>
      </c>
      <c r="B1772" t="s">
        <v>10609</v>
      </c>
      <c r="C1772" t="s">
        <v>10610</v>
      </c>
      <c r="D1772" t="s">
        <v>10611</v>
      </c>
      <c r="E1772" t="s">
        <v>10612</v>
      </c>
      <c r="G1772" t="s">
        <v>1824</v>
      </c>
      <c r="H1772" t="s">
        <v>449</v>
      </c>
      <c r="J1772" t="s">
        <v>605</v>
      </c>
      <c r="K1772" t="s">
        <v>606</v>
      </c>
      <c r="M1772" t="s">
        <v>1382</v>
      </c>
      <c r="N1772" t="s">
        <v>657</v>
      </c>
      <c r="O1772" t="s">
        <v>1825</v>
      </c>
      <c r="P1772" t="s">
        <v>610</v>
      </c>
      <c r="Q1772" t="s">
        <v>511</v>
      </c>
      <c r="R1772" t="s">
        <v>1555</v>
      </c>
      <c r="S1772" t="s">
        <v>1604</v>
      </c>
      <c r="T1772" t="s">
        <v>1557</v>
      </c>
      <c r="U1772">
        <v>192101</v>
      </c>
      <c r="V1772" t="s">
        <v>1826</v>
      </c>
      <c r="W1772" t="s">
        <v>1827</v>
      </c>
      <c r="X1772" t="s">
        <v>8770</v>
      </c>
      <c r="Y1772" t="s">
        <v>8771</v>
      </c>
      <c r="AA1772" t="s">
        <v>8772</v>
      </c>
      <c r="AB1772" t="s">
        <v>8773</v>
      </c>
      <c r="AE1772">
        <v>-37.7870293</v>
      </c>
      <c r="AF1772">
        <v>176.32657742000001</v>
      </c>
      <c r="AG1772" s="175">
        <v>40</v>
      </c>
      <c r="AH1772" s="175">
        <v>0</v>
      </c>
      <c r="AI1772" s="175">
        <v>0</v>
      </c>
      <c r="AJ1772" s="175">
        <v>0</v>
      </c>
      <c r="AK1772" s="175">
        <v>4</v>
      </c>
      <c r="AL1772" s="175">
        <v>17</v>
      </c>
      <c r="AM1772" s="175">
        <v>21</v>
      </c>
      <c r="AN1772" s="175">
        <v>0</v>
      </c>
      <c r="AO1772" s="175">
        <v>42</v>
      </c>
      <c r="AP1772" s="175">
        <v>19</v>
      </c>
      <c r="AQ1772" s="175">
        <v>4</v>
      </c>
      <c r="AR1772" s="175">
        <v>3</v>
      </c>
      <c r="AS1772" s="175">
        <v>23</v>
      </c>
      <c r="AT1772" s="175">
        <v>2</v>
      </c>
    </row>
    <row r="1773" spans="1:46">
      <c r="A1773">
        <v>40301</v>
      </c>
      <c r="B1773" t="s">
        <v>10613</v>
      </c>
      <c r="C1773" t="s">
        <v>10614</v>
      </c>
      <c r="D1773" t="s">
        <v>10615</v>
      </c>
      <c r="E1773" t="s">
        <v>10616</v>
      </c>
      <c r="F1773" t="s">
        <v>8536</v>
      </c>
      <c r="G1773" t="s">
        <v>1681</v>
      </c>
      <c r="H1773" t="s">
        <v>347</v>
      </c>
      <c r="J1773" t="s">
        <v>605</v>
      </c>
      <c r="K1773" t="s">
        <v>606</v>
      </c>
      <c r="L1773" t="s">
        <v>4273</v>
      </c>
      <c r="M1773" t="s">
        <v>1382</v>
      </c>
      <c r="N1773" t="s">
        <v>625</v>
      </c>
      <c r="O1773" t="s">
        <v>1780</v>
      </c>
      <c r="P1773" t="s">
        <v>739</v>
      </c>
      <c r="Q1773" t="s">
        <v>511</v>
      </c>
      <c r="R1773" t="s">
        <v>1555</v>
      </c>
      <c r="S1773" t="s">
        <v>1681</v>
      </c>
      <c r="T1773" t="s">
        <v>1557</v>
      </c>
      <c r="U1773">
        <v>193000</v>
      </c>
      <c r="V1773" t="s">
        <v>10193</v>
      </c>
      <c r="W1773" t="s">
        <v>1791</v>
      </c>
      <c r="X1773" t="s">
        <v>10188</v>
      </c>
      <c r="Y1773" t="s">
        <v>4276</v>
      </c>
      <c r="Z1773" t="s">
        <v>4277</v>
      </c>
      <c r="AA1773" t="s">
        <v>4278</v>
      </c>
      <c r="AB1773" t="s">
        <v>10189</v>
      </c>
      <c r="AE1773">
        <v>-37.6904526</v>
      </c>
      <c r="AF1773">
        <v>176.10765610000001</v>
      </c>
      <c r="AG1773" s="175">
        <v>30</v>
      </c>
      <c r="AH1773" s="175">
        <v>8</v>
      </c>
      <c r="AI1773" s="175">
        <v>0</v>
      </c>
      <c r="AJ1773" s="175">
        <v>1</v>
      </c>
      <c r="AK1773" s="175">
        <v>6</v>
      </c>
      <c r="AL1773" s="175">
        <v>5</v>
      </c>
      <c r="AM1773" s="175">
        <v>3</v>
      </c>
      <c r="AN1773" s="175">
        <v>0</v>
      </c>
      <c r="AO1773" s="175">
        <v>15</v>
      </c>
      <c r="AP1773" s="175">
        <v>0</v>
      </c>
      <c r="AQ1773" s="175">
        <v>14</v>
      </c>
      <c r="AR1773" s="175">
        <v>0</v>
      </c>
      <c r="AS1773" s="175">
        <v>0</v>
      </c>
      <c r="AT1773" s="175">
        <v>1</v>
      </c>
    </row>
    <row r="1774" spans="1:46">
      <c r="A1774">
        <v>40302</v>
      </c>
      <c r="B1774" t="s">
        <v>10617</v>
      </c>
      <c r="C1774" t="s">
        <v>10618</v>
      </c>
      <c r="E1774" t="s">
        <v>10619</v>
      </c>
      <c r="F1774" t="s">
        <v>3944</v>
      </c>
      <c r="G1774" t="s">
        <v>1681</v>
      </c>
      <c r="H1774" t="s">
        <v>449</v>
      </c>
      <c r="J1774" t="s">
        <v>4032</v>
      </c>
      <c r="K1774" t="s">
        <v>606</v>
      </c>
      <c r="M1774" t="s">
        <v>1382</v>
      </c>
      <c r="N1774" t="s">
        <v>643</v>
      </c>
      <c r="O1774" t="s">
        <v>1780</v>
      </c>
      <c r="P1774" t="s">
        <v>739</v>
      </c>
      <c r="Q1774" t="s">
        <v>511</v>
      </c>
      <c r="R1774" t="s">
        <v>1555</v>
      </c>
      <c r="S1774" t="s">
        <v>1781</v>
      </c>
      <c r="T1774" t="s">
        <v>1557</v>
      </c>
      <c r="U1774">
        <v>196600</v>
      </c>
      <c r="V1774" t="s">
        <v>3945</v>
      </c>
      <c r="W1774" t="s">
        <v>1813</v>
      </c>
      <c r="X1774" t="s">
        <v>10620</v>
      </c>
      <c r="Y1774" t="s">
        <v>10621</v>
      </c>
      <c r="Z1774" t="s">
        <v>9432</v>
      </c>
      <c r="AA1774" t="s">
        <v>10622</v>
      </c>
      <c r="AB1774" t="s">
        <v>10623</v>
      </c>
      <c r="AC1774">
        <v>99085</v>
      </c>
      <c r="AD1774" t="s">
        <v>1800</v>
      </c>
      <c r="AE1774">
        <v>-37.732106700000003</v>
      </c>
      <c r="AF1774">
        <v>176.18020243999999</v>
      </c>
      <c r="AG1774" s="175">
        <v>25</v>
      </c>
      <c r="AH1774" s="175">
        <v>10</v>
      </c>
      <c r="AI1774" s="175">
        <v>1</v>
      </c>
      <c r="AJ1774" s="175">
        <v>12</v>
      </c>
      <c r="AK1774" s="175">
        <v>13</v>
      </c>
      <c r="AL1774" s="175">
        <v>3</v>
      </c>
      <c r="AM1774" s="175">
        <v>10</v>
      </c>
      <c r="AN1774" s="175">
        <v>1</v>
      </c>
      <c r="AO1774" s="175">
        <v>40</v>
      </c>
      <c r="AP1774" s="175">
        <v>33</v>
      </c>
      <c r="AQ1774" s="175">
        <v>13</v>
      </c>
      <c r="AR1774" s="175">
        <v>3</v>
      </c>
      <c r="AS1774" s="175">
        <v>0</v>
      </c>
      <c r="AT1774" s="175">
        <v>0</v>
      </c>
    </row>
    <row r="1775" spans="1:46">
      <c r="A1775">
        <v>40303</v>
      </c>
      <c r="B1775" t="s">
        <v>10624</v>
      </c>
      <c r="C1775" t="s">
        <v>10625</v>
      </c>
      <c r="D1775" t="s">
        <v>10626</v>
      </c>
      <c r="E1775" t="s">
        <v>10627</v>
      </c>
      <c r="F1775" t="s">
        <v>1789</v>
      </c>
      <c r="G1775" t="s">
        <v>1681</v>
      </c>
      <c r="H1775" t="s">
        <v>449</v>
      </c>
      <c r="J1775" t="s">
        <v>4032</v>
      </c>
      <c r="K1775" t="s">
        <v>606</v>
      </c>
      <c r="M1775" t="s">
        <v>1382</v>
      </c>
      <c r="N1775" t="s">
        <v>4586</v>
      </c>
      <c r="O1775" t="s">
        <v>1780</v>
      </c>
      <c r="P1775" t="s">
        <v>739</v>
      </c>
      <c r="Q1775" t="s">
        <v>511</v>
      </c>
      <c r="R1775" t="s">
        <v>1555</v>
      </c>
      <c r="S1775" t="s">
        <v>1681</v>
      </c>
      <c r="T1775" t="s">
        <v>1557</v>
      </c>
      <c r="U1775">
        <v>193301</v>
      </c>
      <c r="V1775" t="s">
        <v>9921</v>
      </c>
      <c r="W1775" t="s">
        <v>1819</v>
      </c>
      <c r="X1775" t="s">
        <v>10628</v>
      </c>
      <c r="Y1775" t="s">
        <v>10629</v>
      </c>
      <c r="Z1775" t="s">
        <v>976</v>
      </c>
      <c r="AA1775" t="s">
        <v>10630</v>
      </c>
      <c r="AB1775" t="s">
        <v>10625</v>
      </c>
      <c r="AC1775">
        <v>99036</v>
      </c>
      <c r="AD1775" t="s">
        <v>1792</v>
      </c>
      <c r="AE1775">
        <v>-37.672756800000002</v>
      </c>
      <c r="AF1775">
        <v>176.1380824</v>
      </c>
      <c r="AG1775" s="175">
        <v>50</v>
      </c>
      <c r="AH1775" s="175">
        <v>12</v>
      </c>
      <c r="AI1775" s="175">
        <v>2</v>
      </c>
      <c r="AJ1775" s="175">
        <v>15</v>
      </c>
      <c r="AK1775" s="175">
        <v>18</v>
      </c>
      <c r="AL1775" s="175">
        <v>13</v>
      </c>
      <c r="AM1775" s="175">
        <v>12</v>
      </c>
      <c r="AN1775" s="175">
        <v>1</v>
      </c>
      <c r="AO1775" s="175">
        <v>61</v>
      </c>
      <c r="AP1775" s="175">
        <v>56</v>
      </c>
      <c r="AQ1775" s="175">
        <v>8</v>
      </c>
      <c r="AR1775" s="175">
        <v>1</v>
      </c>
      <c r="AS1775" s="175">
        <v>5</v>
      </c>
      <c r="AT1775" s="175">
        <v>1</v>
      </c>
    </row>
    <row r="1776" spans="1:46">
      <c r="A1776">
        <v>40304</v>
      </c>
      <c r="B1776" t="s">
        <v>10631</v>
      </c>
      <c r="C1776" t="s">
        <v>10632</v>
      </c>
      <c r="D1776" t="s">
        <v>10633</v>
      </c>
      <c r="E1776" t="s">
        <v>10634</v>
      </c>
      <c r="F1776" t="s">
        <v>1773</v>
      </c>
      <c r="G1776" t="s">
        <v>1604</v>
      </c>
      <c r="H1776" t="s">
        <v>449</v>
      </c>
      <c r="J1776" t="s">
        <v>605</v>
      </c>
      <c r="K1776" t="s">
        <v>606</v>
      </c>
      <c r="M1776" t="s">
        <v>1382</v>
      </c>
      <c r="N1776" t="s">
        <v>608</v>
      </c>
      <c r="O1776" t="s">
        <v>1605</v>
      </c>
      <c r="P1776" t="s">
        <v>670</v>
      </c>
      <c r="Q1776" t="s">
        <v>511</v>
      </c>
      <c r="R1776" t="s">
        <v>1555</v>
      </c>
      <c r="S1776" t="s">
        <v>1604</v>
      </c>
      <c r="T1776" t="s">
        <v>1557</v>
      </c>
      <c r="U1776">
        <v>198600</v>
      </c>
      <c r="V1776" t="s">
        <v>8674</v>
      </c>
      <c r="W1776" t="s">
        <v>1606</v>
      </c>
      <c r="X1776" t="s">
        <v>10635</v>
      </c>
      <c r="Y1776" t="s">
        <v>10636</v>
      </c>
      <c r="Z1776" t="s">
        <v>1773</v>
      </c>
      <c r="AA1776" t="s">
        <v>10637</v>
      </c>
      <c r="AB1776" t="s">
        <v>10638</v>
      </c>
      <c r="AE1776">
        <v>-38.129685510000002</v>
      </c>
      <c r="AF1776">
        <v>176.21911856</v>
      </c>
      <c r="AG1776" s="175">
        <v>60</v>
      </c>
      <c r="AH1776" s="175">
        <v>20</v>
      </c>
      <c r="AI1776" s="175">
        <v>5</v>
      </c>
      <c r="AJ1776" s="175">
        <v>12</v>
      </c>
      <c r="AK1776" s="175">
        <v>15</v>
      </c>
      <c r="AL1776" s="175">
        <v>16</v>
      </c>
      <c r="AM1776" s="175">
        <v>20</v>
      </c>
      <c r="AN1776" s="175">
        <v>0</v>
      </c>
      <c r="AO1776" s="175">
        <v>68</v>
      </c>
      <c r="AP1776" s="175">
        <v>47</v>
      </c>
      <c r="AQ1776" s="175">
        <v>21</v>
      </c>
      <c r="AR1776" s="175">
        <v>5</v>
      </c>
      <c r="AS1776" s="175">
        <v>18</v>
      </c>
      <c r="AT1776" s="175">
        <v>1</v>
      </c>
    </row>
    <row r="1777" spans="1:46">
      <c r="A1777">
        <v>40305</v>
      </c>
      <c r="B1777" t="s">
        <v>10639</v>
      </c>
      <c r="C1777" t="s">
        <v>10640</v>
      </c>
      <c r="D1777" t="s">
        <v>10641</v>
      </c>
      <c r="E1777" t="s">
        <v>10642</v>
      </c>
      <c r="F1777" t="s">
        <v>8439</v>
      </c>
      <c r="G1777" t="s">
        <v>1681</v>
      </c>
      <c r="H1777" t="s">
        <v>449</v>
      </c>
      <c r="I1777" t="s">
        <v>4134</v>
      </c>
      <c r="J1777" t="s">
        <v>4032</v>
      </c>
      <c r="K1777" t="s">
        <v>606</v>
      </c>
      <c r="M1777" t="s">
        <v>1382</v>
      </c>
      <c r="N1777" t="s">
        <v>657</v>
      </c>
      <c r="O1777" t="s">
        <v>1780</v>
      </c>
      <c r="P1777" t="s">
        <v>739</v>
      </c>
      <c r="Q1777" t="s">
        <v>511</v>
      </c>
      <c r="R1777" t="s">
        <v>1555</v>
      </c>
      <c r="S1777" t="s">
        <v>1781</v>
      </c>
      <c r="T1777" t="s">
        <v>1557</v>
      </c>
      <c r="U1777">
        <v>195500</v>
      </c>
      <c r="V1777" t="s">
        <v>9933</v>
      </c>
      <c r="W1777" t="s">
        <v>1783</v>
      </c>
      <c r="X1777" t="s">
        <v>10643</v>
      </c>
      <c r="Y1777" t="s">
        <v>10644</v>
      </c>
      <c r="AA1777" t="s">
        <v>8991</v>
      </c>
      <c r="AC1777">
        <v>99064</v>
      </c>
      <c r="AD1777" t="s">
        <v>1784</v>
      </c>
      <c r="AE1777">
        <v>-37.678564919999999</v>
      </c>
      <c r="AF1777">
        <v>176.22655096</v>
      </c>
      <c r="AG1777" s="175">
        <v>33</v>
      </c>
      <c r="AH1777" s="175">
        <v>0</v>
      </c>
      <c r="AI1777" s="175">
        <v>0</v>
      </c>
      <c r="AJ1777" s="175">
        <v>0</v>
      </c>
      <c r="AK1777" s="175">
        <v>10</v>
      </c>
      <c r="AL1777" s="175">
        <v>13</v>
      </c>
      <c r="AM1777" s="175">
        <v>11</v>
      </c>
      <c r="AN1777" s="175">
        <v>7</v>
      </c>
      <c r="AO1777" s="175">
        <v>41</v>
      </c>
      <c r="AP1777" s="175">
        <v>37</v>
      </c>
      <c r="AQ1777" s="175">
        <v>6</v>
      </c>
      <c r="AR1777" s="175">
        <v>1</v>
      </c>
      <c r="AS1777" s="175">
        <v>2</v>
      </c>
      <c r="AT1777" s="175">
        <v>5</v>
      </c>
    </row>
    <row r="1778" spans="1:46">
      <c r="A1778">
        <v>40306</v>
      </c>
      <c r="B1778" t="s">
        <v>10645</v>
      </c>
      <c r="C1778" t="s">
        <v>10646</v>
      </c>
      <c r="D1778" t="s">
        <v>10647</v>
      </c>
      <c r="E1778" t="s">
        <v>10648</v>
      </c>
      <c r="G1778" t="s">
        <v>3858</v>
      </c>
      <c r="H1778" t="s">
        <v>449</v>
      </c>
      <c r="J1778" t="s">
        <v>4032</v>
      </c>
      <c r="K1778" t="s">
        <v>606</v>
      </c>
      <c r="M1778" t="s">
        <v>1382</v>
      </c>
      <c r="N1778" t="s">
        <v>657</v>
      </c>
      <c r="O1778" t="s">
        <v>1825</v>
      </c>
      <c r="P1778" t="s">
        <v>610</v>
      </c>
      <c r="Q1778" t="s">
        <v>511</v>
      </c>
      <c r="R1778" t="s">
        <v>1555</v>
      </c>
      <c r="S1778" t="s">
        <v>1522</v>
      </c>
      <c r="T1778" t="s">
        <v>1557</v>
      </c>
      <c r="U1778">
        <v>190601</v>
      </c>
      <c r="V1778" t="s">
        <v>9831</v>
      </c>
      <c r="W1778" t="s">
        <v>3860</v>
      </c>
      <c r="X1778" t="s">
        <v>10649</v>
      </c>
      <c r="Y1778" t="s">
        <v>10650</v>
      </c>
      <c r="AA1778" t="s">
        <v>10651</v>
      </c>
      <c r="AE1778">
        <v>-37.551851880000001</v>
      </c>
      <c r="AF1778">
        <v>175.92532765999999</v>
      </c>
      <c r="AG1778" s="175">
        <v>25</v>
      </c>
      <c r="AH1778" s="175">
        <v>5</v>
      </c>
      <c r="AI1778" s="175">
        <v>1</v>
      </c>
      <c r="AJ1778" s="175">
        <v>5</v>
      </c>
      <c r="AK1778" s="175">
        <v>7</v>
      </c>
      <c r="AL1778" s="175">
        <v>11</v>
      </c>
      <c r="AM1778" s="175">
        <v>6</v>
      </c>
      <c r="AN1778" s="175">
        <v>1</v>
      </c>
      <c r="AO1778" s="175">
        <v>31</v>
      </c>
      <c r="AP1778" s="175">
        <v>29</v>
      </c>
      <c r="AQ1778" s="175">
        <v>6</v>
      </c>
      <c r="AR1778" s="175">
        <v>1</v>
      </c>
      <c r="AS1778" s="175">
        <v>3</v>
      </c>
      <c r="AT1778" s="175">
        <v>0</v>
      </c>
    </row>
    <row r="1779" spans="1:46">
      <c r="A1779">
        <v>40309</v>
      </c>
      <c r="B1779" t="s">
        <v>10652</v>
      </c>
      <c r="C1779" t="s">
        <v>10653</v>
      </c>
      <c r="E1779" t="s">
        <v>10654</v>
      </c>
      <c r="F1779" t="s">
        <v>3841</v>
      </c>
      <c r="G1779" t="s">
        <v>1681</v>
      </c>
      <c r="H1779" t="s">
        <v>449</v>
      </c>
      <c r="J1779" t="s">
        <v>605</v>
      </c>
      <c r="K1779" t="s">
        <v>606</v>
      </c>
      <c r="M1779" t="s">
        <v>1382</v>
      </c>
      <c r="N1779" t="s">
        <v>657</v>
      </c>
      <c r="O1779" t="s">
        <v>1780</v>
      </c>
      <c r="P1779" t="s">
        <v>739</v>
      </c>
      <c r="Q1779" t="s">
        <v>511</v>
      </c>
      <c r="R1779" t="s">
        <v>1555</v>
      </c>
      <c r="S1779" t="s">
        <v>1781</v>
      </c>
      <c r="T1779" t="s">
        <v>1557</v>
      </c>
      <c r="U1779">
        <v>197400</v>
      </c>
      <c r="V1779" t="s">
        <v>8635</v>
      </c>
      <c r="W1779" t="s">
        <v>3843</v>
      </c>
      <c r="X1779" t="s">
        <v>8441</v>
      </c>
      <c r="Y1779" t="s">
        <v>4014</v>
      </c>
      <c r="Z1779" t="s">
        <v>4015</v>
      </c>
      <c r="AA1779" t="s">
        <v>4016</v>
      </c>
      <c r="AB1779" t="s">
        <v>8442</v>
      </c>
      <c r="AE1779">
        <v>-37.714027180000002</v>
      </c>
      <c r="AF1779">
        <v>176.33106681000001</v>
      </c>
      <c r="AG1779" s="175">
        <v>70</v>
      </c>
      <c r="AH1779" s="175">
        <v>12</v>
      </c>
      <c r="AI1779" s="175">
        <v>1</v>
      </c>
      <c r="AJ1779" s="175">
        <v>9</v>
      </c>
      <c r="AK1779" s="175">
        <v>15</v>
      </c>
      <c r="AL1779" s="175">
        <v>19</v>
      </c>
      <c r="AM1779" s="175">
        <v>19</v>
      </c>
      <c r="AN1779" s="175">
        <v>0</v>
      </c>
      <c r="AO1779" s="175">
        <v>63</v>
      </c>
      <c r="AP1779" s="175">
        <v>34</v>
      </c>
      <c r="AQ1779" s="175">
        <v>19</v>
      </c>
      <c r="AR1779" s="175">
        <v>4</v>
      </c>
      <c r="AS1779" s="175">
        <v>12</v>
      </c>
      <c r="AT1779" s="175">
        <v>10</v>
      </c>
    </row>
    <row r="1780" spans="1:46">
      <c r="A1780">
        <v>40310</v>
      </c>
      <c r="B1780" t="s">
        <v>10655</v>
      </c>
      <c r="C1780" t="s">
        <v>10566</v>
      </c>
      <c r="D1780" t="s">
        <v>10656</v>
      </c>
      <c r="E1780" t="s">
        <v>10567</v>
      </c>
      <c r="G1780" t="s">
        <v>1553</v>
      </c>
      <c r="H1780" t="s">
        <v>450</v>
      </c>
      <c r="J1780" t="s">
        <v>4032</v>
      </c>
      <c r="K1780" t="s">
        <v>606</v>
      </c>
      <c r="M1780" t="s">
        <v>1382</v>
      </c>
      <c r="N1780" t="s">
        <v>625</v>
      </c>
      <c r="O1780" t="s">
        <v>1554</v>
      </c>
      <c r="P1780" t="s">
        <v>1347</v>
      </c>
      <c r="Q1780" t="s">
        <v>511</v>
      </c>
      <c r="R1780" t="s">
        <v>1555</v>
      </c>
      <c r="S1780" t="s">
        <v>1556</v>
      </c>
      <c r="T1780" t="s">
        <v>1557</v>
      </c>
      <c r="U1780">
        <v>202900</v>
      </c>
      <c r="V1780" t="s">
        <v>8935</v>
      </c>
      <c r="W1780" t="s">
        <v>1559</v>
      </c>
      <c r="X1780" t="s">
        <v>10568</v>
      </c>
      <c r="Y1780" t="s">
        <v>10569</v>
      </c>
      <c r="AA1780" t="s">
        <v>10570</v>
      </c>
      <c r="AB1780" t="s">
        <v>10571</v>
      </c>
      <c r="AE1780">
        <v>-37.967078600000001</v>
      </c>
      <c r="AF1780">
        <v>176.98296099999999</v>
      </c>
      <c r="AG1780" s="175">
        <v>80</v>
      </c>
      <c r="AH1780" s="175">
        <v>80</v>
      </c>
      <c r="AI1780" s="175">
        <v>4</v>
      </c>
      <c r="AJ1780" s="175">
        <v>4</v>
      </c>
      <c r="AK1780" s="175">
        <v>10</v>
      </c>
      <c r="AL1780" s="175">
        <v>11</v>
      </c>
      <c r="AM1780" s="175">
        <v>7</v>
      </c>
      <c r="AN1780" s="175">
        <v>2</v>
      </c>
      <c r="AO1780" s="175">
        <v>38</v>
      </c>
      <c r="AP1780" s="175">
        <v>19</v>
      </c>
      <c r="AQ1780" s="175">
        <v>31</v>
      </c>
      <c r="AR1780" s="175">
        <v>1</v>
      </c>
      <c r="AS1780" s="175">
        <v>4</v>
      </c>
      <c r="AT1780" s="175">
        <v>0</v>
      </c>
    </row>
    <row r="1781" spans="1:46">
      <c r="A1781">
        <v>40311</v>
      </c>
      <c r="B1781" t="s">
        <v>10657</v>
      </c>
      <c r="C1781" t="s">
        <v>10658</v>
      </c>
      <c r="D1781" t="s">
        <v>10659</v>
      </c>
      <c r="E1781" t="s">
        <v>10660</v>
      </c>
      <c r="F1781" t="s">
        <v>8547</v>
      </c>
      <c r="G1781" t="s">
        <v>1681</v>
      </c>
      <c r="H1781" t="s">
        <v>449</v>
      </c>
      <c r="J1781" t="s">
        <v>4032</v>
      </c>
      <c r="K1781" t="s">
        <v>606</v>
      </c>
      <c r="M1781" t="s">
        <v>1382</v>
      </c>
      <c r="N1781" t="s">
        <v>657</v>
      </c>
      <c r="O1781" t="s">
        <v>1780</v>
      </c>
      <c r="P1781" t="s">
        <v>739</v>
      </c>
      <c r="Q1781" t="s">
        <v>511</v>
      </c>
      <c r="R1781" t="s">
        <v>1555</v>
      </c>
      <c r="S1781" t="s">
        <v>1681</v>
      </c>
      <c r="T1781" t="s">
        <v>1557</v>
      </c>
      <c r="U1781">
        <v>194601</v>
      </c>
      <c r="V1781" t="s">
        <v>8547</v>
      </c>
      <c r="W1781" t="s">
        <v>3795</v>
      </c>
      <c r="X1781" t="s">
        <v>10661</v>
      </c>
      <c r="Y1781" t="s">
        <v>10660</v>
      </c>
      <c r="Z1781" t="s">
        <v>8547</v>
      </c>
      <c r="AA1781" t="s">
        <v>8947</v>
      </c>
      <c r="AC1781">
        <v>99085</v>
      </c>
      <c r="AD1781" t="s">
        <v>1800</v>
      </c>
      <c r="AE1781">
        <v>-37.713995789999998</v>
      </c>
      <c r="AF1781">
        <v>176.14111577</v>
      </c>
      <c r="AG1781" s="175">
        <v>25</v>
      </c>
      <c r="AH1781" s="175">
        <v>5</v>
      </c>
      <c r="AI1781" s="175">
        <v>1</v>
      </c>
      <c r="AJ1781" s="175">
        <v>6</v>
      </c>
      <c r="AK1781" s="175">
        <v>5</v>
      </c>
      <c r="AL1781" s="175">
        <v>10</v>
      </c>
      <c r="AM1781" s="175">
        <v>8</v>
      </c>
      <c r="AN1781" s="175">
        <v>1</v>
      </c>
      <c r="AO1781" s="175">
        <v>31</v>
      </c>
      <c r="AP1781" s="175">
        <v>21</v>
      </c>
      <c r="AQ1781" s="175">
        <v>9</v>
      </c>
      <c r="AR1781" s="175">
        <v>3</v>
      </c>
      <c r="AS1781" s="175">
        <v>4</v>
      </c>
      <c r="AT1781" s="175">
        <v>4</v>
      </c>
    </row>
    <row r="1782" spans="1:46">
      <c r="A1782">
        <v>40312</v>
      </c>
      <c r="B1782" t="s">
        <v>10662</v>
      </c>
      <c r="C1782" t="s">
        <v>10663</v>
      </c>
      <c r="D1782" t="s">
        <v>9931</v>
      </c>
      <c r="E1782" t="s">
        <v>10664</v>
      </c>
      <c r="F1782" t="s">
        <v>10208</v>
      </c>
      <c r="G1782" t="s">
        <v>1681</v>
      </c>
      <c r="H1782" t="s">
        <v>449</v>
      </c>
      <c r="J1782" t="s">
        <v>605</v>
      </c>
      <c r="K1782" t="s">
        <v>606</v>
      </c>
      <c r="M1782" t="s">
        <v>1382</v>
      </c>
      <c r="N1782" t="s">
        <v>608</v>
      </c>
      <c r="O1782" t="s">
        <v>1780</v>
      </c>
      <c r="P1782" t="s">
        <v>739</v>
      </c>
      <c r="Q1782" t="s">
        <v>511</v>
      </c>
      <c r="R1782" t="s">
        <v>1555</v>
      </c>
      <c r="S1782" t="s">
        <v>1681</v>
      </c>
      <c r="T1782" t="s">
        <v>1557</v>
      </c>
      <c r="U1782">
        <v>195300</v>
      </c>
      <c r="V1782" t="s">
        <v>10209</v>
      </c>
      <c r="W1782" t="s">
        <v>3795</v>
      </c>
      <c r="X1782" t="s">
        <v>8675</v>
      </c>
      <c r="Y1782" t="s">
        <v>8431</v>
      </c>
      <c r="AA1782" t="s">
        <v>8432</v>
      </c>
      <c r="AB1782" t="s">
        <v>8672</v>
      </c>
      <c r="AC1782">
        <v>99085</v>
      </c>
      <c r="AD1782" t="s">
        <v>1800</v>
      </c>
      <c r="AE1782">
        <v>-37.722045479999998</v>
      </c>
      <c r="AF1782">
        <v>176.14285849999999</v>
      </c>
      <c r="AG1782" s="175">
        <v>43</v>
      </c>
      <c r="AH1782" s="175">
        <v>10</v>
      </c>
      <c r="AI1782" s="175">
        <v>0</v>
      </c>
      <c r="AJ1782" s="175">
        <v>8</v>
      </c>
      <c r="AK1782" s="175">
        <v>8</v>
      </c>
      <c r="AL1782" s="175">
        <v>13</v>
      </c>
      <c r="AM1782" s="175">
        <v>12</v>
      </c>
      <c r="AN1782" s="175">
        <v>0</v>
      </c>
      <c r="AO1782" s="175">
        <v>41</v>
      </c>
      <c r="AP1782" s="175">
        <v>13</v>
      </c>
      <c r="AQ1782" s="175">
        <v>36</v>
      </c>
      <c r="AR1782" s="175">
        <v>2</v>
      </c>
      <c r="AS1782" s="175">
        <v>4</v>
      </c>
      <c r="AT1782" s="175">
        <v>0</v>
      </c>
    </row>
    <row r="1783" spans="1:46">
      <c r="A1783">
        <v>40316</v>
      </c>
      <c r="B1783" t="s">
        <v>10665</v>
      </c>
      <c r="C1783" t="s">
        <v>10666</v>
      </c>
      <c r="D1783" t="s">
        <v>10338</v>
      </c>
      <c r="E1783" t="s">
        <v>10667</v>
      </c>
      <c r="F1783" t="s">
        <v>9940</v>
      </c>
      <c r="G1783" t="s">
        <v>1604</v>
      </c>
      <c r="H1783" t="s">
        <v>449</v>
      </c>
      <c r="J1783" t="s">
        <v>4032</v>
      </c>
      <c r="K1783" t="s">
        <v>606</v>
      </c>
      <c r="M1783" t="s">
        <v>1382</v>
      </c>
      <c r="N1783" t="s">
        <v>643</v>
      </c>
      <c r="O1783" t="s">
        <v>1605</v>
      </c>
      <c r="P1783" t="s">
        <v>670</v>
      </c>
      <c r="Q1783" t="s">
        <v>511</v>
      </c>
      <c r="R1783" t="s">
        <v>1555</v>
      </c>
      <c r="S1783" t="s">
        <v>1604</v>
      </c>
      <c r="T1783" t="s">
        <v>1557</v>
      </c>
      <c r="U1783">
        <v>199900</v>
      </c>
      <c r="V1783" t="s">
        <v>9940</v>
      </c>
      <c r="W1783" t="s">
        <v>1606</v>
      </c>
      <c r="X1783" t="s">
        <v>10341</v>
      </c>
      <c r="Y1783" t="s">
        <v>10342</v>
      </c>
      <c r="Z1783" t="s">
        <v>8628</v>
      </c>
      <c r="AA1783" t="s">
        <v>10343</v>
      </c>
      <c r="AB1783" t="s">
        <v>10344</v>
      </c>
      <c r="AC1783">
        <v>99019</v>
      </c>
      <c r="AD1783" t="s">
        <v>1648</v>
      </c>
      <c r="AE1783">
        <v>-38.143650890000004</v>
      </c>
      <c r="AF1783">
        <v>176.23604354</v>
      </c>
      <c r="AG1783" s="175">
        <v>72</v>
      </c>
      <c r="AH1783" s="175">
        <v>16</v>
      </c>
      <c r="AI1783" s="175">
        <v>2</v>
      </c>
      <c r="AJ1783" s="175">
        <v>11</v>
      </c>
      <c r="AK1783" s="175">
        <v>10</v>
      </c>
      <c r="AL1783" s="175">
        <v>19</v>
      </c>
      <c r="AM1783" s="175">
        <v>12</v>
      </c>
      <c r="AN1783" s="175">
        <v>0</v>
      </c>
      <c r="AO1783" s="175">
        <v>54</v>
      </c>
      <c r="AP1783" s="175">
        <v>13</v>
      </c>
      <c r="AQ1783" s="175">
        <v>19</v>
      </c>
      <c r="AR1783" s="175">
        <v>8</v>
      </c>
      <c r="AS1783" s="175">
        <v>28</v>
      </c>
      <c r="AT1783" s="175">
        <v>0</v>
      </c>
    </row>
    <row r="1784" spans="1:46">
      <c r="A1784">
        <v>40319</v>
      </c>
      <c r="B1784" t="s">
        <v>10668</v>
      </c>
      <c r="C1784" t="s">
        <v>10669</v>
      </c>
      <c r="D1784" t="s">
        <v>10670</v>
      </c>
      <c r="E1784" t="s">
        <v>10671</v>
      </c>
      <c r="F1784" t="s">
        <v>10216</v>
      </c>
      <c r="G1784" t="s">
        <v>1681</v>
      </c>
      <c r="H1784" t="s">
        <v>449</v>
      </c>
      <c r="J1784" t="s">
        <v>4032</v>
      </c>
      <c r="K1784" t="s">
        <v>606</v>
      </c>
      <c r="M1784" t="s">
        <v>1382</v>
      </c>
      <c r="N1784" t="s">
        <v>625</v>
      </c>
      <c r="O1784" t="s">
        <v>1780</v>
      </c>
      <c r="P1784" t="s">
        <v>739</v>
      </c>
      <c r="Q1784" t="s">
        <v>511</v>
      </c>
      <c r="R1784" t="s">
        <v>1555</v>
      </c>
      <c r="S1784" t="s">
        <v>1681</v>
      </c>
      <c r="T1784" t="s">
        <v>1557</v>
      </c>
      <c r="U1784">
        <v>193400</v>
      </c>
      <c r="V1784" t="s">
        <v>10672</v>
      </c>
      <c r="W1784" t="s">
        <v>1791</v>
      </c>
      <c r="X1784" t="s">
        <v>10673</v>
      </c>
      <c r="Y1784" t="s">
        <v>10674</v>
      </c>
      <c r="Z1784" t="s">
        <v>10675</v>
      </c>
      <c r="AA1784" t="s">
        <v>8947</v>
      </c>
      <c r="AB1784" t="s">
        <v>10676</v>
      </c>
      <c r="AC1784">
        <v>99036</v>
      </c>
      <c r="AD1784" t="s">
        <v>1792</v>
      </c>
      <c r="AE1784">
        <v>-37.690874110000003</v>
      </c>
      <c r="AF1784">
        <v>176.13190969999999</v>
      </c>
      <c r="AG1784" s="175">
        <v>50</v>
      </c>
      <c r="AH1784" s="175">
        <v>20</v>
      </c>
      <c r="AI1784" s="175">
        <v>1</v>
      </c>
      <c r="AJ1784" s="175">
        <v>11</v>
      </c>
      <c r="AK1784" s="175">
        <v>19</v>
      </c>
      <c r="AL1784" s="175">
        <v>15</v>
      </c>
      <c r="AM1784" s="175">
        <v>7</v>
      </c>
      <c r="AN1784" s="175">
        <v>1</v>
      </c>
      <c r="AO1784" s="175">
        <v>54</v>
      </c>
      <c r="AP1784" s="175">
        <v>49</v>
      </c>
      <c r="AQ1784" s="175">
        <v>16</v>
      </c>
      <c r="AR1784" s="175">
        <v>5</v>
      </c>
      <c r="AS1784" s="175">
        <v>5</v>
      </c>
      <c r="AT1784" s="175">
        <v>0</v>
      </c>
    </row>
    <row r="1785" spans="1:46">
      <c r="A1785">
        <v>40320</v>
      </c>
      <c r="B1785" t="s">
        <v>10677</v>
      </c>
      <c r="C1785" t="s">
        <v>10678</v>
      </c>
      <c r="E1785" t="s">
        <v>10679</v>
      </c>
      <c r="F1785" t="s">
        <v>1604</v>
      </c>
      <c r="G1785" t="s">
        <v>1604</v>
      </c>
      <c r="H1785" t="s">
        <v>449</v>
      </c>
      <c r="J1785" t="s">
        <v>605</v>
      </c>
      <c r="K1785" t="s">
        <v>606</v>
      </c>
      <c r="M1785" t="s">
        <v>1382</v>
      </c>
      <c r="N1785" t="s">
        <v>657</v>
      </c>
      <c r="O1785" t="s">
        <v>1605</v>
      </c>
      <c r="P1785" t="s">
        <v>670</v>
      </c>
      <c r="Q1785" t="s">
        <v>511</v>
      </c>
      <c r="R1785" t="s">
        <v>1555</v>
      </c>
      <c r="S1785" t="s">
        <v>1604</v>
      </c>
      <c r="T1785" t="s">
        <v>1557</v>
      </c>
      <c r="U1785">
        <v>199800</v>
      </c>
      <c r="V1785" t="s">
        <v>8625</v>
      </c>
      <c r="W1785" t="s">
        <v>1606</v>
      </c>
      <c r="X1785" t="s">
        <v>8441</v>
      </c>
      <c r="Y1785" t="s">
        <v>4014</v>
      </c>
      <c r="Z1785" t="s">
        <v>4015</v>
      </c>
      <c r="AA1785" t="s">
        <v>4016</v>
      </c>
      <c r="AB1785" t="s">
        <v>8442</v>
      </c>
      <c r="AC1785">
        <v>99019</v>
      </c>
      <c r="AD1785" t="s">
        <v>1648</v>
      </c>
      <c r="AE1785">
        <v>-38.136506199999999</v>
      </c>
      <c r="AF1785">
        <v>176.23967210000001</v>
      </c>
      <c r="AG1785" s="175">
        <v>112</v>
      </c>
      <c r="AH1785" s="175">
        <v>25</v>
      </c>
      <c r="AI1785" s="175">
        <v>3</v>
      </c>
      <c r="AJ1785" s="175">
        <v>18</v>
      </c>
      <c r="AK1785" s="175">
        <v>23</v>
      </c>
      <c r="AL1785" s="175">
        <v>24</v>
      </c>
      <c r="AM1785" s="175">
        <v>35</v>
      </c>
      <c r="AN1785" s="175">
        <v>1</v>
      </c>
      <c r="AO1785" s="175">
        <v>104</v>
      </c>
      <c r="AP1785" s="175">
        <v>26</v>
      </c>
      <c r="AQ1785" s="175">
        <v>58</v>
      </c>
      <c r="AR1785" s="175">
        <v>12</v>
      </c>
      <c r="AS1785" s="175">
        <v>31</v>
      </c>
      <c r="AT1785" s="175">
        <v>4</v>
      </c>
    </row>
    <row r="1786" spans="1:46">
      <c r="A1786">
        <v>40324</v>
      </c>
      <c r="B1786" t="s">
        <v>10680</v>
      </c>
      <c r="C1786" t="s">
        <v>10681</v>
      </c>
      <c r="D1786" t="s">
        <v>10682</v>
      </c>
      <c r="E1786" t="s">
        <v>10683</v>
      </c>
      <c r="F1786" t="s">
        <v>1711</v>
      </c>
      <c r="G1786" t="s">
        <v>1604</v>
      </c>
      <c r="H1786" t="s">
        <v>449</v>
      </c>
      <c r="J1786" t="s">
        <v>4032</v>
      </c>
      <c r="K1786" t="s">
        <v>606</v>
      </c>
      <c r="M1786" t="s">
        <v>1382</v>
      </c>
      <c r="N1786" t="s">
        <v>643</v>
      </c>
      <c r="O1786" t="s">
        <v>1605</v>
      </c>
      <c r="P1786" t="s">
        <v>670</v>
      </c>
      <c r="Q1786" t="s">
        <v>511</v>
      </c>
      <c r="R1786" t="s">
        <v>1555</v>
      </c>
      <c r="S1786" t="s">
        <v>1604</v>
      </c>
      <c r="T1786" t="s">
        <v>1557</v>
      </c>
      <c r="U1786">
        <v>200900</v>
      </c>
      <c r="V1786" t="s">
        <v>10091</v>
      </c>
      <c r="W1786" t="s">
        <v>1606</v>
      </c>
      <c r="X1786" t="s">
        <v>10684</v>
      </c>
      <c r="Y1786" t="s">
        <v>10683</v>
      </c>
      <c r="AA1786" t="s">
        <v>8584</v>
      </c>
      <c r="AE1786">
        <v>-38.133749250000001</v>
      </c>
      <c r="AF1786">
        <v>176.28957130000001</v>
      </c>
      <c r="AG1786" s="175">
        <v>36</v>
      </c>
      <c r="AH1786" s="175">
        <v>10</v>
      </c>
      <c r="AI1786" s="175">
        <v>2</v>
      </c>
      <c r="AJ1786" s="175">
        <v>6</v>
      </c>
      <c r="AK1786" s="175">
        <v>9</v>
      </c>
      <c r="AL1786" s="175">
        <v>11</v>
      </c>
      <c r="AM1786" s="175">
        <v>9</v>
      </c>
      <c r="AN1786" s="175">
        <v>0</v>
      </c>
      <c r="AO1786" s="175">
        <v>37</v>
      </c>
      <c r="AP1786" s="175">
        <v>20</v>
      </c>
      <c r="AQ1786" s="175">
        <v>11</v>
      </c>
      <c r="AR1786" s="175">
        <v>3</v>
      </c>
      <c r="AS1786" s="175">
        <v>14</v>
      </c>
      <c r="AT1786" s="175">
        <v>0</v>
      </c>
    </row>
    <row r="1787" spans="1:46">
      <c r="A1787">
        <v>40331</v>
      </c>
      <c r="B1787" t="s">
        <v>10685</v>
      </c>
      <c r="C1787" t="s">
        <v>10686</v>
      </c>
      <c r="D1787" t="s">
        <v>10687</v>
      </c>
      <c r="E1787" t="s">
        <v>10688</v>
      </c>
      <c r="F1787" t="s">
        <v>1711</v>
      </c>
      <c r="G1787" t="s">
        <v>1604</v>
      </c>
      <c r="H1787" t="s">
        <v>449</v>
      </c>
      <c r="J1787" t="s">
        <v>4032</v>
      </c>
      <c r="K1787" t="s">
        <v>606</v>
      </c>
      <c r="M1787" t="s">
        <v>1382</v>
      </c>
      <c r="N1787" t="s">
        <v>657</v>
      </c>
      <c r="O1787" t="s">
        <v>1605</v>
      </c>
      <c r="P1787" t="s">
        <v>670</v>
      </c>
      <c r="Q1787" t="s">
        <v>511</v>
      </c>
      <c r="R1787" t="s">
        <v>1555</v>
      </c>
      <c r="S1787" t="s">
        <v>1604</v>
      </c>
      <c r="T1787" t="s">
        <v>1557</v>
      </c>
      <c r="U1787">
        <v>200900</v>
      </c>
      <c r="V1787" t="s">
        <v>10091</v>
      </c>
      <c r="W1787" t="s">
        <v>1606</v>
      </c>
      <c r="X1787" t="s">
        <v>10689</v>
      </c>
      <c r="Y1787" t="s">
        <v>10690</v>
      </c>
      <c r="Z1787" t="s">
        <v>1450</v>
      </c>
      <c r="AA1787" t="s">
        <v>8584</v>
      </c>
      <c r="AB1787" t="s">
        <v>10691</v>
      </c>
      <c r="AC1787">
        <v>99017</v>
      </c>
      <c r="AD1787" t="s">
        <v>1713</v>
      </c>
      <c r="AE1787">
        <v>-38.121864960000003</v>
      </c>
      <c r="AF1787">
        <v>176.29370882000001</v>
      </c>
      <c r="AG1787" s="175">
        <v>24</v>
      </c>
      <c r="AH1787" s="175">
        <v>5</v>
      </c>
      <c r="AI1787" s="175">
        <v>0</v>
      </c>
      <c r="AJ1787" s="175">
        <v>0</v>
      </c>
      <c r="AK1787" s="175">
        <v>4</v>
      </c>
      <c r="AL1787" s="175">
        <v>4</v>
      </c>
      <c r="AM1787" s="175">
        <v>5</v>
      </c>
      <c r="AN1787" s="175">
        <v>0</v>
      </c>
      <c r="AO1787" s="175">
        <v>13</v>
      </c>
      <c r="AP1787" s="175">
        <v>8</v>
      </c>
      <c r="AQ1787" s="175">
        <v>4</v>
      </c>
      <c r="AR1787" s="175">
        <v>2</v>
      </c>
      <c r="AS1787" s="175">
        <v>0</v>
      </c>
      <c r="AT1787" s="175">
        <v>0</v>
      </c>
    </row>
    <row r="1788" spans="1:46">
      <c r="A1788">
        <v>40332</v>
      </c>
      <c r="B1788" t="s">
        <v>10692</v>
      </c>
      <c r="C1788" t="s">
        <v>8932</v>
      </c>
      <c r="D1788" t="s">
        <v>10693</v>
      </c>
      <c r="E1788" t="s">
        <v>8934</v>
      </c>
      <c r="G1788" t="s">
        <v>1553</v>
      </c>
      <c r="H1788" t="s">
        <v>449</v>
      </c>
      <c r="I1788" t="s">
        <v>4134</v>
      </c>
      <c r="J1788" t="s">
        <v>4032</v>
      </c>
      <c r="K1788" t="s">
        <v>606</v>
      </c>
      <c r="M1788" t="s">
        <v>1382</v>
      </c>
      <c r="N1788" t="s">
        <v>643</v>
      </c>
      <c r="O1788" t="s">
        <v>1554</v>
      </c>
      <c r="P1788" t="s">
        <v>1347</v>
      </c>
      <c r="Q1788" t="s">
        <v>511</v>
      </c>
      <c r="R1788" t="s">
        <v>1555</v>
      </c>
      <c r="S1788" t="s">
        <v>1556</v>
      </c>
      <c r="T1788" t="s">
        <v>1557</v>
      </c>
      <c r="U1788">
        <v>202900</v>
      </c>
      <c r="V1788" t="s">
        <v>8935</v>
      </c>
      <c r="W1788" t="s">
        <v>1559</v>
      </c>
      <c r="X1788" t="s">
        <v>8936</v>
      </c>
      <c r="Y1788" t="s">
        <v>4176</v>
      </c>
      <c r="AA1788" t="s">
        <v>4052</v>
      </c>
      <c r="AB1788" t="s">
        <v>8509</v>
      </c>
      <c r="AC1788">
        <v>99016</v>
      </c>
      <c r="AD1788" t="s">
        <v>1562</v>
      </c>
      <c r="AE1788">
        <v>-37.967361150000002</v>
      </c>
      <c r="AF1788">
        <v>176.98836317000001</v>
      </c>
      <c r="AG1788" s="175">
        <v>45</v>
      </c>
      <c r="AH1788" s="175">
        <v>15</v>
      </c>
      <c r="AI1788" s="175">
        <v>0</v>
      </c>
      <c r="AJ1788" s="175">
        <v>0</v>
      </c>
      <c r="AK1788" s="175">
        <v>9</v>
      </c>
      <c r="AL1788" s="175">
        <v>20</v>
      </c>
      <c r="AM1788" s="175">
        <v>16</v>
      </c>
      <c r="AN1788" s="175">
        <v>0</v>
      </c>
      <c r="AO1788" s="175">
        <v>45</v>
      </c>
      <c r="AP1788" s="175">
        <v>27</v>
      </c>
      <c r="AQ1788" s="175">
        <v>18</v>
      </c>
      <c r="AR1788" s="175">
        <v>1</v>
      </c>
      <c r="AS1788" s="175">
        <v>14</v>
      </c>
      <c r="AT1788" s="175">
        <v>0</v>
      </c>
    </row>
    <row r="1789" spans="1:46">
      <c r="A1789">
        <v>40334</v>
      </c>
      <c r="B1789" t="s">
        <v>10694</v>
      </c>
      <c r="C1789" t="s">
        <v>10695</v>
      </c>
      <c r="E1789" t="s">
        <v>10696</v>
      </c>
      <c r="F1789" t="s">
        <v>1681</v>
      </c>
      <c r="G1789" t="s">
        <v>1681</v>
      </c>
      <c r="H1789" t="s">
        <v>449</v>
      </c>
      <c r="I1789" t="s">
        <v>4134</v>
      </c>
      <c r="J1789" t="s">
        <v>4032</v>
      </c>
      <c r="K1789" t="s">
        <v>606</v>
      </c>
      <c r="M1789" t="s">
        <v>1382</v>
      </c>
      <c r="N1789" t="s">
        <v>625</v>
      </c>
      <c r="O1789" t="s">
        <v>1780</v>
      </c>
      <c r="P1789" t="s">
        <v>739</v>
      </c>
      <c r="Q1789" t="s">
        <v>511</v>
      </c>
      <c r="R1789" t="s">
        <v>1555</v>
      </c>
      <c r="S1789" t="s">
        <v>1681</v>
      </c>
      <c r="T1789" t="s">
        <v>1557</v>
      </c>
      <c r="U1789">
        <v>194801</v>
      </c>
      <c r="V1789" t="s">
        <v>3793</v>
      </c>
      <c r="W1789" t="s">
        <v>3795</v>
      </c>
      <c r="X1789" t="s">
        <v>10697</v>
      </c>
      <c r="Y1789" t="s">
        <v>10698</v>
      </c>
      <c r="AA1789" t="s">
        <v>10699</v>
      </c>
      <c r="AB1789" t="s">
        <v>10700</v>
      </c>
      <c r="AE1789">
        <v>-37.705264</v>
      </c>
      <c r="AF1789">
        <v>176.1556424</v>
      </c>
      <c r="AG1789" s="175">
        <v>47</v>
      </c>
      <c r="AH1789" s="175">
        <v>9</v>
      </c>
      <c r="AI1789" s="175">
        <v>0</v>
      </c>
      <c r="AJ1789" s="175">
        <v>0</v>
      </c>
      <c r="AK1789" s="175">
        <v>3</v>
      </c>
      <c r="AL1789" s="175">
        <v>18</v>
      </c>
      <c r="AM1789" s="175">
        <v>17</v>
      </c>
      <c r="AN1789" s="175">
        <v>2</v>
      </c>
      <c r="AO1789" s="175">
        <v>40</v>
      </c>
      <c r="AP1789" s="175">
        <v>32</v>
      </c>
      <c r="AQ1789" s="175">
        <v>3</v>
      </c>
      <c r="AR1789" s="175">
        <v>1</v>
      </c>
      <c r="AS1789" s="175">
        <v>12</v>
      </c>
      <c r="AT1789" s="175">
        <v>0</v>
      </c>
    </row>
    <row r="1790" spans="1:46">
      <c r="A1790">
        <v>40336</v>
      </c>
      <c r="B1790" t="s">
        <v>10701</v>
      </c>
      <c r="C1790" t="s">
        <v>10702</v>
      </c>
      <c r="E1790" t="s">
        <v>10703</v>
      </c>
      <c r="F1790" t="s">
        <v>10073</v>
      </c>
      <c r="G1790" t="s">
        <v>1604</v>
      </c>
      <c r="H1790" t="s">
        <v>449</v>
      </c>
      <c r="J1790" t="s">
        <v>4032</v>
      </c>
      <c r="K1790" t="s">
        <v>606</v>
      </c>
      <c r="M1790" t="s">
        <v>1382</v>
      </c>
      <c r="N1790" t="s">
        <v>643</v>
      </c>
      <c r="O1790" t="s">
        <v>1605</v>
      </c>
      <c r="P1790" t="s">
        <v>670</v>
      </c>
      <c r="Q1790" t="s">
        <v>511</v>
      </c>
      <c r="R1790" t="s">
        <v>1555</v>
      </c>
      <c r="S1790" t="s">
        <v>1604</v>
      </c>
      <c r="T1790" t="s">
        <v>1557</v>
      </c>
      <c r="U1790">
        <v>201300</v>
      </c>
      <c r="V1790" t="s">
        <v>8582</v>
      </c>
      <c r="W1790" t="s">
        <v>1606</v>
      </c>
      <c r="X1790" t="s">
        <v>10704</v>
      </c>
      <c r="Y1790" t="s">
        <v>4725</v>
      </c>
      <c r="Z1790" t="s">
        <v>1043</v>
      </c>
      <c r="AA1790" t="s">
        <v>4726</v>
      </c>
      <c r="AB1790" t="s">
        <v>10702</v>
      </c>
      <c r="AC1790">
        <v>99019</v>
      </c>
      <c r="AD1790" t="s">
        <v>1648</v>
      </c>
      <c r="AE1790">
        <v>-38.159472219999998</v>
      </c>
      <c r="AF1790">
        <v>176.25679811000001</v>
      </c>
      <c r="AG1790" s="175">
        <v>100</v>
      </c>
      <c r="AH1790" s="175">
        <v>25</v>
      </c>
      <c r="AI1790" s="175">
        <v>2</v>
      </c>
      <c r="AJ1790" s="175">
        <v>20</v>
      </c>
      <c r="AK1790" s="175">
        <v>18</v>
      </c>
      <c r="AL1790" s="175">
        <v>28</v>
      </c>
      <c r="AM1790" s="175">
        <v>22</v>
      </c>
      <c r="AN1790" s="175">
        <v>4</v>
      </c>
      <c r="AO1790" s="175">
        <v>94</v>
      </c>
      <c r="AP1790" s="175">
        <v>47</v>
      </c>
      <c r="AQ1790" s="175">
        <v>43</v>
      </c>
      <c r="AR1790" s="175">
        <v>7</v>
      </c>
      <c r="AS1790" s="175">
        <v>23</v>
      </c>
      <c r="AT1790" s="175">
        <v>1</v>
      </c>
    </row>
    <row r="1791" spans="1:46">
      <c r="A1791">
        <v>40338</v>
      </c>
      <c r="B1791" t="s">
        <v>10705</v>
      </c>
      <c r="C1791" t="s">
        <v>10706</v>
      </c>
      <c r="D1791" t="s">
        <v>10707</v>
      </c>
      <c r="E1791" t="s">
        <v>10708</v>
      </c>
      <c r="F1791" t="s">
        <v>8547</v>
      </c>
      <c r="G1791" t="s">
        <v>1681</v>
      </c>
      <c r="H1791" t="s">
        <v>449</v>
      </c>
      <c r="J1791" t="s">
        <v>4032</v>
      </c>
      <c r="K1791" t="s">
        <v>606</v>
      </c>
      <c r="M1791" t="s">
        <v>1382</v>
      </c>
      <c r="N1791" t="s">
        <v>643</v>
      </c>
      <c r="O1791" t="s">
        <v>1780</v>
      </c>
      <c r="P1791" t="s">
        <v>739</v>
      </c>
      <c r="Q1791" t="s">
        <v>511</v>
      </c>
      <c r="R1791" t="s">
        <v>1555</v>
      </c>
      <c r="S1791" t="s">
        <v>1681</v>
      </c>
      <c r="T1791" t="s">
        <v>1557</v>
      </c>
      <c r="U1791">
        <v>194601</v>
      </c>
      <c r="V1791" t="s">
        <v>8547</v>
      </c>
      <c r="W1791" t="s">
        <v>3795</v>
      </c>
      <c r="X1791" t="s">
        <v>10709</v>
      </c>
      <c r="Y1791" t="s">
        <v>10710</v>
      </c>
      <c r="Z1791" t="s">
        <v>9813</v>
      </c>
      <c r="AA1791" t="s">
        <v>10711</v>
      </c>
      <c r="AB1791" t="s">
        <v>10712</v>
      </c>
      <c r="AC1791">
        <v>99085</v>
      </c>
      <c r="AD1791" t="s">
        <v>1800</v>
      </c>
      <c r="AE1791">
        <v>-37.712565779999998</v>
      </c>
      <c r="AF1791">
        <v>176.14138874</v>
      </c>
      <c r="AG1791" s="175">
        <v>50</v>
      </c>
      <c r="AH1791" s="175">
        <v>15</v>
      </c>
      <c r="AI1791" s="175">
        <v>1</v>
      </c>
      <c r="AJ1791" s="175">
        <v>15</v>
      </c>
      <c r="AK1791" s="175">
        <v>9</v>
      </c>
      <c r="AL1791" s="175">
        <v>13</v>
      </c>
      <c r="AM1791" s="175">
        <v>14</v>
      </c>
      <c r="AN1791" s="175">
        <v>1</v>
      </c>
      <c r="AO1791" s="175">
        <v>53</v>
      </c>
      <c r="AP1791" s="175">
        <v>36</v>
      </c>
      <c r="AQ1791" s="175">
        <v>20</v>
      </c>
      <c r="AR1791" s="175">
        <v>5</v>
      </c>
      <c r="AS1791" s="175">
        <v>5</v>
      </c>
      <c r="AT1791" s="175">
        <v>1</v>
      </c>
    </row>
    <row r="1792" spans="1:46">
      <c r="A1792">
        <v>40339</v>
      </c>
      <c r="B1792" t="s">
        <v>10713</v>
      </c>
      <c r="C1792" t="s">
        <v>8463</v>
      </c>
      <c r="D1792" t="s">
        <v>8464</v>
      </c>
      <c r="E1792" t="s">
        <v>8465</v>
      </c>
      <c r="F1792" t="s">
        <v>8466</v>
      </c>
      <c r="G1792" t="s">
        <v>1681</v>
      </c>
      <c r="H1792" t="s">
        <v>450</v>
      </c>
      <c r="J1792" t="s">
        <v>4032</v>
      </c>
      <c r="K1792" t="s">
        <v>606</v>
      </c>
      <c r="M1792" t="s">
        <v>1382</v>
      </c>
      <c r="N1792" t="s">
        <v>657</v>
      </c>
      <c r="O1792" t="s">
        <v>1780</v>
      </c>
      <c r="P1792" t="s">
        <v>739</v>
      </c>
      <c r="Q1792" t="s">
        <v>511</v>
      </c>
      <c r="R1792" t="s">
        <v>1555</v>
      </c>
      <c r="S1792" t="s">
        <v>1681</v>
      </c>
      <c r="T1792" t="s">
        <v>1557</v>
      </c>
      <c r="U1792">
        <v>193800</v>
      </c>
      <c r="V1792" t="s">
        <v>8466</v>
      </c>
      <c r="W1792" t="s">
        <v>3795</v>
      </c>
      <c r="X1792" t="s">
        <v>10714</v>
      </c>
      <c r="Y1792" t="s">
        <v>8465</v>
      </c>
      <c r="AA1792" t="s">
        <v>8468</v>
      </c>
      <c r="AB1792" t="s">
        <v>8533</v>
      </c>
      <c r="AE1792">
        <v>-37.684237209999999</v>
      </c>
      <c r="AF1792">
        <v>176.16808368</v>
      </c>
      <c r="AG1792" s="175">
        <v>50</v>
      </c>
      <c r="AH1792" s="175">
        <v>50</v>
      </c>
      <c r="AI1792" s="175">
        <v>6</v>
      </c>
      <c r="AJ1792" s="175">
        <v>11</v>
      </c>
      <c r="AK1792" s="175">
        <v>7</v>
      </c>
      <c r="AL1792" s="175">
        <v>9</v>
      </c>
      <c r="AM1792" s="175">
        <v>4</v>
      </c>
      <c r="AN1792" s="175">
        <v>0</v>
      </c>
      <c r="AO1792" s="175">
        <v>37</v>
      </c>
      <c r="AP1792" s="175">
        <v>28</v>
      </c>
      <c r="AQ1792" s="175">
        <v>9</v>
      </c>
      <c r="AR1792" s="175">
        <v>2</v>
      </c>
      <c r="AS1792" s="175">
        <v>2</v>
      </c>
      <c r="AT1792" s="175">
        <v>6</v>
      </c>
    </row>
    <row r="1793" spans="1:46">
      <c r="A1793">
        <v>40340</v>
      </c>
      <c r="B1793" t="s">
        <v>10715</v>
      </c>
      <c r="C1793" t="s">
        <v>10716</v>
      </c>
      <c r="E1793" t="s">
        <v>10717</v>
      </c>
      <c r="G1793" t="s">
        <v>1824</v>
      </c>
      <c r="H1793" t="s">
        <v>449</v>
      </c>
      <c r="J1793" t="s">
        <v>4032</v>
      </c>
      <c r="K1793" t="s">
        <v>606</v>
      </c>
      <c r="M1793" t="s">
        <v>1382</v>
      </c>
      <c r="N1793" t="s">
        <v>643</v>
      </c>
      <c r="O1793" t="s">
        <v>1825</v>
      </c>
      <c r="P1793" t="s">
        <v>610</v>
      </c>
      <c r="Q1793" t="s">
        <v>511</v>
      </c>
      <c r="R1793" t="s">
        <v>1555</v>
      </c>
      <c r="S1793" t="s">
        <v>1604</v>
      </c>
      <c r="T1793" t="s">
        <v>1557</v>
      </c>
      <c r="U1793">
        <v>192101</v>
      </c>
      <c r="V1793" t="s">
        <v>1826</v>
      </c>
      <c r="W1793" t="s">
        <v>1827</v>
      </c>
      <c r="X1793" t="s">
        <v>10718</v>
      </c>
      <c r="Y1793" t="s">
        <v>4725</v>
      </c>
      <c r="Z1793" t="s">
        <v>1043</v>
      </c>
      <c r="AA1793" t="s">
        <v>4726</v>
      </c>
      <c r="AB1793" t="s">
        <v>10716</v>
      </c>
      <c r="AC1793">
        <v>99086</v>
      </c>
      <c r="AD1793" t="s">
        <v>1828</v>
      </c>
      <c r="AE1793">
        <v>-37.783095109999998</v>
      </c>
      <c r="AF1793">
        <v>176.31906174</v>
      </c>
      <c r="AG1793" s="175">
        <v>75</v>
      </c>
      <c r="AH1793" s="175">
        <v>15</v>
      </c>
      <c r="AI1793" s="175">
        <v>2</v>
      </c>
      <c r="AJ1793" s="175">
        <v>15</v>
      </c>
      <c r="AK1793" s="175">
        <v>13</v>
      </c>
      <c r="AL1793" s="175">
        <v>23</v>
      </c>
      <c r="AM1793" s="175">
        <v>25</v>
      </c>
      <c r="AN1793" s="175">
        <v>1</v>
      </c>
      <c r="AO1793" s="175">
        <v>79</v>
      </c>
      <c r="AP1793" s="175">
        <v>43</v>
      </c>
      <c r="AQ1793" s="175">
        <v>34</v>
      </c>
      <c r="AR1793" s="175">
        <v>4</v>
      </c>
      <c r="AS1793" s="175">
        <v>26</v>
      </c>
      <c r="AT1793" s="175">
        <v>1</v>
      </c>
    </row>
    <row r="1794" spans="1:46">
      <c r="A1794">
        <v>40344</v>
      </c>
      <c r="B1794" t="s">
        <v>10719</v>
      </c>
      <c r="C1794" t="s">
        <v>10720</v>
      </c>
      <c r="E1794" t="s">
        <v>10721</v>
      </c>
      <c r="F1794" t="s">
        <v>1688</v>
      </c>
      <c r="G1794" t="s">
        <v>1604</v>
      </c>
      <c r="H1794" t="s">
        <v>449</v>
      </c>
      <c r="J1794" t="s">
        <v>4032</v>
      </c>
      <c r="K1794" t="s">
        <v>606</v>
      </c>
      <c r="M1794" t="s">
        <v>1382</v>
      </c>
      <c r="N1794" t="s">
        <v>657</v>
      </c>
      <c r="O1794" t="s">
        <v>1605</v>
      </c>
      <c r="P1794" t="s">
        <v>610</v>
      </c>
      <c r="Q1794" t="s">
        <v>511</v>
      </c>
      <c r="R1794" t="s">
        <v>1555</v>
      </c>
      <c r="S1794" t="s">
        <v>1604</v>
      </c>
      <c r="T1794" t="s">
        <v>1557</v>
      </c>
      <c r="U1794">
        <v>198200</v>
      </c>
      <c r="V1794" t="s">
        <v>1689</v>
      </c>
      <c r="W1794" t="s">
        <v>1606</v>
      </c>
      <c r="X1794" t="s">
        <v>10722</v>
      </c>
      <c r="Y1794" t="s">
        <v>10723</v>
      </c>
      <c r="Z1794" t="s">
        <v>1688</v>
      </c>
      <c r="AA1794" t="s">
        <v>10724</v>
      </c>
      <c r="AB1794" t="s">
        <v>10725</v>
      </c>
      <c r="AC1794">
        <v>99107</v>
      </c>
      <c r="AD1794" t="s">
        <v>1609</v>
      </c>
      <c r="AE1794">
        <v>-38.081497489999997</v>
      </c>
      <c r="AF1794">
        <v>176.21108798</v>
      </c>
      <c r="AG1794" s="175">
        <v>60</v>
      </c>
      <c r="AH1794" s="175">
        <v>20</v>
      </c>
      <c r="AI1794" s="175">
        <v>3</v>
      </c>
      <c r="AJ1794" s="175">
        <v>8</v>
      </c>
      <c r="AK1794" s="175">
        <v>10</v>
      </c>
      <c r="AL1794" s="175">
        <v>11</v>
      </c>
      <c r="AM1794" s="175">
        <v>16</v>
      </c>
      <c r="AN1794" s="175">
        <v>0</v>
      </c>
      <c r="AO1794" s="175">
        <v>48</v>
      </c>
      <c r="AP1794" s="175">
        <v>44</v>
      </c>
      <c r="AQ1794" s="175">
        <v>21</v>
      </c>
      <c r="AR1794" s="175">
        <v>1</v>
      </c>
      <c r="AS1794" s="175">
        <v>4</v>
      </c>
      <c r="AT1794" s="175">
        <v>2</v>
      </c>
    </row>
    <row r="1795" spans="1:46">
      <c r="A1795">
        <v>41001</v>
      </c>
      <c r="B1795" t="s">
        <v>10726</v>
      </c>
      <c r="C1795" t="s">
        <v>10727</v>
      </c>
      <c r="E1795" t="s">
        <v>10728</v>
      </c>
      <c r="G1795" t="s">
        <v>1694</v>
      </c>
      <c r="H1795" t="s">
        <v>347</v>
      </c>
      <c r="J1795" t="s">
        <v>605</v>
      </c>
      <c r="K1795" t="s">
        <v>606</v>
      </c>
      <c r="L1795" t="s">
        <v>4273</v>
      </c>
      <c r="M1795" t="s">
        <v>1382</v>
      </c>
      <c r="N1795" t="s">
        <v>812</v>
      </c>
      <c r="O1795" t="s">
        <v>1695</v>
      </c>
      <c r="P1795" t="s">
        <v>658</v>
      </c>
      <c r="Q1795" t="s">
        <v>511</v>
      </c>
      <c r="R1795" t="s">
        <v>1555</v>
      </c>
      <c r="S1795" t="s">
        <v>1556</v>
      </c>
      <c r="T1795" t="s">
        <v>1557</v>
      </c>
      <c r="U1795">
        <v>204600</v>
      </c>
      <c r="V1795" t="s">
        <v>10729</v>
      </c>
      <c r="W1795" t="s">
        <v>10381</v>
      </c>
      <c r="X1795" t="s">
        <v>10188</v>
      </c>
      <c r="Y1795" t="s">
        <v>4276</v>
      </c>
      <c r="Z1795" t="s">
        <v>4277</v>
      </c>
      <c r="AA1795" t="s">
        <v>4278</v>
      </c>
      <c r="AB1795" t="s">
        <v>10189</v>
      </c>
      <c r="AE1795">
        <v>-38.084031899999999</v>
      </c>
      <c r="AF1795">
        <v>177.29431564000001</v>
      </c>
      <c r="AG1795" s="175">
        <v>36</v>
      </c>
      <c r="AH1795" s="175">
        <v>12</v>
      </c>
      <c r="AI1795" s="175">
        <v>0</v>
      </c>
      <c r="AJ1795" s="175">
        <v>5</v>
      </c>
      <c r="AK1795" s="175">
        <v>8</v>
      </c>
      <c r="AL1795" s="175">
        <v>11</v>
      </c>
      <c r="AM1795" s="175">
        <v>5</v>
      </c>
      <c r="AN1795" s="175">
        <v>0</v>
      </c>
      <c r="AO1795" s="175">
        <v>29</v>
      </c>
      <c r="AP1795" s="175">
        <v>0</v>
      </c>
      <c r="AQ1795" s="175">
        <v>29</v>
      </c>
      <c r="AR1795" s="175">
        <v>0</v>
      </c>
      <c r="AS1795" s="175">
        <v>0</v>
      </c>
      <c r="AT1795" s="175">
        <v>0</v>
      </c>
    </row>
    <row r="1796" spans="1:46">
      <c r="A1796">
        <v>41002</v>
      </c>
      <c r="B1796" t="s">
        <v>10730</v>
      </c>
      <c r="C1796" t="s">
        <v>10731</v>
      </c>
      <c r="E1796" t="s">
        <v>10732</v>
      </c>
      <c r="G1796" t="s">
        <v>10016</v>
      </c>
      <c r="H1796" t="s">
        <v>347</v>
      </c>
      <c r="J1796" t="s">
        <v>605</v>
      </c>
      <c r="K1796" t="s">
        <v>606</v>
      </c>
      <c r="L1796" t="s">
        <v>4273</v>
      </c>
      <c r="M1796" t="s">
        <v>1382</v>
      </c>
      <c r="N1796" t="s">
        <v>812</v>
      </c>
      <c r="O1796" t="s">
        <v>1554</v>
      </c>
      <c r="P1796" t="s">
        <v>658</v>
      </c>
      <c r="Q1796" t="s">
        <v>511</v>
      </c>
      <c r="R1796" t="s">
        <v>1555</v>
      </c>
      <c r="S1796" t="s">
        <v>1556</v>
      </c>
      <c r="T1796" t="s">
        <v>1557</v>
      </c>
      <c r="U1796">
        <v>203500</v>
      </c>
      <c r="V1796" t="s">
        <v>10017</v>
      </c>
      <c r="W1796" t="s">
        <v>1678</v>
      </c>
      <c r="X1796" t="s">
        <v>10188</v>
      </c>
      <c r="Y1796" t="s">
        <v>4276</v>
      </c>
      <c r="Z1796" t="s">
        <v>4277</v>
      </c>
      <c r="AA1796" t="s">
        <v>4278</v>
      </c>
      <c r="AB1796" t="s">
        <v>10189</v>
      </c>
      <c r="AE1796">
        <v>-38.14737092</v>
      </c>
      <c r="AF1796">
        <v>177.00893282000001</v>
      </c>
      <c r="AG1796" s="175">
        <v>30</v>
      </c>
      <c r="AH1796" s="175">
        <v>10</v>
      </c>
      <c r="AI1796" s="175">
        <v>3</v>
      </c>
      <c r="AJ1796" s="175">
        <v>5</v>
      </c>
      <c r="AK1796" s="175">
        <v>5</v>
      </c>
      <c r="AL1796" s="175">
        <v>4</v>
      </c>
      <c r="AM1796" s="175">
        <v>3</v>
      </c>
      <c r="AN1796" s="175">
        <v>0</v>
      </c>
      <c r="AO1796" s="175">
        <v>20</v>
      </c>
      <c r="AP1796" s="175">
        <v>0</v>
      </c>
      <c r="AQ1796" s="175">
        <v>20</v>
      </c>
      <c r="AR1796" s="175">
        <v>0</v>
      </c>
      <c r="AS1796" s="175">
        <v>0</v>
      </c>
      <c r="AT1796" s="175">
        <v>0</v>
      </c>
    </row>
    <row r="1797" spans="1:46">
      <c r="A1797">
        <v>41003</v>
      </c>
      <c r="B1797" t="s">
        <v>10733</v>
      </c>
      <c r="C1797" t="s">
        <v>10734</v>
      </c>
      <c r="E1797" t="s">
        <v>10735</v>
      </c>
      <c r="G1797" t="s">
        <v>10736</v>
      </c>
      <c r="H1797" t="s">
        <v>347</v>
      </c>
      <c r="J1797" t="s">
        <v>605</v>
      </c>
      <c r="K1797" t="s">
        <v>606</v>
      </c>
      <c r="L1797" t="s">
        <v>4273</v>
      </c>
      <c r="M1797" t="s">
        <v>1382</v>
      </c>
      <c r="N1797" t="s">
        <v>625</v>
      </c>
      <c r="O1797" t="s">
        <v>1554</v>
      </c>
      <c r="P1797" t="s">
        <v>658</v>
      </c>
      <c r="Q1797" t="s">
        <v>511</v>
      </c>
      <c r="R1797" t="s">
        <v>1555</v>
      </c>
      <c r="S1797" t="s">
        <v>1556</v>
      </c>
      <c r="T1797" t="s">
        <v>1557</v>
      </c>
      <c r="U1797">
        <v>203400</v>
      </c>
      <c r="V1797" t="s">
        <v>9858</v>
      </c>
      <c r="W1797" t="s">
        <v>1678</v>
      </c>
      <c r="X1797" t="s">
        <v>10188</v>
      </c>
      <c r="Y1797" t="s">
        <v>4276</v>
      </c>
      <c r="Z1797" t="s">
        <v>4277</v>
      </c>
      <c r="AA1797" t="s">
        <v>4278</v>
      </c>
      <c r="AB1797" t="s">
        <v>10189</v>
      </c>
      <c r="AE1797">
        <v>-38.616213520000002</v>
      </c>
      <c r="AF1797">
        <v>176.94662589999999</v>
      </c>
      <c r="AG1797" s="175">
        <v>20</v>
      </c>
      <c r="AH1797" s="175">
        <v>5</v>
      </c>
      <c r="AI1797" s="175">
        <v>1</v>
      </c>
      <c r="AJ1797" s="175">
        <v>3</v>
      </c>
      <c r="AK1797" s="175">
        <v>7</v>
      </c>
      <c r="AL1797" s="175">
        <v>2</v>
      </c>
      <c r="AM1797" s="175">
        <v>1</v>
      </c>
      <c r="AN1797" s="175">
        <v>0</v>
      </c>
      <c r="AO1797" s="175">
        <v>14</v>
      </c>
      <c r="AP1797" s="175">
        <v>0</v>
      </c>
      <c r="AQ1797" s="175">
        <v>14</v>
      </c>
      <c r="AR1797" s="175">
        <v>0</v>
      </c>
      <c r="AS1797" s="175">
        <v>0</v>
      </c>
      <c r="AT1797" s="175">
        <v>0</v>
      </c>
    </row>
    <row r="1798" spans="1:46">
      <c r="A1798">
        <v>41004</v>
      </c>
      <c r="B1798" t="s">
        <v>10737</v>
      </c>
      <c r="C1798" t="s">
        <v>10738</v>
      </c>
      <c r="E1798" t="s">
        <v>10739</v>
      </c>
      <c r="G1798" t="s">
        <v>1731</v>
      </c>
      <c r="H1798" t="s">
        <v>347</v>
      </c>
      <c r="J1798" t="s">
        <v>605</v>
      </c>
      <c r="K1798" t="s">
        <v>606</v>
      </c>
      <c r="L1798" t="s">
        <v>4273</v>
      </c>
      <c r="M1798" t="s">
        <v>1382</v>
      </c>
      <c r="N1798" t="s">
        <v>608</v>
      </c>
      <c r="O1798" t="s">
        <v>1732</v>
      </c>
      <c r="P1798" t="s">
        <v>610</v>
      </c>
      <c r="Q1798" t="s">
        <v>511</v>
      </c>
      <c r="R1798" t="s">
        <v>1555</v>
      </c>
      <c r="S1798" t="s">
        <v>1556</v>
      </c>
      <c r="T1798" t="s">
        <v>1557</v>
      </c>
      <c r="U1798">
        <v>203901</v>
      </c>
      <c r="V1798" t="s">
        <v>10235</v>
      </c>
      <c r="W1798" t="s">
        <v>1734</v>
      </c>
      <c r="X1798" t="s">
        <v>10188</v>
      </c>
      <c r="Y1798" t="s">
        <v>4276</v>
      </c>
      <c r="Z1798" t="s">
        <v>4277</v>
      </c>
      <c r="AA1798" t="s">
        <v>4278</v>
      </c>
      <c r="AB1798" t="s">
        <v>10189</v>
      </c>
      <c r="AE1798">
        <v>-38.090497419999998</v>
      </c>
      <c r="AF1798">
        <v>176.70018157000001</v>
      </c>
      <c r="AG1798" s="175">
        <v>20</v>
      </c>
      <c r="AH1798" s="175">
        <v>10</v>
      </c>
      <c r="AI1798" s="175">
        <v>0</v>
      </c>
      <c r="AJ1798" s="175">
        <v>0</v>
      </c>
      <c r="AK1798" s="175">
        <v>2</v>
      </c>
      <c r="AL1798" s="175">
        <v>1</v>
      </c>
      <c r="AM1798" s="175">
        <v>4</v>
      </c>
      <c r="AN1798" s="175">
        <v>0</v>
      </c>
      <c r="AO1798" s="175">
        <v>7</v>
      </c>
      <c r="AP1798" s="175">
        <v>0</v>
      </c>
      <c r="AQ1798" s="175">
        <v>6</v>
      </c>
      <c r="AR1798" s="175">
        <v>1</v>
      </c>
      <c r="AS1798" s="175">
        <v>0</v>
      </c>
      <c r="AT1798" s="175">
        <v>0</v>
      </c>
    </row>
    <row r="1799" spans="1:46">
      <c r="A1799">
        <v>41005</v>
      </c>
      <c r="B1799" t="s">
        <v>10740</v>
      </c>
      <c r="C1799" t="s">
        <v>10741</v>
      </c>
      <c r="E1799" t="s">
        <v>10742</v>
      </c>
      <c r="G1799" t="s">
        <v>1731</v>
      </c>
      <c r="H1799" t="s">
        <v>347</v>
      </c>
      <c r="J1799" t="s">
        <v>605</v>
      </c>
      <c r="K1799" t="s">
        <v>606</v>
      </c>
      <c r="L1799" t="s">
        <v>4273</v>
      </c>
      <c r="M1799" t="s">
        <v>1382</v>
      </c>
      <c r="N1799" t="s">
        <v>608</v>
      </c>
      <c r="O1799" t="s">
        <v>1732</v>
      </c>
      <c r="P1799" t="s">
        <v>610</v>
      </c>
      <c r="Q1799" t="s">
        <v>511</v>
      </c>
      <c r="R1799" t="s">
        <v>1555</v>
      </c>
      <c r="S1799" t="s">
        <v>1556</v>
      </c>
      <c r="T1799" t="s">
        <v>1557</v>
      </c>
      <c r="U1799">
        <v>203700</v>
      </c>
      <c r="V1799" t="s">
        <v>1733</v>
      </c>
      <c r="W1799" t="s">
        <v>1734</v>
      </c>
      <c r="X1799" t="s">
        <v>10188</v>
      </c>
      <c r="Y1799" t="s">
        <v>4276</v>
      </c>
      <c r="Z1799" t="s">
        <v>4277</v>
      </c>
      <c r="AA1799" t="s">
        <v>4278</v>
      </c>
      <c r="AB1799" t="s">
        <v>10189</v>
      </c>
      <c r="AE1799">
        <v>-38.091204259999998</v>
      </c>
      <c r="AF1799">
        <v>176.68063459999999</v>
      </c>
      <c r="AG1799" s="175">
        <v>30</v>
      </c>
      <c r="AH1799" s="175">
        <v>9</v>
      </c>
      <c r="AI1799" s="175"/>
      <c r="AJ1799" s="175"/>
      <c r="AK1799" s="175"/>
      <c r="AL1799" s="175"/>
      <c r="AM1799" s="175"/>
      <c r="AN1799" s="175"/>
      <c r="AO1799" s="175"/>
      <c r="AP1799" s="175"/>
      <c r="AQ1799" s="175"/>
      <c r="AR1799" s="175"/>
      <c r="AS1799" s="175"/>
    </row>
    <row r="1800" spans="1:46">
      <c r="A1800">
        <v>41008</v>
      </c>
      <c r="B1800" t="s">
        <v>10743</v>
      </c>
      <c r="C1800" t="s">
        <v>10744</v>
      </c>
      <c r="E1800" t="s">
        <v>10745</v>
      </c>
      <c r="G1800" t="s">
        <v>1553</v>
      </c>
      <c r="H1800" t="s">
        <v>347</v>
      </c>
      <c r="J1800" t="s">
        <v>605</v>
      </c>
      <c r="K1800" t="s">
        <v>606</v>
      </c>
      <c r="L1800" t="s">
        <v>4273</v>
      </c>
      <c r="M1800" t="s">
        <v>1382</v>
      </c>
      <c r="N1800" t="s">
        <v>812</v>
      </c>
      <c r="O1800" t="s">
        <v>1554</v>
      </c>
      <c r="P1800" t="s">
        <v>1347</v>
      </c>
      <c r="Q1800" t="s">
        <v>511</v>
      </c>
      <c r="R1800" t="s">
        <v>1555</v>
      </c>
      <c r="S1800" t="s">
        <v>1556</v>
      </c>
      <c r="T1800" t="s">
        <v>1557</v>
      </c>
      <c r="U1800">
        <v>202600</v>
      </c>
      <c r="V1800" t="s">
        <v>9861</v>
      </c>
      <c r="W1800" t="s">
        <v>1559</v>
      </c>
      <c r="X1800" t="s">
        <v>10188</v>
      </c>
      <c r="Y1800" t="s">
        <v>4276</v>
      </c>
      <c r="Z1800" t="s">
        <v>4277</v>
      </c>
      <c r="AA1800" t="s">
        <v>4278</v>
      </c>
      <c r="AB1800" t="s">
        <v>10189</v>
      </c>
      <c r="AE1800">
        <v>-37.966604009999998</v>
      </c>
      <c r="AF1800">
        <v>176.9667661</v>
      </c>
      <c r="AG1800" s="175">
        <v>30</v>
      </c>
      <c r="AH1800" s="175">
        <v>7</v>
      </c>
      <c r="AI1800" s="175">
        <v>3</v>
      </c>
      <c r="AJ1800" s="175">
        <v>4</v>
      </c>
      <c r="AK1800" s="175">
        <v>5</v>
      </c>
      <c r="AL1800" s="175">
        <v>5</v>
      </c>
      <c r="AM1800" s="175">
        <v>3</v>
      </c>
      <c r="AN1800" s="175">
        <v>0</v>
      </c>
      <c r="AO1800" s="175">
        <v>20</v>
      </c>
      <c r="AP1800" s="175">
        <v>0</v>
      </c>
      <c r="AQ1800" s="175">
        <v>20</v>
      </c>
      <c r="AR1800" s="175">
        <v>0</v>
      </c>
      <c r="AS1800" s="175">
        <v>0</v>
      </c>
      <c r="AT1800" s="175">
        <v>0</v>
      </c>
    </row>
    <row r="1801" spans="1:46">
      <c r="A1801">
        <v>41009</v>
      </c>
      <c r="B1801" t="s">
        <v>10746</v>
      </c>
      <c r="C1801" t="s">
        <v>10747</v>
      </c>
      <c r="E1801" t="s">
        <v>10748</v>
      </c>
      <c r="G1801" t="s">
        <v>1694</v>
      </c>
      <c r="H1801" t="s">
        <v>347</v>
      </c>
      <c r="J1801" t="s">
        <v>605</v>
      </c>
      <c r="K1801" t="s">
        <v>606</v>
      </c>
      <c r="L1801" t="s">
        <v>4273</v>
      </c>
      <c r="M1801" t="s">
        <v>1382</v>
      </c>
      <c r="N1801" t="s">
        <v>812</v>
      </c>
      <c r="O1801" t="s">
        <v>1695</v>
      </c>
      <c r="P1801" t="s">
        <v>658</v>
      </c>
      <c r="Q1801" t="s">
        <v>511</v>
      </c>
      <c r="R1801" t="s">
        <v>1555</v>
      </c>
      <c r="S1801" t="s">
        <v>1556</v>
      </c>
      <c r="T1801" t="s">
        <v>1557</v>
      </c>
      <c r="U1801">
        <v>204500</v>
      </c>
      <c r="V1801" t="s">
        <v>10380</v>
      </c>
      <c r="W1801" t="s">
        <v>10381</v>
      </c>
      <c r="X1801" t="s">
        <v>10188</v>
      </c>
      <c r="Y1801" t="s">
        <v>4276</v>
      </c>
      <c r="Z1801" t="s">
        <v>4277</v>
      </c>
      <c r="AA1801" t="s">
        <v>4278</v>
      </c>
      <c r="AB1801" t="s">
        <v>10189</v>
      </c>
      <c r="AE1801">
        <v>-37.98698297</v>
      </c>
      <c r="AF1801">
        <v>177.39966713999999</v>
      </c>
      <c r="AG1801" s="175">
        <v>27</v>
      </c>
      <c r="AH1801" s="175">
        <v>8</v>
      </c>
      <c r="AI1801" s="175">
        <v>2</v>
      </c>
      <c r="AJ1801" s="175">
        <v>1</v>
      </c>
      <c r="AK1801" s="175">
        <v>4</v>
      </c>
      <c r="AL1801" s="175">
        <v>7</v>
      </c>
      <c r="AM1801" s="175">
        <v>4</v>
      </c>
      <c r="AN1801" s="175">
        <v>0</v>
      </c>
      <c r="AO1801" s="175">
        <v>18</v>
      </c>
      <c r="AP1801" s="175">
        <v>0</v>
      </c>
      <c r="AQ1801" s="175">
        <v>18</v>
      </c>
      <c r="AR1801" s="175">
        <v>0</v>
      </c>
      <c r="AS1801" s="175">
        <v>0</v>
      </c>
      <c r="AT1801" s="175">
        <v>0</v>
      </c>
    </row>
    <row r="1802" spans="1:46">
      <c r="A1802">
        <v>41010</v>
      </c>
      <c r="B1802" t="s">
        <v>10749</v>
      </c>
      <c r="C1802" t="s">
        <v>10750</v>
      </c>
      <c r="E1802" t="s">
        <v>10751</v>
      </c>
      <c r="G1802" t="s">
        <v>1677</v>
      </c>
      <c r="H1802" t="s">
        <v>347</v>
      </c>
      <c r="J1802" t="s">
        <v>605</v>
      </c>
      <c r="K1802" t="s">
        <v>606</v>
      </c>
      <c r="L1802" t="s">
        <v>4273</v>
      </c>
      <c r="M1802" t="s">
        <v>1382</v>
      </c>
      <c r="N1802" t="s">
        <v>812</v>
      </c>
      <c r="O1802" t="s">
        <v>1554</v>
      </c>
      <c r="P1802" t="s">
        <v>610</v>
      </c>
      <c r="Q1802" t="s">
        <v>511</v>
      </c>
      <c r="R1802" t="s">
        <v>1555</v>
      </c>
      <c r="S1802" t="s">
        <v>1556</v>
      </c>
      <c r="T1802" t="s">
        <v>1557</v>
      </c>
      <c r="U1802">
        <v>203600</v>
      </c>
      <c r="V1802" t="s">
        <v>1677</v>
      </c>
      <c r="W1802" t="s">
        <v>1678</v>
      </c>
      <c r="X1802" t="s">
        <v>10188</v>
      </c>
      <c r="Y1802" t="s">
        <v>4276</v>
      </c>
      <c r="Z1802" t="s">
        <v>4277</v>
      </c>
      <c r="AA1802" t="s">
        <v>4278</v>
      </c>
      <c r="AB1802" t="s">
        <v>10189</v>
      </c>
      <c r="AE1802">
        <v>-38.460766069999998</v>
      </c>
      <c r="AF1802">
        <v>176.71575272999999</v>
      </c>
      <c r="AG1802" s="175">
        <v>36</v>
      </c>
      <c r="AH1802" s="175">
        <v>8</v>
      </c>
      <c r="AI1802" s="175">
        <v>0</v>
      </c>
      <c r="AJ1802" s="175">
        <v>4</v>
      </c>
      <c r="AK1802" s="175">
        <v>2</v>
      </c>
      <c r="AL1802" s="175">
        <v>8</v>
      </c>
      <c r="AM1802" s="175">
        <v>2</v>
      </c>
      <c r="AN1802" s="175">
        <v>0</v>
      </c>
      <c r="AO1802" s="175">
        <v>16</v>
      </c>
      <c r="AP1802" s="175">
        <v>0</v>
      </c>
      <c r="AQ1802" s="175">
        <v>15</v>
      </c>
      <c r="AR1802" s="175">
        <v>1</v>
      </c>
      <c r="AS1802" s="175">
        <v>0</v>
      </c>
      <c r="AT1802" s="175">
        <v>0</v>
      </c>
    </row>
    <row r="1803" spans="1:46">
      <c r="A1803">
        <v>41011</v>
      </c>
      <c r="B1803" t="s">
        <v>10752</v>
      </c>
      <c r="C1803" t="s">
        <v>10753</v>
      </c>
      <c r="E1803" t="s">
        <v>10367</v>
      </c>
      <c r="G1803" t="s">
        <v>10754</v>
      </c>
      <c r="H1803" t="s">
        <v>347</v>
      </c>
      <c r="J1803" t="s">
        <v>605</v>
      </c>
      <c r="K1803" t="s">
        <v>606</v>
      </c>
      <c r="L1803" t="s">
        <v>4273</v>
      </c>
      <c r="M1803" t="s">
        <v>1382</v>
      </c>
      <c r="N1803" t="s">
        <v>812</v>
      </c>
      <c r="O1803" t="s">
        <v>1554</v>
      </c>
      <c r="P1803" t="s">
        <v>658</v>
      </c>
      <c r="Q1803" t="s">
        <v>511</v>
      </c>
      <c r="R1803" t="s">
        <v>1555</v>
      </c>
      <c r="S1803" t="s">
        <v>1556</v>
      </c>
      <c r="T1803" t="s">
        <v>1557</v>
      </c>
      <c r="U1803">
        <v>203500</v>
      </c>
      <c r="V1803" t="s">
        <v>10017</v>
      </c>
      <c r="W1803" t="s">
        <v>1678</v>
      </c>
      <c r="X1803" t="s">
        <v>10188</v>
      </c>
      <c r="Y1803" t="s">
        <v>4276</v>
      </c>
      <c r="Z1803" t="s">
        <v>4277</v>
      </c>
      <c r="AA1803" t="s">
        <v>4278</v>
      </c>
      <c r="AB1803" t="s">
        <v>10189</v>
      </c>
      <c r="AE1803">
        <v>-38.340739769999999</v>
      </c>
      <c r="AF1803">
        <v>177.11844379999999</v>
      </c>
      <c r="AG1803" s="175">
        <v>38</v>
      </c>
      <c r="AH1803" s="175">
        <v>10</v>
      </c>
      <c r="AI1803" s="175">
        <v>0</v>
      </c>
      <c r="AJ1803" s="175">
        <v>3</v>
      </c>
      <c r="AK1803" s="175">
        <v>2</v>
      </c>
      <c r="AL1803" s="175">
        <v>3</v>
      </c>
      <c r="AM1803" s="175">
        <v>3</v>
      </c>
      <c r="AN1803" s="175">
        <v>0</v>
      </c>
      <c r="AO1803" s="175">
        <v>11</v>
      </c>
      <c r="AP1803" s="175">
        <v>0</v>
      </c>
      <c r="AQ1803" s="175">
        <v>11</v>
      </c>
      <c r="AR1803" s="175">
        <v>0</v>
      </c>
      <c r="AS1803" s="175">
        <v>0</v>
      </c>
      <c r="AT1803" s="175">
        <v>0</v>
      </c>
    </row>
    <row r="1804" spans="1:46">
      <c r="A1804">
        <v>41014</v>
      </c>
      <c r="B1804" t="s">
        <v>10755</v>
      </c>
      <c r="C1804" t="s">
        <v>10756</v>
      </c>
      <c r="E1804" t="s">
        <v>10757</v>
      </c>
      <c r="G1804" t="s">
        <v>1677</v>
      </c>
      <c r="H1804" t="s">
        <v>347</v>
      </c>
      <c r="J1804" t="s">
        <v>605</v>
      </c>
      <c r="K1804" t="s">
        <v>606</v>
      </c>
      <c r="L1804" t="s">
        <v>4273</v>
      </c>
      <c r="M1804" t="s">
        <v>1382</v>
      </c>
      <c r="N1804" t="s">
        <v>812</v>
      </c>
      <c r="O1804" t="s">
        <v>1554</v>
      </c>
      <c r="P1804" t="s">
        <v>610</v>
      </c>
      <c r="Q1804" t="s">
        <v>511</v>
      </c>
      <c r="R1804" t="s">
        <v>1555</v>
      </c>
      <c r="S1804" t="s">
        <v>1556</v>
      </c>
      <c r="T1804" t="s">
        <v>1557</v>
      </c>
      <c r="U1804">
        <v>203600</v>
      </c>
      <c r="V1804" t="s">
        <v>1677</v>
      </c>
      <c r="W1804" t="s">
        <v>1678</v>
      </c>
      <c r="X1804" t="s">
        <v>10188</v>
      </c>
      <c r="Y1804" t="s">
        <v>4276</v>
      </c>
      <c r="Z1804" t="s">
        <v>4277</v>
      </c>
      <c r="AA1804" t="s">
        <v>4278</v>
      </c>
      <c r="AB1804" t="s">
        <v>10189</v>
      </c>
      <c r="AE1804">
        <v>-38.450778620000001</v>
      </c>
      <c r="AF1804">
        <v>176.70315771</v>
      </c>
      <c r="AG1804" s="175">
        <v>34</v>
      </c>
      <c r="AH1804" s="175">
        <v>12</v>
      </c>
      <c r="AI1804" s="175">
        <v>1</v>
      </c>
      <c r="AJ1804" s="175">
        <v>6</v>
      </c>
      <c r="AK1804" s="175">
        <v>10</v>
      </c>
      <c r="AL1804" s="175">
        <v>9</v>
      </c>
      <c r="AM1804" s="175">
        <v>6</v>
      </c>
      <c r="AN1804" s="175">
        <v>0</v>
      </c>
      <c r="AO1804" s="175">
        <v>32</v>
      </c>
      <c r="AP1804" s="175">
        <v>0</v>
      </c>
      <c r="AQ1804" s="175">
        <v>32</v>
      </c>
      <c r="AR1804" s="175">
        <v>0</v>
      </c>
      <c r="AS1804" s="175">
        <v>0</v>
      </c>
      <c r="AT1804" s="175">
        <v>0</v>
      </c>
    </row>
    <row r="1805" spans="1:46">
      <c r="A1805">
        <v>41016</v>
      </c>
      <c r="B1805" t="s">
        <v>10758</v>
      </c>
      <c r="C1805" t="s">
        <v>10759</v>
      </c>
      <c r="E1805" t="s">
        <v>10760</v>
      </c>
      <c r="F1805" t="s">
        <v>10761</v>
      </c>
      <c r="G1805" t="s">
        <v>1604</v>
      </c>
      <c r="H1805" t="s">
        <v>347</v>
      </c>
      <c r="J1805" t="s">
        <v>605</v>
      </c>
      <c r="K1805" t="s">
        <v>606</v>
      </c>
      <c r="L1805" t="s">
        <v>4273</v>
      </c>
      <c r="M1805" t="s">
        <v>1382</v>
      </c>
      <c r="N1805" t="s">
        <v>812</v>
      </c>
      <c r="O1805" t="s">
        <v>1605</v>
      </c>
      <c r="P1805" t="s">
        <v>658</v>
      </c>
      <c r="Q1805" t="s">
        <v>510</v>
      </c>
      <c r="R1805" t="s">
        <v>1555</v>
      </c>
      <c r="S1805" t="s">
        <v>1604</v>
      </c>
      <c r="T1805" t="s">
        <v>1557</v>
      </c>
      <c r="U1805">
        <v>201600</v>
      </c>
      <c r="V1805" t="s">
        <v>10045</v>
      </c>
      <c r="W1805" t="s">
        <v>9890</v>
      </c>
      <c r="X1805" t="s">
        <v>8511</v>
      </c>
      <c r="Y1805" t="s">
        <v>4276</v>
      </c>
      <c r="Z1805" t="s">
        <v>4277</v>
      </c>
      <c r="AA1805" t="s">
        <v>4278</v>
      </c>
      <c r="AB1805" t="s">
        <v>8512</v>
      </c>
      <c r="AE1805">
        <v>-38.23832505</v>
      </c>
      <c r="AF1805">
        <v>176.17248085</v>
      </c>
      <c r="AG1805" s="175">
        <v>44</v>
      </c>
      <c r="AH1805" s="175">
        <v>20</v>
      </c>
      <c r="AI1805" s="175">
        <v>4</v>
      </c>
      <c r="AJ1805" s="175">
        <v>5</v>
      </c>
      <c r="AK1805" s="175">
        <v>6</v>
      </c>
      <c r="AL1805" s="175">
        <v>5</v>
      </c>
      <c r="AM1805" s="175">
        <v>7</v>
      </c>
      <c r="AN1805" s="175">
        <v>0</v>
      </c>
      <c r="AO1805" s="175">
        <v>27</v>
      </c>
      <c r="AP1805" s="175">
        <v>0</v>
      </c>
      <c r="AQ1805" s="175">
        <v>27</v>
      </c>
      <c r="AR1805" s="175">
        <v>0</v>
      </c>
      <c r="AS1805" s="175">
        <v>0</v>
      </c>
      <c r="AT1805" s="175">
        <v>0</v>
      </c>
    </row>
    <row r="1806" spans="1:46">
      <c r="A1806">
        <v>42000</v>
      </c>
      <c r="B1806" t="s">
        <v>10762</v>
      </c>
      <c r="C1806" t="s">
        <v>10763</v>
      </c>
      <c r="E1806" t="s">
        <v>10764</v>
      </c>
      <c r="G1806" t="s">
        <v>10765</v>
      </c>
      <c r="H1806" t="s">
        <v>347</v>
      </c>
      <c r="J1806" t="s">
        <v>605</v>
      </c>
      <c r="K1806" t="s">
        <v>606</v>
      </c>
      <c r="L1806" t="s">
        <v>4273</v>
      </c>
      <c r="M1806" t="s">
        <v>1382</v>
      </c>
      <c r="N1806" t="s">
        <v>643</v>
      </c>
      <c r="O1806" t="s">
        <v>1825</v>
      </c>
      <c r="P1806" t="s">
        <v>610</v>
      </c>
      <c r="Q1806" t="s">
        <v>511</v>
      </c>
      <c r="R1806" t="s">
        <v>1384</v>
      </c>
      <c r="S1806" t="s">
        <v>1522</v>
      </c>
      <c r="T1806" t="s">
        <v>1557</v>
      </c>
      <c r="U1806">
        <v>190200</v>
      </c>
      <c r="V1806" t="s">
        <v>9253</v>
      </c>
      <c r="W1806" t="s">
        <v>3860</v>
      </c>
      <c r="X1806" t="s">
        <v>10188</v>
      </c>
      <c r="Y1806" t="s">
        <v>4276</v>
      </c>
      <c r="Z1806" t="s">
        <v>4277</v>
      </c>
      <c r="AA1806" t="s">
        <v>4278</v>
      </c>
      <c r="AB1806" t="s">
        <v>10189</v>
      </c>
      <c r="AE1806">
        <v>-37.447993889999999</v>
      </c>
      <c r="AF1806">
        <v>175.9728653</v>
      </c>
      <c r="AG1806" s="175">
        <v>30</v>
      </c>
      <c r="AH1806" s="175">
        <v>10</v>
      </c>
      <c r="AI1806" s="175">
        <v>1</v>
      </c>
      <c r="AJ1806" s="175">
        <v>1</v>
      </c>
      <c r="AK1806" s="175">
        <v>5</v>
      </c>
      <c r="AL1806" s="175">
        <v>3</v>
      </c>
      <c r="AM1806" s="175">
        <v>3</v>
      </c>
      <c r="AN1806" s="175">
        <v>0</v>
      </c>
      <c r="AO1806" s="175">
        <v>13</v>
      </c>
      <c r="AP1806" s="175">
        <v>0</v>
      </c>
      <c r="AQ1806" s="175">
        <v>13</v>
      </c>
      <c r="AR1806" s="175">
        <v>0</v>
      </c>
      <c r="AS1806" s="175">
        <v>0</v>
      </c>
      <c r="AT1806" s="175">
        <v>0</v>
      </c>
    </row>
    <row r="1807" spans="1:46">
      <c r="A1807">
        <v>42001</v>
      </c>
      <c r="B1807" t="s">
        <v>10766</v>
      </c>
      <c r="C1807" t="s">
        <v>10767</v>
      </c>
      <c r="E1807" t="s">
        <v>10768</v>
      </c>
      <c r="F1807" t="s">
        <v>8439</v>
      </c>
      <c r="G1807" t="s">
        <v>1681</v>
      </c>
      <c r="H1807" t="s">
        <v>347</v>
      </c>
      <c r="J1807" t="s">
        <v>605</v>
      </c>
      <c r="K1807" t="s">
        <v>606</v>
      </c>
      <c r="L1807" t="s">
        <v>4273</v>
      </c>
      <c r="M1807" t="s">
        <v>1382</v>
      </c>
      <c r="N1807" t="s">
        <v>608</v>
      </c>
      <c r="O1807" t="s">
        <v>1780</v>
      </c>
      <c r="P1807" t="s">
        <v>739</v>
      </c>
      <c r="Q1807" t="s">
        <v>511</v>
      </c>
      <c r="R1807" t="s">
        <v>1555</v>
      </c>
      <c r="S1807" t="s">
        <v>1681</v>
      </c>
      <c r="T1807" t="s">
        <v>1557</v>
      </c>
      <c r="U1807">
        <v>193900</v>
      </c>
      <c r="V1807" t="s">
        <v>8440</v>
      </c>
      <c r="W1807" t="s">
        <v>1806</v>
      </c>
      <c r="X1807" t="s">
        <v>10188</v>
      </c>
      <c r="Y1807" t="s">
        <v>4276</v>
      </c>
      <c r="Z1807" t="s">
        <v>4277</v>
      </c>
      <c r="AA1807" t="s">
        <v>4278</v>
      </c>
      <c r="AB1807" t="s">
        <v>10189</v>
      </c>
      <c r="AE1807">
        <v>-37.66955257</v>
      </c>
      <c r="AF1807">
        <v>176.18358079999999</v>
      </c>
      <c r="AG1807" s="175">
        <v>20</v>
      </c>
      <c r="AH1807" s="175">
        <v>10</v>
      </c>
      <c r="AI1807" s="175">
        <v>0</v>
      </c>
      <c r="AJ1807" s="175">
        <v>4</v>
      </c>
      <c r="AK1807" s="175">
        <v>5</v>
      </c>
      <c r="AL1807" s="175">
        <v>4</v>
      </c>
      <c r="AM1807" s="175">
        <v>2</v>
      </c>
      <c r="AN1807" s="175">
        <v>0</v>
      </c>
      <c r="AO1807" s="175">
        <v>15</v>
      </c>
      <c r="AP1807" s="175">
        <v>0</v>
      </c>
      <c r="AQ1807" s="175">
        <v>14</v>
      </c>
      <c r="AR1807" s="175">
        <v>0</v>
      </c>
      <c r="AS1807" s="175">
        <v>0</v>
      </c>
      <c r="AT1807" s="175">
        <v>1</v>
      </c>
    </row>
    <row r="1808" spans="1:46">
      <c r="A1808">
        <v>43001</v>
      </c>
      <c r="B1808" t="s">
        <v>10769</v>
      </c>
      <c r="C1808" t="s">
        <v>10770</v>
      </c>
      <c r="E1808" t="s">
        <v>10771</v>
      </c>
      <c r="G1808" t="s">
        <v>1761</v>
      </c>
      <c r="H1808" t="s">
        <v>347</v>
      </c>
      <c r="J1808" t="s">
        <v>605</v>
      </c>
      <c r="K1808" t="s">
        <v>606</v>
      </c>
      <c r="L1808" t="s">
        <v>4273</v>
      </c>
      <c r="M1808" t="s">
        <v>1382</v>
      </c>
      <c r="N1808" t="s">
        <v>812</v>
      </c>
      <c r="O1808" t="s">
        <v>1629</v>
      </c>
      <c r="P1808" t="s">
        <v>610</v>
      </c>
      <c r="Q1808" t="s">
        <v>510</v>
      </c>
      <c r="R1808" t="s">
        <v>1555</v>
      </c>
      <c r="S1808" t="s">
        <v>1404</v>
      </c>
      <c r="T1808" t="s">
        <v>1557</v>
      </c>
      <c r="U1808">
        <v>189700</v>
      </c>
      <c r="V1808" t="s">
        <v>1762</v>
      </c>
      <c r="W1808" t="s">
        <v>1763</v>
      </c>
      <c r="X1808" t="s">
        <v>8511</v>
      </c>
      <c r="Y1808" t="s">
        <v>4276</v>
      </c>
      <c r="Z1808" t="s">
        <v>4277</v>
      </c>
      <c r="AA1808" t="s">
        <v>4278</v>
      </c>
      <c r="AB1808" t="s">
        <v>8512</v>
      </c>
      <c r="AE1808">
        <v>-38.987883369999999</v>
      </c>
      <c r="AF1808">
        <v>175.80374950999999</v>
      </c>
      <c r="AG1808" s="175">
        <v>18</v>
      </c>
      <c r="AH1808" s="175">
        <v>0</v>
      </c>
      <c r="AI1808" s="175">
        <v>0</v>
      </c>
      <c r="AJ1808" s="175">
        <v>0</v>
      </c>
      <c r="AK1808" s="175">
        <v>7</v>
      </c>
      <c r="AL1808" s="175">
        <v>5</v>
      </c>
      <c r="AM1808" s="175">
        <v>5</v>
      </c>
      <c r="AN1808" s="175">
        <v>0</v>
      </c>
      <c r="AO1808" s="175">
        <v>17</v>
      </c>
      <c r="AP1808" s="175">
        <v>0</v>
      </c>
      <c r="AQ1808" s="175">
        <v>17</v>
      </c>
      <c r="AR1808" s="175">
        <v>0</v>
      </c>
      <c r="AS1808" s="175">
        <v>0</v>
      </c>
      <c r="AT1808" s="175">
        <v>0</v>
      </c>
    </row>
    <row r="1809" spans="1:46">
      <c r="A1809">
        <v>43002</v>
      </c>
      <c r="B1809" t="s">
        <v>10772</v>
      </c>
      <c r="C1809" t="s">
        <v>10773</v>
      </c>
      <c r="E1809" t="s">
        <v>10774</v>
      </c>
      <c r="G1809" t="s">
        <v>1628</v>
      </c>
      <c r="H1809" t="s">
        <v>347</v>
      </c>
      <c r="J1809" t="s">
        <v>605</v>
      </c>
      <c r="K1809" t="s">
        <v>606</v>
      </c>
      <c r="L1809" t="s">
        <v>4273</v>
      </c>
      <c r="M1809" t="s">
        <v>1382</v>
      </c>
      <c r="N1809" t="s">
        <v>608</v>
      </c>
      <c r="O1809" t="s">
        <v>1629</v>
      </c>
      <c r="P1809" t="s">
        <v>1347</v>
      </c>
      <c r="Q1809" t="s">
        <v>510</v>
      </c>
      <c r="R1809" t="s">
        <v>1555</v>
      </c>
      <c r="S1809" t="s">
        <v>1404</v>
      </c>
      <c r="T1809" t="s">
        <v>1557</v>
      </c>
      <c r="U1809">
        <v>188701</v>
      </c>
      <c r="V1809" t="s">
        <v>10775</v>
      </c>
      <c r="W1809" t="s">
        <v>1631</v>
      </c>
      <c r="X1809" t="s">
        <v>8511</v>
      </c>
      <c r="Y1809" t="s">
        <v>4276</v>
      </c>
      <c r="Z1809" t="s">
        <v>4277</v>
      </c>
      <c r="AA1809" t="s">
        <v>4278</v>
      </c>
      <c r="AB1809" t="s">
        <v>8512</v>
      </c>
      <c r="AE1809">
        <v>-38.685148910000002</v>
      </c>
      <c r="AF1809">
        <v>176.09975378999999</v>
      </c>
      <c r="AG1809" s="175">
        <v>18</v>
      </c>
      <c r="AH1809" s="175">
        <v>6</v>
      </c>
      <c r="AI1809" s="175">
        <v>1</v>
      </c>
      <c r="AJ1809" s="175">
        <v>1</v>
      </c>
      <c r="AK1809" s="175">
        <v>6</v>
      </c>
      <c r="AL1809" s="175">
        <v>6</v>
      </c>
      <c r="AM1809" s="175">
        <v>3</v>
      </c>
      <c r="AN1809" s="175">
        <v>0</v>
      </c>
      <c r="AO1809" s="175">
        <v>17</v>
      </c>
      <c r="AP1809" s="175">
        <v>0</v>
      </c>
      <c r="AQ1809" s="175">
        <v>16</v>
      </c>
      <c r="AR1809" s="175">
        <v>1</v>
      </c>
      <c r="AS1809" s="175">
        <v>0</v>
      </c>
      <c r="AT1809" s="175">
        <v>0</v>
      </c>
    </row>
    <row r="1810" spans="1:46">
      <c r="A1810">
        <v>44000</v>
      </c>
      <c r="B1810" t="s">
        <v>10776</v>
      </c>
      <c r="C1810" t="s">
        <v>10777</v>
      </c>
      <c r="E1810" t="s">
        <v>10778</v>
      </c>
      <c r="G1810" t="s">
        <v>1824</v>
      </c>
      <c r="H1810" t="s">
        <v>347</v>
      </c>
      <c r="J1810" t="s">
        <v>605</v>
      </c>
      <c r="K1810" t="s">
        <v>606</v>
      </c>
      <c r="L1810" t="s">
        <v>4273</v>
      </c>
      <c r="M1810" t="s">
        <v>1382</v>
      </c>
      <c r="N1810" t="s">
        <v>608</v>
      </c>
      <c r="O1810" t="s">
        <v>1825</v>
      </c>
      <c r="P1810" t="s">
        <v>610</v>
      </c>
      <c r="Q1810" t="s">
        <v>511</v>
      </c>
      <c r="R1810" t="s">
        <v>1555</v>
      </c>
      <c r="S1810" t="s">
        <v>1604</v>
      </c>
      <c r="T1810" t="s">
        <v>1557</v>
      </c>
      <c r="U1810">
        <v>191901</v>
      </c>
      <c r="V1810" t="s">
        <v>10262</v>
      </c>
      <c r="W1810" t="s">
        <v>1827</v>
      </c>
      <c r="X1810" t="s">
        <v>8511</v>
      </c>
      <c r="Y1810" t="s">
        <v>4276</v>
      </c>
      <c r="Z1810" t="s">
        <v>4277</v>
      </c>
      <c r="AA1810" t="s">
        <v>4278</v>
      </c>
      <c r="AB1810" t="s">
        <v>8512</v>
      </c>
      <c r="AE1810">
        <v>-37.781693060000002</v>
      </c>
      <c r="AF1810">
        <v>176.31427409</v>
      </c>
      <c r="AG1810" s="175">
        <v>20</v>
      </c>
      <c r="AH1810" s="175">
        <v>10</v>
      </c>
      <c r="AI1810" s="175">
        <v>0</v>
      </c>
      <c r="AJ1810" s="175">
        <v>6</v>
      </c>
      <c r="AK1810" s="175">
        <v>8</v>
      </c>
      <c r="AL1810" s="175">
        <v>3</v>
      </c>
      <c r="AM1810" s="175">
        <v>3</v>
      </c>
      <c r="AN1810" s="175">
        <v>0</v>
      </c>
      <c r="AO1810" s="175">
        <v>20</v>
      </c>
      <c r="AP1810" s="175">
        <v>0</v>
      </c>
      <c r="AQ1810" s="175">
        <v>20</v>
      </c>
      <c r="AR1810" s="175">
        <v>0</v>
      </c>
      <c r="AS1810" s="175">
        <v>0</v>
      </c>
      <c r="AT1810" s="175">
        <v>0</v>
      </c>
    </row>
    <row r="1811" spans="1:46">
      <c r="A1811">
        <v>44003</v>
      </c>
      <c r="B1811" t="s">
        <v>10779</v>
      </c>
      <c r="C1811" t="s">
        <v>10780</v>
      </c>
      <c r="E1811" t="s">
        <v>10781</v>
      </c>
      <c r="F1811" t="s">
        <v>1688</v>
      </c>
      <c r="G1811" t="s">
        <v>1604</v>
      </c>
      <c r="H1811" t="s">
        <v>347</v>
      </c>
      <c r="J1811" t="s">
        <v>605</v>
      </c>
      <c r="K1811" t="s">
        <v>606</v>
      </c>
      <c r="L1811" t="s">
        <v>4273</v>
      </c>
      <c r="M1811" t="s">
        <v>1382</v>
      </c>
      <c r="N1811" t="s">
        <v>643</v>
      </c>
      <c r="O1811" t="s">
        <v>1605</v>
      </c>
      <c r="P1811" t="s">
        <v>610</v>
      </c>
      <c r="Q1811" t="s">
        <v>511</v>
      </c>
      <c r="R1811" t="s">
        <v>1555</v>
      </c>
      <c r="S1811" t="s">
        <v>1604</v>
      </c>
      <c r="T1811" t="s">
        <v>1557</v>
      </c>
      <c r="U1811">
        <v>198100</v>
      </c>
      <c r="V1811" t="s">
        <v>9950</v>
      </c>
      <c r="W1811" t="s">
        <v>1606</v>
      </c>
      <c r="X1811" t="s">
        <v>8511</v>
      </c>
      <c r="Y1811" t="s">
        <v>4276</v>
      </c>
      <c r="Z1811" t="s">
        <v>4277</v>
      </c>
      <c r="AA1811" t="s">
        <v>4278</v>
      </c>
      <c r="AB1811" t="s">
        <v>8512</v>
      </c>
      <c r="AE1811">
        <v>-38.074578440000003</v>
      </c>
      <c r="AF1811">
        <v>176.21256292999999</v>
      </c>
      <c r="AG1811" s="175">
        <v>25</v>
      </c>
      <c r="AH1811" s="175">
        <v>6</v>
      </c>
      <c r="AI1811" s="175">
        <v>0</v>
      </c>
      <c r="AJ1811" s="175">
        <v>5</v>
      </c>
      <c r="AK1811" s="175">
        <v>7</v>
      </c>
      <c r="AL1811" s="175">
        <v>3</v>
      </c>
      <c r="AM1811" s="175">
        <v>4</v>
      </c>
      <c r="AN1811" s="175">
        <v>0</v>
      </c>
      <c r="AO1811" s="175">
        <v>19</v>
      </c>
      <c r="AP1811" s="175">
        <v>0</v>
      </c>
      <c r="AQ1811" s="175">
        <v>19</v>
      </c>
      <c r="AR1811" s="175">
        <v>0</v>
      </c>
      <c r="AS1811" s="175">
        <v>0</v>
      </c>
      <c r="AT1811" s="175">
        <v>0</v>
      </c>
    </row>
    <row r="1812" spans="1:46">
      <c r="A1812">
        <v>44004</v>
      </c>
      <c r="B1812" t="s">
        <v>10782</v>
      </c>
      <c r="C1812" t="s">
        <v>10783</v>
      </c>
      <c r="E1812" t="s">
        <v>10784</v>
      </c>
      <c r="G1812" t="s">
        <v>1824</v>
      </c>
      <c r="H1812" t="s">
        <v>347</v>
      </c>
      <c r="J1812" t="s">
        <v>605</v>
      </c>
      <c r="K1812" t="s">
        <v>606</v>
      </c>
      <c r="L1812" t="s">
        <v>4273</v>
      </c>
      <c r="M1812" t="s">
        <v>1382</v>
      </c>
      <c r="N1812" t="s">
        <v>812</v>
      </c>
      <c r="O1812" t="s">
        <v>1825</v>
      </c>
      <c r="P1812" t="s">
        <v>658</v>
      </c>
      <c r="Q1812" t="s">
        <v>511</v>
      </c>
      <c r="R1812" t="s">
        <v>1555</v>
      </c>
      <c r="S1812" t="s">
        <v>1604</v>
      </c>
      <c r="T1812" t="s">
        <v>1557</v>
      </c>
      <c r="U1812">
        <v>192000</v>
      </c>
      <c r="V1812" t="s">
        <v>10785</v>
      </c>
      <c r="W1812" t="s">
        <v>1827</v>
      </c>
      <c r="X1812" t="s">
        <v>8511</v>
      </c>
      <c r="Y1812" t="s">
        <v>4276</v>
      </c>
      <c r="Z1812" t="s">
        <v>4277</v>
      </c>
      <c r="AA1812" t="s">
        <v>4278</v>
      </c>
      <c r="AB1812" t="s">
        <v>8512</v>
      </c>
      <c r="AE1812">
        <v>-37.792042420000001</v>
      </c>
      <c r="AF1812">
        <v>176.35979327000001</v>
      </c>
      <c r="AG1812" s="175">
        <v>30</v>
      </c>
      <c r="AH1812" s="175">
        <v>10</v>
      </c>
      <c r="AI1812" s="175">
        <v>2</v>
      </c>
      <c r="AJ1812" s="175">
        <v>2</v>
      </c>
      <c r="AK1812" s="175">
        <v>4</v>
      </c>
      <c r="AL1812" s="175">
        <v>3</v>
      </c>
      <c r="AM1812" s="175">
        <v>4</v>
      </c>
      <c r="AN1812" s="175">
        <v>0</v>
      </c>
      <c r="AO1812" s="175">
        <v>15</v>
      </c>
      <c r="AP1812" s="175">
        <v>0</v>
      </c>
      <c r="AQ1812" s="175">
        <v>15</v>
      </c>
      <c r="AR1812" s="175">
        <v>0</v>
      </c>
      <c r="AS1812" s="175">
        <v>0</v>
      </c>
      <c r="AT1812" s="175">
        <v>0</v>
      </c>
    </row>
    <row r="1813" spans="1:46">
      <c r="A1813">
        <v>45004</v>
      </c>
      <c r="B1813" t="s">
        <v>10786</v>
      </c>
      <c r="C1813" t="s">
        <v>10787</v>
      </c>
      <c r="D1813" t="s">
        <v>10788</v>
      </c>
      <c r="E1813" t="s">
        <v>10789</v>
      </c>
      <c r="F1813" t="s">
        <v>8536</v>
      </c>
      <c r="G1813" t="s">
        <v>1681</v>
      </c>
      <c r="H1813" t="s">
        <v>449</v>
      </c>
      <c r="J1813" t="s">
        <v>605</v>
      </c>
      <c r="K1813" t="s">
        <v>606</v>
      </c>
      <c r="M1813" t="s">
        <v>1382</v>
      </c>
      <c r="N1813" t="s">
        <v>657</v>
      </c>
      <c r="O1813" t="s">
        <v>1780</v>
      </c>
      <c r="P1813" t="s">
        <v>739</v>
      </c>
      <c r="Q1813" t="s">
        <v>511</v>
      </c>
      <c r="R1813" t="s">
        <v>1555</v>
      </c>
      <c r="S1813" t="s">
        <v>1681</v>
      </c>
      <c r="T1813" t="s">
        <v>1557</v>
      </c>
      <c r="U1813">
        <v>193000</v>
      </c>
      <c r="V1813" t="s">
        <v>10193</v>
      </c>
      <c r="W1813" t="s">
        <v>1791</v>
      </c>
      <c r="X1813" t="s">
        <v>10790</v>
      </c>
      <c r="Y1813" t="s">
        <v>10791</v>
      </c>
      <c r="Z1813" t="s">
        <v>8536</v>
      </c>
      <c r="AA1813" t="s">
        <v>10792</v>
      </c>
      <c r="AB1813" t="s">
        <v>10793</v>
      </c>
      <c r="AC1813">
        <v>99036</v>
      </c>
      <c r="AD1813" t="s">
        <v>1792</v>
      </c>
      <c r="AE1813">
        <v>-37.691018669999998</v>
      </c>
      <c r="AF1813">
        <v>176.10898800000001</v>
      </c>
      <c r="AG1813" s="175">
        <v>35</v>
      </c>
      <c r="AH1813" s="175">
        <v>0</v>
      </c>
      <c r="AI1813" s="175">
        <v>0</v>
      </c>
      <c r="AJ1813" s="175">
        <v>0</v>
      </c>
      <c r="AK1813" s="175">
        <v>1</v>
      </c>
      <c r="AL1813" s="175">
        <v>11</v>
      </c>
      <c r="AM1813" s="175">
        <v>17</v>
      </c>
      <c r="AN1813" s="175">
        <v>1</v>
      </c>
      <c r="AO1813" s="175">
        <v>30</v>
      </c>
      <c r="AP1813" s="175">
        <v>21</v>
      </c>
      <c r="AQ1813" s="175">
        <v>9</v>
      </c>
      <c r="AR1813" s="175">
        <v>2</v>
      </c>
      <c r="AS1813" s="175">
        <v>3</v>
      </c>
      <c r="AT1813" s="175">
        <v>8</v>
      </c>
    </row>
    <row r="1814" spans="1:46">
      <c r="A1814">
        <v>45006</v>
      </c>
      <c r="B1814" t="s">
        <v>10794</v>
      </c>
      <c r="C1814" t="s">
        <v>10795</v>
      </c>
      <c r="E1814" t="s">
        <v>10796</v>
      </c>
      <c r="F1814" t="s">
        <v>3944</v>
      </c>
      <c r="G1814" t="s">
        <v>1681</v>
      </c>
      <c r="H1814" t="s">
        <v>449</v>
      </c>
      <c r="I1814" t="s">
        <v>4023</v>
      </c>
      <c r="J1814" t="s">
        <v>4032</v>
      </c>
      <c r="K1814" t="s">
        <v>606</v>
      </c>
      <c r="M1814" t="s">
        <v>1382</v>
      </c>
      <c r="N1814" t="s">
        <v>643</v>
      </c>
      <c r="O1814" t="s">
        <v>1780</v>
      </c>
      <c r="P1814" t="s">
        <v>739</v>
      </c>
      <c r="Q1814" t="s">
        <v>511</v>
      </c>
      <c r="R1814" t="s">
        <v>1555</v>
      </c>
      <c r="S1814" t="s">
        <v>1781</v>
      </c>
      <c r="T1814" t="s">
        <v>1557</v>
      </c>
      <c r="U1814">
        <v>196600</v>
      </c>
      <c r="V1814" t="s">
        <v>3945</v>
      </c>
      <c r="W1814" t="s">
        <v>1813</v>
      </c>
      <c r="X1814" t="s">
        <v>10620</v>
      </c>
      <c r="Y1814" t="s">
        <v>10621</v>
      </c>
      <c r="Z1814" t="s">
        <v>9432</v>
      </c>
      <c r="AA1814" t="s">
        <v>10622</v>
      </c>
      <c r="AB1814" t="s">
        <v>10623</v>
      </c>
      <c r="AE1814">
        <v>-37.731657149999997</v>
      </c>
      <c r="AF1814">
        <v>176.18079824</v>
      </c>
      <c r="AG1814" s="175">
        <v>33</v>
      </c>
      <c r="AH1814" s="175">
        <v>0</v>
      </c>
      <c r="AI1814" s="175">
        <v>0</v>
      </c>
      <c r="AJ1814" s="175">
        <v>0</v>
      </c>
      <c r="AK1814" s="175">
        <v>0</v>
      </c>
      <c r="AL1814" s="175">
        <v>14</v>
      </c>
      <c r="AM1814" s="175">
        <v>19</v>
      </c>
      <c r="AN1814" s="175">
        <v>1</v>
      </c>
      <c r="AO1814" s="175">
        <v>34</v>
      </c>
      <c r="AP1814" s="175">
        <v>29</v>
      </c>
      <c r="AQ1814" s="175">
        <v>12</v>
      </c>
      <c r="AR1814" s="175">
        <v>4</v>
      </c>
      <c r="AS1814" s="175">
        <v>0</v>
      </c>
      <c r="AT1814" s="175">
        <v>0</v>
      </c>
    </row>
    <row r="1815" spans="1:46">
      <c r="A1815">
        <v>45013</v>
      </c>
      <c r="B1815" t="s">
        <v>10797</v>
      </c>
      <c r="C1815" t="s">
        <v>10798</v>
      </c>
      <c r="D1815" t="s">
        <v>10799</v>
      </c>
      <c r="E1815" t="s">
        <v>10800</v>
      </c>
      <c r="F1815" t="s">
        <v>10138</v>
      </c>
      <c r="G1815" t="s">
        <v>1604</v>
      </c>
      <c r="H1815" t="s">
        <v>449</v>
      </c>
      <c r="J1815" t="s">
        <v>605</v>
      </c>
      <c r="K1815" t="s">
        <v>606</v>
      </c>
      <c r="M1815" t="s">
        <v>1382</v>
      </c>
      <c r="N1815" t="s">
        <v>608</v>
      </c>
      <c r="O1815" t="s">
        <v>1605</v>
      </c>
      <c r="P1815" t="s">
        <v>670</v>
      </c>
      <c r="Q1815" t="s">
        <v>511</v>
      </c>
      <c r="R1815" t="s">
        <v>1555</v>
      </c>
      <c r="S1815" t="s">
        <v>1604</v>
      </c>
      <c r="T1815" t="s">
        <v>1557</v>
      </c>
      <c r="U1815">
        <v>199500</v>
      </c>
      <c r="V1815" t="s">
        <v>8769</v>
      </c>
      <c r="W1815" t="s">
        <v>1606</v>
      </c>
      <c r="X1815" t="s">
        <v>8441</v>
      </c>
      <c r="Y1815" t="s">
        <v>4014</v>
      </c>
      <c r="Z1815" t="s">
        <v>4015</v>
      </c>
      <c r="AA1815" t="s">
        <v>4016</v>
      </c>
      <c r="AB1815" t="s">
        <v>8442</v>
      </c>
      <c r="AC1815">
        <v>99107</v>
      </c>
      <c r="AD1815" t="s">
        <v>1609</v>
      </c>
      <c r="AE1815">
        <v>-38.139932440000003</v>
      </c>
      <c r="AF1815">
        <v>176.22033146000001</v>
      </c>
      <c r="AG1815" s="175">
        <v>70</v>
      </c>
      <c r="AH1815" s="175">
        <v>12</v>
      </c>
      <c r="AI1815" s="175">
        <v>1</v>
      </c>
      <c r="AJ1815" s="175">
        <v>13</v>
      </c>
      <c r="AK1815" s="175">
        <v>17</v>
      </c>
      <c r="AL1815" s="175">
        <v>16</v>
      </c>
      <c r="AM1815" s="175">
        <v>20</v>
      </c>
      <c r="AN1815" s="175">
        <v>0</v>
      </c>
      <c r="AO1815" s="175">
        <v>67</v>
      </c>
      <c r="AP1815" s="175">
        <v>17</v>
      </c>
      <c r="AQ1815" s="175">
        <v>41</v>
      </c>
      <c r="AR1815" s="175">
        <v>8</v>
      </c>
      <c r="AS1815" s="175">
        <v>12</v>
      </c>
      <c r="AT1815" s="175">
        <v>9</v>
      </c>
    </row>
    <row r="1816" spans="1:46">
      <c r="A1816">
        <v>45014</v>
      </c>
      <c r="B1816" t="s">
        <v>10801</v>
      </c>
      <c r="C1816" t="s">
        <v>10802</v>
      </c>
      <c r="D1816" t="s">
        <v>10803</v>
      </c>
      <c r="E1816" t="s">
        <v>10804</v>
      </c>
      <c r="G1816" t="s">
        <v>1553</v>
      </c>
      <c r="H1816" t="s">
        <v>449</v>
      </c>
      <c r="I1816" t="s">
        <v>4134</v>
      </c>
      <c r="J1816" t="s">
        <v>4032</v>
      </c>
      <c r="K1816" t="s">
        <v>606</v>
      </c>
      <c r="M1816" t="s">
        <v>1382</v>
      </c>
      <c r="N1816" t="s">
        <v>657</v>
      </c>
      <c r="O1816" t="s">
        <v>1554</v>
      </c>
      <c r="P1816" t="s">
        <v>1347</v>
      </c>
      <c r="Q1816" t="s">
        <v>511</v>
      </c>
      <c r="R1816" t="s">
        <v>1555</v>
      </c>
      <c r="S1816" t="s">
        <v>1556</v>
      </c>
      <c r="T1816" t="s">
        <v>1557</v>
      </c>
      <c r="U1816">
        <v>202700</v>
      </c>
      <c r="V1816" t="s">
        <v>1558</v>
      </c>
      <c r="W1816" t="s">
        <v>1559</v>
      </c>
      <c r="X1816" t="s">
        <v>10805</v>
      </c>
      <c r="Y1816" t="s">
        <v>10806</v>
      </c>
      <c r="AA1816" t="s">
        <v>10570</v>
      </c>
      <c r="AB1816" t="s">
        <v>10807</v>
      </c>
      <c r="AC1816">
        <v>99016</v>
      </c>
      <c r="AD1816" t="s">
        <v>1562</v>
      </c>
      <c r="AE1816">
        <v>-37.958290040000001</v>
      </c>
      <c r="AF1816">
        <v>176.98555457000001</v>
      </c>
      <c r="AG1816" s="175">
        <v>40</v>
      </c>
      <c r="AH1816" s="175">
        <v>8</v>
      </c>
      <c r="AI1816" s="175">
        <v>0</v>
      </c>
      <c r="AJ1816" s="175">
        <v>4</v>
      </c>
      <c r="AK1816" s="175">
        <v>13</v>
      </c>
      <c r="AL1816" s="175">
        <v>8</v>
      </c>
      <c r="AM1816" s="175">
        <v>14</v>
      </c>
      <c r="AN1816" s="175">
        <v>0</v>
      </c>
      <c r="AO1816" s="175">
        <v>39</v>
      </c>
      <c r="AP1816" s="175">
        <v>27</v>
      </c>
      <c r="AQ1816" s="175">
        <v>15</v>
      </c>
      <c r="AR1816" s="175">
        <v>1</v>
      </c>
      <c r="AS1816" s="175">
        <v>4</v>
      </c>
      <c r="AT1816" s="175">
        <v>6</v>
      </c>
    </row>
    <row r="1817" spans="1:46">
      <c r="A1817">
        <v>45015</v>
      </c>
      <c r="B1817" t="s">
        <v>10808</v>
      </c>
      <c r="C1817" t="s">
        <v>10809</v>
      </c>
      <c r="E1817" t="s">
        <v>10810</v>
      </c>
      <c r="F1817" t="s">
        <v>1711</v>
      </c>
      <c r="G1817" t="s">
        <v>1604</v>
      </c>
      <c r="H1817" t="s">
        <v>449</v>
      </c>
      <c r="J1817" t="s">
        <v>4032</v>
      </c>
      <c r="K1817" t="s">
        <v>606</v>
      </c>
      <c r="M1817" t="s">
        <v>1382</v>
      </c>
      <c r="N1817" t="s">
        <v>643</v>
      </c>
      <c r="O1817" t="s">
        <v>1605</v>
      </c>
      <c r="P1817" t="s">
        <v>670</v>
      </c>
      <c r="Q1817" t="s">
        <v>511</v>
      </c>
      <c r="R1817" t="s">
        <v>1555</v>
      </c>
      <c r="S1817" t="s">
        <v>1604</v>
      </c>
      <c r="T1817" t="s">
        <v>1557</v>
      </c>
      <c r="U1817">
        <v>200900</v>
      </c>
      <c r="V1817" t="s">
        <v>10091</v>
      </c>
      <c r="W1817" t="s">
        <v>1606</v>
      </c>
      <c r="X1817" t="s">
        <v>10811</v>
      </c>
      <c r="Y1817" t="s">
        <v>10810</v>
      </c>
      <c r="Z1817" t="s">
        <v>1711</v>
      </c>
      <c r="AA1817" t="s">
        <v>8584</v>
      </c>
      <c r="AB1817" t="s">
        <v>10809</v>
      </c>
      <c r="AC1817">
        <v>99017</v>
      </c>
      <c r="AD1817" t="s">
        <v>1713</v>
      </c>
      <c r="AE1817">
        <v>-38.136170790000001</v>
      </c>
      <c r="AF1817">
        <v>176.28899267</v>
      </c>
      <c r="AG1817" s="175">
        <v>36</v>
      </c>
      <c r="AH1817" s="175">
        <v>10</v>
      </c>
      <c r="AI1817" s="175">
        <v>0</v>
      </c>
      <c r="AJ1817" s="175">
        <v>8</v>
      </c>
      <c r="AK1817" s="175">
        <v>12</v>
      </c>
      <c r="AL1817" s="175">
        <v>4</v>
      </c>
      <c r="AM1817" s="175">
        <v>11</v>
      </c>
      <c r="AN1817" s="175">
        <v>1</v>
      </c>
      <c r="AO1817" s="175">
        <v>36</v>
      </c>
      <c r="AP1817" s="175">
        <v>28</v>
      </c>
      <c r="AQ1817" s="175">
        <v>21</v>
      </c>
      <c r="AR1817" s="175">
        <v>4</v>
      </c>
      <c r="AS1817" s="175">
        <v>0</v>
      </c>
      <c r="AT1817" s="175">
        <v>1</v>
      </c>
    </row>
    <row r="1818" spans="1:46">
      <c r="A1818">
        <v>45018</v>
      </c>
      <c r="B1818" t="s">
        <v>10812</v>
      </c>
      <c r="C1818" t="s">
        <v>10813</v>
      </c>
      <c r="D1818" t="s">
        <v>10814</v>
      </c>
      <c r="E1818" t="s">
        <v>10815</v>
      </c>
      <c r="G1818" t="s">
        <v>3858</v>
      </c>
      <c r="H1818" t="s">
        <v>449</v>
      </c>
      <c r="J1818" t="s">
        <v>4032</v>
      </c>
      <c r="K1818" t="s">
        <v>606</v>
      </c>
      <c r="M1818" t="s">
        <v>1382</v>
      </c>
      <c r="N1818" t="s">
        <v>643</v>
      </c>
      <c r="O1818" t="s">
        <v>1825</v>
      </c>
      <c r="P1818" t="s">
        <v>610</v>
      </c>
      <c r="Q1818" t="s">
        <v>511</v>
      </c>
      <c r="R1818" t="s">
        <v>1555</v>
      </c>
      <c r="S1818" t="s">
        <v>1522</v>
      </c>
      <c r="T1818" t="s">
        <v>1557</v>
      </c>
      <c r="U1818">
        <v>190602</v>
      </c>
      <c r="V1818" t="s">
        <v>3859</v>
      </c>
      <c r="W1818" t="s">
        <v>3860</v>
      </c>
      <c r="X1818" t="s">
        <v>10816</v>
      </c>
      <c r="Y1818" t="s">
        <v>4051</v>
      </c>
      <c r="AA1818" t="s">
        <v>4052</v>
      </c>
      <c r="AE1818">
        <v>-37.558561699999998</v>
      </c>
      <c r="AF1818">
        <v>175.91652450000001</v>
      </c>
      <c r="AG1818" s="175">
        <v>75</v>
      </c>
      <c r="AH1818" s="175">
        <v>25</v>
      </c>
      <c r="AI1818" s="175">
        <v>1</v>
      </c>
      <c r="AJ1818" s="175">
        <v>14</v>
      </c>
      <c r="AK1818" s="175">
        <v>18</v>
      </c>
      <c r="AL1818" s="175">
        <v>24</v>
      </c>
      <c r="AM1818" s="175">
        <v>20</v>
      </c>
      <c r="AN1818" s="175">
        <v>0</v>
      </c>
      <c r="AO1818" s="175">
        <v>77</v>
      </c>
      <c r="AP1818" s="175">
        <v>34</v>
      </c>
      <c r="AQ1818" s="175">
        <v>31</v>
      </c>
      <c r="AR1818" s="175">
        <v>8</v>
      </c>
      <c r="AS1818" s="175">
        <v>15</v>
      </c>
      <c r="AT1818" s="175">
        <v>11</v>
      </c>
    </row>
    <row r="1819" spans="1:46">
      <c r="A1819">
        <v>45021</v>
      </c>
      <c r="B1819" t="s">
        <v>8591</v>
      </c>
      <c r="C1819" t="s">
        <v>10817</v>
      </c>
      <c r="E1819" t="s">
        <v>10818</v>
      </c>
      <c r="G1819" t="s">
        <v>1628</v>
      </c>
      <c r="H1819" t="s">
        <v>449</v>
      </c>
      <c r="J1819" t="s">
        <v>4032</v>
      </c>
      <c r="K1819" t="s">
        <v>606</v>
      </c>
      <c r="M1819" t="s">
        <v>1382</v>
      </c>
      <c r="N1819" t="s">
        <v>657</v>
      </c>
      <c r="O1819" t="s">
        <v>1629</v>
      </c>
      <c r="P1819" t="s">
        <v>1347</v>
      </c>
      <c r="Q1819" t="s">
        <v>510</v>
      </c>
      <c r="R1819" t="s">
        <v>1555</v>
      </c>
      <c r="S1819" t="s">
        <v>1404</v>
      </c>
      <c r="T1819" t="s">
        <v>1557</v>
      </c>
      <c r="U1819">
        <v>188800</v>
      </c>
      <c r="V1819" t="s">
        <v>1658</v>
      </c>
      <c r="W1819" t="s">
        <v>1631</v>
      </c>
      <c r="X1819" t="s">
        <v>8595</v>
      </c>
      <c r="Y1819" t="s">
        <v>8596</v>
      </c>
      <c r="Z1819" t="s">
        <v>1628</v>
      </c>
      <c r="AA1819" t="s">
        <v>8597</v>
      </c>
      <c r="AB1819" t="s">
        <v>8598</v>
      </c>
      <c r="AE1819">
        <v>-38.68826601</v>
      </c>
      <c r="AF1819">
        <v>176.08577532999999</v>
      </c>
      <c r="AG1819" s="175">
        <v>73</v>
      </c>
      <c r="AH1819" s="175">
        <v>16</v>
      </c>
      <c r="AI1819" s="175">
        <v>0</v>
      </c>
      <c r="AJ1819" s="175">
        <v>15</v>
      </c>
      <c r="AK1819" s="175">
        <v>22</v>
      </c>
      <c r="AL1819" s="175">
        <v>20</v>
      </c>
      <c r="AM1819" s="175">
        <v>19</v>
      </c>
      <c r="AN1819" s="175">
        <v>1</v>
      </c>
      <c r="AO1819" s="175">
        <v>77</v>
      </c>
      <c r="AP1819" s="175">
        <v>66</v>
      </c>
      <c r="AQ1819" s="175">
        <v>27</v>
      </c>
      <c r="AR1819" s="175">
        <v>3</v>
      </c>
      <c r="AS1819" s="175">
        <v>6</v>
      </c>
      <c r="AT1819" s="175">
        <v>1</v>
      </c>
    </row>
    <row r="1820" spans="1:46">
      <c r="A1820">
        <v>45024</v>
      </c>
      <c r="B1820" t="s">
        <v>10819</v>
      </c>
      <c r="C1820" t="s">
        <v>10820</v>
      </c>
      <c r="D1820" t="s">
        <v>10821</v>
      </c>
      <c r="E1820" t="s">
        <v>10822</v>
      </c>
      <c r="F1820" t="s">
        <v>8536</v>
      </c>
      <c r="G1820" t="s">
        <v>1681</v>
      </c>
      <c r="H1820" t="s">
        <v>449</v>
      </c>
      <c r="I1820" t="s">
        <v>4023</v>
      </c>
      <c r="J1820" t="s">
        <v>605</v>
      </c>
      <c r="K1820" t="s">
        <v>606</v>
      </c>
      <c r="M1820" t="s">
        <v>1382</v>
      </c>
      <c r="N1820" t="s">
        <v>4586</v>
      </c>
      <c r="O1820" t="s">
        <v>1780</v>
      </c>
      <c r="P1820" t="s">
        <v>739</v>
      </c>
      <c r="Q1820" t="s">
        <v>511</v>
      </c>
      <c r="R1820" t="s">
        <v>1555</v>
      </c>
      <c r="S1820" t="s">
        <v>1681</v>
      </c>
      <c r="T1820" t="s">
        <v>1557</v>
      </c>
      <c r="U1820">
        <v>193500</v>
      </c>
      <c r="V1820" t="s">
        <v>8537</v>
      </c>
      <c r="W1820" t="s">
        <v>1791</v>
      </c>
      <c r="X1820" t="s">
        <v>8770</v>
      </c>
      <c r="Y1820" t="s">
        <v>8771</v>
      </c>
      <c r="AA1820" t="s">
        <v>8772</v>
      </c>
      <c r="AB1820" t="s">
        <v>8773</v>
      </c>
      <c r="AC1820">
        <v>99157</v>
      </c>
      <c r="AD1820" t="s">
        <v>8774</v>
      </c>
      <c r="AE1820">
        <v>-37.703119229999999</v>
      </c>
      <c r="AF1820">
        <v>176.11401176999999</v>
      </c>
      <c r="AG1820" s="175">
        <v>50</v>
      </c>
      <c r="AH1820" s="175">
        <v>15</v>
      </c>
      <c r="AI1820" s="175">
        <v>0</v>
      </c>
      <c r="AJ1820" s="175">
        <v>6</v>
      </c>
      <c r="AK1820" s="175">
        <v>16</v>
      </c>
      <c r="AL1820" s="175">
        <v>22</v>
      </c>
      <c r="AM1820" s="175">
        <v>15</v>
      </c>
      <c r="AN1820" s="175">
        <v>3</v>
      </c>
      <c r="AO1820" s="175">
        <v>62</v>
      </c>
      <c r="AP1820" s="175">
        <v>53</v>
      </c>
      <c r="AQ1820" s="175">
        <v>4</v>
      </c>
      <c r="AR1820" s="175">
        <v>1</v>
      </c>
      <c r="AS1820" s="175">
        <v>7</v>
      </c>
      <c r="AT1820" s="175">
        <v>1</v>
      </c>
    </row>
    <row r="1821" spans="1:46">
      <c r="A1821">
        <v>45025</v>
      </c>
      <c r="B1821" t="s">
        <v>10823</v>
      </c>
      <c r="C1821" t="s">
        <v>10824</v>
      </c>
      <c r="D1821" t="s">
        <v>10825</v>
      </c>
      <c r="E1821" t="s">
        <v>10826</v>
      </c>
      <c r="F1821" t="s">
        <v>8536</v>
      </c>
      <c r="G1821" t="s">
        <v>1681</v>
      </c>
      <c r="H1821" t="s">
        <v>449</v>
      </c>
      <c r="J1821" t="s">
        <v>4032</v>
      </c>
      <c r="K1821" t="s">
        <v>606</v>
      </c>
      <c r="M1821" t="s">
        <v>1382</v>
      </c>
      <c r="N1821" t="s">
        <v>657</v>
      </c>
      <c r="O1821" t="s">
        <v>1780</v>
      </c>
      <c r="P1821" t="s">
        <v>739</v>
      </c>
      <c r="Q1821" t="s">
        <v>511</v>
      </c>
      <c r="R1821" t="s">
        <v>1555</v>
      </c>
      <c r="S1821" t="s">
        <v>1681</v>
      </c>
      <c r="T1821" t="s">
        <v>1557</v>
      </c>
      <c r="U1821">
        <v>193500</v>
      </c>
      <c r="V1821" t="s">
        <v>8537</v>
      </c>
      <c r="W1821" t="s">
        <v>1791</v>
      </c>
      <c r="X1821" t="s">
        <v>10827</v>
      </c>
      <c r="Y1821" t="s">
        <v>10828</v>
      </c>
      <c r="Z1821" t="s">
        <v>8536</v>
      </c>
      <c r="AA1821" t="s">
        <v>8468</v>
      </c>
      <c r="AB1821" t="s">
        <v>10824</v>
      </c>
      <c r="AC1821">
        <v>99036</v>
      </c>
      <c r="AD1821" t="s">
        <v>1792</v>
      </c>
      <c r="AE1821">
        <v>-37.698986980000001</v>
      </c>
      <c r="AF1821">
        <v>176.1124451</v>
      </c>
      <c r="AG1821" s="175">
        <v>87</v>
      </c>
      <c r="AH1821" s="175">
        <v>25</v>
      </c>
      <c r="AI1821" s="175">
        <v>2</v>
      </c>
      <c r="AJ1821" s="175">
        <v>6</v>
      </c>
      <c r="AK1821" s="175">
        <v>17</v>
      </c>
      <c r="AL1821" s="175">
        <v>8</v>
      </c>
      <c r="AM1821" s="175">
        <v>23</v>
      </c>
      <c r="AN1821" s="175">
        <v>0</v>
      </c>
      <c r="AO1821" s="175">
        <v>56</v>
      </c>
      <c r="AP1821" s="175">
        <v>44</v>
      </c>
      <c r="AQ1821" s="175">
        <v>12</v>
      </c>
      <c r="AR1821" s="175">
        <v>4</v>
      </c>
      <c r="AS1821" s="175">
        <v>7</v>
      </c>
      <c r="AT1821" s="175">
        <v>4</v>
      </c>
    </row>
    <row r="1822" spans="1:46">
      <c r="A1822">
        <v>45030</v>
      </c>
      <c r="B1822" t="s">
        <v>10829</v>
      </c>
      <c r="C1822" t="s">
        <v>10830</v>
      </c>
      <c r="E1822" t="s">
        <v>10831</v>
      </c>
      <c r="F1822" t="s">
        <v>8555</v>
      </c>
      <c r="G1822" t="s">
        <v>1604</v>
      </c>
      <c r="H1822" t="s">
        <v>451</v>
      </c>
      <c r="I1822" t="s">
        <v>4102</v>
      </c>
      <c r="J1822" t="s">
        <v>605</v>
      </c>
      <c r="K1822" t="s">
        <v>606</v>
      </c>
      <c r="M1822" t="s">
        <v>1382</v>
      </c>
      <c r="N1822" t="s">
        <v>812</v>
      </c>
      <c r="O1822" t="s">
        <v>1605</v>
      </c>
      <c r="P1822" t="s">
        <v>670</v>
      </c>
      <c r="Q1822" t="s">
        <v>511</v>
      </c>
      <c r="R1822" t="s">
        <v>1555</v>
      </c>
      <c r="S1822" t="s">
        <v>1604</v>
      </c>
      <c r="T1822" t="s">
        <v>1557</v>
      </c>
      <c r="U1822">
        <v>200100</v>
      </c>
      <c r="V1822" t="s">
        <v>8555</v>
      </c>
      <c r="W1822" t="s">
        <v>1606</v>
      </c>
      <c r="X1822" t="s">
        <v>10832</v>
      </c>
      <c r="Y1822" t="s">
        <v>10833</v>
      </c>
      <c r="AA1822" t="s">
        <v>10834</v>
      </c>
      <c r="AB1822" t="s">
        <v>10835</v>
      </c>
      <c r="AC1822">
        <v>99019</v>
      </c>
      <c r="AD1822" t="s">
        <v>1648</v>
      </c>
      <c r="AE1822">
        <v>-38.134588030000003</v>
      </c>
      <c r="AF1822">
        <v>176.24828663</v>
      </c>
      <c r="AG1822" s="175">
        <v>7</v>
      </c>
      <c r="AH1822" s="175">
        <v>6</v>
      </c>
      <c r="AI1822" s="175"/>
      <c r="AJ1822" s="175"/>
      <c r="AK1822" s="175"/>
      <c r="AL1822" s="175"/>
      <c r="AM1822" s="175"/>
      <c r="AN1822" s="175"/>
      <c r="AO1822" s="175"/>
      <c r="AP1822" s="175"/>
      <c r="AQ1822" s="175"/>
      <c r="AR1822" s="175"/>
      <c r="AS1822" s="175"/>
    </row>
    <row r="1823" spans="1:46">
      <c r="A1823">
        <v>45034</v>
      </c>
      <c r="B1823" t="s">
        <v>10836</v>
      </c>
      <c r="C1823" t="s">
        <v>10837</v>
      </c>
      <c r="E1823" t="s">
        <v>10838</v>
      </c>
      <c r="F1823" t="s">
        <v>3841</v>
      </c>
      <c r="G1823" t="s">
        <v>1681</v>
      </c>
      <c r="H1823" t="s">
        <v>449</v>
      </c>
      <c r="J1823" t="s">
        <v>4032</v>
      </c>
      <c r="K1823" t="s">
        <v>606</v>
      </c>
      <c r="M1823" t="s">
        <v>1382</v>
      </c>
      <c r="N1823" t="s">
        <v>657</v>
      </c>
      <c r="O1823" t="s">
        <v>1780</v>
      </c>
      <c r="P1823" t="s">
        <v>739</v>
      </c>
      <c r="Q1823" t="s">
        <v>511</v>
      </c>
      <c r="R1823" t="s">
        <v>1555</v>
      </c>
      <c r="S1823" t="s">
        <v>1781</v>
      </c>
      <c r="T1823" t="s">
        <v>1557</v>
      </c>
      <c r="U1823">
        <v>197000</v>
      </c>
      <c r="V1823" t="s">
        <v>4783</v>
      </c>
      <c r="W1823" t="s">
        <v>1783</v>
      </c>
      <c r="X1823" t="s">
        <v>10839</v>
      </c>
      <c r="Y1823" t="s">
        <v>10840</v>
      </c>
      <c r="Z1823" t="s">
        <v>3841</v>
      </c>
      <c r="AA1823" t="s">
        <v>4785</v>
      </c>
      <c r="AC1823">
        <v>99064</v>
      </c>
      <c r="AD1823" t="s">
        <v>1784</v>
      </c>
      <c r="AE1823">
        <v>-37.693718500000003</v>
      </c>
      <c r="AF1823">
        <v>176.26518720000001</v>
      </c>
      <c r="AG1823" s="175">
        <v>40</v>
      </c>
      <c r="AH1823" s="175">
        <v>10</v>
      </c>
      <c r="AI1823" s="175">
        <v>1</v>
      </c>
      <c r="AJ1823" s="175">
        <v>12</v>
      </c>
      <c r="AK1823" s="175">
        <v>9</v>
      </c>
      <c r="AL1823" s="175">
        <v>17</v>
      </c>
      <c r="AM1823" s="175">
        <v>13</v>
      </c>
      <c r="AN1823" s="175">
        <v>0</v>
      </c>
      <c r="AO1823" s="175">
        <v>52</v>
      </c>
      <c r="AP1823" s="175">
        <v>50</v>
      </c>
      <c r="AQ1823" s="175">
        <v>4</v>
      </c>
      <c r="AR1823" s="175">
        <v>1</v>
      </c>
      <c r="AS1823" s="175">
        <v>0</v>
      </c>
      <c r="AT1823" s="175">
        <v>1</v>
      </c>
    </row>
    <row r="1824" spans="1:46">
      <c r="A1824">
        <v>45037</v>
      </c>
      <c r="B1824" t="s">
        <v>10841</v>
      </c>
      <c r="C1824" t="s">
        <v>10842</v>
      </c>
      <c r="E1824" t="s">
        <v>10843</v>
      </c>
      <c r="G1824" t="s">
        <v>1628</v>
      </c>
      <c r="H1824" t="s">
        <v>449</v>
      </c>
      <c r="J1824" t="s">
        <v>605</v>
      </c>
      <c r="K1824" t="s">
        <v>606</v>
      </c>
      <c r="M1824" t="s">
        <v>1382</v>
      </c>
      <c r="N1824" t="s">
        <v>657</v>
      </c>
      <c r="O1824" t="s">
        <v>1629</v>
      </c>
      <c r="P1824" t="s">
        <v>1347</v>
      </c>
      <c r="Q1824" t="s">
        <v>510</v>
      </c>
      <c r="R1824" t="s">
        <v>1555</v>
      </c>
      <c r="S1824" t="s">
        <v>1404</v>
      </c>
      <c r="T1824" t="s">
        <v>1557</v>
      </c>
      <c r="U1824">
        <v>188900</v>
      </c>
      <c r="V1824" t="s">
        <v>1630</v>
      </c>
      <c r="W1824" t="s">
        <v>1631</v>
      </c>
      <c r="X1824" t="s">
        <v>10550</v>
      </c>
      <c r="Y1824" t="s">
        <v>4014</v>
      </c>
      <c r="Z1824" t="s">
        <v>4015</v>
      </c>
      <c r="AA1824" t="s">
        <v>4016</v>
      </c>
      <c r="AB1824" t="s">
        <v>10551</v>
      </c>
      <c r="AC1824">
        <v>99020</v>
      </c>
      <c r="AD1824" t="s">
        <v>1633</v>
      </c>
      <c r="AE1824">
        <v>-38.680740999999998</v>
      </c>
      <c r="AF1824">
        <v>176.08651399999999</v>
      </c>
      <c r="AG1824" s="175">
        <v>37</v>
      </c>
      <c r="AH1824" s="175">
        <v>10</v>
      </c>
      <c r="AI1824" s="175">
        <v>1</v>
      </c>
      <c r="AJ1824" s="175">
        <v>7</v>
      </c>
      <c r="AK1824" s="175">
        <v>9</v>
      </c>
      <c r="AL1824" s="175">
        <v>7</v>
      </c>
      <c r="AM1824" s="175">
        <v>16</v>
      </c>
      <c r="AN1824" s="175">
        <v>0</v>
      </c>
      <c r="AO1824" s="175">
        <v>40</v>
      </c>
      <c r="AP1824" s="175">
        <v>36</v>
      </c>
      <c r="AQ1824" s="175">
        <v>11</v>
      </c>
      <c r="AR1824" s="175">
        <v>2</v>
      </c>
      <c r="AS1824" s="175">
        <v>4</v>
      </c>
      <c r="AT1824" s="175">
        <v>2</v>
      </c>
    </row>
    <row r="1825" spans="1:46">
      <c r="A1825">
        <v>45038</v>
      </c>
      <c r="B1825" t="s">
        <v>10844</v>
      </c>
      <c r="C1825" t="s">
        <v>10845</v>
      </c>
      <c r="E1825" t="s">
        <v>10846</v>
      </c>
      <c r="F1825" t="s">
        <v>1789</v>
      </c>
      <c r="G1825" t="s">
        <v>1681</v>
      </c>
      <c r="H1825" t="s">
        <v>449</v>
      </c>
      <c r="J1825" t="s">
        <v>605</v>
      </c>
      <c r="K1825" t="s">
        <v>606</v>
      </c>
      <c r="M1825" t="s">
        <v>1382</v>
      </c>
      <c r="N1825" t="s">
        <v>657</v>
      </c>
      <c r="O1825" t="s">
        <v>1780</v>
      </c>
      <c r="P1825" t="s">
        <v>739</v>
      </c>
      <c r="Q1825" t="s">
        <v>511</v>
      </c>
      <c r="R1825" t="s">
        <v>1555</v>
      </c>
      <c r="S1825" t="s">
        <v>1681</v>
      </c>
      <c r="T1825" t="s">
        <v>1557</v>
      </c>
      <c r="U1825">
        <v>193201</v>
      </c>
      <c r="V1825" t="s">
        <v>10847</v>
      </c>
      <c r="W1825" t="s">
        <v>1819</v>
      </c>
      <c r="X1825" t="s">
        <v>8441</v>
      </c>
      <c r="Y1825" t="s">
        <v>4014</v>
      </c>
      <c r="Z1825" t="s">
        <v>4015</v>
      </c>
      <c r="AA1825" t="s">
        <v>4016</v>
      </c>
      <c r="AB1825" t="s">
        <v>8442</v>
      </c>
      <c r="AC1825">
        <v>99036</v>
      </c>
      <c r="AD1825" t="s">
        <v>1792</v>
      </c>
      <c r="AE1825">
        <v>-37.66683896</v>
      </c>
      <c r="AF1825">
        <v>176.1468347</v>
      </c>
      <c r="AG1825" s="175">
        <v>50</v>
      </c>
      <c r="AH1825" s="175">
        <v>15</v>
      </c>
      <c r="AI1825" s="175">
        <v>1</v>
      </c>
      <c r="AJ1825" s="175">
        <v>13</v>
      </c>
      <c r="AK1825" s="175">
        <v>13</v>
      </c>
      <c r="AL1825" s="175">
        <v>17</v>
      </c>
      <c r="AM1825" s="175">
        <v>10</v>
      </c>
      <c r="AN1825" s="175">
        <v>1</v>
      </c>
      <c r="AO1825" s="175">
        <v>55</v>
      </c>
      <c r="AP1825" s="175">
        <v>32</v>
      </c>
      <c r="AQ1825" s="175">
        <v>12</v>
      </c>
      <c r="AR1825" s="175">
        <v>1</v>
      </c>
      <c r="AS1825" s="175">
        <v>15</v>
      </c>
      <c r="AT1825" s="175">
        <v>4</v>
      </c>
    </row>
    <row r="1826" spans="1:46">
      <c r="A1826">
        <v>45040</v>
      </c>
      <c r="B1826" t="s">
        <v>10848</v>
      </c>
      <c r="C1826" t="s">
        <v>10849</v>
      </c>
      <c r="D1826" t="s">
        <v>10850</v>
      </c>
      <c r="E1826" t="s">
        <v>10851</v>
      </c>
      <c r="F1826" t="s">
        <v>3793</v>
      </c>
      <c r="G1826" t="s">
        <v>1681</v>
      </c>
      <c r="H1826" t="s">
        <v>449</v>
      </c>
      <c r="I1826" t="s">
        <v>4023</v>
      </c>
      <c r="J1826" t="s">
        <v>605</v>
      </c>
      <c r="K1826" t="s">
        <v>606</v>
      </c>
      <c r="M1826" t="s">
        <v>1382</v>
      </c>
      <c r="N1826" t="s">
        <v>657</v>
      </c>
      <c r="O1826" t="s">
        <v>1780</v>
      </c>
      <c r="P1826" t="s">
        <v>739</v>
      </c>
      <c r="Q1826" t="s">
        <v>511</v>
      </c>
      <c r="R1826" t="s">
        <v>1555</v>
      </c>
      <c r="S1826" t="s">
        <v>1681</v>
      </c>
      <c r="T1826" t="s">
        <v>1557</v>
      </c>
      <c r="U1826">
        <v>194801</v>
      </c>
      <c r="V1826" t="s">
        <v>3793</v>
      </c>
      <c r="W1826" t="s">
        <v>3795</v>
      </c>
      <c r="X1826" t="s">
        <v>8441</v>
      </c>
      <c r="Y1826" t="s">
        <v>4014</v>
      </c>
      <c r="Z1826" t="s">
        <v>4015</v>
      </c>
      <c r="AA1826" t="s">
        <v>4016</v>
      </c>
      <c r="AB1826" t="s">
        <v>8442</v>
      </c>
      <c r="AC1826">
        <v>99085</v>
      </c>
      <c r="AD1826" t="s">
        <v>1800</v>
      </c>
      <c r="AE1826">
        <v>-37.704549389999997</v>
      </c>
      <c r="AF1826">
        <v>176.16175865</v>
      </c>
      <c r="AG1826" s="175">
        <v>44</v>
      </c>
      <c r="AH1826" s="175">
        <v>14</v>
      </c>
      <c r="AI1826" s="175">
        <v>3</v>
      </c>
      <c r="AJ1826" s="175">
        <v>8</v>
      </c>
      <c r="AK1826" s="175">
        <v>13</v>
      </c>
      <c r="AL1826" s="175">
        <v>17</v>
      </c>
      <c r="AM1826" s="175">
        <v>12</v>
      </c>
      <c r="AN1826" s="175">
        <v>0</v>
      </c>
      <c r="AO1826" s="175">
        <v>53</v>
      </c>
      <c r="AP1826" s="175">
        <v>37</v>
      </c>
      <c r="AQ1826" s="175">
        <v>14</v>
      </c>
      <c r="AR1826" s="175">
        <v>4</v>
      </c>
      <c r="AS1826" s="175">
        <v>7</v>
      </c>
      <c r="AT1826" s="175">
        <v>7</v>
      </c>
    </row>
    <row r="1827" spans="1:46">
      <c r="A1827">
        <v>45041</v>
      </c>
      <c r="B1827" t="s">
        <v>10852</v>
      </c>
      <c r="C1827" t="s">
        <v>10853</v>
      </c>
      <c r="D1827" t="s">
        <v>10854</v>
      </c>
      <c r="E1827" t="s">
        <v>10855</v>
      </c>
      <c r="F1827" t="s">
        <v>1773</v>
      </c>
      <c r="G1827" t="s">
        <v>1604</v>
      </c>
      <c r="H1827" t="s">
        <v>449</v>
      </c>
      <c r="I1827" t="s">
        <v>4023</v>
      </c>
      <c r="J1827" t="s">
        <v>4032</v>
      </c>
      <c r="K1827" t="s">
        <v>606</v>
      </c>
      <c r="M1827" t="s">
        <v>1382</v>
      </c>
      <c r="N1827" t="s">
        <v>643</v>
      </c>
      <c r="O1827" t="s">
        <v>1605</v>
      </c>
      <c r="P1827" t="s">
        <v>670</v>
      </c>
      <c r="Q1827" t="s">
        <v>511</v>
      </c>
      <c r="R1827" t="s">
        <v>1555</v>
      </c>
      <c r="S1827" t="s">
        <v>1604</v>
      </c>
      <c r="T1827" t="s">
        <v>1557</v>
      </c>
      <c r="U1827">
        <v>198600</v>
      </c>
      <c r="V1827" t="s">
        <v>8674</v>
      </c>
      <c r="W1827" t="s">
        <v>1606</v>
      </c>
      <c r="X1827" t="s">
        <v>10856</v>
      </c>
      <c r="Y1827" t="s">
        <v>4725</v>
      </c>
      <c r="Z1827" t="s">
        <v>1043</v>
      </c>
      <c r="AA1827" t="s">
        <v>4726</v>
      </c>
      <c r="AB1827" t="s">
        <v>10853</v>
      </c>
      <c r="AC1827">
        <v>99107</v>
      </c>
      <c r="AD1827" t="s">
        <v>1609</v>
      </c>
      <c r="AE1827">
        <v>-38.127494769999998</v>
      </c>
      <c r="AF1827">
        <v>176.20259951</v>
      </c>
      <c r="AG1827" s="175">
        <v>50</v>
      </c>
      <c r="AH1827" s="175">
        <v>16</v>
      </c>
      <c r="AI1827" s="175">
        <v>0</v>
      </c>
      <c r="AJ1827" s="175">
        <v>11</v>
      </c>
      <c r="AK1827" s="175">
        <v>9</v>
      </c>
      <c r="AL1827" s="175">
        <v>18</v>
      </c>
      <c r="AM1827" s="175">
        <v>14</v>
      </c>
      <c r="AN1827" s="175">
        <v>0</v>
      </c>
      <c r="AO1827" s="175">
        <v>52</v>
      </c>
      <c r="AP1827" s="175">
        <v>39</v>
      </c>
      <c r="AQ1827" s="175">
        <v>22</v>
      </c>
      <c r="AR1827" s="175">
        <v>4</v>
      </c>
      <c r="AS1827" s="175">
        <v>4</v>
      </c>
      <c r="AT1827" s="175">
        <v>1</v>
      </c>
    </row>
    <row r="1828" spans="1:46">
      <c r="A1828">
        <v>45045</v>
      </c>
      <c r="B1828" t="s">
        <v>10857</v>
      </c>
      <c r="C1828" t="s">
        <v>10858</v>
      </c>
      <c r="E1828" t="s">
        <v>10859</v>
      </c>
      <c r="F1828" t="s">
        <v>3944</v>
      </c>
      <c r="G1828" t="s">
        <v>1681</v>
      </c>
      <c r="H1828" t="s">
        <v>449</v>
      </c>
      <c r="J1828" t="s">
        <v>605</v>
      </c>
      <c r="K1828" t="s">
        <v>606</v>
      </c>
      <c r="M1828" t="s">
        <v>1382</v>
      </c>
      <c r="N1828" t="s">
        <v>657</v>
      </c>
      <c r="O1828" t="s">
        <v>1780</v>
      </c>
      <c r="P1828" t="s">
        <v>739</v>
      </c>
      <c r="Q1828" t="s">
        <v>511</v>
      </c>
      <c r="R1828" t="s">
        <v>1555</v>
      </c>
      <c r="S1828" t="s">
        <v>1781</v>
      </c>
      <c r="T1828" t="s">
        <v>1557</v>
      </c>
      <c r="U1828">
        <v>196301</v>
      </c>
      <c r="V1828" t="s">
        <v>10860</v>
      </c>
      <c r="W1828" t="s">
        <v>1813</v>
      </c>
      <c r="X1828" t="s">
        <v>8441</v>
      </c>
      <c r="Y1828" t="s">
        <v>4014</v>
      </c>
      <c r="Z1828" t="s">
        <v>4015</v>
      </c>
      <c r="AA1828" t="s">
        <v>4016</v>
      </c>
      <c r="AB1828" t="s">
        <v>8442</v>
      </c>
      <c r="AC1828">
        <v>99085</v>
      </c>
      <c r="AD1828" t="s">
        <v>1800</v>
      </c>
      <c r="AE1828">
        <v>-37.725707679999999</v>
      </c>
      <c r="AF1828">
        <v>176.18312097</v>
      </c>
      <c r="AG1828" s="175">
        <v>50</v>
      </c>
      <c r="AH1828" s="175">
        <v>14</v>
      </c>
      <c r="AI1828" s="175">
        <v>1</v>
      </c>
      <c r="AJ1828" s="175">
        <v>15</v>
      </c>
      <c r="AK1828" s="175">
        <v>15</v>
      </c>
      <c r="AL1828" s="175">
        <v>13</v>
      </c>
      <c r="AM1828" s="175">
        <v>15</v>
      </c>
      <c r="AN1828" s="175">
        <v>2</v>
      </c>
      <c r="AO1828" s="175">
        <v>61</v>
      </c>
      <c r="AP1828" s="175">
        <v>40</v>
      </c>
      <c r="AQ1828" s="175">
        <v>7</v>
      </c>
      <c r="AR1828" s="175">
        <v>0</v>
      </c>
      <c r="AS1828" s="175">
        <v>15</v>
      </c>
      <c r="AT1828" s="175">
        <v>4</v>
      </c>
    </row>
    <row r="1829" spans="1:46">
      <c r="A1829">
        <v>45051</v>
      </c>
      <c r="B1829" t="s">
        <v>10861</v>
      </c>
      <c r="C1829" t="s">
        <v>10862</v>
      </c>
      <c r="E1829" t="s">
        <v>10863</v>
      </c>
      <c r="F1829" t="s">
        <v>3267</v>
      </c>
      <c r="G1829" t="s">
        <v>3015</v>
      </c>
      <c r="H1829" t="s">
        <v>449</v>
      </c>
      <c r="J1829" t="s">
        <v>605</v>
      </c>
      <c r="K1829" t="s">
        <v>606</v>
      </c>
      <c r="M1829" t="s">
        <v>2366</v>
      </c>
      <c r="N1829" t="s">
        <v>657</v>
      </c>
      <c r="O1829" t="s">
        <v>3016</v>
      </c>
      <c r="P1829" t="s">
        <v>739</v>
      </c>
      <c r="Q1829" t="s">
        <v>521</v>
      </c>
      <c r="R1829" t="s">
        <v>3017</v>
      </c>
      <c r="S1829" t="s">
        <v>3052</v>
      </c>
      <c r="T1829" t="s">
        <v>2526</v>
      </c>
      <c r="U1829">
        <v>326301</v>
      </c>
      <c r="V1829" t="s">
        <v>3268</v>
      </c>
      <c r="W1829" t="s">
        <v>3269</v>
      </c>
      <c r="X1829" t="s">
        <v>10864</v>
      </c>
      <c r="Y1829" t="s">
        <v>4014</v>
      </c>
      <c r="Z1829" t="s">
        <v>4015</v>
      </c>
      <c r="AA1829" t="s">
        <v>4016</v>
      </c>
      <c r="AE1829">
        <v>-43.575361219999998</v>
      </c>
      <c r="AF1829">
        <v>172.56855952999999</v>
      </c>
      <c r="AG1829" s="175">
        <v>75</v>
      </c>
      <c r="AH1829" s="175">
        <v>25</v>
      </c>
      <c r="AI1829" s="175">
        <v>4</v>
      </c>
      <c r="AJ1829" s="175">
        <v>16</v>
      </c>
      <c r="AK1829" s="175">
        <v>17</v>
      </c>
      <c r="AL1829" s="175">
        <v>20</v>
      </c>
      <c r="AM1829" s="175">
        <v>16</v>
      </c>
      <c r="AN1829" s="175">
        <v>0</v>
      </c>
      <c r="AO1829" s="175">
        <v>73</v>
      </c>
      <c r="AP1829" s="175">
        <v>51</v>
      </c>
      <c r="AQ1829" s="175">
        <v>4</v>
      </c>
      <c r="AR1829" s="175">
        <v>2</v>
      </c>
      <c r="AS1829" s="175">
        <v>22</v>
      </c>
      <c r="AT1829" s="175">
        <v>9</v>
      </c>
    </row>
    <row r="1830" spans="1:46">
      <c r="A1830">
        <v>45054</v>
      </c>
      <c r="B1830" t="s">
        <v>10865</v>
      </c>
      <c r="C1830" t="s">
        <v>10866</v>
      </c>
      <c r="D1830" t="s">
        <v>10867</v>
      </c>
      <c r="E1830" t="s">
        <v>10868</v>
      </c>
      <c r="F1830" t="s">
        <v>3057</v>
      </c>
      <c r="G1830" t="s">
        <v>3015</v>
      </c>
      <c r="H1830" t="s">
        <v>449</v>
      </c>
      <c r="J1830" t="s">
        <v>4032</v>
      </c>
      <c r="K1830" t="s">
        <v>606</v>
      </c>
      <c r="M1830" t="s">
        <v>2366</v>
      </c>
      <c r="N1830" t="s">
        <v>657</v>
      </c>
      <c r="O1830" t="s">
        <v>3016</v>
      </c>
      <c r="P1830" t="s">
        <v>739</v>
      </c>
      <c r="Q1830" t="s">
        <v>521</v>
      </c>
      <c r="R1830" t="s">
        <v>3017</v>
      </c>
      <c r="S1830" t="s">
        <v>3018</v>
      </c>
      <c r="T1830" t="s">
        <v>2526</v>
      </c>
      <c r="U1830">
        <v>317800</v>
      </c>
      <c r="V1830" t="s">
        <v>3058</v>
      </c>
      <c r="W1830" t="s">
        <v>3059</v>
      </c>
      <c r="X1830" t="s">
        <v>10869</v>
      </c>
      <c r="Y1830" t="s">
        <v>4166</v>
      </c>
      <c r="Z1830" t="s">
        <v>4167</v>
      </c>
      <c r="AA1830" t="s">
        <v>4168</v>
      </c>
      <c r="AB1830" t="s">
        <v>10870</v>
      </c>
      <c r="AC1830">
        <v>99039</v>
      </c>
      <c r="AD1830" t="s">
        <v>3060</v>
      </c>
      <c r="AE1830">
        <v>-43.478531859999997</v>
      </c>
      <c r="AF1830">
        <v>172.58508947000001</v>
      </c>
      <c r="AG1830" s="175">
        <v>80</v>
      </c>
      <c r="AH1830" s="175">
        <v>25</v>
      </c>
      <c r="AI1830" s="175">
        <v>3</v>
      </c>
      <c r="AJ1830" s="175">
        <v>16</v>
      </c>
      <c r="AK1830" s="175">
        <v>24</v>
      </c>
      <c r="AL1830" s="175">
        <v>26</v>
      </c>
      <c r="AM1830" s="175">
        <v>24</v>
      </c>
      <c r="AN1830" s="175">
        <v>0</v>
      </c>
      <c r="AO1830" s="175">
        <v>93</v>
      </c>
      <c r="AP1830" s="175">
        <v>67</v>
      </c>
      <c r="AQ1830" s="175">
        <v>15</v>
      </c>
      <c r="AR1830" s="175">
        <v>11</v>
      </c>
      <c r="AS1830" s="175">
        <v>20</v>
      </c>
      <c r="AT1830" s="175">
        <v>3</v>
      </c>
    </row>
    <row r="1831" spans="1:46">
      <c r="A1831">
        <v>45055</v>
      </c>
      <c r="B1831" t="s">
        <v>10871</v>
      </c>
      <c r="C1831" t="s">
        <v>10872</v>
      </c>
      <c r="D1831" t="s">
        <v>10873</v>
      </c>
      <c r="E1831" t="s">
        <v>10874</v>
      </c>
      <c r="F1831" t="s">
        <v>10875</v>
      </c>
      <c r="G1831" t="s">
        <v>3015</v>
      </c>
      <c r="H1831" t="s">
        <v>449</v>
      </c>
      <c r="J1831" t="s">
        <v>605</v>
      </c>
      <c r="K1831" t="s">
        <v>606</v>
      </c>
      <c r="M1831" t="s">
        <v>2366</v>
      </c>
      <c r="N1831" t="s">
        <v>657</v>
      </c>
      <c r="O1831" t="s">
        <v>3016</v>
      </c>
      <c r="P1831" t="s">
        <v>739</v>
      </c>
      <c r="Q1831" t="s">
        <v>521</v>
      </c>
      <c r="R1831" t="s">
        <v>3017</v>
      </c>
      <c r="S1831" t="s">
        <v>3052</v>
      </c>
      <c r="T1831" t="s">
        <v>2526</v>
      </c>
      <c r="U1831">
        <v>330800</v>
      </c>
      <c r="V1831" t="s">
        <v>10875</v>
      </c>
      <c r="W1831" t="s">
        <v>3031</v>
      </c>
      <c r="X1831" t="s">
        <v>10876</v>
      </c>
      <c r="Y1831" t="s">
        <v>10874</v>
      </c>
      <c r="AA1831" t="s">
        <v>10877</v>
      </c>
      <c r="AE1831">
        <v>-43.556723669999997</v>
      </c>
      <c r="AF1831">
        <v>172.65338617</v>
      </c>
      <c r="AG1831" s="175">
        <v>50</v>
      </c>
      <c r="AH1831" s="175">
        <v>0</v>
      </c>
      <c r="AI1831" s="175">
        <v>0</v>
      </c>
      <c r="AJ1831" s="175">
        <v>0</v>
      </c>
      <c r="AK1831" s="175">
        <v>13</v>
      </c>
      <c r="AL1831" s="175">
        <v>20</v>
      </c>
      <c r="AM1831" s="175">
        <v>28</v>
      </c>
      <c r="AN1831" s="175">
        <v>1</v>
      </c>
      <c r="AO1831" s="175">
        <v>62</v>
      </c>
      <c r="AP1831" s="175">
        <v>43</v>
      </c>
      <c r="AQ1831" s="175">
        <v>8</v>
      </c>
      <c r="AR1831" s="175">
        <v>9</v>
      </c>
      <c r="AS1831" s="175">
        <v>9</v>
      </c>
      <c r="AT1831" s="175">
        <v>6</v>
      </c>
    </row>
    <row r="1832" spans="1:46">
      <c r="A1832">
        <v>45057</v>
      </c>
      <c r="B1832" t="s">
        <v>10878</v>
      </c>
      <c r="C1832" t="s">
        <v>10879</v>
      </c>
      <c r="E1832" t="s">
        <v>10880</v>
      </c>
      <c r="G1832" t="s">
        <v>2410</v>
      </c>
      <c r="H1832" t="s">
        <v>449</v>
      </c>
      <c r="J1832" t="s">
        <v>4032</v>
      </c>
      <c r="K1832" t="s">
        <v>606</v>
      </c>
      <c r="M1832" t="s">
        <v>2366</v>
      </c>
      <c r="N1832" t="s">
        <v>657</v>
      </c>
      <c r="O1832" t="s">
        <v>2411</v>
      </c>
      <c r="P1832" t="s">
        <v>610</v>
      </c>
      <c r="Q1832" t="s">
        <v>516</v>
      </c>
      <c r="R1832" t="s">
        <v>2368</v>
      </c>
      <c r="S1832" t="s">
        <v>2348</v>
      </c>
      <c r="T1832" t="s">
        <v>2165</v>
      </c>
      <c r="U1832">
        <v>257500</v>
      </c>
      <c r="V1832" t="s">
        <v>2410</v>
      </c>
      <c r="W1832" t="s">
        <v>2412</v>
      </c>
      <c r="X1832" t="s">
        <v>10881</v>
      </c>
      <c r="Y1832" t="s">
        <v>10880</v>
      </c>
      <c r="AA1832" t="s">
        <v>10882</v>
      </c>
      <c r="AB1832" t="s">
        <v>10883</v>
      </c>
      <c r="AC1832">
        <v>99109</v>
      </c>
      <c r="AD1832" t="s">
        <v>2413</v>
      </c>
      <c r="AE1832">
        <v>-41.116369900000002</v>
      </c>
      <c r="AF1832">
        <v>175.32989597</v>
      </c>
      <c r="AG1832" s="175">
        <v>23</v>
      </c>
      <c r="AH1832" s="175">
        <v>8</v>
      </c>
      <c r="AI1832" s="175">
        <v>3</v>
      </c>
      <c r="AJ1832" s="175">
        <v>6</v>
      </c>
      <c r="AK1832" s="175">
        <v>8</v>
      </c>
      <c r="AL1832" s="175">
        <v>6</v>
      </c>
      <c r="AM1832" s="175">
        <v>9</v>
      </c>
      <c r="AN1832" s="175">
        <v>0</v>
      </c>
      <c r="AO1832" s="175">
        <v>32</v>
      </c>
      <c r="AP1832" s="175">
        <v>31</v>
      </c>
      <c r="AQ1832" s="175">
        <v>6</v>
      </c>
      <c r="AR1832" s="175">
        <v>2</v>
      </c>
      <c r="AS1832" s="175">
        <v>2</v>
      </c>
      <c r="AT1832" s="175">
        <v>0</v>
      </c>
    </row>
    <row r="1833" spans="1:46">
      <c r="A1833">
        <v>45059</v>
      </c>
      <c r="B1833" t="s">
        <v>10884</v>
      </c>
      <c r="C1833" t="s">
        <v>10885</v>
      </c>
      <c r="D1833" t="s">
        <v>10886</v>
      </c>
      <c r="E1833" t="s">
        <v>10887</v>
      </c>
      <c r="F1833" t="s">
        <v>2606</v>
      </c>
      <c r="G1833" t="s">
        <v>2604</v>
      </c>
      <c r="H1833" t="s">
        <v>449</v>
      </c>
      <c r="J1833" t="s">
        <v>4032</v>
      </c>
      <c r="K1833" t="s">
        <v>606</v>
      </c>
      <c r="M1833" t="s">
        <v>2366</v>
      </c>
      <c r="N1833" t="s">
        <v>657</v>
      </c>
      <c r="O1833" t="s">
        <v>2605</v>
      </c>
      <c r="P1833" t="s">
        <v>670</v>
      </c>
      <c r="Q1833" t="s">
        <v>516</v>
      </c>
      <c r="R1833" t="s">
        <v>2368</v>
      </c>
      <c r="S1833" t="s">
        <v>2606</v>
      </c>
      <c r="T1833" t="s">
        <v>1568</v>
      </c>
      <c r="U1833">
        <v>239801</v>
      </c>
      <c r="V1833" t="s">
        <v>2798</v>
      </c>
      <c r="W1833" t="s">
        <v>2657</v>
      </c>
      <c r="X1833" t="s">
        <v>10888</v>
      </c>
      <c r="Y1833" t="s">
        <v>4725</v>
      </c>
      <c r="Z1833" t="s">
        <v>1043</v>
      </c>
      <c r="AA1833" t="s">
        <v>4726</v>
      </c>
      <c r="AC1833">
        <v>99068</v>
      </c>
      <c r="AD1833" t="s">
        <v>2608</v>
      </c>
      <c r="AE1833">
        <v>-41.101475999999998</v>
      </c>
      <c r="AF1833">
        <v>174.86918661000001</v>
      </c>
      <c r="AG1833" s="175">
        <v>77</v>
      </c>
      <c r="AH1833" s="175">
        <v>25</v>
      </c>
      <c r="AI1833" s="175">
        <v>6</v>
      </c>
      <c r="AJ1833" s="175">
        <v>20</v>
      </c>
      <c r="AK1833" s="175">
        <v>18</v>
      </c>
      <c r="AL1833" s="175">
        <v>13</v>
      </c>
      <c r="AM1833" s="175">
        <v>10</v>
      </c>
      <c r="AN1833" s="175">
        <v>0</v>
      </c>
      <c r="AO1833" s="175">
        <v>67</v>
      </c>
      <c r="AP1833" s="175">
        <v>57</v>
      </c>
      <c r="AQ1833" s="175">
        <v>9</v>
      </c>
      <c r="AR1833" s="175">
        <v>6</v>
      </c>
      <c r="AS1833" s="175">
        <v>8</v>
      </c>
      <c r="AT1833" s="175">
        <v>6</v>
      </c>
    </row>
    <row r="1834" spans="1:46">
      <c r="A1834">
        <v>45065</v>
      </c>
      <c r="B1834" t="s">
        <v>10889</v>
      </c>
      <c r="C1834" t="s">
        <v>10890</v>
      </c>
      <c r="D1834" t="s">
        <v>10891</v>
      </c>
      <c r="E1834" t="s">
        <v>10892</v>
      </c>
      <c r="G1834" t="s">
        <v>4526</v>
      </c>
      <c r="H1834" t="s">
        <v>449</v>
      </c>
      <c r="I1834" t="s">
        <v>4134</v>
      </c>
      <c r="J1834" t="s">
        <v>4032</v>
      </c>
      <c r="K1834" t="s">
        <v>606</v>
      </c>
      <c r="M1834" t="s">
        <v>607</v>
      </c>
      <c r="N1834" t="s">
        <v>657</v>
      </c>
      <c r="O1834" t="s">
        <v>738</v>
      </c>
      <c r="P1834" t="s">
        <v>670</v>
      </c>
      <c r="Q1834" t="s">
        <v>467</v>
      </c>
      <c r="R1834" t="s">
        <v>724</v>
      </c>
      <c r="S1834" t="s">
        <v>753</v>
      </c>
      <c r="T1834" t="s">
        <v>613</v>
      </c>
      <c r="U1834">
        <v>114600</v>
      </c>
      <c r="V1834" t="s">
        <v>785</v>
      </c>
      <c r="W1834" t="s">
        <v>742</v>
      </c>
      <c r="X1834" t="s">
        <v>10893</v>
      </c>
      <c r="Y1834" t="s">
        <v>10892</v>
      </c>
      <c r="Z1834" t="s">
        <v>784</v>
      </c>
      <c r="AA1834" t="s">
        <v>7948</v>
      </c>
      <c r="AB1834" t="s">
        <v>10894</v>
      </c>
      <c r="AC1834">
        <v>99095</v>
      </c>
      <c r="AD1834" t="s">
        <v>786</v>
      </c>
      <c r="AE1834">
        <v>-36.625901839999997</v>
      </c>
      <c r="AF1834">
        <v>174.72857583000001</v>
      </c>
      <c r="AG1834" s="175">
        <v>30</v>
      </c>
      <c r="AH1834" s="175">
        <v>0</v>
      </c>
      <c r="AI1834" s="175">
        <v>0</v>
      </c>
      <c r="AJ1834" s="175">
        <v>0</v>
      </c>
      <c r="AK1834" s="175">
        <v>8</v>
      </c>
      <c r="AL1834" s="175">
        <v>9</v>
      </c>
      <c r="AM1834" s="175">
        <v>12</v>
      </c>
      <c r="AN1834" s="175">
        <v>3</v>
      </c>
      <c r="AO1834" s="175">
        <v>32</v>
      </c>
      <c r="AP1834" s="175">
        <v>30</v>
      </c>
      <c r="AQ1834" s="175">
        <v>4</v>
      </c>
      <c r="AR1834" s="175">
        <v>5</v>
      </c>
      <c r="AS1834" s="175">
        <v>4</v>
      </c>
      <c r="AT1834" s="175">
        <v>2</v>
      </c>
    </row>
    <row r="1835" spans="1:46">
      <c r="A1835">
        <v>45068</v>
      </c>
      <c r="B1835" t="s">
        <v>10895</v>
      </c>
      <c r="C1835" t="s">
        <v>10896</v>
      </c>
      <c r="D1835" t="s">
        <v>10897</v>
      </c>
      <c r="E1835" t="s">
        <v>10898</v>
      </c>
      <c r="F1835" t="s">
        <v>8574</v>
      </c>
      <c r="G1835" t="s">
        <v>1381</v>
      </c>
      <c r="H1835" t="s">
        <v>449</v>
      </c>
      <c r="J1835" t="s">
        <v>4032</v>
      </c>
      <c r="K1835" t="s">
        <v>606</v>
      </c>
      <c r="M1835" t="s">
        <v>1382</v>
      </c>
      <c r="N1835" t="s">
        <v>657</v>
      </c>
      <c r="O1835" t="s">
        <v>1383</v>
      </c>
      <c r="P1835" t="s">
        <v>739</v>
      </c>
      <c r="Q1835" t="s">
        <v>510</v>
      </c>
      <c r="R1835" t="s">
        <v>1384</v>
      </c>
      <c r="S1835" t="s">
        <v>1396</v>
      </c>
      <c r="T1835" t="s">
        <v>1320</v>
      </c>
      <c r="U1835">
        <v>176700</v>
      </c>
      <c r="V1835" t="s">
        <v>10899</v>
      </c>
      <c r="W1835" t="s">
        <v>1398</v>
      </c>
      <c r="X1835" t="s">
        <v>10900</v>
      </c>
      <c r="Y1835" t="s">
        <v>4166</v>
      </c>
      <c r="Z1835" t="s">
        <v>4167</v>
      </c>
      <c r="AA1835" t="s">
        <v>4168</v>
      </c>
      <c r="AC1835">
        <v>99132</v>
      </c>
      <c r="AD1835" t="s">
        <v>8577</v>
      </c>
      <c r="AE1835">
        <v>-37.731003970000003</v>
      </c>
      <c r="AF1835">
        <v>175.2761592</v>
      </c>
      <c r="AG1835" s="175">
        <v>100</v>
      </c>
      <c r="AH1835" s="175">
        <v>25</v>
      </c>
      <c r="AI1835" s="175">
        <v>0</v>
      </c>
      <c r="AJ1835" s="175">
        <v>9</v>
      </c>
      <c r="AK1835" s="175">
        <v>28</v>
      </c>
      <c r="AL1835" s="175">
        <v>28</v>
      </c>
      <c r="AM1835" s="175">
        <v>30</v>
      </c>
      <c r="AN1835" s="175">
        <v>1</v>
      </c>
      <c r="AO1835" s="175">
        <v>96</v>
      </c>
      <c r="AP1835" s="175">
        <v>49</v>
      </c>
      <c r="AQ1835" s="175">
        <v>9</v>
      </c>
      <c r="AR1835" s="175">
        <v>1</v>
      </c>
      <c r="AS1835" s="175">
        <v>44</v>
      </c>
      <c r="AT1835" s="175">
        <v>7</v>
      </c>
    </row>
    <row r="1836" spans="1:46">
      <c r="A1836">
        <v>45071</v>
      </c>
      <c r="B1836" t="s">
        <v>10901</v>
      </c>
      <c r="C1836" t="s">
        <v>8463</v>
      </c>
      <c r="D1836" t="s">
        <v>8464</v>
      </c>
      <c r="E1836" t="s">
        <v>8465</v>
      </c>
      <c r="F1836" t="s">
        <v>8466</v>
      </c>
      <c r="G1836" t="s">
        <v>1681</v>
      </c>
      <c r="H1836" t="s">
        <v>450</v>
      </c>
      <c r="J1836" t="s">
        <v>4032</v>
      </c>
      <c r="K1836" t="s">
        <v>606</v>
      </c>
      <c r="M1836" t="s">
        <v>1382</v>
      </c>
      <c r="N1836" t="s">
        <v>657</v>
      </c>
      <c r="O1836" t="s">
        <v>1780</v>
      </c>
      <c r="P1836" t="s">
        <v>739</v>
      </c>
      <c r="Q1836" t="s">
        <v>511</v>
      </c>
      <c r="R1836" t="s">
        <v>1555</v>
      </c>
      <c r="S1836" t="s">
        <v>1681</v>
      </c>
      <c r="T1836" t="s">
        <v>1557</v>
      </c>
      <c r="U1836">
        <v>193800</v>
      </c>
      <c r="V1836" t="s">
        <v>8466</v>
      </c>
      <c r="W1836" t="s">
        <v>3795</v>
      </c>
      <c r="X1836" t="s">
        <v>10714</v>
      </c>
      <c r="Y1836" t="s">
        <v>8465</v>
      </c>
      <c r="AA1836" t="s">
        <v>8468</v>
      </c>
      <c r="AB1836" t="s">
        <v>8533</v>
      </c>
      <c r="AE1836">
        <v>-37.684282690000003</v>
      </c>
      <c r="AF1836">
        <v>176.16808767000001</v>
      </c>
      <c r="AG1836" s="175">
        <v>50</v>
      </c>
      <c r="AH1836" s="175">
        <v>50</v>
      </c>
      <c r="AI1836" s="175">
        <v>1</v>
      </c>
      <c r="AJ1836" s="175">
        <v>5</v>
      </c>
      <c r="AK1836" s="175">
        <v>6</v>
      </c>
      <c r="AL1836" s="175">
        <v>6</v>
      </c>
      <c r="AM1836" s="175">
        <v>8</v>
      </c>
      <c r="AN1836" s="175">
        <v>1</v>
      </c>
      <c r="AO1836" s="175">
        <v>27</v>
      </c>
      <c r="AP1836" s="175">
        <v>19</v>
      </c>
      <c r="AQ1836" s="175">
        <v>9</v>
      </c>
      <c r="AR1836" s="175">
        <v>2</v>
      </c>
      <c r="AS1836" s="175">
        <v>1</v>
      </c>
      <c r="AT1836" s="175">
        <v>3</v>
      </c>
    </row>
    <row r="1837" spans="1:46">
      <c r="A1837">
        <v>45075</v>
      </c>
      <c r="B1837" t="s">
        <v>10902</v>
      </c>
      <c r="C1837" t="s">
        <v>10903</v>
      </c>
      <c r="D1837" t="s">
        <v>10904</v>
      </c>
      <c r="E1837" t="s">
        <v>10905</v>
      </c>
      <c r="G1837" t="s">
        <v>8399</v>
      </c>
      <c r="H1837" t="s">
        <v>449</v>
      </c>
      <c r="J1837" t="s">
        <v>4032</v>
      </c>
      <c r="K1837" t="s">
        <v>606</v>
      </c>
      <c r="M1837" t="s">
        <v>1382</v>
      </c>
      <c r="N1837" t="s">
        <v>643</v>
      </c>
      <c r="O1837" t="s">
        <v>1567</v>
      </c>
      <c r="P1837" t="s">
        <v>626</v>
      </c>
      <c r="Q1837" t="s">
        <v>510</v>
      </c>
      <c r="R1837" t="s">
        <v>1384</v>
      </c>
      <c r="S1837" t="s">
        <v>1404</v>
      </c>
      <c r="T1837" t="s">
        <v>1568</v>
      </c>
      <c r="U1837">
        <v>185800</v>
      </c>
      <c r="V1837" t="s">
        <v>8400</v>
      </c>
      <c r="W1837" t="s">
        <v>8401</v>
      </c>
      <c r="X1837" t="s">
        <v>10906</v>
      </c>
      <c r="Y1837" t="s">
        <v>10907</v>
      </c>
      <c r="AA1837" t="s">
        <v>10908</v>
      </c>
      <c r="AB1837" t="s">
        <v>10903</v>
      </c>
      <c r="AE1837">
        <v>-37.974256850000003</v>
      </c>
      <c r="AF1837">
        <v>175.75481049999999</v>
      </c>
      <c r="AG1837" s="175">
        <v>50</v>
      </c>
      <c r="AH1837" s="175">
        <v>15</v>
      </c>
      <c r="AI1837" s="175">
        <v>2</v>
      </c>
      <c r="AJ1837" s="175">
        <v>3</v>
      </c>
      <c r="AK1837" s="175">
        <v>8</v>
      </c>
      <c r="AL1837" s="175">
        <v>10</v>
      </c>
      <c r="AM1837" s="175">
        <v>20</v>
      </c>
      <c r="AN1837" s="175">
        <v>1</v>
      </c>
      <c r="AO1837" s="175">
        <v>44</v>
      </c>
      <c r="AP1837" s="175">
        <v>33</v>
      </c>
      <c r="AQ1837" s="175">
        <v>24</v>
      </c>
      <c r="AR1837" s="175">
        <v>1</v>
      </c>
      <c r="AS1837" s="175">
        <v>3</v>
      </c>
      <c r="AT1837" s="175">
        <v>1</v>
      </c>
    </row>
    <row r="1838" spans="1:46">
      <c r="A1838">
        <v>45079</v>
      </c>
      <c r="B1838" t="s">
        <v>10909</v>
      </c>
      <c r="C1838" t="s">
        <v>10910</v>
      </c>
      <c r="D1838" t="s">
        <v>10911</v>
      </c>
      <c r="E1838" t="s">
        <v>10912</v>
      </c>
      <c r="G1838" t="s">
        <v>3260</v>
      </c>
      <c r="H1838" t="s">
        <v>471</v>
      </c>
      <c r="I1838" t="s">
        <v>5017</v>
      </c>
      <c r="J1838" t="s">
        <v>4032</v>
      </c>
      <c r="K1838" t="s">
        <v>606</v>
      </c>
      <c r="M1838" t="s">
        <v>2366</v>
      </c>
      <c r="N1838" t="s">
        <v>608</v>
      </c>
      <c r="O1838" t="s">
        <v>3037</v>
      </c>
      <c r="P1838" t="s">
        <v>1347</v>
      </c>
      <c r="Q1838" t="s">
        <v>521</v>
      </c>
      <c r="R1838" t="s">
        <v>3017</v>
      </c>
      <c r="S1838" t="s">
        <v>3038</v>
      </c>
      <c r="T1838" t="s">
        <v>2526</v>
      </c>
      <c r="U1838">
        <v>315700</v>
      </c>
      <c r="V1838" t="s">
        <v>10913</v>
      </c>
      <c r="W1838" t="s">
        <v>3262</v>
      </c>
      <c r="X1838" t="s">
        <v>10914</v>
      </c>
      <c r="Y1838" t="s">
        <v>10915</v>
      </c>
      <c r="AA1838" t="s">
        <v>10916</v>
      </c>
      <c r="AC1838">
        <v>99061</v>
      </c>
      <c r="AD1838" t="s">
        <v>3263</v>
      </c>
      <c r="AE1838">
        <v>-43.380640399999997</v>
      </c>
      <c r="AF1838">
        <v>172.66126876999999</v>
      </c>
      <c r="AG1838" s="175">
        <v>35</v>
      </c>
      <c r="AH1838" s="175">
        <v>7</v>
      </c>
      <c r="AI1838" s="175">
        <v>2</v>
      </c>
      <c r="AJ1838" s="175">
        <v>5</v>
      </c>
      <c r="AK1838" s="175">
        <v>13</v>
      </c>
      <c r="AL1838" s="175">
        <v>10</v>
      </c>
      <c r="AM1838" s="175">
        <v>11</v>
      </c>
      <c r="AN1838" s="175">
        <v>0</v>
      </c>
      <c r="AO1838" s="175">
        <v>41</v>
      </c>
      <c r="AP1838" s="175">
        <v>11</v>
      </c>
      <c r="AQ1838" s="175">
        <v>32</v>
      </c>
      <c r="AR1838" s="175">
        <v>4</v>
      </c>
      <c r="AS1838" s="175">
        <v>2</v>
      </c>
      <c r="AT1838" s="175">
        <v>1</v>
      </c>
    </row>
    <row r="1839" spans="1:46">
      <c r="A1839">
        <v>45083</v>
      </c>
      <c r="B1839" t="s">
        <v>10917</v>
      </c>
      <c r="C1839" t="s">
        <v>10918</v>
      </c>
      <c r="D1839" t="s">
        <v>10919</v>
      </c>
      <c r="E1839" t="s">
        <v>10920</v>
      </c>
      <c r="F1839" t="s">
        <v>1268</v>
      </c>
      <c r="G1839" t="s">
        <v>737</v>
      </c>
      <c r="H1839" t="s">
        <v>449</v>
      </c>
      <c r="J1839" t="s">
        <v>605</v>
      </c>
      <c r="K1839" t="s">
        <v>606</v>
      </c>
      <c r="M1839" t="s">
        <v>607</v>
      </c>
      <c r="N1839" t="s">
        <v>657</v>
      </c>
      <c r="O1839" t="s">
        <v>898</v>
      </c>
      <c r="P1839" t="s">
        <v>739</v>
      </c>
      <c r="Q1839" t="s">
        <v>467</v>
      </c>
      <c r="R1839" t="s">
        <v>724</v>
      </c>
      <c r="S1839" t="s">
        <v>984</v>
      </c>
      <c r="T1839" t="s">
        <v>613</v>
      </c>
      <c r="U1839">
        <v>124500</v>
      </c>
      <c r="V1839" t="s">
        <v>1269</v>
      </c>
      <c r="W1839" t="s">
        <v>900</v>
      </c>
      <c r="X1839" t="s">
        <v>4013</v>
      </c>
      <c r="Y1839" t="s">
        <v>4014</v>
      </c>
      <c r="Z1839" t="s">
        <v>4015</v>
      </c>
      <c r="AA1839" t="s">
        <v>4016</v>
      </c>
      <c r="AB1839" t="s">
        <v>4017</v>
      </c>
      <c r="AE1839">
        <v>-36.839084020000001</v>
      </c>
      <c r="AF1839">
        <v>174.65154165999999</v>
      </c>
      <c r="AG1839" s="175">
        <v>63</v>
      </c>
      <c r="AH1839" s="175">
        <v>16</v>
      </c>
      <c r="AI1839" s="175">
        <v>3</v>
      </c>
      <c r="AJ1839" s="175">
        <v>10</v>
      </c>
      <c r="AK1839" s="175">
        <v>19</v>
      </c>
      <c r="AL1839" s="175">
        <v>19</v>
      </c>
      <c r="AM1839" s="175">
        <v>17</v>
      </c>
      <c r="AN1839" s="175">
        <v>0</v>
      </c>
      <c r="AO1839" s="175">
        <v>68</v>
      </c>
      <c r="AP1839" s="175">
        <v>40</v>
      </c>
      <c r="AQ1839" s="175">
        <v>17</v>
      </c>
      <c r="AR1839" s="175">
        <v>12</v>
      </c>
      <c r="AS1839" s="175">
        <v>23</v>
      </c>
      <c r="AT1839" s="175">
        <v>3</v>
      </c>
    </row>
    <row r="1840" spans="1:46">
      <c r="A1840">
        <v>45087</v>
      </c>
      <c r="B1840" t="s">
        <v>10921</v>
      </c>
      <c r="C1840" t="s">
        <v>10922</v>
      </c>
      <c r="D1840" t="s">
        <v>10923</v>
      </c>
      <c r="E1840" t="s">
        <v>10924</v>
      </c>
      <c r="F1840" t="s">
        <v>2184</v>
      </c>
      <c r="G1840" t="s">
        <v>2162</v>
      </c>
      <c r="H1840" t="s">
        <v>449</v>
      </c>
      <c r="I1840" t="s">
        <v>5017</v>
      </c>
      <c r="J1840" t="s">
        <v>605</v>
      </c>
      <c r="K1840" t="s">
        <v>606</v>
      </c>
      <c r="M1840" t="s">
        <v>1382</v>
      </c>
      <c r="N1840" t="s">
        <v>608</v>
      </c>
      <c r="O1840" t="s">
        <v>2163</v>
      </c>
      <c r="P1840" t="s">
        <v>670</v>
      </c>
      <c r="Q1840" t="s">
        <v>512</v>
      </c>
      <c r="R1840" t="s">
        <v>2164</v>
      </c>
      <c r="S1840" t="s">
        <v>1556</v>
      </c>
      <c r="T1840" t="s">
        <v>2165</v>
      </c>
      <c r="U1840">
        <v>207000</v>
      </c>
      <c r="V1840" t="s">
        <v>3918</v>
      </c>
      <c r="W1840" t="s">
        <v>2167</v>
      </c>
      <c r="X1840" t="s">
        <v>10925</v>
      </c>
      <c r="Y1840" t="s">
        <v>10926</v>
      </c>
      <c r="Z1840" t="s">
        <v>2184</v>
      </c>
      <c r="AA1840" t="s">
        <v>10927</v>
      </c>
      <c r="AB1840" t="s">
        <v>10928</v>
      </c>
      <c r="AE1840">
        <v>-38.67557059</v>
      </c>
      <c r="AF1840">
        <v>178.03701470999999</v>
      </c>
      <c r="AG1840" s="175">
        <v>37</v>
      </c>
      <c r="AH1840" s="175">
        <v>9</v>
      </c>
      <c r="AI1840" s="175">
        <v>1</v>
      </c>
      <c r="AJ1840" s="175">
        <v>6</v>
      </c>
      <c r="AK1840" s="175">
        <v>4</v>
      </c>
      <c r="AL1840" s="175">
        <v>6</v>
      </c>
      <c r="AM1840" s="175">
        <v>10</v>
      </c>
      <c r="AN1840" s="175">
        <v>1</v>
      </c>
      <c r="AO1840" s="175">
        <v>28</v>
      </c>
      <c r="AP1840" s="175">
        <v>12</v>
      </c>
      <c r="AQ1840" s="175">
        <v>27</v>
      </c>
      <c r="AR1840" s="175">
        <v>5</v>
      </c>
      <c r="AS1840" s="175">
        <v>0</v>
      </c>
      <c r="AT1840" s="175">
        <v>0</v>
      </c>
    </row>
    <row r="1841" spans="1:46">
      <c r="A1841">
        <v>45094</v>
      </c>
      <c r="B1841" t="s">
        <v>7427</v>
      </c>
      <c r="C1841" t="s">
        <v>10929</v>
      </c>
      <c r="D1841" t="s">
        <v>10930</v>
      </c>
      <c r="E1841" t="s">
        <v>10931</v>
      </c>
      <c r="G1841" t="s">
        <v>1553</v>
      </c>
      <c r="H1841" t="s">
        <v>449</v>
      </c>
      <c r="I1841" t="s">
        <v>4134</v>
      </c>
      <c r="J1841" t="s">
        <v>4032</v>
      </c>
      <c r="K1841" t="s">
        <v>606</v>
      </c>
      <c r="M1841" t="s">
        <v>1382</v>
      </c>
      <c r="N1841" t="s">
        <v>4586</v>
      </c>
      <c r="O1841" t="s">
        <v>1554</v>
      </c>
      <c r="P1841" t="s">
        <v>1347</v>
      </c>
      <c r="Q1841" t="s">
        <v>511</v>
      </c>
      <c r="R1841" t="s">
        <v>1555</v>
      </c>
      <c r="S1841" t="s">
        <v>1556</v>
      </c>
      <c r="T1841" t="s">
        <v>1557</v>
      </c>
      <c r="U1841">
        <v>202800</v>
      </c>
      <c r="V1841" t="s">
        <v>1614</v>
      </c>
      <c r="W1841" t="s">
        <v>1559</v>
      </c>
      <c r="X1841" t="s">
        <v>10932</v>
      </c>
      <c r="Y1841" t="s">
        <v>10931</v>
      </c>
      <c r="AA1841" t="s">
        <v>10556</v>
      </c>
      <c r="AB1841" t="s">
        <v>10929</v>
      </c>
      <c r="AE1841">
        <v>-37.960172</v>
      </c>
      <c r="AF1841">
        <v>176.97410639</v>
      </c>
      <c r="AG1841" s="175">
        <v>47</v>
      </c>
      <c r="AH1841" s="175">
        <v>18</v>
      </c>
      <c r="AI1841" s="175">
        <v>0</v>
      </c>
      <c r="AJ1841" s="175">
        <v>7</v>
      </c>
      <c r="AK1841" s="175">
        <v>12</v>
      </c>
      <c r="AL1841" s="175">
        <v>4</v>
      </c>
      <c r="AM1841" s="175">
        <v>11</v>
      </c>
      <c r="AN1841" s="175">
        <v>0</v>
      </c>
      <c r="AO1841" s="175">
        <v>34</v>
      </c>
      <c r="AP1841" s="175">
        <v>6</v>
      </c>
      <c r="AQ1841" s="175">
        <v>31</v>
      </c>
      <c r="AR1841" s="175">
        <v>1</v>
      </c>
      <c r="AS1841" s="175">
        <v>1</v>
      </c>
      <c r="AT1841" s="175">
        <v>0</v>
      </c>
    </row>
    <row r="1842" spans="1:46">
      <c r="A1842">
        <v>45105</v>
      </c>
      <c r="B1842" t="s">
        <v>10933</v>
      </c>
      <c r="C1842" t="s">
        <v>10934</v>
      </c>
      <c r="D1842" t="s">
        <v>10935</v>
      </c>
      <c r="E1842" t="s">
        <v>10936</v>
      </c>
      <c r="F1842" t="s">
        <v>906</v>
      </c>
      <c r="G1842" t="s">
        <v>737</v>
      </c>
      <c r="H1842" t="s">
        <v>449</v>
      </c>
      <c r="J1842" t="s">
        <v>4032</v>
      </c>
      <c r="K1842" t="s">
        <v>606</v>
      </c>
      <c r="M1842" t="s">
        <v>607</v>
      </c>
      <c r="N1842" t="s">
        <v>4586</v>
      </c>
      <c r="O1842" t="s">
        <v>889</v>
      </c>
      <c r="P1842" t="s">
        <v>739</v>
      </c>
      <c r="Q1842" t="s">
        <v>467</v>
      </c>
      <c r="R1842" t="s">
        <v>793</v>
      </c>
      <c r="S1842" t="s">
        <v>907</v>
      </c>
      <c r="T1842" t="s">
        <v>794</v>
      </c>
      <c r="U1842">
        <v>139400</v>
      </c>
      <c r="V1842" t="s">
        <v>4464</v>
      </c>
      <c r="W1842" t="s">
        <v>909</v>
      </c>
      <c r="X1842" t="s">
        <v>5302</v>
      </c>
      <c r="Y1842" t="s">
        <v>4756</v>
      </c>
      <c r="Z1842" t="s">
        <v>4757</v>
      </c>
      <c r="AA1842" t="s">
        <v>4758</v>
      </c>
      <c r="AB1842" t="s">
        <v>5303</v>
      </c>
      <c r="AE1842">
        <v>-36.87669863</v>
      </c>
      <c r="AF1842">
        <v>174.78259130000001</v>
      </c>
      <c r="AG1842" s="175">
        <v>120</v>
      </c>
      <c r="AH1842" s="175">
        <v>40</v>
      </c>
      <c r="AI1842" s="175">
        <v>7</v>
      </c>
      <c r="AJ1842" s="175">
        <v>17</v>
      </c>
      <c r="AK1842" s="175">
        <v>28</v>
      </c>
      <c r="AL1842" s="175">
        <v>36</v>
      </c>
      <c r="AM1842" s="175">
        <v>26</v>
      </c>
      <c r="AN1842" s="175">
        <v>1</v>
      </c>
      <c r="AO1842" s="175">
        <v>115</v>
      </c>
      <c r="AP1842" s="175">
        <v>65</v>
      </c>
      <c r="AQ1842" s="175">
        <v>4</v>
      </c>
      <c r="AR1842" s="175">
        <v>1</v>
      </c>
      <c r="AS1842" s="175">
        <v>60</v>
      </c>
      <c r="AT1842" s="175">
        <v>2</v>
      </c>
    </row>
    <row r="1843" spans="1:46">
      <c r="A1843">
        <v>45110</v>
      </c>
      <c r="B1843" t="s">
        <v>10937</v>
      </c>
      <c r="C1843" t="s">
        <v>10938</v>
      </c>
      <c r="D1843" t="s">
        <v>10939</v>
      </c>
      <c r="E1843" t="s">
        <v>10940</v>
      </c>
      <c r="G1843" t="s">
        <v>4133</v>
      </c>
      <c r="H1843" t="s">
        <v>449</v>
      </c>
      <c r="J1843" t="s">
        <v>4032</v>
      </c>
      <c r="K1843" t="s">
        <v>606</v>
      </c>
      <c r="M1843" t="s">
        <v>607</v>
      </c>
      <c r="N1843" t="s">
        <v>657</v>
      </c>
      <c r="O1843" t="s">
        <v>1318</v>
      </c>
      <c r="P1843" t="s">
        <v>739</v>
      </c>
      <c r="Q1843" t="s">
        <v>467</v>
      </c>
      <c r="R1843" t="s">
        <v>814</v>
      </c>
      <c r="S1843" t="s">
        <v>1319</v>
      </c>
      <c r="T1843" t="s">
        <v>1320</v>
      </c>
      <c r="U1843">
        <v>164302</v>
      </c>
      <c r="V1843" t="s">
        <v>4135</v>
      </c>
      <c r="W1843" t="s">
        <v>1322</v>
      </c>
      <c r="X1843" t="s">
        <v>10941</v>
      </c>
      <c r="Y1843" t="s">
        <v>10942</v>
      </c>
      <c r="AA1843" t="s">
        <v>10943</v>
      </c>
      <c r="AC1843">
        <v>99152</v>
      </c>
      <c r="AD1843" t="s">
        <v>1355</v>
      </c>
      <c r="AE1843">
        <v>-37.110270939999999</v>
      </c>
      <c r="AF1843">
        <v>174.9454073</v>
      </c>
      <c r="AG1843" s="175">
        <v>46</v>
      </c>
      <c r="AH1843" s="175">
        <v>24</v>
      </c>
      <c r="AI1843" s="175">
        <v>0</v>
      </c>
      <c r="AJ1843" s="175">
        <v>2</v>
      </c>
      <c r="AK1843" s="175">
        <v>5</v>
      </c>
      <c r="AL1843" s="175">
        <v>4</v>
      </c>
      <c r="AM1843" s="175">
        <v>9</v>
      </c>
      <c r="AN1843" s="175">
        <v>0</v>
      </c>
      <c r="AO1843" s="175">
        <v>20</v>
      </c>
      <c r="AP1843" s="175">
        <v>18</v>
      </c>
      <c r="AQ1843" s="175">
        <v>4</v>
      </c>
      <c r="AR1843" s="175">
        <v>2</v>
      </c>
      <c r="AS1843" s="175">
        <v>4</v>
      </c>
      <c r="AT1843" s="175">
        <v>0</v>
      </c>
    </row>
    <row r="1844" spans="1:46">
      <c r="A1844">
        <v>45113</v>
      </c>
      <c r="B1844" t="s">
        <v>10944</v>
      </c>
      <c r="C1844" t="s">
        <v>10945</v>
      </c>
      <c r="D1844" t="s">
        <v>10946</v>
      </c>
      <c r="E1844" t="s">
        <v>10947</v>
      </c>
      <c r="G1844" t="s">
        <v>10948</v>
      </c>
      <c r="H1844" t="s">
        <v>449</v>
      </c>
      <c r="J1844" t="s">
        <v>605</v>
      </c>
      <c r="K1844" t="s">
        <v>606</v>
      </c>
      <c r="M1844" t="s">
        <v>2366</v>
      </c>
      <c r="N1844" t="s">
        <v>657</v>
      </c>
      <c r="O1844" t="s">
        <v>3291</v>
      </c>
      <c r="P1844" t="s">
        <v>658</v>
      </c>
      <c r="Q1844" t="s">
        <v>521</v>
      </c>
      <c r="R1844" t="s">
        <v>3017</v>
      </c>
      <c r="S1844" t="s">
        <v>3292</v>
      </c>
      <c r="T1844" t="s">
        <v>2526</v>
      </c>
      <c r="U1844">
        <v>337200</v>
      </c>
      <c r="V1844" t="s">
        <v>10949</v>
      </c>
      <c r="W1844" t="s">
        <v>2533</v>
      </c>
      <c r="X1844" t="s">
        <v>10950</v>
      </c>
      <c r="Y1844" t="s">
        <v>10951</v>
      </c>
      <c r="Z1844" t="s">
        <v>10948</v>
      </c>
      <c r="AA1844" t="s">
        <v>10952</v>
      </c>
      <c r="AC1844">
        <v>99009</v>
      </c>
      <c r="AD1844" t="s">
        <v>10953</v>
      </c>
      <c r="AE1844">
        <v>-43.865318090000002</v>
      </c>
      <c r="AF1844">
        <v>172.11694521999999</v>
      </c>
      <c r="AG1844" s="175">
        <v>36</v>
      </c>
      <c r="AH1844" s="175">
        <v>10</v>
      </c>
      <c r="AI1844" s="175">
        <v>3</v>
      </c>
      <c r="AJ1844" s="175">
        <v>5</v>
      </c>
      <c r="AK1844" s="175">
        <v>5</v>
      </c>
      <c r="AL1844" s="175">
        <v>9</v>
      </c>
      <c r="AM1844" s="175">
        <v>7</v>
      </c>
      <c r="AN1844" s="175">
        <v>0</v>
      </c>
      <c r="AO1844" s="175">
        <v>29</v>
      </c>
      <c r="AP1844" s="175">
        <v>20</v>
      </c>
      <c r="AQ1844" s="175">
        <v>0</v>
      </c>
      <c r="AR1844" s="175">
        <v>0</v>
      </c>
      <c r="AS1844" s="175">
        <v>8</v>
      </c>
      <c r="AT1844" s="175">
        <v>8</v>
      </c>
    </row>
    <row r="1845" spans="1:46">
      <c r="A1845">
        <v>45117</v>
      </c>
      <c r="B1845" t="s">
        <v>10954</v>
      </c>
      <c r="C1845" t="s">
        <v>10955</v>
      </c>
      <c r="E1845" t="s">
        <v>10956</v>
      </c>
      <c r="F1845" t="s">
        <v>8574</v>
      </c>
      <c r="G1845" t="s">
        <v>1381</v>
      </c>
      <c r="H1845" t="s">
        <v>449</v>
      </c>
      <c r="I1845" t="s">
        <v>4298</v>
      </c>
      <c r="J1845" t="s">
        <v>605</v>
      </c>
      <c r="K1845" t="s">
        <v>606</v>
      </c>
      <c r="M1845" t="s">
        <v>1382</v>
      </c>
      <c r="N1845" t="s">
        <v>657</v>
      </c>
      <c r="O1845" t="s">
        <v>1383</v>
      </c>
      <c r="P1845" t="s">
        <v>739</v>
      </c>
      <c r="Q1845" t="s">
        <v>510</v>
      </c>
      <c r="R1845" t="s">
        <v>1384</v>
      </c>
      <c r="S1845" t="s">
        <v>1396</v>
      </c>
      <c r="T1845" t="s">
        <v>1320</v>
      </c>
      <c r="U1845">
        <v>176101</v>
      </c>
      <c r="V1845" t="s">
        <v>9039</v>
      </c>
      <c r="W1845" t="s">
        <v>1398</v>
      </c>
      <c r="X1845" t="s">
        <v>10957</v>
      </c>
      <c r="Y1845" t="s">
        <v>10958</v>
      </c>
      <c r="Z1845" t="s">
        <v>1397</v>
      </c>
      <c r="AA1845" t="s">
        <v>9433</v>
      </c>
      <c r="AB1845" t="s">
        <v>10955</v>
      </c>
      <c r="AE1845">
        <v>-37.7254711</v>
      </c>
      <c r="AF1845">
        <v>175.28171749000001</v>
      </c>
      <c r="AG1845" s="175">
        <v>88</v>
      </c>
      <c r="AH1845" s="175">
        <v>0</v>
      </c>
      <c r="AI1845" s="175">
        <v>0</v>
      </c>
      <c r="AJ1845" s="175">
        <v>0</v>
      </c>
      <c r="AK1845" s="175">
        <v>0</v>
      </c>
      <c r="AL1845" s="175">
        <v>10</v>
      </c>
      <c r="AM1845" s="175">
        <v>5</v>
      </c>
      <c r="AN1845" s="175">
        <v>20</v>
      </c>
      <c r="AO1845" s="175">
        <v>35</v>
      </c>
      <c r="AP1845" s="175">
        <v>30</v>
      </c>
      <c r="AQ1845" s="175">
        <v>15</v>
      </c>
      <c r="AR1845" s="175">
        <v>3</v>
      </c>
      <c r="AS1845" s="175">
        <v>5</v>
      </c>
      <c r="AT1845" s="175">
        <v>2</v>
      </c>
    </row>
    <row r="1846" spans="1:46">
      <c r="A1846">
        <v>45121</v>
      </c>
      <c r="B1846" t="s">
        <v>10959</v>
      </c>
      <c r="C1846" t="s">
        <v>10960</v>
      </c>
      <c r="D1846" t="s">
        <v>10886</v>
      </c>
      <c r="E1846" t="s">
        <v>10961</v>
      </c>
      <c r="G1846" t="s">
        <v>2752</v>
      </c>
      <c r="H1846" t="s">
        <v>449</v>
      </c>
      <c r="I1846" t="s">
        <v>4134</v>
      </c>
      <c r="J1846" t="s">
        <v>4032</v>
      </c>
      <c r="K1846" t="s">
        <v>606</v>
      </c>
      <c r="M1846" t="s">
        <v>2366</v>
      </c>
      <c r="N1846" t="s">
        <v>657</v>
      </c>
      <c r="O1846" t="s">
        <v>2753</v>
      </c>
      <c r="P1846" t="s">
        <v>1347</v>
      </c>
      <c r="Q1846" t="s">
        <v>516</v>
      </c>
      <c r="R1846" t="s">
        <v>2368</v>
      </c>
      <c r="S1846" t="s">
        <v>2606</v>
      </c>
      <c r="T1846" t="s">
        <v>1568</v>
      </c>
      <c r="U1846">
        <v>238400</v>
      </c>
      <c r="V1846" t="s">
        <v>10962</v>
      </c>
      <c r="W1846" t="s">
        <v>2755</v>
      </c>
      <c r="X1846" t="s">
        <v>10963</v>
      </c>
      <c r="Y1846" t="s">
        <v>4725</v>
      </c>
      <c r="Z1846" t="s">
        <v>1043</v>
      </c>
      <c r="AA1846" t="s">
        <v>4726</v>
      </c>
      <c r="AB1846" t="s">
        <v>10964</v>
      </c>
      <c r="AE1846">
        <v>-40.910733569999998</v>
      </c>
      <c r="AF1846">
        <v>175.01907840999999</v>
      </c>
      <c r="AG1846" s="175">
        <v>46</v>
      </c>
      <c r="AH1846" s="175">
        <v>16</v>
      </c>
      <c r="AI1846" s="175">
        <v>2</v>
      </c>
      <c r="AJ1846" s="175">
        <v>3</v>
      </c>
      <c r="AK1846" s="175">
        <v>12</v>
      </c>
      <c r="AL1846" s="175">
        <v>10</v>
      </c>
      <c r="AM1846" s="175">
        <v>15</v>
      </c>
      <c r="AN1846" s="175">
        <v>0</v>
      </c>
      <c r="AO1846" s="175">
        <v>42</v>
      </c>
      <c r="AP1846" s="175">
        <v>37</v>
      </c>
      <c r="AQ1846" s="175">
        <v>7</v>
      </c>
      <c r="AR1846" s="175">
        <v>0</v>
      </c>
      <c r="AS1846" s="175">
        <v>6</v>
      </c>
      <c r="AT1846" s="175">
        <v>3</v>
      </c>
    </row>
    <row r="1847" spans="1:46">
      <c r="A1847">
        <v>45122</v>
      </c>
      <c r="B1847" t="s">
        <v>10965</v>
      </c>
      <c r="C1847" t="s">
        <v>10966</v>
      </c>
      <c r="D1847" t="s">
        <v>8141</v>
      </c>
      <c r="E1847" t="s">
        <v>10967</v>
      </c>
      <c r="F1847" t="s">
        <v>897</v>
      </c>
      <c r="G1847" t="s">
        <v>737</v>
      </c>
      <c r="H1847" t="s">
        <v>449</v>
      </c>
      <c r="J1847" t="s">
        <v>4032</v>
      </c>
      <c r="K1847" t="s">
        <v>606</v>
      </c>
      <c r="M1847" t="s">
        <v>607</v>
      </c>
      <c r="N1847" t="s">
        <v>657</v>
      </c>
      <c r="O1847" t="s">
        <v>898</v>
      </c>
      <c r="P1847" t="s">
        <v>739</v>
      </c>
      <c r="Q1847" t="s">
        <v>467</v>
      </c>
      <c r="R1847" t="s">
        <v>724</v>
      </c>
      <c r="S1847" t="s">
        <v>725</v>
      </c>
      <c r="T1847" t="s">
        <v>613</v>
      </c>
      <c r="U1847">
        <v>120900</v>
      </c>
      <c r="V1847" t="s">
        <v>10968</v>
      </c>
      <c r="W1847" t="s">
        <v>900</v>
      </c>
      <c r="X1847" t="s">
        <v>8143</v>
      </c>
      <c r="Y1847" t="s">
        <v>10969</v>
      </c>
      <c r="AA1847" t="s">
        <v>4774</v>
      </c>
      <c r="AB1847" t="s">
        <v>8140</v>
      </c>
      <c r="AC1847">
        <v>99125</v>
      </c>
      <c r="AD1847" t="s">
        <v>901</v>
      </c>
      <c r="AE1847">
        <v>-36.834643149999998</v>
      </c>
      <c r="AF1847">
        <v>174.6041534</v>
      </c>
      <c r="AG1847" s="175">
        <v>75</v>
      </c>
      <c r="AH1847" s="175">
        <v>25</v>
      </c>
      <c r="AI1847" s="175">
        <v>2</v>
      </c>
      <c r="AJ1847" s="175">
        <v>9</v>
      </c>
      <c r="AK1847" s="175">
        <v>16</v>
      </c>
      <c r="AL1847" s="175">
        <v>22</v>
      </c>
      <c r="AM1847" s="175">
        <v>16</v>
      </c>
      <c r="AN1847" s="175">
        <v>3</v>
      </c>
      <c r="AO1847" s="175">
        <v>68</v>
      </c>
      <c r="AP1847" s="175">
        <v>17</v>
      </c>
      <c r="AQ1847" s="175">
        <v>20</v>
      </c>
      <c r="AR1847" s="175">
        <v>21</v>
      </c>
      <c r="AS1847" s="175">
        <v>32</v>
      </c>
      <c r="AT1847" s="175">
        <v>2</v>
      </c>
    </row>
    <row r="1848" spans="1:46">
      <c r="A1848">
        <v>45128</v>
      </c>
      <c r="B1848" t="s">
        <v>10970</v>
      </c>
      <c r="C1848" t="s">
        <v>10971</v>
      </c>
      <c r="D1848" t="s">
        <v>10972</v>
      </c>
      <c r="E1848" t="s">
        <v>10973</v>
      </c>
      <c r="G1848" t="s">
        <v>10974</v>
      </c>
      <c r="H1848" t="s">
        <v>449</v>
      </c>
      <c r="I1848" t="s">
        <v>10975</v>
      </c>
      <c r="J1848" t="s">
        <v>4032</v>
      </c>
      <c r="K1848" t="s">
        <v>606</v>
      </c>
      <c r="M1848" t="s">
        <v>2366</v>
      </c>
      <c r="N1848" t="s">
        <v>657</v>
      </c>
      <c r="O1848" t="s">
        <v>3281</v>
      </c>
      <c r="P1848" t="s">
        <v>1347</v>
      </c>
      <c r="Q1848" t="s">
        <v>521</v>
      </c>
      <c r="R1848" t="s">
        <v>3017</v>
      </c>
      <c r="S1848" t="s">
        <v>3252</v>
      </c>
      <c r="T1848" t="s">
        <v>2526</v>
      </c>
      <c r="U1848">
        <v>335201</v>
      </c>
      <c r="V1848" t="s">
        <v>10976</v>
      </c>
      <c r="W1848" t="s">
        <v>10977</v>
      </c>
      <c r="X1848" t="s">
        <v>10978</v>
      </c>
      <c r="Y1848" t="s">
        <v>10979</v>
      </c>
      <c r="AA1848" t="s">
        <v>10980</v>
      </c>
      <c r="AC1848">
        <v>99206</v>
      </c>
      <c r="AD1848" t="s">
        <v>3284</v>
      </c>
      <c r="AE1848">
        <v>-43.586700299999997</v>
      </c>
      <c r="AF1848">
        <v>172.39142849999999</v>
      </c>
      <c r="AG1848" s="175">
        <v>115</v>
      </c>
      <c r="AH1848" s="175">
        <v>30</v>
      </c>
      <c r="AI1848" s="175">
        <v>2</v>
      </c>
      <c r="AJ1848" s="175">
        <v>16</v>
      </c>
      <c r="AK1848" s="175">
        <v>17</v>
      </c>
      <c r="AL1848" s="175">
        <v>24</v>
      </c>
      <c r="AM1848" s="175">
        <v>19</v>
      </c>
      <c r="AN1848" s="175">
        <v>1</v>
      </c>
      <c r="AO1848" s="175">
        <v>79</v>
      </c>
      <c r="AP1848" s="175">
        <v>74</v>
      </c>
      <c r="AQ1848" s="175">
        <v>5</v>
      </c>
      <c r="AR1848" s="175">
        <v>7</v>
      </c>
      <c r="AS1848" s="175">
        <v>7</v>
      </c>
      <c r="AT1848" s="175">
        <v>2</v>
      </c>
    </row>
    <row r="1849" spans="1:46">
      <c r="A1849">
        <v>45132</v>
      </c>
      <c r="B1849" t="s">
        <v>10981</v>
      </c>
      <c r="C1849" t="s">
        <v>10982</v>
      </c>
      <c r="E1849" t="s">
        <v>10983</v>
      </c>
      <c r="G1849" t="s">
        <v>3015</v>
      </c>
      <c r="H1849" t="s">
        <v>449</v>
      </c>
      <c r="J1849" t="s">
        <v>605</v>
      </c>
      <c r="K1849" t="s">
        <v>606</v>
      </c>
      <c r="M1849" t="s">
        <v>2366</v>
      </c>
      <c r="N1849" t="s">
        <v>643</v>
      </c>
      <c r="O1849" t="s">
        <v>3016</v>
      </c>
      <c r="P1849" t="s">
        <v>739</v>
      </c>
      <c r="Q1849" t="s">
        <v>521</v>
      </c>
      <c r="R1849" t="s">
        <v>3017</v>
      </c>
      <c r="S1849" t="s">
        <v>3252</v>
      </c>
      <c r="T1849" t="s">
        <v>2526</v>
      </c>
      <c r="U1849">
        <v>316600</v>
      </c>
      <c r="V1849" t="s">
        <v>10984</v>
      </c>
      <c r="W1849" t="s">
        <v>3093</v>
      </c>
      <c r="X1849" t="s">
        <v>10864</v>
      </c>
      <c r="Y1849" t="s">
        <v>4014</v>
      </c>
      <c r="Z1849" t="s">
        <v>4015</v>
      </c>
      <c r="AA1849" t="s">
        <v>4016</v>
      </c>
      <c r="AC1849">
        <v>99045</v>
      </c>
      <c r="AD1849" t="s">
        <v>3094</v>
      </c>
      <c r="AE1849">
        <v>-43.52606755</v>
      </c>
      <c r="AF1849">
        <v>172.51869402</v>
      </c>
      <c r="AG1849" s="175">
        <v>100</v>
      </c>
      <c r="AH1849" s="175">
        <v>25</v>
      </c>
      <c r="AI1849" s="175">
        <v>5</v>
      </c>
      <c r="AJ1849" s="175">
        <v>17</v>
      </c>
      <c r="AK1849" s="175">
        <v>26</v>
      </c>
      <c r="AL1849" s="175">
        <v>30</v>
      </c>
      <c r="AM1849" s="175">
        <v>30</v>
      </c>
      <c r="AN1849" s="175">
        <v>0</v>
      </c>
      <c r="AO1849" s="175">
        <v>108</v>
      </c>
      <c r="AP1849" s="175">
        <v>63</v>
      </c>
      <c r="AQ1849" s="175">
        <v>25</v>
      </c>
      <c r="AR1849" s="175">
        <v>10</v>
      </c>
      <c r="AS1849" s="175">
        <v>30</v>
      </c>
      <c r="AT1849" s="175">
        <v>15</v>
      </c>
    </row>
    <row r="1850" spans="1:46">
      <c r="A1850">
        <v>45134</v>
      </c>
      <c r="B1850" t="s">
        <v>10985</v>
      </c>
      <c r="C1850" t="s">
        <v>10986</v>
      </c>
      <c r="E1850" t="s">
        <v>10987</v>
      </c>
      <c r="F1850" t="s">
        <v>3208</v>
      </c>
      <c r="G1850" t="s">
        <v>3015</v>
      </c>
      <c r="H1850" t="s">
        <v>449</v>
      </c>
      <c r="J1850" t="s">
        <v>605</v>
      </c>
      <c r="K1850" t="s">
        <v>606</v>
      </c>
      <c r="M1850" t="s">
        <v>2366</v>
      </c>
      <c r="N1850" t="s">
        <v>657</v>
      </c>
      <c r="O1850" t="s">
        <v>3016</v>
      </c>
      <c r="P1850" t="s">
        <v>739</v>
      </c>
      <c r="Q1850" t="s">
        <v>521</v>
      </c>
      <c r="R1850" t="s">
        <v>3017</v>
      </c>
      <c r="S1850" t="s">
        <v>3030</v>
      </c>
      <c r="T1850" t="s">
        <v>2526</v>
      </c>
      <c r="U1850">
        <v>319600</v>
      </c>
      <c r="V1850" t="s">
        <v>10988</v>
      </c>
      <c r="W1850" t="s">
        <v>3171</v>
      </c>
      <c r="X1850" t="s">
        <v>10864</v>
      </c>
      <c r="Y1850" t="s">
        <v>4014</v>
      </c>
      <c r="Z1850" t="s">
        <v>4015</v>
      </c>
      <c r="AA1850" t="s">
        <v>4016</v>
      </c>
      <c r="AC1850">
        <v>99039</v>
      </c>
      <c r="AD1850" t="s">
        <v>3060</v>
      </c>
      <c r="AE1850">
        <v>-43.476581779999997</v>
      </c>
      <c r="AF1850">
        <v>172.61742268</v>
      </c>
      <c r="AG1850" s="175">
        <v>75</v>
      </c>
      <c r="AH1850" s="175">
        <v>25</v>
      </c>
      <c r="AI1850" s="175">
        <v>3</v>
      </c>
      <c r="AJ1850" s="175">
        <v>19</v>
      </c>
      <c r="AK1850" s="175">
        <v>17</v>
      </c>
      <c r="AL1850" s="175">
        <v>22</v>
      </c>
      <c r="AM1850" s="175">
        <v>17</v>
      </c>
      <c r="AN1850" s="175">
        <v>3</v>
      </c>
      <c r="AO1850" s="175">
        <v>81</v>
      </c>
      <c r="AP1850" s="175">
        <v>40</v>
      </c>
      <c r="AQ1850" s="175">
        <v>16</v>
      </c>
      <c r="AR1850" s="175">
        <v>6</v>
      </c>
      <c r="AS1850" s="175">
        <v>19</v>
      </c>
      <c r="AT1850" s="175">
        <v>14</v>
      </c>
    </row>
    <row r="1851" spans="1:46">
      <c r="A1851">
        <v>45140</v>
      </c>
      <c r="B1851" t="s">
        <v>10989</v>
      </c>
      <c r="C1851" t="s">
        <v>10990</v>
      </c>
      <c r="D1851" t="s">
        <v>10991</v>
      </c>
      <c r="E1851" t="s">
        <v>10992</v>
      </c>
      <c r="F1851" t="s">
        <v>10993</v>
      </c>
      <c r="G1851" t="s">
        <v>2930</v>
      </c>
      <c r="H1851" t="s">
        <v>449</v>
      </c>
      <c r="J1851" t="s">
        <v>4032</v>
      </c>
      <c r="K1851" t="s">
        <v>606</v>
      </c>
      <c r="M1851" t="s">
        <v>2366</v>
      </c>
      <c r="N1851" t="s">
        <v>657</v>
      </c>
      <c r="O1851" t="s">
        <v>2931</v>
      </c>
      <c r="P1851" t="s">
        <v>670</v>
      </c>
      <c r="Q1851" t="s">
        <v>518</v>
      </c>
      <c r="R1851" t="s">
        <v>2901</v>
      </c>
      <c r="S1851" t="s">
        <v>2930</v>
      </c>
      <c r="T1851" t="s">
        <v>2526</v>
      </c>
      <c r="U1851">
        <v>305500</v>
      </c>
      <c r="V1851" t="s">
        <v>10994</v>
      </c>
      <c r="W1851" t="s">
        <v>2114</v>
      </c>
      <c r="X1851" t="s">
        <v>10995</v>
      </c>
      <c r="Y1851" t="s">
        <v>4176</v>
      </c>
      <c r="AA1851" t="s">
        <v>4052</v>
      </c>
      <c r="AB1851" t="s">
        <v>10990</v>
      </c>
      <c r="AC1851">
        <v>99005</v>
      </c>
      <c r="AD1851" t="s">
        <v>2953</v>
      </c>
      <c r="AE1851">
        <v>-41.274921730000003</v>
      </c>
      <c r="AF1851">
        <v>173.29667724999999</v>
      </c>
      <c r="AG1851" s="175">
        <v>115</v>
      </c>
      <c r="AH1851" s="175">
        <v>40</v>
      </c>
      <c r="AI1851" s="175">
        <v>3</v>
      </c>
      <c r="AJ1851" s="175">
        <v>30</v>
      </c>
      <c r="AK1851" s="175">
        <v>34</v>
      </c>
      <c r="AL1851" s="175">
        <v>32</v>
      </c>
      <c r="AM1851" s="175">
        <v>25</v>
      </c>
      <c r="AN1851" s="175">
        <v>1</v>
      </c>
      <c r="AO1851" s="175">
        <v>125</v>
      </c>
      <c r="AP1851" s="175">
        <v>105</v>
      </c>
      <c r="AQ1851" s="175">
        <v>17</v>
      </c>
      <c r="AR1851" s="175">
        <v>0</v>
      </c>
      <c r="AS1851" s="175">
        <v>18</v>
      </c>
      <c r="AT1851" s="175">
        <v>8</v>
      </c>
    </row>
    <row r="1852" spans="1:46">
      <c r="A1852">
        <v>45147</v>
      </c>
      <c r="B1852" t="s">
        <v>10996</v>
      </c>
      <c r="C1852" t="s">
        <v>10997</v>
      </c>
      <c r="D1852" t="s">
        <v>10998</v>
      </c>
      <c r="E1852" t="s">
        <v>10999</v>
      </c>
      <c r="G1852" t="s">
        <v>2943</v>
      </c>
      <c r="H1852" t="s">
        <v>449</v>
      </c>
      <c r="J1852" t="s">
        <v>4032</v>
      </c>
      <c r="K1852" t="s">
        <v>606</v>
      </c>
      <c r="M1852" t="s">
        <v>2366</v>
      </c>
      <c r="N1852" t="s">
        <v>643</v>
      </c>
      <c r="O1852" t="s">
        <v>2944</v>
      </c>
      <c r="P1852" t="s">
        <v>610</v>
      </c>
      <c r="Q1852" t="s">
        <v>517</v>
      </c>
      <c r="R1852" t="s">
        <v>2901</v>
      </c>
      <c r="S1852" t="s">
        <v>2945</v>
      </c>
      <c r="T1852" t="s">
        <v>2526</v>
      </c>
      <c r="U1852">
        <v>301101</v>
      </c>
      <c r="V1852" t="s">
        <v>11000</v>
      </c>
      <c r="W1852" t="s">
        <v>2947</v>
      </c>
      <c r="X1852" t="s">
        <v>11001</v>
      </c>
      <c r="Y1852" t="s">
        <v>11002</v>
      </c>
      <c r="AA1852" t="s">
        <v>11003</v>
      </c>
      <c r="AB1852" t="s">
        <v>11004</v>
      </c>
      <c r="AC1852">
        <v>99115</v>
      </c>
      <c r="AD1852" t="s">
        <v>2948</v>
      </c>
      <c r="AE1852">
        <v>-41.109271229999997</v>
      </c>
      <c r="AF1852">
        <v>173.01440878</v>
      </c>
      <c r="AG1852" s="175">
        <v>30</v>
      </c>
      <c r="AH1852" s="175">
        <v>16</v>
      </c>
      <c r="AI1852" s="175">
        <v>1</v>
      </c>
      <c r="AJ1852" s="175">
        <v>11</v>
      </c>
      <c r="AK1852" s="175">
        <v>8</v>
      </c>
      <c r="AL1852" s="175">
        <v>5</v>
      </c>
      <c r="AM1852" s="175">
        <v>5</v>
      </c>
      <c r="AN1852" s="175">
        <v>0</v>
      </c>
      <c r="AO1852" s="175">
        <v>30</v>
      </c>
      <c r="AP1852" s="175">
        <v>29</v>
      </c>
      <c r="AQ1852" s="175">
        <v>6</v>
      </c>
      <c r="AR1852" s="175">
        <v>0</v>
      </c>
      <c r="AS1852" s="175">
        <v>2</v>
      </c>
      <c r="AT1852" s="175">
        <v>0</v>
      </c>
    </row>
    <row r="1853" spans="1:46">
      <c r="A1853">
        <v>45151</v>
      </c>
      <c r="B1853" t="s">
        <v>11005</v>
      </c>
      <c r="C1853" t="s">
        <v>11006</v>
      </c>
      <c r="D1853" t="s">
        <v>11007</v>
      </c>
      <c r="E1853" t="s">
        <v>11008</v>
      </c>
      <c r="F1853" t="s">
        <v>3159</v>
      </c>
      <c r="G1853" t="s">
        <v>3015</v>
      </c>
      <c r="H1853" t="s">
        <v>449</v>
      </c>
      <c r="J1853" t="s">
        <v>4032</v>
      </c>
      <c r="K1853" t="s">
        <v>606</v>
      </c>
      <c r="M1853" t="s">
        <v>2366</v>
      </c>
      <c r="N1853" t="s">
        <v>657</v>
      </c>
      <c r="O1853" t="s">
        <v>3016</v>
      </c>
      <c r="P1853" t="s">
        <v>739</v>
      </c>
      <c r="Q1853" t="s">
        <v>521</v>
      </c>
      <c r="R1853" t="s">
        <v>3017</v>
      </c>
      <c r="S1853" t="s">
        <v>3092</v>
      </c>
      <c r="T1853" t="s">
        <v>2526</v>
      </c>
      <c r="U1853">
        <v>327700</v>
      </c>
      <c r="V1853" t="s">
        <v>11009</v>
      </c>
      <c r="W1853" t="s">
        <v>3161</v>
      </c>
      <c r="X1853" t="s">
        <v>11010</v>
      </c>
      <c r="Y1853" t="s">
        <v>11011</v>
      </c>
      <c r="Z1853" t="s">
        <v>11012</v>
      </c>
      <c r="AA1853" t="s">
        <v>11013</v>
      </c>
      <c r="AB1853" t="s">
        <v>11014</v>
      </c>
      <c r="AE1853">
        <v>-43.562866790000001</v>
      </c>
      <c r="AF1853">
        <v>172.60649133999999</v>
      </c>
      <c r="AG1853" s="175">
        <v>45</v>
      </c>
      <c r="AH1853" s="175">
        <v>14</v>
      </c>
      <c r="AI1853" s="175">
        <v>0</v>
      </c>
      <c r="AJ1853" s="175">
        <v>13</v>
      </c>
      <c r="AK1853" s="175">
        <v>20</v>
      </c>
      <c r="AL1853" s="175">
        <v>14</v>
      </c>
      <c r="AM1853" s="175">
        <v>15</v>
      </c>
      <c r="AN1853" s="175">
        <v>1</v>
      </c>
      <c r="AO1853" s="175">
        <v>63</v>
      </c>
      <c r="AP1853" s="175">
        <v>55</v>
      </c>
      <c r="AQ1853" s="175">
        <v>3</v>
      </c>
      <c r="AR1853" s="175">
        <v>1</v>
      </c>
      <c r="AS1853" s="175">
        <v>4</v>
      </c>
      <c r="AT1853" s="175">
        <v>11</v>
      </c>
    </row>
    <row r="1854" spans="1:46">
      <c r="A1854">
        <v>45152</v>
      </c>
      <c r="B1854" t="s">
        <v>11015</v>
      </c>
      <c r="C1854" t="s">
        <v>11016</v>
      </c>
      <c r="D1854" t="s">
        <v>11017</v>
      </c>
      <c r="E1854" t="s">
        <v>11018</v>
      </c>
      <c r="F1854" t="s">
        <v>2811</v>
      </c>
      <c r="G1854" t="s">
        <v>2505</v>
      </c>
      <c r="H1854" t="s">
        <v>449</v>
      </c>
      <c r="J1854" t="s">
        <v>605</v>
      </c>
      <c r="K1854" t="s">
        <v>606</v>
      </c>
      <c r="M1854" t="s">
        <v>2366</v>
      </c>
      <c r="N1854" t="s">
        <v>657</v>
      </c>
      <c r="O1854" t="s">
        <v>2506</v>
      </c>
      <c r="P1854" t="s">
        <v>739</v>
      </c>
      <c r="Q1854" t="s">
        <v>516</v>
      </c>
      <c r="R1854" t="s">
        <v>2368</v>
      </c>
      <c r="S1854" t="s">
        <v>2507</v>
      </c>
      <c r="T1854" t="s">
        <v>2526</v>
      </c>
      <c r="U1854">
        <v>243700</v>
      </c>
      <c r="V1854" t="s">
        <v>11019</v>
      </c>
      <c r="W1854" t="s">
        <v>2569</v>
      </c>
      <c r="X1854" t="s">
        <v>10497</v>
      </c>
      <c r="Y1854" t="s">
        <v>4014</v>
      </c>
      <c r="Z1854" t="s">
        <v>4015</v>
      </c>
      <c r="AA1854" t="s">
        <v>4016</v>
      </c>
      <c r="AE1854">
        <v>-41.223473650000003</v>
      </c>
      <c r="AF1854">
        <v>174.86798633000001</v>
      </c>
      <c r="AG1854" s="175">
        <v>97</v>
      </c>
      <c r="AH1854" s="175">
        <v>25</v>
      </c>
      <c r="AI1854" s="175">
        <v>7</v>
      </c>
      <c r="AJ1854" s="175">
        <v>24</v>
      </c>
      <c r="AK1854" s="175">
        <v>20</v>
      </c>
      <c r="AL1854" s="175">
        <v>27</v>
      </c>
      <c r="AM1854" s="175">
        <v>24</v>
      </c>
      <c r="AN1854" s="175">
        <v>0</v>
      </c>
      <c r="AO1854" s="175">
        <v>102</v>
      </c>
      <c r="AP1854" s="175">
        <v>68</v>
      </c>
      <c r="AQ1854" s="175">
        <v>15</v>
      </c>
      <c r="AR1854" s="175">
        <v>6</v>
      </c>
      <c r="AS1854" s="175">
        <v>34</v>
      </c>
      <c r="AT1854" s="175">
        <v>10</v>
      </c>
    </row>
    <row r="1855" spans="1:46">
      <c r="A1855">
        <v>45156</v>
      </c>
      <c r="B1855" t="s">
        <v>11020</v>
      </c>
      <c r="C1855" t="s">
        <v>11021</v>
      </c>
      <c r="D1855" t="s">
        <v>11022</v>
      </c>
      <c r="E1855" t="s">
        <v>11023</v>
      </c>
      <c r="F1855" t="s">
        <v>2995</v>
      </c>
      <c r="G1855" t="s">
        <v>2930</v>
      </c>
      <c r="H1855" t="s">
        <v>449</v>
      </c>
      <c r="J1855" t="s">
        <v>4032</v>
      </c>
      <c r="K1855" t="s">
        <v>606</v>
      </c>
      <c r="M1855" t="s">
        <v>2366</v>
      </c>
      <c r="N1855" t="s">
        <v>657</v>
      </c>
      <c r="O1855" t="s">
        <v>2931</v>
      </c>
      <c r="P1855" t="s">
        <v>670</v>
      </c>
      <c r="Q1855" t="s">
        <v>518</v>
      </c>
      <c r="R1855" t="s">
        <v>2901</v>
      </c>
      <c r="S1855" t="s">
        <v>2930</v>
      </c>
      <c r="T1855" t="s">
        <v>2526</v>
      </c>
      <c r="U1855">
        <v>304100</v>
      </c>
      <c r="V1855" t="s">
        <v>2996</v>
      </c>
      <c r="W1855" t="s">
        <v>2933</v>
      </c>
      <c r="X1855" t="s">
        <v>11024</v>
      </c>
      <c r="Y1855" t="s">
        <v>4176</v>
      </c>
      <c r="AA1855" t="s">
        <v>4052</v>
      </c>
      <c r="AB1855" t="s">
        <v>11025</v>
      </c>
      <c r="AC1855">
        <v>99042</v>
      </c>
      <c r="AD1855" t="s">
        <v>2938</v>
      </c>
      <c r="AE1855">
        <v>-41.289778859999998</v>
      </c>
      <c r="AF1855">
        <v>173.24566589</v>
      </c>
      <c r="AG1855" s="175">
        <v>76</v>
      </c>
      <c r="AH1855" s="175">
        <v>20</v>
      </c>
      <c r="AI1855" s="175"/>
      <c r="AJ1855" s="175"/>
      <c r="AK1855" s="175"/>
      <c r="AL1855" s="175"/>
      <c r="AM1855" s="175"/>
      <c r="AN1855" s="175"/>
      <c r="AO1855" s="175"/>
      <c r="AP1855" s="175"/>
      <c r="AQ1855" s="175"/>
      <c r="AR1855" s="175"/>
      <c r="AS1855" s="175"/>
    </row>
    <row r="1856" spans="1:46">
      <c r="A1856">
        <v>45157</v>
      </c>
      <c r="B1856" t="s">
        <v>11026</v>
      </c>
      <c r="C1856" t="s">
        <v>8825</v>
      </c>
      <c r="D1856" t="s">
        <v>11027</v>
      </c>
      <c r="E1856" t="s">
        <v>8827</v>
      </c>
      <c r="F1856" t="s">
        <v>1397</v>
      </c>
      <c r="G1856" t="s">
        <v>1381</v>
      </c>
      <c r="H1856" t="s">
        <v>450</v>
      </c>
      <c r="J1856" t="s">
        <v>4032</v>
      </c>
      <c r="K1856" t="s">
        <v>606</v>
      </c>
      <c r="M1856" t="s">
        <v>2366</v>
      </c>
      <c r="N1856" t="s">
        <v>657</v>
      </c>
      <c r="O1856" t="s">
        <v>1383</v>
      </c>
      <c r="P1856" t="s">
        <v>739</v>
      </c>
      <c r="Q1856" t="s">
        <v>510</v>
      </c>
      <c r="R1856" t="s">
        <v>2368</v>
      </c>
      <c r="S1856" t="s">
        <v>1396</v>
      </c>
      <c r="T1856" t="s">
        <v>1320</v>
      </c>
      <c r="U1856">
        <v>177300</v>
      </c>
      <c r="V1856" t="s">
        <v>1397</v>
      </c>
      <c r="W1856" t="s">
        <v>1398</v>
      </c>
      <c r="X1856" t="s">
        <v>11028</v>
      </c>
      <c r="Y1856" t="s">
        <v>8827</v>
      </c>
      <c r="Z1856" t="s">
        <v>1397</v>
      </c>
      <c r="AA1856" t="s">
        <v>8575</v>
      </c>
      <c r="AE1856">
        <v>-37.749390910000002</v>
      </c>
      <c r="AF1856">
        <v>175.27364802</v>
      </c>
      <c r="AG1856" s="175">
        <v>0</v>
      </c>
      <c r="AH1856" s="175">
        <v>0</v>
      </c>
      <c r="AI1856" s="175">
        <v>2</v>
      </c>
      <c r="AJ1856" s="175">
        <v>2</v>
      </c>
      <c r="AK1856" s="175">
        <v>9</v>
      </c>
      <c r="AL1856" s="175">
        <v>8</v>
      </c>
      <c r="AM1856" s="175">
        <v>5</v>
      </c>
      <c r="AN1856" s="175">
        <v>0</v>
      </c>
      <c r="AO1856" s="175">
        <v>26</v>
      </c>
      <c r="AP1856" s="175">
        <v>19</v>
      </c>
      <c r="AQ1856" s="175">
        <v>4</v>
      </c>
      <c r="AR1856" s="175">
        <v>0</v>
      </c>
      <c r="AS1856" s="175">
        <v>6</v>
      </c>
      <c r="AT1856" s="175">
        <v>6</v>
      </c>
    </row>
    <row r="1857" spans="1:46">
      <c r="A1857">
        <v>45158</v>
      </c>
      <c r="B1857" t="s">
        <v>11029</v>
      </c>
      <c r="C1857" t="s">
        <v>11030</v>
      </c>
      <c r="E1857" t="s">
        <v>11031</v>
      </c>
      <c r="F1857" t="s">
        <v>3015</v>
      </c>
      <c r="G1857" t="s">
        <v>3015</v>
      </c>
      <c r="H1857" t="s">
        <v>449</v>
      </c>
      <c r="J1857" t="s">
        <v>4032</v>
      </c>
      <c r="K1857" t="s">
        <v>606</v>
      </c>
      <c r="M1857" t="s">
        <v>2366</v>
      </c>
      <c r="N1857" t="s">
        <v>643</v>
      </c>
      <c r="O1857" t="s">
        <v>3016</v>
      </c>
      <c r="P1857" t="s">
        <v>739</v>
      </c>
      <c r="Q1857" t="s">
        <v>521</v>
      </c>
      <c r="R1857" t="s">
        <v>3017</v>
      </c>
      <c r="S1857" t="s">
        <v>3030</v>
      </c>
      <c r="T1857" t="s">
        <v>2526</v>
      </c>
      <c r="U1857">
        <v>324800</v>
      </c>
      <c r="V1857" t="s">
        <v>11032</v>
      </c>
      <c r="W1857" t="s">
        <v>3143</v>
      </c>
      <c r="X1857" t="s">
        <v>11033</v>
      </c>
      <c r="Y1857" t="s">
        <v>4725</v>
      </c>
      <c r="Z1857" t="s">
        <v>1043</v>
      </c>
      <c r="AA1857" t="s">
        <v>4726</v>
      </c>
      <c r="AB1857" t="s">
        <v>11034</v>
      </c>
      <c r="AC1857">
        <v>99215</v>
      </c>
      <c r="AD1857" t="s">
        <v>11035</v>
      </c>
      <c r="AE1857">
        <v>-43.519334489999999</v>
      </c>
      <c r="AF1857">
        <v>172.63999440000001</v>
      </c>
      <c r="AG1857" s="175">
        <v>67</v>
      </c>
      <c r="AH1857" s="175">
        <v>22</v>
      </c>
      <c r="AI1857" s="175">
        <v>1</v>
      </c>
      <c r="AJ1857" s="175">
        <v>0</v>
      </c>
      <c r="AK1857" s="175">
        <v>9</v>
      </c>
      <c r="AL1857" s="175">
        <v>5</v>
      </c>
      <c r="AM1857" s="175">
        <v>7</v>
      </c>
      <c r="AN1857" s="175">
        <v>1</v>
      </c>
      <c r="AO1857" s="175">
        <v>23</v>
      </c>
      <c r="AP1857" s="175">
        <v>12</v>
      </c>
      <c r="AQ1857" s="175">
        <v>1</v>
      </c>
      <c r="AR1857" s="175">
        <v>0</v>
      </c>
      <c r="AS1857" s="175">
        <v>9</v>
      </c>
      <c r="AT1857" s="175">
        <v>4</v>
      </c>
    </row>
    <row r="1858" spans="1:46">
      <c r="A1858">
        <v>45160</v>
      </c>
      <c r="B1858" t="s">
        <v>11036</v>
      </c>
      <c r="C1858" t="s">
        <v>11037</v>
      </c>
      <c r="D1858" t="s">
        <v>11038</v>
      </c>
      <c r="E1858" t="s">
        <v>11039</v>
      </c>
      <c r="G1858" t="s">
        <v>1938</v>
      </c>
      <c r="H1858" t="s">
        <v>449</v>
      </c>
      <c r="I1858" t="s">
        <v>5017</v>
      </c>
      <c r="J1858" t="s">
        <v>605</v>
      </c>
      <c r="K1858" t="s">
        <v>606</v>
      </c>
      <c r="M1858" t="s">
        <v>1382</v>
      </c>
      <c r="N1858" t="s">
        <v>643</v>
      </c>
      <c r="O1858" t="s">
        <v>1932</v>
      </c>
      <c r="P1858" t="s">
        <v>610</v>
      </c>
      <c r="Q1858" t="s">
        <v>514</v>
      </c>
      <c r="R1858" t="s">
        <v>1841</v>
      </c>
      <c r="S1858" t="s">
        <v>1923</v>
      </c>
      <c r="T1858" t="s">
        <v>1568</v>
      </c>
      <c r="U1858">
        <v>221700</v>
      </c>
      <c r="V1858" t="s">
        <v>11040</v>
      </c>
      <c r="W1858" t="s">
        <v>1940</v>
      </c>
      <c r="X1858" t="s">
        <v>11041</v>
      </c>
      <c r="Y1858" t="s">
        <v>11042</v>
      </c>
      <c r="AA1858" t="s">
        <v>11043</v>
      </c>
      <c r="AB1858" t="s">
        <v>11044</v>
      </c>
      <c r="AE1858">
        <v>-39.57881072</v>
      </c>
      <c r="AF1858">
        <v>174.27666840000001</v>
      </c>
      <c r="AG1858" s="175">
        <v>40</v>
      </c>
      <c r="AH1858" s="175">
        <v>10</v>
      </c>
      <c r="AI1858" s="175">
        <v>1</v>
      </c>
      <c r="AJ1858" s="175">
        <v>9</v>
      </c>
      <c r="AK1858" s="175">
        <v>10</v>
      </c>
      <c r="AL1858" s="175">
        <v>13</v>
      </c>
      <c r="AM1858" s="175">
        <v>11</v>
      </c>
      <c r="AN1858" s="175">
        <v>0</v>
      </c>
      <c r="AO1858" s="175">
        <v>44</v>
      </c>
      <c r="AP1858" s="175">
        <v>26</v>
      </c>
      <c r="AQ1858" s="175">
        <v>36</v>
      </c>
      <c r="AR1858" s="175">
        <v>2</v>
      </c>
      <c r="AS1858" s="175">
        <v>1</v>
      </c>
      <c r="AT1858" s="175">
        <v>1</v>
      </c>
    </row>
    <row r="1859" spans="1:46">
      <c r="A1859">
        <v>45174</v>
      </c>
      <c r="B1859" t="s">
        <v>11045</v>
      </c>
      <c r="C1859" t="s">
        <v>11046</v>
      </c>
      <c r="D1859" t="s">
        <v>11047</v>
      </c>
      <c r="E1859" t="s">
        <v>11048</v>
      </c>
      <c r="F1859" t="s">
        <v>4907</v>
      </c>
      <c r="G1859" t="s">
        <v>737</v>
      </c>
      <c r="H1859" t="s">
        <v>449</v>
      </c>
      <c r="J1859" t="s">
        <v>4032</v>
      </c>
      <c r="K1859" t="s">
        <v>606</v>
      </c>
      <c r="M1859" t="s">
        <v>607</v>
      </c>
      <c r="N1859" t="s">
        <v>657</v>
      </c>
      <c r="O1859" t="s">
        <v>792</v>
      </c>
      <c r="P1859" t="s">
        <v>739</v>
      </c>
      <c r="Q1859" t="s">
        <v>467</v>
      </c>
      <c r="R1859" t="s">
        <v>793</v>
      </c>
      <c r="S1859" t="s">
        <v>791</v>
      </c>
      <c r="T1859" t="s">
        <v>794</v>
      </c>
      <c r="U1859">
        <v>147800</v>
      </c>
      <c r="V1859" t="s">
        <v>11049</v>
      </c>
      <c r="W1859" t="s">
        <v>796</v>
      </c>
      <c r="X1859" t="s">
        <v>11050</v>
      </c>
      <c r="Y1859" t="s">
        <v>11051</v>
      </c>
      <c r="Z1859" t="s">
        <v>5826</v>
      </c>
      <c r="AA1859" t="s">
        <v>11052</v>
      </c>
      <c r="AB1859" t="s">
        <v>11046</v>
      </c>
      <c r="AE1859">
        <v>-36.882177710000001</v>
      </c>
      <c r="AF1859">
        <v>174.89982230000001</v>
      </c>
      <c r="AG1859" s="175">
        <v>100</v>
      </c>
      <c r="AH1859" s="175">
        <v>44</v>
      </c>
      <c r="AI1859" s="175">
        <v>5</v>
      </c>
      <c r="AJ1859" s="175">
        <v>14</v>
      </c>
      <c r="AK1859" s="175">
        <v>23</v>
      </c>
      <c r="AL1859" s="175">
        <v>29</v>
      </c>
      <c r="AM1859" s="175">
        <v>28</v>
      </c>
      <c r="AN1859" s="175">
        <v>0</v>
      </c>
      <c r="AO1859" s="175">
        <v>99</v>
      </c>
      <c r="AP1859" s="175">
        <v>49</v>
      </c>
      <c r="AQ1859" s="175">
        <v>3</v>
      </c>
      <c r="AR1859" s="175">
        <v>1</v>
      </c>
      <c r="AS1859" s="175">
        <v>59</v>
      </c>
      <c r="AT1859" s="175">
        <v>0</v>
      </c>
    </row>
    <row r="1860" spans="1:46">
      <c r="A1860">
        <v>45176</v>
      </c>
      <c r="B1860" t="s">
        <v>11053</v>
      </c>
      <c r="C1860" t="s">
        <v>11054</v>
      </c>
      <c r="E1860" t="s">
        <v>11055</v>
      </c>
      <c r="F1860" t="s">
        <v>983</v>
      </c>
      <c r="G1860" t="s">
        <v>737</v>
      </c>
      <c r="H1860" t="s">
        <v>449</v>
      </c>
      <c r="J1860" t="s">
        <v>4032</v>
      </c>
      <c r="K1860" t="s">
        <v>606</v>
      </c>
      <c r="M1860" t="s">
        <v>607</v>
      </c>
      <c r="N1860" t="s">
        <v>625</v>
      </c>
      <c r="O1860" t="s">
        <v>898</v>
      </c>
      <c r="P1860" t="s">
        <v>739</v>
      </c>
      <c r="Q1860" t="s">
        <v>467</v>
      </c>
      <c r="R1860" t="s">
        <v>724</v>
      </c>
      <c r="S1860" t="s">
        <v>984</v>
      </c>
      <c r="T1860" t="s">
        <v>613</v>
      </c>
      <c r="U1860">
        <v>127500</v>
      </c>
      <c r="V1860" t="s">
        <v>4619</v>
      </c>
      <c r="W1860" t="s">
        <v>900</v>
      </c>
      <c r="X1860" t="s">
        <v>11056</v>
      </c>
      <c r="Y1860" t="s">
        <v>4558</v>
      </c>
      <c r="Z1860" t="s">
        <v>906</v>
      </c>
      <c r="AA1860" t="s">
        <v>4138</v>
      </c>
      <c r="AC1860">
        <v>99029</v>
      </c>
      <c r="AD1860" t="s">
        <v>986</v>
      </c>
      <c r="AE1860">
        <v>-36.88667015</v>
      </c>
      <c r="AF1860">
        <v>174.62851269999999</v>
      </c>
      <c r="AG1860" s="175">
        <v>50</v>
      </c>
      <c r="AH1860" s="175">
        <v>0</v>
      </c>
      <c r="AI1860" s="175">
        <v>0</v>
      </c>
      <c r="AJ1860" s="175">
        <v>0</v>
      </c>
      <c r="AK1860" s="175">
        <v>14</v>
      </c>
      <c r="AL1860" s="175">
        <v>6</v>
      </c>
      <c r="AM1860" s="175">
        <v>10</v>
      </c>
      <c r="AN1860" s="175">
        <v>2</v>
      </c>
      <c r="AO1860" s="175">
        <v>32</v>
      </c>
      <c r="AP1860" s="175">
        <v>6</v>
      </c>
      <c r="AQ1860" s="175">
        <v>7</v>
      </c>
      <c r="AR1860" s="175">
        <v>8</v>
      </c>
      <c r="AS1860" s="175">
        <v>14</v>
      </c>
      <c r="AT1860" s="175">
        <v>4</v>
      </c>
    </row>
    <row r="1861" spans="1:46">
      <c r="A1861">
        <v>45180</v>
      </c>
      <c r="B1861" t="s">
        <v>11057</v>
      </c>
      <c r="C1861" t="s">
        <v>11058</v>
      </c>
      <c r="D1861" t="s">
        <v>11059</v>
      </c>
      <c r="E1861" t="s">
        <v>11060</v>
      </c>
      <c r="F1861" t="s">
        <v>1773</v>
      </c>
      <c r="G1861" t="s">
        <v>1604</v>
      </c>
      <c r="H1861" t="s">
        <v>449</v>
      </c>
      <c r="J1861" t="s">
        <v>4032</v>
      </c>
      <c r="K1861" t="s">
        <v>606</v>
      </c>
      <c r="M1861" t="s">
        <v>1382</v>
      </c>
      <c r="N1861" t="s">
        <v>812</v>
      </c>
      <c r="O1861" t="s">
        <v>1605</v>
      </c>
      <c r="P1861" t="s">
        <v>670</v>
      </c>
      <c r="Q1861" t="s">
        <v>511</v>
      </c>
      <c r="R1861" t="s">
        <v>1555</v>
      </c>
      <c r="S1861" t="s">
        <v>1604</v>
      </c>
      <c r="T1861" t="s">
        <v>1557</v>
      </c>
      <c r="U1861">
        <v>198600</v>
      </c>
      <c r="V1861" t="s">
        <v>8674</v>
      </c>
      <c r="W1861" t="s">
        <v>1606</v>
      </c>
      <c r="X1861" t="s">
        <v>11061</v>
      </c>
      <c r="Y1861" t="s">
        <v>11062</v>
      </c>
      <c r="AA1861" t="s">
        <v>4580</v>
      </c>
      <c r="AC1861">
        <v>99107</v>
      </c>
      <c r="AD1861" t="s">
        <v>1609</v>
      </c>
      <c r="AE1861">
        <v>-38.130757559999999</v>
      </c>
      <c r="AF1861">
        <v>176.21222585999999</v>
      </c>
      <c r="AG1861" s="175">
        <v>115</v>
      </c>
      <c r="AH1861" s="175">
        <v>30</v>
      </c>
      <c r="AI1861" s="175">
        <v>2</v>
      </c>
      <c r="AJ1861" s="175">
        <v>20</v>
      </c>
      <c r="AK1861" s="175">
        <v>22</v>
      </c>
      <c r="AL1861" s="175">
        <v>16</v>
      </c>
      <c r="AM1861" s="175">
        <v>25</v>
      </c>
      <c r="AN1861" s="175">
        <v>1</v>
      </c>
      <c r="AO1861" s="175">
        <v>86</v>
      </c>
      <c r="AP1861" s="175">
        <v>24</v>
      </c>
      <c r="AQ1861" s="175">
        <v>67</v>
      </c>
      <c r="AR1861" s="175">
        <v>10</v>
      </c>
      <c r="AS1861" s="175">
        <v>7</v>
      </c>
      <c r="AT1861" s="175">
        <v>1</v>
      </c>
    </row>
    <row r="1862" spans="1:46">
      <c r="A1862">
        <v>45183</v>
      </c>
      <c r="B1862" t="s">
        <v>11063</v>
      </c>
      <c r="E1862" t="s">
        <v>4737</v>
      </c>
      <c r="F1862" t="s">
        <v>4101</v>
      </c>
      <c r="G1862" t="s">
        <v>737</v>
      </c>
      <c r="H1862" t="s">
        <v>451</v>
      </c>
      <c r="J1862" t="s">
        <v>605</v>
      </c>
      <c r="K1862" t="s">
        <v>606</v>
      </c>
      <c r="M1862" t="s">
        <v>607</v>
      </c>
      <c r="N1862" t="s">
        <v>812</v>
      </c>
      <c r="O1862" t="s">
        <v>1042</v>
      </c>
      <c r="P1862" t="s">
        <v>739</v>
      </c>
      <c r="Q1862" t="s">
        <v>467</v>
      </c>
      <c r="R1862" t="s">
        <v>793</v>
      </c>
      <c r="S1862" t="s">
        <v>1043</v>
      </c>
      <c r="T1862" t="s">
        <v>794</v>
      </c>
      <c r="U1862">
        <v>136100</v>
      </c>
      <c r="V1862" t="s">
        <v>4101</v>
      </c>
      <c r="W1862" t="s">
        <v>909</v>
      </c>
      <c r="X1862" t="s">
        <v>4103</v>
      </c>
      <c r="Y1862" t="s">
        <v>4104</v>
      </c>
      <c r="Z1862" t="s">
        <v>4105</v>
      </c>
      <c r="AA1862" t="s">
        <v>4106</v>
      </c>
      <c r="AB1862" t="s">
        <v>4107</v>
      </c>
      <c r="AE1862">
        <v>-36.860655860000001</v>
      </c>
      <c r="AF1862">
        <v>174.76952199999999</v>
      </c>
      <c r="AG1862" s="175">
        <v>25</v>
      </c>
      <c r="AH1862" s="175">
        <v>25</v>
      </c>
      <c r="AI1862" s="175"/>
      <c r="AJ1862" s="175"/>
      <c r="AK1862" s="175"/>
      <c r="AL1862" s="175"/>
      <c r="AM1862" s="175"/>
      <c r="AN1862" s="175"/>
      <c r="AO1862" s="175"/>
      <c r="AP1862" s="175"/>
      <c r="AQ1862" s="175"/>
      <c r="AR1862" s="175"/>
      <c r="AS1862" s="175"/>
    </row>
    <row r="1863" spans="1:46">
      <c r="A1863">
        <v>45185</v>
      </c>
      <c r="B1863" t="s">
        <v>11064</v>
      </c>
      <c r="C1863" t="s">
        <v>11065</v>
      </c>
      <c r="E1863" t="s">
        <v>11066</v>
      </c>
      <c r="G1863" t="s">
        <v>1628</v>
      </c>
      <c r="H1863" t="s">
        <v>449</v>
      </c>
      <c r="J1863" t="s">
        <v>605</v>
      </c>
      <c r="K1863" t="s">
        <v>606</v>
      </c>
      <c r="M1863" t="s">
        <v>1382</v>
      </c>
      <c r="N1863" t="s">
        <v>657</v>
      </c>
      <c r="O1863" t="s">
        <v>1629</v>
      </c>
      <c r="P1863" t="s">
        <v>1347</v>
      </c>
      <c r="Q1863" t="s">
        <v>510</v>
      </c>
      <c r="R1863" t="s">
        <v>1555</v>
      </c>
      <c r="S1863" t="s">
        <v>1404</v>
      </c>
      <c r="T1863" t="s">
        <v>1557</v>
      </c>
      <c r="U1863">
        <v>188600</v>
      </c>
      <c r="V1863" t="s">
        <v>9899</v>
      </c>
      <c r="W1863" t="s">
        <v>1631</v>
      </c>
      <c r="X1863" t="s">
        <v>10550</v>
      </c>
      <c r="Y1863" t="s">
        <v>4014</v>
      </c>
      <c r="Z1863" t="s">
        <v>4015</v>
      </c>
      <c r="AA1863" t="s">
        <v>4016</v>
      </c>
      <c r="AB1863" t="s">
        <v>10551</v>
      </c>
      <c r="AC1863">
        <v>99020</v>
      </c>
      <c r="AD1863" t="s">
        <v>1633</v>
      </c>
      <c r="AE1863">
        <v>-38.6861812</v>
      </c>
      <c r="AF1863">
        <v>176.0771513</v>
      </c>
      <c r="AG1863" s="175">
        <v>61</v>
      </c>
      <c r="AH1863" s="175">
        <v>16</v>
      </c>
      <c r="AI1863" s="175">
        <v>3</v>
      </c>
      <c r="AJ1863" s="175">
        <v>15</v>
      </c>
      <c r="AK1863" s="175">
        <v>12</v>
      </c>
      <c r="AL1863" s="175">
        <v>13</v>
      </c>
      <c r="AM1863" s="175">
        <v>19</v>
      </c>
      <c r="AN1863" s="175">
        <v>1</v>
      </c>
      <c r="AO1863" s="175">
        <v>63</v>
      </c>
      <c r="AP1863" s="175">
        <v>39</v>
      </c>
      <c r="AQ1863" s="175">
        <v>13</v>
      </c>
      <c r="AR1863" s="175">
        <v>0</v>
      </c>
      <c r="AS1863" s="175">
        <v>10</v>
      </c>
      <c r="AT1863" s="175">
        <v>8</v>
      </c>
    </row>
    <row r="1864" spans="1:46">
      <c r="A1864">
        <v>45192</v>
      </c>
      <c r="B1864" t="s">
        <v>11067</v>
      </c>
      <c r="C1864" t="s">
        <v>11068</v>
      </c>
      <c r="D1864" t="s">
        <v>11069</v>
      </c>
      <c r="E1864" t="s">
        <v>11070</v>
      </c>
      <c r="G1864" t="s">
        <v>1923</v>
      </c>
      <c r="H1864" t="s">
        <v>449</v>
      </c>
      <c r="J1864" t="s">
        <v>605</v>
      </c>
      <c r="K1864" t="s">
        <v>606</v>
      </c>
      <c r="M1864" t="s">
        <v>1382</v>
      </c>
      <c r="N1864" t="s">
        <v>625</v>
      </c>
      <c r="O1864" t="s">
        <v>1968</v>
      </c>
      <c r="P1864" t="s">
        <v>670</v>
      </c>
      <c r="Q1864" t="s">
        <v>553</v>
      </c>
      <c r="R1864" t="s">
        <v>1841</v>
      </c>
      <c r="S1864" t="s">
        <v>1923</v>
      </c>
      <c r="T1864" t="s">
        <v>1568</v>
      </c>
      <c r="U1864">
        <v>225700</v>
      </c>
      <c r="V1864" t="s">
        <v>10327</v>
      </c>
      <c r="W1864" t="s">
        <v>1734</v>
      </c>
      <c r="X1864" t="s">
        <v>10463</v>
      </c>
      <c r="Y1864" t="s">
        <v>4014</v>
      </c>
      <c r="Z1864" t="s">
        <v>4015</v>
      </c>
      <c r="AA1864" t="s">
        <v>4016</v>
      </c>
      <c r="AB1864" t="s">
        <v>10464</v>
      </c>
      <c r="AC1864">
        <v>99219</v>
      </c>
      <c r="AD1864" t="s">
        <v>1981</v>
      </c>
      <c r="AE1864">
        <v>-39.925074410000001</v>
      </c>
      <c r="AF1864">
        <v>175.03758113999999</v>
      </c>
      <c r="AG1864" s="175">
        <v>110</v>
      </c>
      <c r="AH1864" s="175">
        <v>25</v>
      </c>
      <c r="AI1864" s="175">
        <v>9</v>
      </c>
      <c r="AJ1864" s="175">
        <v>19</v>
      </c>
      <c r="AK1864" s="175">
        <v>27</v>
      </c>
      <c r="AL1864" s="175">
        <v>22</v>
      </c>
      <c r="AM1864" s="175">
        <v>28</v>
      </c>
      <c r="AN1864" s="175">
        <v>4</v>
      </c>
      <c r="AO1864" s="175">
        <v>109</v>
      </c>
      <c r="AP1864" s="175">
        <v>68</v>
      </c>
      <c r="AQ1864" s="175">
        <v>32</v>
      </c>
      <c r="AR1864" s="175">
        <v>3</v>
      </c>
      <c r="AS1864" s="175">
        <v>30</v>
      </c>
      <c r="AT1864" s="175">
        <v>3</v>
      </c>
    </row>
    <row r="1865" spans="1:46">
      <c r="A1865">
        <v>45200</v>
      </c>
      <c r="B1865" t="s">
        <v>11071</v>
      </c>
      <c r="C1865" t="s">
        <v>11072</v>
      </c>
      <c r="D1865" t="s">
        <v>8197</v>
      </c>
      <c r="E1865" t="s">
        <v>11073</v>
      </c>
      <c r="G1865" t="s">
        <v>767</v>
      </c>
      <c r="H1865" t="s">
        <v>449</v>
      </c>
      <c r="J1865" t="s">
        <v>4032</v>
      </c>
      <c r="K1865" t="s">
        <v>606</v>
      </c>
      <c r="M1865" t="s">
        <v>607</v>
      </c>
      <c r="N1865" t="s">
        <v>657</v>
      </c>
      <c r="O1865" t="s">
        <v>1253</v>
      </c>
      <c r="P1865" t="s">
        <v>739</v>
      </c>
      <c r="Q1865" t="s">
        <v>467</v>
      </c>
      <c r="R1865" t="s">
        <v>724</v>
      </c>
      <c r="S1865" t="s">
        <v>740</v>
      </c>
      <c r="T1865" t="s">
        <v>613</v>
      </c>
      <c r="U1865">
        <v>118600</v>
      </c>
      <c r="V1865" t="s">
        <v>4082</v>
      </c>
      <c r="W1865" t="s">
        <v>742</v>
      </c>
      <c r="X1865" t="s">
        <v>4905</v>
      </c>
      <c r="Y1865" t="s">
        <v>4906</v>
      </c>
      <c r="Z1865" t="s">
        <v>4907</v>
      </c>
      <c r="AA1865" t="s">
        <v>4551</v>
      </c>
      <c r="AE1865">
        <v>-36.741930959999998</v>
      </c>
      <c r="AF1865">
        <v>174.72371630000001</v>
      </c>
      <c r="AG1865" s="175">
        <v>50</v>
      </c>
      <c r="AH1865" s="175">
        <v>10</v>
      </c>
      <c r="AI1865" s="175">
        <v>1</v>
      </c>
      <c r="AJ1865" s="175">
        <v>5</v>
      </c>
      <c r="AK1865" s="175">
        <v>8</v>
      </c>
      <c r="AL1865" s="175">
        <v>7</v>
      </c>
      <c r="AM1865" s="175">
        <v>1</v>
      </c>
      <c r="AN1865" s="175">
        <v>1</v>
      </c>
      <c r="AO1865" s="175">
        <v>23</v>
      </c>
      <c r="AP1865" s="175">
        <v>15</v>
      </c>
      <c r="AQ1865" s="175">
        <v>0</v>
      </c>
      <c r="AR1865" s="175">
        <v>2</v>
      </c>
      <c r="AS1865" s="175">
        <v>17</v>
      </c>
      <c r="AT1865" s="175">
        <v>0</v>
      </c>
    </row>
    <row r="1866" spans="1:46">
      <c r="A1866">
        <v>45201</v>
      </c>
      <c r="B1866" t="s">
        <v>11074</v>
      </c>
      <c r="C1866" t="s">
        <v>11075</v>
      </c>
      <c r="E1866" t="s">
        <v>11076</v>
      </c>
      <c r="G1866" t="s">
        <v>11077</v>
      </c>
      <c r="H1866" t="s">
        <v>301</v>
      </c>
      <c r="J1866" t="s">
        <v>605</v>
      </c>
      <c r="K1866" t="s">
        <v>606</v>
      </c>
      <c r="M1866" t="s">
        <v>2366</v>
      </c>
      <c r="N1866" t="s">
        <v>657</v>
      </c>
      <c r="O1866" t="s">
        <v>2900</v>
      </c>
      <c r="P1866" t="s">
        <v>626</v>
      </c>
      <c r="Q1866" t="s">
        <v>519</v>
      </c>
      <c r="R1866" t="s">
        <v>2901</v>
      </c>
      <c r="S1866" t="s">
        <v>2902</v>
      </c>
      <c r="T1866" t="s">
        <v>2526</v>
      </c>
      <c r="U1866">
        <v>307400</v>
      </c>
      <c r="V1866" t="s">
        <v>11078</v>
      </c>
      <c r="W1866" t="s">
        <v>3939</v>
      </c>
      <c r="X1866" t="s">
        <v>11079</v>
      </c>
      <c r="Y1866" t="s">
        <v>5253</v>
      </c>
      <c r="AA1866" t="s">
        <v>5254</v>
      </c>
      <c r="AB1866" t="s">
        <v>11080</v>
      </c>
      <c r="AE1866">
        <v>-41.458745700000001</v>
      </c>
      <c r="AF1866">
        <v>173.9673043</v>
      </c>
      <c r="AG1866" s="175">
        <v>24</v>
      </c>
      <c r="AH1866" s="175">
        <v>20</v>
      </c>
      <c r="AI1866" s="175">
        <v>2</v>
      </c>
      <c r="AJ1866" s="175">
        <v>3</v>
      </c>
      <c r="AK1866" s="175">
        <v>6</v>
      </c>
      <c r="AL1866" s="175">
        <v>3</v>
      </c>
      <c r="AM1866" s="175">
        <v>0</v>
      </c>
      <c r="AN1866" s="175">
        <v>0</v>
      </c>
      <c r="AO1866" s="175">
        <v>14</v>
      </c>
      <c r="AP1866" s="175">
        <v>14</v>
      </c>
      <c r="AQ1866" s="175">
        <v>0</v>
      </c>
      <c r="AR1866" s="175">
        <v>1</v>
      </c>
      <c r="AS1866" s="175">
        <v>0</v>
      </c>
      <c r="AT1866" s="175">
        <v>0</v>
      </c>
    </row>
    <row r="1867" spans="1:46">
      <c r="A1867">
        <v>45204</v>
      </c>
      <c r="B1867" t="s">
        <v>11081</v>
      </c>
      <c r="C1867" t="s">
        <v>11082</v>
      </c>
      <c r="D1867" t="s">
        <v>4864</v>
      </c>
      <c r="E1867" t="s">
        <v>4865</v>
      </c>
      <c r="F1867" t="s">
        <v>932</v>
      </c>
      <c r="G1867" t="s">
        <v>737</v>
      </c>
      <c r="H1867" t="s">
        <v>449</v>
      </c>
      <c r="I1867" t="s">
        <v>4320</v>
      </c>
      <c r="J1867" t="s">
        <v>605</v>
      </c>
      <c r="K1867" t="s">
        <v>606</v>
      </c>
      <c r="M1867" t="s">
        <v>607</v>
      </c>
      <c r="N1867" t="s">
        <v>812</v>
      </c>
      <c r="O1867" t="s">
        <v>933</v>
      </c>
      <c r="P1867" t="s">
        <v>739</v>
      </c>
      <c r="Q1867" t="s">
        <v>467</v>
      </c>
      <c r="R1867" t="s">
        <v>814</v>
      </c>
      <c r="S1867" t="s">
        <v>934</v>
      </c>
      <c r="T1867" t="s">
        <v>794</v>
      </c>
      <c r="U1867">
        <v>150200</v>
      </c>
      <c r="V1867" t="s">
        <v>1025</v>
      </c>
      <c r="W1867" t="s">
        <v>817</v>
      </c>
      <c r="X1867" t="s">
        <v>11083</v>
      </c>
      <c r="Y1867" t="s">
        <v>4865</v>
      </c>
      <c r="Z1867" t="s">
        <v>1030</v>
      </c>
      <c r="AA1867" t="s">
        <v>4604</v>
      </c>
      <c r="AB1867" t="s">
        <v>11082</v>
      </c>
      <c r="AE1867">
        <v>-36.968861949999997</v>
      </c>
      <c r="AF1867">
        <v>174.79559842</v>
      </c>
      <c r="AG1867" s="175">
        <v>25</v>
      </c>
      <c r="AH1867" s="175">
        <v>25</v>
      </c>
      <c r="AI1867" s="175">
        <v>0</v>
      </c>
      <c r="AJ1867" s="175">
        <v>10</v>
      </c>
      <c r="AK1867" s="175">
        <v>10</v>
      </c>
      <c r="AL1867" s="175">
        <v>0</v>
      </c>
      <c r="AM1867" s="175">
        <v>0</v>
      </c>
      <c r="AN1867" s="175">
        <v>0</v>
      </c>
      <c r="AO1867" s="175">
        <v>20</v>
      </c>
      <c r="AP1867" s="175">
        <v>2</v>
      </c>
      <c r="AQ1867" s="175">
        <v>2</v>
      </c>
      <c r="AR1867" s="175">
        <v>20</v>
      </c>
      <c r="AS1867" s="175">
        <v>0</v>
      </c>
      <c r="AT1867" s="175">
        <v>0</v>
      </c>
    </row>
    <row r="1868" spans="1:46">
      <c r="A1868">
        <v>45205</v>
      </c>
      <c r="B1868" t="s">
        <v>11084</v>
      </c>
      <c r="C1868" t="s">
        <v>11085</v>
      </c>
      <c r="D1868" t="s">
        <v>11086</v>
      </c>
      <c r="E1868" t="s">
        <v>11087</v>
      </c>
      <c r="F1868" t="s">
        <v>888</v>
      </c>
      <c r="G1868" t="s">
        <v>737</v>
      </c>
      <c r="H1868" t="s">
        <v>449</v>
      </c>
      <c r="J1868" t="s">
        <v>4032</v>
      </c>
      <c r="K1868" t="s">
        <v>606</v>
      </c>
      <c r="M1868" t="s">
        <v>607</v>
      </c>
      <c r="N1868" t="s">
        <v>657</v>
      </c>
      <c r="O1868" t="s">
        <v>889</v>
      </c>
      <c r="P1868" t="s">
        <v>739</v>
      </c>
      <c r="Q1868" t="s">
        <v>467</v>
      </c>
      <c r="R1868" t="s">
        <v>793</v>
      </c>
      <c r="S1868" t="s">
        <v>890</v>
      </c>
      <c r="T1868" t="s">
        <v>794</v>
      </c>
      <c r="U1868">
        <v>144400</v>
      </c>
      <c r="V1868" t="s">
        <v>891</v>
      </c>
      <c r="W1868" t="s">
        <v>892</v>
      </c>
      <c r="X1868" t="s">
        <v>4700</v>
      </c>
      <c r="Y1868" t="s">
        <v>7530</v>
      </c>
      <c r="Z1868" t="s">
        <v>1319</v>
      </c>
      <c r="AA1868" t="s">
        <v>11088</v>
      </c>
      <c r="AB1868" t="s">
        <v>4703</v>
      </c>
      <c r="AE1868">
        <v>-36.898103749999997</v>
      </c>
      <c r="AF1868">
        <v>174.82217778</v>
      </c>
      <c r="AG1868" s="175">
        <v>60</v>
      </c>
      <c r="AH1868" s="175">
        <v>30</v>
      </c>
      <c r="AI1868" s="175">
        <v>3</v>
      </c>
      <c r="AJ1868" s="175">
        <v>14</v>
      </c>
      <c r="AK1868" s="175">
        <v>15</v>
      </c>
      <c r="AL1868" s="175">
        <v>18</v>
      </c>
      <c r="AM1868" s="175">
        <v>14</v>
      </c>
      <c r="AN1868" s="175">
        <v>1</v>
      </c>
      <c r="AO1868" s="175">
        <v>65</v>
      </c>
      <c r="AP1868" s="175">
        <v>18</v>
      </c>
      <c r="AQ1868" s="175">
        <v>3</v>
      </c>
      <c r="AR1868" s="175">
        <v>4</v>
      </c>
      <c r="AS1868" s="175">
        <v>47</v>
      </c>
      <c r="AT1868" s="175">
        <v>3</v>
      </c>
    </row>
    <row r="1869" spans="1:46">
      <c r="A1869">
        <v>45207</v>
      </c>
      <c r="B1869" t="s">
        <v>11089</v>
      </c>
      <c r="C1869" t="s">
        <v>11090</v>
      </c>
      <c r="D1869" t="s">
        <v>11091</v>
      </c>
      <c r="E1869" t="s">
        <v>11092</v>
      </c>
      <c r="G1869" t="s">
        <v>1346</v>
      </c>
      <c r="H1869" t="s">
        <v>449</v>
      </c>
      <c r="J1869" t="s">
        <v>4032</v>
      </c>
      <c r="K1869" t="s">
        <v>606</v>
      </c>
      <c r="M1869" t="s">
        <v>607</v>
      </c>
      <c r="N1869" t="s">
        <v>657</v>
      </c>
      <c r="O1869" t="s">
        <v>1318</v>
      </c>
      <c r="P1869" t="s">
        <v>610</v>
      </c>
      <c r="Q1869" t="s">
        <v>467</v>
      </c>
      <c r="R1869" t="s">
        <v>814</v>
      </c>
      <c r="S1869" t="s">
        <v>1331</v>
      </c>
      <c r="T1869" t="s">
        <v>1320</v>
      </c>
      <c r="U1869">
        <v>163801</v>
      </c>
      <c r="V1869" t="s">
        <v>7851</v>
      </c>
      <c r="W1869" t="s">
        <v>1322</v>
      </c>
      <c r="X1869" t="s">
        <v>11093</v>
      </c>
      <c r="Y1869" t="s">
        <v>11094</v>
      </c>
      <c r="AA1869" t="s">
        <v>11095</v>
      </c>
      <c r="AC1869">
        <v>99075</v>
      </c>
      <c r="AD1869" t="s">
        <v>1349</v>
      </c>
      <c r="AE1869">
        <v>-37.19338071</v>
      </c>
      <c r="AF1869">
        <v>174.82217349999999</v>
      </c>
      <c r="AG1869" s="175">
        <v>30</v>
      </c>
      <c r="AH1869" s="175">
        <v>1</v>
      </c>
      <c r="AI1869" s="175">
        <v>0</v>
      </c>
      <c r="AJ1869" s="175">
        <v>0</v>
      </c>
      <c r="AK1869" s="175">
        <v>9</v>
      </c>
      <c r="AL1869" s="175">
        <v>8</v>
      </c>
      <c r="AM1869" s="175">
        <v>13</v>
      </c>
      <c r="AN1869" s="175">
        <v>1</v>
      </c>
      <c r="AO1869" s="175">
        <v>31</v>
      </c>
      <c r="AP1869" s="175">
        <v>31</v>
      </c>
      <c r="AQ1869" s="175">
        <v>1</v>
      </c>
      <c r="AR1869" s="175">
        <v>5</v>
      </c>
      <c r="AS1869" s="175">
        <v>0</v>
      </c>
      <c r="AT1869" s="175">
        <v>0</v>
      </c>
    </row>
    <row r="1870" spans="1:46">
      <c r="A1870">
        <v>45210</v>
      </c>
      <c r="B1870" t="s">
        <v>11096</v>
      </c>
      <c r="C1870" t="s">
        <v>8463</v>
      </c>
      <c r="D1870" t="s">
        <v>8464</v>
      </c>
      <c r="E1870" t="s">
        <v>8465</v>
      </c>
      <c r="F1870" t="s">
        <v>8466</v>
      </c>
      <c r="G1870" t="s">
        <v>1681</v>
      </c>
      <c r="H1870" t="s">
        <v>450</v>
      </c>
      <c r="J1870" t="s">
        <v>4032</v>
      </c>
      <c r="K1870" t="s">
        <v>606</v>
      </c>
      <c r="M1870" t="s">
        <v>1382</v>
      </c>
      <c r="N1870" t="s">
        <v>657</v>
      </c>
      <c r="O1870" t="s">
        <v>1780</v>
      </c>
      <c r="P1870" t="s">
        <v>739</v>
      </c>
      <c r="Q1870" t="s">
        <v>511</v>
      </c>
      <c r="R1870" t="s">
        <v>1555</v>
      </c>
      <c r="S1870" t="s">
        <v>1681</v>
      </c>
      <c r="T1870" t="s">
        <v>1557</v>
      </c>
      <c r="U1870">
        <v>193800</v>
      </c>
      <c r="V1870" t="s">
        <v>8466</v>
      </c>
      <c r="W1870" t="s">
        <v>3795</v>
      </c>
      <c r="X1870" t="s">
        <v>10714</v>
      </c>
      <c r="Y1870" t="s">
        <v>8465</v>
      </c>
      <c r="AA1870" t="s">
        <v>8468</v>
      </c>
      <c r="AB1870" t="s">
        <v>8533</v>
      </c>
      <c r="AE1870">
        <v>-37.684248050000001</v>
      </c>
      <c r="AF1870">
        <v>176.16808601</v>
      </c>
      <c r="AG1870" s="175">
        <v>50</v>
      </c>
      <c r="AH1870" s="175">
        <v>50</v>
      </c>
      <c r="AI1870" s="175">
        <v>1</v>
      </c>
      <c r="AJ1870" s="175">
        <v>6</v>
      </c>
      <c r="AK1870" s="175">
        <v>11</v>
      </c>
      <c r="AL1870" s="175">
        <v>12</v>
      </c>
      <c r="AM1870" s="175">
        <v>6</v>
      </c>
      <c r="AN1870" s="175">
        <v>1</v>
      </c>
      <c r="AO1870" s="175">
        <v>37</v>
      </c>
      <c r="AP1870" s="175">
        <v>28</v>
      </c>
      <c r="AQ1870" s="175">
        <v>5</v>
      </c>
      <c r="AR1870" s="175">
        <v>2</v>
      </c>
      <c r="AS1870" s="175">
        <v>1</v>
      </c>
      <c r="AT1870" s="175">
        <v>4</v>
      </c>
    </row>
    <row r="1871" spans="1:46">
      <c r="A1871">
        <v>45217</v>
      </c>
      <c r="B1871" t="s">
        <v>11097</v>
      </c>
      <c r="C1871" t="s">
        <v>11098</v>
      </c>
      <c r="D1871" t="s">
        <v>11099</v>
      </c>
      <c r="E1871" t="s">
        <v>11100</v>
      </c>
      <c r="G1871" t="s">
        <v>3754</v>
      </c>
      <c r="H1871" t="s">
        <v>449</v>
      </c>
      <c r="J1871" t="s">
        <v>4032</v>
      </c>
      <c r="K1871" t="s">
        <v>606</v>
      </c>
      <c r="M1871" t="s">
        <v>1382</v>
      </c>
      <c r="N1871" t="s">
        <v>625</v>
      </c>
      <c r="O1871" t="s">
        <v>1521</v>
      </c>
      <c r="P1871" t="s">
        <v>610</v>
      </c>
      <c r="Q1871" t="s">
        <v>510</v>
      </c>
      <c r="R1871" t="s">
        <v>1384</v>
      </c>
      <c r="S1871" t="s">
        <v>1522</v>
      </c>
      <c r="T1871" t="s">
        <v>1320</v>
      </c>
      <c r="U1871">
        <v>169500</v>
      </c>
      <c r="V1871" t="s">
        <v>3755</v>
      </c>
      <c r="W1871" t="s">
        <v>3756</v>
      </c>
      <c r="X1871" t="s">
        <v>11101</v>
      </c>
      <c r="Y1871" t="s">
        <v>11100</v>
      </c>
      <c r="Z1871" t="s">
        <v>3754</v>
      </c>
      <c r="AA1871" t="s">
        <v>11102</v>
      </c>
      <c r="AB1871" t="s">
        <v>11103</v>
      </c>
      <c r="AC1871">
        <v>99089</v>
      </c>
      <c r="AD1871" t="s">
        <v>3757</v>
      </c>
      <c r="AE1871">
        <v>-37.379724000000003</v>
      </c>
      <c r="AF1871">
        <v>175.8541414</v>
      </c>
      <c r="AG1871" s="175">
        <v>23</v>
      </c>
      <c r="AH1871" s="175">
        <v>8</v>
      </c>
      <c r="AI1871" s="175">
        <v>2</v>
      </c>
      <c r="AJ1871" s="175">
        <v>0</v>
      </c>
      <c r="AK1871" s="175">
        <v>6</v>
      </c>
      <c r="AL1871" s="175">
        <v>6</v>
      </c>
      <c r="AM1871" s="175">
        <v>5</v>
      </c>
      <c r="AN1871" s="175">
        <v>1</v>
      </c>
      <c r="AO1871" s="175">
        <v>20</v>
      </c>
      <c r="AP1871" s="175">
        <v>14</v>
      </c>
      <c r="AQ1871" s="175">
        <v>8</v>
      </c>
      <c r="AR1871" s="175">
        <v>1</v>
      </c>
      <c r="AS1871" s="175">
        <v>5</v>
      </c>
      <c r="AT1871" s="175">
        <v>0</v>
      </c>
    </row>
    <row r="1872" spans="1:46">
      <c r="A1872">
        <v>45226</v>
      </c>
      <c r="B1872" t="s">
        <v>11104</v>
      </c>
      <c r="C1872" t="s">
        <v>11105</v>
      </c>
      <c r="D1872" t="s">
        <v>11106</v>
      </c>
      <c r="E1872" t="s">
        <v>11107</v>
      </c>
      <c r="F1872" t="s">
        <v>5099</v>
      </c>
      <c r="G1872" t="s">
        <v>668</v>
      </c>
      <c r="H1872" t="s">
        <v>449</v>
      </c>
      <c r="J1872" t="s">
        <v>4032</v>
      </c>
      <c r="K1872" t="s">
        <v>606</v>
      </c>
      <c r="M1872" t="s">
        <v>607</v>
      </c>
      <c r="N1872" t="s">
        <v>643</v>
      </c>
      <c r="O1872" t="s">
        <v>669</v>
      </c>
      <c r="P1872" t="s">
        <v>670</v>
      </c>
      <c r="Q1872" t="s">
        <v>509</v>
      </c>
      <c r="R1872" t="s">
        <v>611</v>
      </c>
      <c r="S1872" t="s">
        <v>671</v>
      </c>
      <c r="T1872" t="s">
        <v>613</v>
      </c>
      <c r="U1872">
        <v>106800</v>
      </c>
      <c r="V1872" t="s">
        <v>688</v>
      </c>
      <c r="W1872" t="s">
        <v>673</v>
      </c>
      <c r="X1872" t="s">
        <v>11108</v>
      </c>
      <c r="Y1872" t="s">
        <v>11109</v>
      </c>
      <c r="Z1872" t="s">
        <v>618</v>
      </c>
      <c r="AA1872" t="s">
        <v>4596</v>
      </c>
      <c r="AB1872" t="s">
        <v>11110</v>
      </c>
      <c r="AC1872">
        <v>99181</v>
      </c>
      <c r="AD1872" t="s">
        <v>680</v>
      </c>
      <c r="AE1872">
        <v>-35.702677829999999</v>
      </c>
      <c r="AF1872">
        <v>174.32529482000001</v>
      </c>
      <c r="AG1872" s="175">
        <v>33</v>
      </c>
      <c r="AH1872" s="175">
        <v>20</v>
      </c>
      <c r="AI1872" s="175">
        <v>2</v>
      </c>
      <c r="AJ1872" s="175">
        <v>7</v>
      </c>
      <c r="AK1872" s="175">
        <v>6</v>
      </c>
      <c r="AL1872" s="175">
        <v>8</v>
      </c>
      <c r="AM1872" s="175">
        <v>7</v>
      </c>
      <c r="AN1872" s="175">
        <v>1</v>
      </c>
      <c r="AO1872" s="175">
        <v>31</v>
      </c>
      <c r="AP1872" s="175">
        <v>12</v>
      </c>
      <c r="AQ1872" s="175">
        <v>30</v>
      </c>
      <c r="AR1872" s="175">
        <v>4</v>
      </c>
      <c r="AS1872" s="175">
        <v>3</v>
      </c>
      <c r="AT1872" s="175">
        <v>1</v>
      </c>
    </row>
    <row r="1873" spans="1:46">
      <c r="A1873">
        <v>45229</v>
      </c>
      <c r="B1873" t="s">
        <v>11111</v>
      </c>
      <c r="C1873" t="s">
        <v>11112</v>
      </c>
      <c r="D1873" t="s">
        <v>11113</v>
      </c>
      <c r="E1873" t="s">
        <v>11114</v>
      </c>
      <c r="F1873" t="s">
        <v>11115</v>
      </c>
      <c r="G1873" t="s">
        <v>2368</v>
      </c>
      <c r="H1873" t="s">
        <v>452</v>
      </c>
      <c r="J1873" t="s">
        <v>605</v>
      </c>
      <c r="K1873" t="s">
        <v>606</v>
      </c>
      <c r="M1873" t="s">
        <v>2366</v>
      </c>
      <c r="N1873" t="s">
        <v>657</v>
      </c>
      <c r="O1873" t="s">
        <v>2614</v>
      </c>
      <c r="P1873" t="s">
        <v>739</v>
      </c>
      <c r="Q1873" t="s">
        <v>516</v>
      </c>
      <c r="R1873" t="s">
        <v>2368</v>
      </c>
      <c r="S1873" t="s">
        <v>2615</v>
      </c>
      <c r="T1873" t="s">
        <v>2526</v>
      </c>
      <c r="U1873">
        <v>252700</v>
      </c>
      <c r="V1873" t="s">
        <v>11116</v>
      </c>
      <c r="W1873" t="s">
        <v>2616</v>
      </c>
      <c r="X1873" t="s">
        <v>1970</v>
      </c>
      <c r="Y1873" t="s">
        <v>1971</v>
      </c>
      <c r="AA1873" t="s">
        <v>1972</v>
      </c>
      <c r="AB1873" t="s">
        <v>1973</v>
      </c>
      <c r="AC1873">
        <v>99171</v>
      </c>
      <c r="AD1873" t="s">
        <v>2617</v>
      </c>
      <c r="AE1873">
        <v>-41.339179049999998</v>
      </c>
      <c r="AF1873">
        <v>174.76029947000001</v>
      </c>
      <c r="AG1873" s="175">
        <v>45</v>
      </c>
      <c r="AH1873" s="175">
        <v>10</v>
      </c>
      <c r="AI1873" s="175">
        <v>0</v>
      </c>
      <c r="AJ1873" s="175">
        <v>4</v>
      </c>
      <c r="AK1873" s="175">
        <v>13</v>
      </c>
      <c r="AL1873" s="175">
        <v>15</v>
      </c>
      <c r="AM1873" s="175">
        <v>18</v>
      </c>
      <c r="AN1873" s="175">
        <v>1</v>
      </c>
      <c r="AO1873" s="175">
        <v>51</v>
      </c>
      <c r="AP1873" s="175">
        <v>45</v>
      </c>
      <c r="AQ1873" s="175">
        <v>8</v>
      </c>
      <c r="AR1873" s="175">
        <v>3</v>
      </c>
      <c r="AS1873" s="175">
        <v>4</v>
      </c>
      <c r="AT1873" s="175">
        <v>2</v>
      </c>
    </row>
    <row r="1874" spans="1:46">
      <c r="A1874">
        <v>45230</v>
      </c>
      <c r="B1874" t="s">
        <v>11117</v>
      </c>
      <c r="C1874" t="s">
        <v>11118</v>
      </c>
      <c r="E1874" t="s">
        <v>11119</v>
      </c>
      <c r="F1874" t="s">
        <v>3777</v>
      </c>
      <c r="G1874" t="s">
        <v>4393</v>
      </c>
      <c r="H1874" t="s">
        <v>449</v>
      </c>
      <c r="J1874" t="s">
        <v>4032</v>
      </c>
      <c r="K1874" t="s">
        <v>606</v>
      </c>
      <c r="M1874" t="s">
        <v>607</v>
      </c>
      <c r="N1874" t="s">
        <v>657</v>
      </c>
      <c r="O1874" t="s">
        <v>1253</v>
      </c>
      <c r="P1874" t="s">
        <v>739</v>
      </c>
      <c r="Q1874" t="s">
        <v>467</v>
      </c>
      <c r="R1874" t="s">
        <v>724</v>
      </c>
      <c r="S1874" t="s">
        <v>740</v>
      </c>
      <c r="T1874" t="s">
        <v>613</v>
      </c>
      <c r="U1874">
        <v>118600</v>
      </c>
      <c r="V1874" t="s">
        <v>4082</v>
      </c>
      <c r="W1874" t="s">
        <v>742</v>
      </c>
      <c r="X1874" t="s">
        <v>11120</v>
      </c>
      <c r="Y1874" t="s">
        <v>11121</v>
      </c>
      <c r="Z1874" t="s">
        <v>11122</v>
      </c>
      <c r="AA1874" t="s">
        <v>11123</v>
      </c>
      <c r="AB1874" t="s">
        <v>11124</v>
      </c>
      <c r="AE1874">
        <v>-36.75153718</v>
      </c>
      <c r="AF1874">
        <v>174.69510009999999</v>
      </c>
      <c r="AG1874" s="175">
        <v>80</v>
      </c>
      <c r="AH1874" s="175">
        <v>25</v>
      </c>
      <c r="AI1874" s="175">
        <v>2</v>
      </c>
      <c r="AJ1874" s="175">
        <v>10</v>
      </c>
      <c r="AK1874" s="175">
        <v>15</v>
      </c>
      <c r="AL1874" s="175">
        <v>16</v>
      </c>
      <c r="AM1874" s="175">
        <v>12</v>
      </c>
      <c r="AN1874" s="175">
        <v>1</v>
      </c>
      <c r="AO1874" s="175">
        <v>56</v>
      </c>
      <c r="AP1874" s="175">
        <v>38</v>
      </c>
      <c r="AQ1874" s="175">
        <v>9</v>
      </c>
      <c r="AR1874" s="175">
        <v>6</v>
      </c>
      <c r="AS1874" s="175">
        <v>18</v>
      </c>
      <c r="AT1874" s="175">
        <v>2</v>
      </c>
    </row>
    <row r="1875" spans="1:46">
      <c r="A1875">
        <v>45233</v>
      </c>
      <c r="B1875" t="s">
        <v>11125</v>
      </c>
      <c r="C1875" t="s">
        <v>11126</v>
      </c>
      <c r="D1875" t="s">
        <v>11127</v>
      </c>
      <c r="E1875" t="s">
        <v>11128</v>
      </c>
      <c r="F1875" t="s">
        <v>1429</v>
      </c>
      <c r="G1875" t="s">
        <v>1381</v>
      </c>
      <c r="H1875" t="s">
        <v>449</v>
      </c>
      <c r="J1875" t="s">
        <v>4032</v>
      </c>
      <c r="K1875" t="s">
        <v>606</v>
      </c>
      <c r="M1875" t="s">
        <v>1382</v>
      </c>
      <c r="N1875" t="s">
        <v>657</v>
      </c>
      <c r="O1875" t="s">
        <v>1383</v>
      </c>
      <c r="P1875" t="s">
        <v>739</v>
      </c>
      <c r="Q1875" t="s">
        <v>510</v>
      </c>
      <c r="R1875" t="s">
        <v>1384</v>
      </c>
      <c r="S1875" t="s">
        <v>1385</v>
      </c>
      <c r="T1875" t="s">
        <v>1320</v>
      </c>
      <c r="U1875">
        <v>178701</v>
      </c>
      <c r="V1875" t="s">
        <v>1430</v>
      </c>
      <c r="W1875" t="s">
        <v>1387</v>
      </c>
      <c r="X1875" t="s">
        <v>10900</v>
      </c>
      <c r="Y1875" t="s">
        <v>4166</v>
      </c>
      <c r="Z1875" t="s">
        <v>4167</v>
      </c>
      <c r="AA1875" t="s">
        <v>4168</v>
      </c>
      <c r="AE1875">
        <v>-37.791575829999999</v>
      </c>
      <c r="AF1875">
        <v>175.25342119999999</v>
      </c>
      <c r="AG1875" s="175">
        <v>100</v>
      </c>
      <c r="AH1875" s="175">
        <v>40</v>
      </c>
      <c r="AI1875" s="175">
        <v>5</v>
      </c>
      <c r="AJ1875" s="175">
        <v>10</v>
      </c>
      <c r="AK1875" s="175">
        <v>25</v>
      </c>
      <c r="AL1875" s="175">
        <v>25</v>
      </c>
      <c r="AM1875" s="175">
        <v>21</v>
      </c>
      <c r="AN1875" s="175">
        <v>3</v>
      </c>
      <c r="AO1875" s="175">
        <v>89</v>
      </c>
      <c r="AP1875" s="175">
        <v>44</v>
      </c>
      <c r="AQ1875" s="175">
        <v>41</v>
      </c>
      <c r="AR1875" s="175">
        <v>15</v>
      </c>
      <c r="AS1875" s="175">
        <v>22</v>
      </c>
      <c r="AT1875" s="175">
        <v>9</v>
      </c>
    </row>
    <row r="1876" spans="1:46">
      <c r="A1876">
        <v>45248</v>
      </c>
      <c r="B1876" t="s">
        <v>11129</v>
      </c>
      <c r="C1876" t="s">
        <v>11130</v>
      </c>
      <c r="D1876" t="s">
        <v>11131</v>
      </c>
      <c r="E1876" t="s">
        <v>11132</v>
      </c>
      <c r="F1876" t="s">
        <v>3014</v>
      </c>
      <c r="G1876" t="s">
        <v>3015</v>
      </c>
      <c r="H1876" t="s">
        <v>449</v>
      </c>
      <c r="J1876" t="s">
        <v>4032</v>
      </c>
      <c r="K1876" t="s">
        <v>606</v>
      </c>
      <c r="M1876" t="s">
        <v>2366</v>
      </c>
      <c r="N1876" t="s">
        <v>657</v>
      </c>
      <c r="O1876" t="s">
        <v>3016</v>
      </c>
      <c r="P1876" t="s">
        <v>739</v>
      </c>
      <c r="Q1876" t="s">
        <v>521</v>
      </c>
      <c r="R1876" t="s">
        <v>3017</v>
      </c>
      <c r="S1876" t="s">
        <v>3018</v>
      </c>
      <c r="T1876" t="s">
        <v>2526</v>
      </c>
      <c r="U1876">
        <v>320700</v>
      </c>
      <c r="V1876" t="s">
        <v>11133</v>
      </c>
      <c r="W1876" t="s">
        <v>3020</v>
      </c>
      <c r="X1876" t="s">
        <v>11134</v>
      </c>
      <c r="Y1876" t="s">
        <v>11135</v>
      </c>
      <c r="AA1876" t="s">
        <v>11136</v>
      </c>
      <c r="AE1876">
        <v>-43.523993730000001</v>
      </c>
      <c r="AF1876">
        <v>172.56068110000001</v>
      </c>
      <c r="AG1876" s="175">
        <v>75</v>
      </c>
      <c r="AH1876" s="175">
        <v>25</v>
      </c>
      <c r="AI1876" s="175">
        <v>3</v>
      </c>
      <c r="AJ1876" s="175">
        <v>18</v>
      </c>
      <c r="AK1876" s="175">
        <v>13</v>
      </c>
      <c r="AL1876" s="175">
        <v>12</v>
      </c>
      <c r="AM1876" s="175">
        <v>21</v>
      </c>
      <c r="AN1876" s="175">
        <v>1</v>
      </c>
      <c r="AO1876" s="175">
        <v>68</v>
      </c>
      <c r="AP1876" s="175">
        <v>48</v>
      </c>
      <c r="AQ1876" s="175">
        <v>8</v>
      </c>
      <c r="AR1876" s="175">
        <v>3</v>
      </c>
      <c r="AS1876" s="175">
        <v>19</v>
      </c>
      <c r="AT1876" s="175">
        <v>2</v>
      </c>
    </row>
    <row r="1877" spans="1:46">
      <c r="A1877">
        <v>45250</v>
      </c>
      <c r="B1877" t="s">
        <v>11137</v>
      </c>
      <c r="D1877" t="s">
        <v>11138</v>
      </c>
      <c r="E1877" t="s">
        <v>11139</v>
      </c>
      <c r="F1877" t="s">
        <v>3593</v>
      </c>
      <c r="G1877" t="s">
        <v>3569</v>
      </c>
      <c r="H1877" t="s">
        <v>301</v>
      </c>
      <c r="J1877" t="s">
        <v>605</v>
      </c>
      <c r="K1877" t="s">
        <v>606</v>
      </c>
      <c r="M1877" t="s">
        <v>2366</v>
      </c>
      <c r="N1877" t="s">
        <v>643</v>
      </c>
      <c r="O1877" t="s">
        <v>3568</v>
      </c>
      <c r="P1877" t="s">
        <v>670</v>
      </c>
      <c r="Q1877" t="s">
        <v>523</v>
      </c>
      <c r="R1877" t="s">
        <v>3410</v>
      </c>
      <c r="S1877" t="s">
        <v>3569</v>
      </c>
      <c r="T1877" t="s">
        <v>2526</v>
      </c>
      <c r="U1877">
        <v>362601</v>
      </c>
      <c r="V1877" t="s">
        <v>3913</v>
      </c>
      <c r="W1877" t="s">
        <v>1734</v>
      </c>
      <c r="X1877" t="s">
        <v>11140</v>
      </c>
      <c r="Y1877" t="s">
        <v>5253</v>
      </c>
      <c r="AA1877" t="s">
        <v>5254</v>
      </c>
      <c r="AB1877" t="s">
        <v>11141</v>
      </c>
      <c r="AE1877">
        <v>-46.432049499999998</v>
      </c>
      <c r="AF1877">
        <v>168.38380939999999</v>
      </c>
      <c r="AG1877" s="175">
        <v>20</v>
      </c>
      <c r="AH1877" s="175">
        <v>15</v>
      </c>
      <c r="AI1877" s="175">
        <v>45</v>
      </c>
      <c r="AJ1877" s="175">
        <v>0</v>
      </c>
      <c r="AK1877" s="175">
        <v>0</v>
      </c>
      <c r="AL1877" s="175">
        <v>0</v>
      </c>
      <c r="AM1877" s="175">
        <v>0</v>
      </c>
      <c r="AN1877" s="175">
        <v>0</v>
      </c>
      <c r="AO1877" s="175">
        <v>45</v>
      </c>
      <c r="AP1877" s="175">
        <v>44</v>
      </c>
      <c r="AQ1877" s="175">
        <v>8</v>
      </c>
      <c r="AR1877" s="175">
        <v>0</v>
      </c>
      <c r="AS1877" s="175">
        <v>4</v>
      </c>
      <c r="AT1877" s="175">
        <v>0</v>
      </c>
    </row>
    <row r="1878" spans="1:46">
      <c r="A1878">
        <v>45254</v>
      </c>
      <c r="B1878" t="s">
        <v>11142</v>
      </c>
      <c r="C1878" t="s">
        <v>9330</v>
      </c>
      <c r="D1878" t="s">
        <v>1378</v>
      </c>
      <c r="E1878" t="s">
        <v>11143</v>
      </c>
      <c r="F1878" t="s">
        <v>1396</v>
      </c>
      <c r="G1878" t="s">
        <v>1381</v>
      </c>
      <c r="H1878" t="s">
        <v>449</v>
      </c>
      <c r="J1878" t="s">
        <v>605</v>
      </c>
      <c r="K1878" t="s">
        <v>606</v>
      </c>
      <c r="M1878" t="s">
        <v>1382</v>
      </c>
      <c r="N1878" t="s">
        <v>657</v>
      </c>
      <c r="O1878" t="s">
        <v>1383</v>
      </c>
      <c r="P1878" t="s">
        <v>739</v>
      </c>
      <c r="Q1878" t="s">
        <v>510</v>
      </c>
      <c r="R1878" t="s">
        <v>1384</v>
      </c>
      <c r="S1878" t="s">
        <v>1396</v>
      </c>
      <c r="T1878" t="s">
        <v>1320</v>
      </c>
      <c r="U1878">
        <v>180200</v>
      </c>
      <c r="V1878" t="s">
        <v>1396</v>
      </c>
      <c r="W1878" t="s">
        <v>1398</v>
      </c>
      <c r="X1878" t="s">
        <v>1388</v>
      </c>
      <c r="Y1878" t="s">
        <v>1389</v>
      </c>
      <c r="Z1878" t="s">
        <v>1396</v>
      </c>
      <c r="AA1878" t="s">
        <v>1390</v>
      </c>
      <c r="AB1878" t="s">
        <v>1391</v>
      </c>
      <c r="AE1878">
        <v>-37.797151769999999</v>
      </c>
      <c r="AF1878">
        <v>175.30563691</v>
      </c>
      <c r="AG1878" s="175">
        <v>82</v>
      </c>
      <c r="AH1878" s="175">
        <v>35</v>
      </c>
      <c r="AI1878" s="175">
        <v>4</v>
      </c>
      <c r="AJ1878" s="175">
        <v>17</v>
      </c>
      <c r="AK1878" s="175">
        <v>21</v>
      </c>
      <c r="AL1878" s="175">
        <v>23</v>
      </c>
      <c r="AM1878" s="175">
        <v>23</v>
      </c>
      <c r="AN1878" s="175">
        <v>0</v>
      </c>
      <c r="AO1878" s="175">
        <v>88</v>
      </c>
      <c r="AP1878" s="175">
        <v>60</v>
      </c>
      <c r="AQ1878" s="175">
        <v>15</v>
      </c>
      <c r="AR1878" s="175">
        <v>3</v>
      </c>
      <c r="AS1878" s="175">
        <v>19</v>
      </c>
      <c r="AT1878" s="175">
        <v>5</v>
      </c>
    </row>
    <row r="1879" spans="1:46">
      <c r="A1879">
        <v>45256</v>
      </c>
      <c r="B1879" t="s">
        <v>11144</v>
      </c>
      <c r="C1879" t="s">
        <v>11145</v>
      </c>
      <c r="D1879" t="s">
        <v>11146</v>
      </c>
      <c r="E1879" t="s">
        <v>11147</v>
      </c>
      <c r="G1879" t="s">
        <v>3431</v>
      </c>
      <c r="H1879" t="s">
        <v>449</v>
      </c>
      <c r="J1879" t="s">
        <v>605</v>
      </c>
      <c r="K1879" t="s">
        <v>606</v>
      </c>
      <c r="M1879" t="s">
        <v>2366</v>
      </c>
      <c r="N1879" t="s">
        <v>812</v>
      </c>
      <c r="O1879" t="s">
        <v>3432</v>
      </c>
      <c r="P1879" t="s">
        <v>610</v>
      </c>
      <c r="Q1879" t="s">
        <v>522</v>
      </c>
      <c r="R1879" t="s">
        <v>3410</v>
      </c>
      <c r="S1879" t="s">
        <v>3433</v>
      </c>
      <c r="T1879" t="s">
        <v>2526</v>
      </c>
      <c r="U1879">
        <v>345600</v>
      </c>
      <c r="V1879" t="s">
        <v>3434</v>
      </c>
      <c r="W1879" t="s">
        <v>3435</v>
      </c>
      <c r="X1879" t="s">
        <v>11148</v>
      </c>
      <c r="Y1879" t="s">
        <v>4014</v>
      </c>
      <c r="Z1879" t="s">
        <v>4015</v>
      </c>
      <c r="AA1879" t="s">
        <v>4016</v>
      </c>
      <c r="AC1879">
        <v>99049</v>
      </c>
      <c r="AD1879" t="s">
        <v>3436</v>
      </c>
      <c r="AE1879">
        <v>-45.250445800000001</v>
      </c>
      <c r="AF1879">
        <v>169.38583349999999</v>
      </c>
      <c r="AG1879" s="175">
        <v>47</v>
      </c>
      <c r="AH1879" s="175">
        <v>15</v>
      </c>
      <c r="AI1879" s="175">
        <v>0</v>
      </c>
      <c r="AJ1879" s="175">
        <v>12</v>
      </c>
      <c r="AK1879" s="175">
        <v>12</v>
      </c>
      <c r="AL1879" s="175">
        <v>13</v>
      </c>
      <c r="AM1879" s="175">
        <v>11</v>
      </c>
      <c r="AN1879" s="175">
        <v>0</v>
      </c>
      <c r="AO1879" s="175">
        <v>48</v>
      </c>
      <c r="AP1879" s="175">
        <v>44</v>
      </c>
      <c r="AQ1879" s="175">
        <v>12</v>
      </c>
      <c r="AR1879" s="175">
        <v>0</v>
      </c>
      <c r="AS1879" s="175">
        <v>1</v>
      </c>
      <c r="AT1879" s="175">
        <v>3</v>
      </c>
    </row>
    <row r="1880" spans="1:46">
      <c r="A1880">
        <v>45257</v>
      </c>
      <c r="B1880" t="s">
        <v>11149</v>
      </c>
      <c r="C1880" t="s">
        <v>6331</v>
      </c>
      <c r="D1880" t="s">
        <v>11150</v>
      </c>
      <c r="E1880" t="s">
        <v>6332</v>
      </c>
      <c r="F1880" t="s">
        <v>3777</v>
      </c>
      <c r="G1880" t="s">
        <v>737</v>
      </c>
      <c r="H1880" t="s">
        <v>450</v>
      </c>
      <c r="J1880" t="s">
        <v>4032</v>
      </c>
      <c r="K1880" t="s">
        <v>606</v>
      </c>
      <c r="M1880" t="s">
        <v>607</v>
      </c>
      <c r="N1880" t="s">
        <v>657</v>
      </c>
      <c r="O1880" t="s">
        <v>1253</v>
      </c>
      <c r="P1880" t="s">
        <v>739</v>
      </c>
      <c r="Q1880" t="s">
        <v>467</v>
      </c>
      <c r="R1880" t="s">
        <v>724</v>
      </c>
      <c r="S1880" t="s">
        <v>740</v>
      </c>
      <c r="T1880" t="s">
        <v>613</v>
      </c>
      <c r="U1880">
        <v>117300</v>
      </c>
      <c r="V1880" t="s">
        <v>5769</v>
      </c>
      <c r="W1880" t="s">
        <v>742</v>
      </c>
      <c r="X1880" t="s">
        <v>6333</v>
      </c>
      <c r="Y1880" t="s">
        <v>6334</v>
      </c>
      <c r="Z1880" t="s">
        <v>3777</v>
      </c>
      <c r="AA1880" t="s">
        <v>6335</v>
      </c>
      <c r="AB1880" t="s">
        <v>6336</v>
      </c>
      <c r="AE1880">
        <v>-36.733572909999999</v>
      </c>
      <c r="AF1880">
        <v>174.71022905000001</v>
      </c>
      <c r="AG1880" s="175">
        <v>80</v>
      </c>
      <c r="AH1880" s="175">
        <v>80</v>
      </c>
      <c r="AI1880" s="175">
        <v>2</v>
      </c>
      <c r="AJ1880" s="175">
        <v>11</v>
      </c>
      <c r="AK1880" s="175">
        <v>19</v>
      </c>
      <c r="AL1880" s="175">
        <v>14</v>
      </c>
      <c r="AM1880" s="175">
        <v>13</v>
      </c>
      <c r="AN1880" s="175">
        <v>2</v>
      </c>
      <c r="AO1880" s="175">
        <v>61</v>
      </c>
      <c r="AP1880" s="175">
        <v>34</v>
      </c>
      <c r="AQ1880" s="175">
        <v>2</v>
      </c>
      <c r="AR1880" s="175">
        <v>19</v>
      </c>
      <c r="AS1880" s="175">
        <v>18</v>
      </c>
      <c r="AT1880" s="175">
        <v>1</v>
      </c>
    </row>
    <row r="1881" spans="1:46">
      <c r="A1881">
        <v>45259</v>
      </c>
      <c r="B1881" t="s">
        <v>11151</v>
      </c>
      <c r="E1881" t="s">
        <v>11152</v>
      </c>
      <c r="G1881" t="s">
        <v>3754</v>
      </c>
      <c r="H1881" t="s">
        <v>449</v>
      </c>
      <c r="J1881" t="s">
        <v>4032</v>
      </c>
      <c r="K1881" t="s">
        <v>606</v>
      </c>
      <c r="M1881" t="s">
        <v>1382</v>
      </c>
      <c r="N1881" t="s">
        <v>608</v>
      </c>
      <c r="O1881" t="s">
        <v>1521</v>
      </c>
      <c r="P1881" t="s">
        <v>610</v>
      </c>
      <c r="Q1881" t="s">
        <v>510</v>
      </c>
      <c r="R1881" t="s">
        <v>1384</v>
      </c>
      <c r="S1881" t="s">
        <v>1522</v>
      </c>
      <c r="T1881" t="s">
        <v>1320</v>
      </c>
      <c r="U1881">
        <v>169600</v>
      </c>
      <c r="V1881" t="s">
        <v>8976</v>
      </c>
      <c r="W1881" t="s">
        <v>3756</v>
      </c>
      <c r="X1881" t="s">
        <v>11153</v>
      </c>
      <c r="Y1881" t="s">
        <v>11154</v>
      </c>
      <c r="AA1881" t="s">
        <v>11155</v>
      </c>
      <c r="AB1881" t="s">
        <v>11156</v>
      </c>
      <c r="AC1881">
        <v>99089</v>
      </c>
      <c r="AD1881" t="s">
        <v>3757</v>
      </c>
      <c r="AE1881">
        <v>-37.394978100000003</v>
      </c>
      <c r="AF1881">
        <v>175.84166325999999</v>
      </c>
      <c r="AG1881" s="175">
        <v>34</v>
      </c>
      <c r="AH1881" s="175">
        <v>7</v>
      </c>
      <c r="AI1881" s="175">
        <v>1</v>
      </c>
      <c r="AJ1881" s="175">
        <v>7</v>
      </c>
      <c r="AK1881" s="175">
        <v>7</v>
      </c>
      <c r="AL1881" s="175">
        <v>15</v>
      </c>
      <c r="AM1881" s="175">
        <v>6</v>
      </c>
      <c r="AN1881" s="175">
        <v>0</v>
      </c>
      <c r="AO1881" s="175">
        <v>36</v>
      </c>
      <c r="AP1881" s="175">
        <v>29</v>
      </c>
      <c r="AQ1881" s="175">
        <v>9</v>
      </c>
      <c r="AR1881" s="175">
        <v>1</v>
      </c>
      <c r="AS1881" s="175">
        <v>3</v>
      </c>
      <c r="AT1881" s="175">
        <v>3</v>
      </c>
    </row>
    <row r="1882" spans="1:46">
      <c r="A1882">
        <v>45261</v>
      </c>
      <c r="B1882" t="s">
        <v>11157</v>
      </c>
      <c r="C1882" t="s">
        <v>11158</v>
      </c>
      <c r="D1882" t="s">
        <v>11159</v>
      </c>
      <c r="E1882" t="s">
        <v>11160</v>
      </c>
      <c r="F1882" t="s">
        <v>3841</v>
      </c>
      <c r="G1882" t="s">
        <v>1681</v>
      </c>
      <c r="H1882" t="s">
        <v>449</v>
      </c>
      <c r="J1882" t="s">
        <v>4032</v>
      </c>
      <c r="K1882" t="s">
        <v>606</v>
      </c>
      <c r="M1882" t="s">
        <v>1382</v>
      </c>
      <c r="N1882" t="s">
        <v>657</v>
      </c>
      <c r="O1882" t="s">
        <v>1780</v>
      </c>
      <c r="P1882" t="s">
        <v>739</v>
      </c>
      <c r="Q1882" t="s">
        <v>511</v>
      </c>
      <c r="R1882" t="s">
        <v>1555</v>
      </c>
      <c r="S1882" t="s">
        <v>1781</v>
      </c>
      <c r="T1882" t="s">
        <v>1557</v>
      </c>
      <c r="U1882">
        <v>197300</v>
      </c>
      <c r="V1882" t="s">
        <v>3842</v>
      </c>
      <c r="W1882" t="s">
        <v>3843</v>
      </c>
      <c r="X1882" t="s">
        <v>11161</v>
      </c>
      <c r="Y1882" t="s">
        <v>11160</v>
      </c>
      <c r="Z1882" t="s">
        <v>11162</v>
      </c>
      <c r="AA1882" t="s">
        <v>11163</v>
      </c>
      <c r="AE1882">
        <v>-37.706828889999997</v>
      </c>
      <c r="AF1882">
        <v>176.28515558000001</v>
      </c>
      <c r="AG1882" s="175">
        <v>43</v>
      </c>
      <c r="AH1882" s="175">
        <v>15</v>
      </c>
      <c r="AI1882" s="175">
        <v>1</v>
      </c>
      <c r="AJ1882" s="175">
        <v>8</v>
      </c>
      <c r="AK1882" s="175">
        <v>15</v>
      </c>
      <c r="AL1882" s="175">
        <v>15</v>
      </c>
      <c r="AM1882" s="175">
        <v>10</v>
      </c>
      <c r="AN1882" s="175">
        <v>0</v>
      </c>
      <c r="AO1882" s="175">
        <v>49</v>
      </c>
      <c r="AP1882" s="175">
        <v>46</v>
      </c>
      <c r="AQ1882" s="175">
        <v>8</v>
      </c>
      <c r="AR1882" s="175">
        <v>3</v>
      </c>
      <c r="AS1882" s="175">
        <v>3</v>
      </c>
      <c r="AT1882" s="175">
        <v>2</v>
      </c>
    </row>
    <row r="1883" spans="1:46">
      <c r="A1883">
        <v>45265</v>
      </c>
      <c r="B1883" t="s">
        <v>11164</v>
      </c>
      <c r="C1883" t="s">
        <v>11165</v>
      </c>
      <c r="D1883" t="s">
        <v>11166</v>
      </c>
      <c r="E1883" t="s">
        <v>11167</v>
      </c>
      <c r="F1883" t="s">
        <v>4060</v>
      </c>
      <c r="G1883" t="s">
        <v>737</v>
      </c>
      <c r="H1883" t="s">
        <v>449</v>
      </c>
      <c r="J1883" t="s">
        <v>4032</v>
      </c>
      <c r="K1883" t="s">
        <v>606</v>
      </c>
      <c r="M1883" t="s">
        <v>607</v>
      </c>
      <c r="N1883" t="s">
        <v>657</v>
      </c>
      <c r="O1883" t="s">
        <v>792</v>
      </c>
      <c r="P1883" t="s">
        <v>739</v>
      </c>
      <c r="Q1883" t="s">
        <v>467</v>
      </c>
      <c r="R1883" t="s">
        <v>814</v>
      </c>
      <c r="S1883" t="s">
        <v>863</v>
      </c>
      <c r="T1883" t="s">
        <v>794</v>
      </c>
      <c r="U1883">
        <v>152300</v>
      </c>
      <c r="V1883" t="s">
        <v>4060</v>
      </c>
      <c r="W1883" t="s">
        <v>796</v>
      </c>
      <c r="X1883" t="s">
        <v>11168</v>
      </c>
      <c r="Y1883" t="s">
        <v>11169</v>
      </c>
      <c r="Z1883" t="s">
        <v>5170</v>
      </c>
      <c r="AA1883" t="s">
        <v>4061</v>
      </c>
      <c r="AE1883">
        <v>-36.945651570000003</v>
      </c>
      <c r="AF1883">
        <v>174.89821581000001</v>
      </c>
      <c r="AG1883" s="175">
        <v>92</v>
      </c>
      <c r="AH1883" s="175">
        <v>15</v>
      </c>
      <c r="AI1883" s="175">
        <v>2</v>
      </c>
      <c r="AJ1883" s="175">
        <v>7</v>
      </c>
      <c r="AK1883" s="175">
        <v>8</v>
      </c>
      <c r="AL1883" s="175">
        <v>21</v>
      </c>
      <c r="AM1883" s="175">
        <v>30</v>
      </c>
      <c r="AN1883" s="175">
        <v>0</v>
      </c>
      <c r="AO1883" s="175">
        <v>68</v>
      </c>
      <c r="AP1883" s="175">
        <v>6</v>
      </c>
      <c r="AQ1883" s="175">
        <v>4</v>
      </c>
      <c r="AR1883" s="175">
        <v>5</v>
      </c>
      <c r="AS1883" s="175">
        <v>60</v>
      </c>
      <c r="AT1883" s="175">
        <v>2</v>
      </c>
    </row>
    <row r="1884" spans="1:46">
      <c r="A1884">
        <v>45266</v>
      </c>
      <c r="B1884" t="s">
        <v>11170</v>
      </c>
      <c r="C1884" t="s">
        <v>11171</v>
      </c>
      <c r="E1884" t="s">
        <v>11172</v>
      </c>
      <c r="F1884" t="s">
        <v>957</v>
      </c>
      <c r="G1884" t="s">
        <v>737</v>
      </c>
      <c r="H1884" t="s">
        <v>347</v>
      </c>
      <c r="J1884" t="s">
        <v>605</v>
      </c>
      <c r="K1884" t="s">
        <v>606</v>
      </c>
      <c r="L1884" t="s">
        <v>4273</v>
      </c>
      <c r="M1884" t="s">
        <v>607</v>
      </c>
      <c r="N1884" t="s">
        <v>643</v>
      </c>
      <c r="O1884" t="s">
        <v>958</v>
      </c>
      <c r="P1884" t="s">
        <v>739</v>
      </c>
      <c r="Q1884" t="s">
        <v>467</v>
      </c>
      <c r="R1884" t="s">
        <v>724</v>
      </c>
      <c r="S1884" t="s">
        <v>804</v>
      </c>
      <c r="T1884" t="s">
        <v>794</v>
      </c>
      <c r="U1884">
        <v>131500</v>
      </c>
      <c r="V1884" t="s">
        <v>6311</v>
      </c>
      <c r="W1884" t="s">
        <v>900</v>
      </c>
      <c r="X1884" t="s">
        <v>4275</v>
      </c>
      <c r="Y1884" t="s">
        <v>4276</v>
      </c>
      <c r="Z1884" t="s">
        <v>4277</v>
      </c>
      <c r="AA1884" t="s">
        <v>4278</v>
      </c>
      <c r="AE1884">
        <v>-36.912821790000002</v>
      </c>
      <c r="AF1884">
        <v>174.65576544000001</v>
      </c>
      <c r="AG1884" s="175">
        <v>30</v>
      </c>
      <c r="AH1884" s="175">
        <v>8</v>
      </c>
      <c r="AI1884" s="175">
        <v>0</v>
      </c>
      <c r="AJ1884" s="175">
        <v>5</v>
      </c>
      <c r="AK1884" s="175">
        <v>5</v>
      </c>
      <c r="AL1884" s="175">
        <v>7</v>
      </c>
      <c r="AM1884" s="175">
        <v>6</v>
      </c>
      <c r="AN1884" s="175">
        <v>0</v>
      </c>
      <c r="AO1884" s="175">
        <v>23</v>
      </c>
      <c r="AP1884" s="175">
        <v>0</v>
      </c>
      <c r="AQ1884" s="175">
        <v>21</v>
      </c>
      <c r="AR1884" s="175">
        <v>0</v>
      </c>
      <c r="AS1884" s="175">
        <v>0</v>
      </c>
      <c r="AT1884" s="175">
        <v>2</v>
      </c>
    </row>
    <row r="1885" spans="1:46">
      <c r="A1885">
        <v>45274</v>
      </c>
      <c r="B1885" t="s">
        <v>11173</v>
      </c>
      <c r="C1885" t="s">
        <v>11174</v>
      </c>
      <c r="D1885" t="s">
        <v>11175</v>
      </c>
      <c r="E1885" t="s">
        <v>11176</v>
      </c>
      <c r="F1885" t="s">
        <v>11177</v>
      </c>
      <c r="G1885" t="s">
        <v>2198</v>
      </c>
      <c r="H1885" t="s">
        <v>449</v>
      </c>
      <c r="J1885" t="s">
        <v>4032</v>
      </c>
      <c r="K1885" t="s">
        <v>606</v>
      </c>
      <c r="M1885" t="s">
        <v>1382</v>
      </c>
      <c r="N1885" t="s">
        <v>657</v>
      </c>
      <c r="O1885" t="s">
        <v>2210</v>
      </c>
      <c r="P1885" t="s">
        <v>670</v>
      </c>
      <c r="Q1885" t="s">
        <v>513</v>
      </c>
      <c r="R1885" t="s">
        <v>2164</v>
      </c>
      <c r="S1885" t="s">
        <v>2198</v>
      </c>
      <c r="T1885" t="s">
        <v>2165</v>
      </c>
      <c r="U1885">
        <v>212900</v>
      </c>
      <c r="V1885" t="s">
        <v>11177</v>
      </c>
      <c r="W1885" t="s">
        <v>3807</v>
      </c>
      <c r="X1885" t="s">
        <v>11178</v>
      </c>
      <c r="Y1885" t="s">
        <v>4725</v>
      </c>
      <c r="Z1885" t="s">
        <v>1043</v>
      </c>
      <c r="AA1885" t="s">
        <v>4726</v>
      </c>
      <c r="AB1885" t="s">
        <v>11174</v>
      </c>
      <c r="AE1885">
        <v>-39.485227500000001</v>
      </c>
      <c r="AF1885">
        <v>176.89849609999999</v>
      </c>
      <c r="AG1885" s="175">
        <v>70</v>
      </c>
      <c r="AH1885" s="175">
        <v>20</v>
      </c>
      <c r="AI1885" s="175">
        <v>6</v>
      </c>
      <c r="AJ1885" s="175">
        <v>7</v>
      </c>
      <c r="AK1885" s="175">
        <v>19</v>
      </c>
      <c r="AL1885" s="175">
        <v>14</v>
      </c>
      <c r="AM1885" s="175">
        <v>8</v>
      </c>
      <c r="AN1885" s="175">
        <v>0</v>
      </c>
      <c r="AO1885" s="175">
        <v>54</v>
      </c>
      <c r="AP1885" s="175">
        <v>38</v>
      </c>
      <c r="AQ1885" s="175">
        <v>10</v>
      </c>
      <c r="AR1885" s="175">
        <v>2</v>
      </c>
      <c r="AS1885" s="175">
        <v>11</v>
      </c>
      <c r="AT1885" s="175">
        <v>3</v>
      </c>
    </row>
    <row r="1886" spans="1:46">
      <c r="A1886">
        <v>45277</v>
      </c>
      <c r="B1886" t="s">
        <v>11179</v>
      </c>
      <c r="C1886" t="s">
        <v>11180</v>
      </c>
      <c r="D1886" t="s">
        <v>11181</v>
      </c>
      <c r="E1886" t="s">
        <v>11182</v>
      </c>
      <c r="F1886" t="s">
        <v>2235</v>
      </c>
      <c r="G1886" t="s">
        <v>2198</v>
      </c>
      <c r="H1886" t="s">
        <v>449</v>
      </c>
      <c r="J1886" t="s">
        <v>605</v>
      </c>
      <c r="K1886" t="s">
        <v>606</v>
      </c>
      <c r="M1886" t="s">
        <v>1382</v>
      </c>
      <c r="N1886" t="s">
        <v>657</v>
      </c>
      <c r="O1886" t="s">
        <v>2210</v>
      </c>
      <c r="P1886" t="s">
        <v>670</v>
      </c>
      <c r="Q1886" t="s">
        <v>513</v>
      </c>
      <c r="R1886" t="s">
        <v>2164</v>
      </c>
      <c r="S1886" t="s">
        <v>2198</v>
      </c>
      <c r="T1886" t="s">
        <v>2165</v>
      </c>
      <c r="U1886">
        <v>214100</v>
      </c>
      <c r="V1886" t="s">
        <v>2241</v>
      </c>
      <c r="W1886" t="s">
        <v>2242</v>
      </c>
      <c r="X1886" t="s">
        <v>8962</v>
      </c>
      <c r="Y1886" t="s">
        <v>4014</v>
      </c>
      <c r="Z1886" t="s">
        <v>4015</v>
      </c>
      <c r="AA1886" t="s">
        <v>4016</v>
      </c>
      <c r="AB1886" t="s">
        <v>8963</v>
      </c>
      <c r="AC1886">
        <v>99002</v>
      </c>
      <c r="AD1886" t="s">
        <v>2212</v>
      </c>
      <c r="AE1886">
        <v>-39.50260926</v>
      </c>
      <c r="AF1886">
        <v>176.89350160999999</v>
      </c>
      <c r="AG1886" s="175">
        <v>75</v>
      </c>
      <c r="AH1886" s="175">
        <v>20</v>
      </c>
      <c r="AI1886" s="175">
        <v>2</v>
      </c>
      <c r="AJ1886" s="175">
        <v>16</v>
      </c>
      <c r="AK1886" s="175">
        <v>16</v>
      </c>
      <c r="AL1886" s="175">
        <v>24</v>
      </c>
      <c r="AM1886" s="175">
        <v>26</v>
      </c>
      <c r="AN1886" s="175">
        <v>1</v>
      </c>
      <c r="AO1886" s="175">
        <v>85</v>
      </c>
      <c r="AP1886" s="175">
        <v>59</v>
      </c>
      <c r="AQ1886" s="175">
        <v>30</v>
      </c>
      <c r="AR1886" s="175">
        <v>11</v>
      </c>
      <c r="AS1886" s="175">
        <v>8</v>
      </c>
      <c r="AT1886" s="175">
        <v>5</v>
      </c>
    </row>
    <row r="1887" spans="1:46">
      <c r="A1887">
        <v>45281</v>
      </c>
      <c r="B1887" t="s">
        <v>11183</v>
      </c>
      <c r="C1887" t="s">
        <v>11184</v>
      </c>
      <c r="D1887" t="s">
        <v>11185</v>
      </c>
      <c r="E1887" t="s">
        <v>11186</v>
      </c>
      <c r="F1887" t="s">
        <v>7019</v>
      </c>
      <c r="G1887" t="s">
        <v>737</v>
      </c>
      <c r="H1887" t="s">
        <v>449</v>
      </c>
      <c r="I1887" t="s">
        <v>4134</v>
      </c>
      <c r="J1887" t="s">
        <v>4032</v>
      </c>
      <c r="K1887" t="s">
        <v>606</v>
      </c>
      <c r="M1887" t="s">
        <v>607</v>
      </c>
      <c r="N1887" t="s">
        <v>657</v>
      </c>
      <c r="O1887" t="s">
        <v>889</v>
      </c>
      <c r="P1887" t="s">
        <v>739</v>
      </c>
      <c r="Q1887" t="s">
        <v>467</v>
      </c>
      <c r="R1887" t="s">
        <v>793</v>
      </c>
      <c r="S1887" t="s">
        <v>965</v>
      </c>
      <c r="T1887" t="s">
        <v>794</v>
      </c>
      <c r="U1887">
        <v>145400</v>
      </c>
      <c r="V1887" t="s">
        <v>8259</v>
      </c>
      <c r="W1887" t="s">
        <v>892</v>
      </c>
      <c r="X1887" t="s">
        <v>11187</v>
      </c>
      <c r="Y1887" t="s">
        <v>11186</v>
      </c>
      <c r="Z1887" t="s">
        <v>11188</v>
      </c>
      <c r="AA1887" t="s">
        <v>4423</v>
      </c>
      <c r="AB1887" t="s">
        <v>11189</v>
      </c>
      <c r="AE1887">
        <v>-36.88013265</v>
      </c>
      <c r="AF1887">
        <v>174.84812299999999</v>
      </c>
      <c r="AG1887" s="175">
        <v>75</v>
      </c>
      <c r="AH1887" s="175">
        <v>25</v>
      </c>
      <c r="AI1887" s="175">
        <v>2</v>
      </c>
      <c r="AJ1887" s="175">
        <v>14</v>
      </c>
      <c r="AK1887" s="175">
        <v>15</v>
      </c>
      <c r="AL1887" s="175">
        <v>16</v>
      </c>
      <c r="AM1887" s="175">
        <v>11</v>
      </c>
      <c r="AN1887" s="175">
        <v>0</v>
      </c>
      <c r="AO1887" s="175">
        <v>58</v>
      </c>
      <c r="AP1887" s="175">
        <v>27</v>
      </c>
      <c r="AQ1887" s="175">
        <v>6</v>
      </c>
      <c r="AR1887" s="175">
        <v>4</v>
      </c>
      <c r="AS1887" s="175">
        <v>37</v>
      </c>
      <c r="AT1887" s="175">
        <v>4</v>
      </c>
    </row>
    <row r="1888" spans="1:46">
      <c r="A1888">
        <v>45283</v>
      </c>
      <c r="B1888" t="s">
        <v>11190</v>
      </c>
      <c r="C1888" t="s">
        <v>11191</v>
      </c>
      <c r="D1888" t="s">
        <v>11192</v>
      </c>
      <c r="E1888" t="s">
        <v>11193</v>
      </c>
      <c r="F1888" t="s">
        <v>940</v>
      </c>
      <c r="G1888" t="s">
        <v>737</v>
      </c>
      <c r="H1888" t="s">
        <v>449</v>
      </c>
      <c r="J1888" t="s">
        <v>4032</v>
      </c>
      <c r="K1888" t="s">
        <v>606</v>
      </c>
      <c r="M1888" t="s">
        <v>607</v>
      </c>
      <c r="N1888" t="s">
        <v>643</v>
      </c>
      <c r="O1888" t="s">
        <v>942</v>
      </c>
      <c r="P1888" t="s">
        <v>739</v>
      </c>
      <c r="Q1888" t="s">
        <v>467</v>
      </c>
      <c r="R1888" t="s">
        <v>793</v>
      </c>
      <c r="S1888" t="s">
        <v>943</v>
      </c>
      <c r="T1888" t="s">
        <v>794</v>
      </c>
      <c r="U1888">
        <v>135500</v>
      </c>
      <c r="V1888" t="s">
        <v>1165</v>
      </c>
      <c r="W1888" t="s">
        <v>945</v>
      </c>
      <c r="X1888" t="s">
        <v>11194</v>
      </c>
      <c r="Y1888" t="s">
        <v>4725</v>
      </c>
      <c r="Z1888" t="s">
        <v>1043</v>
      </c>
      <c r="AA1888" t="s">
        <v>4726</v>
      </c>
      <c r="AB1888" t="s">
        <v>11191</v>
      </c>
      <c r="AE1888">
        <v>-36.889912430000003</v>
      </c>
      <c r="AF1888">
        <v>174.70922801</v>
      </c>
      <c r="AG1888" s="175">
        <v>60</v>
      </c>
      <c r="AH1888" s="175">
        <v>10</v>
      </c>
      <c r="AI1888" s="175">
        <v>1</v>
      </c>
      <c r="AJ1888" s="175">
        <v>3</v>
      </c>
      <c r="AK1888" s="175">
        <v>4</v>
      </c>
      <c r="AL1888" s="175">
        <v>13</v>
      </c>
      <c r="AM1888" s="175">
        <v>19</v>
      </c>
      <c r="AN1888" s="175">
        <v>0</v>
      </c>
      <c r="AO1888" s="175">
        <v>40</v>
      </c>
      <c r="AP1888" s="175">
        <v>7</v>
      </c>
      <c r="AQ1888" s="175">
        <v>2</v>
      </c>
      <c r="AR1888" s="175">
        <v>3</v>
      </c>
      <c r="AS1888" s="175">
        <v>23</v>
      </c>
      <c r="AT1888" s="175">
        <v>12</v>
      </c>
    </row>
    <row r="1889" spans="1:46">
      <c r="A1889">
        <v>45284</v>
      </c>
      <c r="B1889" t="s">
        <v>11195</v>
      </c>
      <c r="C1889" t="s">
        <v>11196</v>
      </c>
      <c r="D1889" t="s">
        <v>11197</v>
      </c>
      <c r="E1889" t="s">
        <v>11198</v>
      </c>
      <c r="F1889" t="s">
        <v>802</v>
      </c>
      <c r="G1889" t="s">
        <v>737</v>
      </c>
      <c r="H1889" t="s">
        <v>449</v>
      </c>
      <c r="J1889" t="s">
        <v>4032</v>
      </c>
      <c r="K1889" t="s">
        <v>606</v>
      </c>
      <c r="M1889" t="s">
        <v>607</v>
      </c>
      <c r="N1889" t="s">
        <v>657</v>
      </c>
      <c r="O1889" t="s">
        <v>803</v>
      </c>
      <c r="P1889" t="s">
        <v>739</v>
      </c>
      <c r="Q1889" t="s">
        <v>467</v>
      </c>
      <c r="R1889" t="s">
        <v>793</v>
      </c>
      <c r="S1889" t="s">
        <v>855</v>
      </c>
      <c r="T1889" t="s">
        <v>794</v>
      </c>
      <c r="U1889">
        <v>135000</v>
      </c>
      <c r="V1889" t="s">
        <v>5799</v>
      </c>
      <c r="W1889" t="s">
        <v>806</v>
      </c>
      <c r="X1889" t="s">
        <v>11199</v>
      </c>
      <c r="Y1889" t="s">
        <v>4725</v>
      </c>
      <c r="Z1889" t="s">
        <v>1043</v>
      </c>
      <c r="AA1889" t="s">
        <v>4726</v>
      </c>
      <c r="AB1889" t="s">
        <v>11200</v>
      </c>
      <c r="AE1889">
        <v>-36.904759220000003</v>
      </c>
      <c r="AF1889">
        <v>174.70190023000001</v>
      </c>
      <c r="AG1889" s="175">
        <v>60</v>
      </c>
      <c r="AH1889" s="175">
        <v>20</v>
      </c>
      <c r="AI1889" s="175">
        <v>1</v>
      </c>
      <c r="AJ1889" s="175">
        <v>8</v>
      </c>
      <c r="AK1889" s="175">
        <v>9</v>
      </c>
      <c r="AL1889" s="175">
        <v>6</v>
      </c>
      <c r="AM1889" s="175">
        <v>4</v>
      </c>
      <c r="AN1889" s="175">
        <v>0</v>
      </c>
      <c r="AO1889" s="175">
        <v>28</v>
      </c>
      <c r="AP1889" s="175">
        <v>9</v>
      </c>
      <c r="AQ1889" s="175">
        <v>5</v>
      </c>
      <c r="AR1889" s="175">
        <v>8</v>
      </c>
      <c r="AS1889" s="175">
        <v>10</v>
      </c>
      <c r="AT1889" s="175">
        <v>0</v>
      </c>
    </row>
    <row r="1890" spans="1:46">
      <c r="A1890">
        <v>45285</v>
      </c>
      <c r="B1890" t="s">
        <v>11201</v>
      </c>
      <c r="C1890" t="s">
        <v>11202</v>
      </c>
      <c r="D1890" t="s">
        <v>11203</v>
      </c>
      <c r="E1890" t="s">
        <v>11204</v>
      </c>
      <c r="F1890" t="s">
        <v>7221</v>
      </c>
      <c r="G1890" t="s">
        <v>737</v>
      </c>
      <c r="H1890" t="s">
        <v>449</v>
      </c>
      <c r="J1890" t="s">
        <v>4032</v>
      </c>
      <c r="K1890" t="s">
        <v>606</v>
      </c>
      <c r="M1890" t="s">
        <v>607</v>
      </c>
      <c r="N1890" t="s">
        <v>657</v>
      </c>
      <c r="O1890" t="s">
        <v>942</v>
      </c>
      <c r="P1890" t="s">
        <v>739</v>
      </c>
      <c r="Q1890" t="s">
        <v>467</v>
      </c>
      <c r="R1890" t="s">
        <v>793</v>
      </c>
      <c r="S1890" t="s">
        <v>943</v>
      </c>
      <c r="T1890" t="s">
        <v>794</v>
      </c>
      <c r="U1890">
        <v>133600</v>
      </c>
      <c r="V1890" t="s">
        <v>1097</v>
      </c>
      <c r="W1890" t="s">
        <v>945</v>
      </c>
      <c r="X1890" t="s">
        <v>7575</v>
      </c>
      <c r="Y1890" t="s">
        <v>7576</v>
      </c>
      <c r="Z1890" t="s">
        <v>1108</v>
      </c>
      <c r="AA1890" t="s">
        <v>7577</v>
      </c>
      <c r="AB1890" t="s">
        <v>7571</v>
      </c>
      <c r="AE1890">
        <v>-36.873209299999999</v>
      </c>
      <c r="AF1890">
        <v>174.7367438</v>
      </c>
      <c r="AG1890" s="175">
        <v>61</v>
      </c>
      <c r="AH1890" s="175">
        <v>14</v>
      </c>
      <c r="AI1890" s="175">
        <v>4</v>
      </c>
      <c r="AJ1890" s="175">
        <v>14</v>
      </c>
      <c r="AK1890" s="175">
        <v>13</v>
      </c>
      <c r="AL1890" s="175">
        <v>13</v>
      </c>
      <c r="AM1890" s="175">
        <v>11</v>
      </c>
      <c r="AN1890" s="175">
        <v>0</v>
      </c>
      <c r="AO1890" s="175">
        <v>55</v>
      </c>
      <c r="AP1890" s="175">
        <v>37</v>
      </c>
      <c r="AQ1890" s="175">
        <v>2</v>
      </c>
      <c r="AR1890" s="175">
        <v>8</v>
      </c>
      <c r="AS1890" s="175">
        <v>18</v>
      </c>
      <c r="AT1890" s="175">
        <v>2</v>
      </c>
    </row>
    <row r="1891" spans="1:46">
      <c r="A1891">
        <v>45287</v>
      </c>
      <c r="B1891" t="s">
        <v>11205</v>
      </c>
      <c r="C1891" t="s">
        <v>11206</v>
      </c>
      <c r="E1891" t="s">
        <v>11207</v>
      </c>
      <c r="F1891" t="s">
        <v>3631</v>
      </c>
      <c r="G1891" t="s">
        <v>3569</v>
      </c>
      <c r="H1891" t="s">
        <v>449</v>
      </c>
      <c r="J1891" t="s">
        <v>4032</v>
      </c>
      <c r="K1891" t="s">
        <v>606</v>
      </c>
      <c r="M1891" t="s">
        <v>2366</v>
      </c>
      <c r="N1891" t="s">
        <v>657</v>
      </c>
      <c r="O1891" t="s">
        <v>3568</v>
      </c>
      <c r="P1891" t="s">
        <v>670</v>
      </c>
      <c r="Q1891" t="s">
        <v>523</v>
      </c>
      <c r="R1891" t="s">
        <v>3410</v>
      </c>
      <c r="S1891" t="s">
        <v>3569</v>
      </c>
      <c r="T1891" t="s">
        <v>2526</v>
      </c>
      <c r="U1891">
        <v>360900</v>
      </c>
      <c r="V1891" t="s">
        <v>3631</v>
      </c>
      <c r="W1891" t="s">
        <v>1734</v>
      </c>
      <c r="X1891" t="s">
        <v>11208</v>
      </c>
      <c r="AB1891" t="s">
        <v>11209</v>
      </c>
      <c r="AE1891">
        <v>-46.430383239999998</v>
      </c>
      <c r="AF1891">
        <v>168.30849114</v>
      </c>
      <c r="AG1891" s="175">
        <v>65</v>
      </c>
      <c r="AH1891" s="175">
        <v>17</v>
      </c>
      <c r="AI1891" s="175">
        <v>1</v>
      </c>
      <c r="AJ1891" s="175">
        <v>6</v>
      </c>
      <c r="AK1891" s="175">
        <v>23</v>
      </c>
      <c r="AL1891" s="175">
        <v>12</v>
      </c>
      <c r="AM1891" s="175">
        <v>18</v>
      </c>
      <c r="AN1891" s="175">
        <v>2</v>
      </c>
      <c r="AO1891" s="175">
        <v>62</v>
      </c>
      <c r="AP1891" s="175">
        <v>57</v>
      </c>
      <c r="AQ1891" s="175">
        <v>14</v>
      </c>
      <c r="AR1891" s="175">
        <v>3</v>
      </c>
      <c r="AS1891" s="175">
        <v>4</v>
      </c>
      <c r="AT1891" s="175">
        <v>1</v>
      </c>
    </row>
    <row r="1892" spans="1:46">
      <c r="A1892">
        <v>45288</v>
      </c>
      <c r="B1892" t="s">
        <v>11210</v>
      </c>
      <c r="C1892" t="s">
        <v>11211</v>
      </c>
      <c r="D1892" t="s">
        <v>11212</v>
      </c>
      <c r="E1892" t="s">
        <v>11213</v>
      </c>
      <c r="F1892" t="s">
        <v>4060</v>
      </c>
      <c r="G1892" t="s">
        <v>737</v>
      </c>
      <c r="H1892" t="s">
        <v>450</v>
      </c>
      <c r="J1892" t="s">
        <v>4032</v>
      </c>
      <c r="K1892" t="s">
        <v>606</v>
      </c>
      <c r="M1892" t="s">
        <v>607</v>
      </c>
      <c r="N1892" t="s">
        <v>625</v>
      </c>
      <c r="O1892" t="s">
        <v>813</v>
      </c>
      <c r="P1892" t="s">
        <v>739</v>
      </c>
      <c r="Q1892" t="s">
        <v>467</v>
      </c>
      <c r="R1892" t="s">
        <v>814</v>
      </c>
      <c r="S1892" t="s">
        <v>815</v>
      </c>
      <c r="T1892" t="s">
        <v>794</v>
      </c>
      <c r="U1892">
        <v>155100</v>
      </c>
      <c r="V1892" t="s">
        <v>1075</v>
      </c>
      <c r="W1892" t="s">
        <v>817</v>
      </c>
      <c r="X1892" t="s">
        <v>11214</v>
      </c>
      <c r="Y1892" t="s">
        <v>11215</v>
      </c>
      <c r="Z1892" t="s">
        <v>6473</v>
      </c>
      <c r="AA1892" t="s">
        <v>6474</v>
      </c>
      <c r="AB1892" t="s">
        <v>11211</v>
      </c>
      <c r="AE1892">
        <v>-36.952235170000002</v>
      </c>
      <c r="AF1892">
        <v>174.89061290999999</v>
      </c>
      <c r="AG1892" s="175">
        <v>80</v>
      </c>
      <c r="AH1892" s="175">
        <v>80</v>
      </c>
      <c r="AI1892" s="175">
        <v>2</v>
      </c>
      <c r="AJ1892" s="175">
        <v>8</v>
      </c>
      <c r="AK1892" s="175">
        <v>9</v>
      </c>
      <c r="AL1892" s="175">
        <v>10</v>
      </c>
      <c r="AM1892" s="175">
        <v>10</v>
      </c>
      <c r="AN1892" s="175">
        <v>1</v>
      </c>
      <c r="AO1892" s="175">
        <v>40</v>
      </c>
      <c r="AP1892" s="175">
        <v>2</v>
      </c>
      <c r="AQ1892" s="175">
        <v>4</v>
      </c>
      <c r="AR1892" s="175">
        <v>29</v>
      </c>
      <c r="AS1892" s="175">
        <v>10</v>
      </c>
      <c r="AT1892" s="175">
        <v>0</v>
      </c>
    </row>
    <row r="1893" spans="1:46">
      <c r="A1893">
        <v>45289</v>
      </c>
      <c r="B1893" t="s">
        <v>11216</v>
      </c>
      <c r="C1893" t="s">
        <v>11217</v>
      </c>
      <c r="E1893" t="s">
        <v>11218</v>
      </c>
      <c r="G1893" t="s">
        <v>1434</v>
      </c>
      <c r="H1893" t="s">
        <v>449</v>
      </c>
      <c r="J1893" t="s">
        <v>4032</v>
      </c>
      <c r="K1893" t="s">
        <v>606</v>
      </c>
      <c r="M1893" t="s">
        <v>1382</v>
      </c>
      <c r="N1893" t="s">
        <v>625</v>
      </c>
      <c r="O1893" t="s">
        <v>1435</v>
      </c>
      <c r="P1893" t="s">
        <v>610</v>
      </c>
      <c r="Q1893" t="s">
        <v>510</v>
      </c>
      <c r="R1893" t="s">
        <v>1384</v>
      </c>
      <c r="S1893" t="s">
        <v>1384</v>
      </c>
      <c r="T1893" t="s">
        <v>1320</v>
      </c>
      <c r="U1893">
        <v>172100</v>
      </c>
      <c r="V1893" t="s">
        <v>1436</v>
      </c>
      <c r="W1893" t="s">
        <v>1437</v>
      </c>
      <c r="X1893" t="s">
        <v>11219</v>
      </c>
      <c r="Y1893" t="s">
        <v>11220</v>
      </c>
      <c r="Z1893" t="s">
        <v>4472</v>
      </c>
      <c r="AA1893" t="s">
        <v>4596</v>
      </c>
      <c r="AC1893">
        <v>99156</v>
      </c>
      <c r="AD1893" t="s">
        <v>1438</v>
      </c>
      <c r="AE1893">
        <v>-37.665440779999997</v>
      </c>
      <c r="AF1893">
        <v>175.14809027999999</v>
      </c>
      <c r="AG1893" s="175">
        <v>78</v>
      </c>
      <c r="AH1893" s="175">
        <v>20</v>
      </c>
      <c r="AI1893" s="175">
        <v>1</v>
      </c>
      <c r="AJ1893" s="175">
        <v>14</v>
      </c>
      <c r="AK1893" s="175">
        <v>14</v>
      </c>
      <c r="AL1893" s="175">
        <v>14</v>
      </c>
      <c r="AM1893" s="175">
        <v>16</v>
      </c>
      <c r="AN1893" s="175">
        <v>0</v>
      </c>
      <c r="AO1893" s="175">
        <v>59</v>
      </c>
      <c r="AP1893" s="175">
        <v>40</v>
      </c>
      <c r="AQ1893" s="175">
        <v>32</v>
      </c>
      <c r="AR1893" s="175">
        <v>3</v>
      </c>
      <c r="AS1893" s="175">
        <v>4</v>
      </c>
      <c r="AT1893" s="175">
        <v>6</v>
      </c>
    </row>
    <row r="1894" spans="1:46">
      <c r="A1894">
        <v>45290</v>
      </c>
      <c r="B1894" t="s">
        <v>11221</v>
      </c>
      <c r="C1894" t="s">
        <v>11222</v>
      </c>
      <c r="D1894" t="s">
        <v>11223</v>
      </c>
      <c r="E1894" t="s">
        <v>11224</v>
      </c>
      <c r="F1894" t="s">
        <v>1506</v>
      </c>
      <c r="G1894" t="s">
        <v>1381</v>
      </c>
      <c r="H1894" t="s">
        <v>449</v>
      </c>
      <c r="J1894" t="s">
        <v>4032</v>
      </c>
      <c r="K1894" t="s">
        <v>606</v>
      </c>
      <c r="M1894" t="s">
        <v>1382</v>
      </c>
      <c r="N1894" t="s">
        <v>657</v>
      </c>
      <c r="O1894" t="s">
        <v>1383</v>
      </c>
      <c r="P1894" t="s">
        <v>739</v>
      </c>
      <c r="Q1894" t="s">
        <v>510</v>
      </c>
      <c r="R1894" t="s">
        <v>1384</v>
      </c>
      <c r="S1894" t="s">
        <v>1385</v>
      </c>
      <c r="T1894" t="s">
        <v>1320</v>
      </c>
      <c r="U1894">
        <v>176301</v>
      </c>
      <c r="V1894" t="s">
        <v>8493</v>
      </c>
      <c r="W1894" t="s">
        <v>1387</v>
      </c>
      <c r="X1894" t="s">
        <v>11225</v>
      </c>
      <c r="Y1894" t="s">
        <v>11226</v>
      </c>
      <c r="Z1894" t="s">
        <v>11227</v>
      </c>
      <c r="AA1894" t="s">
        <v>8575</v>
      </c>
      <c r="AB1894" t="s">
        <v>11228</v>
      </c>
      <c r="AE1894">
        <v>-37.76027303</v>
      </c>
      <c r="AF1894">
        <v>175.2402864</v>
      </c>
      <c r="AG1894" s="175">
        <v>126</v>
      </c>
      <c r="AH1894" s="175">
        <v>40</v>
      </c>
      <c r="AI1894" s="175">
        <v>2</v>
      </c>
      <c r="AJ1894" s="175">
        <v>13</v>
      </c>
      <c r="AK1894" s="175">
        <v>17</v>
      </c>
      <c r="AL1894" s="175">
        <v>22</v>
      </c>
      <c r="AM1894" s="175">
        <v>16</v>
      </c>
      <c r="AN1894" s="175">
        <v>3</v>
      </c>
      <c r="AO1894" s="175">
        <v>73</v>
      </c>
      <c r="AP1894" s="175">
        <v>56</v>
      </c>
      <c r="AQ1894" s="175">
        <v>21</v>
      </c>
      <c r="AR1894" s="175">
        <v>13</v>
      </c>
      <c r="AS1894" s="175">
        <v>4</v>
      </c>
      <c r="AT1894" s="175">
        <v>6</v>
      </c>
    </row>
    <row r="1895" spans="1:46">
      <c r="A1895">
        <v>45291</v>
      </c>
      <c r="B1895" t="s">
        <v>11229</v>
      </c>
      <c r="C1895" t="s">
        <v>11230</v>
      </c>
      <c r="D1895" t="s">
        <v>11231</v>
      </c>
      <c r="E1895" t="s">
        <v>11232</v>
      </c>
      <c r="F1895" t="s">
        <v>8439</v>
      </c>
      <c r="G1895" t="s">
        <v>1681</v>
      </c>
      <c r="H1895" t="s">
        <v>449</v>
      </c>
      <c r="J1895" t="s">
        <v>4032</v>
      </c>
      <c r="K1895" t="s">
        <v>606</v>
      </c>
      <c r="M1895" t="s">
        <v>1382</v>
      </c>
      <c r="N1895" t="s">
        <v>643</v>
      </c>
      <c r="O1895" t="s">
        <v>1780</v>
      </c>
      <c r="P1895" t="s">
        <v>739</v>
      </c>
      <c r="Q1895" t="s">
        <v>511</v>
      </c>
      <c r="R1895" t="s">
        <v>1555</v>
      </c>
      <c r="S1895" t="s">
        <v>1681</v>
      </c>
      <c r="T1895" t="s">
        <v>1557</v>
      </c>
      <c r="U1895">
        <v>193900</v>
      </c>
      <c r="V1895" t="s">
        <v>8440</v>
      </c>
      <c r="W1895" t="s">
        <v>1806</v>
      </c>
      <c r="X1895" t="s">
        <v>11233</v>
      </c>
      <c r="Y1895" t="s">
        <v>11232</v>
      </c>
      <c r="AA1895" t="s">
        <v>11234</v>
      </c>
      <c r="AC1895">
        <v>99064</v>
      </c>
      <c r="AD1895" t="s">
        <v>1784</v>
      </c>
      <c r="AE1895">
        <v>-37.655102300000003</v>
      </c>
      <c r="AF1895">
        <v>176.19890599999999</v>
      </c>
      <c r="AG1895" s="175">
        <v>53</v>
      </c>
      <c r="AH1895" s="175">
        <v>15</v>
      </c>
      <c r="AI1895" s="175">
        <v>3</v>
      </c>
      <c r="AJ1895" s="175">
        <v>9</v>
      </c>
      <c r="AK1895" s="175">
        <v>17</v>
      </c>
      <c r="AL1895" s="175">
        <v>9</v>
      </c>
      <c r="AM1895" s="175">
        <v>9</v>
      </c>
      <c r="AN1895" s="175">
        <v>1</v>
      </c>
      <c r="AO1895" s="175">
        <v>48</v>
      </c>
      <c r="AP1895" s="175">
        <v>35</v>
      </c>
      <c r="AQ1895" s="175">
        <v>13</v>
      </c>
      <c r="AR1895" s="175">
        <v>7</v>
      </c>
      <c r="AS1895" s="175">
        <v>2</v>
      </c>
      <c r="AT1895" s="175">
        <v>5</v>
      </c>
    </row>
    <row r="1896" spans="1:46">
      <c r="A1896">
        <v>45292</v>
      </c>
      <c r="B1896" t="s">
        <v>11235</v>
      </c>
      <c r="C1896" t="s">
        <v>11236</v>
      </c>
      <c r="E1896" t="s">
        <v>11237</v>
      </c>
      <c r="G1896" t="s">
        <v>3078</v>
      </c>
      <c r="H1896" t="s">
        <v>449</v>
      </c>
      <c r="J1896" t="s">
        <v>4032</v>
      </c>
      <c r="K1896" t="s">
        <v>606</v>
      </c>
      <c r="M1896" t="s">
        <v>2366</v>
      </c>
      <c r="N1896" t="s">
        <v>657</v>
      </c>
      <c r="O1896" t="s">
        <v>3079</v>
      </c>
      <c r="P1896" t="s">
        <v>610</v>
      </c>
      <c r="Q1896" t="s">
        <v>520</v>
      </c>
      <c r="R1896" t="s">
        <v>2901</v>
      </c>
      <c r="S1896" t="s">
        <v>2945</v>
      </c>
      <c r="T1896" t="s">
        <v>2526</v>
      </c>
      <c r="U1896">
        <v>310400</v>
      </c>
      <c r="V1896" t="s">
        <v>3080</v>
      </c>
      <c r="W1896" t="s">
        <v>2521</v>
      </c>
      <c r="X1896" t="s">
        <v>11238</v>
      </c>
      <c r="Y1896" t="s">
        <v>4725</v>
      </c>
      <c r="Z1896" t="s">
        <v>1043</v>
      </c>
      <c r="AA1896" t="s">
        <v>4726</v>
      </c>
      <c r="AB1896" t="s">
        <v>11239</v>
      </c>
      <c r="AE1896">
        <v>-42.458258190000002</v>
      </c>
      <c r="AF1896">
        <v>171.20726866000001</v>
      </c>
      <c r="AG1896" s="175">
        <v>30</v>
      </c>
      <c r="AH1896" s="175">
        <v>0</v>
      </c>
      <c r="AI1896" s="175">
        <v>0</v>
      </c>
      <c r="AJ1896" s="175">
        <v>0</v>
      </c>
      <c r="AK1896" s="175">
        <v>6</v>
      </c>
      <c r="AL1896" s="175">
        <v>15</v>
      </c>
      <c r="AM1896" s="175">
        <v>20</v>
      </c>
      <c r="AN1896" s="175">
        <v>0</v>
      </c>
      <c r="AO1896" s="175">
        <v>41</v>
      </c>
      <c r="AP1896" s="175">
        <v>40</v>
      </c>
      <c r="AQ1896" s="175">
        <v>7</v>
      </c>
      <c r="AR1896" s="175">
        <v>0</v>
      </c>
      <c r="AS1896" s="175">
        <v>1</v>
      </c>
      <c r="AT1896" s="175">
        <v>0</v>
      </c>
    </row>
    <row r="1897" spans="1:46">
      <c r="A1897">
        <v>45295</v>
      </c>
      <c r="B1897" t="s">
        <v>11240</v>
      </c>
      <c r="C1897" t="s">
        <v>11241</v>
      </c>
      <c r="D1897" t="s">
        <v>11242</v>
      </c>
      <c r="E1897" t="s">
        <v>11243</v>
      </c>
      <c r="F1897" t="s">
        <v>983</v>
      </c>
      <c r="G1897" t="s">
        <v>737</v>
      </c>
      <c r="H1897" t="s">
        <v>449</v>
      </c>
      <c r="J1897" t="s">
        <v>605</v>
      </c>
      <c r="K1897" t="s">
        <v>606</v>
      </c>
      <c r="M1897" t="s">
        <v>607</v>
      </c>
      <c r="N1897" t="s">
        <v>643</v>
      </c>
      <c r="O1897" t="s">
        <v>898</v>
      </c>
      <c r="P1897" t="s">
        <v>739</v>
      </c>
      <c r="Q1897" t="s">
        <v>467</v>
      </c>
      <c r="R1897" t="s">
        <v>724</v>
      </c>
      <c r="S1897" t="s">
        <v>984</v>
      </c>
      <c r="T1897" t="s">
        <v>794</v>
      </c>
      <c r="U1897">
        <v>127500</v>
      </c>
      <c r="V1897" t="s">
        <v>4619</v>
      </c>
      <c r="W1897" t="s">
        <v>900</v>
      </c>
      <c r="X1897" t="s">
        <v>4013</v>
      </c>
      <c r="Y1897" t="s">
        <v>4014</v>
      </c>
      <c r="Z1897" t="s">
        <v>4015</v>
      </c>
      <c r="AA1897" t="s">
        <v>4016</v>
      </c>
      <c r="AB1897" t="s">
        <v>4017</v>
      </c>
      <c r="AE1897">
        <v>-36.884048550000003</v>
      </c>
      <c r="AF1897">
        <v>174.63416985000001</v>
      </c>
      <c r="AG1897" s="175">
        <v>80</v>
      </c>
      <c r="AH1897" s="175">
        <v>20</v>
      </c>
      <c r="AI1897" s="175">
        <v>1</v>
      </c>
      <c r="AJ1897" s="175">
        <v>12</v>
      </c>
      <c r="AK1897" s="175">
        <v>12</v>
      </c>
      <c r="AL1897" s="175">
        <v>22</v>
      </c>
      <c r="AM1897" s="175">
        <v>21</v>
      </c>
      <c r="AN1897" s="175">
        <v>2</v>
      </c>
      <c r="AO1897" s="175">
        <v>70</v>
      </c>
      <c r="AP1897" s="175">
        <v>23</v>
      </c>
      <c r="AQ1897" s="175">
        <v>14</v>
      </c>
      <c r="AR1897" s="175">
        <v>8</v>
      </c>
      <c r="AS1897" s="175">
        <v>39</v>
      </c>
      <c r="AT1897" s="175">
        <v>5</v>
      </c>
    </row>
    <row r="1898" spans="1:46">
      <c r="A1898">
        <v>45296</v>
      </c>
      <c r="B1898" t="s">
        <v>11244</v>
      </c>
      <c r="C1898" t="s">
        <v>11245</v>
      </c>
      <c r="D1898" t="s">
        <v>11246</v>
      </c>
      <c r="E1898" t="s">
        <v>11247</v>
      </c>
      <c r="G1898" t="s">
        <v>5666</v>
      </c>
      <c r="H1898" t="s">
        <v>449</v>
      </c>
      <c r="J1898" t="s">
        <v>4032</v>
      </c>
      <c r="K1898" t="s">
        <v>606</v>
      </c>
      <c r="M1898" t="s">
        <v>607</v>
      </c>
      <c r="N1898" t="s">
        <v>657</v>
      </c>
      <c r="O1898" t="s">
        <v>669</v>
      </c>
      <c r="P1898" t="s">
        <v>610</v>
      </c>
      <c r="Q1898" t="s">
        <v>509</v>
      </c>
      <c r="R1898" t="s">
        <v>611</v>
      </c>
      <c r="S1898" t="s">
        <v>671</v>
      </c>
      <c r="T1898" t="s">
        <v>613</v>
      </c>
      <c r="U1898">
        <v>107600</v>
      </c>
      <c r="V1898" t="s">
        <v>5666</v>
      </c>
      <c r="W1898" t="s">
        <v>698</v>
      </c>
      <c r="X1898" t="s">
        <v>11248</v>
      </c>
      <c r="Y1898" t="s">
        <v>11249</v>
      </c>
      <c r="AA1898" t="s">
        <v>11250</v>
      </c>
      <c r="AB1898" t="s">
        <v>11245</v>
      </c>
      <c r="AC1898">
        <v>99180</v>
      </c>
      <c r="AD1898" t="s">
        <v>4957</v>
      </c>
      <c r="AE1898">
        <v>-35.635584010000002</v>
      </c>
      <c r="AF1898">
        <v>174.49076984000001</v>
      </c>
      <c r="AG1898" s="175">
        <v>47</v>
      </c>
      <c r="AH1898" s="175">
        <v>10</v>
      </c>
      <c r="AI1898" s="175">
        <v>0</v>
      </c>
      <c r="AJ1898" s="175">
        <v>10</v>
      </c>
      <c r="AK1898" s="175">
        <v>10</v>
      </c>
      <c r="AL1898" s="175">
        <v>13</v>
      </c>
      <c r="AM1898" s="175">
        <v>11</v>
      </c>
      <c r="AN1898" s="175">
        <v>1</v>
      </c>
      <c r="AO1898" s="175">
        <v>45</v>
      </c>
      <c r="AP1898" s="175">
        <v>43</v>
      </c>
      <c r="AQ1898" s="175">
        <v>13</v>
      </c>
      <c r="AR1898" s="175">
        <v>2</v>
      </c>
      <c r="AS1898" s="175">
        <v>4</v>
      </c>
      <c r="AT1898" s="175">
        <v>2</v>
      </c>
    </row>
    <row r="1899" spans="1:46">
      <c r="A1899">
        <v>45299</v>
      </c>
      <c r="B1899" t="s">
        <v>11251</v>
      </c>
      <c r="C1899" t="s">
        <v>11252</v>
      </c>
      <c r="D1899" t="s">
        <v>11253</v>
      </c>
      <c r="E1899" t="s">
        <v>11254</v>
      </c>
      <c r="G1899" t="s">
        <v>11255</v>
      </c>
      <c r="H1899" t="s">
        <v>449</v>
      </c>
      <c r="J1899" t="s">
        <v>4032</v>
      </c>
      <c r="K1899" t="s">
        <v>606</v>
      </c>
      <c r="M1899" t="s">
        <v>2366</v>
      </c>
      <c r="N1899" t="s">
        <v>657</v>
      </c>
      <c r="O1899" t="s">
        <v>3906</v>
      </c>
      <c r="P1899" t="s">
        <v>1347</v>
      </c>
      <c r="Q1899" t="s">
        <v>522</v>
      </c>
      <c r="R1899" t="s">
        <v>3410</v>
      </c>
      <c r="S1899" t="s">
        <v>3323</v>
      </c>
      <c r="T1899" t="s">
        <v>2526</v>
      </c>
      <c r="U1899">
        <v>346901</v>
      </c>
      <c r="V1899" t="s">
        <v>11256</v>
      </c>
      <c r="W1899" t="s">
        <v>11257</v>
      </c>
      <c r="X1899" t="s">
        <v>11258</v>
      </c>
      <c r="Y1899" t="s">
        <v>11254</v>
      </c>
      <c r="Z1899" t="s">
        <v>11256</v>
      </c>
      <c r="AA1899" t="s">
        <v>11259</v>
      </c>
      <c r="AE1899">
        <v>-44.683070579999999</v>
      </c>
      <c r="AF1899">
        <v>169.17815450000001</v>
      </c>
      <c r="AG1899" s="175">
        <v>68</v>
      </c>
      <c r="AH1899" s="175">
        <v>25</v>
      </c>
      <c r="AI1899" s="175">
        <v>6</v>
      </c>
      <c r="AJ1899" s="175">
        <v>15</v>
      </c>
      <c r="AK1899" s="175">
        <v>18</v>
      </c>
      <c r="AL1899" s="175">
        <v>28</v>
      </c>
      <c r="AM1899" s="175">
        <v>20</v>
      </c>
      <c r="AN1899" s="175">
        <v>1</v>
      </c>
      <c r="AO1899" s="175">
        <v>88</v>
      </c>
      <c r="AP1899" s="175">
        <v>79</v>
      </c>
      <c r="AQ1899" s="175">
        <v>12</v>
      </c>
      <c r="AR1899" s="175">
        <v>2</v>
      </c>
      <c r="AS1899" s="175">
        <v>2</v>
      </c>
      <c r="AT1899" s="175">
        <v>4</v>
      </c>
    </row>
    <row r="1900" spans="1:46">
      <c r="A1900">
        <v>45303</v>
      </c>
      <c r="B1900" t="s">
        <v>11260</v>
      </c>
      <c r="C1900" t="s">
        <v>11261</v>
      </c>
      <c r="D1900" t="s">
        <v>11262</v>
      </c>
      <c r="E1900" t="s">
        <v>11263</v>
      </c>
      <c r="G1900" t="s">
        <v>11264</v>
      </c>
      <c r="H1900" t="s">
        <v>449</v>
      </c>
      <c r="J1900" t="s">
        <v>4032</v>
      </c>
      <c r="K1900" t="s">
        <v>606</v>
      </c>
      <c r="M1900" t="s">
        <v>2366</v>
      </c>
      <c r="N1900" t="s">
        <v>657</v>
      </c>
      <c r="O1900" t="s">
        <v>3037</v>
      </c>
      <c r="P1900" t="s">
        <v>610</v>
      </c>
      <c r="Q1900" t="s">
        <v>521</v>
      </c>
      <c r="R1900" t="s">
        <v>3017</v>
      </c>
      <c r="S1900" t="s">
        <v>3038</v>
      </c>
      <c r="T1900" t="s">
        <v>2526</v>
      </c>
      <c r="U1900">
        <v>313200</v>
      </c>
      <c r="V1900" t="s">
        <v>11264</v>
      </c>
      <c r="W1900" t="s">
        <v>11265</v>
      </c>
      <c r="X1900" t="s">
        <v>11266</v>
      </c>
      <c r="Y1900" t="s">
        <v>11267</v>
      </c>
      <c r="AA1900" t="s">
        <v>11268</v>
      </c>
      <c r="AB1900" t="s">
        <v>11269</v>
      </c>
      <c r="AC1900">
        <v>99077</v>
      </c>
      <c r="AD1900" t="s">
        <v>3041</v>
      </c>
      <c r="AE1900">
        <v>-43.29792681</v>
      </c>
      <c r="AF1900">
        <v>172.20388914</v>
      </c>
      <c r="AG1900" s="175">
        <v>29</v>
      </c>
      <c r="AH1900" s="175">
        <v>0</v>
      </c>
      <c r="AI1900" s="175">
        <v>0</v>
      </c>
      <c r="AJ1900" s="175">
        <v>0</v>
      </c>
      <c r="AK1900" s="175">
        <v>7</v>
      </c>
      <c r="AL1900" s="175">
        <v>10</v>
      </c>
      <c r="AM1900" s="175">
        <v>19</v>
      </c>
      <c r="AN1900" s="175">
        <v>0</v>
      </c>
      <c r="AO1900" s="175">
        <v>36</v>
      </c>
      <c r="AP1900" s="175">
        <v>35</v>
      </c>
      <c r="AQ1900" s="175">
        <v>1</v>
      </c>
      <c r="AR1900" s="175">
        <v>2</v>
      </c>
      <c r="AS1900" s="175">
        <v>0</v>
      </c>
      <c r="AT1900" s="175">
        <v>0</v>
      </c>
    </row>
    <row r="1901" spans="1:46">
      <c r="A1901">
        <v>45304</v>
      </c>
      <c r="B1901" t="s">
        <v>11270</v>
      </c>
      <c r="C1901" t="s">
        <v>11271</v>
      </c>
      <c r="D1901" t="s">
        <v>11272</v>
      </c>
      <c r="E1901" t="s">
        <v>11273</v>
      </c>
      <c r="G1901" t="s">
        <v>3260</v>
      </c>
      <c r="H1901" t="s">
        <v>449</v>
      </c>
      <c r="J1901" t="s">
        <v>4032</v>
      </c>
      <c r="K1901" t="s">
        <v>606</v>
      </c>
      <c r="M1901" t="s">
        <v>2366</v>
      </c>
      <c r="N1901" t="s">
        <v>657</v>
      </c>
      <c r="O1901" t="s">
        <v>3037</v>
      </c>
      <c r="P1901" t="s">
        <v>1347</v>
      </c>
      <c r="Q1901" t="s">
        <v>521</v>
      </c>
      <c r="R1901" t="s">
        <v>3017</v>
      </c>
      <c r="S1901" t="s">
        <v>3038</v>
      </c>
      <c r="T1901" t="s">
        <v>2526</v>
      </c>
      <c r="U1901">
        <v>316000</v>
      </c>
      <c r="V1901" t="s">
        <v>11274</v>
      </c>
      <c r="W1901" t="s">
        <v>3262</v>
      </c>
      <c r="X1901" t="s">
        <v>11275</v>
      </c>
      <c r="Y1901" t="s">
        <v>11276</v>
      </c>
      <c r="AA1901" t="s">
        <v>11277</v>
      </c>
      <c r="AB1901" t="s">
        <v>11278</v>
      </c>
      <c r="AC1901">
        <v>99061</v>
      </c>
      <c r="AD1901" t="s">
        <v>3263</v>
      </c>
      <c r="AE1901">
        <v>-43.381640019999999</v>
      </c>
      <c r="AF1901">
        <v>172.64743752999999</v>
      </c>
      <c r="AG1901" s="175">
        <v>69</v>
      </c>
      <c r="AH1901" s="175">
        <v>25</v>
      </c>
      <c r="AI1901" s="175">
        <v>0</v>
      </c>
      <c r="AJ1901" s="175">
        <v>19</v>
      </c>
      <c r="AK1901" s="175">
        <v>19</v>
      </c>
      <c r="AL1901" s="175">
        <v>27</v>
      </c>
      <c r="AM1901" s="175">
        <v>12</v>
      </c>
      <c r="AN1901" s="175">
        <v>1</v>
      </c>
      <c r="AO1901" s="175">
        <v>78</v>
      </c>
      <c r="AP1901" s="175">
        <v>69</v>
      </c>
      <c r="AQ1901" s="175">
        <v>19</v>
      </c>
      <c r="AR1901" s="175">
        <v>1</v>
      </c>
      <c r="AS1901" s="175">
        <v>5</v>
      </c>
      <c r="AT1901" s="175">
        <v>2</v>
      </c>
    </row>
    <row r="1902" spans="1:46">
      <c r="A1902">
        <v>45305</v>
      </c>
      <c r="B1902" t="s">
        <v>11279</v>
      </c>
      <c r="C1902" t="s">
        <v>11280</v>
      </c>
      <c r="D1902" t="s">
        <v>11281</v>
      </c>
      <c r="E1902" t="s">
        <v>11282</v>
      </c>
      <c r="G1902" t="s">
        <v>1553</v>
      </c>
      <c r="H1902" t="s">
        <v>449</v>
      </c>
      <c r="J1902" t="s">
        <v>4032</v>
      </c>
      <c r="K1902" t="s">
        <v>606</v>
      </c>
      <c r="M1902" t="s">
        <v>1382</v>
      </c>
      <c r="N1902" t="s">
        <v>657</v>
      </c>
      <c r="O1902" t="s">
        <v>1554</v>
      </c>
      <c r="P1902" t="s">
        <v>1347</v>
      </c>
      <c r="Q1902" t="s">
        <v>511</v>
      </c>
      <c r="R1902" t="s">
        <v>1555</v>
      </c>
      <c r="S1902" t="s">
        <v>1556</v>
      </c>
      <c r="T1902" t="s">
        <v>1557</v>
      </c>
      <c r="U1902">
        <v>202700</v>
      </c>
      <c r="V1902" t="s">
        <v>1558</v>
      </c>
      <c r="W1902" t="s">
        <v>1559</v>
      </c>
      <c r="X1902" t="s">
        <v>11283</v>
      </c>
      <c r="Y1902" t="s">
        <v>4176</v>
      </c>
      <c r="AA1902" t="s">
        <v>4052</v>
      </c>
      <c r="AC1902">
        <v>99016</v>
      </c>
      <c r="AD1902" t="s">
        <v>1562</v>
      </c>
      <c r="AE1902">
        <v>-37.95740584</v>
      </c>
      <c r="AF1902">
        <v>176.98704613000001</v>
      </c>
      <c r="AG1902" s="175">
        <v>50</v>
      </c>
      <c r="AH1902" s="175">
        <v>5</v>
      </c>
      <c r="AI1902" s="175">
        <v>0</v>
      </c>
      <c r="AJ1902" s="175">
        <v>0</v>
      </c>
      <c r="AK1902" s="175">
        <v>14</v>
      </c>
      <c r="AL1902" s="175">
        <v>22</v>
      </c>
      <c r="AM1902" s="175">
        <v>27</v>
      </c>
      <c r="AN1902" s="175">
        <v>0</v>
      </c>
      <c r="AO1902" s="175">
        <v>63</v>
      </c>
      <c r="AP1902" s="175">
        <v>45</v>
      </c>
      <c r="AQ1902" s="175">
        <v>31</v>
      </c>
      <c r="AR1902" s="175">
        <v>1</v>
      </c>
      <c r="AS1902" s="175">
        <v>4</v>
      </c>
      <c r="AT1902" s="175">
        <v>3</v>
      </c>
    </row>
    <row r="1903" spans="1:46">
      <c r="A1903">
        <v>45306</v>
      </c>
      <c r="B1903" t="s">
        <v>11284</v>
      </c>
      <c r="C1903" t="s">
        <v>11280</v>
      </c>
      <c r="D1903" t="s">
        <v>11281</v>
      </c>
      <c r="E1903" t="s">
        <v>11282</v>
      </c>
      <c r="G1903" t="s">
        <v>1553</v>
      </c>
      <c r="H1903" t="s">
        <v>449</v>
      </c>
      <c r="J1903" t="s">
        <v>4032</v>
      </c>
      <c r="K1903" t="s">
        <v>606</v>
      </c>
      <c r="M1903" t="s">
        <v>1382</v>
      </c>
      <c r="N1903" t="s">
        <v>657</v>
      </c>
      <c r="O1903" t="s">
        <v>1554</v>
      </c>
      <c r="P1903" t="s">
        <v>1347</v>
      </c>
      <c r="Q1903" t="s">
        <v>511</v>
      </c>
      <c r="R1903" t="s">
        <v>1555</v>
      </c>
      <c r="S1903" t="s">
        <v>1556</v>
      </c>
      <c r="T1903" t="s">
        <v>1557</v>
      </c>
      <c r="U1903">
        <v>202700</v>
      </c>
      <c r="V1903" t="s">
        <v>1558</v>
      </c>
      <c r="W1903" t="s">
        <v>1559</v>
      </c>
      <c r="X1903" t="s">
        <v>11283</v>
      </c>
      <c r="Y1903" t="s">
        <v>4176</v>
      </c>
      <c r="AA1903" t="s">
        <v>4052</v>
      </c>
      <c r="AC1903">
        <v>99016</v>
      </c>
      <c r="AD1903" t="s">
        <v>1562</v>
      </c>
      <c r="AE1903">
        <v>-37.957359179999997</v>
      </c>
      <c r="AF1903">
        <v>176.98705185</v>
      </c>
      <c r="AG1903" s="175">
        <v>30</v>
      </c>
      <c r="AH1903" s="175">
        <v>25</v>
      </c>
      <c r="AI1903" s="175">
        <v>5</v>
      </c>
      <c r="AJ1903" s="175">
        <v>23</v>
      </c>
      <c r="AK1903" s="175">
        <v>20</v>
      </c>
      <c r="AL1903" s="175">
        <v>9</v>
      </c>
      <c r="AM1903" s="175">
        <v>3</v>
      </c>
      <c r="AN1903" s="175">
        <v>0</v>
      </c>
      <c r="AO1903" s="175">
        <v>60</v>
      </c>
      <c r="AP1903" s="175">
        <v>46</v>
      </c>
      <c r="AQ1903" s="175">
        <v>23</v>
      </c>
      <c r="AR1903" s="175">
        <v>1</v>
      </c>
      <c r="AS1903" s="175">
        <v>5</v>
      </c>
      <c r="AT1903" s="175">
        <v>4</v>
      </c>
    </row>
    <row r="1904" spans="1:46">
      <c r="A1904">
        <v>45307</v>
      </c>
      <c r="B1904" t="s">
        <v>11285</v>
      </c>
      <c r="C1904" t="s">
        <v>11286</v>
      </c>
      <c r="E1904" t="s">
        <v>11287</v>
      </c>
      <c r="F1904" t="s">
        <v>3246</v>
      </c>
      <c r="G1904" t="s">
        <v>3015</v>
      </c>
      <c r="H1904" t="s">
        <v>449</v>
      </c>
      <c r="I1904" t="s">
        <v>4134</v>
      </c>
      <c r="J1904" t="s">
        <v>605</v>
      </c>
      <c r="K1904" t="s">
        <v>606</v>
      </c>
      <c r="M1904" t="s">
        <v>2366</v>
      </c>
      <c r="N1904" t="s">
        <v>657</v>
      </c>
      <c r="O1904" t="s">
        <v>3016</v>
      </c>
      <c r="P1904" t="s">
        <v>739</v>
      </c>
      <c r="Q1904" t="s">
        <v>521</v>
      </c>
      <c r="R1904" t="s">
        <v>3017</v>
      </c>
      <c r="S1904" t="s">
        <v>3030</v>
      </c>
      <c r="T1904" t="s">
        <v>2526</v>
      </c>
      <c r="U1904">
        <v>323800</v>
      </c>
      <c r="V1904" t="s">
        <v>3247</v>
      </c>
      <c r="W1904" t="s">
        <v>3143</v>
      </c>
      <c r="X1904" t="s">
        <v>10864</v>
      </c>
      <c r="Y1904" t="s">
        <v>4014</v>
      </c>
      <c r="Z1904" t="s">
        <v>4015</v>
      </c>
      <c r="AA1904" t="s">
        <v>4016</v>
      </c>
      <c r="AE1904">
        <v>-43.509292100000003</v>
      </c>
      <c r="AF1904">
        <v>172.63457747999999</v>
      </c>
      <c r="AG1904" s="175">
        <v>48</v>
      </c>
      <c r="AH1904" s="175">
        <v>10</v>
      </c>
      <c r="AI1904" s="175">
        <v>0</v>
      </c>
      <c r="AJ1904" s="175">
        <v>9</v>
      </c>
      <c r="AK1904" s="175">
        <v>22</v>
      </c>
      <c r="AL1904" s="175">
        <v>11</v>
      </c>
      <c r="AM1904" s="175">
        <v>11</v>
      </c>
      <c r="AN1904" s="175">
        <v>2</v>
      </c>
      <c r="AO1904" s="175">
        <v>55</v>
      </c>
      <c r="AP1904" s="175">
        <v>36</v>
      </c>
      <c r="AQ1904" s="175">
        <v>2</v>
      </c>
      <c r="AR1904" s="175">
        <v>0</v>
      </c>
      <c r="AS1904" s="175">
        <v>18</v>
      </c>
      <c r="AT1904" s="175">
        <v>7</v>
      </c>
    </row>
    <row r="1905" spans="1:46">
      <c r="A1905">
        <v>45308</v>
      </c>
      <c r="B1905" t="s">
        <v>11288</v>
      </c>
      <c r="C1905" t="s">
        <v>11289</v>
      </c>
      <c r="D1905" t="s">
        <v>11290</v>
      </c>
      <c r="E1905" t="s">
        <v>11291</v>
      </c>
      <c r="G1905" t="s">
        <v>1905</v>
      </c>
      <c r="H1905" t="s">
        <v>449</v>
      </c>
      <c r="J1905" t="s">
        <v>4032</v>
      </c>
      <c r="K1905" t="s">
        <v>606</v>
      </c>
      <c r="M1905" t="s">
        <v>1382</v>
      </c>
      <c r="N1905" t="s">
        <v>625</v>
      </c>
      <c r="O1905" t="s">
        <v>1840</v>
      </c>
      <c r="P1905" t="s">
        <v>610</v>
      </c>
      <c r="Q1905" t="s">
        <v>514</v>
      </c>
      <c r="R1905" t="s">
        <v>1841</v>
      </c>
      <c r="S1905" t="s">
        <v>1839</v>
      </c>
      <c r="T1905" t="s">
        <v>1568</v>
      </c>
      <c r="U1905">
        <v>218500</v>
      </c>
      <c r="V1905" t="s">
        <v>1906</v>
      </c>
      <c r="W1905" t="s">
        <v>1907</v>
      </c>
      <c r="X1905" t="s">
        <v>11292</v>
      </c>
      <c r="Y1905" t="s">
        <v>4176</v>
      </c>
      <c r="AA1905" t="s">
        <v>4052</v>
      </c>
      <c r="AB1905" t="s">
        <v>11289</v>
      </c>
      <c r="AE1905">
        <v>-39.003143770000001</v>
      </c>
      <c r="AF1905">
        <v>174.23914748000001</v>
      </c>
      <c r="AG1905" s="175">
        <v>60</v>
      </c>
      <c r="AH1905" s="175">
        <v>0</v>
      </c>
      <c r="AI1905" s="175">
        <v>0</v>
      </c>
      <c r="AJ1905" s="175">
        <v>0</v>
      </c>
      <c r="AK1905" s="175">
        <v>11</v>
      </c>
      <c r="AL1905" s="175">
        <v>17</v>
      </c>
      <c r="AM1905" s="175">
        <v>30</v>
      </c>
      <c r="AN1905" s="175">
        <v>0</v>
      </c>
      <c r="AO1905" s="175">
        <v>58</v>
      </c>
      <c r="AP1905" s="175">
        <v>38</v>
      </c>
      <c r="AQ1905" s="175">
        <v>37</v>
      </c>
      <c r="AR1905" s="175">
        <v>10</v>
      </c>
      <c r="AS1905" s="175">
        <v>2</v>
      </c>
      <c r="AT1905" s="175">
        <v>2</v>
      </c>
    </row>
    <row r="1906" spans="1:46">
      <c r="A1906">
        <v>45310</v>
      </c>
      <c r="B1906" t="s">
        <v>11293</v>
      </c>
      <c r="C1906" t="s">
        <v>11294</v>
      </c>
      <c r="D1906" t="s">
        <v>11295</v>
      </c>
      <c r="E1906" t="s">
        <v>11296</v>
      </c>
      <c r="F1906" t="s">
        <v>11297</v>
      </c>
      <c r="G1906" t="s">
        <v>1923</v>
      </c>
      <c r="H1906" t="s">
        <v>449</v>
      </c>
      <c r="J1906" t="s">
        <v>4032</v>
      </c>
      <c r="K1906" t="s">
        <v>606</v>
      </c>
      <c r="M1906" t="s">
        <v>1382</v>
      </c>
      <c r="N1906" t="s">
        <v>657</v>
      </c>
      <c r="O1906" t="s">
        <v>1968</v>
      </c>
      <c r="P1906" t="s">
        <v>670</v>
      </c>
      <c r="Q1906" t="s">
        <v>553</v>
      </c>
      <c r="R1906" t="s">
        <v>1841</v>
      </c>
      <c r="S1906" t="s">
        <v>1923</v>
      </c>
      <c r="T1906" t="s">
        <v>1568</v>
      </c>
      <c r="U1906">
        <v>224500</v>
      </c>
      <c r="V1906" t="s">
        <v>11298</v>
      </c>
      <c r="W1906" t="s">
        <v>1734</v>
      </c>
      <c r="X1906" t="s">
        <v>11299</v>
      </c>
      <c r="Y1906" t="s">
        <v>11300</v>
      </c>
      <c r="Z1906" t="s">
        <v>1286</v>
      </c>
      <c r="AA1906" t="s">
        <v>11301</v>
      </c>
      <c r="AB1906" t="s">
        <v>11294</v>
      </c>
      <c r="AE1906">
        <v>-39.927715460000002</v>
      </c>
      <c r="AF1906">
        <v>175.02841527999999</v>
      </c>
      <c r="AG1906" s="175">
        <v>40</v>
      </c>
      <c r="AH1906" s="175">
        <v>11</v>
      </c>
      <c r="AI1906" s="175">
        <v>2</v>
      </c>
      <c r="AJ1906" s="175">
        <v>5</v>
      </c>
      <c r="AK1906" s="175">
        <v>12</v>
      </c>
      <c r="AL1906" s="175">
        <v>18</v>
      </c>
      <c r="AM1906" s="175">
        <v>10</v>
      </c>
      <c r="AN1906" s="175">
        <v>1</v>
      </c>
      <c r="AO1906" s="175">
        <v>48</v>
      </c>
      <c r="AP1906" s="175">
        <v>46</v>
      </c>
      <c r="AQ1906" s="175">
        <v>5</v>
      </c>
      <c r="AR1906" s="175">
        <v>0</v>
      </c>
      <c r="AS1906" s="175">
        <v>2</v>
      </c>
      <c r="AT1906" s="175">
        <v>0</v>
      </c>
    </row>
    <row r="1907" spans="1:46">
      <c r="A1907">
        <v>45313</v>
      </c>
      <c r="B1907" t="s">
        <v>11302</v>
      </c>
      <c r="C1907" t="s">
        <v>11303</v>
      </c>
      <c r="D1907" t="s">
        <v>11304</v>
      </c>
      <c r="E1907" t="s">
        <v>11305</v>
      </c>
      <c r="F1907" t="s">
        <v>2631</v>
      </c>
      <c r="G1907" t="s">
        <v>2368</v>
      </c>
      <c r="H1907" t="s">
        <v>452</v>
      </c>
      <c r="J1907" t="s">
        <v>605</v>
      </c>
      <c r="K1907" t="s">
        <v>606</v>
      </c>
      <c r="M1907" t="s">
        <v>2366</v>
      </c>
      <c r="N1907" t="s">
        <v>657</v>
      </c>
      <c r="O1907" t="s">
        <v>2614</v>
      </c>
      <c r="P1907" t="s">
        <v>739</v>
      </c>
      <c r="Q1907" t="s">
        <v>516</v>
      </c>
      <c r="R1907" t="s">
        <v>2368</v>
      </c>
      <c r="S1907" t="s">
        <v>2631</v>
      </c>
      <c r="T1907" t="s">
        <v>2526</v>
      </c>
      <c r="U1907">
        <v>251800</v>
      </c>
      <c r="V1907" t="s">
        <v>11306</v>
      </c>
      <c r="W1907" t="s">
        <v>2651</v>
      </c>
      <c r="X1907" t="s">
        <v>1970</v>
      </c>
      <c r="Y1907" t="s">
        <v>1971</v>
      </c>
      <c r="AA1907" t="s">
        <v>1972</v>
      </c>
      <c r="AB1907" t="s">
        <v>1973</v>
      </c>
      <c r="AE1907">
        <v>-41.290879009999998</v>
      </c>
      <c r="AF1907">
        <v>174.78199516999999</v>
      </c>
      <c r="AG1907" s="175">
        <v>32</v>
      </c>
      <c r="AH1907" s="175">
        <v>9</v>
      </c>
      <c r="AI1907" s="175">
        <v>0</v>
      </c>
      <c r="AJ1907" s="175">
        <v>3</v>
      </c>
      <c r="AK1907" s="175">
        <v>8</v>
      </c>
      <c r="AL1907" s="175">
        <v>12</v>
      </c>
      <c r="AM1907" s="175">
        <v>9</v>
      </c>
      <c r="AN1907" s="175">
        <v>0</v>
      </c>
      <c r="AO1907" s="175">
        <v>32</v>
      </c>
      <c r="AP1907" s="175">
        <v>26</v>
      </c>
      <c r="AQ1907" s="175">
        <v>5</v>
      </c>
      <c r="AR1907" s="175">
        <v>7</v>
      </c>
      <c r="AS1907" s="175">
        <v>4</v>
      </c>
      <c r="AT1907" s="175">
        <v>4</v>
      </c>
    </row>
    <row r="1908" spans="1:46">
      <c r="A1908">
        <v>45314</v>
      </c>
      <c r="B1908" t="s">
        <v>11307</v>
      </c>
      <c r="C1908" t="s">
        <v>11308</v>
      </c>
      <c r="D1908" t="s">
        <v>11309</v>
      </c>
      <c r="E1908" t="s">
        <v>11310</v>
      </c>
      <c r="F1908" t="s">
        <v>957</v>
      </c>
      <c r="G1908" t="s">
        <v>737</v>
      </c>
      <c r="H1908" t="s">
        <v>449</v>
      </c>
      <c r="J1908" t="s">
        <v>4032</v>
      </c>
      <c r="K1908" t="s">
        <v>606</v>
      </c>
      <c r="M1908" t="s">
        <v>607</v>
      </c>
      <c r="N1908" t="s">
        <v>643</v>
      </c>
      <c r="O1908" t="s">
        <v>958</v>
      </c>
      <c r="P1908" t="s">
        <v>739</v>
      </c>
      <c r="Q1908" t="s">
        <v>467</v>
      </c>
      <c r="R1908" t="s">
        <v>724</v>
      </c>
      <c r="S1908" t="s">
        <v>804</v>
      </c>
      <c r="T1908" t="s">
        <v>794</v>
      </c>
      <c r="U1908">
        <v>130801</v>
      </c>
      <c r="V1908" t="s">
        <v>959</v>
      </c>
      <c r="W1908" t="s">
        <v>900</v>
      </c>
      <c r="X1908" t="s">
        <v>11311</v>
      </c>
      <c r="Y1908" t="s">
        <v>11310</v>
      </c>
      <c r="Z1908" t="s">
        <v>957</v>
      </c>
      <c r="AA1908" t="s">
        <v>5051</v>
      </c>
      <c r="AB1908" t="s">
        <v>11312</v>
      </c>
      <c r="AE1908">
        <v>-36.907360429999997</v>
      </c>
      <c r="AF1908">
        <v>174.65383890999999</v>
      </c>
      <c r="AG1908" s="175">
        <v>40</v>
      </c>
      <c r="AH1908" s="175">
        <v>12</v>
      </c>
      <c r="AI1908" s="175">
        <v>0</v>
      </c>
      <c r="AJ1908" s="175">
        <v>5</v>
      </c>
      <c r="AK1908" s="175">
        <v>10</v>
      </c>
      <c r="AL1908" s="175">
        <v>10</v>
      </c>
      <c r="AM1908" s="175">
        <v>15</v>
      </c>
      <c r="AN1908" s="175">
        <v>2</v>
      </c>
      <c r="AO1908" s="175">
        <v>42</v>
      </c>
      <c r="AP1908" s="175">
        <v>21</v>
      </c>
      <c r="AQ1908" s="175">
        <v>6</v>
      </c>
      <c r="AR1908" s="175">
        <v>9</v>
      </c>
      <c r="AS1908" s="175">
        <v>14</v>
      </c>
      <c r="AT1908" s="175">
        <v>3</v>
      </c>
    </row>
    <row r="1909" spans="1:46">
      <c r="A1909">
        <v>45315</v>
      </c>
      <c r="B1909" t="s">
        <v>11313</v>
      </c>
      <c r="C1909" t="s">
        <v>11314</v>
      </c>
      <c r="D1909" t="s">
        <v>11315</v>
      </c>
      <c r="E1909" t="s">
        <v>11316</v>
      </c>
      <c r="F1909" t="s">
        <v>11317</v>
      </c>
      <c r="G1909" t="s">
        <v>737</v>
      </c>
      <c r="H1909" t="s">
        <v>449</v>
      </c>
      <c r="J1909" t="s">
        <v>4032</v>
      </c>
      <c r="K1909" t="s">
        <v>606</v>
      </c>
      <c r="M1909" t="s">
        <v>607</v>
      </c>
      <c r="N1909" t="s">
        <v>657</v>
      </c>
      <c r="O1909" t="s">
        <v>997</v>
      </c>
      <c r="P1909" t="s">
        <v>739</v>
      </c>
      <c r="Q1909" t="s">
        <v>467</v>
      </c>
      <c r="R1909" t="s">
        <v>793</v>
      </c>
      <c r="S1909" t="s">
        <v>998</v>
      </c>
      <c r="T1909" t="s">
        <v>794</v>
      </c>
      <c r="U1909">
        <v>141201</v>
      </c>
      <c r="V1909" t="s">
        <v>11318</v>
      </c>
      <c r="W1909" t="s">
        <v>945</v>
      </c>
      <c r="X1909" t="s">
        <v>11319</v>
      </c>
      <c r="Y1909" t="s">
        <v>11320</v>
      </c>
      <c r="Z1909" t="s">
        <v>11317</v>
      </c>
      <c r="AA1909" t="s">
        <v>5890</v>
      </c>
      <c r="AE1909">
        <v>-36.905669639999999</v>
      </c>
      <c r="AF1909">
        <v>174.75939489999999</v>
      </c>
      <c r="AG1909" s="175">
        <v>30</v>
      </c>
      <c r="AH1909" s="175">
        <v>8</v>
      </c>
      <c r="AI1909" s="175">
        <v>2</v>
      </c>
      <c r="AJ1909" s="175">
        <v>1</v>
      </c>
      <c r="AK1909" s="175">
        <v>6</v>
      </c>
      <c r="AL1909" s="175">
        <v>8</v>
      </c>
      <c r="AM1909" s="175">
        <v>10</v>
      </c>
      <c r="AN1909" s="175">
        <v>0</v>
      </c>
      <c r="AO1909" s="175">
        <v>27</v>
      </c>
      <c r="AP1909" s="175">
        <v>4</v>
      </c>
      <c r="AQ1909" s="175">
        <v>0</v>
      </c>
      <c r="AR1909" s="175">
        <v>1</v>
      </c>
      <c r="AS1909" s="175">
        <v>23</v>
      </c>
      <c r="AT1909" s="175">
        <v>1</v>
      </c>
    </row>
    <row r="1910" spans="1:46">
      <c r="A1910">
        <v>45316</v>
      </c>
      <c r="B1910" t="s">
        <v>11321</v>
      </c>
      <c r="C1910" t="s">
        <v>11322</v>
      </c>
      <c r="D1910" t="s">
        <v>11323</v>
      </c>
      <c r="E1910" t="s">
        <v>11324</v>
      </c>
      <c r="F1910" t="s">
        <v>1121</v>
      </c>
      <c r="G1910" t="s">
        <v>737</v>
      </c>
      <c r="H1910" t="s">
        <v>449</v>
      </c>
      <c r="J1910" t="s">
        <v>4032</v>
      </c>
      <c r="K1910" t="s">
        <v>606</v>
      </c>
      <c r="M1910" t="s">
        <v>607</v>
      </c>
      <c r="N1910" t="s">
        <v>812</v>
      </c>
      <c r="O1910" t="s">
        <v>1301</v>
      </c>
      <c r="P1910" t="s">
        <v>739</v>
      </c>
      <c r="Q1910" t="s">
        <v>467</v>
      </c>
      <c r="R1910" t="s">
        <v>814</v>
      </c>
      <c r="S1910" t="s">
        <v>1121</v>
      </c>
      <c r="T1910" t="s">
        <v>794</v>
      </c>
      <c r="U1910">
        <v>160100</v>
      </c>
      <c r="V1910" t="s">
        <v>6942</v>
      </c>
      <c r="W1910" t="s">
        <v>1304</v>
      </c>
      <c r="X1910" t="s">
        <v>11325</v>
      </c>
      <c r="Y1910" t="s">
        <v>7375</v>
      </c>
      <c r="Z1910" t="s">
        <v>848</v>
      </c>
      <c r="AA1910" t="s">
        <v>4432</v>
      </c>
      <c r="AB1910" t="s">
        <v>11326</v>
      </c>
      <c r="AE1910">
        <v>-37.018469949999997</v>
      </c>
      <c r="AF1910">
        <v>174.88924244</v>
      </c>
      <c r="AG1910" s="175">
        <v>70</v>
      </c>
      <c r="AH1910" s="175">
        <v>20</v>
      </c>
      <c r="AI1910" s="175">
        <v>2</v>
      </c>
      <c r="AJ1910" s="175">
        <v>11</v>
      </c>
      <c r="AK1910" s="175">
        <v>9</v>
      </c>
      <c r="AL1910" s="175">
        <v>18</v>
      </c>
      <c r="AM1910" s="175">
        <v>17</v>
      </c>
      <c r="AN1910" s="175">
        <v>2</v>
      </c>
      <c r="AO1910" s="175">
        <v>59</v>
      </c>
      <c r="AP1910" s="175">
        <v>4</v>
      </c>
      <c r="AQ1910" s="175">
        <v>11</v>
      </c>
      <c r="AR1910" s="175">
        <v>25</v>
      </c>
      <c r="AS1910" s="175">
        <v>30</v>
      </c>
      <c r="AT1910" s="175">
        <v>2</v>
      </c>
    </row>
    <row r="1911" spans="1:46">
      <c r="A1911">
        <v>45321</v>
      </c>
      <c r="B1911" t="s">
        <v>11327</v>
      </c>
      <c r="C1911" t="s">
        <v>11328</v>
      </c>
      <c r="D1911" t="s">
        <v>11329</v>
      </c>
      <c r="E1911" t="s">
        <v>11330</v>
      </c>
      <c r="G1911" t="s">
        <v>2899</v>
      </c>
      <c r="H1911" t="s">
        <v>449</v>
      </c>
      <c r="J1911" t="s">
        <v>4032</v>
      </c>
      <c r="K1911" t="s">
        <v>606</v>
      </c>
      <c r="M1911" t="s">
        <v>2366</v>
      </c>
      <c r="N1911" t="s">
        <v>643</v>
      </c>
      <c r="O1911" t="s">
        <v>2900</v>
      </c>
      <c r="P1911" t="s">
        <v>1347</v>
      </c>
      <c r="Q1911" t="s">
        <v>519</v>
      </c>
      <c r="R1911" t="s">
        <v>2901</v>
      </c>
      <c r="S1911" t="s">
        <v>2902</v>
      </c>
      <c r="T1911" t="s">
        <v>2526</v>
      </c>
      <c r="U1911">
        <v>308000</v>
      </c>
      <c r="V1911" t="s">
        <v>11331</v>
      </c>
      <c r="W1911" t="s">
        <v>2903</v>
      </c>
      <c r="X1911" t="s">
        <v>11332</v>
      </c>
      <c r="Y1911" t="s">
        <v>11333</v>
      </c>
      <c r="AA1911" t="s">
        <v>10927</v>
      </c>
      <c r="AE1911">
        <v>-41.503933340000003</v>
      </c>
      <c r="AF1911">
        <v>173.96589265</v>
      </c>
      <c r="AG1911" s="175">
        <v>23</v>
      </c>
      <c r="AH1911" s="175">
        <v>15</v>
      </c>
      <c r="AI1911" s="175">
        <v>2</v>
      </c>
      <c r="AJ1911" s="175">
        <v>12</v>
      </c>
      <c r="AK1911" s="175">
        <v>5</v>
      </c>
      <c r="AL1911" s="175">
        <v>1</v>
      </c>
      <c r="AM1911" s="175">
        <v>1</v>
      </c>
      <c r="AN1911" s="175">
        <v>0</v>
      </c>
      <c r="AO1911" s="175">
        <v>21</v>
      </c>
      <c r="AP1911" s="175">
        <v>19</v>
      </c>
      <c r="AQ1911" s="175">
        <v>5</v>
      </c>
      <c r="AR1911" s="175">
        <v>1</v>
      </c>
      <c r="AS1911" s="175">
        <v>2</v>
      </c>
      <c r="AT1911" s="175">
        <v>0</v>
      </c>
    </row>
    <row r="1912" spans="1:46">
      <c r="A1912">
        <v>45322</v>
      </c>
      <c r="B1912" t="s">
        <v>11334</v>
      </c>
      <c r="C1912" t="s">
        <v>11335</v>
      </c>
      <c r="D1912" t="s">
        <v>11336</v>
      </c>
      <c r="E1912" t="s">
        <v>11337</v>
      </c>
      <c r="F1912" t="s">
        <v>811</v>
      </c>
      <c r="G1912" t="s">
        <v>737</v>
      </c>
      <c r="H1912" t="s">
        <v>449</v>
      </c>
      <c r="J1912" t="s">
        <v>605</v>
      </c>
      <c r="K1912" t="s">
        <v>606</v>
      </c>
      <c r="M1912" t="s">
        <v>607</v>
      </c>
      <c r="N1912" t="s">
        <v>812</v>
      </c>
      <c r="O1912" t="s">
        <v>813</v>
      </c>
      <c r="P1912" t="s">
        <v>739</v>
      </c>
      <c r="Q1912" t="s">
        <v>467</v>
      </c>
      <c r="R1912" t="s">
        <v>814</v>
      </c>
      <c r="S1912" t="s">
        <v>815</v>
      </c>
      <c r="T1912" t="s">
        <v>794</v>
      </c>
      <c r="U1912">
        <v>153000</v>
      </c>
      <c r="V1912" t="s">
        <v>7665</v>
      </c>
      <c r="W1912" t="s">
        <v>817</v>
      </c>
      <c r="X1912" t="s">
        <v>11338</v>
      </c>
      <c r="Y1912" t="s">
        <v>11339</v>
      </c>
      <c r="Z1912" t="s">
        <v>811</v>
      </c>
      <c r="AA1912" t="s">
        <v>4590</v>
      </c>
      <c r="AE1912">
        <v>-36.950870989999999</v>
      </c>
      <c r="AF1912">
        <v>174.85622303</v>
      </c>
      <c r="AG1912" s="175">
        <v>50</v>
      </c>
      <c r="AH1912" s="175">
        <v>10</v>
      </c>
      <c r="AI1912" s="175">
        <v>1</v>
      </c>
      <c r="AJ1912" s="175">
        <v>5</v>
      </c>
      <c r="AK1912" s="175">
        <v>6</v>
      </c>
      <c r="AL1912" s="175">
        <v>10</v>
      </c>
      <c r="AM1912" s="175">
        <v>3</v>
      </c>
      <c r="AN1912" s="175">
        <v>0</v>
      </c>
      <c r="AO1912" s="175">
        <v>25</v>
      </c>
      <c r="AP1912" s="175">
        <v>3</v>
      </c>
      <c r="AQ1912" s="175">
        <v>1</v>
      </c>
      <c r="AR1912" s="175">
        <v>18</v>
      </c>
      <c r="AS1912" s="175">
        <v>4</v>
      </c>
      <c r="AT1912" s="175">
        <v>0</v>
      </c>
    </row>
    <row r="1913" spans="1:46">
      <c r="A1913">
        <v>45324</v>
      </c>
      <c r="B1913" t="s">
        <v>11340</v>
      </c>
      <c r="C1913" t="s">
        <v>9262</v>
      </c>
      <c r="D1913" t="s">
        <v>8974</v>
      </c>
      <c r="E1913" t="s">
        <v>11341</v>
      </c>
      <c r="F1913" t="s">
        <v>11342</v>
      </c>
      <c r="G1913" t="s">
        <v>1381</v>
      </c>
      <c r="H1913" t="s">
        <v>301</v>
      </c>
      <c r="J1913" t="s">
        <v>605</v>
      </c>
      <c r="K1913" t="s">
        <v>606</v>
      </c>
      <c r="M1913" t="s">
        <v>1382</v>
      </c>
      <c r="N1913" t="s">
        <v>4586</v>
      </c>
      <c r="O1913" t="s">
        <v>1383</v>
      </c>
      <c r="P1913" t="s">
        <v>739</v>
      </c>
      <c r="Q1913" t="s">
        <v>510</v>
      </c>
      <c r="R1913" t="s">
        <v>1384</v>
      </c>
      <c r="S1913" t="s">
        <v>1385</v>
      </c>
      <c r="T1913" t="s">
        <v>1320</v>
      </c>
      <c r="U1913">
        <v>176500</v>
      </c>
      <c r="V1913" t="s">
        <v>1507</v>
      </c>
      <c r="W1913" t="s">
        <v>1387</v>
      </c>
      <c r="X1913" t="s">
        <v>8394</v>
      </c>
      <c r="Y1913" t="s">
        <v>5253</v>
      </c>
      <c r="AA1913" t="s">
        <v>5254</v>
      </c>
      <c r="AB1913" t="s">
        <v>8390</v>
      </c>
      <c r="AE1913">
        <v>-37.758114040000002</v>
      </c>
      <c r="AF1913">
        <v>175.25609129</v>
      </c>
      <c r="AG1913" s="175">
        <v>20</v>
      </c>
      <c r="AH1913" s="175">
        <v>20</v>
      </c>
      <c r="AI1913" s="175">
        <v>99</v>
      </c>
      <c r="AJ1913" s="175">
        <v>3</v>
      </c>
      <c r="AK1913" s="175">
        <v>0</v>
      </c>
      <c r="AL1913" s="175">
        <v>0</v>
      </c>
      <c r="AM1913" s="175">
        <v>0</v>
      </c>
      <c r="AN1913" s="175">
        <v>0</v>
      </c>
      <c r="AO1913" s="175">
        <v>102</v>
      </c>
      <c r="AP1913" s="175">
        <v>96</v>
      </c>
      <c r="AQ1913" s="175">
        <v>16</v>
      </c>
      <c r="AR1913" s="175">
        <v>2</v>
      </c>
      <c r="AS1913" s="175">
        <v>8</v>
      </c>
      <c r="AT1913" s="175">
        <v>8</v>
      </c>
    </row>
    <row r="1914" spans="1:46">
      <c r="A1914">
        <v>45326</v>
      </c>
      <c r="B1914" t="s">
        <v>11343</v>
      </c>
      <c r="C1914" t="s">
        <v>11344</v>
      </c>
      <c r="E1914" t="s">
        <v>11345</v>
      </c>
      <c r="G1914" t="s">
        <v>3569</v>
      </c>
      <c r="H1914" t="s">
        <v>449</v>
      </c>
      <c r="J1914" t="s">
        <v>4032</v>
      </c>
      <c r="K1914" t="s">
        <v>606</v>
      </c>
      <c r="M1914" t="s">
        <v>2366</v>
      </c>
      <c r="N1914" t="s">
        <v>657</v>
      </c>
      <c r="O1914" t="s">
        <v>3568</v>
      </c>
      <c r="P1914" t="s">
        <v>670</v>
      </c>
      <c r="Q1914" t="s">
        <v>523</v>
      </c>
      <c r="R1914" t="s">
        <v>3410</v>
      </c>
      <c r="S1914" t="s">
        <v>3569</v>
      </c>
      <c r="T1914" t="s">
        <v>2526</v>
      </c>
      <c r="U1914">
        <v>361000</v>
      </c>
      <c r="V1914" t="s">
        <v>11346</v>
      </c>
      <c r="W1914" t="s">
        <v>1734</v>
      </c>
      <c r="X1914" t="s">
        <v>11347</v>
      </c>
      <c r="Y1914" t="s">
        <v>4725</v>
      </c>
      <c r="Z1914" t="s">
        <v>1043</v>
      </c>
      <c r="AA1914" t="s">
        <v>4726</v>
      </c>
      <c r="AB1914" t="s">
        <v>11348</v>
      </c>
      <c r="AE1914">
        <v>-46.402436389999998</v>
      </c>
      <c r="AF1914">
        <v>168.34289465000001</v>
      </c>
      <c r="AG1914" s="175">
        <v>80</v>
      </c>
      <c r="AH1914" s="175">
        <v>29</v>
      </c>
      <c r="AI1914" s="175">
        <v>4</v>
      </c>
      <c r="AJ1914" s="175">
        <v>17</v>
      </c>
      <c r="AK1914" s="175">
        <v>29</v>
      </c>
      <c r="AL1914" s="175">
        <v>22</v>
      </c>
      <c r="AM1914" s="175">
        <v>20</v>
      </c>
      <c r="AN1914" s="175">
        <v>0</v>
      </c>
      <c r="AO1914" s="175">
        <v>92</v>
      </c>
      <c r="AP1914" s="175">
        <v>83</v>
      </c>
      <c r="AQ1914" s="175">
        <v>18</v>
      </c>
      <c r="AR1914" s="175">
        <v>5</v>
      </c>
      <c r="AS1914" s="175">
        <v>9</v>
      </c>
      <c r="AT1914" s="175">
        <v>1</v>
      </c>
    </row>
    <row r="1915" spans="1:46">
      <c r="A1915">
        <v>45329</v>
      </c>
      <c r="B1915" t="s">
        <v>11349</v>
      </c>
      <c r="C1915" t="s">
        <v>11350</v>
      </c>
      <c r="D1915" t="s">
        <v>11351</v>
      </c>
      <c r="E1915" t="s">
        <v>11352</v>
      </c>
      <c r="G1915" t="s">
        <v>11353</v>
      </c>
      <c r="H1915" t="s">
        <v>449</v>
      </c>
      <c r="J1915" t="s">
        <v>4032</v>
      </c>
      <c r="K1915" t="s">
        <v>606</v>
      </c>
      <c r="M1915" t="s">
        <v>2366</v>
      </c>
      <c r="N1915" t="s">
        <v>657</v>
      </c>
      <c r="O1915" t="s">
        <v>2944</v>
      </c>
      <c r="P1915" t="s">
        <v>658</v>
      </c>
      <c r="Q1915" t="s">
        <v>517</v>
      </c>
      <c r="R1915" t="s">
        <v>2901</v>
      </c>
      <c r="S1915" t="s">
        <v>2945</v>
      </c>
      <c r="T1915" t="s">
        <v>2526</v>
      </c>
      <c r="U1915">
        <v>301601</v>
      </c>
      <c r="V1915" t="s">
        <v>11354</v>
      </c>
      <c r="W1915" t="s">
        <v>11355</v>
      </c>
      <c r="X1915" t="s">
        <v>11356</v>
      </c>
      <c r="Y1915" t="s">
        <v>11357</v>
      </c>
      <c r="AA1915" t="s">
        <v>11358</v>
      </c>
      <c r="AB1915" t="s">
        <v>11350</v>
      </c>
      <c r="AC1915">
        <v>99115</v>
      </c>
      <c r="AD1915" t="s">
        <v>2948</v>
      </c>
      <c r="AE1915">
        <v>-41.231841170000003</v>
      </c>
      <c r="AF1915">
        <v>173.00913775000001</v>
      </c>
      <c r="AG1915" s="175">
        <v>25</v>
      </c>
      <c r="AH1915" s="175">
        <v>0</v>
      </c>
      <c r="AI1915" s="175">
        <v>0</v>
      </c>
      <c r="AJ1915" s="175">
        <v>0</v>
      </c>
      <c r="AK1915" s="175">
        <v>2</v>
      </c>
      <c r="AL1915" s="175">
        <v>10</v>
      </c>
      <c r="AM1915" s="175">
        <v>6</v>
      </c>
      <c r="AN1915" s="175">
        <v>1</v>
      </c>
      <c r="AO1915" s="175">
        <v>19</v>
      </c>
      <c r="AP1915" s="175">
        <v>16</v>
      </c>
      <c r="AQ1915" s="175">
        <v>4</v>
      </c>
      <c r="AR1915" s="175">
        <v>0</v>
      </c>
      <c r="AS1915" s="175">
        <v>1</v>
      </c>
      <c r="AT1915" s="175">
        <v>2</v>
      </c>
    </row>
    <row r="1916" spans="1:46">
      <c r="A1916">
        <v>45331</v>
      </c>
      <c r="B1916" t="s">
        <v>11359</v>
      </c>
      <c r="C1916" t="s">
        <v>10518</v>
      </c>
      <c r="D1916" t="s">
        <v>10519</v>
      </c>
      <c r="E1916" t="s">
        <v>4782</v>
      </c>
      <c r="F1916" t="s">
        <v>3841</v>
      </c>
      <c r="G1916" t="s">
        <v>1681</v>
      </c>
      <c r="H1916" t="s">
        <v>450</v>
      </c>
      <c r="J1916" t="s">
        <v>4032</v>
      </c>
      <c r="K1916" t="s">
        <v>606</v>
      </c>
      <c r="M1916" t="s">
        <v>1382</v>
      </c>
      <c r="N1916" t="s">
        <v>657</v>
      </c>
      <c r="O1916" t="s">
        <v>1780</v>
      </c>
      <c r="P1916" t="s">
        <v>739</v>
      </c>
      <c r="Q1916" t="s">
        <v>511</v>
      </c>
      <c r="R1916" t="s">
        <v>1384</v>
      </c>
      <c r="S1916" t="s">
        <v>1781</v>
      </c>
      <c r="T1916" t="s">
        <v>1557</v>
      </c>
      <c r="U1916">
        <v>197000</v>
      </c>
      <c r="V1916" t="s">
        <v>4783</v>
      </c>
      <c r="W1916" t="s">
        <v>1783</v>
      </c>
      <c r="X1916" t="s">
        <v>11360</v>
      </c>
      <c r="Y1916" t="s">
        <v>4782</v>
      </c>
      <c r="Z1916" t="s">
        <v>3841</v>
      </c>
      <c r="AA1916" t="s">
        <v>4785</v>
      </c>
      <c r="AE1916">
        <v>-37.69709237</v>
      </c>
      <c r="AF1916">
        <v>176.26228123000001</v>
      </c>
      <c r="AG1916" s="175">
        <v>50</v>
      </c>
      <c r="AH1916" s="175">
        <v>50</v>
      </c>
      <c r="AI1916" s="175">
        <v>0</v>
      </c>
      <c r="AJ1916" s="175">
        <v>0</v>
      </c>
      <c r="AK1916" s="175">
        <v>4</v>
      </c>
      <c r="AL1916" s="175">
        <v>5</v>
      </c>
      <c r="AM1916" s="175">
        <v>8</v>
      </c>
      <c r="AN1916" s="175">
        <v>0</v>
      </c>
      <c r="AO1916" s="175">
        <v>17</v>
      </c>
      <c r="AP1916" s="175">
        <v>6</v>
      </c>
      <c r="AQ1916" s="175">
        <v>11</v>
      </c>
      <c r="AR1916" s="175">
        <v>1</v>
      </c>
      <c r="AS1916" s="175">
        <v>0</v>
      </c>
      <c r="AT1916" s="175">
        <v>0</v>
      </c>
    </row>
    <row r="1917" spans="1:46">
      <c r="A1917">
        <v>45332</v>
      </c>
      <c r="B1917" t="s">
        <v>11361</v>
      </c>
      <c r="C1917" t="s">
        <v>11362</v>
      </c>
      <c r="E1917" t="s">
        <v>11363</v>
      </c>
      <c r="F1917" t="s">
        <v>3777</v>
      </c>
      <c r="G1917" t="s">
        <v>4393</v>
      </c>
      <c r="H1917" t="s">
        <v>449</v>
      </c>
      <c r="J1917" t="s">
        <v>4032</v>
      </c>
      <c r="K1917" t="s">
        <v>606</v>
      </c>
      <c r="M1917" t="s">
        <v>607</v>
      </c>
      <c r="N1917" t="s">
        <v>657</v>
      </c>
      <c r="O1917" t="s">
        <v>1253</v>
      </c>
      <c r="P1917" t="s">
        <v>739</v>
      </c>
      <c r="Q1917" t="s">
        <v>467</v>
      </c>
      <c r="R1917" t="s">
        <v>724</v>
      </c>
      <c r="S1917" t="s">
        <v>740</v>
      </c>
      <c r="T1917" t="s">
        <v>613</v>
      </c>
      <c r="U1917">
        <v>117300</v>
      </c>
      <c r="V1917" t="s">
        <v>5769</v>
      </c>
      <c r="W1917" t="s">
        <v>742</v>
      </c>
      <c r="X1917" t="s">
        <v>11364</v>
      </c>
      <c r="Y1917" t="s">
        <v>11365</v>
      </c>
      <c r="Z1917" t="s">
        <v>3777</v>
      </c>
      <c r="AA1917" t="s">
        <v>6335</v>
      </c>
      <c r="AB1917" t="s">
        <v>11366</v>
      </c>
      <c r="AE1917">
        <v>-36.723524490000003</v>
      </c>
      <c r="AF1917">
        <v>174.6947169</v>
      </c>
      <c r="AG1917" s="175">
        <v>47</v>
      </c>
      <c r="AH1917" s="175">
        <v>15</v>
      </c>
      <c r="AI1917" s="175">
        <v>1</v>
      </c>
      <c r="AJ1917" s="175">
        <v>5</v>
      </c>
      <c r="AK1917" s="175">
        <v>9</v>
      </c>
      <c r="AL1917" s="175">
        <v>11</v>
      </c>
      <c r="AM1917" s="175">
        <v>13</v>
      </c>
      <c r="AN1917" s="175">
        <v>4</v>
      </c>
      <c r="AO1917" s="175">
        <v>43</v>
      </c>
      <c r="AP1917" s="175">
        <v>24</v>
      </c>
      <c r="AQ1917" s="175">
        <v>0</v>
      </c>
      <c r="AR1917" s="175">
        <v>2</v>
      </c>
      <c r="AS1917" s="175">
        <v>19</v>
      </c>
      <c r="AT1917" s="175">
        <v>0</v>
      </c>
    </row>
    <row r="1918" spans="1:46">
      <c r="A1918">
        <v>45335</v>
      </c>
      <c r="B1918" t="s">
        <v>11367</v>
      </c>
      <c r="C1918" t="s">
        <v>11368</v>
      </c>
      <c r="E1918" t="s">
        <v>11369</v>
      </c>
      <c r="F1918" t="s">
        <v>11370</v>
      </c>
      <c r="G1918" t="s">
        <v>1839</v>
      </c>
      <c r="H1918" t="s">
        <v>449</v>
      </c>
      <c r="J1918" t="s">
        <v>605</v>
      </c>
      <c r="K1918" t="s">
        <v>606</v>
      </c>
      <c r="M1918" t="s">
        <v>1382</v>
      </c>
      <c r="N1918" t="s">
        <v>657</v>
      </c>
      <c r="O1918" t="s">
        <v>1840</v>
      </c>
      <c r="P1918" t="s">
        <v>670</v>
      </c>
      <c r="Q1918" t="s">
        <v>514</v>
      </c>
      <c r="R1918" t="s">
        <v>1841</v>
      </c>
      <c r="S1918" t="s">
        <v>1839</v>
      </c>
      <c r="T1918" t="s">
        <v>1568</v>
      </c>
      <c r="U1918">
        <v>218100</v>
      </c>
      <c r="V1918" t="s">
        <v>1885</v>
      </c>
      <c r="W1918" t="s">
        <v>1843</v>
      </c>
      <c r="X1918" t="s">
        <v>10425</v>
      </c>
      <c r="Y1918" t="s">
        <v>4014</v>
      </c>
      <c r="Z1918" t="s">
        <v>4015</v>
      </c>
      <c r="AA1918" t="s">
        <v>4016</v>
      </c>
      <c r="AE1918">
        <v>-39.05835931</v>
      </c>
      <c r="AF1918">
        <v>174.09782519000001</v>
      </c>
      <c r="AG1918" s="175">
        <v>75</v>
      </c>
      <c r="AH1918" s="175">
        <v>25</v>
      </c>
      <c r="AI1918" s="175">
        <v>0</v>
      </c>
      <c r="AJ1918" s="175">
        <v>12</v>
      </c>
      <c r="AK1918" s="175">
        <v>20</v>
      </c>
      <c r="AL1918" s="175">
        <v>29</v>
      </c>
      <c r="AM1918" s="175">
        <v>16</v>
      </c>
      <c r="AN1918" s="175">
        <v>0</v>
      </c>
      <c r="AO1918" s="175">
        <v>77</v>
      </c>
      <c r="AP1918" s="175">
        <v>52</v>
      </c>
      <c r="AQ1918" s="175">
        <v>10</v>
      </c>
      <c r="AR1918" s="175">
        <v>1</v>
      </c>
      <c r="AS1918" s="175">
        <v>22</v>
      </c>
      <c r="AT1918" s="175">
        <v>2</v>
      </c>
    </row>
    <row r="1919" spans="1:46">
      <c r="A1919">
        <v>45336</v>
      </c>
      <c r="B1919" t="s">
        <v>11371</v>
      </c>
      <c r="C1919" t="s">
        <v>11372</v>
      </c>
      <c r="D1919" t="s">
        <v>11373</v>
      </c>
      <c r="E1919" t="s">
        <v>11374</v>
      </c>
      <c r="G1919" t="s">
        <v>1938</v>
      </c>
      <c r="H1919" t="s">
        <v>449</v>
      </c>
      <c r="J1919" t="s">
        <v>605</v>
      </c>
      <c r="K1919" t="s">
        <v>606</v>
      </c>
      <c r="M1919" t="s">
        <v>1382</v>
      </c>
      <c r="N1919" t="s">
        <v>657</v>
      </c>
      <c r="O1919" t="s">
        <v>1932</v>
      </c>
      <c r="P1919" t="s">
        <v>610</v>
      </c>
      <c r="Q1919" t="s">
        <v>514</v>
      </c>
      <c r="R1919" t="s">
        <v>1841</v>
      </c>
      <c r="S1919" t="s">
        <v>1923</v>
      </c>
      <c r="T1919" t="s">
        <v>1568</v>
      </c>
      <c r="U1919">
        <v>221900</v>
      </c>
      <c r="V1919" t="s">
        <v>11375</v>
      </c>
      <c r="W1919" t="s">
        <v>1940</v>
      </c>
      <c r="X1919" t="s">
        <v>10425</v>
      </c>
      <c r="Y1919" t="s">
        <v>4014</v>
      </c>
      <c r="Z1919" t="s">
        <v>4015</v>
      </c>
      <c r="AA1919" t="s">
        <v>4016</v>
      </c>
      <c r="AC1919">
        <v>99167</v>
      </c>
      <c r="AD1919" t="s">
        <v>1941</v>
      </c>
      <c r="AE1919">
        <v>-39.591241330000003</v>
      </c>
      <c r="AF1919">
        <v>174.27071677999999</v>
      </c>
      <c r="AG1919" s="175">
        <v>20</v>
      </c>
      <c r="AH1919" s="175">
        <v>20</v>
      </c>
      <c r="AI1919" s="175">
        <v>3</v>
      </c>
      <c r="AJ1919" s="175">
        <v>13</v>
      </c>
      <c r="AK1919" s="175">
        <v>3</v>
      </c>
      <c r="AL1919" s="175">
        <v>1</v>
      </c>
      <c r="AM1919" s="175">
        <v>0</v>
      </c>
      <c r="AN1919" s="175">
        <v>0</v>
      </c>
      <c r="AO1919" s="175">
        <v>20</v>
      </c>
      <c r="AP1919" s="175">
        <v>14</v>
      </c>
      <c r="AQ1919" s="175">
        <v>8</v>
      </c>
      <c r="AR1919" s="175">
        <v>1</v>
      </c>
      <c r="AS1919" s="175">
        <v>2</v>
      </c>
      <c r="AT1919" s="175">
        <v>0</v>
      </c>
    </row>
    <row r="1920" spans="1:46">
      <c r="A1920">
        <v>45337</v>
      </c>
      <c r="B1920" t="s">
        <v>11376</v>
      </c>
      <c r="C1920" t="s">
        <v>11377</v>
      </c>
      <c r="D1920" t="s">
        <v>11378</v>
      </c>
      <c r="E1920" t="s">
        <v>11379</v>
      </c>
      <c r="F1920" t="s">
        <v>2102</v>
      </c>
      <c r="G1920" t="s">
        <v>2055</v>
      </c>
      <c r="H1920" t="s">
        <v>449</v>
      </c>
      <c r="J1920" t="s">
        <v>605</v>
      </c>
      <c r="K1920" t="s">
        <v>606</v>
      </c>
      <c r="M1920" t="s">
        <v>1382</v>
      </c>
      <c r="N1920" t="s">
        <v>657</v>
      </c>
      <c r="O1920" t="s">
        <v>2037</v>
      </c>
      <c r="P1920" t="s">
        <v>670</v>
      </c>
      <c r="Q1920" t="s">
        <v>553</v>
      </c>
      <c r="R1920" t="s">
        <v>1841</v>
      </c>
      <c r="S1920" t="s">
        <v>2055</v>
      </c>
      <c r="T1920" t="s">
        <v>1568</v>
      </c>
      <c r="U1920">
        <v>228901</v>
      </c>
      <c r="V1920" t="s">
        <v>11380</v>
      </c>
      <c r="W1920" t="s">
        <v>2038</v>
      </c>
      <c r="X1920" t="s">
        <v>10463</v>
      </c>
      <c r="Y1920" t="s">
        <v>4014</v>
      </c>
      <c r="Z1920" t="s">
        <v>4015</v>
      </c>
      <c r="AA1920" t="s">
        <v>4016</v>
      </c>
      <c r="AB1920" t="s">
        <v>10464</v>
      </c>
      <c r="AE1920">
        <v>-40.316921170000001</v>
      </c>
      <c r="AF1920">
        <v>175.6309727</v>
      </c>
      <c r="AG1920" s="175">
        <v>70</v>
      </c>
      <c r="AH1920" s="175">
        <v>20</v>
      </c>
      <c r="AI1920" s="175">
        <v>3</v>
      </c>
      <c r="AJ1920" s="175">
        <v>8</v>
      </c>
      <c r="AK1920" s="175">
        <v>17</v>
      </c>
      <c r="AL1920" s="175">
        <v>14</v>
      </c>
      <c r="AM1920" s="175">
        <v>21</v>
      </c>
      <c r="AN1920" s="175">
        <v>1</v>
      </c>
      <c r="AO1920" s="175">
        <v>64</v>
      </c>
      <c r="AP1920" s="175">
        <v>47</v>
      </c>
      <c r="AQ1920" s="175">
        <v>17</v>
      </c>
      <c r="AR1920" s="175">
        <v>2</v>
      </c>
      <c r="AS1920" s="175">
        <v>2</v>
      </c>
      <c r="AT1920" s="175">
        <v>4</v>
      </c>
    </row>
    <row r="1921" spans="1:46">
      <c r="A1921">
        <v>45340</v>
      </c>
      <c r="B1921" t="s">
        <v>11381</v>
      </c>
      <c r="C1921" t="s">
        <v>11382</v>
      </c>
      <c r="D1921" t="s">
        <v>11383</v>
      </c>
      <c r="E1921" t="s">
        <v>11384</v>
      </c>
      <c r="F1921" t="s">
        <v>4472</v>
      </c>
      <c r="G1921" t="s">
        <v>668</v>
      </c>
      <c r="H1921" t="s">
        <v>449</v>
      </c>
      <c r="J1921" t="s">
        <v>4032</v>
      </c>
      <c r="K1921" t="s">
        <v>606</v>
      </c>
      <c r="M1921" t="s">
        <v>607</v>
      </c>
      <c r="N1921" t="s">
        <v>657</v>
      </c>
      <c r="O1921" t="s">
        <v>669</v>
      </c>
      <c r="P1921" t="s">
        <v>670</v>
      </c>
      <c r="Q1921" t="s">
        <v>509</v>
      </c>
      <c r="R1921" t="s">
        <v>611</v>
      </c>
      <c r="S1921" t="s">
        <v>671</v>
      </c>
      <c r="T1921" t="s">
        <v>613</v>
      </c>
      <c r="U1921">
        <v>107100</v>
      </c>
      <c r="V1921" t="s">
        <v>4469</v>
      </c>
      <c r="W1921" t="s">
        <v>673</v>
      </c>
      <c r="X1921" t="s">
        <v>4470</v>
      </c>
      <c r="Y1921" t="s">
        <v>4471</v>
      </c>
      <c r="Z1921" t="s">
        <v>4472</v>
      </c>
      <c r="AA1921" t="s">
        <v>4596</v>
      </c>
      <c r="AB1921" t="s">
        <v>4474</v>
      </c>
      <c r="AC1921">
        <v>99181</v>
      </c>
      <c r="AD1921" t="s">
        <v>680</v>
      </c>
      <c r="AE1921">
        <v>-35.719933339999997</v>
      </c>
      <c r="AF1921">
        <v>174.32184520999999</v>
      </c>
      <c r="AG1921" s="175">
        <v>56</v>
      </c>
      <c r="AH1921" s="175">
        <v>25</v>
      </c>
      <c r="AI1921" s="175">
        <v>2</v>
      </c>
      <c r="AJ1921" s="175">
        <v>13</v>
      </c>
      <c r="AK1921" s="175">
        <v>12</v>
      </c>
      <c r="AL1921" s="175">
        <v>9</v>
      </c>
      <c r="AM1921" s="175">
        <v>12</v>
      </c>
      <c r="AN1921" s="175">
        <v>0</v>
      </c>
      <c r="AO1921" s="175">
        <v>48</v>
      </c>
      <c r="AP1921" s="175">
        <v>35</v>
      </c>
      <c r="AQ1921" s="175">
        <v>20</v>
      </c>
      <c r="AR1921" s="175">
        <v>4</v>
      </c>
      <c r="AS1921" s="175">
        <v>6</v>
      </c>
      <c r="AT1921" s="175">
        <v>3</v>
      </c>
    </row>
    <row r="1922" spans="1:46">
      <c r="A1922">
        <v>45341</v>
      </c>
      <c r="B1922" t="s">
        <v>11385</v>
      </c>
      <c r="C1922" t="s">
        <v>11386</v>
      </c>
      <c r="E1922" t="s">
        <v>11387</v>
      </c>
      <c r="G1922" t="s">
        <v>4955</v>
      </c>
      <c r="H1922" t="s">
        <v>449</v>
      </c>
      <c r="J1922" t="s">
        <v>4032</v>
      </c>
      <c r="K1922" t="s">
        <v>606</v>
      </c>
      <c r="M1922" t="s">
        <v>607</v>
      </c>
      <c r="N1922" t="s">
        <v>657</v>
      </c>
      <c r="O1922" t="s">
        <v>669</v>
      </c>
      <c r="P1922" t="s">
        <v>626</v>
      </c>
      <c r="Q1922" t="s">
        <v>509</v>
      </c>
      <c r="R1922" t="s">
        <v>611</v>
      </c>
      <c r="S1922" t="s">
        <v>671</v>
      </c>
      <c r="T1922" t="s">
        <v>613</v>
      </c>
      <c r="U1922">
        <v>108500</v>
      </c>
      <c r="V1922" t="s">
        <v>4956</v>
      </c>
      <c r="W1922" t="s">
        <v>4732</v>
      </c>
      <c r="X1922" t="s">
        <v>11388</v>
      </c>
      <c r="Y1922" t="s">
        <v>11389</v>
      </c>
      <c r="AA1922" t="s">
        <v>11390</v>
      </c>
      <c r="AC1922">
        <v>99180</v>
      </c>
      <c r="AD1922" t="s">
        <v>4957</v>
      </c>
      <c r="AE1922">
        <v>-35.768766890000002</v>
      </c>
      <c r="AF1922">
        <v>174.48000712999999</v>
      </c>
      <c r="AG1922" s="175">
        <v>60</v>
      </c>
      <c r="AH1922" s="175">
        <v>20</v>
      </c>
      <c r="AI1922" s="175">
        <v>1</v>
      </c>
      <c r="AJ1922" s="175">
        <v>14</v>
      </c>
      <c r="AK1922" s="175">
        <v>15</v>
      </c>
      <c r="AL1922" s="175">
        <v>18</v>
      </c>
      <c r="AM1922" s="175">
        <v>18</v>
      </c>
      <c r="AN1922" s="175">
        <v>1</v>
      </c>
      <c r="AO1922" s="175">
        <v>67</v>
      </c>
      <c r="AP1922" s="175">
        <v>61</v>
      </c>
      <c r="AQ1922" s="175">
        <v>11</v>
      </c>
      <c r="AR1922" s="175">
        <v>2</v>
      </c>
      <c r="AS1922" s="175">
        <v>2</v>
      </c>
      <c r="AT1922" s="175">
        <v>3</v>
      </c>
    </row>
    <row r="1923" spans="1:46">
      <c r="A1923">
        <v>45343</v>
      </c>
      <c r="B1923" t="s">
        <v>11391</v>
      </c>
      <c r="C1923" t="s">
        <v>11392</v>
      </c>
      <c r="E1923" t="s">
        <v>11393</v>
      </c>
      <c r="G1923" t="s">
        <v>9285</v>
      </c>
      <c r="H1923" t="s">
        <v>449</v>
      </c>
      <c r="J1923" t="s">
        <v>4032</v>
      </c>
      <c r="K1923" t="s">
        <v>606</v>
      </c>
      <c r="M1923" t="s">
        <v>1382</v>
      </c>
      <c r="N1923" t="s">
        <v>4586</v>
      </c>
      <c r="O1923" t="s">
        <v>1403</v>
      </c>
      <c r="P1923" t="s">
        <v>626</v>
      </c>
      <c r="Q1923" t="s">
        <v>510</v>
      </c>
      <c r="R1923" t="s">
        <v>1384</v>
      </c>
      <c r="S1923" t="s">
        <v>1501</v>
      </c>
      <c r="T1923" t="s">
        <v>1320</v>
      </c>
      <c r="U1923">
        <v>181800</v>
      </c>
      <c r="V1923" t="s">
        <v>9286</v>
      </c>
      <c r="W1923" t="s">
        <v>9027</v>
      </c>
      <c r="X1923" t="s">
        <v>11394</v>
      </c>
      <c r="Y1923" t="s">
        <v>11395</v>
      </c>
      <c r="Z1923" t="s">
        <v>9558</v>
      </c>
      <c r="AA1923" t="s">
        <v>8575</v>
      </c>
      <c r="AB1923" t="s">
        <v>11396</v>
      </c>
      <c r="AE1923">
        <v>-37.919007700000002</v>
      </c>
      <c r="AF1923">
        <v>175.30624589999999</v>
      </c>
      <c r="AG1923" s="175">
        <v>65</v>
      </c>
      <c r="AH1923" s="175">
        <v>15</v>
      </c>
      <c r="AI1923" s="175">
        <v>2</v>
      </c>
      <c r="AJ1923" s="175">
        <v>13</v>
      </c>
      <c r="AK1923" s="175">
        <v>16</v>
      </c>
      <c r="AL1923" s="175">
        <v>19</v>
      </c>
      <c r="AM1923" s="175">
        <v>29</v>
      </c>
      <c r="AN1923" s="175">
        <v>0</v>
      </c>
      <c r="AO1923" s="175">
        <v>79</v>
      </c>
      <c r="AP1923" s="175">
        <v>74</v>
      </c>
      <c r="AQ1923" s="175">
        <v>11</v>
      </c>
      <c r="AR1923" s="175">
        <v>2</v>
      </c>
      <c r="AS1923" s="175">
        <v>2</v>
      </c>
      <c r="AT1923" s="175">
        <v>2</v>
      </c>
    </row>
    <row r="1924" spans="1:46">
      <c r="A1924">
        <v>45349</v>
      </c>
      <c r="B1924" t="s">
        <v>11397</v>
      </c>
      <c r="C1924" t="s">
        <v>11398</v>
      </c>
      <c r="D1924" t="s">
        <v>11399</v>
      </c>
      <c r="E1924" t="s">
        <v>11400</v>
      </c>
      <c r="G1924" t="s">
        <v>3584</v>
      </c>
      <c r="H1924" t="s">
        <v>452</v>
      </c>
      <c r="J1924" t="s">
        <v>605</v>
      </c>
      <c r="K1924" t="s">
        <v>606</v>
      </c>
      <c r="M1924" t="s">
        <v>2366</v>
      </c>
      <c r="N1924" t="s">
        <v>657</v>
      </c>
      <c r="O1924" t="s">
        <v>3585</v>
      </c>
      <c r="P1924" t="s">
        <v>610</v>
      </c>
      <c r="Q1924" t="s">
        <v>523</v>
      </c>
      <c r="R1924" t="s">
        <v>3410</v>
      </c>
      <c r="S1924" t="s">
        <v>3433</v>
      </c>
      <c r="T1924" t="s">
        <v>2526</v>
      </c>
      <c r="U1924">
        <v>359900</v>
      </c>
      <c r="V1924" t="s">
        <v>11401</v>
      </c>
      <c r="W1924" t="s">
        <v>3587</v>
      </c>
      <c r="X1924" t="s">
        <v>3570</v>
      </c>
      <c r="Y1924" t="s">
        <v>3571</v>
      </c>
      <c r="Z1924" t="s">
        <v>3569</v>
      </c>
      <c r="AA1924" t="s">
        <v>3572</v>
      </c>
      <c r="AB1924" t="s">
        <v>3573</v>
      </c>
      <c r="AC1924">
        <v>99055</v>
      </c>
      <c r="AD1924" t="s">
        <v>3588</v>
      </c>
      <c r="AE1924">
        <v>-46.11081137</v>
      </c>
      <c r="AF1924">
        <v>168.93245322999999</v>
      </c>
      <c r="AG1924" s="175">
        <v>40</v>
      </c>
      <c r="AH1924" s="175">
        <v>0</v>
      </c>
      <c r="AI1924" s="175">
        <v>0</v>
      </c>
      <c r="AJ1924" s="175">
        <v>0</v>
      </c>
      <c r="AK1924" s="175">
        <v>0</v>
      </c>
      <c r="AL1924" s="175">
        <v>17</v>
      </c>
      <c r="AM1924" s="175">
        <v>20</v>
      </c>
      <c r="AN1924" s="175">
        <v>0</v>
      </c>
      <c r="AO1924" s="175">
        <v>37</v>
      </c>
      <c r="AP1924" s="175">
        <v>34</v>
      </c>
      <c r="AQ1924" s="175">
        <v>3</v>
      </c>
      <c r="AR1924" s="175">
        <v>0</v>
      </c>
      <c r="AS1924" s="175">
        <v>2</v>
      </c>
      <c r="AT1924" s="175">
        <v>0</v>
      </c>
    </row>
    <row r="1925" spans="1:46">
      <c r="A1925">
        <v>45354</v>
      </c>
      <c r="B1925" t="s">
        <v>11402</v>
      </c>
      <c r="C1925" t="s">
        <v>1308</v>
      </c>
      <c r="E1925" t="s">
        <v>11403</v>
      </c>
      <c r="F1925" t="s">
        <v>1121</v>
      </c>
      <c r="G1925" t="s">
        <v>737</v>
      </c>
      <c r="H1925" t="s">
        <v>452</v>
      </c>
      <c r="J1925" t="s">
        <v>605</v>
      </c>
      <c r="K1925" t="s">
        <v>606</v>
      </c>
      <c r="M1925" t="s">
        <v>607</v>
      </c>
      <c r="N1925" t="s">
        <v>643</v>
      </c>
      <c r="O1925" t="s">
        <v>1301</v>
      </c>
      <c r="P1925" t="s">
        <v>739</v>
      </c>
      <c r="Q1925" t="s">
        <v>467</v>
      </c>
      <c r="R1925" t="s">
        <v>814</v>
      </c>
      <c r="S1925" t="s">
        <v>1302</v>
      </c>
      <c r="T1925" t="s">
        <v>794</v>
      </c>
      <c r="U1925">
        <v>161000</v>
      </c>
      <c r="V1925" t="s">
        <v>4852</v>
      </c>
      <c r="W1925" t="s">
        <v>1304</v>
      </c>
      <c r="X1925" t="s">
        <v>1305</v>
      </c>
      <c r="Y1925" t="s">
        <v>1306</v>
      </c>
      <c r="Z1925" t="s">
        <v>1302</v>
      </c>
      <c r="AA1925" t="s">
        <v>1307</v>
      </c>
      <c r="AB1925" t="s">
        <v>1308</v>
      </c>
      <c r="AC1925">
        <v>99186</v>
      </c>
      <c r="AD1925" t="s">
        <v>1309</v>
      </c>
      <c r="AE1925">
        <v>-37.017682950000001</v>
      </c>
      <c r="AF1925">
        <v>174.91952573</v>
      </c>
      <c r="AG1925" s="175">
        <v>50</v>
      </c>
      <c r="AH1925" s="175">
        <v>10</v>
      </c>
      <c r="AI1925" s="175">
        <v>0</v>
      </c>
      <c r="AJ1925" s="175">
        <v>5</v>
      </c>
      <c r="AK1925" s="175">
        <v>14</v>
      </c>
      <c r="AL1925" s="175">
        <v>14</v>
      </c>
      <c r="AM1925" s="175">
        <v>17</v>
      </c>
      <c r="AN1925" s="175">
        <v>0</v>
      </c>
      <c r="AO1925" s="175">
        <v>50</v>
      </c>
      <c r="AP1925" s="175">
        <v>10</v>
      </c>
      <c r="AQ1925" s="175">
        <v>4</v>
      </c>
      <c r="AR1925" s="175">
        <v>10</v>
      </c>
      <c r="AS1925" s="175">
        <v>33</v>
      </c>
      <c r="AT1925" s="175">
        <v>5</v>
      </c>
    </row>
    <row r="1926" spans="1:46">
      <c r="A1926">
        <v>45355</v>
      </c>
      <c r="B1926" t="s">
        <v>11404</v>
      </c>
      <c r="C1926" t="s">
        <v>11405</v>
      </c>
      <c r="D1926" t="s">
        <v>11406</v>
      </c>
      <c r="E1926" t="s">
        <v>11407</v>
      </c>
      <c r="F1926" t="s">
        <v>932</v>
      </c>
      <c r="G1926" t="s">
        <v>737</v>
      </c>
      <c r="H1926" t="s">
        <v>449</v>
      </c>
      <c r="J1926" t="s">
        <v>4032</v>
      </c>
      <c r="K1926" t="s">
        <v>606</v>
      </c>
      <c r="M1926" t="s">
        <v>607</v>
      </c>
      <c r="N1926" t="s">
        <v>643</v>
      </c>
      <c r="O1926" t="s">
        <v>933</v>
      </c>
      <c r="P1926" t="s">
        <v>739</v>
      </c>
      <c r="Q1926" t="s">
        <v>467</v>
      </c>
      <c r="R1926" t="s">
        <v>814</v>
      </c>
      <c r="S1926" t="s">
        <v>934</v>
      </c>
      <c r="T1926" t="s">
        <v>794</v>
      </c>
      <c r="U1926">
        <v>147500</v>
      </c>
      <c r="V1926" t="s">
        <v>7640</v>
      </c>
      <c r="W1926" t="s">
        <v>817</v>
      </c>
      <c r="X1926" t="s">
        <v>11408</v>
      </c>
      <c r="Y1926" t="s">
        <v>11409</v>
      </c>
      <c r="Z1926" t="s">
        <v>1302</v>
      </c>
      <c r="AA1926" t="s">
        <v>9566</v>
      </c>
      <c r="AB1926" t="s">
        <v>11405</v>
      </c>
      <c r="AC1926">
        <v>99190</v>
      </c>
      <c r="AD1926" t="s">
        <v>916</v>
      </c>
      <c r="AE1926">
        <v>-36.955688690000002</v>
      </c>
      <c r="AF1926">
        <v>174.78471125999999</v>
      </c>
      <c r="AG1926" s="175">
        <v>35</v>
      </c>
      <c r="AH1926" s="175">
        <v>10</v>
      </c>
      <c r="AI1926" s="175">
        <v>1</v>
      </c>
      <c r="AJ1926" s="175">
        <v>6</v>
      </c>
      <c r="AK1926" s="175">
        <v>5</v>
      </c>
      <c r="AL1926" s="175">
        <v>13</v>
      </c>
      <c r="AM1926" s="175">
        <v>8</v>
      </c>
      <c r="AN1926" s="175">
        <v>1</v>
      </c>
      <c r="AO1926" s="175">
        <v>34</v>
      </c>
      <c r="AP1926" s="175">
        <v>16</v>
      </c>
      <c r="AQ1926" s="175">
        <v>9</v>
      </c>
      <c r="AR1926" s="175">
        <v>17</v>
      </c>
      <c r="AS1926" s="175">
        <v>7</v>
      </c>
      <c r="AT1926" s="175">
        <v>1</v>
      </c>
    </row>
    <row r="1927" spans="1:46">
      <c r="A1927">
        <v>45356</v>
      </c>
      <c r="B1927" t="s">
        <v>11410</v>
      </c>
      <c r="C1927" t="s">
        <v>11411</v>
      </c>
      <c r="D1927" t="s">
        <v>11412</v>
      </c>
      <c r="E1927" t="s">
        <v>11413</v>
      </c>
      <c r="G1927" t="s">
        <v>11414</v>
      </c>
      <c r="H1927" t="s">
        <v>449</v>
      </c>
      <c r="J1927" t="s">
        <v>4032</v>
      </c>
      <c r="K1927" t="s">
        <v>606</v>
      </c>
      <c r="M1927" t="s">
        <v>2366</v>
      </c>
      <c r="N1927" t="s">
        <v>657</v>
      </c>
      <c r="O1927" t="s">
        <v>3037</v>
      </c>
      <c r="P1927" t="s">
        <v>658</v>
      </c>
      <c r="Q1927" t="s">
        <v>521</v>
      </c>
      <c r="R1927" t="s">
        <v>3017</v>
      </c>
      <c r="S1927" t="s">
        <v>2902</v>
      </c>
      <c r="T1927" t="s">
        <v>2526</v>
      </c>
      <c r="U1927">
        <v>313400</v>
      </c>
      <c r="V1927" t="s">
        <v>11414</v>
      </c>
      <c r="W1927" t="s">
        <v>3040</v>
      </c>
      <c r="X1927" t="s">
        <v>11415</v>
      </c>
      <c r="Y1927" t="s">
        <v>11413</v>
      </c>
      <c r="AA1927" t="s">
        <v>11416</v>
      </c>
      <c r="AC1927">
        <v>99077</v>
      </c>
      <c r="AD1927" t="s">
        <v>3041</v>
      </c>
      <c r="AE1927">
        <v>-43.250184670000003</v>
      </c>
      <c r="AF1927">
        <v>172.53113714</v>
      </c>
      <c r="AG1927" s="175">
        <v>62</v>
      </c>
      <c r="AH1927" s="175">
        <v>12</v>
      </c>
      <c r="AI1927" s="175">
        <v>3</v>
      </c>
      <c r="AJ1927" s="175">
        <v>8</v>
      </c>
      <c r="AK1927" s="175">
        <v>12</v>
      </c>
      <c r="AL1927" s="175">
        <v>18</v>
      </c>
      <c r="AM1927" s="175">
        <v>20</v>
      </c>
      <c r="AN1927" s="175">
        <v>1</v>
      </c>
      <c r="AO1927" s="175">
        <v>62</v>
      </c>
      <c r="AP1927" s="175">
        <v>60</v>
      </c>
      <c r="AQ1927" s="175">
        <v>10</v>
      </c>
      <c r="AR1927" s="175">
        <v>0</v>
      </c>
      <c r="AS1927" s="175">
        <v>1</v>
      </c>
      <c r="AT1927" s="175">
        <v>0</v>
      </c>
    </row>
    <row r="1928" spans="1:46">
      <c r="A1928">
        <v>45358</v>
      </c>
      <c r="B1928" t="s">
        <v>11417</v>
      </c>
      <c r="C1928" t="s">
        <v>11418</v>
      </c>
      <c r="E1928" t="s">
        <v>11419</v>
      </c>
      <c r="G1928" t="s">
        <v>604</v>
      </c>
      <c r="H1928" t="s">
        <v>347</v>
      </c>
      <c r="J1928" t="s">
        <v>605</v>
      </c>
      <c r="K1928" t="s">
        <v>606</v>
      </c>
      <c r="L1928" t="s">
        <v>4273</v>
      </c>
      <c r="M1928" t="s">
        <v>607</v>
      </c>
      <c r="N1928" t="s">
        <v>812</v>
      </c>
      <c r="O1928" t="s">
        <v>609</v>
      </c>
      <c r="P1928" t="s">
        <v>658</v>
      </c>
      <c r="Q1928" t="s">
        <v>509</v>
      </c>
      <c r="R1928" t="s">
        <v>611</v>
      </c>
      <c r="S1928" t="s">
        <v>612</v>
      </c>
      <c r="T1928" t="s">
        <v>613</v>
      </c>
      <c r="U1928">
        <v>100900</v>
      </c>
      <c r="V1928" t="s">
        <v>5625</v>
      </c>
      <c r="W1928" t="s">
        <v>615</v>
      </c>
      <c r="X1928" t="s">
        <v>4520</v>
      </c>
      <c r="Y1928" t="s">
        <v>4276</v>
      </c>
      <c r="Z1928" t="s">
        <v>4277</v>
      </c>
      <c r="AA1928" t="s">
        <v>4278</v>
      </c>
      <c r="AB1928" t="s">
        <v>4521</v>
      </c>
      <c r="AE1928">
        <v>-35.070237630000001</v>
      </c>
      <c r="AF1928">
        <v>173.28968703999999</v>
      </c>
      <c r="AG1928" s="175">
        <v>40</v>
      </c>
      <c r="AH1928" s="175">
        <v>10</v>
      </c>
      <c r="AI1928" s="175">
        <v>4</v>
      </c>
      <c r="AJ1928" s="175">
        <v>4</v>
      </c>
      <c r="AK1928" s="175">
        <v>7</v>
      </c>
      <c r="AL1928" s="175">
        <v>4</v>
      </c>
      <c r="AM1928" s="175">
        <v>4</v>
      </c>
      <c r="AN1928" s="175">
        <v>0</v>
      </c>
      <c r="AO1928" s="175">
        <v>23</v>
      </c>
      <c r="AP1928" s="175">
        <v>0</v>
      </c>
      <c r="AQ1928" s="175">
        <v>23</v>
      </c>
      <c r="AR1928" s="175">
        <v>0</v>
      </c>
      <c r="AS1928" s="175">
        <v>0</v>
      </c>
      <c r="AT1928" s="175">
        <v>0</v>
      </c>
    </row>
    <row r="1929" spans="1:46">
      <c r="A1929">
        <v>45360</v>
      </c>
      <c r="B1929" t="s">
        <v>11420</v>
      </c>
      <c r="C1929" t="s">
        <v>11421</v>
      </c>
      <c r="D1929" t="s">
        <v>11422</v>
      </c>
      <c r="E1929" t="s">
        <v>11423</v>
      </c>
      <c r="F1929" t="s">
        <v>8536</v>
      </c>
      <c r="G1929" t="s">
        <v>1681</v>
      </c>
      <c r="H1929" t="s">
        <v>449</v>
      </c>
      <c r="J1929" t="s">
        <v>4032</v>
      </c>
      <c r="K1929" t="s">
        <v>606</v>
      </c>
      <c r="M1929" t="s">
        <v>1382</v>
      </c>
      <c r="N1929" t="s">
        <v>657</v>
      </c>
      <c r="O1929" t="s">
        <v>1780</v>
      </c>
      <c r="P1929" t="s">
        <v>739</v>
      </c>
      <c r="Q1929" t="s">
        <v>511</v>
      </c>
      <c r="R1929" t="s">
        <v>1555</v>
      </c>
      <c r="S1929" t="s">
        <v>1681</v>
      </c>
      <c r="T1929" t="s">
        <v>1557</v>
      </c>
      <c r="U1929">
        <v>193000</v>
      </c>
      <c r="V1929" t="s">
        <v>10193</v>
      </c>
      <c r="W1929" t="s">
        <v>1791</v>
      </c>
      <c r="X1929" t="s">
        <v>11424</v>
      </c>
      <c r="Y1929" t="s">
        <v>11425</v>
      </c>
      <c r="Z1929" t="s">
        <v>8536</v>
      </c>
      <c r="AA1929" t="s">
        <v>10792</v>
      </c>
      <c r="AB1929" t="s">
        <v>11426</v>
      </c>
      <c r="AC1929">
        <v>99036</v>
      </c>
      <c r="AD1929" t="s">
        <v>1792</v>
      </c>
      <c r="AE1929">
        <v>-37.696202929999998</v>
      </c>
      <c r="AF1929">
        <v>176.10980812</v>
      </c>
      <c r="AG1929" s="175">
        <v>117</v>
      </c>
      <c r="AH1929" s="175">
        <v>25</v>
      </c>
      <c r="AI1929" s="175">
        <v>1</v>
      </c>
      <c r="AJ1929" s="175">
        <v>22</v>
      </c>
      <c r="AK1929" s="175">
        <v>15</v>
      </c>
      <c r="AL1929" s="175">
        <v>22</v>
      </c>
      <c r="AM1929" s="175">
        <v>22</v>
      </c>
      <c r="AN1929" s="175">
        <v>2</v>
      </c>
      <c r="AO1929" s="175">
        <v>84</v>
      </c>
      <c r="AP1929" s="175">
        <v>68</v>
      </c>
      <c r="AQ1929" s="175">
        <v>19</v>
      </c>
      <c r="AR1929" s="175">
        <v>3</v>
      </c>
      <c r="AS1929" s="175">
        <v>7</v>
      </c>
      <c r="AT1929" s="175">
        <v>4</v>
      </c>
    </row>
    <row r="1930" spans="1:46">
      <c r="A1930">
        <v>45364</v>
      </c>
      <c r="B1930" t="s">
        <v>11427</v>
      </c>
      <c r="C1930" t="s">
        <v>11428</v>
      </c>
      <c r="D1930" t="s">
        <v>11429</v>
      </c>
      <c r="E1930" t="s">
        <v>11430</v>
      </c>
      <c r="F1930" t="s">
        <v>1397</v>
      </c>
      <c r="G1930" t="s">
        <v>1381</v>
      </c>
      <c r="H1930" t="s">
        <v>450</v>
      </c>
      <c r="J1930" t="s">
        <v>4032</v>
      </c>
      <c r="K1930" t="s">
        <v>606</v>
      </c>
      <c r="M1930" t="s">
        <v>1382</v>
      </c>
      <c r="N1930" t="s">
        <v>657</v>
      </c>
      <c r="O1930" t="s">
        <v>1383</v>
      </c>
      <c r="P1930" t="s">
        <v>739</v>
      </c>
      <c r="Q1930" t="s">
        <v>510</v>
      </c>
      <c r="R1930" t="s">
        <v>1384</v>
      </c>
      <c r="S1930" t="s">
        <v>1396</v>
      </c>
      <c r="T1930" t="s">
        <v>1320</v>
      </c>
      <c r="U1930">
        <v>178400</v>
      </c>
      <c r="V1930" t="s">
        <v>1459</v>
      </c>
      <c r="W1930" t="s">
        <v>1398</v>
      </c>
      <c r="X1930" t="s">
        <v>11431</v>
      </c>
      <c r="Y1930" t="s">
        <v>11432</v>
      </c>
      <c r="Z1930" t="s">
        <v>1397</v>
      </c>
      <c r="AA1930" t="s">
        <v>9433</v>
      </c>
      <c r="AE1930">
        <v>-37.762298719999997</v>
      </c>
      <c r="AF1930">
        <v>175.29048950000001</v>
      </c>
      <c r="AG1930" s="175">
        <v>80</v>
      </c>
      <c r="AH1930" s="175">
        <v>80</v>
      </c>
      <c r="AI1930" s="175">
        <v>8</v>
      </c>
      <c r="AJ1930" s="175">
        <v>11</v>
      </c>
      <c r="AK1930" s="175">
        <v>10</v>
      </c>
      <c r="AL1930" s="175">
        <v>7</v>
      </c>
      <c r="AM1930" s="175">
        <v>2</v>
      </c>
      <c r="AN1930" s="175">
        <v>0</v>
      </c>
      <c r="AO1930" s="175">
        <v>38</v>
      </c>
      <c r="AP1930" s="175">
        <v>35</v>
      </c>
      <c r="AQ1930" s="175">
        <v>4</v>
      </c>
      <c r="AR1930" s="175">
        <v>0</v>
      </c>
      <c r="AS1930" s="175">
        <v>7</v>
      </c>
      <c r="AT1930" s="175">
        <v>3</v>
      </c>
    </row>
    <row r="1931" spans="1:46">
      <c r="A1931">
        <v>45367</v>
      </c>
      <c r="B1931" t="s">
        <v>11433</v>
      </c>
      <c r="C1931" t="s">
        <v>11434</v>
      </c>
      <c r="D1931" t="s">
        <v>11435</v>
      </c>
      <c r="E1931" t="s">
        <v>11436</v>
      </c>
      <c r="F1931" t="s">
        <v>811</v>
      </c>
      <c r="G1931" t="s">
        <v>737</v>
      </c>
      <c r="H1931" t="s">
        <v>449</v>
      </c>
      <c r="J1931" t="s">
        <v>605</v>
      </c>
      <c r="K1931" t="s">
        <v>606</v>
      </c>
      <c r="M1931" t="s">
        <v>607</v>
      </c>
      <c r="N1931" t="s">
        <v>812</v>
      </c>
      <c r="O1931" t="s">
        <v>813</v>
      </c>
      <c r="P1931" t="s">
        <v>739</v>
      </c>
      <c r="Q1931" t="s">
        <v>467</v>
      </c>
      <c r="R1931" t="s">
        <v>814</v>
      </c>
      <c r="S1931" t="s">
        <v>815</v>
      </c>
      <c r="T1931" t="s">
        <v>794</v>
      </c>
      <c r="U1931">
        <v>154400</v>
      </c>
      <c r="V1931" t="s">
        <v>7416</v>
      </c>
      <c r="W1931" t="s">
        <v>817</v>
      </c>
      <c r="X1931" t="s">
        <v>11437</v>
      </c>
      <c r="Y1931" t="s">
        <v>6434</v>
      </c>
      <c r="Z1931" t="s">
        <v>4622</v>
      </c>
      <c r="AA1931" t="s">
        <v>4623</v>
      </c>
      <c r="AB1931" t="s">
        <v>11434</v>
      </c>
      <c r="AC1931">
        <v>99199</v>
      </c>
      <c r="AD1931" t="s">
        <v>8110</v>
      </c>
      <c r="AE1931">
        <v>-36.951199340000002</v>
      </c>
      <c r="AF1931">
        <v>174.87924971000001</v>
      </c>
      <c r="AG1931" s="175">
        <v>55</v>
      </c>
      <c r="AH1931" s="175">
        <v>16</v>
      </c>
      <c r="AI1931" s="175">
        <v>0</v>
      </c>
      <c r="AJ1931" s="175">
        <v>4</v>
      </c>
      <c r="AK1931" s="175">
        <v>15</v>
      </c>
      <c r="AL1931" s="175">
        <v>10</v>
      </c>
      <c r="AM1931" s="175">
        <v>10</v>
      </c>
      <c r="AN1931" s="175">
        <v>0</v>
      </c>
      <c r="AO1931" s="175">
        <v>39</v>
      </c>
      <c r="AP1931" s="175">
        <v>9</v>
      </c>
      <c r="AQ1931" s="175">
        <v>14</v>
      </c>
      <c r="AR1931" s="175">
        <v>34</v>
      </c>
      <c r="AS1931" s="175">
        <v>2</v>
      </c>
      <c r="AT1931" s="175">
        <v>0</v>
      </c>
    </row>
    <row r="1932" spans="1:46">
      <c r="A1932">
        <v>45371</v>
      </c>
      <c r="B1932" t="s">
        <v>11438</v>
      </c>
      <c r="C1932" t="s">
        <v>11439</v>
      </c>
      <c r="D1932" t="s">
        <v>11440</v>
      </c>
      <c r="E1932" t="s">
        <v>11441</v>
      </c>
      <c r="F1932" t="s">
        <v>3289</v>
      </c>
      <c r="G1932" t="s">
        <v>3290</v>
      </c>
      <c r="H1932" t="s">
        <v>449</v>
      </c>
      <c r="J1932" t="s">
        <v>4032</v>
      </c>
      <c r="K1932" t="s">
        <v>606</v>
      </c>
      <c r="M1932" t="s">
        <v>2366</v>
      </c>
      <c r="N1932" t="s">
        <v>657</v>
      </c>
      <c r="O1932" t="s">
        <v>3291</v>
      </c>
      <c r="P1932" t="s">
        <v>1347</v>
      </c>
      <c r="Q1932" t="s">
        <v>521</v>
      </c>
      <c r="R1932" t="s">
        <v>3017</v>
      </c>
      <c r="S1932" t="s">
        <v>3292</v>
      </c>
      <c r="T1932" t="s">
        <v>2526</v>
      </c>
      <c r="U1932">
        <v>337800</v>
      </c>
      <c r="V1932" t="s">
        <v>3316</v>
      </c>
      <c r="W1932" t="s">
        <v>3294</v>
      </c>
      <c r="X1932" t="s">
        <v>11442</v>
      </c>
      <c r="Y1932" t="s">
        <v>11441</v>
      </c>
      <c r="Z1932" t="s">
        <v>3289</v>
      </c>
      <c r="AA1932" t="s">
        <v>3297</v>
      </c>
      <c r="AB1932" t="s">
        <v>11443</v>
      </c>
      <c r="AC1932">
        <v>99043</v>
      </c>
      <c r="AD1932" t="s">
        <v>3299</v>
      </c>
      <c r="AE1932">
        <v>-43.890746829999998</v>
      </c>
      <c r="AF1932">
        <v>171.75342325</v>
      </c>
      <c r="AG1932" s="175">
        <v>45</v>
      </c>
      <c r="AH1932" s="175">
        <v>12</v>
      </c>
      <c r="AI1932" s="175">
        <v>2</v>
      </c>
      <c r="AJ1932" s="175">
        <v>10</v>
      </c>
      <c r="AK1932" s="175">
        <v>13</v>
      </c>
      <c r="AL1932" s="175">
        <v>11</v>
      </c>
      <c r="AM1932" s="175">
        <v>17</v>
      </c>
      <c r="AN1932" s="175">
        <v>0</v>
      </c>
      <c r="AO1932" s="175">
        <v>53</v>
      </c>
      <c r="AP1932" s="175">
        <v>35</v>
      </c>
      <c r="AQ1932" s="175">
        <v>8</v>
      </c>
      <c r="AR1932" s="175">
        <v>5</v>
      </c>
      <c r="AS1932" s="175">
        <v>12</v>
      </c>
      <c r="AT1932" s="175">
        <v>1</v>
      </c>
    </row>
    <row r="1933" spans="1:46">
      <c r="A1933">
        <v>45373</v>
      </c>
      <c r="B1933" t="s">
        <v>11444</v>
      </c>
      <c r="C1933" t="s">
        <v>11445</v>
      </c>
      <c r="D1933" t="s">
        <v>11446</v>
      </c>
      <c r="E1933" t="s">
        <v>11447</v>
      </c>
      <c r="F1933" t="s">
        <v>1108</v>
      </c>
      <c r="G1933" t="s">
        <v>737</v>
      </c>
      <c r="H1933" t="s">
        <v>449</v>
      </c>
      <c r="J1933" t="s">
        <v>605</v>
      </c>
      <c r="K1933" t="s">
        <v>606</v>
      </c>
      <c r="M1933" t="s">
        <v>607</v>
      </c>
      <c r="N1933" t="s">
        <v>643</v>
      </c>
      <c r="O1933" t="s">
        <v>997</v>
      </c>
      <c r="P1933" t="s">
        <v>739</v>
      </c>
      <c r="Q1933" t="s">
        <v>467</v>
      </c>
      <c r="R1933" t="s">
        <v>793</v>
      </c>
      <c r="S1933" t="s">
        <v>998</v>
      </c>
      <c r="T1933" t="s">
        <v>794</v>
      </c>
      <c r="U1933">
        <v>138800</v>
      </c>
      <c r="V1933" t="s">
        <v>11448</v>
      </c>
      <c r="W1933" t="s">
        <v>945</v>
      </c>
      <c r="X1933" t="s">
        <v>4013</v>
      </c>
      <c r="Y1933" t="s">
        <v>4014</v>
      </c>
      <c r="Z1933" t="s">
        <v>4015</v>
      </c>
      <c r="AA1933" t="s">
        <v>4016</v>
      </c>
      <c r="AB1933" t="s">
        <v>4017</v>
      </c>
      <c r="AE1933">
        <v>-36.905927210000002</v>
      </c>
      <c r="AF1933">
        <v>174.72971715</v>
      </c>
      <c r="AG1933" s="175">
        <v>98</v>
      </c>
      <c r="AH1933" s="175">
        <v>12</v>
      </c>
      <c r="AI1933" s="175">
        <v>2</v>
      </c>
      <c r="AJ1933" s="175">
        <v>6</v>
      </c>
      <c r="AK1933" s="175">
        <v>24</v>
      </c>
      <c r="AL1933" s="175">
        <v>29</v>
      </c>
      <c r="AM1933" s="175">
        <v>16</v>
      </c>
      <c r="AN1933" s="175">
        <v>1</v>
      </c>
      <c r="AO1933" s="175">
        <v>78</v>
      </c>
      <c r="AP1933" s="175">
        <v>2</v>
      </c>
      <c r="AQ1933" s="175">
        <v>5</v>
      </c>
      <c r="AR1933" s="175">
        <v>8</v>
      </c>
      <c r="AS1933" s="175">
        <v>57</v>
      </c>
      <c r="AT1933" s="175">
        <v>12</v>
      </c>
    </row>
    <row r="1934" spans="1:46">
      <c r="A1934">
        <v>45380</v>
      </c>
      <c r="B1934" t="s">
        <v>11449</v>
      </c>
      <c r="C1934" t="s">
        <v>11450</v>
      </c>
      <c r="D1934" t="s">
        <v>11451</v>
      </c>
      <c r="E1934" t="s">
        <v>11452</v>
      </c>
      <c r="F1934" t="s">
        <v>3267</v>
      </c>
      <c r="G1934" t="s">
        <v>3015</v>
      </c>
      <c r="H1934" t="s">
        <v>449</v>
      </c>
      <c r="J1934" t="s">
        <v>4032</v>
      </c>
      <c r="K1934" t="s">
        <v>606</v>
      </c>
      <c r="M1934" t="s">
        <v>2366</v>
      </c>
      <c r="N1934" t="s">
        <v>657</v>
      </c>
      <c r="O1934" t="s">
        <v>3016</v>
      </c>
      <c r="P1934" t="s">
        <v>739</v>
      </c>
      <c r="Q1934" t="s">
        <v>521</v>
      </c>
      <c r="R1934" t="s">
        <v>3017</v>
      </c>
      <c r="S1934" t="s">
        <v>3092</v>
      </c>
      <c r="T1934" t="s">
        <v>2526</v>
      </c>
      <c r="U1934">
        <v>322900</v>
      </c>
      <c r="V1934" t="s">
        <v>11453</v>
      </c>
      <c r="W1934" t="s">
        <v>3093</v>
      </c>
      <c r="X1934" t="s">
        <v>11454</v>
      </c>
      <c r="Y1934" t="s">
        <v>11220</v>
      </c>
      <c r="Z1934" t="s">
        <v>4472</v>
      </c>
      <c r="AA1934" t="s">
        <v>4596</v>
      </c>
      <c r="AB1934" t="s">
        <v>11455</v>
      </c>
      <c r="AE1934">
        <v>-43.561194380000003</v>
      </c>
      <c r="AF1934">
        <v>172.54857229999999</v>
      </c>
      <c r="AG1934" s="175">
        <v>78</v>
      </c>
      <c r="AH1934" s="175">
        <v>25</v>
      </c>
      <c r="AI1934" s="175">
        <v>1</v>
      </c>
      <c r="AJ1934" s="175">
        <v>8</v>
      </c>
      <c r="AK1934" s="175">
        <v>17</v>
      </c>
      <c r="AL1934" s="175">
        <v>20</v>
      </c>
      <c r="AM1934" s="175">
        <v>8</v>
      </c>
      <c r="AN1934" s="175">
        <v>1</v>
      </c>
      <c r="AO1934" s="175">
        <v>55</v>
      </c>
      <c r="AP1934" s="175">
        <v>27</v>
      </c>
      <c r="AQ1934" s="175">
        <v>12</v>
      </c>
      <c r="AR1934" s="175">
        <v>0</v>
      </c>
      <c r="AS1934" s="175">
        <v>24</v>
      </c>
      <c r="AT1934" s="175">
        <v>3</v>
      </c>
    </row>
    <row r="1935" spans="1:46">
      <c r="A1935">
        <v>45390</v>
      </c>
      <c r="B1935" t="s">
        <v>11456</v>
      </c>
      <c r="C1935" t="s">
        <v>11457</v>
      </c>
      <c r="D1935" t="s">
        <v>11458</v>
      </c>
      <c r="E1935" t="s">
        <v>11459</v>
      </c>
      <c r="G1935" t="s">
        <v>11460</v>
      </c>
      <c r="H1935" t="s">
        <v>449</v>
      </c>
      <c r="I1935" t="s">
        <v>4134</v>
      </c>
      <c r="J1935" t="s">
        <v>4032</v>
      </c>
      <c r="K1935" t="s">
        <v>606</v>
      </c>
      <c r="M1935" t="s">
        <v>1382</v>
      </c>
      <c r="N1935" t="s">
        <v>657</v>
      </c>
      <c r="O1935" t="s">
        <v>1554</v>
      </c>
      <c r="P1935" t="s">
        <v>658</v>
      </c>
      <c r="Q1935" t="s">
        <v>511</v>
      </c>
      <c r="R1935" t="s">
        <v>1555</v>
      </c>
      <c r="S1935" t="s">
        <v>1556</v>
      </c>
      <c r="T1935" t="s">
        <v>1557</v>
      </c>
      <c r="U1935">
        <v>203100</v>
      </c>
      <c r="V1935" t="s">
        <v>10243</v>
      </c>
      <c r="W1935" t="s">
        <v>1559</v>
      </c>
      <c r="X1935" t="s">
        <v>11461</v>
      </c>
      <c r="Y1935" t="s">
        <v>11462</v>
      </c>
      <c r="AA1935" t="s">
        <v>10020</v>
      </c>
      <c r="AB1935" t="s">
        <v>11463</v>
      </c>
      <c r="AC1935">
        <v>99016</v>
      </c>
      <c r="AD1935" t="s">
        <v>1562</v>
      </c>
      <c r="AE1935">
        <v>-37.973594589999998</v>
      </c>
      <c r="AF1935">
        <v>177.05621452</v>
      </c>
      <c r="AG1935" s="175">
        <v>40</v>
      </c>
      <c r="AH1935" s="175">
        <v>0</v>
      </c>
      <c r="AI1935" s="175">
        <v>0</v>
      </c>
      <c r="AJ1935" s="175">
        <v>0</v>
      </c>
      <c r="AK1935" s="175">
        <v>10</v>
      </c>
      <c r="AL1935" s="175">
        <v>14</v>
      </c>
      <c r="AM1935" s="175">
        <v>19</v>
      </c>
      <c r="AN1935" s="175">
        <v>3</v>
      </c>
      <c r="AO1935" s="175">
        <v>46</v>
      </c>
      <c r="AP1935" s="175">
        <v>42</v>
      </c>
      <c r="AQ1935" s="175">
        <v>12</v>
      </c>
      <c r="AR1935" s="175">
        <v>1</v>
      </c>
      <c r="AS1935" s="175">
        <v>2</v>
      </c>
      <c r="AT1935" s="175">
        <v>1</v>
      </c>
    </row>
    <row r="1936" spans="1:46">
      <c r="A1936">
        <v>45392</v>
      </c>
      <c r="B1936" t="s">
        <v>11464</v>
      </c>
      <c r="C1936" t="s">
        <v>11465</v>
      </c>
      <c r="D1936" t="s">
        <v>11466</v>
      </c>
      <c r="E1936" t="s">
        <v>11467</v>
      </c>
      <c r="G1936" t="s">
        <v>1921</v>
      </c>
      <c r="H1936" t="s">
        <v>452</v>
      </c>
      <c r="J1936" t="s">
        <v>605</v>
      </c>
      <c r="K1936" t="s">
        <v>606</v>
      </c>
      <c r="M1936" t="s">
        <v>1382</v>
      </c>
      <c r="N1936" t="s">
        <v>643</v>
      </c>
      <c r="O1936" t="s">
        <v>1922</v>
      </c>
      <c r="P1936" t="s">
        <v>610</v>
      </c>
      <c r="Q1936" t="s">
        <v>514</v>
      </c>
      <c r="R1936" t="s">
        <v>1841</v>
      </c>
      <c r="S1936" t="s">
        <v>1923</v>
      </c>
      <c r="T1936" t="s">
        <v>1568</v>
      </c>
      <c r="U1936">
        <v>220301</v>
      </c>
      <c r="V1936" t="s">
        <v>1958</v>
      </c>
      <c r="W1936" t="s">
        <v>1925</v>
      </c>
      <c r="X1936" t="s">
        <v>1844</v>
      </c>
      <c r="Y1936" t="s">
        <v>1845</v>
      </c>
      <c r="AA1936" t="s">
        <v>1846</v>
      </c>
      <c r="AB1936" t="s">
        <v>1847</v>
      </c>
      <c r="AC1936">
        <v>99108</v>
      </c>
      <c r="AD1936" t="s">
        <v>1926</v>
      </c>
      <c r="AE1936">
        <v>-39.34070586</v>
      </c>
      <c r="AF1936">
        <v>174.29684854000001</v>
      </c>
      <c r="AG1936" s="175">
        <v>42</v>
      </c>
      <c r="AH1936" s="175">
        <v>30</v>
      </c>
      <c r="AI1936" s="175">
        <v>3</v>
      </c>
      <c r="AJ1936" s="175">
        <v>8</v>
      </c>
      <c r="AK1936" s="175">
        <v>8</v>
      </c>
      <c r="AL1936" s="175">
        <v>19</v>
      </c>
      <c r="AM1936" s="175">
        <v>11</v>
      </c>
      <c r="AN1936" s="175">
        <v>1</v>
      </c>
      <c r="AO1936" s="175">
        <v>50</v>
      </c>
      <c r="AP1936" s="175">
        <v>40</v>
      </c>
      <c r="AQ1936" s="175">
        <v>28</v>
      </c>
      <c r="AR1936" s="175">
        <v>4</v>
      </c>
      <c r="AS1936" s="175">
        <v>1</v>
      </c>
      <c r="AT1936" s="175">
        <v>0</v>
      </c>
    </row>
    <row r="1937" spans="1:46">
      <c r="A1937">
        <v>45400</v>
      </c>
      <c r="B1937" t="s">
        <v>11468</v>
      </c>
      <c r="C1937" t="s">
        <v>11469</v>
      </c>
      <c r="E1937" t="s">
        <v>11470</v>
      </c>
      <c r="F1937" t="s">
        <v>3242</v>
      </c>
      <c r="G1937" t="s">
        <v>3015</v>
      </c>
      <c r="H1937" t="s">
        <v>449</v>
      </c>
      <c r="I1937" t="s">
        <v>4134</v>
      </c>
      <c r="J1937" t="s">
        <v>4032</v>
      </c>
      <c r="K1937" t="s">
        <v>606</v>
      </c>
      <c r="M1937" t="s">
        <v>2366</v>
      </c>
      <c r="N1937" t="s">
        <v>4586</v>
      </c>
      <c r="O1937" t="s">
        <v>3016</v>
      </c>
      <c r="P1937" t="s">
        <v>739</v>
      </c>
      <c r="Q1937" t="s">
        <v>521</v>
      </c>
      <c r="R1937" t="s">
        <v>3017</v>
      </c>
      <c r="S1937" t="s">
        <v>3052</v>
      </c>
      <c r="T1937" t="s">
        <v>2526</v>
      </c>
      <c r="U1937">
        <v>332700</v>
      </c>
      <c r="V1937" t="s">
        <v>3242</v>
      </c>
      <c r="W1937" t="s">
        <v>3087</v>
      </c>
      <c r="X1937" t="s">
        <v>11471</v>
      </c>
      <c r="Y1937" t="s">
        <v>11472</v>
      </c>
      <c r="Z1937" t="s">
        <v>3029</v>
      </c>
      <c r="AA1937" t="s">
        <v>11473</v>
      </c>
      <c r="AB1937" t="s">
        <v>11474</v>
      </c>
      <c r="AC1937">
        <v>99196</v>
      </c>
      <c r="AD1937" t="s">
        <v>3137</v>
      </c>
      <c r="AE1937">
        <v>-43.570233780000002</v>
      </c>
      <c r="AF1937">
        <v>172.75994714000001</v>
      </c>
      <c r="AG1937" s="175">
        <v>47</v>
      </c>
      <c r="AH1937" s="175">
        <v>20</v>
      </c>
      <c r="AI1937" s="175">
        <v>5</v>
      </c>
      <c r="AJ1937" s="175">
        <v>10</v>
      </c>
      <c r="AK1937" s="175">
        <v>27</v>
      </c>
      <c r="AL1937" s="175">
        <v>6</v>
      </c>
      <c r="AM1937" s="175">
        <v>0</v>
      </c>
      <c r="AN1937" s="175">
        <v>0</v>
      </c>
      <c r="AO1937" s="175">
        <v>48</v>
      </c>
      <c r="AP1937" s="175">
        <v>45</v>
      </c>
      <c r="AQ1937" s="175">
        <v>1</v>
      </c>
      <c r="AR1937" s="175">
        <v>0</v>
      </c>
      <c r="AS1937" s="175">
        <v>2</v>
      </c>
      <c r="AT1937" s="175">
        <v>4</v>
      </c>
    </row>
    <row r="1938" spans="1:46">
      <c r="A1938">
        <v>45402</v>
      </c>
      <c r="B1938" t="s">
        <v>11475</v>
      </c>
      <c r="C1938" t="s">
        <v>11476</v>
      </c>
      <c r="D1938" t="s">
        <v>11477</v>
      </c>
      <c r="E1938" t="s">
        <v>11478</v>
      </c>
      <c r="F1938" t="s">
        <v>11479</v>
      </c>
      <c r="G1938" t="s">
        <v>3015</v>
      </c>
      <c r="H1938" t="s">
        <v>449</v>
      </c>
      <c r="I1938" t="s">
        <v>4134</v>
      </c>
      <c r="J1938" t="s">
        <v>4032</v>
      </c>
      <c r="K1938" t="s">
        <v>606</v>
      </c>
      <c r="M1938" t="s">
        <v>2366</v>
      </c>
      <c r="N1938" t="s">
        <v>657</v>
      </c>
      <c r="O1938" t="s">
        <v>3016</v>
      </c>
      <c r="P1938" t="s">
        <v>739</v>
      </c>
      <c r="Q1938" t="s">
        <v>521</v>
      </c>
      <c r="R1938" t="s">
        <v>3017</v>
      </c>
      <c r="S1938" t="s">
        <v>3052</v>
      </c>
      <c r="T1938" t="s">
        <v>2526</v>
      </c>
      <c r="U1938">
        <v>331900</v>
      </c>
      <c r="V1938" t="s">
        <v>11479</v>
      </c>
      <c r="W1938" t="s">
        <v>3087</v>
      </c>
      <c r="X1938" t="s">
        <v>11480</v>
      </c>
      <c r="Y1938" t="s">
        <v>11481</v>
      </c>
      <c r="Z1938" t="s">
        <v>3092</v>
      </c>
      <c r="AA1938" t="s">
        <v>11482</v>
      </c>
      <c r="AB1938" t="s">
        <v>11483</v>
      </c>
      <c r="AC1938">
        <v>99196</v>
      </c>
      <c r="AD1938" t="s">
        <v>3137</v>
      </c>
      <c r="AE1938">
        <v>-43.574848029999998</v>
      </c>
      <c r="AF1938">
        <v>172.70247455000001</v>
      </c>
      <c r="AG1938" s="175">
        <v>104</v>
      </c>
      <c r="AH1938" s="175">
        <v>21</v>
      </c>
      <c r="AI1938" s="175">
        <v>3</v>
      </c>
      <c r="AJ1938" s="175">
        <v>21</v>
      </c>
      <c r="AK1938" s="175">
        <v>29</v>
      </c>
      <c r="AL1938" s="175">
        <v>20</v>
      </c>
      <c r="AM1938" s="175">
        <v>19</v>
      </c>
      <c r="AN1938" s="175">
        <v>1</v>
      </c>
      <c r="AO1938" s="175">
        <v>93</v>
      </c>
      <c r="AP1938" s="175">
        <v>88</v>
      </c>
      <c r="AQ1938" s="175">
        <v>10</v>
      </c>
      <c r="AR1938" s="175">
        <v>1</v>
      </c>
      <c r="AS1938" s="175">
        <v>6</v>
      </c>
      <c r="AT1938" s="175">
        <v>4</v>
      </c>
    </row>
    <row r="1939" spans="1:46">
      <c r="A1939">
        <v>45405</v>
      </c>
      <c r="B1939" t="s">
        <v>11484</v>
      </c>
      <c r="C1939" t="s">
        <v>11485</v>
      </c>
      <c r="D1939" t="s">
        <v>11486</v>
      </c>
      <c r="E1939" t="s">
        <v>11487</v>
      </c>
      <c r="F1939" t="s">
        <v>840</v>
      </c>
      <c r="G1939" t="s">
        <v>737</v>
      </c>
      <c r="H1939" t="s">
        <v>301</v>
      </c>
      <c r="J1939" t="s">
        <v>605</v>
      </c>
      <c r="K1939" t="s">
        <v>606</v>
      </c>
      <c r="M1939" t="s">
        <v>607</v>
      </c>
      <c r="N1939" t="s">
        <v>657</v>
      </c>
      <c r="O1939" t="s">
        <v>823</v>
      </c>
      <c r="P1939" t="s">
        <v>739</v>
      </c>
      <c r="Q1939" t="s">
        <v>467</v>
      </c>
      <c r="R1939" t="s">
        <v>724</v>
      </c>
      <c r="S1939" t="s">
        <v>841</v>
      </c>
      <c r="T1939" t="s">
        <v>613</v>
      </c>
      <c r="U1939">
        <v>121800</v>
      </c>
      <c r="V1939" t="s">
        <v>5812</v>
      </c>
      <c r="W1939" t="s">
        <v>826</v>
      </c>
      <c r="X1939" t="s">
        <v>7159</v>
      </c>
      <c r="Y1939" t="s">
        <v>5253</v>
      </c>
      <c r="AA1939" t="s">
        <v>5254</v>
      </c>
      <c r="AE1939">
        <v>-36.793300410000001</v>
      </c>
      <c r="AF1939">
        <v>174.68705499999999</v>
      </c>
      <c r="AG1939" s="175">
        <v>26</v>
      </c>
      <c r="AH1939" s="175">
        <v>15</v>
      </c>
      <c r="AI1939" s="175">
        <v>1</v>
      </c>
      <c r="AJ1939" s="175">
        <v>4</v>
      </c>
      <c r="AK1939" s="175">
        <v>4</v>
      </c>
      <c r="AL1939" s="175">
        <v>6</v>
      </c>
      <c r="AM1939" s="175">
        <v>2</v>
      </c>
      <c r="AN1939" s="175">
        <v>0</v>
      </c>
      <c r="AO1939" s="175">
        <v>17</v>
      </c>
      <c r="AP1939" s="175">
        <v>14</v>
      </c>
      <c r="AQ1939" s="175">
        <v>2</v>
      </c>
      <c r="AR1939" s="175">
        <v>0</v>
      </c>
      <c r="AS1939" s="175">
        <v>6</v>
      </c>
      <c r="AT1939" s="175">
        <v>1</v>
      </c>
    </row>
    <row r="1940" spans="1:46">
      <c r="A1940">
        <v>45406</v>
      </c>
      <c r="B1940" t="s">
        <v>11488</v>
      </c>
      <c r="C1940" t="s">
        <v>11489</v>
      </c>
      <c r="E1940" t="s">
        <v>11490</v>
      </c>
      <c r="F1940" t="s">
        <v>3159</v>
      </c>
      <c r="G1940" t="s">
        <v>3015</v>
      </c>
      <c r="H1940" t="s">
        <v>449</v>
      </c>
      <c r="J1940" t="s">
        <v>4032</v>
      </c>
      <c r="K1940" t="s">
        <v>606</v>
      </c>
      <c r="M1940" t="s">
        <v>2366</v>
      </c>
      <c r="N1940" t="s">
        <v>657</v>
      </c>
      <c r="O1940" t="s">
        <v>3016</v>
      </c>
      <c r="P1940" t="s">
        <v>739</v>
      </c>
      <c r="Q1940" t="s">
        <v>521</v>
      </c>
      <c r="R1940" t="s">
        <v>3017</v>
      </c>
      <c r="S1940" t="s">
        <v>3052</v>
      </c>
      <c r="T1940" t="s">
        <v>2526</v>
      </c>
      <c r="U1940">
        <v>329500</v>
      </c>
      <c r="V1940" t="s">
        <v>11491</v>
      </c>
      <c r="W1940" t="s">
        <v>3161</v>
      </c>
      <c r="X1940" t="s">
        <v>11492</v>
      </c>
      <c r="Y1940" t="s">
        <v>11493</v>
      </c>
      <c r="AA1940" t="s">
        <v>11494</v>
      </c>
      <c r="AB1940" t="s">
        <v>11495</v>
      </c>
      <c r="AC1940">
        <v>99177</v>
      </c>
      <c r="AD1940" t="s">
        <v>3032</v>
      </c>
      <c r="AE1940">
        <v>-43.574233820000003</v>
      </c>
      <c r="AF1940">
        <v>172.61044459999999</v>
      </c>
      <c r="AG1940" s="175">
        <v>30</v>
      </c>
      <c r="AH1940" s="175">
        <v>0</v>
      </c>
      <c r="AI1940" s="175">
        <v>0</v>
      </c>
      <c r="AJ1940" s="175">
        <v>0</v>
      </c>
      <c r="AK1940" s="175">
        <v>9</v>
      </c>
      <c r="AL1940" s="175">
        <v>16</v>
      </c>
      <c r="AM1940" s="175">
        <v>14</v>
      </c>
      <c r="AN1940" s="175">
        <v>2</v>
      </c>
      <c r="AO1940" s="175">
        <v>41</v>
      </c>
      <c r="AP1940" s="175">
        <v>36</v>
      </c>
      <c r="AQ1940" s="175">
        <v>3</v>
      </c>
      <c r="AR1940" s="175">
        <v>1</v>
      </c>
      <c r="AS1940" s="175">
        <v>6</v>
      </c>
      <c r="AT1940" s="175">
        <v>1</v>
      </c>
    </row>
    <row r="1941" spans="1:46">
      <c r="A1941">
        <v>45407</v>
      </c>
      <c r="B1941" t="s">
        <v>11496</v>
      </c>
      <c r="C1941" t="s">
        <v>11497</v>
      </c>
      <c r="E1941" t="s">
        <v>11498</v>
      </c>
      <c r="F1941" t="s">
        <v>10216</v>
      </c>
      <c r="G1941" t="s">
        <v>1681</v>
      </c>
      <c r="H1941" t="s">
        <v>449</v>
      </c>
      <c r="J1941" t="s">
        <v>4032</v>
      </c>
      <c r="K1941" t="s">
        <v>606</v>
      </c>
      <c r="M1941" t="s">
        <v>1382</v>
      </c>
      <c r="N1941" t="s">
        <v>657</v>
      </c>
      <c r="O1941" t="s">
        <v>1780</v>
      </c>
      <c r="P1941" t="s">
        <v>739</v>
      </c>
      <c r="Q1941" t="s">
        <v>511</v>
      </c>
      <c r="R1941" t="s">
        <v>1555</v>
      </c>
      <c r="S1941" t="s">
        <v>1681</v>
      </c>
      <c r="T1941" t="s">
        <v>1557</v>
      </c>
      <c r="U1941">
        <v>193400</v>
      </c>
      <c r="V1941" t="s">
        <v>10672</v>
      </c>
      <c r="W1941" t="s">
        <v>1791</v>
      </c>
      <c r="X1941" t="s">
        <v>11499</v>
      </c>
      <c r="Y1941" t="s">
        <v>4725</v>
      </c>
      <c r="Z1941" t="s">
        <v>1043</v>
      </c>
      <c r="AA1941" t="s">
        <v>4726</v>
      </c>
      <c r="AB1941" t="s">
        <v>11500</v>
      </c>
      <c r="AC1941">
        <v>99036</v>
      </c>
      <c r="AD1941" t="s">
        <v>1792</v>
      </c>
      <c r="AE1941">
        <v>-37.689825910000003</v>
      </c>
      <c r="AF1941">
        <v>176.12599854000001</v>
      </c>
      <c r="AG1941" s="175">
        <v>80</v>
      </c>
      <c r="AH1941" s="175">
        <v>22</v>
      </c>
      <c r="AI1941" s="175">
        <v>2</v>
      </c>
      <c r="AJ1941" s="175">
        <v>10</v>
      </c>
      <c r="AK1941" s="175">
        <v>9</v>
      </c>
      <c r="AL1941" s="175">
        <v>11</v>
      </c>
      <c r="AM1941" s="175">
        <v>12</v>
      </c>
      <c r="AN1941" s="175">
        <v>0</v>
      </c>
      <c r="AO1941" s="175">
        <v>44</v>
      </c>
      <c r="AP1941" s="175">
        <v>28</v>
      </c>
      <c r="AQ1941" s="175">
        <v>17</v>
      </c>
      <c r="AR1941" s="175">
        <v>4</v>
      </c>
      <c r="AS1941" s="175">
        <v>9</v>
      </c>
      <c r="AT1941" s="175">
        <v>6</v>
      </c>
    </row>
    <row r="1942" spans="1:46">
      <c r="A1942">
        <v>45414</v>
      </c>
      <c r="B1942" t="s">
        <v>11501</v>
      </c>
      <c r="C1942" t="s">
        <v>11502</v>
      </c>
      <c r="D1942" t="s">
        <v>11503</v>
      </c>
      <c r="E1942" t="s">
        <v>11504</v>
      </c>
      <c r="G1942" t="s">
        <v>1621</v>
      </c>
      <c r="H1942" t="s">
        <v>449</v>
      </c>
      <c r="J1942" t="s">
        <v>4032</v>
      </c>
      <c r="K1942" t="s">
        <v>606</v>
      </c>
      <c r="M1942" t="s">
        <v>1382</v>
      </c>
      <c r="N1942" t="s">
        <v>657</v>
      </c>
      <c r="O1942" t="s">
        <v>1403</v>
      </c>
      <c r="P1942" t="s">
        <v>1347</v>
      </c>
      <c r="Q1942" t="s">
        <v>510</v>
      </c>
      <c r="R1942" t="s">
        <v>1384</v>
      </c>
      <c r="S1942" t="s">
        <v>1501</v>
      </c>
      <c r="T1942" t="s">
        <v>1320</v>
      </c>
      <c r="U1942">
        <v>183300</v>
      </c>
      <c r="V1942" t="s">
        <v>8893</v>
      </c>
      <c r="W1942" t="s">
        <v>1623</v>
      </c>
      <c r="X1942" t="s">
        <v>11505</v>
      </c>
      <c r="Y1942" t="s">
        <v>11506</v>
      </c>
      <c r="AA1942" t="s">
        <v>11507</v>
      </c>
      <c r="AB1942" t="s">
        <v>11502</v>
      </c>
      <c r="AE1942">
        <v>-37.999665839999999</v>
      </c>
      <c r="AF1942">
        <v>175.31910181000001</v>
      </c>
      <c r="AG1942" s="175">
        <v>75</v>
      </c>
      <c r="AH1942" s="175">
        <v>25</v>
      </c>
      <c r="AI1942" s="175">
        <v>1</v>
      </c>
      <c r="AJ1942" s="175">
        <v>24</v>
      </c>
      <c r="AK1942" s="175">
        <v>24</v>
      </c>
      <c r="AL1942" s="175">
        <v>19</v>
      </c>
      <c r="AM1942" s="175">
        <v>26</v>
      </c>
      <c r="AN1942" s="175">
        <v>0</v>
      </c>
      <c r="AO1942" s="175">
        <v>94</v>
      </c>
      <c r="AP1942" s="175">
        <v>88</v>
      </c>
      <c r="AQ1942" s="175">
        <v>14</v>
      </c>
      <c r="AR1942" s="175">
        <v>4</v>
      </c>
      <c r="AS1942" s="175">
        <v>5</v>
      </c>
      <c r="AT1942" s="175">
        <v>2</v>
      </c>
    </row>
    <row r="1943" spans="1:46">
      <c r="A1943">
        <v>45423</v>
      </c>
      <c r="B1943" t="s">
        <v>11508</v>
      </c>
      <c r="C1943" t="s">
        <v>11509</v>
      </c>
      <c r="E1943" t="s">
        <v>11510</v>
      </c>
      <c r="G1943" t="s">
        <v>722</v>
      </c>
      <c r="H1943" t="s">
        <v>449</v>
      </c>
      <c r="J1943" t="s">
        <v>4032</v>
      </c>
      <c r="K1943" t="s">
        <v>606</v>
      </c>
      <c r="M1943" t="s">
        <v>607</v>
      </c>
      <c r="N1943" t="s">
        <v>643</v>
      </c>
      <c r="O1943" t="s">
        <v>723</v>
      </c>
      <c r="P1943" t="s">
        <v>610</v>
      </c>
      <c r="Q1943" t="s">
        <v>467</v>
      </c>
      <c r="R1943" t="s">
        <v>724</v>
      </c>
      <c r="S1943" t="s">
        <v>725</v>
      </c>
      <c r="T1943" t="s">
        <v>613</v>
      </c>
      <c r="U1943">
        <v>110501</v>
      </c>
      <c r="V1943" t="s">
        <v>722</v>
      </c>
      <c r="W1943" t="s">
        <v>726</v>
      </c>
      <c r="X1943" t="s">
        <v>11511</v>
      </c>
      <c r="Y1943" t="s">
        <v>11512</v>
      </c>
      <c r="Z1943" t="s">
        <v>855</v>
      </c>
      <c r="AA1943" t="s">
        <v>4400</v>
      </c>
      <c r="AC1943">
        <v>99118</v>
      </c>
      <c r="AD1943" t="s">
        <v>5381</v>
      </c>
      <c r="AE1943">
        <v>-36.299803590000003</v>
      </c>
      <c r="AF1943">
        <v>174.52459397000001</v>
      </c>
      <c r="AG1943" s="175">
        <v>30</v>
      </c>
      <c r="AH1943" s="175">
        <v>5</v>
      </c>
      <c r="AI1943" s="175">
        <v>1</v>
      </c>
      <c r="AJ1943" s="175">
        <v>5</v>
      </c>
      <c r="AK1943" s="175">
        <v>8</v>
      </c>
      <c r="AL1943" s="175">
        <v>11</v>
      </c>
      <c r="AM1943" s="175">
        <v>13</v>
      </c>
      <c r="AN1943" s="175">
        <v>0</v>
      </c>
      <c r="AO1943" s="175">
        <v>38</v>
      </c>
      <c r="AP1943" s="175">
        <v>13</v>
      </c>
      <c r="AQ1943" s="175">
        <v>15</v>
      </c>
      <c r="AR1943" s="175">
        <v>4</v>
      </c>
      <c r="AS1943" s="175">
        <v>4</v>
      </c>
      <c r="AT1943" s="175">
        <v>5</v>
      </c>
    </row>
    <row r="1944" spans="1:46">
      <c r="A1944">
        <v>45424</v>
      </c>
      <c r="B1944" t="s">
        <v>11513</v>
      </c>
      <c r="C1944" t="s">
        <v>11514</v>
      </c>
      <c r="D1944" t="s">
        <v>11515</v>
      </c>
      <c r="E1944" t="s">
        <v>11516</v>
      </c>
      <c r="F1944" t="s">
        <v>1838</v>
      </c>
      <c r="G1944" t="s">
        <v>1839</v>
      </c>
      <c r="H1944" t="s">
        <v>449</v>
      </c>
      <c r="I1944" t="s">
        <v>5017</v>
      </c>
      <c r="J1944" t="s">
        <v>605</v>
      </c>
      <c r="K1944" t="s">
        <v>606</v>
      </c>
      <c r="M1944" t="s">
        <v>1382</v>
      </c>
      <c r="N1944" t="s">
        <v>643</v>
      </c>
      <c r="O1944" t="s">
        <v>1840</v>
      </c>
      <c r="P1944" t="s">
        <v>658</v>
      </c>
      <c r="Q1944" t="s">
        <v>514</v>
      </c>
      <c r="R1944" t="s">
        <v>1841</v>
      </c>
      <c r="S1944" t="s">
        <v>1839</v>
      </c>
      <c r="T1944" t="s">
        <v>1568</v>
      </c>
      <c r="U1944">
        <v>218801</v>
      </c>
      <c r="V1944" t="s">
        <v>11517</v>
      </c>
      <c r="W1944" t="s">
        <v>1843</v>
      </c>
      <c r="X1944" t="s">
        <v>11518</v>
      </c>
      <c r="Y1944" t="s">
        <v>11516</v>
      </c>
      <c r="Z1944" t="s">
        <v>1838</v>
      </c>
      <c r="AA1944" t="s">
        <v>11519</v>
      </c>
      <c r="AB1944" t="s">
        <v>11514</v>
      </c>
      <c r="AE1944">
        <v>-39.055988749999997</v>
      </c>
      <c r="AF1944">
        <v>174.15116287999999</v>
      </c>
      <c r="AG1944" s="175">
        <v>55</v>
      </c>
      <c r="AH1944" s="175">
        <v>15</v>
      </c>
      <c r="AI1944" s="175">
        <v>1</v>
      </c>
      <c r="AJ1944" s="175">
        <v>8</v>
      </c>
      <c r="AK1944" s="175">
        <v>4</v>
      </c>
      <c r="AL1944" s="175">
        <v>9</v>
      </c>
      <c r="AM1944" s="175">
        <v>5</v>
      </c>
      <c r="AN1944" s="175">
        <v>2</v>
      </c>
      <c r="AO1944" s="175">
        <v>29</v>
      </c>
      <c r="AP1944" s="175">
        <v>0</v>
      </c>
      <c r="AQ1944" s="175">
        <v>29</v>
      </c>
      <c r="AR1944" s="175">
        <v>1</v>
      </c>
      <c r="AS1944" s="175">
        <v>0</v>
      </c>
      <c r="AT1944" s="175">
        <v>2</v>
      </c>
    </row>
    <row r="1945" spans="1:46">
      <c r="A1945">
        <v>45427</v>
      </c>
      <c r="B1945" t="s">
        <v>11520</v>
      </c>
      <c r="C1945" t="s">
        <v>11521</v>
      </c>
      <c r="E1945" t="s">
        <v>11522</v>
      </c>
      <c r="G1945" t="s">
        <v>3252</v>
      </c>
      <c r="H1945" t="s">
        <v>449</v>
      </c>
      <c r="J1945" t="s">
        <v>4032</v>
      </c>
      <c r="K1945" t="s">
        <v>606</v>
      </c>
      <c r="M1945" t="s">
        <v>2366</v>
      </c>
      <c r="N1945" t="s">
        <v>657</v>
      </c>
      <c r="O1945" t="s">
        <v>3281</v>
      </c>
      <c r="P1945" t="s">
        <v>1347</v>
      </c>
      <c r="Q1945" t="s">
        <v>521</v>
      </c>
      <c r="R1945" t="s">
        <v>3017</v>
      </c>
      <c r="S1945" t="s">
        <v>3252</v>
      </c>
      <c r="T1945" t="s">
        <v>2526</v>
      </c>
      <c r="U1945">
        <v>335201</v>
      </c>
      <c r="V1945" t="s">
        <v>10976</v>
      </c>
      <c r="W1945" t="s">
        <v>10977</v>
      </c>
      <c r="X1945" t="s">
        <v>11523</v>
      </c>
      <c r="Y1945" t="s">
        <v>11524</v>
      </c>
      <c r="Z1945" t="s">
        <v>10974</v>
      </c>
      <c r="AA1945" t="s">
        <v>11525</v>
      </c>
      <c r="AB1945" t="s">
        <v>11526</v>
      </c>
      <c r="AC1945">
        <v>99206</v>
      </c>
      <c r="AD1945" t="s">
        <v>3284</v>
      </c>
      <c r="AE1945">
        <v>-43.594133190000001</v>
      </c>
      <c r="AF1945">
        <v>172.38572909999999</v>
      </c>
      <c r="AG1945" s="175">
        <v>57</v>
      </c>
      <c r="AH1945" s="175">
        <v>0</v>
      </c>
      <c r="AI1945" s="175">
        <v>0</v>
      </c>
      <c r="AJ1945" s="175">
        <v>0</v>
      </c>
      <c r="AK1945" s="175">
        <v>4</v>
      </c>
      <c r="AL1945" s="175">
        <v>16</v>
      </c>
      <c r="AM1945" s="175">
        <v>21</v>
      </c>
      <c r="AN1945" s="175">
        <v>7</v>
      </c>
      <c r="AO1945" s="175">
        <v>48</v>
      </c>
      <c r="AP1945" s="175">
        <v>40</v>
      </c>
      <c r="AQ1945" s="175">
        <v>8</v>
      </c>
      <c r="AR1945" s="175">
        <v>1</v>
      </c>
      <c r="AS1945" s="175">
        <v>9</v>
      </c>
      <c r="AT1945" s="175">
        <v>0</v>
      </c>
    </row>
    <row r="1946" spans="1:46">
      <c r="A1946">
        <v>45428</v>
      </c>
      <c r="B1946" t="s">
        <v>11527</v>
      </c>
      <c r="C1946" t="s">
        <v>11528</v>
      </c>
      <c r="D1946" t="s">
        <v>11529</v>
      </c>
      <c r="E1946" t="s">
        <v>2707</v>
      </c>
      <c r="F1946" t="s">
        <v>2709</v>
      </c>
      <c r="G1946" t="s">
        <v>2726</v>
      </c>
      <c r="H1946" t="s">
        <v>452</v>
      </c>
      <c r="J1946" t="s">
        <v>605</v>
      </c>
      <c r="K1946" t="s">
        <v>606</v>
      </c>
      <c r="M1946" t="s">
        <v>2366</v>
      </c>
      <c r="N1946" t="s">
        <v>608</v>
      </c>
      <c r="O1946" t="s">
        <v>2605</v>
      </c>
      <c r="P1946" t="s">
        <v>670</v>
      </c>
      <c r="Q1946" t="s">
        <v>516</v>
      </c>
      <c r="R1946" t="s">
        <v>2368</v>
      </c>
      <c r="S1946" t="s">
        <v>2606</v>
      </c>
      <c r="T1946" t="s">
        <v>1568</v>
      </c>
      <c r="U1946">
        <v>241000</v>
      </c>
      <c r="V1946" t="s">
        <v>2709</v>
      </c>
      <c r="W1946" t="s">
        <v>2607</v>
      </c>
      <c r="X1946" t="s">
        <v>1970</v>
      </c>
      <c r="Y1946" t="s">
        <v>1971</v>
      </c>
      <c r="AA1946" t="s">
        <v>1972</v>
      </c>
      <c r="AB1946" t="s">
        <v>1973</v>
      </c>
      <c r="AC1946">
        <v>99074</v>
      </c>
      <c r="AD1946" t="s">
        <v>2710</v>
      </c>
      <c r="AE1946">
        <v>-41.139060110000003</v>
      </c>
      <c r="AF1946">
        <v>174.87165714</v>
      </c>
      <c r="AG1946" s="175">
        <v>80</v>
      </c>
      <c r="AH1946" s="175">
        <v>24</v>
      </c>
      <c r="AI1946" s="175">
        <v>1</v>
      </c>
      <c r="AJ1946" s="175">
        <v>12</v>
      </c>
      <c r="AK1946" s="175">
        <v>29</v>
      </c>
      <c r="AL1946" s="175">
        <v>18</v>
      </c>
      <c r="AM1946" s="175">
        <v>26</v>
      </c>
      <c r="AN1946" s="175">
        <v>0</v>
      </c>
      <c r="AO1946" s="175">
        <v>86</v>
      </c>
      <c r="AP1946" s="175">
        <v>14</v>
      </c>
      <c r="AQ1946" s="175">
        <v>26</v>
      </c>
      <c r="AR1946" s="175">
        <v>80</v>
      </c>
      <c r="AS1946" s="175">
        <v>1</v>
      </c>
      <c r="AT1946" s="175">
        <v>3</v>
      </c>
    </row>
    <row r="1947" spans="1:46">
      <c r="A1947">
        <v>45431</v>
      </c>
      <c r="B1947" t="s">
        <v>11530</v>
      </c>
      <c r="C1947" t="s">
        <v>11531</v>
      </c>
      <c r="D1947" t="s">
        <v>11532</v>
      </c>
      <c r="E1947" t="s">
        <v>11533</v>
      </c>
      <c r="G1947" t="s">
        <v>10044</v>
      </c>
      <c r="H1947" t="s">
        <v>449</v>
      </c>
      <c r="J1947" t="s">
        <v>605</v>
      </c>
      <c r="K1947" t="s">
        <v>606</v>
      </c>
      <c r="M1947" t="s">
        <v>1382</v>
      </c>
      <c r="N1947" t="s">
        <v>657</v>
      </c>
      <c r="O1947" t="s">
        <v>1629</v>
      </c>
      <c r="P1947" t="s">
        <v>658</v>
      </c>
      <c r="Q1947" t="s">
        <v>510</v>
      </c>
      <c r="R1947" t="s">
        <v>1555</v>
      </c>
      <c r="S1947" t="s">
        <v>1404</v>
      </c>
      <c r="T1947" t="s">
        <v>1568</v>
      </c>
      <c r="U1947">
        <v>187701</v>
      </c>
      <c r="V1947" t="s">
        <v>11534</v>
      </c>
      <c r="W1947" t="s">
        <v>9778</v>
      </c>
      <c r="X1947" t="s">
        <v>11535</v>
      </c>
      <c r="Y1947" t="s">
        <v>11536</v>
      </c>
      <c r="AA1947" t="s">
        <v>11537</v>
      </c>
      <c r="AE1947">
        <v>-38.526747399999998</v>
      </c>
      <c r="AF1947">
        <v>175.9050986</v>
      </c>
      <c r="AG1947" s="175">
        <v>40</v>
      </c>
      <c r="AH1947" s="175">
        <v>8</v>
      </c>
      <c r="AI1947" s="175">
        <v>0</v>
      </c>
      <c r="AJ1947" s="175">
        <v>4</v>
      </c>
      <c r="AK1947" s="175">
        <v>3</v>
      </c>
      <c r="AL1947" s="175">
        <v>10</v>
      </c>
      <c r="AM1947" s="175">
        <v>14</v>
      </c>
      <c r="AN1947" s="175">
        <v>0</v>
      </c>
      <c r="AO1947" s="175">
        <v>31</v>
      </c>
      <c r="AP1947" s="175">
        <v>24</v>
      </c>
      <c r="AQ1947" s="175">
        <v>5</v>
      </c>
      <c r="AR1947" s="175">
        <v>1</v>
      </c>
      <c r="AS1947" s="175">
        <v>4</v>
      </c>
      <c r="AT1947" s="175">
        <v>0</v>
      </c>
    </row>
    <row r="1948" spans="1:46">
      <c r="A1948">
        <v>45432</v>
      </c>
      <c r="B1948" t="s">
        <v>11538</v>
      </c>
      <c r="C1948" t="s">
        <v>11539</v>
      </c>
      <c r="D1948" t="s">
        <v>11540</v>
      </c>
      <c r="E1948" t="s">
        <v>11541</v>
      </c>
      <c r="F1948" t="s">
        <v>3944</v>
      </c>
      <c r="G1948" t="s">
        <v>1681</v>
      </c>
      <c r="H1948" t="s">
        <v>452</v>
      </c>
      <c r="J1948" t="s">
        <v>605</v>
      </c>
      <c r="K1948" t="s">
        <v>606</v>
      </c>
      <c r="M1948" t="s">
        <v>1382</v>
      </c>
      <c r="N1948" t="s">
        <v>608</v>
      </c>
      <c r="O1948" t="s">
        <v>1780</v>
      </c>
      <c r="P1948" t="s">
        <v>739</v>
      </c>
      <c r="Q1948" t="s">
        <v>511</v>
      </c>
      <c r="R1948" t="s">
        <v>1555</v>
      </c>
      <c r="S1948" t="s">
        <v>1781</v>
      </c>
      <c r="T1948" t="s">
        <v>1557</v>
      </c>
      <c r="U1948">
        <v>196700</v>
      </c>
      <c r="V1948" t="s">
        <v>9809</v>
      </c>
      <c r="W1948" t="s">
        <v>1813</v>
      </c>
      <c r="X1948" t="s">
        <v>1679</v>
      </c>
      <c r="Y1948" t="s">
        <v>1680</v>
      </c>
      <c r="Z1948" t="s">
        <v>1681</v>
      </c>
      <c r="AA1948" t="s">
        <v>1682</v>
      </c>
      <c r="AB1948" t="s">
        <v>1683</v>
      </c>
      <c r="AC1948">
        <v>99085</v>
      </c>
      <c r="AD1948" t="s">
        <v>1800</v>
      </c>
      <c r="AE1948">
        <v>-37.724868219999998</v>
      </c>
      <c r="AF1948">
        <v>176.19593338000001</v>
      </c>
      <c r="AG1948" s="175">
        <v>40</v>
      </c>
      <c r="AH1948" s="175">
        <v>0</v>
      </c>
      <c r="AI1948" s="175">
        <v>0</v>
      </c>
      <c r="AJ1948" s="175">
        <v>0</v>
      </c>
      <c r="AK1948" s="175">
        <v>7</v>
      </c>
      <c r="AL1948" s="175">
        <v>13</v>
      </c>
      <c r="AM1948" s="175">
        <v>9</v>
      </c>
      <c r="AN1948" s="175">
        <v>2</v>
      </c>
      <c r="AO1948" s="175">
        <v>31</v>
      </c>
      <c r="AP1948" s="175">
        <v>21</v>
      </c>
      <c r="AQ1948" s="175">
        <v>16</v>
      </c>
      <c r="AR1948" s="175">
        <v>3</v>
      </c>
      <c r="AS1948" s="175">
        <v>3</v>
      </c>
      <c r="AT1948" s="175">
        <v>2</v>
      </c>
    </row>
    <row r="1949" spans="1:46">
      <c r="A1949">
        <v>45433</v>
      </c>
      <c r="B1949" t="s">
        <v>11542</v>
      </c>
      <c r="C1949" t="s">
        <v>11543</v>
      </c>
      <c r="D1949" t="s">
        <v>11544</v>
      </c>
      <c r="E1949" t="s">
        <v>11545</v>
      </c>
      <c r="G1949" t="s">
        <v>11546</v>
      </c>
      <c r="H1949" t="s">
        <v>449</v>
      </c>
      <c r="J1949" t="s">
        <v>605</v>
      </c>
      <c r="K1949" t="s">
        <v>606</v>
      </c>
      <c r="M1949" t="s">
        <v>2366</v>
      </c>
      <c r="N1949" t="s">
        <v>657</v>
      </c>
      <c r="O1949" t="s">
        <v>3322</v>
      </c>
      <c r="P1949" t="s">
        <v>610</v>
      </c>
      <c r="Q1949" t="s">
        <v>521</v>
      </c>
      <c r="R1949" t="s">
        <v>3017</v>
      </c>
      <c r="S1949" t="s">
        <v>3292</v>
      </c>
      <c r="T1949" t="s">
        <v>2526</v>
      </c>
      <c r="U1949">
        <v>339200</v>
      </c>
      <c r="V1949" t="s">
        <v>11546</v>
      </c>
      <c r="W1949" t="s">
        <v>3371</v>
      </c>
      <c r="X1949" t="s">
        <v>10864</v>
      </c>
      <c r="Y1949" t="s">
        <v>4014</v>
      </c>
      <c r="Z1949" t="s">
        <v>4015</v>
      </c>
      <c r="AA1949" t="s">
        <v>4016</v>
      </c>
      <c r="AE1949">
        <v>-44.258573120000001</v>
      </c>
      <c r="AF1949">
        <v>171.1316076</v>
      </c>
      <c r="AG1949" s="175">
        <v>65</v>
      </c>
      <c r="AH1949" s="175">
        <v>15</v>
      </c>
      <c r="AI1949" s="175">
        <v>3</v>
      </c>
      <c r="AJ1949" s="175">
        <v>14</v>
      </c>
      <c r="AK1949" s="175">
        <v>17</v>
      </c>
      <c r="AL1949" s="175">
        <v>26</v>
      </c>
      <c r="AM1949" s="175">
        <v>24</v>
      </c>
      <c r="AN1949" s="175">
        <v>1</v>
      </c>
      <c r="AO1949" s="175">
        <v>85</v>
      </c>
      <c r="AP1949" s="175">
        <v>74</v>
      </c>
      <c r="AQ1949" s="175">
        <v>11</v>
      </c>
      <c r="AR1949" s="175">
        <v>2</v>
      </c>
      <c r="AS1949" s="175">
        <v>3</v>
      </c>
      <c r="AT1949" s="175">
        <v>7</v>
      </c>
    </row>
    <row r="1950" spans="1:46">
      <c r="A1950">
        <v>45435</v>
      </c>
      <c r="B1950" t="s">
        <v>11547</v>
      </c>
      <c r="C1950" t="s">
        <v>11548</v>
      </c>
      <c r="D1950" t="s">
        <v>11549</v>
      </c>
      <c r="E1950" t="s">
        <v>11550</v>
      </c>
      <c r="F1950" t="s">
        <v>9070</v>
      </c>
      <c r="G1950" t="s">
        <v>2162</v>
      </c>
      <c r="H1950" t="s">
        <v>449</v>
      </c>
      <c r="J1950" t="s">
        <v>4032</v>
      </c>
      <c r="K1950" t="s">
        <v>606</v>
      </c>
      <c r="M1950" t="s">
        <v>1382</v>
      </c>
      <c r="N1950" t="s">
        <v>643</v>
      </c>
      <c r="O1950" t="s">
        <v>2163</v>
      </c>
      <c r="P1950" t="s">
        <v>670</v>
      </c>
      <c r="Q1950" t="s">
        <v>512</v>
      </c>
      <c r="R1950" t="s">
        <v>2164</v>
      </c>
      <c r="S1950" t="s">
        <v>1556</v>
      </c>
      <c r="T1950" t="s">
        <v>2165</v>
      </c>
      <c r="U1950">
        <v>205800</v>
      </c>
      <c r="V1950" t="s">
        <v>11551</v>
      </c>
      <c r="W1950" t="s">
        <v>2167</v>
      </c>
      <c r="X1950" t="s">
        <v>11552</v>
      </c>
      <c r="Y1950" t="s">
        <v>11333</v>
      </c>
      <c r="AA1950" t="s">
        <v>10927</v>
      </c>
      <c r="AB1950" t="s">
        <v>11553</v>
      </c>
      <c r="AC1950">
        <v>99082</v>
      </c>
      <c r="AD1950" t="s">
        <v>2172</v>
      </c>
      <c r="AE1950">
        <v>-38.651407409999997</v>
      </c>
      <c r="AF1950">
        <v>177.99850014</v>
      </c>
      <c r="AG1950" s="175">
        <v>85</v>
      </c>
      <c r="AH1950" s="175">
        <v>15</v>
      </c>
      <c r="AI1950" s="175">
        <v>1</v>
      </c>
      <c r="AJ1950" s="175">
        <v>7</v>
      </c>
      <c r="AK1950" s="175">
        <v>13</v>
      </c>
      <c r="AL1950" s="175">
        <v>16</v>
      </c>
      <c r="AM1950" s="175">
        <v>25</v>
      </c>
      <c r="AN1950" s="175">
        <v>1</v>
      </c>
      <c r="AO1950" s="175">
        <v>63</v>
      </c>
      <c r="AP1950" s="175">
        <v>26</v>
      </c>
      <c r="AQ1950" s="175">
        <v>39</v>
      </c>
      <c r="AR1950" s="175">
        <v>9</v>
      </c>
      <c r="AS1950" s="175">
        <v>12</v>
      </c>
      <c r="AT1950" s="175">
        <v>3</v>
      </c>
    </row>
    <row r="1951" spans="1:46">
      <c r="A1951">
        <v>45439</v>
      </c>
      <c r="B1951" t="s">
        <v>11554</v>
      </c>
      <c r="C1951" t="s">
        <v>11555</v>
      </c>
      <c r="D1951" t="s">
        <v>11556</v>
      </c>
      <c r="E1951" t="s">
        <v>11557</v>
      </c>
      <c r="F1951" t="s">
        <v>1681</v>
      </c>
      <c r="G1951" t="s">
        <v>1681</v>
      </c>
      <c r="H1951" t="s">
        <v>449</v>
      </c>
      <c r="J1951" t="s">
        <v>4032</v>
      </c>
      <c r="K1951" t="s">
        <v>606</v>
      </c>
      <c r="M1951" t="s">
        <v>1382</v>
      </c>
      <c r="N1951" t="s">
        <v>657</v>
      </c>
      <c r="O1951" t="s">
        <v>1780</v>
      </c>
      <c r="P1951" t="s">
        <v>739</v>
      </c>
      <c r="Q1951" t="s">
        <v>511</v>
      </c>
      <c r="R1951" t="s">
        <v>1555</v>
      </c>
      <c r="S1951" t="s">
        <v>1681</v>
      </c>
      <c r="T1951" t="s">
        <v>1557</v>
      </c>
      <c r="U1951">
        <v>194801</v>
      </c>
      <c r="V1951" t="s">
        <v>3793</v>
      </c>
      <c r="W1951" t="s">
        <v>3795</v>
      </c>
      <c r="X1951" t="s">
        <v>11558</v>
      </c>
      <c r="Y1951" t="s">
        <v>11559</v>
      </c>
      <c r="Z1951" t="s">
        <v>3841</v>
      </c>
      <c r="AA1951" t="s">
        <v>8947</v>
      </c>
      <c r="AB1951" t="s">
        <v>11560</v>
      </c>
      <c r="AC1951">
        <v>99085</v>
      </c>
      <c r="AD1951" t="s">
        <v>1800</v>
      </c>
      <c r="AE1951">
        <v>-37.7088356</v>
      </c>
      <c r="AF1951">
        <v>176.15736419999999</v>
      </c>
      <c r="AG1951" s="175">
        <v>40</v>
      </c>
      <c r="AH1951" s="175">
        <v>8</v>
      </c>
      <c r="AI1951" s="175">
        <v>3</v>
      </c>
      <c r="AJ1951" s="175">
        <v>3</v>
      </c>
      <c r="AK1951" s="175">
        <v>9</v>
      </c>
      <c r="AL1951" s="175">
        <v>8</v>
      </c>
      <c r="AM1951" s="175">
        <v>14</v>
      </c>
      <c r="AN1951" s="175">
        <v>0</v>
      </c>
      <c r="AO1951" s="175">
        <v>37</v>
      </c>
      <c r="AP1951" s="175">
        <v>15</v>
      </c>
      <c r="AQ1951" s="175">
        <v>12</v>
      </c>
      <c r="AR1951" s="175">
        <v>2</v>
      </c>
      <c r="AS1951" s="175">
        <v>13</v>
      </c>
      <c r="AT1951" s="175">
        <v>1</v>
      </c>
    </row>
    <row r="1952" spans="1:46">
      <c r="A1952">
        <v>45440</v>
      </c>
      <c r="B1952" t="s">
        <v>11561</v>
      </c>
      <c r="C1952" t="s">
        <v>11562</v>
      </c>
      <c r="E1952" t="s">
        <v>11563</v>
      </c>
      <c r="G1952" t="s">
        <v>2346</v>
      </c>
      <c r="H1952" t="s">
        <v>449</v>
      </c>
      <c r="J1952" t="s">
        <v>4032</v>
      </c>
      <c r="K1952" t="s">
        <v>606</v>
      </c>
      <c r="M1952" t="s">
        <v>1382</v>
      </c>
      <c r="N1952" t="s">
        <v>657</v>
      </c>
      <c r="O1952" t="s">
        <v>2347</v>
      </c>
      <c r="P1952" t="s">
        <v>610</v>
      </c>
      <c r="Q1952" t="s">
        <v>513</v>
      </c>
      <c r="R1952" t="s">
        <v>2164</v>
      </c>
      <c r="S1952" t="s">
        <v>2348</v>
      </c>
      <c r="T1952" t="s">
        <v>2165</v>
      </c>
      <c r="U1952">
        <v>215801</v>
      </c>
      <c r="V1952" t="s">
        <v>2349</v>
      </c>
      <c r="W1952" t="s">
        <v>2350</v>
      </c>
      <c r="X1952" t="s">
        <v>8997</v>
      </c>
      <c r="Y1952" t="s">
        <v>8998</v>
      </c>
      <c r="Z1952" t="s">
        <v>2346</v>
      </c>
      <c r="AA1952" t="s">
        <v>8999</v>
      </c>
      <c r="AB1952" t="s">
        <v>9000</v>
      </c>
      <c r="AC1952">
        <v>99160</v>
      </c>
      <c r="AD1952" t="s">
        <v>2351</v>
      </c>
      <c r="AE1952">
        <v>-39.995039650000002</v>
      </c>
      <c r="AF1952">
        <v>176.5583488</v>
      </c>
      <c r="AG1952" s="175">
        <v>0</v>
      </c>
      <c r="AH1952" s="175">
        <v>0</v>
      </c>
      <c r="AI1952" s="175">
        <v>0</v>
      </c>
      <c r="AJ1952" s="175">
        <v>0</v>
      </c>
      <c r="AK1952" s="175">
        <v>0</v>
      </c>
      <c r="AL1952" s="175">
        <v>0</v>
      </c>
      <c r="AM1952" s="175">
        <v>7</v>
      </c>
      <c r="AN1952" s="175">
        <v>3</v>
      </c>
      <c r="AO1952" s="175">
        <v>10</v>
      </c>
      <c r="AP1952" s="175">
        <v>7</v>
      </c>
      <c r="AQ1952" s="175">
        <v>4</v>
      </c>
      <c r="AR1952" s="175">
        <v>0</v>
      </c>
      <c r="AS1952" s="175">
        <v>0</v>
      </c>
      <c r="AT1952" s="175">
        <v>2</v>
      </c>
    </row>
    <row r="1953" spans="1:46">
      <c r="A1953">
        <v>45441</v>
      </c>
      <c r="B1953" t="s">
        <v>11564</v>
      </c>
      <c r="C1953" t="s">
        <v>11565</v>
      </c>
      <c r="D1953" t="s">
        <v>11566</v>
      </c>
      <c r="E1953" t="s">
        <v>11567</v>
      </c>
      <c r="G1953" t="s">
        <v>11568</v>
      </c>
      <c r="H1953" t="s">
        <v>449</v>
      </c>
      <c r="J1953" t="s">
        <v>605</v>
      </c>
      <c r="K1953" t="s">
        <v>606</v>
      </c>
      <c r="M1953" t="s">
        <v>2366</v>
      </c>
      <c r="N1953" t="s">
        <v>657</v>
      </c>
      <c r="O1953" t="s">
        <v>3906</v>
      </c>
      <c r="P1953" t="s">
        <v>610</v>
      </c>
      <c r="Q1953" t="s">
        <v>522</v>
      </c>
      <c r="R1953" t="s">
        <v>3410</v>
      </c>
      <c r="S1953" t="s">
        <v>3433</v>
      </c>
      <c r="T1953" t="s">
        <v>2526</v>
      </c>
      <c r="U1953">
        <v>347901</v>
      </c>
      <c r="V1953" t="s">
        <v>11568</v>
      </c>
      <c r="W1953" t="s">
        <v>11569</v>
      </c>
      <c r="X1953" t="s">
        <v>11570</v>
      </c>
      <c r="Y1953" t="s">
        <v>11571</v>
      </c>
      <c r="AA1953" t="s">
        <v>11572</v>
      </c>
      <c r="AB1953" t="s">
        <v>11573</v>
      </c>
      <c r="AE1953">
        <v>-44.94919857</v>
      </c>
      <c r="AF1953">
        <v>168.84043560000001</v>
      </c>
      <c r="AG1953" s="175">
        <v>30</v>
      </c>
      <c r="AH1953" s="175">
        <v>9</v>
      </c>
      <c r="AI1953" s="175">
        <v>1</v>
      </c>
      <c r="AJ1953" s="175">
        <v>10</v>
      </c>
      <c r="AK1953" s="175">
        <v>14</v>
      </c>
      <c r="AL1953" s="175">
        <v>10</v>
      </c>
      <c r="AM1953" s="175">
        <v>0</v>
      </c>
      <c r="AN1953" s="175">
        <v>0</v>
      </c>
      <c r="AO1953" s="175">
        <v>35</v>
      </c>
      <c r="AP1953" s="175">
        <v>34</v>
      </c>
      <c r="AQ1953" s="175">
        <v>4</v>
      </c>
      <c r="AR1953" s="175">
        <v>1</v>
      </c>
      <c r="AS1953" s="175">
        <v>2</v>
      </c>
      <c r="AT1953" s="175">
        <v>2</v>
      </c>
    </row>
    <row r="1954" spans="1:46">
      <c r="A1954">
        <v>45443</v>
      </c>
      <c r="B1954" t="s">
        <v>11574</v>
      </c>
      <c r="C1954" t="s">
        <v>1308</v>
      </c>
      <c r="E1954" t="s">
        <v>11575</v>
      </c>
      <c r="F1954" t="s">
        <v>11576</v>
      </c>
      <c r="G1954" t="s">
        <v>737</v>
      </c>
      <c r="H1954" t="s">
        <v>452</v>
      </c>
      <c r="J1954" t="s">
        <v>605</v>
      </c>
      <c r="K1954" t="s">
        <v>606</v>
      </c>
      <c r="M1954" t="s">
        <v>607</v>
      </c>
      <c r="N1954" t="s">
        <v>657</v>
      </c>
      <c r="O1954" t="s">
        <v>1301</v>
      </c>
      <c r="P1954" t="s">
        <v>739</v>
      </c>
      <c r="Q1954" t="s">
        <v>467</v>
      </c>
      <c r="R1954" t="s">
        <v>814</v>
      </c>
      <c r="S1954" t="s">
        <v>1302</v>
      </c>
      <c r="T1954" t="s">
        <v>794</v>
      </c>
      <c r="U1954">
        <v>161100</v>
      </c>
      <c r="V1954" t="s">
        <v>11577</v>
      </c>
      <c r="W1954" t="s">
        <v>1304</v>
      </c>
      <c r="X1954" t="s">
        <v>1305</v>
      </c>
      <c r="Y1954" t="s">
        <v>1306</v>
      </c>
      <c r="Z1954" t="s">
        <v>1302</v>
      </c>
      <c r="AA1954" t="s">
        <v>1307</v>
      </c>
      <c r="AB1954" t="s">
        <v>1308</v>
      </c>
      <c r="AC1954">
        <v>99186</v>
      </c>
      <c r="AD1954" t="s">
        <v>1309</v>
      </c>
      <c r="AE1954">
        <v>-37.050911050000003</v>
      </c>
      <c r="AF1954">
        <v>174.87630557</v>
      </c>
      <c r="AG1954" s="175">
        <v>80</v>
      </c>
      <c r="AH1954" s="175">
        <v>20</v>
      </c>
      <c r="AI1954" s="175">
        <v>1</v>
      </c>
      <c r="AJ1954" s="175">
        <v>10</v>
      </c>
      <c r="AK1954" s="175">
        <v>20</v>
      </c>
      <c r="AL1954" s="175">
        <v>22</v>
      </c>
      <c r="AM1954" s="175">
        <v>21</v>
      </c>
      <c r="AN1954" s="175">
        <v>0</v>
      </c>
      <c r="AO1954" s="175">
        <v>74</v>
      </c>
      <c r="AP1954" s="175">
        <v>42</v>
      </c>
      <c r="AQ1954" s="175">
        <v>3</v>
      </c>
      <c r="AR1954" s="175">
        <v>4</v>
      </c>
      <c r="AS1954" s="175">
        <v>37</v>
      </c>
      <c r="AT1954" s="175">
        <v>7</v>
      </c>
    </row>
    <row r="1955" spans="1:46">
      <c r="A1955">
        <v>45445</v>
      </c>
      <c r="B1955" t="s">
        <v>11578</v>
      </c>
      <c r="C1955" t="s">
        <v>11579</v>
      </c>
      <c r="D1955" t="s">
        <v>11580</v>
      </c>
      <c r="E1955" t="s">
        <v>11581</v>
      </c>
      <c r="F1955" t="s">
        <v>3122</v>
      </c>
      <c r="G1955" t="s">
        <v>3015</v>
      </c>
      <c r="H1955" t="s">
        <v>449</v>
      </c>
      <c r="J1955" t="s">
        <v>4032</v>
      </c>
      <c r="K1955" t="s">
        <v>606</v>
      </c>
      <c r="M1955" t="s">
        <v>2366</v>
      </c>
      <c r="N1955" t="s">
        <v>4586</v>
      </c>
      <c r="O1955" t="s">
        <v>3016</v>
      </c>
      <c r="P1955" t="s">
        <v>739</v>
      </c>
      <c r="Q1955" t="s">
        <v>521</v>
      </c>
      <c r="R1955" t="s">
        <v>3017</v>
      </c>
      <c r="S1955" t="s">
        <v>3018</v>
      </c>
      <c r="T1955" t="s">
        <v>2526</v>
      </c>
      <c r="U1955">
        <v>319900</v>
      </c>
      <c r="V1955" t="s">
        <v>11582</v>
      </c>
      <c r="W1955" t="s">
        <v>3171</v>
      </c>
      <c r="X1955" t="s">
        <v>11583</v>
      </c>
      <c r="Y1955" t="s">
        <v>11581</v>
      </c>
      <c r="Z1955" t="s">
        <v>3122</v>
      </c>
      <c r="AA1955" t="s">
        <v>11584</v>
      </c>
      <c r="AB1955" t="s">
        <v>11579</v>
      </c>
      <c r="AE1955">
        <v>-43.497934819999998</v>
      </c>
      <c r="AF1955">
        <v>172.5886806</v>
      </c>
      <c r="AG1955" s="175">
        <v>80</v>
      </c>
      <c r="AH1955" s="175">
        <v>25</v>
      </c>
      <c r="AI1955" s="175">
        <v>3</v>
      </c>
      <c r="AJ1955" s="175">
        <v>21</v>
      </c>
      <c r="AK1955" s="175">
        <v>21</v>
      </c>
      <c r="AL1955" s="175">
        <v>23</v>
      </c>
      <c r="AM1955" s="175">
        <v>18</v>
      </c>
      <c r="AN1955" s="175">
        <v>0</v>
      </c>
      <c r="AO1955" s="175">
        <v>86</v>
      </c>
      <c r="AP1955" s="175">
        <v>73</v>
      </c>
      <c r="AQ1955" s="175">
        <v>8</v>
      </c>
      <c r="AR1955" s="175">
        <v>6</v>
      </c>
      <c r="AS1955" s="175">
        <v>12</v>
      </c>
      <c r="AT1955" s="175">
        <v>5</v>
      </c>
    </row>
    <row r="1956" spans="1:46">
      <c r="A1956">
        <v>45447</v>
      </c>
      <c r="B1956" t="s">
        <v>11585</v>
      </c>
      <c r="C1956" t="s">
        <v>11586</v>
      </c>
      <c r="D1956" t="s">
        <v>11587</v>
      </c>
      <c r="E1956" t="s">
        <v>11588</v>
      </c>
      <c r="G1956" t="s">
        <v>2930</v>
      </c>
      <c r="H1956" t="s">
        <v>449</v>
      </c>
      <c r="J1956" t="s">
        <v>4032</v>
      </c>
      <c r="K1956" t="s">
        <v>606</v>
      </c>
      <c r="M1956" t="s">
        <v>2366</v>
      </c>
      <c r="N1956" t="s">
        <v>657</v>
      </c>
      <c r="O1956" t="s">
        <v>2931</v>
      </c>
      <c r="P1956" t="s">
        <v>670</v>
      </c>
      <c r="Q1956" t="s">
        <v>518</v>
      </c>
      <c r="R1956" t="s">
        <v>2901</v>
      </c>
      <c r="S1956" t="s">
        <v>2930</v>
      </c>
      <c r="T1956" t="s">
        <v>2526</v>
      </c>
      <c r="U1956">
        <v>305000</v>
      </c>
      <c r="V1956" t="s">
        <v>2970</v>
      </c>
      <c r="W1956" t="s">
        <v>2933</v>
      </c>
      <c r="X1956" t="s">
        <v>11589</v>
      </c>
      <c r="Y1956" t="s">
        <v>11590</v>
      </c>
      <c r="AA1956" t="s">
        <v>11591</v>
      </c>
      <c r="AB1956" t="s">
        <v>11592</v>
      </c>
      <c r="AE1956">
        <v>-41.303418299999997</v>
      </c>
      <c r="AF1956">
        <v>173.2424139</v>
      </c>
      <c r="AG1956" s="175">
        <v>65</v>
      </c>
      <c r="AH1956" s="175">
        <v>25</v>
      </c>
      <c r="AI1956" s="175">
        <v>3</v>
      </c>
      <c r="AJ1956" s="175">
        <v>16</v>
      </c>
      <c r="AK1956" s="175">
        <v>20</v>
      </c>
      <c r="AL1956" s="175">
        <v>19</v>
      </c>
      <c r="AM1956" s="175">
        <v>24</v>
      </c>
      <c r="AN1956" s="175">
        <v>0</v>
      </c>
      <c r="AO1956" s="175">
        <v>82</v>
      </c>
      <c r="AP1956" s="175">
        <v>75</v>
      </c>
      <c r="AQ1956" s="175">
        <v>19</v>
      </c>
      <c r="AR1956" s="175">
        <v>5</v>
      </c>
      <c r="AS1956" s="175">
        <v>4</v>
      </c>
      <c r="AT1956" s="175">
        <v>1</v>
      </c>
    </row>
    <row r="1957" spans="1:46">
      <c r="A1957">
        <v>45449</v>
      </c>
      <c r="B1957" t="s">
        <v>11593</v>
      </c>
      <c r="C1957" t="s">
        <v>11594</v>
      </c>
      <c r="D1957" t="s">
        <v>11595</v>
      </c>
      <c r="E1957" t="s">
        <v>11596</v>
      </c>
      <c r="F1957" t="s">
        <v>2448</v>
      </c>
      <c r="G1957" t="s">
        <v>2449</v>
      </c>
      <c r="H1957" t="s">
        <v>449</v>
      </c>
      <c r="J1957" t="s">
        <v>4032</v>
      </c>
      <c r="K1957" t="s">
        <v>606</v>
      </c>
      <c r="M1957" t="s">
        <v>2366</v>
      </c>
      <c r="N1957" t="s">
        <v>657</v>
      </c>
      <c r="O1957" t="s">
        <v>2450</v>
      </c>
      <c r="P1957" t="s">
        <v>670</v>
      </c>
      <c r="Q1957" t="s">
        <v>516</v>
      </c>
      <c r="R1957" t="s">
        <v>2368</v>
      </c>
      <c r="S1957" t="s">
        <v>2451</v>
      </c>
      <c r="T1957" t="s">
        <v>2165</v>
      </c>
      <c r="U1957">
        <v>243000</v>
      </c>
      <c r="V1957" t="s">
        <v>11597</v>
      </c>
      <c r="W1957" t="s">
        <v>1734</v>
      </c>
      <c r="X1957" t="s">
        <v>11598</v>
      </c>
      <c r="Y1957" t="s">
        <v>11599</v>
      </c>
      <c r="AA1957" t="s">
        <v>4726</v>
      </c>
      <c r="AB1957" t="s">
        <v>11600</v>
      </c>
      <c r="AE1957">
        <v>-41.127521450000003</v>
      </c>
      <c r="AF1957">
        <v>175.06931252000001</v>
      </c>
      <c r="AG1957" s="175">
        <v>67</v>
      </c>
      <c r="AH1957" s="175">
        <v>24</v>
      </c>
      <c r="AI1957" s="175">
        <v>3</v>
      </c>
      <c r="AJ1957" s="175">
        <v>15</v>
      </c>
      <c r="AK1957" s="175">
        <v>17</v>
      </c>
      <c r="AL1957" s="175">
        <v>15</v>
      </c>
      <c r="AM1957" s="175">
        <v>20</v>
      </c>
      <c r="AN1957" s="175">
        <v>0</v>
      </c>
      <c r="AO1957" s="175">
        <v>70</v>
      </c>
      <c r="AP1957" s="175">
        <v>44</v>
      </c>
      <c r="AQ1957" s="175">
        <v>16</v>
      </c>
      <c r="AR1957" s="175">
        <v>4</v>
      </c>
      <c r="AS1957" s="175">
        <v>17</v>
      </c>
      <c r="AT1957" s="175">
        <v>3</v>
      </c>
    </row>
    <row r="1958" spans="1:46">
      <c r="A1958">
        <v>45454</v>
      </c>
      <c r="B1958" t="s">
        <v>11601</v>
      </c>
      <c r="C1958" t="s">
        <v>11602</v>
      </c>
      <c r="D1958" t="s">
        <v>11603</v>
      </c>
      <c r="E1958" t="s">
        <v>11604</v>
      </c>
      <c r="F1958" t="s">
        <v>907</v>
      </c>
      <c r="G1958" t="s">
        <v>737</v>
      </c>
      <c r="H1958" t="s">
        <v>449</v>
      </c>
      <c r="J1958" t="s">
        <v>4032</v>
      </c>
      <c r="K1958" t="s">
        <v>606</v>
      </c>
      <c r="M1958" t="s">
        <v>607</v>
      </c>
      <c r="N1958" t="s">
        <v>657</v>
      </c>
      <c r="O1958" t="s">
        <v>942</v>
      </c>
      <c r="P1958" t="s">
        <v>739</v>
      </c>
      <c r="Q1958" t="s">
        <v>467</v>
      </c>
      <c r="R1958" t="s">
        <v>793</v>
      </c>
      <c r="S1958" t="s">
        <v>907</v>
      </c>
      <c r="T1958" t="s">
        <v>794</v>
      </c>
      <c r="U1958">
        <v>140200</v>
      </c>
      <c r="V1958" t="s">
        <v>1036</v>
      </c>
      <c r="W1958" t="s">
        <v>945</v>
      </c>
      <c r="X1958" t="s">
        <v>11605</v>
      </c>
      <c r="Y1958" t="s">
        <v>11606</v>
      </c>
      <c r="Z1958" t="s">
        <v>6211</v>
      </c>
      <c r="AA1958" t="s">
        <v>6945</v>
      </c>
      <c r="AB1958" t="s">
        <v>11602</v>
      </c>
      <c r="AE1958">
        <v>-36.889856399999999</v>
      </c>
      <c r="AF1958">
        <v>174.7719204</v>
      </c>
      <c r="AG1958" s="175">
        <v>37</v>
      </c>
      <c r="AH1958" s="175">
        <v>6</v>
      </c>
      <c r="AI1958" s="175">
        <v>1</v>
      </c>
      <c r="AJ1958" s="175">
        <v>3</v>
      </c>
      <c r="AK1958" s="175">
        <v>7</v>
      </c>
      <c r="AL1958" s="175">
        <v>13</v>
      </c>
      <c r="AM1958" s="175">
        <v>10</v>
      </c>
      <c r="AN1958" s="175">
        <v>1</v>
      </c>
      <c r="AO1958" s="175">
        <v>35</v>
      </c>
      <c r="AP1958" s="175">
        <v>12</v>
      </c>
      <c r="AQ1958" s="175">
        <v>1</v>
      </c>
      <c r="AR1958" s="175">
        <v>2</v>
      </c>
      <c r="AS1958" s="175">
        <v>30</v>
      </c>
      <c r="AT1958" s="175">
        <v>3</v>
      </c>
    </row>
    <row r="1959" spans="1:46">
      <c r="A1959">
        <v>45455</v>
      </c>
      <c r="B1959" t="s">
        <v>11607</v>
      </c>
      <c r="C1959" t="s">
        <v>11608</v>
      </c>
      <c r="D1959" t="s">
        <v>11609</v>
      </c>
      <c r="E1959" t="s">
        <v>11610</v>
      </c>
      <c r="F1959" t="s">
        <v>5170</v>
      </c>
      <c r="G1959" t="s">
        <v>737</v>
      </c>
      <c r="H1959" t="s">
        <v>449</v>
      </c>
      <c r="J1959" t="s">
        <v>605</v>
      </c>
      <c r="K1959" t="s">
        <v>606</v>
      </c>
      <c r="M1959" t="s">
        <v>607</v>
      </c>
      <c r="N1959" t="s">
        <v>657</v>
      </c>
      <c r="O1959" t="s">
        <v>792</v>
      </c>
      <c r="P1959" t="s">
        <v>739</v>
      </c>
      <c r="Q1959" t="s">
        <v>467</v>
      </c>
      <c r="R1959" t="s">
        <v>814</v>
      </c>
      <c r="S1959" t="s">
        <v>1302</v>
      </c>
      <c r="T1959" t="s">
        <v>794</v>
      </c>
      <c r="U1959">
        <v>158200</v>
      </c>
      <c r="V1959" t="s">
        <v>11611</v>
      </c>
      <c r="W1959" t="s">
        <v>796</v>
      </c>
      <c r="X1959" t="s">
        <v>727</v>
      </c>
      <c r="Y1959" t="s">
        <v>728</v>
      </c>
      <c r="Z1959" t="s">
        <v>729</v>
      </c>
      <c r="AA1959" t="s">
        <v>730</v>
      </c>
      <c r="AB1959" t="s">
        <v>731</v>
      </c>
      <c r="AE1959">
        <v>-36.964266379999998</v>
      </c>
      <c r="AF1959">
        <v>174.93176629999999</v>
      </c>
      <c r="AG1959" s="175">
        <v>50</v>
      </c>
      <c r="AH1959" s="175">
        <v>0</v>
      </c>
      <c r="AI1959" s="175">
        <v>0</v>
      </c>
      <c r="AJ1959" s="175">
        <v>0</v>
      </c>
      <c r="AK1959" s="175">
        <v>13</v>
      </c>
      <c r="AL1959" s="175">
        <v>20</v>
      </c>
      <c r="AM1959" s="175">
        <v>28</v>
      </c>
      <c r="AN1959" s="175">
        <v>2</v>
      </c>
      <c r="AO1959" s="175">
        <v>63</v>
      </c>
      <c r="AP1959" s="175">
        <v>8</v>
      </c>
      <c r="AQ1959" s="175">
        <v>5</v>
      </c>
      <c r="AR1959" s="175">
        <v>5</v>
      </c>
      <c r="AS1959" s="175">
        <v>54</v>
      </c>
      <c r="AT1959" s="175">
        <v>1</v>
      </c>
    </row>
    <row r="1960" spans="1:46">
      <c r="A1960">
        <v>45457</v>
      </c>
      <c r="B1960" t="s">
        <v>11612</v>
      </c>
      <c r="C1960" t="s">
        <v>11613</v>
      </c>
      <c r="E1960" t="s">
        <v>11614</v>
      </c>
      <c r="G1960" t="s">
        <v>2899</v>
      </c>
      <c r="H1960" t="s">
        <v>449</v>
      </c>
      <c r="J1960" t="s">
        <v>4032</v>
      </c>
      <c r="K1960" t="s">
        <v>606</v>
      </c>
      <c r="M1960" t="s">
        <v>2366</v>
      </c>
      <c r="N1960" t="s">
        <v>657</v>
      </c>
      <c r="O1960" t="s">
        <v>2900</v>
      </c>
      <c r="P1960" t="s">
        <v>1347</v>
      </c>
      <c r="Q1960" t="s">
        <v>519</v>
      </c>
      <c r="R1960" t="s">
        <v>2901</v>
      </c>
      <c r="S1960" t="s">
        <v>2902</v>
      </c>
      <c r="T1960" t="s">
        <v>2526</v>
      </c>
      <c r="U1960">
        <v>307900</v>
      </c>
      <c r="V1960" t="s">
        <v>11615</v>
      </c>
      <c r="W1960" t="s">
        <v>2903</v>
      </c>
      <c r="X1960" t="s">
        <v>11616</v>
      </c>
      <c r="Y1960" t="s">
        <v>4725</v>
      </c>
      <c r="Z1960" t="s">
        <v>1043</v>
      </c>
      <c r="AA1960" t="s">
        <v>4726</v>
      </c>
      <c r="AB1960" t="s">
        <v>11617</v>
      </c>
      <c r="AE1960">
        <v>-41.516978039999998</v>
      </c>
      <c r="AF1960">
        <v>173.96098534999999</v>
      </c>
      <c r="AG1960" s="175">
        <v>83</v>
      </c>
      <c r="AH1960" s="175">
        <v>31</v>
      </c>
      <c r="AI1960" s="175">
        <v>5</v>
      </c>
      <c r="AJ1960" s="175">
        <v>18</v>
      </c>
      <c r="AK1960" s="175">
        <v>16</v>
      </c>
      <c r="AL1960" s="175">
        <v>23</v>
      </c>
      <c r="AM1960" s="175">
        <v>13</v>
      </c>
      <c r="AN1960" s="175">
        <v>2</v>
      </c>
      <c r="AO1960" s="175">
        <v>77</v>
      </c>
      <c r="AP1960" s="175">
        <v>57</v>
      </c>
      <c r="AQ1960" s="175">
        <v>14</v>
      </c>
      <c r="AR1960" s="175">
        <v>4</v>
      </c>
      <c r="AS1960" s="175">
        <v>13</v>
      </c>
      <c r="AT1960" s="175">
        <v>6</v>
      </c>
    </row>
    <row r="1961" spans="1:46">
      <c r="A1961">
        <v>45462</v>
      </c>
      <c r="B1961" t="s">
        <v>11618</v>
      </c>
      <c r="C1961" t="s">
        <v>11619</v>
      </c>
      <c r="E1961" t="s">
        <v>11620</v>
      </c>
      <c r="F1961" t="s">
        <v>3486</v>
      </c>
      <c r="G1961" t="s">
        <v>3454</v>
      </c>
      <c r="H1961" t="s">
        <v>449</v>
      </c>
      <c r="J1961" t="s">
        <v>4032</v>
      </c>
      <c r="K1961" t="s">
        <v>606</v>
      </c>
      <c r="M1961" t="s">
        <v>2366</v>
      </c>
      <c r="N1961" t="s">
        <v>657</v>
      </c>
      <c r="O1961" t="s">
        <v>3455</v>
      </c>
      <c r="P1961" t="s">
        <v>739</v>
      </c>
      <c r="Q1961" t="s">
        <v>522</v>
      </c>
      <c r="R1961" t="s">
        <v>3410</v>
      </c>
      <c r="S1961" t="s">
        <v>3456</v>
      </c>
      <c r="T1961" t="s">
        <v>2526</v>
      </c>
      <c r="U1961">
        <v>352600</v>
      </c>
      <c r="V1961" t="s">
        <v>3486</v>
      </c>
      <c r="W1961" t="s">
        <v>1734</v>
      </c>
      <c r="X1961" t="s">
        <v>11621</v>
      </c>
      <c r="Y1961" t="s">
        <v>11622</v>
      </c>
      <c r="Z1961" t="s">
        <v>3490</v>
      </c>
      <c r="AA1961" t="s">
        <v>11623</v>
      </c>
      <c r="AB1961" t="s">
        <v>11619</v>
      </c>
      <c r="AE1961">
        <v>-45.901907520000002</v>
      </c>
      <c r="AF1961">
        <v>170.42501175000001</v>
      </c>
      <c r="AG1961" s="175">
        <v>42</v>
      </c>
      <c r="AH1961" s="175">
        <v>10</v>
      </c>
      <c r="AI1961" s="175">
        <v>3</v>
      </c>
      <c r="AJ1961" s="175">
        <v>8</v>
      </c>
      <c r="AK1961" s="175">
        <v>14</v>
      </c>
      <c r="AL1961" s="175">
        <v>14</v>
      </c>
      <c r="AM1961" s="175">
        <v>14</v>
      </c>
      <c r="AN1961" s="175">
        <v>0</v>
      </c>
      <c r="AO1961" s="175">
        <v>53</v>
      </c>
      <c r="AP1961" s="175">
        <v>46</v>
      </c>
      <c r="AQ1961" s="175">
        <v>9</v>
      </c>
      <c r="AR1961" s="175">
        <v>2</v>
      </c>
      <c r="AS1961" s="175">
        <v>6</v>
      </c>
      <c r="AT1961" s="175">
        <v>0</v>
      </c>
    </row>
    <row r="1962" spans="1:46">
      <c r="A1962">
        <v>45473</v>
      </c>
      <c r="B1962" t="s">
        <v>11624</v>
      </c>
      <c r="C1962" t="s">
        <v>11625</v>
      </c>
      <c r="E1962" t="s">
        <v>11626</v>
      </c>
      <c r="F1962" t="s">
        <v>983</v>
      </c>
      <c r="G1962" t="s">
        <v>1152</v>
      </c>
      <c r="H1962" t="s">
        <v>449</v>
      </c>
      <c r="J1962" t="s">
        <v>4032</v>
      </c>
      <c r="K1962" t="s">
        <v>606</v>
      </c>
      <c r="M1962" t="s">
        <v>607</v>
      </c>
      <c r="N1962" t="s">
        <v>4586</v>
      </c>
      <c r="O1962" t="s">
        <v>958</v>
      </c>
      <c r="P1962" t="s">
        <v>658</v>
      </c>
      <c r="Q1962" t="s">
        <v>467</v>
      </c>
      <c r="R1962" t="s">
        <v>724</v>
      </c>
      <c r="S1962" t="s">
        <v>855</v>
      </c>
      <c r="T1962" t="s">
        <v>794</v>
      </c>
      <c r="U1962">
        <v>121100</v>
      </c>
      <c r="V1962" t="s">
        <v>4042</v>
      </c>
      <c r="W1962" t="s">
        <v>900</v>
      </c>
      <c r="X1962" t="s">
        <v>6368</v>
      </c>
      <c r="Y1962" t="s">
        <v>6366</v>
      </c>
      <c r="Z1962" t="s">
        <v>4813</v>
      </c>
      <c r="AA1962" t="s">
        <v>6369</v>
      </c>
      <c r="AB1962" t="s">
        <v>6364</v>
      </c>
      <c r="AC1962">
        <v>99029</v>
      </c>
      <c r="AD1962" t="s">
        <v>986</v>
      </c>
      <c r="AE1962">
        <v>-36.885235100000003</v>
      </c>
      <c r="AF1962">
        <v>174.5919763</v>
      </c>
      <c r="AG1962" s="175">
        <v>70</v>
      </c>
      <c r="AH1962" s="175">
        <v>15</v>
      </c>
      <c r="AI1962" s="175">
        <v>0</v>
      </c>
      <c r="AJ1962" s="175">
        <v>5</v>
      </c>
      <c r="AK1962" s="175">
        <v>9</v>
      </c>
      <c r="AL1962" s="175">
        <v>20</v>
      </c>
      <c r="AM1962" s="175">
        <v>16</v>
      </c>
      <c r="AN1962" s="175">
        <v>0</v>
      </c>
      <c r="AO1962" s="175">
        <v>50</v>
      </c>
      <c r="AP1962" s="175">
        <v>41</v>
      </c>
      <c r="AQ1962" s="175">
        <v>10</v>
      </c>
      <c r="AR1962" s="175">
        <v>6</v>
      </c>
      <c r="AS1962" s="175">
        <v>9</v>
      </c>
      <c r="AT1962" s="175">
        <v>1</v>
      </c>
    </row>
    <row r="1963" spans="1:46">
      <c r="A1963">
        <v>45477</v>
      </c>
      <c r="B1963" t="s">
        <v>11627</v>
      </c>
      <c r="C1963" t="s">
        <v>11628</v>
      </c>
      <c r="E1963" t="s">
        <v>11629</v>
      </c>
      <c r="F1963" t="s">
        <v>3197</v>
      </c>
      <c r="G1963" t="s">
        <v>3015</v>
      </c>
      <c r="H1963" t="s">
        <v>449</v>
      </c>
      <c r="J1963" t="s">
        <v>605</v>
      </c>
      <c r="K1963" t="s">
        <v>606</v>
      </c>
      <c r="M1963" t="s">
        <v>2366</v>
      </c>
      <c r="N1963" t="s">
        <v>643</v>
      </c>
      <c r="O1963" t="s">
        <v>3016</v>
      </c>
      <c r="P1963" t="s">
        <v>739</v>
      </c>
      <c r="Q1963" t="s">
        <v>521</v>
      </c>
      <c r="R1963" t="s">
        <v>3017</v>
      </c>
      <c r="S1963" t="s">
        <v>3046</v>
      </c>
      <c r="T1963" t="s">
        <v>2526</v>
      </c>
      <c r="U1963">
        <v>328600</v>
      </c>
      <c r="V1963" t="s">
        <v>3198</v>
      </c>
      <c r="W1963" t="s">
        <v>3199</v>
      </c>
      <c r="X1963" t="s">
        <v>10864</v>
      </c>
      <c r="Y1963" t="s">
        <v>4014</v>
      </c>
      <c r="Z1963" t="s">
        <v>4015</v>
      </c>
      <c r="AA1963" t="s">
        <v>4016</v>
      </c>
      <c r="AC1963">
        <v>99175</v>
      </c>
      <c r="AD1963" t="s">
        <v>3144</v>
      </c>
      <c r="AE1963">
        <v>-43.508221509999998</v>
      </c>
      <c r="AF1963">
        <v>172.69942333</v>
      </c>
      <c r="AG1963" s="175">
        <v>100</v>
      </c>
      <c r="AH1963" s="175">
        <v>25</v>
      </c>
      <c r="AI1963" s="175">
        <v>6</v>
      </c>
      <c r="AJ1963" s="175">
        <v>18</v>
      </c>
      <c r="AK1963" s="175">
        <v>21</v>
      </c>
      <c r="AL1963" s="175">
        <v>18</v>
      </c>
      <c r="AM1963" s="175">
        <v>20</v>
      </c>
      <c r="AN1963" s="175">
        <v>5</v>
      </c>
      <c r="AO1963" s="175">
        <v>88</v>
      </c>
      <c r="AP1963" s="175">
        <v>62</v>
      </c>
      <c r="AQ1963" s="175">
        <v>43</v>
      </c>
      <c r="AR1963" s="175">
        <v>12</v>
      </c>
      <c r="AS1963" s="175">
        <v>8</v>
      </c>
      <c r="AT1963" s="175">
        <v>1</v>
      </c>
    </row>
    <row r="1964" spans="1:46">
      <c r="A1964">
        <v>45483</v>
      </c>
      <c r="B1964" t="s">
        <v>11630</v>
      </c>
      <c r="C1964" t="s">
        <v>11631</v>
      </c>
      <c r="D1964" t="s">
        <v>11632</v>
      </c>
      <c r="E1964" t="s">
        <v>11633</v>
      </c>
      <c r="G1964" t="s">
        <v>10974</v>
      </c>
      <c r="H1964" t="s">
        <v>449</v>
      </c>
      <c r="I1964" t="s">
        <v>4134</v>
      </c>
      <c r="J1964" t="s">
        <v>4032</v>
      </c>
      <c r="K1964" t="s">
        <v>606</v>
      </c>
      <c r="M1964" t="s">
        <v>2366</v>
      </c>
      <c r="N1964" t="s">
        <v>657</v>
      </c>
      <c r="O1964" t="s">
        <v>3281</v>
      </c>
      <c r="P1964" t="s">
        <v>1347</v>
      </c>
      <c r="Q1964" t="s">
        <v>521</v>
      </c>
      <c r="R1964" t="s">
        <v>3017</v>
      </c>
      <c r="S1964" t="s">
        <v>3252</v>
      </c>
      <c r="T1964" t="s">
        <v>2526</v>
      </c>
      <c r="U1964">
        <v>335101</v>
      </c>
      <c r="V1964" t="s">
        <v>11634</v>
      </c>
      <c r="W1964" t="s">
        <v>10977</v>
      </c>
      <c r="X1964" t="s">
        <v>11635</v>
      </c>
      <c r="Y1964" t="s">
        <v>11633</v>
      </c>
      <c r="AA1964" t="s">
        <v>11636</v>
      </c>
      <c r="AB1964" t="s">
        <v>11637</v>
      </c>
      <c r="AC1964">
        <v>99206</v>
      </c>
      <c r="AD1964" t="s">
        <v>3284</v>
      </c>
      <c r="AE1964">
        <v>-43.605223080000002</v>
      </c>
      <c r="AF1964">
        <v>172.3669663</v>
      </c>
      <c r="AG1964" s="175">
        <v>84</v>
      </c>
      <c r="AH1964" s="175">
        <v>24</v>
      </c>
      <c r="AI1964" s="175">
        <v>1</v>
      </c>
      <c r="AJ1964" s="175">
        <v>13</v>
      </c>
      <c r="AK1964" s="175">
        <v>20</v>
      </c>
      <c r="AL1964" s="175">
        <v>26</v>
      </c>
      <c r="AM1964" s="175">
        <v>32</v>
      </c>
      <c r="AN1964" s="175">
        <v>1</v>
      </c>
      <c r="AO1964" s="175">
        <v>93</v>
      </c>
      <c r="AP1964" s="175">
        <v>51</v>
      </c>
      <c r="AQ1964" s="175">
        <v>10</v>
      </c>
      <c r="AR1964" s="175">
        <v>0</v>
      </c>
      <c r="AS1964" s="175">
        <v>38</v>
      </c>
      <c r="AT1964" s="175">
        <v>7</v>
      </c>
    </row>
    <row r="1965" spans="1:46">
      <c r="A1965">
        <v>45488</v>
      </c>
      <c r="B1965" t="s">
        <v>11638</v>
      </c>
      <c r="C1965" t="s">
        <v>11639</v>
      </c>
      <c r="D1965" t="s">
        <v>11640</v>
      </c>
      <c r="E1965" t="s">
        <v>11641</v>
      </c>
      <c r="F1965" t="s">
        <v>802</v>
      </c>
      <c r="G1965" t="s">
        <v>737</v>
      </c>
      <c r="H1965" t="s">
        <v>449</v>
      </c>
      <c r="I1965" t="s">
        <v>4233</v>
      </c>
      <c r="J1965" t="s">
        <v>605</v>
      </c>
      <c r="K1965" t="s">
        <v>606</v>
      </c>
      <c r="M1965" t="s">
        <v>607</v>
      </c>
      <c r="N1965" t="s">
        <v>643</v>
      </c>
      <c r="O1965" t="s">
        <v>803</v>
      </c>
      <c r="P1965" t="s">
        <v>739</v>
      </c>
      <c r="Q1965" t="s">
        <v>467</v>
      </c>
      <c r="R1965" t="s">
        <v>793</v>
      </c>
      <c r="S1965" t="s">
        <v>855</v>
      </c>
      <c r="T1965" t="s">
        <v>794</v>
      </c>
      <c r="U1965">
        <v>133100</v>
      </c>
      <c r="V1965" t="s">
        <v>11642</v>
      </c>
      <c r="W1965" t="s">
        <v>806</v>
      </c>
      <c r="X1965" t="s">
        <v>11643</v>
      </c>
      <c r="Y1965" t="s">
        <v>11641</v>
      </c>
      <c r="Z1965" t="s">
        <v>802</v>
      </c>
      <c r="AA1965" t="s">
        <v>4604</v>
      </c>
      <c r="AB1965" t="s">
        <v>11644</v>
      </c>
      <c r="AE1965">
        <v>-36.894360450000001</v>
      </c>
      <c r="AF1965">
        <v>174.6983352</v>
      </c>
      <c r="AG1965" s="175">
        <v>50</v>
      </c>
      <c r="AH1965" s="175">
        <v>10</v>
      </c>
      <c r="AI1965" s="175">
        <v>2</v>
      </c>
      <c r="AJ1965" s="175">
        <v>8</v>
      </c>
      <c r="AK1965" s="175">
        <v>19</v>
      </c>
      <c r="AL1965" s="175">
        <v>12</v>
      </c>
      <c r="AM1965" s="175">
        <v>4</v>
      </c>
      <c r="AN1965" s="175">
        <v>0</v>
      </c>
      <c r="AO1965" s="175">
        <v>45</v>
      </c>
      <c r="AP1965" s="175">
        <v>22</v>
      </c>
      <c r="AQ1965" s="175">
        <v>12</v>
      </c>
      <c r="AR1965" s="175">
        <v>42</v>
      </c>
      <c r="AS1965" s="175">
        <v>1</v>
      </c>
      <c r="AT1965" s="175">
        <v>2</v>
      </c>
    </row>
    <row r="1966" spans="1:46">
      <c r="A1966">
        <v>45491</v>
      </c>
      <c r="B1966" t="s">
        <v>11645</v>
      </c>
      <c r="C1966" t="s">
        <v>11646</v>
      </c>
      <c r="D1966" t="s">
        <v>11647</v>
      </c>
      <c r="E1966" t="s">
        <v>11648</v>
      </c>
      <c r="F1966" t="s">
        <v>1396</v>
      </c>
      <c r="G1966" t="s">
        <v>1381</v>
      </c>
      <c r="H1966" t="s">
        <v>449</v>
      </c>
      <c r="J1966" t="s">
        <v>4032</v>
      </c>
      <c r="K1966" t="s">
        <v>606</v>
      </c>
      <c r="M1966" t="s">
        <v>1382</v>
      </c>
      <c r="N1966" t="s">
        <v>643</v>
      </c>
      <c r="O1966" t="s">
        <v>1383</v>
      </c>
      <c r="P1966" t="s">
        <v>739</v>
      </c>
      <c r="Q1966" t="s">
        <v>510</v>
      </c>
      <c r="R1966" t="s">
        <v>1384</v>
      </c>
      <c r="S1966" t="s">
        <v>1396</v>
      </c>
      <c r="T1966" t="s">
        <v>1320</v>
      </c>
      <c r="U1966">
        <v>179300</v>
      </c>
      <c r="V1966" t="s">
        <v>1482</v>
      </c>
      <c r="W1966" t="s">
        <v>1398</v>
      </c>
      <c r="X1966" t="s">
        <v>11649</v>
      </c>
      <c r="Y1966" t="s">
        <v>11650</v>
      </c>
      <c r="Z1966" t="s">
        <v>1429</v>
      </c>
      <c r="AA1966" t="s">
        <v>9631</v>
      </c>
      <c r="AE1966">
        <v>-37.784294969999998</v>
      </c>
      <c r="AF1966">
        <v>175.29041380999999</v>
      </c>
      <c r="AG1966" s="175">
        <v>34</v>
      </c>
      <c r="AH1966" s="175">
        <v>5</v>
      </c>
      <c r="AI1966" s="175">
        <v>1</v>
      </c>
      <c r="AJ1966" s="175">
        <v>3</v>
      </c>
      <c r="AK1966" s="175">
        <v>8</v>
      </c>
      <c r="AL1966" s="175">
        <v>8</v>
      </c>
      <c r="AM1966" s="175">
        <v>13</v>
      </c>
      <c r="AN1966" s="175">
        <v>0</v>
      </c>
      <c r="AO1966" s="175">
        <v>33</v>
      </c>
      <c r="AP1966" s="175">
        <v>8</v>
      </c>
      <c r="AQ1966" s="175">
        <v>14</v>
      </c>
      <c r="AR1966" s="175">
        <v>3</v>
      </c>
      <c r="AS1966" s="175">
        <v>1</v>
      </c>
      <c r="AT1966" s="175">
        <v>12</v>
      </c>
    </row>
    <row r="1967" spans="1:46">
      <c r="A1967">
        <v>45493</v>
      </c>
      <c r="B1967" t="s">
        <v>11651</v>
      </c>
      <c r="C1967" t="s">
        <v>11652</v>
      </c>
      <c r="E1967" t="s">
        <v>11653</v>
      </c>
      <c r="G1967" t="s">
        <v>10974</v>
      </c>
      <c r="H1967" t="s">
        <v>449</v>
      </c>
      <c r="J1967" t="s">
        <v>4032</v>
      </c>
      <c r="K1967" t="s">
        <v>606</v>
      </c>
      <c r="M1967" t="s">
        <v>2366</v>
      </c>
      <c r="N1967" t="s">
        <v>657</v>
      </c>
      <c r="O1967" t="s">
        <v>3281</v>
      </c>
      <c r="P1967" t="s">
        <v>1347</v>
      </c>
      <c r="Q1967" t="s">
        <v>521</v>
      </c>
      <c r="R1967" t="s">
        <v>3017</v>
      </c>
      <c r="S1967" t="s">
        <v>3252</v>
      </c>
      <c r="T1967" t="s">
        <v>2526</v>
      </c>
      <c r="U1967">
        <v>334901</v>
      </c>
      <c r="V1967" t="s">
        <v>11654</v>
      </c>
      <c r="W1967" t="s">
        <v>10977</v>
      </c>
      <c r="X1967" t="s">
        <v>11655</v>
      </c>
      <c r="Y1967" t="s">
        <v>4725</v>
      </c>
      <c r="Z1967" t="s">
        <v>1043</v>
      </c>
      <c r="AA1967" t="s">
        <v>4726</v>
      </c>
      <c r="AB1967" t="s">
        <v>11652</v>
      </c>
      <c r="AC1967">
        <v>99206</v>
      </c>
      <c r="AD1967" t="s">
        <v>3284</v>
      </c>
      <c r="AE1967">
        <v>-43.595413200000003</v>
      </c>
      <c r="AF1967">
        <v>172.36864206999999</v>
      </c>
      <c r="AG1967" s="175">
        <v>75</v>
      </c>
      <c r="AH1967" s="175">
        <v>25</v>
      </c>
      <c r="AI1967" s="175">
        <v>2</v>
      </c>
      <c r="AJ1967" s="175">
        <v>19</v>
      </c>
      <c r="AK1967" s="175">
        <v>16</v>
      </c>
      <c r="AL1967" s="175">
        <v>18</v>
      </c>
      <c r="AM1967" s="175">
        <v>10</v>
      </c>
      <c r="AN1967" s="175">
        <v>0</v>
      </c>
      <c r="AO1967" s="175">
        <v>65</v>
      </c>
      <c r="AP1967" s="175">
        <v>42</v>
      </c>
      <c r="AQ1967" s="175">
        <v>8</v>
      </c>
      <c r="AR1967" s="175">
        <v>5</v>
      </c>
      <c r="AS1967" s="175">
        <v>18</v>
      </c>
      <c r="AT1967" s="175">
        <v>5</v>
      </c>
    </row>
    <row r="1968" spans="1:46">
      <c r="A1968">
        <v>45495</v>
      </c>
      <c r="B1968" t="s">
        <v>11656</v>
      </c>
      <c r="C1968" t="s">
        <v>11657</v>
      </c>
      <c r="D1968" t="s">
        <v>11658</v>
      </c>
      <c r="E1968" t="s">
        <v>11659</v>
      </c>
      <c r="F1968" t="s">
        <v>8574</v>
      </c>
      <c r="G1968" t="s">
        <v>1381</v>
      </c>
      <c r="H1968" t="s">
        <v>449</v>
      </c>
      <c r="J1968" t="s">
        <v>4032</v>
      </c>
      <c r="K1968" t="s">
        <v>606</v>
      </c>
      <c r="M1968" t="s">
        <v>1382</v>
      </c>
      <c r="N1968" t="s">
        <v>657</v>
      </c>
      <c r="O1968" t="s">
        <v>1383</v>
      </c>
      <c r="P1968" t="s">
        <v>739</v>
      </c>
      <c r="Q1968" t="s">
        <v>510</v>
      </c>
      <c r="R1968" t="s">
        <v>1384</v>
      </c>
      <c r="S1968" t="s">
        <v>1396</v>
      </c>
      <c r="T1968" t="s">
        <v>1320</v>
      </c>
      <c r="U1968">
        <v>175901</v>
      </c>
      <c r="V1968" t="s">
        <v>8681</v>
      </c>
      <c r="W1968" t="s">
        <v>1398</v>
      </c>
      <c r="X1968" t="s">
        <v>11660</v>
      </c>
      <c r="Y1968" t="s">
        <v>11661</v>
      </c>
      <c r="Z1968" t="s">
        <v>8574</v>
      </c>
      <c r="AA1968" t="s">
        <v>8726</v>
      </c>
      <c r="AB1968" t="s">
        <v>11662</v>
      </c>
      <c r="AE1968">
        <v>-37.722882300000002</v>
      </c>
      <c r="AF1968">
        <v>175.26236850000001</v>
      </c>
      <c r="AG1968" s="175">
        <v>100</v>
      </c>
      <c r="AH1968" s="175">
        <v>25</v>
      </c>
      <c r="AI1968" s="175">
        <v>4</v>
      </c>
      <c r="AJ1968" s="175">
        <v>10</v>
      </c>
      <c r="AK1968" s="175">
        <v>17</v>
      </c>
      <c r="AL1968" s="175">
        <v>19</v>
      </c>
      <c r="AM1968" s="175">
        <v>31</v>
      </c>
      <c r="AN1968" s="175">
        <v>0</v>
      </c>
      <c r="AO1968" s="175">
        <v>81</v>
      </c>
      <c r="AP1968" s="175">
        <v>37</v>
      </c>
      <c r="AQ1968" s="175">
        <v>10</v>
      </c>
      <c r="AR1968" s="175">
        <v>0</v>
      </c>
      <c r="AS1968" s="175">
        <v>31</v>
      </c>
      <c r="AT1968" s="175">
        <v>11</v>
      </c>
    </row>
    <row r="1969" spans="1:46">
      <c r="A1969">
        <v>45500</v>
      </c>
      <c r="B1969" t="s">
        <v>11663</v>
      </c>
      <c r="C1969" t="s">
        <v>11664</v>
      </c>
      <c r="D1969" t="s">
        <v>11665</v>
      </c>
      <c r="E1969" t="s">
        <v>5169</v>
      </c>
      <c r="F1969" t="s">
        <v>5170</v>
      </c>
      <c r="G1969" t="s">
        <v>737</v>
      </c>
      <c r="H1969" t="s">
        <v>449</v>
      </c>
      <c r="J1969" t="s">
        <v>605</v>
      </c>
      <c r="K1969" t="s">
        <v>606</v>
      </c>
      <c r="M1969" t="s">
        <v>607</v>
      </c>
      <c r="N1969" t="s">
        <v>625</v>
      </c>
      <c r="O1969" t="s">
        <v>792</v>
      </c>
      <c r="P1969" t="s">
        <v>739</v>
      </c>
      <c r="Q1969" t="s">
        <v>467</v>
      </c>
      <c r="R1969" t="s">
        <v>814</v>
      </c>
      <c r="S1969" t="s">
        <v>1302</v>
      </c>
      <c r="T1969" t="s">
        <v>794</v>
      </c>
      <c r="U1969">
        <v>158300</v>
      </c>
      <c r="V1969" t="s">
        <v>5159</v>
      </c>
      <c r="W1969" t="s">
        <v>796</v>
      </c>
      <c r="X1969" t="s">
        <v>5168</v>
      </c>
      <c r="Y1969" t="s">
        <v>5169</v>
      </c>
      <c r="Z1969" t="s">
        <v>5170</v>
      </c>
      <c r="AA1969" t="s">
        <v>5171</v>
      </c>
      <c r="AB1969" t="s">
        <v>5172</v>
      </c>
      <c r="AE1969">
        <v>-36.985732849999998</v>
      </c>
      <c r="AF1969">
        <v>174.90549906999999</v>
      </c>
      <c r="AG1969" s="175">
        <v>80</v>
      </c>
      <c r="AH1969" s="175">
        <v>5</v>
      </c>
      <c r="AI1969" s="175">
        <v>1</v>
      </c>
      <c r="AJ1969" s="175">
        <v>4</v>
      </c>
      <c r="AK1969" s="175">
        <v>12</v>
      </c>
      <c r="AL1969" s="175">
        <v>22</v>
      </c>
      <c r="AM1969" s="175">
        <v>31</v>
      </c>
      <c r="AN1969" s="175">
        <v>2</v>
      </c>
      <c r="AO1969" s="175">
        <v>72</v>
      </c>
      <c r="AP1969" s="175">
        <v>13</v>
      </c>
      <c r="AQ1969" s="175">
        <v>3</v>
      </c>
      <c r="AR1969" s="175">
        <v>25</v>
      </c>
      <c r="AS1969" s="175">
        <v>40</v>
      </c>
      <c r="AT1969" s="175">
        <v>5</v>
      </c>
    </row>
    <row r="1970" spans="1:46">
      <c r="A1970">
        <v>45515</v>
      </c>
      <c r="B1970" t="s">
        <v>11666</v>
      </c>
      <c r="C1970" t="s">
        <v>11667</v>
      </c>
      <c r="D1970" t="s">
        <v>11668</v>
      </c>
      <c r="E1970" t="s">
        <v>11669</v>
      </c>
      <c r="F1970" t="s">
        <v>4533</v>
      </c>
      <c r="G1970" t="s">
        <v>737</v>
      </c>
      <c r="H1970" t="s">
        <v>449</v>
      </c>
      <c r="I1970" t="s">
        <v>4233</v>
      </c>
      <c r="J1970" t="s">
        <v>605</v>
      </c>
      <c r="K1970" t="s">
        <v>606</v>
      </c>
      <c r="M1970" t="s">
        <v>607</v>
      </c>
      <c r="N1970" t="s">
        <v>643</v>
      </c>
      <c r="O1970" t="s">
        <v>898</v>
      </c>
      <c r="P1970" t="s">
        <v>739</v>
      </c>
      <c r="Q1970" t="s">
        <v>467</v>
      </c>
      <c r="R1970" t="s">
        <v>724</v>
      </c>
      <c r="S1970" t="s">
        <v>804</v>
      </c>
      <c r="T1970" t="s">
        <v>794</v>
      </c>
      <c r="U1970">
        <v>128902</v>
      </c>
      <c r="V1970" t="s">
        <v>5946</v>
      </c>
      <c r="W1970" t="s">
        <v>900</v>
      </c>
      <c r="X1970" t="s">
        <v>11670</v>
      </c>
      <c r="Y1970" t="s">
        <v>11671</v>
      </c>
      <c r="Z1970" t="s">
        <v>4533</v>
      </c>
      <c r="AA1970" t="s">
        <v>5051</v>
      </c>
      <c r="AB1970" t="s">
        <v>11667</v>
      </c>
      <c r="AE1970">
        <v>-36.886990130000001</v>
      </c>
      <c r="AF1970">
        <v>174.65469311999999</v>
      </c>
      <c r="AG1970" s="175">
        <v>50</v>
      </c>
      <c r="AH1970" s="175">
        <v>10</v>
      </c>
      <c r="AI1970" s="175">
        <v>1</v>
      </c>
      <c r="AJ1970" s="175">
        <v>3</v>
      </c>
      <c r="AK1970" s="175">
        <v>6</v>
      </c>
      <c r="AL1970" s="175">
        <v>10</v>
      </c>
      <c r="AM1970" s="175">
        <v>11</v>
      </c>
      <c r="AN1970" s="175">
        <v>1</v>
      </c>
      <c r="AO1970" s="175">
        <v>32</v>
      </c>
      <c r="AP1970" s="175">
        <v>1</v>
      </c>
      <c r="AQ1970" s="175">
        <v>5</v>
      </c>
      <c r="AR1970" s="175">
        <v>32</v>
      </c>
      <c r="AS1970" s="175">
        <v>3</v>
      </c>
      <c r="AT1970" s="175">
        <v>0</v>
      </c>
    </row>
    <row r="1971" spans="1:46">
      <c r="A1971">
        <v>45519</v>
      </c>
      <c r="B1971" t="s">
        <v>11672</v>
      </c>
      <c r="C1971" t="s">
        <v>11673</v>
      </c>
      <c r="D1971" t="s">
        <v>11674</v>
      </c>
      <c r="E1971" t="s">
        <v>11675</v>
      </c>
      <c r="F1971" t="s">
        <v>1506</v>
      </c>
      <c r="G1971" t="s">
        <v>1381</v>
      </c>
      <c r="H1971" t="s">
        <v>449</v>
      </c>
      <c r="J1971" t="s">
        <v>4032</v>
      </c>
      <c r="K1971" t="s">
        <v>606</v>
      </c>
      <c r="M1971" t="s">
        <v>1382</v>
      </c>
      <c r="N1971" t="s">
        <v>657</v>
      </c>
      <c r="O1971" t="s">
        <v>1383</v>
      </c>
      <c r="P1971" t="s">
        <v>739</v>
      </c>
      <c r="Q1971" t="s">
        <v>510</v>
      </c>
      <c r="R1971" t="s">
        <v>1384</v>
      </c>
      <c r="S1971" t="s">
        <v>1385</v>
      </c>
      <c r="T1971" t="s">
        <v>1320</v>
      </c>
      <c r="U1971">
        <v>176301</v>
      </c>
      <c r="V1971" t="s">
        <v>8493</v>
      </c>
      <c r="W1971" t="s">
        <v>1387</v>
      </c>
      <c r="X1971" t="s">
        <v>11676</v>
      </c>
      <c r="AB1971" t="s">
        <v>11677</v>
      </c>
      <c r="AE1971">
        <v>-37.751879600000002</v>
      </c>
      <c r="AF1971">
        <v>175.24239334999999</v>
      </c>
      <c r="AG1971" s="175">
        <v>75</v>
      </c>
      <c r="AH1971" s="175">
        <v>35</v>
      </c>
      <c r="AI1971" s="175">
        <v>1</v>
      </c>
      <c r="AJ1971" s="175">
        <v>11</v>
      </c>
      <c r="AK1971" s="175">
        <v>11</v>
      </c>
      <c r="AL1971" s="175">
        <v>6</v>
      </c>
      <c r="AM1971" s="175">
        <v>12</v>
      </c>
      <c r="AN1971" s="175">
        <v>1</v>
      </c>
      <c r="AO1971" s="175">
        <v>42</v>
      </c>
      <c r="AP1971" s="175">
        <v>22</v>
      </c>
      <c r="AQ1971" s="175">
        <v>19</v>
      </c>
      <c r="AR1971" s="175">
        <v>4</v>
      </c>
      <c r="AS1971" s="175">
        <v>10</v>
      </c>
      <c r="AT1971" s="175">
        <v>1</v>
      </c>
    </row>
    <row r="1972" spans="1:46">
      <c r="A1972">
        <v>45535</v>
      </c>
      <c r="B1972" t="s">
        <v>11678</v>
      </c>
      <c r="C1972" t="s">
        <v>11679</v>
      </c>
      <c r="D1972" t="s">
        <v>11680</v>
      </c>
      <c r="E1972" t="s">
        <v>11681</v>
      </c>
      <c r="F1972" t="s">
        <v>1811</v>
      </c>
      <c r="G1972" t="s">
        <v>1681</v>
      </c>
      <c r="H1972" t="s">
        <v>449</v>
      </c>
      <c r="J1972" t="s">
        <v>4032</v>
      </c>
      <c r="K1972" t="s">
        <v>606</v>
      </c>
      <c r="M1972" t="s">
        <v>1382</v>
      </c>
      <c r="N1972" t="s">
        <v>657</v>
      </c>
      <c r="O1972" t="s">
        <v>1780</v>
      </c>
      <c r="P1972" t="s">
        <v>739</v>
      </c>
      <c r="Q1972" t="s">
        <v>511</v>
      </c>
      <c r="R1972" t="s">
        <v>1555</v>
      </c>
      <c r="S1972" t="s">
        <v>1781</v>
      </c>
      <c r="T1972" t="s">
        <v>1557</v>
      </c>
      <c r="U1972">
        <v>195900</v>
      </c>
      <c r="V1972" t="s">
        <v>1812</v>
      </c>
      <c r="W1972" t="s">
        <v>1813</v>
      </c>
      <c r="X1972" t="s">
        <v>11682</v>
      </c>
      <c r="Y1972" t="s">
        <v>11683</v>
      </c>
      <c r="Z1972" t="s">
        <v>11162</v>
      </c>
      <c r="AA1972" t="s">
        <v>11163</v>
      </c>
      <c r="AB1972" t="s">
        <v>11679</v>
      </c>
      <c r="AC1972">
        <v>99085</v>
      </c>
      <c r="AD1972" t="s">
        <v>1800</v>
      </c>
      <c r="AE1972">
        <v>-37.715174849999997</v>
      </c>
      <c r="AF1972">
        <v>176.18059001</v>
      </c>
      <c r="AG1972" s="175">
        <v>45</v>
      </c>
      <c r="AH1972" s="175">
        <v>15</v>
      </c>
      <c r="AI1972" s="175">
        <v>0</v>
      </c>
      <c r="AJ1972" s="175">
        <v>10</v>
      </c>
      <c r="AK1972" s="175">
        <v>10</v>
      </c>
      <c r="AL1972" s="175">
        <v>16</v>
      </c>
      <c r="AM1972" s="175">
        <v>13</v>
      </c>
      <c r="AN1972" s="175">
        <v>0</v>
      </c>
      <c r="AO1972" s="175">
        <v>49</v>
      </c>
      <c r="AP1972" s="175">
        <v>37</v>
      </c>
      <c r="AQ1972" s="175">
        <v>15</v>
      </c>
      <c r="AR1972" s="175">
        <v>6</v>
      </c>
      <c r="AS1972" s="175">
        <v>5</v>
      </c>
      <c r="AT1972" s="175">
        <v>3</v>
      </c>
    </row>
    <row r="1973" spans="1:46">
      <c r="A1973">
        <v>45540</v>
      </c>
      <c r="B1973" t="s">
        <v>11684</v>
      </c>
      <c r="C1973" t="s">
        <v>11685</v>
      </c>
      <c r="E1973" t="s">
        <v>11686</v>
      </c>
      <c r="G1973" t="s">
        <v>1346</v>
      </c>
      <c r="H1973" t="s">
        <v>449</v>
      </c>
      <c r="J1973" t="s">
        <v>4032</v>
      </c>
      <c r="K1973" t="s">
        <v>606</v>
      </c>
      <c r="M1973" t="s">
        <v>607</v>
      </c>
      <c r="N1973" t="s">
        <v>657</v>
      </c>
      <c r="O1973" t="s">
        <v>1318</v>
      </c>
      <c r="P1973" t="s">
        <v>1347</v>
      </c>
      <c r="Q1973" t="s">
        <v>467</v>
      </c>
      <c r="R1973" t="s">
        <v>814</v>
      </c>
      <c r="S1973" t="s">
        <v>1331</v>
      </c>
      <c r="T1973" t="s">
        <v>1320</v>
      </c>
      <c r="U1973">
        <v>166200</v>
      </c>
      <c r="V1973" t="s">
        <v>11687</v>
      </c>
      <c r="W1973" t="s">
        <v>1322</v>
      </c>
      <c r="X1973" t="s">
        <v>11688</v>
      </c>
      <c r="Y1973" t="s">
        <v>11689</v>
      </c>
      <c r="AA1973" t="s">
        <v>7554</v>
      </c>
      <c r="AB1973" t="s">
        <v>11690</v>
      </c>
      <c r="AE1973">
        <v>-37.226425140000003</v>
      </c>
      <c r="AF1973">
        <v>174.92657979000001</v>
      </c>
      <c r="AG1973" s="175">
        <v>40</v>
      </c>
      <c r="AH1973" s="175">
        <v>10</v>
      </c>
      <c r="AI1973" s="175">
        <v>1</v>
      </c>
      <c r="AJ1973" s="175">
        <v>11</v>
      </c>
      <c r="AK1973" s="175">
        <v>12</v>
      </c>
      <c r="AL1973" s="175">
        <v>19</v>
      </c>
      <c r="AM1973" s="175">
        <v>10</v>
      </c>
      <c r="AN1973" s="175">
        <v>0</v>
      </c>
      <c r="AO1973" s="175">
        <v>53</v>
      </c>
      <c r="AP1973" s="175">
        <v>53</v>
      </c>
      <c r="AQ1973" s="175">
        <v>7</v>
      </c>
      <c r="AR1973" s="175">
        <v>3</v>
      </c>
      <c r="AS1973" s="175">
        <v>0</v>
      </c>
      <c r="AT1973" s="175">
        <v>1</v>
      </c>
    </row>
    <row r="1974" spans="1:46">
      <c r="A1974">
        <v>45541</v>
      </c>
      <c r="B1974" t="s">
        <v>11691</v>
      </c>
      <c r="C1974" t="s">
        <v>11692</v>
      </c>
      <c r="D1974" t="s">
        <v>11693</v>
      </c>
      <c r="E1974" t="s">
        <v>11694</v>
      </c>
      <c r="G1974" t="s">
        <v>6450</v>
      </c>
      <c r="H1974" t="s">
        <v>449</v>
      </c>
      <c r="J1974" t="s">
        <v>4032</v>
      </c>
      <c r="K1974" t="s">
        <v>606</v>
      </c>
      <c r="M1974" t="s">
        <v>607</v>
      </c>
      <c r="N1974" t="s">
        <v>657</v>
      </c>
      <c r="O1974" t="s">
        <v>723</v>
      </c>
      <c r="P1974" t="s">
        <v>610</v>
      </c>
      <c r="Q1974" t="s">
        <v>467</v>
      </c>
      <c r="R1974" t="s">
        <v>724</v>
      </c>
      <c r="S1974" t="s">
        <v>725</v>
      </c>
      <c r="T1974" t="s">
        <v>613</v>
      </c>
      <c r="U1974">
        <v>115901</v>
      </c>
      <c r="V1974" t="s">
        <v>6450</v>
      </c>
      <c r="W1974" t="s">
        <v>726</v>
      </c>
      <c r="X1974" t="s">
        <v>8079</v>
      </c>
      <c r="Y1974" t="s">
        <v>8080</v>
      </c>
      <c r="AA1974" t="s">
        <v>8081</v>
      </c>
      <c r="AB1974" t="s">
        <v>8082</v>
      </c>
      <c r="AE1974">
        <v>-36.755955409999999</v>
      </c>
      <c r="AF1974">
        <v>174.59196254</v>
      </c>
      <c r="AG1974" s="175">
        <v>30</v>
      </c>
      <c r="AH1974" s="175">
        <v>0</v>
      </c>
      <c r="AI1974" s="175">
        <v>0</v>
      </c>
      <c r="AJ1974" s="175">
        <v>0</v>
      </c>
      <c r="AK1974" s="175">
        <v>5</v>
      </c>
      <c r="AL1974" s="175">
        <v>5</v>
      </c>
      <c r="AM1974" s="175">
        <v>6</v>
      </c>
      <c r="AN1974" s="175">
        <v>0</v>
      </c>
      <c r="AO1974" s="175">
        <v>16</v>
      </c>
      <c r="AP1974" s="175">
        <v>16</v>
      </c>
      <c r="AQ1974" s="175">
        <v>1</v>
      </c>
      <c r="AR1974" s="175">
        <v>2</v>
      </c>
      <c r="AS1974" s="175">
        <v>0</v>
      </c>
      <c r="AT1974" s="175">
        <v>0</v>
      </c>
    </row>
    <row r="1975" spans="1:46">
      <c r="A1975">
        <v>45544</v>
      </c>
      <c r="B1975" t="s">
        <v>11695</v>
      </c>
      <c r="C1975" t="s">
        <v>11696</v>
      </c>
      <c r="D1975" t="s">
        <v>11697</v>
      </c>
      <c r="E1975" t="s">
        <v>11698</v>
      </c>
      <c r="F1975" t="s">
        <v>822</v>
      </c>
      <c r="G1975" t="s">
        <v>737</v>
      </c>
      <c r="H1975" t="s">
        <v>449</v>
      </c>
      <c r="J1975" t="s">
        <v>4032</v>
      </c>
      <c r="K1975" t="s">
        <v>606</v>
      </c>
      <c r="M1975" t="s">
        <v>607</v>
      </c>
      <c r="N1975" t="s">
        <v>657</v>
      </c>
      <c r="O1975" t="s">
        <v>823</v>
      </c>
      <c r="P1975" t="s">
        <v>739</v>
      </c>
      <c r="Q1975" t="s">
        <v>467</v>
      </c>
      <c r="R1975" t="s">
        <v>724</v>
      </c>
      <c r="S1975" t="s">
        <v>841</v>
      </c>
      <c r="T1975" t="s">
        <v>613</v>
      </c>
      <c r="U1975">
        <v>124000</v>
      </c>
      <c r="V1975" t="s">
        <v>1066</v>
      </c>
      <c r="W1975" t="s">
        <v>826</v>
      </c>
      <c r="X1975" t="s">
        <v>6961</v>
      </c>
      <c r="Y1975" t="s">
        <v>6962</v>
      </c>
      <c r="Z1975" t="s">
        <v>822</v>
      </c>
      <c r="AA1975" t="s">
        <v>6963</v>
      </c>
      <c r="AB1975" t="s">
        <v>6957</v>
      </c>
      <c r="AE1975">
        <v>-36.784634930000003</v>
      </c>
      <c r="AF1975">
        <v>174.73247368</v>
      </c>
      <c r="AG1975" s="175">
        <v>30</v>
      </c>
      <c r="AH1975" s="175">
        <v>0</v>
      </c>
      <c r="AI1975" s="175">
        <v>0</v>
      </c>
      <c r="AJ1975" s="175">
        <v>0</v>
      </c>
      <c r="AK1975" s="175">
        <v>4</v>
      </c>
      <c r="AL1975" s="175">
        <v>7</v>
      </c>
      <c r="AM1975" s="175">
        <v>13</v>
      </c>
      <c r="AN1975" s="175">
        <v>1</v>
      </c>
      <c r="AO1975" s="175">
        <v>25</v>
      </c>
      <c r="AP1975" s="175">
        <v>9</v>
      </c>
      <c r="AQ1975" s="175">
        <v>3</v>
      </c>
      <c r="AR1975" s="175">
        <v>2</v>
      </c>
      <c r="AS1975" s="175">
        <v>15</v>
      </c>
      <c r="AT1975" s="175">
        <v>0</v>
      </c>
    </row>
    <row r="1976" spans="1:46">
      <c r="A1976">
        <v>45546</v>
      </c>
      <c r="B1976" t="s">
        <v>11699</v>
      </c>
      <c r="C1976" t="s">
        <v>11700</v>
      </c>
      <c r="D1976" t="s">
        <v>11701</v>
      </c>
      <c r="E1976" t="s">
        <v>11702</v>
      </c>
      <c r="F1976" t="s">
        <v>3154</v>
      </c>
      <c r="G1976" t="s">
        <v>3015</v>
      </c>
      <c r="H1976" t="s">
        <v>449</v>
      </c>
      <c r="J1976" t="s">
        <v>4032</v>
      </c>
      <c r="K1976" t="s">
        <v>606</v>
      </c>
      <c r="M1976" t="s">
        <v>2366</v>
      </c>
      <c r="N1976" t="s">
        <v>657</v>
      </c>
      <c r="O1976" t="s">
        <v>3016</v>
      </c>
      <c r="P1976" t="s">
        <v>739</v>
      </c>
      <c r="Q1976" t="s">
        <v>521</v>
      </c>
      <c r="R1976" t="s">
        <v>3017</v>
      </c>
      <c r="S1976" t="s">
        <v>3030</v>
      </c>
      <c r="T1976" t="s">
        <v>2526</v>
      </c>
      <c r="U1976">
        <v>323100</v>
      </c>
      <c r="V1976" t="s">
        <v>3155</v>
      </c>
      <c r="W1976" t="s">
        <v>3143</v>
      </c>
      <c r="X1976" t="s">
        <v>11703</v>
      </c>
      <c r="Y1976" t="s">
        <v>11704</v>
      </c>
      <c r="AA1976" t="s">
        <v>11705</v>
      </c>
      <c r="AB1976" t="s">
        <v>11706</v>
      </c>
      <c r="AE1976">
        <v>-43.496348419999997</v>
      </c>
      <c r="AF1976">
        <v>172.64878415999999</v>
      </c>
      <c r="AG1976" s="175">
        <v>25</v>
      </c>
      <c r="AH1976" s="175">
        <v>0</v>
      </c>
      <c r="AI1976" s="175">
        <v>0</v>
      </c>
      <c r="AJ1976" s="175">
        <v>0</v>
      </c>
      <c r="AK1976" s="175">
        <v>8</v>
      </c>
      <c r="AL1976" s="175">
        <v>17</v>
      </c>
      <c r="AM1976" s="175">
        <v>11</v>
      </c>
      <c r="AN1976" s="175">
        <v>3</v>
      </c>
      <c r="AO1976" s="175">
        <v>39</v>
      </c>
      <c r="AP1976" s="175">
        <v>31</v>
      </c>
      <c r="AQ1976" s="175">
        <v>7</v>
      </c>
      <c r="AR1976" s="175">
        <v>2</v>
      </c>
      <c r="AS1976" s="175">
        <v>6</v>
      </c>
      <c r="AT1976" s="175">
        <v>2</v>
      </c>
    </row>
    <row r="1977" spans="1:46">
      <c r="A1977">
        <v>45549</v>
      </c>
      <c r="B1977" t="s">
        <v>11707</v>
      </c>
      <c r="C1977" t="s">
        <v>11708</v>
      </c>
      <c r="D1977" t="s">
        <v>11709</v>
      </c>
      <c r="E1977" t="s">
        <v>11710</v>
      </c>
      <c r="F1977" t="s">
        <v>11711</v>
      </c>
      <c r="G1977" t="s">
        <v>2276</v>
      </c>
      <c r="H1977" t="s">
        <v>450</v>
      </c>
      <c r="J1977" t="s">
        <v>4032</v>
      </c>
      <c r="K1977" t="s">
        <v>606</v>
      </c>
      <c r="M1977" t="s">
        <v>607</v>
      </c>
      <c r="N1977" t="s">
        <v>657</v>
      </c>
      <c r="O1977" t="s">
        <v>2277</v>
      </c>
      <c r="P1977" t="s">
        <v>670</v>
      </c>
      <c r="Q1977" t="s">
        <v>513</v>
      </c>
      <c r="R1977" t="s">
        <v>793</v>
      </c>
      <c r="S1977" t="s">
        <v>2278</v>
      </c>
      <c r="T1977" t="s">
        <v>2165</v>
      </c>
      <c r="U1977">
        <v>210500</v>
      </c>
      <c r="V1977" t="s">
        <v>11711</v>
      </c>
      <c r="W1977" t="s">
        <v>2279</v>
      </c>
      <c r="X1977" t="s">
        <v>11712</v>
      </c>
      <c r="Y1977" t="s">
        <v>11710</v>
      </c>
      <c r="AA1977" t="s">
        <v>11713</v>
      </c>
      <c r="AB1977" t="s">
        <v>11714</v>
      </c>
      <c r="AE1977">
        <v>-39.641812020000003</v>
      </c>
      <c r="AF1977">
        <v>176.84596762999999</v>
      </c>
      <c r="AG1977" s="175">
        <v>100</v>
      </c>
      <c r="AH1977" s="175">
        <v>100</v>
      </c>
      <c r="AI1977" s="175">
        <v>4</v>
      </c>
      <c r="AJ1977" s="175">
        <v>27</v>
      </c>
      <c r="AK1977" s="175">
        <v>21</v>
      </c>
      <c r="AL1977" s="175">
        <v>19</v>
      </c>
      <c r="AM1977" s="175">
        <v>5</v>
      </c>
      <c r="AN1977" s="175">
        <v>0</v>
      </c>
      <c r="AO1977" s="175">
        <v>76</v>
      </c>
      <c r="AP1977" s="175">
        <v>62</v>
      </c>
      <c r="AQ1977" s="175">
        <v>7</v>
      </c>
      <c r="AR1977" s="175">
        <v>11</v>
      </c>
      <c r="AS1977" s="175">
        <v>18</v>
      </c>
      <c r="AT1977" s="175">
        <v>3</v>
      </c>
    </row>
    <row r="1978" spans="1:46">
      <c r="A1978">
        <v>45553</v>
      </c>
      <c r="B1978" t="s">
        <v>11715</v>
      </c>
      <c r="C1978" t="s">
        <v>11716</v>
      </c>
      <c r="E1978" t="s">
        <v>11717</v>
      </c>
      <c r="F1978" t="s">
        <v>2504</v>
      </c>
      <c r="G1978" t="s">
        <v>2505</v>
      </c>
      <c r="H1978" t="s">
        <v>449</v>
      </c>
      <c r="I1978" t="s">
        <v>5017</v>
      </c>
      <c r="J1978" t="s">
        <v>605</v>
      </c>
      <c r="K1978" t="s">
        <v>606</v>
      </c>
      <c r="M1978" t="s">
        <v>2366</v>
      </c>
      <c r="N1978" t="s">
        <v>625</v>
      </c>
      <c r="O1978" t="s">
        <v>2506</v>
      </c>
      <c r="P1978" t="s">
        <v>739</v>
      </c>
      <c r="Q1978" t="s">
        <v>516</v>
      </c>
      <c r="R1978" t="s">
        <v>2368</v>
      </c>
      <c r="S1978" t="s">
        <v>2507</v>
      </c>
      <c r="T1978" t="s">
        <v>2165</v>
      </c>
      <c r="U1978">
        <v>247300</v>
      </c>
      <c r="V1978" t="s">
        <v>11718</v>
      </c>
      <c r="W1978" t="s">
        <v>2509</v>
      </c>
      <c r="X1978" t="s">
        <v>11719</v>
      </c>
      <c r="Y1978" t="s">
        <v>11720</v>
      </c>
      <c r="Z1978" t="s">
        <v>2504</v>
      </c>
      <c r="AA1978" t="s">
        <v>11721</v>
      </c>
      <c r="AB1978" t="s">
        <v>11722</v>
      </c>
      <c r="AC1978">
        <v>99090</v>
      </c>
      <c r="AD1978" t="s">
        <v>2514</v>
      </c>
      <c r="AE1978">
        <v>-41.259499499999997</v>
      </c>
      <c r="AF1978">
        <v>174.95304795999999</v>
      </c>
      <c r="AG1978" s="175">
        <v>80</v>
      </c>
      <c r="AH1978" s="175">
        <v>14</v>
      </c>
      <c r="AI1978" s="175">
        <v>1</v>
      </c>
      <c r="AJ1978" s="175">
        <v>9</v>
      </c>
      <c r="AK1978" s="175">
        <v>16</v>
      </c>
      <c r="AL1978" s="175">
        <v>16</v>
      </c>
      <c r="AM1978" s="175">
        <v>15</v>
      </c>
      <c r="AN1978" s="175">
        <v>2</v>
      </c>
      <c r="AO1978" s="175">
        <v>59</v>
      </c>
      <c r="AP1978" s="175">
        <v>11</v>
      </c>
      <c r="AQ1978" s="175">
        <v>54</v>
      </c>
      <c r="AR1978" s="175">
        <v>12</v>
      </c>
      <c r="AS1978" s="175">
        <v>4</v>
      </c>
      <c r="AT1978" s="175">
        <v>1</v>
      </c>
    </row>
    <row r="1979" spans="1:46">
      <c r="A1979">
        <v>45555</v>
      </c>
      <c r="B1979" t="s">
        <v>11723</v>
      </c>
      <c r="C1979" t="s">
        <v>11724</v>
      </c>
      <c r="D1979" t="s">
        <v>11725</v>
      </c>
      <c r="E1979" t="s">
        <v>11726</v>
      </c>
      <c r="F1979" t="s">
        <v>11727</v>
      </c>
      <c r="G1979" t="s">
        <v>1553</v>
      </c>
      <c r="H1979" t="s">
        <v>449</v>
      </c>
      <c r="I1979" t="s">
        <v>5017</v>
      </c>
      <c r="J1979" t="s">
        <v>605</v>
      </c>
      <c r="K1979" t="s">
        <v>606</v>
      </c>
      <c r="M1979" t="s">
        <v>1382</v>
      </c>
      <c r="N1979" t="s">
        <v>625</v>
      </c>
      <c r="O1979" t="s">
        <v>1554</v>
      </c>
      <c r="P1979" t="s">
        <v>658</v>
      </c>
      <c r="Q1979" t="s">
        <v>511</v>
      </c>
      <c r="R1979" t="s">
        <v>1555</v>
      </c>
      <c r="S1979" t="s">
        <v>1556</v>
      </c>
      <c r="T1979" t="s">
        <v>1557</v>
      </c>
      <c r="U1979">
        <v>202300</v>
      </c>
      <c r="V1979" t="s">
        <v>9846</v>
      </c>
      <c r="W1979" t="s">
        <v>1597</v>
      </c>
      <c r="X1979" t="s">
        <v>11728</v>
      </c>
      <c r="Y1979" t="s">
        <v>11729</v>
      </c>
      <c r="AA1979" t="s">
        <v>11730</v>
      </c>
      <c r="AB1979" t="s">
        <v>11724</v>
      </c>
      <c r="AC1979">
        <v>99016</v>
      </c>
      <c r="AD1979" t="s">
        <v>1562</v>
      </c>
      <c r="AE1979">
        <v>-37.94466182</v>
      </c>
      <c r="AF1979">
        <v>176.93396300000001</v>
      </c>
      <c r="AG1979" s="175">
        <v>78</v>
      </c>
      <c r="AH1979" s="175">
        <v>24</v>
      </c>
      <c r="AI1979" s="175">
        <v>4</v>
      </c>
      <c r="AJ1979" s="175">
        <v>8</v>
      </c>
      <c r="AK1979" s="175">
        <v>18</v>
      </c>
      <c r="AL1979" s="175">
        <v>11</v>
      </c>
      <c r="AM1979" s="175">
        <v>18</v>
      </c>
      <c r="AN1979" s="175">
        <v>2</v>
      </c>
      <c r="AO1979" s="175">
        <v>61</v>
      </c>
      <c r="AP1979" s="175">
        <v>13</v>
      </c>
      <c r="AQ1979" s="175">
        <v>58</v>
      </c>
      <c r="AR1979" s="175">
        <v>7</v>
      </c>
      <c r="AS1979" s="175">
        <v>0</v>
      </c>
      <c r="AT1979" s="175">
        <v>0</v>
      </c>
    </row>
    <row r="1980" spans="1:46">
      <c r="A1980">
        <v>45557</v>
      </c>
      <c r="B1980" t="s">
        <v>11731</v>
      </c>
      <c r="C1980" t="s">
        <v>11732</v>
      </c>
      <c r="D1980" t="s">
        <v>11733</v>
      </c>
      <c r="E1980" t="s">
        <v>11734</v>
      </c>
      <c r="G1980" t="s">
        <v>2930</v>
      </c>
      <c r="H1980" t="s">
        <v>452</v>
      </c>
      <c r="I1980" t="s">
        <v>5017</v>
      </c>
      <c r="J1980" t="s">
        <v>605</v>
      </c>
      <c r="K1980" t="s">
        <v>606</v>
      </c>
      <c r="M1980" t="s">
        <v>2366</v>
      </c>
      <c r="N1980" t="s">
        <v>643</v>
      </c>
      <c r="O1980" t="s">
        <v>2931</v>
      </c>
      <c r="P1980" t="s">
        <v>670</v>
      </c>
      <c r="Q1980" t="s">
        <v>518</v>
      </c>
      <c r="R1980" t="s">
        <v>2901</v>
      </c>
      <c r="S1980" t="s">
        <v>2930</v>
      </c>
      <c r="T1980" t="s">
        <v>2526</v>
      </c>
      <c r="U1980">
        <v>303901</v>
      </c>
      <c r="V1980" t="s">
        <v>11735</v>
      </c>
      <c r="W1980" t="s">
        <v>2114</v>
      </c>
      <c r="X1980" t="s">
        <v>2934</v>
      </c>
      <c r="Y1980" t="s">
        <v>2935</v>
      </c>
      <c r="Z1980" t="s">
        <v>2930</v>
      </c>
      <c r="AA1980" t="s">
        <v>2936</v>
      </c>
      <c r="AB1980" t="s">
        <v>2937</v>
      </c>
      <c r="AC1980">
        <v>99005</v>
      </c>
      <c r="AD1980" t="s">
        <v>2953</v>
      </c>
      <c r="AE1980">
        <v>-41.268354170000002</v>
      </c>
      <c r="AF1980">
        <v>173.27792948999999</v>
      </c>
      <c r="AG1980" s="175">
        <v>50</v>
      </c>
      <c r="AH1980" s="175">
        <v>15</v>
      </c>
      <c r="AI1980" s="175">
        <v>1</v>
      </c>
      <c r="AJ1980" s="175">
        <v>13</v>
      </c>
      <c r="AK1980" s="175">
        <v>13</v>
      </c>
      <c r="AL1980" s="175">
        <v>12</v>
      </c>
      <c r="AM1980" s="175">
        <v>13</v>
      </c>
      <c r="AN1980" s="175">
        <v>0</v>
      </c>
      <c r="AO1980" s="175">
        <v>52</v>
      </c>
      <c r="AP1980" s="175">
        <v>38</v>
      </c>
      <c r="AQ1980" s="175">
        <v>26</v>
      </c>
      <c r="AR1980" s="175">
        <v>6</v>
      </c>
      <c r="AS1980" s="175">
        <v>2</v>
      </c>
      <c r="AT1980" s="175">
        <v>0</v>
      </c>
    </row>
    <row r="1981" spans="1:46">
      <c r="A1981">
        <v>45558</v>
      </c>
      <c r="B1981" t="s">
        <v>11736</v>
      </c>
      <c r="C1981" t="s">
        <v>11737</v>
      </c>
      <c r="E1981" t="s">
        <v>11738</v>
      </c>
      <c r="F1981" t="s">
        <v>2177</v>
      </c>
      <c r="G1981" t="s">
        <v>2162</v>
      </c>
      <c r="H1981" t="s">
        <v>451</v>
      </c>
      <c r="I1981" t="s">
        <v>4102</v>
      </c>
      <c r="J1981" t="s">
        <v>605</v>
      </c>
      <c r="K1981" t="s">
        <v>606</v>
      </c>
      <c r="M1981" t="s">
        <v>1382</v>
      </c>
      <c r="N1981" t="s">
        <v>812</v>
      </c>
      <c r="O1981" t="s">
        <v>2163</v>
      </c>
      <c r="P1981" t="s">
        <v>670</v>
      </c>
      <c r="Q1981" t="s">
        <v>512</v>
      </c>
      <c r="R1981" t="s">
        <v>2164</v>
      </c>
      <c r="S1981" t="s">
        <v>1556</v>
      </c>
      <c r="T1981" t="s">
        <v>2165</v>
      </c>
      <c r="U1981">
        <v>205500</v>
      </c>
      <c r="V1981" t="s">
        <v>11739</v>
      </c>
      <c r="W1981" t="s">
        <v>2167</v>
      </c>
      <c r="X1981" t="s">
        <v>11740</v>
      </c>
      <c r="Y1981" t="s">
        <v>11741</v>
      </c>
      <c r="AA1981" t="s">
        <v>10927</v>
      </c>
      <c r="AB1981" t="s">
        <v>11742</v>
      </c>
      <c r="AE1981">
        <v>-38.638595729999999</v>
      </c>
      <c r="AF1981">
        <v>178.00291077</v>
      </c>
      <c r="AG1981" s="175">
        <v>11</v>
      </c>
      <c r="AH1981" s="175">
        <v>5</v>
      </c>
      <c r="AI1981" s="175"/>
      <c r="AJ1981" s="175"/>
      <c r="AK1981" s="175"/>
      <c r="AL1981" s="175"/>
      <c r="AM1981" s="175"/>
      <c r="AN1981" s="175"/>
      <c r="AO1981" s="175"/>
      <c r="AP1981" s="175"/>
      <c r="AQ1981" s="175"/>
      <c r="AR1981" s="175"/>
      <c r="AS1981" s="175"/>
    </row>
    <row r="1982" spans="1:46">
      <c r="A1982">
        <v>45559</v>
      </c>
      <c r="B1982" t="s">
        <v>11743</v>
      </c>
      <c r="C1982" t="s">
        <v>11744</v>
      </c>
      <c r="E1982" t="s">
        <v>11745</v>
      </c>
      <c r="F1982" t="s">
        <v>4060</v>
      </c>
      <c r="G1982" t="s">
        <v>737</v>
      </c>
      <c r="H1982" t="s">
        <v>450</v>
      </c>
      <c r="J1982" t="s">
        <v>4032</v>
      </c>
      <c r="K1982" t="s">
        <v>606</v>
      </c>
      <c r="M1982" t="s">
        <v>607</v>
      </c>
      <c r="N1982" t="s">
        <v>657</v>
      </c>
      <c r="O1982" t="s">
        <v>813</v>
      </c>
      <c r="P1982" t="s">
        <v>739</v>
      </c>
      <c r="Q1982" t="s">
        <v>467</v>
      </c>
      <c r="R1982" t="s">
        <v>814</v>
      </c>
      <c r="S1982" t="s">
        <v>863</v>
      </c>
      <c r="T1982" t="s">
        <v>794</v>
      </c>
      <c r="U1982">
        <v>156000</v>
      </c>
      <c r="V1982" t="s">
        <v>6473</v>
      </c>
      <c r="W1982" t="s">
        <v>817</v>
      </c>
      <c r="X1982" t="s">
        <v>11746</v>
      </c>
      <c r="Y1982" t="s">
        <v>11747</v>
      </c>
      <c r="Z1982" t="s">
        <v>913</v>
      </c>
      <c r="AA1982" t="s">
        <v>6945</v>
      </c>
      <c r="AE1982">
        <v>-36.960516290000001</v>
      </c>
      <c r="AF1982">
        <v>174.89606910000001</v>
      </c>
      <c r="AG1982" s="175">
        <v>60</v>
      </c>
      <c r="AH1982" s="175">
        <v>60</v>
      </c>
      <c r="AI1982" s="175">
        <v>2</v>
      </c>
      <c r="AJ1982" s="175">
        <v>3</v>
      </c>
      <c r="AK1982" s="175">
        <v>4</v>
      </c>
      <c r="AL1982" s="175">
        <v>7</v>
      </c>
      <c r="AM1982" s="175">
        <v>6</v>
      </c>
      <c r="AN1982" s="175">
        <v>0</v>
      </c>
      <c r="AO1982" s="175">
        <v>22</v>
      </c>
      <c r="AP1982" s="175">
        <v>5</v>
      </c>
      <c r="AQ1982" s="175">
        <v>3</v>
      </c>
      <c r="AR1982" s="175">
        <v>11</v>
      </c>
      <c r="AS1982" s="175">
        <v>8</v>
      </c>
      <c r="AT1982" s="175">
        <v>1</v>
      </c>
    </row>
    <row r="1983" spans="1:46">
      <c r="A1983">
        <v>45561</v>
      </c>
      <c r="B1983" t="s">
        <v>11748</v>
      </c>
      <c r="C1983" t="s">
        <v>11749</v>
      </c>
      <c r="E1983" t="s">
        <v>11750</v>
      </c>
      <c r="F1983" t="s">
        <v>766</v>
      </c>
      <c r="G1983" t="s">
        <v>737</v>
      </c>
      <c r="H1983" t="s">
        <v>347</v>
      </c>
      <c r="J1983" t="s">
        <v>605</v>
      </c>
      <c r="K1983" t="s">
        <v>606</v>
      </c>
      <c r="L1983" t="s">
        <v>4273</v>
      </c>
      <c r="M1983" t="s">
        <v>607</v>
      </c>
      <c r="N1983" t="s">
        <v>657</v>
      </c>
      <c r="O1983" t="s">
        <v>1253</v>
      </c>
      <c r="P1983" t="s">
        <v>739</v>
      </c>
      <c r="Q1983" t="s">
        <v>467</v>
      </c>
      <c r="R1983" t="s">
        <v>724</v>
      </c>
      <c r="S1983" t="s">
        <v>740</v>
      </c>
      <c r="T1983" t="s">
        <v>613</v>
      </c>
      <c r="U1983">
        <v>118600</v>
      </c>
      <c r="V1983" t="s">
        <v>4082</v>
      </c>
      <c r="W1983" t="s">
        <v>742</v>
      </c>
      <c r="X1983" t="s">
        <v>6672</v>
      </c>
      <c r="Y1983" t="s">
        <v>4276</v>
      </c>
      <c r="Z1983" t="s">
        <v>4277</v>
      </c>
      <c r="AA1983" t="s">
        <v>4278</v>
      </c>
      <c r="AB1983" t="s">
        <v>6673</v>
      </c>
      <c r="AE1983">
        <v>-36.743516339999999</v>
      </c>
      <c r="AF1983">
        <v>174.7320359</v>
      </c>
      <c r="AG1983" s="175">
        <v>40</v>
      </c>
      <c r="AH1983" s="175">
        <v>10</v>
      </c>
      <c r="AI1983" s="175">
        <v>0</v>
      </c>
      <c r="AJ1983" s="175">
        <v>5</v>
      </c>
      <c r="AK1983" s="175">
        <v>3</v>
      </c>
      <c r="AL1983" s="175">
        <v>8</v>
      </c>
      <c r="AM1983" s="175">
        <v>12</v>
      </c>
      <c r="AN1983" s="175">
        <v>0</v>
      </c>
      <c r="AO1983" s="175">
        <v>28</v>
      </c>
      <c r="AP1983" s="175">
        <v>0</v>
      </c>
      <c r="AQ1983" s="175">
        <v>27</v>
      </c>
      <c r="AR1983" s="175">
        <v>1</v>
      </c>
      <c r="AS1983" s="175">
        <v>0</v>
      </c>
      <c r="AT1983" s="175">
        <v>0</v>
      </c>
    </row>
    <row r="1984" spans="1:46">
      <c r="A1984">
        <v>45562</v>
      </c>
      <c r="B1984" t="s">
        <v>11751</v>
      </c>
      <c r="C1984" t="s">
        <v>11752</v>
      </c>
      <c r="D1984" t="s">
        <v>11753</v>
      </c>
      <c r="E1984" t="s">
        <v>11754</v>
      </c>
      <c r="G1984" t="s">
        <v>1544</v>
      </c>
      <c r="H1984" t="s">
        <v>449</v>
      </c>
      <c r="J1984" t="s">
        <v>4032</v>
      </c>
      <c r="K1984" t="s">
        <v>606</v>
      </c>
      <c r="M1984" t="s">
        <v>1382</v>
      </c>
      <c r="N1984" t="s">
        <v>657</v>
      </c>
      <c r="O1984" t="s">
        <v>1545</v>
      </c>
      <c r="P1984" t="s">
        <v>610</v>
      </c>
      <c r="Q1984" t="s">
        <v>510</v>
      </c>
      <c r="R1984" t="s">
        <v>1384</v>
      </c>
      <c r="S1984" t="s">
        <v>1522</v>
      </c>
      <c r="T1984" t="s">
        <v>1320</v>
      </c>
      <c r="U1984">
        <v>168001</v>
      </c>
      <c r="V1984" t="s">
        <v>9517</v>
      </c>
      <c r="W1984" t="s">
        <v>1547</v>
      </c>
      <c r="X1984" t="s">
        <v>11755</v>
      </c>
      <c r="Y1984" t="s">
        <v>11754</v>
      </c>
      <c r="AA1984" t="s">
        <v>11756</v>
      </c>
      <c r="AB1984" t="s">
        <v>11757</v>
      </c>
      <c r="AE1984">
        <v>-37.161548539999998</v>
      </c>
      <c r="AF1984">
        <v>175.55530178000001</v>
      </c>
      <c r="AG1984" s="175">
        <v>42</v>
      </c>
      <c r="AH1984" s="175">
        <v>12</v>
      </c>
      <c r="AI1984" s="175">
        <v>2</v>
      </c>
      <c r="AJ1984" s="175">
        <v>4</v>
      </c>
      <c r="AK1984" s="175">
        <v>12</v>
      </c>
      <c r="AL1984" s="175">
        <v>9</v>
      </c>
      <c r="AM1984" s="175">
        <v>14</v>
      </c>
      <c r="AN1984" s="175">
        <v>0</v>
      </c>
      <c r="AO1984" s="175">
        <v>41</v>
      </c>
      <c r="AP1984" s="175">
        <v>36</v>
      </c>
      <c r="AQ1984" s="175">
        <v>7</v>
      </c>
      <c r="AR1984" s="175">
        <v>1</v>
      </c>
      <c r="AS1984" s="175">
        <v>4</v>
      </c>
      <c r="AT1984" s="175">
        <v>1</v>
      </c>
    </row>
    <row r="1985" spans="1:46">
      <c r="A1985">
        <v>45565</v>
      </c>
      <c r="B1985" t="s">
        <v>11758</v>
      </c>
      <c r="C1985" t="s">
        <v>11759</v>
      </c>
      <c r="D1985" t="s">
        <v>11760</v>
      </c>
      <c r="E1985" t="s">
        <v>11761</v>
      </c>
      <c r="F1985" t="s">
        <v>3246</v>
      </c>
      <c r="G1985" t="s">
        <v>3015</v>
      </c>
      <c r="H1985" t="s">
        <v>449</v>
      </c>
      <c r="J1985" t="s">
        <v>4032</v>
      </c>
      <c r="K1985" t="s">
        <v>606</v>
      </c>
      <c r="M1985" t="s">
        <v>2366</v>
      </c>
      <c r="N1985" t="s">
        <v>657</v>
      </c>
      <c r="O1985" t="s">
        <v>3016</v>
      </c>
      <c r="P1985" t="s">
        <v>739</v>
      </c>
      <c r="Q1985" t="s">
        <v>521</v>
      </c>
      <c r="R1985" t="s">
        <v>3017</v>
      </c>
      <c r="S1985" t="s">
        <v>3030</v>
      </c>
      <c r="T1985" t="s">
        <v>2526</v>
      </c>
      <c r="U1985">
        <v>322100</v>
      </c>
      <c r="V1985" t="s">
        <v>3225</v>
      </c>
      <c r="W1985" t="s">
        <v>3171</v>
      </c>
      <c r="X1985" t="s">
        <v>11762</v>
      </c>
      <c r="Y1985" t="s">
        <v>11761</v>
      </c>
      <c r="Z1985" t="s">
        <v>11763</v>
      </c>
      <c r="AA1985" t="s">
        <v>11764</v>
      </c>
      <c r="AB1985" t="s">
        <v>11765</v>
      </c>
      <c r="AE1985">
        <v>-43.500159600000003</v>
      </c>
      <c r="AF1985">
        <v>172.62960973</v>
      </c>
      <c r="AG1985" s="175">
        <v>57</v>
      </c>
      <c r="AH1985" s="175">
        <v>14</v>
      </c>
      <c r="AI1985" s="175">
        <v>4</v>
      </c>
      <c r="AJ1985" s="175">
        <v>9</v>
      </c>
      <c r="AK1985" s="175">
        <v>24</v>
      </c>
      <c r="AL1985" s="175">
        <v>16</v>
      </c>
      <c r="AM1985" s="175">
        <v>22</v>
      </c>
      <c r="AN1985" s="175">
        <v>0</v>
      </c>
      <c r="AO1985" s="175">
        <v>75</v>
      </c>
      <c r="AP1985" s="175">
        <v>70</v>
      </c>
      <c r="AQ1985" s="175">
        <v>5</v>
      </c>
      <c r="AR1985" s="175">
        <v>2</v>
      </c>
      <c r="AS1985" s="175">
        <v>7</v>
      </c>
      <c r="AT1985" s="175">
        <v>2</v>
      </c>
    </row>
    <row r="1986" spans="1:46">
      <c r="A1986">
        <v>45566</v>
      </c>
      <c r="B1986" t="s">
        <v>11766</v>
      </c>
      <c r="C1986" t="s">
        <v>11767</v>
      </c>
      <c r="D1986" t="s">
        <v>11768</v>
      </c>
      <c r="E1986" t="s">
        <v>11769</v>
      </c>
      <c r="F1986" t="s">
        <v>11770</v>
      </c>
      <c r="G1986" t="s">
        <v>3015</v>
      </c>
      <c r="H1986" t="s">
        <v>449</v>
      </c>
      <c r="J1986" t="s">
        <v>4032</v>
      </c>
      <c r="K1986" t="s">
        <v>606</v>
      </c>
      <c r="M1986" t="s">
        <v>2366</v>
      </c>
      <c r="N1986" t="s">
        <v>657</v>
      </c>
      <c r="O1986" t="s">
        <v>3016</v>
      </c>
      <c r="P1986" t="s">
        <v>739</v>
      </c>
      <c r="Q1986" t="s">
        <v>521</v>
      </c>
      <c r="R1986" t="s">
        <v>3017</v>
      </c>
      <c r="S1986" t="s">
        <v>3030</v>
      </c>
      <c r="T1986" t="s">
        <v>2526</v>
      </c>
      <c r="U1986">
        <v>329400</v>
      </c>
      <c r="V1986" t="s">
        <v>3086</v>
      </c>
      <c r="W1986" t="s">
        <v>3087</v>
      </c>
      <c r="X1986" t="s">
        <v>11771</v>
      </c>
      <c r="Y1986" t="s">
        <v>11772</v>
      </c>
      <c r="Z1986" t="s">
        <v>11773</v>
      </c>
      <c r="AA1986" t="s">
        <v>11705</v>
      </c>
      <c r="AB1986" t="s">
        <v>11774</v>
      </c>
      <c r="AC1986">
        <v>99177</v>
      </c>
      <c r="AD1986" t="s">
        <v>3032</v>
      </c>
      <c r="AE1986">
        <v>-43.55346248</v>
      </c>
      <c r="AF1986">
        <v>172.64755847000001</v>
      </c>
      <c r="AG1986" s="175">
        <v>30</v>
      </c>
      <c r="AH1986" s="175">
        <v>10</v>
      </c>
      <c r="AI1986" s="175">
        <v>0</v>
      </c>
      <c r="AJ1986" s="175">
        <v>2</v>
      </c>
      <c r="AK1986" s="175">
        <v>11</v>
      </c>
      <c r="AL1986" s="175">
        <v>11</v>
      </c>
      <c r="AM1986" s="175">
        <v>8</v>
      </c>
      <c r="AN1986" s="175">
        <v>1</v>
      </c>
      <c r="AO1986" s="175">
        <v>33</v>
      </c>
      <c r="AP1986" s="175">
        <v>12</v>
      </c>
      <c r="AQ1986" s="175">
        <v>3</v>
      </c>
      <c r="AR1986" s="175">
        <v>0</v>
      </c>
      <c r="AS1986" s="175">
        <v>21</v>
      </c>
      <c r="AT1986" s="175">
        <v>0</v>
      </c>
    </row>
    <row r="1987" spans="1:46">
      <c r="A1987">
        <v>45567</v>
      </c>
      <c r="B1987" t="s">
        <v>11775</v>
      </c>
      <c r="C1987" t="s">
        <v>11776</v>
      </c>
      <c r="E1987" t="s">
        <v>11777</v>
      </c>
      <c r="F1987" t="s">
        <v>943</v>
      </c>
      <c r="G1987" t="s">
        <v>737</v>
      </c>
      <c r="H1987" t="s">
        <v>449</v>
      </c>
      <c r="J1987" t="s">
        <v>4032</v>
      </c>
      <c r="K1987" t="s">
        <v>606</v>
      </c>
      <c r="M1987" t="s">
        <v>607</v>
      </c>
      <c r="N1987" t="s">
        <v>657</v>
      </c>
      <c r="O1987" t="s">
        <v>942</v>
      </c>
      <c r="P1987" t="s">
        <v>739</v>
      </c>
      <c r="Q1987" t="s">
        <v>467</v>
      </c>
      <c r="R1987" t="s">
        <v>793</v>
      </c>
      <c r="S1987" t="s">
        <v>943</v>
      </c>
      <c r="T1987" t="s">
        <v>794</v>
      </c>
      <c r="U1987">
        <v>135800</v>
      </c>
      <c r="V1987" t="s">
        <v>8121</v>
      </c>
      <c r="W1987" t="s">
        <v>945</v>
      </c>
      <c r="X1987" t="s">
        <v>11778</v>
      </c>
      <c r="Y1987" t="s">
        <v>4725</v>
      </c>
      <c r="Z1987" t="s">
        <v>1043</v>
      </c>
      <c r="AA1987" t="s">
        <v>4726</v>
      </c>
      <c r="AB1987" t="s">
        <v>11779</v>
      </c>
      <c r="AE1987">
        <v>-36.87945714</v>
      </c>
      <c r="AF1987">
        <v>174.73390979000001</v>
      </c>
      <c r="AG1987" s="175">
        <v>80</v>
      </c>
      <c r="AH1987" s="175">
        <v>20</v>
      </c>
      <c r="AI1987" s="175">
        <v>2</v>
      </c>
      <c r="AJ1987" s="175">
        <v>12</v>
      </c>
      <c r="AK1987" s="175">
        <v>11</v>
      </c>
      <c r="AL1987" s="175">
        <v>13</v>
      </c>
      <c r="AM1987" s="175">
        <v>12</v>
      </c>
      <c r="AN1987" s="175">
        <v>1</v>
      </c>
      <c r="AO1987" s="175">
        <v>51</v>
      </c>
      <c r="AP1987" s="175">
        <v>18</v>
      </c>
      <c r="AQ1987" s="175">
        <v>6</v>
      </c>
      <c r="AR1987" s="175">
        <v>4</v>
      </c>
      <c r="AS1987" s="175">
        <v>27</v>
      </c>
      <c r="AT1987" s="175">
        <v>5</v>
      </c>
    </row>
    <row r="1988" spans="1:46">
      <c r="A1988">
        <v>45568</v>
      </c>
      <c r="B1988" t="s">
        <v>11780</v>
      </c>
      <c r="C1988" t="s">
        <v>11781</v>
      </c>
      <c r="D1988" t="s">
        <v>11782</v>
      </c>
      <c r="E1988" t="s">
        <v>11783</v>
      </c>
      <c r="F1988" t="s">
        <v>802</v>
      </c>
      <c r="G1988" t="s">
        <v>737</v>
      </c>
      <c r="H1988" t="s">
        <v>449</v>
      </c>
      <c r="J1988" t="s">
        <v>4032</v>
      </c>
      <c r="K1988" t="s">
        <v>606</v>
      </c>
      <c r="M1988" t="s">
        <v>607</v>
      </c>
      <c r="N1988" t="s">
        <v>657</v>
      </c>
      <c r="O1988" t="s">
        <v>803</v>
      </c>
      <c r="P1988" t="s">
        <v>739</v>
      </c>
      <c r="Q1988" t="s">
        <v>467</v>
      </c>
      <c r="R1988" t="s">
        <v>793</v>
      </c>
      <c r="S1988" t="s">
        <v>804</v>
      </c>
      <c r="T1988" t="s">
        <v>794</v>
      </c>
      <c r="U1988">
        <v>128700</v>
      </c>
      <c r="V1988" t="s">
        <v>11784</v>
      </c>
      <c r="W1988" t="s">
        <v>806</v>
      </c>
      <c r="X1988" t="s">
        <v>11785</v>
      </c>
      <c r="Y1988" t="s">
        <v>11786</v>
      </c>
      <c r="Z1988" t="s">
        <v>11787</v>
      </c>
      <c r="AA1988" t="s">
        <v>11788</v>
      </c>
      <c r="AE1988">
        <v>-36.882482250000002</v>
      </c>
      <c r="AF1988">
        <v>174.67946019999999</v>
      </c>
      <c r="AG1988" s="175">
        <v>100</v>
      </c>
      <c r="AH1988" s="175">
        <v>36</v>
      </c>
      <c r="AI1988" s="175">
        <v>10</v>
      </c>
      <c r="AJ1988" s="175">
        <v>20</v>
      </c>
      <c r="AK1988" s="175">
        <v>34</v>
      </c>
      <c r="AL1988" s="175">
        <v>27</v>
      </c>
      <c r="AM1988" s="175">
        <v>14</v>
      </c>
      <c r="AN1988" s="175">
        <v>0</v>
      </c>
      <c r="AO1988" s="175">
        <v>105</v>
      </c>
      <c r="AP1988" s="175">
        <v>72</v>
      </c>
      <c r="AQ1988" s="175">
        <v>20</v>
      </c>
      <c r="AR1988" s="175">
        <v>21</v>
      </c>
      <c r="AS1988" s="175">
        <v>28</v>
      </c>
      <c r="AT1988" s="175">
        <v>6</v>
      </c>
    </row>
    <row r="1989" spans="1:46">
      <c r="A1989">
        <v>45570</v>
      </c>
      <c r="B1989" t="s">
        <v>11789</v>
      </c>
      <c r="C1989" t="s">
        <v>11790</v>
      </c>
      <c r="E1989" t="s">
        <v>11791</v>
      </c>
      <c r="G1989" t="s">
        <v>636</v>
      </c>
      <c r="H1989" t="s">
        <v>449</v>
      </c>
      <c r="J1989" t="s">
        <v>4032</v>
      </c>
      <c r="K1989" t="s">
        <v>606</v>
      </c>
      <c r="M1989" t="s">
        <v>607</v>
      </c>
      <c r="N1989" t="s">
        <v>812</v>
      </c>
      <c r="O1989" t="s">
        <v>609</v>
      </c>
      <c r="P1989" t="s">
        <v>610</v>
      </c>
      <c r="Q1989" t="s">
        <v>509</v>
      </c>
      <c r="R1989" t="s">
        <v>611</v>
      </c>
      <c r="S1989" t="s">
        <v>612</v>
      </c>
      <c r="T1989" t="s">
        <v>613</v>
      </c>
      <c r="U1989">
        <v>103501</v>
      </c>
      <c r="V1989" t="s">
        <v>636</v>
      </c>
      <c r="W1989" t="s">
        <v>637</v>
      </c>
      <c r="X1989" t="s">
        <v>11792</v>
      </c>
      <c r="Y1989" t="s">
        <v>8136</v>
      </c>
      <c r="Z1989" t="s">
        <v>5531</v>
      </c>
      <c r="AA1989" t="s">
        <v>11793</v>
      </c>
      <c r="AB1989" t="s">
        <v>11794</v>
      </c>
      <c r="AC1989">
        <v>99060</v>
      </c>
      <c r="AD1989" t="s">
        <v>638</v>
      </c>
      <c r="AE1989">
        <v>-35.399679210000002</v>
      </c>
      <c r="AF1989">
        <v>173.80925694999999</v>
      </c>
      <c r="AG1989" s="175">
        <v>35</v>
      </c>
      <c r="AH1989" s="175">
        <v>12</v>
      </c>
      <c r="AI1989" s="175">
        <v>0</v>
      </c>
      <c r="AJ1989" s="175">
        <v>3</v>
      </c>
      <c r="AK1989" s="175">
        <v>8</v>
      </c>
      <c r="AL1989" s="175">
        <v>9</v>
      </c>
      <c r="AM1989" s="175">
        <v>2</v>
      </c>
      <c r="AN1989" s="175">
        <v>1</v>
      </c>
      <c r="AO1989" s="175">
        <v>23</v>
      </c>
      <c r="AP1989" s="175">
        <v>0</v>
      </c>
      <c r="AQ1989" s="175">
        <v>22</v>
      </c>
      <c r="AR1989" s="175">
        <v>5</v>
      </c>
      <c r="AS1989" s="175">
        <v>0</v>
      </c>
      <c r="AT1989" s="175">
        <v>0</v>
      </c>
    </row>
    <row r="1990" spans="1:46">
      <c r="A1990">
        <v>45574</v>
      </c>
      <c r="B1990" t="s">
        <v>11795</v>
      </c>
      <c r="C1990" t="s">
        <v>11796</v>
      </c>
      <c r="E1990" t="s">
        <v>11797</v>
      </c>
      <c r="F1990" t="s">
        <v>1120</v>
      </c>
      <c r="G1990" t="s">
        <v>737</v>
      </c>
      <c r="H1990" t="s">
        <v>449</v>
      </c>
      <c r="J1990" t="s">
        <v>4032</v>
      </c>
      <c r="K1990" t="s">
        <v>606</v>
      </c>
      <c r="M1990" t="s">
        <v>607</v>
      </c>
      <c r="N1990" t="s">
        <v>625</v>
      </c>
      <c r="O1990" t="s">
        <v>813</v>
      </c>
      <c r="P1990" t="s">
        <v>739</v>
      </c>
      <c r="Q1990" t="s">
        <v>467</v>
      </c>
      <c r="R1990" t="s">
        <v>814</v>
      </c>
      <c r="S1990" t="s">
        <v>1121</v>
      </c>
      <c r="T1990" t="s">
        <v>794</v>
      </c>
      <c r="U1990">
        <v>154802</v>
      </c>
      <c r="V1990" t="s">
        <v>4414</v>
      </c>
      <c r="W1990" t="s">
        <v>817</v>
      </c>
      <c r="X1990" t="s">
        <v>11798</v>
      </c>
      <c r="Y1990" t="s">
        <v>11799</v>
      </c>
      <c r="Z1990" t="s">
        <v>940</v>
      </c>
      <c r="AA1990" t="s">
        <v>4942</v>
      </c>
      <c r="AB1990" t="s">
        <v>11800</v>
      </c>
      <c r="AE1990">
        <v>-36.982646709999997</v>
      </c>
      <c r="AF1990">
        <v>174.85151639</v>
      </c>
      <c r="AG1990" s="175">
        <v>73</v>
      </c>
      <c r="AH1990" s="175">
        <v>13</v>
      </c>
      <c r="AI1990" s="175">
        <v>0</v>
      </c>
      <c r="AJ1990" s="175">
        <v>8</v>
      </c>
      <c r="AK1990" s="175">
        <v>15</v>
      </c>
      <c r="AL1990" s="175">
        <v>21</v>
      </c>
      <c r="AM1990" s="175">
        <v>12</v>
      </c>
      <c r="AN1990" s="175">
        <v>1</v>
      </c>
      <c r="AO1990" s="175">
        <v>57</v>
      </c>
      <c r="AP1990" s="175">
        <v>17</v>
      </c>
      <c r="AQ1990" s="175">
        <v>21</v>
      </c>
      <c r="AR1990" s="175">
        <v>23</v>
      </c>
      <c r="AS1990" s="175">
        <v>25</v>
      </c>
      <c r="AT1990" s="175">
        <v>4</v>
      </c>
    </row>
    <row r="1991" spans="1:46">
      <c r="A1991">
        <v>45577</v>
      </c>
      <c r="B1991" t="s">
        <v>11801</v>
      </c>
      <c r="C1991" t="s">
        <v>11802</v>
      </c>
      <c r="D1991" t="s">
        <v>11803</v>
      </c>
      <c r="E1991" t="s">
        <v>11804</v>
      </c>
      <c r="F1991" t="s">
        <v>855</v>
      </c>
      <c r="G1991" t="s">
        <v>1152</v>
      </c>
      <c r="H1991" t="s">
        <v>449</v>
      </c>
      <c r="J1991" t="s">
        <v>4032</v>
      </c>
      <c r="K1991" t="s">
        <v>606</v>
      </c>
      <c r="M1991" t="s">
        <v>607</v>
      </c>
      <c r="N1991" t="s">
        <v>657</v>
      </c>
      <c r="O1991" t="s">
        <v>803</v>
      </c>
      <c r="P1991" t="s">
        <v>739</v>
      </c>
      <c r="Q1991" t="s">
        <v>467</v>
      </c>
      <c r="R1991" t="s">
        <v>724</v>
      </c>
      <c r="S1991" t="s">
        <v>804</v>
      </c>
      <c r="T1991" t="s">
        <v>794</v>
      </c>
      <c r="U1991">
        <v>132600</v>
      </c>
      <c r="V1991" t="s">
        <v>11805</v>
      </c>
      <c r="W1991" t="s">
        <v>806</v>
      </c>
      <c r="X1991" t="s">
        <v>11806</v>
      </c>
      <c r="Y1991" t="s">
        <v>11807</v>
      </c>
      <c r="Z1991" t="s">
        <v>11808</v>
      </c>
      <c r="AA1991" t="s">
        <v>6846</v>
      </c>
      <c r="AB1991" t="s">
        <v>11809</v>
      </c>
      <c r="AE1991">
        <v>-36.910583760000002</v>
      </c>
      <c r="AF1991">
        <v>174.67272951000001</v>
      </c>
      <c r="AG1991" s="175">
        <v>130</v>
      </c>
      <c r="AH1991" s="175">
        <v>25</v>
      </c>
      <c r="AI1991" s="175">
        <v>6</v>
      </c>
      <c r="AJ1991" s="175">
        <v>21</v>
      </c>
      <c r="AK1991" s="175">
        <v>28</v>
      </c>
      <c r="AL1991" s="175">
        <v>30</v>
      </c>
      <c r="AM1991" s="175">
        <v>36</v>
      </c>
      <c r="AN1991" s="175">
        <v>2</v>
      </c>
      <c r="AO1991" s="175">
        <v>123</v>
      </c>
      <c r="AP1991" s="175">
        <v>44</v>
      </c>
      <c r="AQ1991" s="175">
        <v>18</v>
      </c>
      <c r="AR1991" s="175">
        <v>41</v>
      </c>
      <c r="AS1991" s="175">
        <v>48</v>
      </c>
      <c r="AT1991" s="175">
        <v>5</v>
      </c>
    </row>
    <row r="1992" spans="1:46">
      <c r="A1992">
        <v>45578</v>
      </c>
      <c r="B1992" t="s">
        <v>11810</v>
      </c>
      <c r="C1992" t="s">
        <v>11811</v>
      </c>
      <c r="D1992" t="s">
        <v>11812</v>
      </c>
      <c r="E1992" t="s">
        <v>11813</v>
      </c>
      <c r="F1992" t="s">
        <v>3864</v>
      </c>
      <c r="G1992" t="s">
        <v>737</v>
      </c>
      <c r="H1992" t="s">
        <v>449</v>
      </c>
      <c r="I1992" t="s">
        <v>4233</v>
      </c>
      <c r="J1992" t="s">
        <v>605</v>
      </c>
      <c r="K1992" t="s">
        <v>606</v>
      </c>
      <c r="M1992" t="s">
        <v>607</v>
      </c>
      <c r="N1992" t="s">
        <v>608</v>
      </c>
      <c r="O1992" t="s">
        <v>1301</v>
      </c>
      <c r="P1992" t="s">
        <v>739</v>
      </c>
      <c r="Q1992" t="s">
        <v>467</v>
      </c>
      <c r="R1992" t="s">
        <v>814</v>
      </c>
      <c r="S1992" t="s">
        <v>1121</v>
      </c>
      <c r="T1992" t="s">
        <v>794</v>
      </c>
      <c r="U1992">
        <v>158401</v>
      </c>
      <c r="V1992" t="s">
        <v>3865</v>
      </c>
      <c r="W1992" t="s">
        <v>1304</v>
      </c>
      <c r="X1992" t="s">
        <v>11814</v>
      </c>
      <c r="Y1992" t="s">
        <v>11815</v>
      </c>
      <c r="Z1992" t="s">
        <v>4272</v>
      </c>
      <c r="AA1992" t="s">
        <v>11816</v>
      </c>
      <c r="AB1992" t="s">
        <v>11811</v>
      </c>
      <c r="AE1992">
        <v>-36.999543369999998</v>
      </c>
      <c r="AF1992">
        <v>174.88157244000001</v>
      </c>
      <c r="AG1992" s="175">
        <v>50</v>
      </c>
      <c r="AH1992" s="175">
        <v>10</v>
      </c>
      <c r="AI1992" s="175">
        <v>1</v>
      </c>
      <c r="AJ1992" s="175">
        <v>6</v>
      </c>
      <c r="AK1992" s="175">
        <v>9</v>
      </c>
      <c r="AL1992" s="175">
        <v>10</v>
      </c>
      <c r="AM1992" s="175">
        <v>12</v>
      </c>
      <c r="AN1992" s="175">
        <v>2</v>
      </c>
      <c r="AO1992" s="175">
        <v>40</v>
      </c>
      <c r="AP1992" s="175">
        <v>5</v>
      </c>
      <c r="AQ1992" s="175">
        <v>5</v>
      </c>
      <c r="AR1992" s="175">
        <v>40</v>
      </c>
      <c r="AS1992" s="175">
        <v>1</v>
      </c>
      <c r="AT1992" s="175">
        <v>0</v>
      </c>
    </row>
    <row r="1993" spans="1:46">
      <c r="A1993">
        <v>45579</v>
      </c>
      <c r="B1993" t="s">
        <v>11817</v>
      </c>
      <c r="C1993" t="s">
        <v>11818</v>
      </c>
      <c r="D1993" t="s">
        <v>11819</v>
      </c>
      <c r="E1993" t="s">
        <v>11820</v>
      </c>
      <c r="G1993" t="s">
        <v>2295</v>
      </c>
      <c r="H1993" t="s">
        <v>449</v>
      </c>
      <c r="J1993" t="s">
        <v>4032</v>
      </c>
      <c r="K1993" t="s">
        <v>606</v>
      </c>
      <c r="M1993" t="s">
        <v>1382</v>
      </c>
      <c r="N1993" t="s">
        <v>657</v>
      </c>
      <c r="O1993" t="s">
        <v>2277</v>
      </c>
      <c r="P1993" t="s">
        <v>1347</v>
      </c>
      <c r="Q1993" t="s">
        <v>513</v>
      </c>
      <c r="R1993" t="s">
        <v>2164</v>
      </c>
      <c r="S1993" t="s">
        <v>2278</v>
      </c>
      <c r="T1993" t="s">
        <v>2165</v>
      </c>
      <c r="U1993">
        <v>211900</v>
      </c>
      <c r="V1993" t="s">
        <v>11821</v>
      </c>
      <c r="W1993" t="s">
        <v>2279</v>
      </c>
      <c r="X1993" t="s">
        <v>11822</v>
      </c>
      <c r="Y1993" t="s">
        <v>4176</v>
      </c>
      <c r="AA1993" t="s">
        <v>4052</v>
      </c>
      <c r="AB1993" t="s">
        <v>11818</v>
      </c>
      <c r="AE1993">
        <v>-39.6660647</v>
      </c>
      <c r="AF1993">
        <v>176.88872950000001</v>
      </c>
      <c r="AG1993" s="175">
        <v>104</v>
      </c>
      <c r="AH1993" s="175">
        <v>30</v>
      </c>
      <c r="AI1993" s="175">
        <v>4</v>
      </c>
      <c r="AJ1993" s="175">
        <v>14</v>
      </c>
      <c r="AK1993" s="175">
        <v>24</v>
      </c>
      <c r="AL1993" s="175">
        <v>21</v>
      </c>
      <c r="AM1993" s="175">
        <v>26</v>
      </c>
      <c r="AN1993" s="175">
        <v>0</v>
      </c>
      <c r="AO1993" s="175">
        <v>89</v>
      </c>
      <c r="AP1993" s="175">
        <v>73</v>
      </c>
      <c r="AQ1993" s="175">
        <v>14</v>
      </c>
      <c r="AR1993" s="175">
        <v>1</v>
      </c>
      <c r="AS1993" s="175">
        <v>10</v>
      </c>
      <c r="AT1993" s="175">
        <v>3</v>
      </c>
    </row>
    <row r="1994" spans="1:46">
      <c r="A1994">
        <v>45580</v>
      </c>
      <c r="B1994" t="s">
        <v>11823</v>
      </c>
      <c r="C1994" t="s">
        <v>11824</v>
      </c>
      <c r="E1994" t="s">
        <v>11825</v>
      </c>
      <c r="F1994" t="s">
        <v>2134</v>
      </c>
      <c r="G1994" t="s">
        <v>2055</v>
      </c>
      <c r="H1994" t="s">
        <v>449</v>
      </c>
      <c r="J1994" t="s">
        <v>4032</v>
      </c>
      <c r="K1994" t="s">
        <v>606</v>
      </c>
      <c r="M1994" t="s">
        <v>1382</v>
      </c>
      <c r="N1994" t="s">
        <v>657</v>
      </c>
      <c r="O1994" t="s">
        <v>2037</v>
      </c>
      <c r="P1994" t="s">
        <v>670</v>
      </c>
      <c r="Q1994" t="s">
        <v>553</v>
      </c>
      <c r="R1994" t="s">
        <v>1841</v>
      </c>
      <c r="S1994" t="s">
        <v>2055</v>
      </c>
      <c r="T1994" t="s">
        <v>1568</v>
      </c>
      <c r="U1994">
        <v>230100</v>
      </c>
      <c r="V1994" t="s">
        <v>11826</v>
      </c>
      <c r="W1994" t="s">
        <v>2038</v>
      </c>
      <c r="X1994" t="s">
        <v>11827</v>
      </c>
      <c r="Y1994" t="s">
        <v>4176</v>
      </c>
      <c r="AA1994" t="s">
        <v>4052</v>
      </c>
      <c r="AB1994" t="s">
        <v>11824</v>
      </c>
      <c r="AC1994">
        <v>99166</v>
      </c>
      <c r="AD1994" t="s">
        <v>2079</v>
      </c>
      <c r="AE1994">
        <v>-40.36273757</v>
      </c>
      <c r="AF1994">
        <v>175.59590671000001</v>
      </c>
      <c r="AG1994" s="175">
        <v>130</v>
      </c>
      <c r="AH1994" s="175">
        <v>35</v>
      </c>
      <c r="AI1994" s="175">
        <v>5</v>
      </c>
      <c r="AJ1994" s="175">
        <v>17</v>
      </c>
      <c r="AK1994" s="175">
        <v>29</v>
      </c>
      <c r="AL1994" s="175">
        <v>24</v>
      </c>
      <c r="AM1994" s="175">
        <v>31</v>
      </c>
      <c r="AN1994" s="175">
        <v>1</v>
      </c>
      <c r="AO1994" s="175">
        <v>107</v>
      </c>
      <c r="AP1994" s="175">
        <v>87</v>
      </c>
      <c r="AQ1994" s="175">
        <v>27</v>
      </c>
      <c r="AR1994" s="175">
        <v>9</v>
      </c>
      <c r="AS1994" s="175">
        <v>13</v>
      </c>
      <c r="AT1994" s="175">
        <v>4</v>
      </c>
    </row>
    <row r="1995" spans="1:46">
      <c r="A1995">
        <v>45581</v>
      </c>
      <c r="B1995" t="s">
        <v>11828</v>
      </c>
      <c r="C1995" t="s">
        <v>11829</v>
      </c>
      <c r="D1995" t="s">
        <v>11830</v>
      </c>
      <c r="E1995" t="s">
        <v>11831</v>
      </c>
      <c r="G1995" t="s">
        <v>2435</v>
      </c>
      <c r="H1995" t="s">
        <v>449</v>
      </c>
      <c r="J1995" t="s">
        <v>4032</v>
      </c>
      <c r="K1995" t="s">
        <v>606</v>
      </c>
      <c r="M1995" t="s">
        <v>2366</v>
      </c>
      <c r="N1995" t="s">
        <v>657</v>
      </c>
      <c r="O1995" t="s">
        <v>2436</v>
      </c>
      <c r="P1995" t="s">
        <v>610</v>
      </c>
      <c r="Q1995" t="s">
        <v>516</v>
      </c>
      <c r="R1995" t="s">
        <v>2368</v>
      </c>
      <c r="S1995" t="s">
        <v>2348</v>
      </c>
      <c r="T1995" t="s">
        <v>2165</v>
      </c>
      <c r="U1995">
        <v>257100</v>
      </c>
      <c r="V1995" t="s">
        <v>2437</v>
      </c>
      <c r="W1995" t="s">
        <v>1734</v>
      </c>
      <c r="X1995" t="s">
        <v>11832</v>
      </c>
      <c r="Y1995" t="s">
        <v>4176</v>
      </c>
      <c r="AA1995" t="s">
        <v>4052</v>
      </c>
      <c r="AB1995" t="s">
        <v>11833</v>
      </c>
      <c r="AE1995">
        <v>-41.027842540000002</v>
      </c>
      <c r="AF1995">
        <v>175.52506518000001</v>
      </c>
      <c r="AG1995" s="175">
        <v>50</v>
      </c>
      <c r="AH1995" s="175">
        <v>15</v>
      </c>
      <c r="AI1995" s="175">
        <v>4</v>
      </c>
      <c r="AJ1995" s="175">
        <v>13</v>
      </c>
      <c r="AK1995" s="175">
        <v>21</v>
      </c>
      <c r="AL1995" s="175">
        <v>13</v>
      </c>
      <c r="AM1995" s="175">
        <v>10</v>
      </c>
      <c r="AN1995" s="175">
        <v>0</v>
      </c>
      <c r="AO1995" s="175">
        <v>61</v>
      </c>
      <c r="AP1995" s="175">
        <v>54</v>
      </c>
      <c r="AQ1995" s="175">
        <v>23</v>
      </c>
      <c r="AR1995" s="175">
        <v>7</v>
      </c>
      <c r="AS1995" s="175">
        <v>2</v>
      </c>
      <c r="AT1995" s="175">
        <v>3</v>
      </c>
    </row>
    <row r="1996" spans="1:46">
      <c r="A1996">
        <v>45587</v>
      </c>
      <c r="B1996" t="s">
        <v>11834</v>
      </c>
      <c r="C1996" t="s">
        <v>11835</v>
      </c>
      <c r="D1996" t="s">
        <v>11836</v>
      </c>
      <c r="E1996" t="s">
        <v>11837</v>
      </c>
      <c r="F1996" t="s">
        <v>11838</v>
      </c>
      <c r="G1996" t="s">
        <v>2505</v>
      </c>
      <c r="H1996" t="s">
        <v>449</v>
      </c>
      <c r="J1996" t="s">
        <v>4032</v>
      </c>
      <c r="K1996" t="s">
        <v>606</v>
      </c>
      <c r="M1996" t="s">
        <v>2366</v>
      </c>
      <c r="N1996" t="s">
        <v>657</v>
      </c>
      <c r="O1996" t="s">
        <v>2506</v>
      </c>
      <c r="P1996" t="s">
        <v>739</v>
      </c>
      <c r="Q1996" t="s">
        <v>516</v>
      </c>
      <c r="R1996" t="s">
        <v>2368</v>
      </c>
      <c r="S1996" t="s">
        <v>2507</v>
      </c>
      <c r="T1996" t="s">
        <v>2526</v>
      </c>
      <c r="U1996">
        <v>244300</v>
      </c>
      <c r="V1996" t="s">
        <v>9090</v>
      </c>
      <c r="W1996" t="s">
        <v>2521</v>
      </c>
      <c r="X1996" t="s">
        <v>11839</v>
      </c>
      <c r="Y1996" t="s">
        <v>4725</v>
      </c>
      <c r="Z1996" t="s">
        <v>1043</v>
      </c>
      <c r="AA1996" t="s">
        <v>4726</v>
      </c>
      <c r="AB1996" t="s">
        <v>11840</v>
      </c>
      <c r="AE1996">
        <v>-41.207078940000002</v>
      </c>
      <c r="AF1996">
        <v>174.91161348</v>
      </c>
      <c r="AG1996" s="175">
        <v>68</v>
      </c>
      <c r="AH1996" s="175">
        <v>20</v>
      </c>
      <c r="AI1996" s="175">
        <v>4</v>
      </c>
      <c r="AJ1996" s="175">
        <v>16</v>
      </c>
      <c r="AK1996" s="175">
        <v>16</v>
      </c>
      <c r="AL1996" s="175">
        <v>16</v>
      </c>
      <c r="AM1996" s="175">
        <v>17</v>
      </c>
      <c r="AN1996" s="175">
        <v>0</v>
      </c>
      <c r="AO1996" s="175">
        <v>69</v>
      </c>
      <c r="AP1996" s="175">
        <v>43</v>
      </c>
      <c r="AQ1996" s="175">
        <v>9</v>
      </c>
      <c r="AR1996" s="175">
        <v>1</v>
      </c>
      <c r="AS1996" s="175">
        <v>25</v>
      </c>
      <c r="AT1996" s="175">
        <v>6</v>
      </c>
    </row>
    <row r="1997" spans="1:46">
      <c r="A1997">
        <v>45588</v>
      </c>
      <c r="B1997" t="s">
        <v>11841</v>
      </c>
      <c r="C1997" t="s">
        <v>11842</v>
      </c>
      <c r="D1997" t="s">
        <v>11843</v>
      </c>
      <c r="E1997" t="s">
        <v>11844</v>
      </c>
      <c r="F1997" t="s">
        <v>2235</v>
      </c>
      <c r="G1997" t="s">
        <v>2198</v>
      </c>
      <c r="H1997" t="s">
        <v>450</v>
      </c>
      <c r="J1997" t="s">
        <v>4032</v>
      </c>
      <c r="K1997" t="s">
        <v>606</v>
      </c>
      <c r="M1997" t="s">
        <v>1382</v>
      </c>
      <c r="N1997" t="s">
        <v>643</v>
      </c>
      <c r="O1997" t="s">
        <v>2210</v>
      </c>
      <c r="P1997" t="s">
        <v>670</v>
      </c>
      <c r="Q1997" t="s">
        <v>513</v>
      </c>
      <c r="R1997" t="s">
        <v>2164</v>
      </c>
      <c r="S1997" t="s">
        <v>2198</v>
      </c>
      <c r="T1997" t="s">
        <v>2165</v>
      </c>
      <c r="U1997">
        <v>212800</v>
      </c>
      <c r="V1997" t="s">
        <v>11845</v>
      </c>
      <c r="W1997" t="s">
        <v>2242</v>
      </c>
      <c r="X1997" t="s">
        <v>11846</v>
      </c>
      <c r="Y1997" t="s">
        <v>11847</v>
      </c>
      <c r="AA1997" t="s">
        <v>8855</v>
      </c>
      <c r="AB1997" t="s">
        <v>11848</v>
      </c>
      <c r="AE1997">
        <v>-39.504759200000002</v>
      </c>
      <c r="AF1997">
        <v>176.88133504000001</v>
      </c>
      <c r="AG1997" s="175">
        <v>100</v>
      </c>
      <c r="AH1997" s="175">
        <v>100</v>
      </c>
      <c r="AI1997" s="175">
        <v>3</v>
      </c>
      <c r="AJ1997" s="175">
        <v>13</v>
      </c>
      <c r="AK1997" s="175">
        <v>17</v>
      </c>
      <c r="AL1997" s="175">
        <v>8</v>
      </c>
      <c r="AM1997" s="175">
        <v>7</v>
      </c>
      <c r="AN1997" s="175">
        <v>0</v>
      </c>
      <c r="AO1997" s="175">
        <v>48</v>
      </c>
      <c r="AP1997" s="175">
        <v>42</v>
      </c>
      <c r="AQ1997" s="175">
        <v>18</v>
      </c>
      <c r="AR1997" s="175">
        <v>4</v>
      </c>
      <c r="AS1997" s="175">
        <v>1</v>
      </c>
      <c r="AT1997" s="175">
        <v>0</v>
      </c>
    </row>
    <row r="1998" spans="1:46">
      <c r="A1998">
        <v>45589</v>
      </c>
      <c r="B1998" t="s">
        <v>11849</v>
      </c>
      <c r="C1998" t="s">
        <v>11850</v>
      </c>
      <c r="E1998" t="s">
        <v>11851</v>
      </c>
      <c r="G1998" t="s">
        <v>636</v>
      </c>
      <c r="H1998" t="s">
        <v>449</v>
      </c>
      <c r="J1998" t="s">
        <v>4032</v>
      </c>
      <c r="K1998" t="s">
        <v>606</v>
      </c>
      <c r="M1998" t="s">
        <v>607</v>
      </c>
      <c r="N1998" t="s">
        <v>812</v>
      </c>
      <c r="O1998" t="s">
        <v>609</v>
      </c>
      <c r="P1998" t="s">
        <v>610</v>
      </c>
      <c r="Q1998" t="s">
        <v>509</v>
      </c>
      <c r="R1998" t="s">
        <v>611</v>
      </c>
      <c r="S1998" t="s">
        <v>612</v>
      </c>
      <c r="T1998" t="s">
        <v>613</v>
      </c>
      <c r="U1998">
        <v>103501</v>
      </c>
      <c r="V1998" t="s">
        <v>636</v>
      </c>
      <c r="W1998" t="s">
        <v>637</v>
      </c>
      <c r="X1998" t="s">
        <v>11852</v>
      </c>
      <c r="Y1998" t="s">
        <v>11853</v>
      </c>
      <c r="Z1998" t="s">
        <v>11854</v>
      </c>
      <c r="AA1998" t="s">
        <v>11855</v>
      </c>
      <c r="AB1998" t="s">
        <v>11856</v>
      </c>
      <c r="AC1998">
        <v>99060</v>
      </c>
      <c r="AD1998" t="s">
        <v>638</v>
      </c>
      <c r="AE1998">
        <v>-35.40374989</v>
      </c>
      <c r="AF1998">
        <v>173.80681872</v>
      </c>
      <c r="AG1998" s="175">
        <v>45</v>
      </c>
      <c r="AH1998" s="175">
        <v>15</v>
      </c>
      <c r="AI1998" s="175">
        <v>3</v>
      </c>
      <c r="AJ1998" s="175">
        <v>6</v>
      </c>
      <c r="AK1998" s="175">
        <v>10</v>
      </c>
      <c r="AL1998" s="175">
        <v>8</v>
      </c>
      <c r="AM1998" s="175">
        <v>9</v>
      </c>
      <c r="AN1998" s="175">
        <v>0</v>
      </c>
      <c r="AO1998" s="175">
        <v>36</v>
      </c>
      <c r="AP1998" s="175">
        <v>8</v>
      </c>
      <c r="AQ1998" s="175">
        <v>31</v>
      </c>
      <c r="AR1998" s="175">
        <v>11</v>
      </c>
      <c r="AS1998" s="175">
        <v>1</v>
      </c>
      <c r="AT1998" s="175">
        <v>1</v>
      </c>
    </row>
    <row r="1999" spans="1:46">
      <c r="A1999">
        <v>45590</v>
      </c>
      <c r="B1999" t="s">
        <v>11857</v>
      </c>
      <c r="C1999" t="s">
        <v>8316</v>
      </c>
      <c r="D1999" t="s">
        <v>8317</v>
      </c>
      <c r="E1999" t="s">
        <v>8318</v>
      </c>
      <c r="F1999" t="s">
        <v>8319</v>
      </c>
      <c r="G1999" t="s">
        <v>737</v>
      </c>
      <c r="H1999" t="s">
        <v>450</v>
      </c>
      <c r="J1999" t="s">
        <v>4032</v>
      </c>
      <c r="K1999" t="s">
        <v>606</v>
      </c>
      <c r="M1999" t="s">
        <v>607</v>
      </c>
      <c r="N1999" t="s">
        <v>657</v>
      </c>
      <c r="O1999" t="s">
        <v>1253</v>
      </c>
      <c r="P1999" t="s">
        <v>739</v>
      </c>
      <c r="Q1999" t="s">
        <v>467</v>
      </c>
      <c r="R1999" t="s">
        <v>724</v>
      </c>
      <c r="S1999" t="s">
        <v>740</v>
      </c>
      <c r="T1999" t="s">
        <v>613</v>
      </c>
      <c r="U1999">
        <v>118600</v>
      </c>
      <c r="V1999" t="s">
        <v>4082</v>
      </c>
      <c r="W1999" t="s">
        <v>742</v>
      </c>
      <c r="X1999" t="s">
        <v>6333</v>
      </c>
      <c r="Y1999" t="s">
        <v>6334</v>
      </c>
      <c r="Z1999" t="s">
        <v>3777</v>
      </c>
      <c r="AA1999" t="s">
        <v>6335</v>
      </c>
      <c r="AB1999" t="s">
        <v>6336</v>
      </c>
      <c r="AE1999">
        <v>-36.74593891</v>
      </c>
      <c r="AF1999">
        <v>174.70418538000001</v>
      </c>
      <c r="AG1999" s="175">
        <v>50</v>
      </c>
      <c r="AH1999" s="175">
        <v>50</v>
      </c>
      <c r="AI1999" s="175">
        <v>8</v>
      </c>
      <c r="AJ1999" s="175">
        <v>11</v>
      </c>
      <c r="AK1999" s="175">
        <v>8</v>
      </c>
      <c r="AL1999" s="175">
        <v>13</v>
      </c>
      <c r="AM1999" s="175">
        <v>8</v>
      </c>
      <c r="AN1999" s="175">
        <v>1</v>
      </c>
      <c r="AO1999" s="175">
        <v>49</v>
      </c>
      <c r="AP1999" s="175">
        <v>3</v>
      </c>
      <c r="AQ1999" s="175">
        <v>0</v>
      </c>
      <c r="AR1999" s="175">
        <v>1</v>
      </c>
      <c r="AS1999" s="175">
        <v>49</v>
      </c>
      <c r="AT1999" s="175">
        <v>1</v>
      </c>
    </row>
    <row r="2000" spans="1:46">
      <c r="A2000">
        <v>45591</v>
      </c>
      <c r="B2000" t="s">
        <v>11858</v>
      </c>
      <c r="C2000" t="s">
        <v>11859</v>
      </c>
      <c r="D2000" t="s">
        <v>11860</v>
      </c>
      <c r="E2000" t="s">
        <v>11861</v>
      </c>
      <c r="F2000" t="s">
        <v>1030</v>
      </c>
      <c r="G2000" t="s">
        <v>737</v>
      </c>
      <c r="H2000" t="s">
        <v>449</v>
      </c>
      <c r="I2000" t="s">
        <v>4233</v>
      </c>
      <c r="J2000" t="s">
        <v>4032</v>
      </c>
      <c r="K2000" t="s">
        <v>606</v>
      </c>
      <c r="M2000" t="s">
        <v>607</v>
      </c>
      <c r="N2000" t="s">
        <v>608</v>
      </c>
      <c r="O2000" t="s">
        <v>933</v>
      </c>
      <c r="P2000" t="s">
        <v>739</v>
      </c>
      <c r="Q2000" t="s">
        <v>467</v>
      </c>
      <c r="R2000" t="s">
        <v>814</v>
      </c>
      <c r="S2000" t="s">
        <v>934</v>
      </c>
      <c r="T2000" t="s">
        <v>794</v>
      </c>
      <c r="U2000">
        <v>149600</v>
      </c>
      <c r="V2000" t="s">
        <v>7735</v>
      </c>
      <c r="W2000" t="s">
        <v>817</v>
      </c>
      <c r="X2000" t="s">
        <v>4650</v>
      </c>
      <c r="Y2000" t="s">
        <v>4651</v>
      </c>
      <c r="Z2000" t="s">
        <v>4015</v>
      </c>
      <c r="AA2000" t="s">
        <v>4652</v>
      </c>
      <c r="AC2000">
        <v>99124</v>
      </c>
      <c r="AD2000" t="s">
        <v>4646</v>
      </c>
      <c r="AE2000">
        <v>-36.957984000000003</v>
      </c>
      <c r="AF2000">
        <v>174.8273652</v>
      </c>
      <c r="AG2000" s="175">
        <v>50</v>
      </c>
      <c r="AH2000" s="175">
        <v>15</v>
      </c>
      <c r="AI2000" s="175">
        <v>0</v>
      </c>
      <c r="AJ2000" s="175">
        <v>4</v>
      </c>
      <c r="AK2000" s="175">
        <v>10</v>
      </c>
      <c r="AL2000" s="175">
        <v>3</v>
      </c>
      <c r="AM2000" s="175">
        <v>6</v>
      </c>
      <c r="AN2000" s="175">
        <v>0</v>
      </c>
      <c r="AO2000" s="175">
        <v>23</v>
      </c>
      <c r="AP2000" s="175">
        <v>5</v>
      </c>
      <c r="AQ2000" s="175">
        <v>3</v>
      </c>
      <c r="AR2000" s="175">
        <v>23</v>
      </c>
      <c r="AS2000" s="175">
        <v>0</v>
      </c>
      <c r="AT2000" s="175">
        <v>0</v>
      </c>
    </row>
    <row r="2001" spans="1:46">
      <c r="A2001">
        <v>45593</v>
      </c>
      <c r="B2001" t="s">
        <v>11862</v>
      </c>
      <c r="C2001" t="s">
        <v>11863</v>
      </c>
      <c r="D2001" t="s">
        <v>11864</v>
      </c>
      <c r="E2001" t="s">
        <v>11865</v>
      </c>
      <c r="F2001" t="s">
        <v>2323</v>
      </c>
      <c r="G2001" t="s">
        <v>2276</v>
      </c>
      <c r="H2001" t="s">
        <v>449</v>
      </c>
      <c r="J2001" t="s">
        <v>4032</v>
      </c>
      <c r="K2001" t="s">
        <v>606</v>
      </c>
      <c r="M2001" t="s">
        <v>1382</v>
      </c>
      <c r="N2001" t="s">
        <v>608</v>
      </c>
      <c r="O2001" t="s">
        <v>2277</v>
      </c>
      <c r="P2001" t="s">
        <v>670</v>
      </c>
      <c r="Q2001" t="s">
        <v>513</v>
      </c>
      <c r="R2001" t="s">
        <v>2164</v>
      </c>
      <c r="S2001" t="s">
        <v>2278</v>
      </c>
      <c r="T2001" t="s">
        <v>2165</v>
      </c>
      <c r="U2001">
        <v>209800</v>
      </c>
      <c r="V2001" t="s">
        <v>2323</v>
      </c>
      <c r="W2001" t="s">
        <v>2279</v>
      </c>
      <c r="X2001" t="s">
        <v>11866</v>
      </c>
      <c r="Y2001" t="s">
        <v>11865</v>
      </c>
      <c r="Z2001" t="s">
        <v>2323</v>
      </c>
      <c r="AA2001" t="s">
        <v>11867</v>
      </c>
      <c r="AB2001" t="s">
        <v>11863</v>
      </c>
      <c r="AE2001">
        <v>-39.624927900000003</v>
      </c>
      <c r="AF2001">
        <v>176.8424086</v>
      </c>
      <c r="AG2001" s="175">
        <v>50</v>
      </c>
      <c r="AH2001" s="175">
        <v>20</v>
      </c>
      <c r="AI2001" s="175">
        <v>4</v>
      </c>
      <c r="AJ2001" s="175">
        <v>17</v>
      </c>
      <c r="AK2001" s="175">
        <v>18</v>
      </c>
      <c r="AL2001" s="175">
        <v>17</v>
      </c>
      <c r="AM2001" s="175">
        <v>14</v>
      </c>
      <c r="AN2001" s="175">
        <v>0</v>
      </c>
      <c r="AO2001" s="175">
        <v>70</v>
      </c>
      <c r="AP2001" s="175">
        <v>58</v>
      </c>
      <c r="AQ2001" s="175">
        <v>28</v>
      </c>
      <c r="AR2001" s="175">
        <v>6</v>
      </c>
      <c r="AS2001" s="175">
        <v>3</v>
      </c>
      <c r="AT2001" s="175">
        <v>0</v>
      </c>
    </row>
    <row r="2002" spans="1:46">
      <c r="A2002">
        <v>45594</v>
      </c>
      <c r="B2002" t="s">
        <v>11868</v>
      </c>
      <c r="C2002" t="s">
        <v>11869</v>
      </c>
      <c r="D2002" t="s">
        <v>11870</v>
      </c>
      <c r="E2002" t="s">
        <v>11871</v>
      </c>
      <c r="G2002" t="s">
        <v>3905</v>
      </c>
      <c r="H2002" t="s">
        <v>449</v>
      </c>
      <c r="J2002" t="s">
        <v>4032</v>
      </c>
      <c r="K2002" t="s">
        <v>606</v>
      </c>
      <c r="M2002" t="s">
        <v>2366</v>
      </c>
      <c r="N2002" t="s">
        <v>657</v>
      </c>
      <c r="O2002" t="s">
        <v>3906</v>
      </c>
      <c r="P2002" t="s">
        <v>1347</v>
      </c>
      <c r="Q2002" t="s">
        <v>522</v>
      </c>
      <c r="R2002" t="s">
        <v>3410</v>
      </c>
      <c r="S2002" t="s">
        <v>3433</v>
      </c>
      <c r="T2002" t="s">
        <v>2526</v>
      </c>
      <c r="U2002">
        <v>348100</v>
      </c>
      <c r="V2002" t="s">
        <v>11872</v>
      </c>
      <c r="W2002" t="s">
        <v>3908</v>
      </c>
      <c r="X2002" t="s">
        <v>11873</v>
      </c>
      <c r="Y2002" t="s">
        <v>7728</v>
      </c>
      <c r="Z2002" t="s">
        <v>729</v>
      </c>
      <c r="AA2002" t="s">
        <v>730</v>
      </c>
      <c r="AB2002" t="s">
        <v>11874</v>
      </c>
      <c r="AE2002">
        <v>-45.029642529999997</v>
      </c>
      <c r="AF2002">
        <v>168.66265326999999</v>
      </c>
      <c r="AG2002" s="175">
        <v>38</v>
      </c>
      <c r="AH2002" s="175">
        <v>20</v>
      </c>
      <c r="AI2002" s="175">
        <v>1</v>
      </c>
      <c r="AJ2002" s="175">
        <v>4</v>
      </c>
      <c r="AK2002" s="175">
        <v>6</v>
      </c>
      <c r="AL2002" s="175">
        <v>11</v>
      </c>
      <c r="AM2002" s="175">
        <v>3</v>
      </c>
      <c r="AN2002" s="175">
        <v>2</v>
      </c>
      <c r="AO2002" s="175">
        <v>27</v>
      </c>
      <c r="AP2002" s="175">
        <v>12</v>
      </c>
      <c r="AQ2002" s="175">
        <v>0</v>
      </c>
      <c r="AR2002" s="175">
        <v>0</v>
      </c>
      <c r="AS2002" s="175">
        <v>10</v>
      </c>
      <c r="AT2002" s="175">
        <v>7</v>
      </c>
    </row>
    <row r="2003" spans="1:46">
      <c r="A2003">
        <v>45595</v>
      </c>
      <c r="B2003" t="s">
        <v>11875</v>
      </c>
      <c r="C2003" t="s">
        <v>11876</v>
      </c>
      <c r="D2003" t="s">
        <v>11877</v>
      </c>
      <c r="E2003" t="s">
        <v>11878</v>
      </c>
      <c r="G2003" t="s">
        <v>4454</v>
      </c>
      <c r="H2003" t="s">
        <v>449</v>
      </c>
      <c r="J2003" t="s">
        <v>4032</v>
      </c>
      <c r="K2003" t="s">
        <v>606</v>
      </c>
      <c r="M2003" t="s">
        <v>607</v>
      </c>
      <c r="N2003" t="s">
        <v>657</v>
      </c>
      <c r="O2003" t="s">
        <v>723</v>
      </c>
      <c r="P2003" t="s">
        <v>610</v>
      </c>
      <c r="Q2003" t="s">
        <v>467</v>
      </c>
      <c r="R2003" t="s">
        <v>724</v>
      </c>
      <c r="S2003" t="s">
        <v>725</v>
      </c>
      <c r="T2003" t="s">
        <v>613</v>
      </c>
      <c r="U2003">
        <v>115002</v>
      </c>
      <c r="V2003" t="s">
        <v>7051</v>
      </c>
      <c r="W2003" t="s">
        <v>726</v>
      </c>
      <c r="X2003" t="s">
        <v>11879</v>
      </c>
      <c r="Y2003" t="s">
        <v>11880</v>
      </c>
      <c r="Z2003" t="s">
        <v>863</v>
      </c>
      <c r="AA2003" t="s">
        <v>11881</v>
      </c>
      <c r="AB2003" t="s">
        <v>11882</v>
      </c>
      <c r="AE2003">
        <v>-36.778182289999997</v>
      </c>
      <c r="AF2003">
        <v>174.55256790000001</v>
      </c>
      <c r="AG2003" s="175">
        <v>80</v>
      </c>
      <c r="AH2003" s="175">
        <v>20</v>
      </c>
      <c r="AI2003" s="175">
        <v>1</v>
      </c>
      <c r="AJ2003" s="175">
        <v>4</v>
      </c>
      <c r="AK2003" s="175">
        <v>15</v>
      </c>
      <c r="AL2003" s="175">
        <v>5</v>
      </c>
      <c r="AM2003" s="175">
        <v>15</v>
      </c>
      <c r="AN2003" s="175">
        <v>0</v>
      </c>
      <c r="AO2003" s="175">
        <v>40</v>
      </c>
      <c r="AP2003" s="175">
        <v>28</v>
      </c>
      <c r="AQ2003" s="175">
        <v>7</v>
      </c>
      <c r="AR2003" s="175">
        <v>2</v>
      </c>
      <c r="AS2003" s="175">
        <v>12</v>
      </c>
      <c r="AT2003" s="175">
        <v>0</v>
      </c>
    </row>
    <row r="2004" spans="1:46">
      <c r="A2004">
        <v>45605</v>
      </c>
      <c r="B2004" t="s">
        <v>11883</v>
      </c>
      <c r="C2004" t="s">
        <v>11884</v>
      </c>
      <c r="D2004" t="s">
        <v>11885</v>
      </c>
      <c r="E2004" t="s">
        <v>11886</v>
      </c>
      <c r="F2004" t="s">
        <v>2957</v>
      </c>
      <c r="G2004" t="s">
        <v>2930</v>
      </c>
      <c r="H2004" t="s">
        <v>449</v>
      </c>
      <c r="J2004" t="s">
        <v>4032</v>
      </c>
      <c r="K2004" t="s">
        <v>606</v>
      </c>
      <c r="M2004" t="s">
        <v>2366</v>
      </c>
      <c r="N2004" t="s">
        <v>657</v>
      </c>
      <c r="O2004" t="s">
        <v>2944</v>
      </c>
      <c r="P2004" t="s">
        <v>1347</v>
      </c>
      <c r="Q2004" t="s">
        <v>517</v>
      </c>
      <c r="R2004" t="s">
        <v>2901</v>
      </c>
      <c r="S2004" t="s">
        <v>2930</v>
      </c>
      <c r="T2004" t="s">
        <v>2526</v>
      </c>
      <c r="U2004">
        <v>303300</v>
      </c>
      <c r="V2004" t="s">
        <v>11887</v>
      </c>
      <c r="W2004" t="s">
        <v>2959</v>
      </c>
      <c r="X2004" t="s">
        <v>11888</v>
      </c>
      <c r="Y2004" t="s">
        <v>4176</v>
      </c>
      <c r="AA2004" t="s">
        <v>4052</v>
      </c>
      <c r="AC2004">
        <v>99142</v>
      </c>
      <c r="AD2004" t="s">
        <v>2960</v>
      </c>
      <c r="AE2004">
        <v>-41.341819139999998</v>
      </c>
      <c r="AF2004">
        <v>173.19310028000001</v>
      </c>
      <c r="AG2004" s="175">
        <v>65</v>
      </c>
      <c r="AH2004" s="175">
        <v>25</v>
      </c>
      <c r="AI2004" s="175">
        <v>5</v>
      </c>
      <c r="AJ2004" s="175">
        <v>25</v>
      </c>
      <c r="AK2004" s="175">
        <v>22</v>
      </c>
      <c r="AL2004" s="175">
        <v>15</v>
      </c>
      <c r="AM2004" s="175">
        <v>16</v>
      </c>
      <c r="AN2004" s="175">
        <v>0</v>
      </c>
      <c r="AO2004" s="175">
        <v>83</v>
      </c>
      <c r="AP2004" s="175">
        <v>79</v>
      </c>
      <c r="AQ2004" s="175">
        <v>6</v>
      </c>
      <c r="AR2004" s="175">
        <v>1</v>
      </c>
      <c r="AS2004" s="175">
        <v>5</v>
      </c>
      <c r="AT2004" s="175">
        <v>2</v>
      </c>
    </row>
    <row r="2005" spans="1:46">
      <c r="A2005">
        <v>45606</v>
      </c>
      <c r="B2005" t="s">
        <v>6554</v>
      </c>
      <c r="C2005" t="s">
        <v>11889</v>
      </c>
      <c r="D2005" t="s">
        <v>11890</v>
      </c>
      <c r="E2005" t="s">
        <v>11891</v>
      </c>
      <c r="F2005" t="s">
        <v>692</v>
      </c>
      <c r="G2005" t="s">
        <v>668</v>
      </c>
      <c r="H2005" t="s">
        <v>449</v>
      </c>
      <c r="J2005" t="s">
        <v>4032</v>
      </c>
      <c r="K2005" t="s">
        <v>606</v>
      </c>
      <c r="M2005" t="s">
        <v>607</v>
      </c>
      <c r="N2005" t="s">
        <v>657</v>
      </c>
      <c r="O2005" t="s">
        <v>669</v>
      </c>
      <c r="P2005" t="s">
        <v>670</v>
      </c>
      <c r="Q2005" t="s">
        <v>509</v>
      </c>
      <c r="R2005" t="s">
        <v>611</v>
      </c>
      <c r="S2005" t="s">
        <v>671</v>
      </c>
      <c r="T2005" t="s">
        <v>613</v>
      </c>
      <c r="U2005">
        <v>108200</v>
      </c>
      <c r="V2005" t="s">
        <v>11892</v>
      </c>
      <c r="W2005" t="s">
        <v>673</v>
      </c>
      <c r="X2005" t="s">
        <v>11893</v>
      </c>
      <c r="Y2005" t="s">
        <v>11891</v>
      </c>
      <c r="Z2005" t="s">
        <v>692</v>
      </c>
      <c r="AA2005" t="s">
        <v>4473</v>
      </c>
      <c r="AB2005" t="s">
        <v>11889</v>
      </c>
      <c r="AC2005">
        <v>99181</v>
      </c>
      <c r="AD2005" t="s">
        <v>680</v>
      </c>
      <c r="AE2005">
        <v>-35.741775279999999</v>
      </c>
      <c r="AF2005">
        <v>174.36261418000001</v>
      </c>
      <c r="AG2005" s="175">
        <v>75</v>
      </c>
      <c r="AH2005" s="175">
        <v>16</v>
      </c>
      <c r="AI2005" s="175">
        <v>4</v>
      </c>
      <c r="AJ2005" s="175">
        <v>12</v>
      </c>
      <c r="AK2005" s="175">
        <v>15</v>
      </c>
      <c r="AL2005" s="175">
        <v>23</v>
      </c>
      <c r="AM2005" s="175">
        <v>18</v>
      </c>
      <c r="AN2005" s="175">
        <v>0</v>
      </c>
      <c r="AO2005" s="175">
        <v>72</v>
      </c>
      <c r="AP2005" s="175">
        <v>62</v>
      </c>
      <c r="AQ2005" s="175">
        <v>17</v>
      </c>
      <c r="AR2005" s="175">
        <v>3</v>
      </c>
      <c r="AS2005" s="175">
        <v>2</v>
      </c>
      <c r="AT2005" s="175">
        <v>5</v>
      </c>
    </row>
    <row r="2006" spans="1:46">
      <c r="A2006">
        <v>45608</v>
      </c>
      <c r="B2006" t="s">
        <v>11894</v>
      </c>
      <c r="C2006" t="s">
        <v>11895</v>
      </c>
      <c r="D2006" t="s">
        <v>11896</v>
      </c>
      <c r="E2006" t="s">
        <v>11897</v>
      </c>
      <c r="G2006" t="s">
        <v>1628</v>
      </c>
      <c r="H2006" t="s">
        <v>449</v>
      </c>
      <c r="J2006" t="s">
        <v>4032</v>
      </c>
      <c r="K2006" t="s">
        <v>606</v>
      </c>
      <c r="M2006" t="s">
        <v>1382</v>
      </c>
      <c r="N2006" t="s">
        <v>657</v>
      </c>
      <c r="O2006" t="s">
        <v>1629</v>
      </c>
      <c r="P2006" t="s">
        <v>1347</v>
      </c>
      <c r="Q2006" t="s">
        <v>510</v>
      </c>
      <c r="R2006" t="s">
        <v>1555</v>
      </c>
      <c r="S2006" t="s">
        <v>1404</v>
      </c>
      <c r="T2006" t="s">
        <v>1557</v>
      </c>
      <c r="U2006">
        <v>188600</v>
      </c>
      <c r="V2006" t="s">
        <v>9899</v>
      </c>
      <c r="W2006" t="s">
        <v>1631</v>
      </c>
      <c r="X2006" t="s">
        <v>11898</v>
      </c>
      <c r="Y2006" t="s">
        <v>11899</v>
      </c>
      <c r="AA2006" t="s">
        <v>11900</v>
      </c>
      <c r="AB2006" t="s">
        <v>11901</v>
      </c>
      <c r="AC2006">
        <v>99020</v>
      </c>
      <c r="AD2006" t="s">
        <v>1633</v>
      </c>
      <c r="AE2006">
        <v>-38.684987249999999</v>
      </c>
      <c r="AF2006">
        <v>176.07823880000001</v>
      </c>
      <c r="AG2006" s="175">
        <v>30</v>
      </c>
      <c r="AH2006" s="175">
        <v>0</v>
      </c>
      <c r="AI2006" s="175">
        <v>0</v>
      </c>
      <c r="AJ2006" s="175">
        <v>0</v>
      </c>
      <c r="AK2006" s="175">
        <v>1</v>
      </c>
      <c r="AL2006" s="175">
        <v>9</v>
      </c>
      <c r="AM2006" s="175">
        <v>7</v>
      </c>
      <c r="AN2006" s="175">
        <v>4</v>
      </c>
      <c r="AO2006" s="175">
        <v>21</v>
      </c>
      <c r="AP2006" s="175">
        <v>19</v>
      </c>
      <c r="AQ2006" s="175">
        <v>4</v>
      </c>
      <c r="AR2006" s="175">
        <v>1</v>
      </c>
      <c r="AS2006" s="175">
        <v>3</v>
      </c>
      <c r="AT2006" s="175">
        <v>0</v>
      </c>
    </row>
    <row r="2007" spans="1:46">
      <c r="A2007">
        <v>45609</v>
      </c>
      <c r="B2007" t="s">
        <v>11902</v>
      </c>
      <c r="C2007" t="s">
        <v>11903</v>
      </c>
      <c r="E2007" t="s">
        <v>11904</v>
      </c>
      <c r="F2007" t="s">
        <v>1450</v>
      </c>
      <c r="G2007" t="s">
        <v>1381</v>
      </c>
      <c r="H2007" t="s">
        <v>449</v>
      </c>
      <c r="J2007" t="s">
        <v>4032</v>
      </c>
      <c r="K2007" t="s">
        <v>606</v>
      </c>
      <c r="M2007" t="s">
        <v>1382</v>
      </c>
      <c r="N2007" t="s">
        <v>657</v>
      </c>
      <c r="O2007" t="s">
        <v>1383</v>
      </c>
      <c r="P2007" t="s">
        <v>739</v>
      </c>
      <c r="Q2007" t="s">
        <v>510</v>
      </c>
      <c r="R2007" t="s">
        <v>1384</v>
      </c>
      <c r="S2007" t="s">
        <v>1396</v>
      </c>
      <c r="T2007" t="s">
        <v>1320</v>
      </c>
      <c r="U2007">
        <v>180700</v>
      </c>
      <c r="V2007" t="s">
        <v>1451</v>
      </c>
      <c r="W2007" t="s">
        <v>1398</v>
      </c>
      <c r="X2007" t="s">
        <v>11905</v>
      </c>
      <c r="Y2007" t="s">
        <v>11904</v>
      </c>
      <c r="Z2007" t="s">
        <v>1450</v>
      </c>
      <c r="AA2007" t="s">
        <v>9631</v>
      </c>
      <c r="AB2007" t="s">
        <v>11906</v>
      </c>
      <c r="AC2007">
        <v>99057</v>
      </c>
      <c r="AD2007" t="s">
        <v>9567</v>
      </c>
      <c r="AE2007">
        <v>-37.799239909999997</v>
      </c>
      <c r="AF2007">
        <v>175.32168537999999</v>
      </c>
      <c r="AG2007" s="175">
        <v>39</v>
      </c>
      <c r="AH2007" s="175">
        <v>23</v>
      </c>
      <c r="AI2007" s="175">
        <v>1</v>
      </c>
      <c r="AJ2007" s="175">
        <v>3</v>
      </c>
      <c r="AK2007" s="175">
        <v>5</v>
      </c>
      <c r="AL2007" s="175">
        <v>14</v>
      </c>
      <c r="AM2007" s="175">
        <v>11</v>
      </c>
      <c r="AN2007" s="175">
        <v>5</v>
      </c>
      <c r="AO2007" s="175">
        <v>39</v>
      </c>
      <c r="AP2007" s="175">
        <v>11</v>
      </c>
      <c r="AQ2007" s="175">
        <v>11</v>
      </c>
      <c r="AR2007" s="175">
        <v>3</v>
      </c>
      <c r="AS2007" s="175">
        <v>24</v>
      </c>
      <c r="AT2007" s="175">
        <v>0</v>
      </c>
    </row>
    <row r="2008" spans="1:46">
      <c r="A2008">
        <v>45611</v>
      </c>
      <c r="B2008" t="s">
        <v>11907</v>
      </c>
      <c r="C2008" t="s">
        <v>11908</v>
      </c>
      <c r="D2008" t="s">
        <v>11909</v>
      </c>
      <c r="E2008" t="s">
        <v>11910</v>
      </c>
      <c r="F2008" t="s">
        <v>11162</v>
      </c>
      <c r="G2008" t="s">
        <v>3841</v>
      </c>
      <c r="H2008" t="s">
        <v>452</v>
      </c>
      <c r="J2008" t="s">
        <v>605</v>
      </c>
      <c r="K2008" t="s">
        <v>606</v>
      </c>
      <c r="M2008" t="s">
        <v>1382</v>
      </c>
      <c r="N2008" t="s">
        <v>4586</v>
      </c>
      <c r="O2008" t="s">
        <v>1780</v>
      </c>
      <c r="P2008" t="s">
        <v>739</v>
      </c>
      <c r="Q2008" t="s">
        <v>511</v>
      </c>
      <c r="R2008" t="s">
        <v>1555</v>
      </c>
      <c r="S2008" t="s">
        <v>1781</v>
      </c>
      <c r="T2008" t="s">
        <v>1557</v>
      </c>
      <c r="U2008">
        <v>197500</v>
      </c>
      <c r="V2008" t="s">
        <v>11911</v>
      </c>
      <c r="W2008" t="s">
        <v>3843</v>
      </c>
      <c r="X2008" t="s">
        <v>1560</v>
      </c>
      <c r="Y2008" t="s">
        <v>1525</v>
      </c>
      <c r="AA2008" t="s">
        <v>1526</v>
      </c>
      <c r="AB2008" t="s">
        <v>1561</v>
      </c>
      <c r="AE2008">
        <v>-37.719395599999999</v>
      </c>
      <c r="AF2008">
        <v>176.34107349999999</v>
      </c>
      <c r="AG2008" s="175">
        <v>50</v>
      </c>
      <c r="AH2008" s="175">
        <v>15</v>
      </c>
      <c r="AI2008" s="175">
        <v>0</v>
      </c>
      <c r="AJ2008" s="175">
        <v>5</v>
      </c>
      <c r="AK2008" s="175">
        <v>11</v>
      </c>
      <c r="AL2008" s="175">
        <v>16</v>
      </c>
      <c r="AM2008" s="175">
        <v>19</v>
      </c>
      <c r="AN2008" s="175">
        <v>1</v>
      </c>
      <c r="AO2008" s="175">
        <v>52</v>
      </c>
      <c r="AP2008" s="175">
        <v>46</v>
      </c>
      <c r="AQ2008" s="175">
        <v>12</v>
      </c>
      <c r="AR2008" s="175">
        <v>1</v>
      </c>
      <c r="AS2008" s="175">
        <v>3</v>
      </c>
      <c r="AT2008" s="175">
        <v>2</v>
      </c>
    </row>
    <row r="2009" spans="1:46">
      <c r="A2009">
        <v>45613</v>
      </c>
      <c r="B2009" t="s">
        <v>11912</v>
      </c>
      <c r="C2009" t="s">
        <v>11913</v>
      </c>
      <c r="D2009" t="s">
        <v>11914</v>
      </c>
      <c r="E2009" t="s">
        <v>11915</v>
      </c>
      <c r="G2009" t="s">
        <v>8603</v>
      </c>
      <c r="H2009" t="s">
        <v>449</v>
      </c>
      <c r="J2009" t="s">
        <v>4032</v>
      </c>
      <c r="K2009" t="s">
        <v>606</v>
      </c>
      <c r="M2009" t="s">
        <v>1382</v>
      </c>
      <c r="N2009" t="s">
        <v>4586</v>
      </c>
      <c r="O2009" t="s">
        <v>1435</v>
      </c>
      <c r="P2009" t="s">
        <v>658</v>
      </c>
      <c r="Q2009" t="s">
        <v>510</v>
      </c>
      <c r="R2009" t="s">
        <v>1384</v>
      </c>
      <c r="S2009" t="s">
        <v>1384</v>
      </c>
      <c r="T2009" t="s">
        <v>1320</v>
      </c>
      <c r="U2009">
        <v>172300</v>
      </c>
      <c r="V2009" t="s">
        <v>8604</v>
      </c>
      <c r="W2009" t="s">
        <v>8422</v>
      </c>
      <c r="X2009" t="s">
        <v>11916</v>
      </c>
      <c r="Y2009" t="s">
        <v>11917</v>
      </c>
      <c r="AA2009" t="s">
        <v>8607</v>
      </c>
      <c r="AB2009" t="s">
        <v>11913</v>
      </c>
      <c r="AE2009">
        <v>-37.665129239999999</v>
      </c>
      <c r="AF2009">
        <v>175.30832118999999</v>
      </c>
      <c r="AG2009" s="175">
        <v>50</v>
      </c>
      <c r="AH2009" s="175">
        <v>15</v>
      </c>
      <c r="AI2009" s="175">
        <v>2</v>
      </c>
      <c r="AJ2009" s="175">
        <v>8</v>
      </c>
      <c r="AK2009" s="175">
        <v>15</v>
      </c>
      <c r="AL2009" s="175">
        <v>10</v>
      </c>
      <c r="AM2009" s="175">
        <v>16</v>
      </c>
      <c r="AN2009" s="175">
        <v>0</v>
      </c>
      <c r="AO2009" s="175">
        <v>51</v>
      </c>
      <c r="AP2009" s="175">
        <v>46</v>
      </c>
      <c r="AQ2009" s="175">
        <v>5</v>
      </c>
      <c r="AR2009" s="175">
        <v>0</v>
      </c>
      <c r="AS2009" s="175">
        <v>4</v>
      </c>
      <c r="AT2009" s="175">
        <v>2</v>
      </c>
    </row>
    <row r="2010" spans="1:46">
      <c r="A2010">
        <v>45615</v>
      </c>
      <c r="B2010" t="s">
        <v>11918</v>
      </c>
      <c r="C2010" t="s">
        <v>11919</v>
      </c>
      <c r="D2010" t="s">
        <v>11920</v>
      </c>
      <c r="E2010" t="s">
        <v>11921</v>
      </c>
      <c r="G2010" t="s">
        <v>11922</v>
      </c>
      <c r="H2010" t="s">
        <v>449</v>
      </c>
      <c r="J2010" t="s">
        <v>4032</v>
      </c>
      <c r="K2010" t="s">
        <v>606</v>
      </c>
      <c r="M2010" t="s">
        <v>1382</v>
      </c>
      <c r="N2010" t="s">
        <v>657</v>
      </c>
      <c r="O2010" t="s">
        <v>2277</v>
      </c>
      <c r="P2010" t="s">
        <v>610</v>
      </c>
      <c r="Q2010" t="s">
        <v>513</v>
      </c>
      <c r="R2010" t="s">
        <v>2164</v>
      </c>
      <c r="S2010" t="s">
        <v>2278</v>
      </c>
      <c r="T2010" t="s">
        <v>2165</v>
      </c>
      <c r="U2010">
        <v>209601</v>
      </c>
      <c r="V2010" t="s">
        <v>11922</v>
      </c>
      <c r="W2010" t="s">
        <v>11923</v>
      </c>
      <c r="X2010" t="s">
        <v>11924</v>
      </c>
      <c r="Y2010" t="s">
        <v>11921</v>
      </c>
      <c r="AA2010" t="s">
        <v>11925</v>
      </c>
      <c r="AB2010" t="s">
        <v>11926</v>
      </c>
      <c r="AE2010">
        <v>-39.580374220000003</v>
      </c>
      <c r="AF2010">
        <v>176.9154369</v>
      </c>
      <c r="AG2010" s="175">
        <v>32</v>
      </c>
      <c r="AH2010" s="175">
        <v>0</v>
      </c>
      <c r="AI2010" s="175">
        <v>0</v>
      </c>
      <c r="AJ2010" s="175">
        <v>0</v>
      </c>
      <c r="AK2010" s="175">
        <v>0</v>
      </c>
      <c r="AL2010" s="175">
        <v>10</v>
      </c>
      <c r="AM2010" s="175">
        <v>15</v>
      </c>
      <c r="AN2010" s="175">
        <v>4</v>
      </c>
      <c r="AO2010" s="175">
        <v>29</v>
      </c>
      <c r="AP2010" s="175">
        <v>29</v>
      </c>
      <c r="AQ2010" s="175">
        <v>5</v>
      </c>
      <c r="AR2010" s="175">
        <v>1</v>
      </c>
      <c r="AS2010" s="175">
        <v>1</v>
      </c>
      <c r="AT2010" s="175">
        <v>1</v>
      </c>
    </row>
    <row r="2011" spans="1:46">
      <c r="A2011">
        <v>45616</v>
      </c>
      <c r="B2011" t="s">
        <v>11927</v>
      </c>
      <c r="C2011" t="s">
        <v>11928</v>
      </c>
      <c r="E2011" t="s">
        <v>11929</v>
      </c>
      <c r="G2011" t="s">
        <v>3015</v>
      </c>
      <c r="H2011" t="s">
        <v>449</v>
      </c>
      <c r="J2011" t="s">
        <v>4032</v>
      </c>
      <c r="K2011" t="s">
        <v>606</v>
      </c>
      <c r="M2011" t="s">
        <v>2366</v>
      </c>
      <c r="N2011" t="s">
        <v>657</v>
      </c>
      <c r="O2011" t="s">
        <v>3281</v>
      </c>
      <c r="P2011" t="s">
        <v>610</v>
      </c>
      <c r="Q2011" t="s">
        <v>521</v>
      </c>
      <c r="R2011" t="s">
        <v>3017</v>
      </c>
      <c r="S2011" t="s">
        <v>3252</v>
      </c>
      <c r="T2011" t="s">
        <v>2526</v>
      </c>
      <c r="U2011">
        <v>335701</v>
      </c>
      <c r="V2011" t="s">
        <v>11930</v>
      </c>
      <c r="W2011" t="s">
        <v>3735</v>
      </c>
      <c r="X2011" t="s">
        <v>11931</v>
      </c>
      <c r="Y2011" t="s">
        <v>11932</v>
      </c>
      <c r="Z2011" t="s">
        <v>11933</v>
      </c>
      <c r="AA2011" t="s">
        <v>11934</v>
      </c>
      <c r="AB2011" t="s">
        <v>11935</v>
      </c>
      <c r="AC2011">
        <v>99113</v>
      </c>
      <c r="AD2011" t="s">
        <v>3736</v>
      </c>
      <c r="AE2011">
        <v>-43.578034510000002</v>
      </c>
      <c r="AF2011">
        <v>172.51451410000001</v>
      </c>
      <c r="AG2011" s="175">
        <v>44</v>
      </c>
      <c r="AH2011" s="175">
        <v>13</v>
      </c>
      <c r="AI2011" s="175">
        <v>1</v>
      </c>
      <c r="AJ2011" s="175">
        <v>11</v>
      </c>
      <c r="AK2011" s="175">
        <v>12</v>
      </c>
      <c r="AL2011" s="175">
        <v>11</v>
      </c>
      <c r="AM2011" s="175">
        <v>14</v>
      </c>
      <c r="AN2011" s="175">
        <v>1</v>
      </c>
      <c r="AO2011" s="175">
        <v>50</v>
      </c>
      <c r="AP2011" s="175">
        <v>41</v>
      </c>
      <c r="AQ2011" s="175">
        <v>13</v>
      </c>
      <c r="AR2011" s="175">
        <v>5</v>
      </c>
      <c r="AS2011" s="175">
        <v>7</v>
      </c>
      <c r="AT2011" s="175">
        <v>0</v>
      </c>
    </row>
    <row r="2012" spans="1:46">
      <c r="A2012">
        <v>45617</v>
      </c>
      <c r="B2012" t="s">
        <v>11936</v>
      </c>
      <c r="C2012" t="s">
        <v>11937</v>
      </c>
      <c r="D2012" t="s">
        <v>11938</v>
      </c>
      <c r="E2012" t="s">
        <v>11939</v>
      </c>
      <c r="F2012" t="s">
        <v>862</v>
      </c>
      <c r="G2012" t="s">
        <v>737</v>
      </c>
      <c r="H2012" t="s">
        <v>450</v>
      </c>
      <c r="J2012" t="s">
        <v>4032</v>
      </c>
      <c r="K2012" t="s">
        <v>606</v>
      </c>
      <c r="M2012" t="s">
        <v>607</v>
      </c>
      <c r="N2012" t="s">
        <v>657</v>
      </c>
      <c r="O2012" t="s">
        <v>792</v>
      </c>
      <c r="P2012" t="s">
        <v>739</v>
      </c>
      <c r="Q2012" t="s">
        <v>467</v>
      </c>
      <c r="R2012" t="s">
        <v>793</v>
      </c>
      <c r="S2012" t="s">
        <v>791</v>
      </c>
      <c r="T2012" t="s">
        <v>794</v>
      </c>
      <c r="U2012">
        <v>150600</v>
      </c>
      <c r="V2012" t="s">
        <v>7390</v>
      </c>
      <c r="W2012" t="s">
        <v>796</v>
      </c>
      <c r="X2012" t="s">
        <v>11940</v>
      </c>
      <c r="Y2012" t="s">
        <v>11941</v>
      </c>
      <c r="AA2012" t="s">
        <v>10980</v>
      </c>
      <c r="AB2012" t="s">
        <v>11942</v>
      </c>
      <c r="AE2012">
        <v>-36.891866499999999</v>
      </c>
      <c r="AF2012">
        <v>174.93812349999999</v>
      </c>
      <c r="AG2012" s="175">
        <v>80</v>
      </c>
      <c r="AH2012" s="175">
        <v>80</v>
      </c>
      <c r="AI2012" s="175">
        <v>5</v>
      </c>
      <c r="AJ2012" s="175">
        <v>12</v>
      </c>
      <c r="AK2012" s="175">
        <v>19</v>
      </c>
      <c r="AL2012" s="175">
        <v>24</v>
      </c>
      <c r="AM2012" s="175">
        <v>13</v>
      </c>
      <c r="AN2012" s="175">
        <v>1</v>
      </c>
      <c r="AO2012" s="175">
        <v>74</v>
      </c>
      <c r="AP2012" s="175">
        <v>60</v>
      </c>
      <c r="AQ2012" s="175">
        <v>9</v>
      </c>
      <c r="AR2012" s="175">
        <v>5</v>
      </c>
      <c r="AS2012" s="175">
        <v>19</v>
      </c>
      <c r="AT2012" s="175">
        <v>0</v>
      </c>
    </row>
    <row r="2013" spans="1:46">
      <c r="A2013">
        <v>45619</v>
      </c>
      <c r="B2013" t="s">
        <v>11943</v>
      </c>
      <c r="C2013" t="s">
        <v>11944</v>
      </c>
      <c r="D2013" t="s">
        <v>11945</v>
      </c>
      <c r="E2013" t="s">
        <v>11946</v>
      </c>
      <c r="F2013" t="s">
        <v>10675</v>
      </c>
      <c r="G2013" t="s">
        <v>1681</v>
      </c>
      <c r="H2013" t="s">
        <v>449</v>
      </c>
      <c r="J2013" t="s">
        <v>605</v>
      </c>
      <c r="K2013" t="s">
        <v>606</v>
      </c>
      <c r="M2013" t="s">
        <v>1382</v>
      </c>
      <c r="N2013" t="s">
        <v>657</v>
      </c>
      <c r="O2013" t="s">
        <v>1780</v>
      </c>
      <c r="P2013" t="s">
        <v>739</v>
      </c>
      <c r="Q2013" t="s">
        <v>511</v>
      </c>
      <c r="R2013" t="s">
        <v>1555</v>
      </c>
      <c r="S2013" t="s">
        <v>1681</v>
      </c>
      <c r="T2013" t="s">
        <v>1557</v>
      </c>
      <c r="U2013">
        <v>194000</v>
      </c>
      <c r="V2013" t="s">
        <v>10675</v>
      </c>
      <c r="W2013" t="s">
        <v>1791</v>
      </c>
      <c r="X2013" t="s">
        <v>8441</v>
      </c>
      <c r="Y2013" t="s">
        <v>4014</v>
      </c>
      <c r="Z2013" t="s">
        <v>4015</v>
      </c>
      <c r="AA2013" t="s">
        <v>4016</v>
      </c>
      <c r="AB2013" t="s">
        <v>8442</v>
      </c>
      <c r="AC2013">
        <v>99036</v>
      </c>
      <c r="AD2013" t="s">
        <v>1792</v>
      </c>
      <c r="AE2013">
        <v>-37.695019989999999</v>
      </c>
      <c r="AF2013">
        <v>176.14226443000001</v>
      </c>
      <c r="AG2013" s="175">
        <v>72</v>
      </c>
      <c r="AH2013" s="175">
        <v>20</v>
      </c>
      <c r="AI2013" s="175">
        <v>0</v>
      </c>
      <c r="AJ2013" s="175">
        <v>16</v>
      </c>
      <c r="AK2013" s="175">
        <v>20</v>
      </c>
      <c r="AL2013" s="175">
        <v>27</v>
      </c>
      <c r="AM2013" s="175">
        <v>16</v>
      </c>
      <c r="AN2013" s="175">
        <v>2</v>
      </c>
      <c r="AO2013" s="175">
        <v>81</v>
      </c>
      <c r="AP2013" s="175">
        <v>44</v>
      </c>
      <c r="AQ2013" s="175">
        <v>35</v>
      </c>
      <c r="AR2013" s="175">
        <v>2</v>
      </c>
      <c r="AS2013" s="175">
        <v>23</v>
      </c>
      <c r="AT2013" s="175">
        <v>5</v>
      </c>
    </row>
    <row r="2014" spans="1:46">
      <c r="A2014">
        <v>45620</v>
      </c>
      <c r="B2014" t="s">
        <v>11947</v>
      </c>
      <c r="C2014" t="s">
        <v>11948</v>
      </c>
      <c r="D2014" t="s">
        <v>11949</v>
      </c>
      <c r="E2014" t="s">
        <v>11950</v>
      </c>
      <c r="F2014" t="s">
        <v>11162</v>
      </c>
      <c r="G2014" t="s">
        <v>3841</v>
      </c>
      <c r="H2014" t="s">
        <v>449</v>
      </c>
      <c r="J2014" t="s">
        <v>4032</v>
      </c>
      <c r="K2014" t="s">
        <v>606</v>
      </c>
      <c r="M2014" t="s">
        <v>1382</v>
      </c>
      <c r="N2014" t="s">
        <v>643</v>
      </c>
      <c r="O2014" t="s">
        <v>1780</v>
      </c>
      <c r="P2014" t="s">
        <v>739</v>
      </c>
      <c r="Q2014" t="s">
        <v>511</v>
      </c>
      <c r="R2014" t="s">
        <v>1555</v>
      </c>
      <c r="S2014" t="s">
        <v>1781</v>
      </c>
      <c r="T2014" t="s">
        <v>1557</v>
      </c>
      <c r="U2014">
        <v>197400</v>
      </c>
      <c r="V2014" t="s">
        <v>8635</v>
      </c>
      <c r="W2014" t="s">
        <v>3843</v>
      </c>
      <c r="X2014" t="s">
        <v>11951</v>
      </c>
      <c r="Y2014" t="s">
        <v>11950</v>
      </c>
      <c r="Z2014" t="s">
        <v>11162</v>
      </c>
      <c r="AA2014" t="s">
        <v>11952</v>
      </c>
      <c r="AB2014" t="s">
        <v>11953</v>
      </c>
      <c r="AE2014">
        <v>-37.708577849999998</v>
      </c>
      <c r="AF2014">
        <v>176.31639297000001</v>
      </c>
      <c r="AG2014" s="175">
        <v>50</v>
      </c>
      <c r="AH2014" s="175">
        <v>19</v>
      </c>
      <c r="AI2014" s="175">
        <v>2</v>
      </c>
      <c r="AJ2014" s="175">
        <v>14</v>
      </c>
      <c r="AK2014" s="175">
        <v>7</v>
      </c>
      <c r="AL2014" s="175">
        <v>20</v>
      </c>
      <c r="AM2014" s="175">
        <v>10</v>
      </c>
      <c r="AN2014" s="175">
        <v>0</v>
      </c>
      <c r="AO2014" s="175">
        <v>53</v>
      </c>
      <c r="AP2014" s="175">
        <v>44</v>
      </c>
      <c r="AQ2014" s="175">
        <v>17</v>
      </c>
      <c r="AR2014" s="175">
        <v>4</v>
      </c>
      <c r="AS2014" s="175">
        <v>6</v>
      </c>
      <c r="AT2014" s="175">
        <v>0</v>
      </c>
    </row>
    <row r="2015" spans="1:46">
      <c r="A2015">
        <v>45621</v>
      </c>
      <c r="B2015" t="s">
        <v>11954</v>
      </c>
      <c r="C2015" t="s">
        <v>11955</v>
      </c>
      <c r="D2015" t="s">
        <v>11956</v>
      </c>
      <c r="E2015" t="s">
        <v>11957</v>
      </c>
      <c r="G2015" t="s">
        <v>3078</v>
      </c>
      <c r="H2015" t="s">
        <v>449</v>
      </c>
      <c r="J2015" t="s">
        <v>4032</v>
      </c>
      <c r="K2015" t="s">
        <v>606</v>
      </c>
      <c r="M2015" t="s">
        <v>2366</v>
      </c>
      <c r="N2015" t="s">
        <v>657</v>
      </c>
      <c r="O2015" t="s">
        <v>3079</v>
      </c>
      <c r="P2015" t="s">
        <v>610</v>
      </c>
      <c r="Q2015" t="s">
        <v>520</v>
      </c>
      <c r="R2015" t="s">
        <v>2901</v>
      </c>
      <c r="S2015" t="s">
        <v>2945</v>
      </c>
      <c r="T2015" t="s">
        <v>2526</v>
      </c>
      <c r="U2015">
        <v>310200</v>
      </c>
      <c r="V2015" t="s">
        <v>11958</v>
      </c>
      <c r="W2015" t="s">
        <v>2521</v>
      </c>
      <c r="X2015" t="s">
        <v>11959</v>
      </c>
      <c r="Y2015" t="s">
        <v>11957</v>
      </c>
      <c r="AA2015" t="s">
        <v>11960</v>
      </c>
      <c r="AB2015" t="s">
        <v>11955</v>
      </c>
      <c r="AC2015">
        <v>99026</v>
      </c>
      <c r="AD2015" t="s">
        <v>3081</v>
      </c>
      <c r="AE2015">
        <v>-42.450403960000003</v>
      </c>
      <c r="AF2015">
        <v>171.19394267000001</v>
      </c>
      <c r="AG2015" s="175">
        <v>40</v>
      </c>
      <c r="AH2015" s="175">
        <v>0</v>
      </c>
      <c r="AI2015" s="175">
        <v>0</v>
      </c>
      <c r="AJ2015" s="175">
        <v>0</v>
      </c>
      <c r="AK2015" s="175">
        <v>15</v>
      </c>
      <c r="AL2015" s="175">
        <v>24</v>
      </c>
      <c r="AM2015" s="175">
        <v>26</v>
      </c>
      <c r="AN2015" s="175">
        <v>0</v>
      </c>
      <c r="AO2015" s="175">
        <v>65</v>
      </c>
      <c r="AP2015" s="175">
        <v>63</v>
      </c>
      <c r="AQ2015" s="175">
        <v>9</v>
      </c>
      <c r="AR2015" s="175">
        <v>2</v>
      </c>
      <c r="AS2015" s="175">
        <v>3</v>
      </c>
      <c r="AT2015" s="175">
        <v>0</v>
      </c>
    </row>
    <row r="2016" spans="1:46">
      <c r="A2016">
        <v>45622</v>
      </c>
      <c r="B2016" t="s">
        <v>11961</v>
      </c>
      <c r="C2016" t="s">
        <v>11962</v>
      </c>
      <c r="E2016" t="s">
        <v>11963</v>
      </c>
      <c r="F2016" t="s">
        <v>3606</v>
      </c>
      <c r="G2016" t="s">
        <v>3569</v>
      </c>
      <c r="H2016" t="s">
        <v>449</v>
      </c>
      <c r="J2016" t="s">
        <v>605</v>
      </c>
      <c r="K2016" t="s">
        <v>606</v>
      </c>
      <c r="M2016" t="s">
        <v>2366</v>
      </c>
      <c r="N2016" t="s">
        <v>643</v>
      </c>
      <c r="O2016" t="s">
        <v>3568</v>
      </c>
      <c r="P2016" t="s">
        <v>670</v>
      </c>
      <c r="Q2016" t="s">
        <v>523</v>
      </c>
      <c r="R2016" t="s">
        <v>3410</v>
      </c>
      <c r="S2016" t="s">
        <v>3569</v>
      </c>
      <c r="T2016" t="s">
        <v>2526</v>
      </c>
      <c r="U2016">
        <v>361701</v>
      </c>
      <c r="V2016" t="s">
        <v>3606</v>
      </c>
      <c r="W2016" t="s">
        <v>1734</v>
      </c>
      <c r="X2016" t="s">
        <v>11964</v>
      </c>
      <c r="Y2016" t="s">
        <v>11963</v>
      </c>
      <c r="Z2016" t="s">
        <v>11965</v>
      </c>
      <c r="AA2016" t="s">
        <v>11966</v>
      </c>
      <c r="AB2016" t="s">
        <v>11962</v>
      </c>
      <c r="AE2016">
        <v>-46.407131370000002</v>
      </c>
      <c r="AF2016">
        <v>168.37803149999999</v>
      </c>
      <c r="AG2016" s="175">
        <v>150</v>
      </c>
      <c r="AH2016" s="175">
        <v>50</v>
      </c>
      <c r="AI2016" s="175">
        <v>7</v>
      </c>
      <c r="AJ2016" s="175">
        <v>26</v>
      </c>
      <c r="AK2016" s="175">
        <v>53</v>
      </c>
      <c r="AL2016" s="175">
        <v>40</v>
      </c>
      <c r="AM2016" s="175">
        <v>30</v>
      </c>
      <c r="AN2016" s="175">
        <v>0</v>
      </c>
      <c r="AO2016" s="175">
        <v>156</v>
      </c>
      <c r="AP2016" s="175">
        <v>105</v>
      </c>
      <c r="AQ2016" s="175">
        <v>64</v>
      </c>
      <c r="AR2016" s="175">
        <v>11</v>
      </c>
      <c r="AS2016" s="175">
        <v>16</v>
      </c>
      <c r="AT2016" s="175">
        <v>9</v>
      </c>
    </row>
    <row r="2017" spans="1:46">
      <c r="A2017">
        <v>45624</v>
      </c>
      <c r="B2017" t="s">
        <v>11967</v>
      </c>
      <c r="C2017" t="s">
        <v>11968</v>
      </c>
      <c r="D2017" t="s">
        <v>8226</v>
      </c>
      <c r="E2017" t="s">
        <v>11969</v>
      </c>
      <c r="F2017" t="s">
        <v>1274</v>
      </c>
      <c r="G2017" t="s">
        <v>737</v>
      </c>
      <c r="H2017" t="s">
        <v>449</v>
      </c>
      <c r="J2017" t="s">
        <v>4032</v>
      </c>
      <c r="K2017" t="s">
        <v>606</v>
      </c>
      <c r="M2017" t="s">
        <v>607</v>
      </c>
      <c r="N2017" t="s">
        <v>657</v>
      </c>
      <c r="O2017" t="s">
        <v>898</v>
      </c>
      <c r="P2017" t="s">
        <v>739</v>
      </c>
      <c r="Q2017" t="s">
        <v>467</v>
      </c>
      <c r="R2017" t="s">
        <v>724</v>
      </c>
      <c r="S2017" t="s">
        <v>984</v>
      </c>
      <c r="T2017" t="s">
        <v>794</v>
      </c>
      <c r="U2017">
        <v>128501</v>
      </c>
      <c r="V2017" t="s">
        <v>1275</v>
      </c>
      <c r="W2017" t="s">
        <v>900</v>
      </c>
      <c r="X2017" t="s">
        <v>8228</v>
      </c>
      <c r="Y2017" t="s">
        <v>8229</v>
      </c>
      <c r="Z2017" t="s">
        <v>802</v>
      </c>
      <c r="AA2017" t="s">
        <v>5756</v>
      </c>
      <c r="AB2017" t="s">
        <v>8230</v>
      </c>
      <c r="AE2017">
        <v>-36.876214730000001</v>
      </c>
      <c r="AF2017">
        <v>174.6532109</v>
      </c>
      <c r="AG2017" s="175">
        <v>60</v>
      </c>
      <c r="AH2017" s="175">
        <v>20</v>
      </c>
      <c r="AI2017" s="175">
        <v>1</v>
      </c>
      <c r="AJ2017" s="175">
        <v>8</v>
      </c>
      <c r="AK2017" s="175">
        <v>13</v>
      </c>
      <c r="AL2017" s="175">
        <v>13</v>
      </c>
      <c r="AM2017" s="175">
        <v>11</v>
      </c>
      <c r="AN2017" s="175">
        <v>1</v>
      </c>
      <c r="AO2017" s="175">
        <v>47</v>
      </c>
      <c r="AP2017" s="175">
        <v>14</v>
      </c>
      <c r="AQ2017" s="175">
        <v>5</v>
      </c>
      <c r="AR2017" s="175">
        <v>16</v>
      </c>
      <c r="AS2017" s="175">
        <v>24</v>
      </c>
      <c r="AT2017" s="175">
        <v>1</v>
      </c>
    </row>
    <row r="2018" spans="1:46">
      <c r="A2018">
        <v>45625</v>
      </c>
      <c r="B2018" t="s">
        <v>11970</v>
      </c>
      <c r="C2018" t="s">
        <v>11971</v>
      </c>
      <c r="D2018" t="s">
        <v>11972</v>
      </c>
      <c r="E2018" t="s">
        <v>11973</v>
      </c>
      <c r="F2018" t="s">
        <v>888</v>
      </c>
      <c r="G2018" t="s">
        <v>737</v>
      </c>
      <c r="H2018" t="s">
        <v>449</v>
      </c>
      <c r="J2018" t="s">
        <v>4032</v>
      </c>
      <c r="K2018" t="s">
        <v>606</v>
      </c>
      <c r="M2018" t="s">
        <v>607</v>
      </c>
      <c r="N2018" t="s">
        <v>657</v>
      </c>
      <c r="O2018" t="s">
        <v>889</v>
      </c>
      <c r="P2018" t="s">
        <v>739</v>
      </c>
      <c r="Q2018" t="s">
        <v>467</v>
      </c>
      <c r="R2018" t="s">
        <v>793</v>
      </c>
      <c r="S2018" t="s">
        <v>890</v>
      </c>
      <c r="T2018" t="s">
        <v>794</v>
      </c>
      <c r="U2018">
        <v>143301</v>
      </c>
      <c r="V2018" t="s">
        <v>4299</v>
      </c>
      <c r="W2018" t="s">
        <v>892</v>
      </c>
      <c r="X2018" t="s">
        <v>11974</v>
      </c>
      <c r="Y2018" t="s">
        <v>11975</v>
      </c>
      <c r="Z2018" t="s">
        <v>888</v>
      </c>
      <c r="AA2018" t="s">
        <v>4302</v>
      </c>
      <c r="AB2018" t="s">
        <v>11976</v>
      </c>
      <c r="AE2018">
        <v>-36.894893959999997</v>
      </c>
      <c r="AF2018">
        <v>174.80802972000001</v>
      </c>
      <c r="AG2018" s="175">
        <v>17</v>
      </c>
      <c r="AH2018" s="175">
        <v>8</v>
      </c>
      <c r="AI2018" s="175">
        <v>0</v>
      </c>
      <c r="AJ2018" s="175">
        <v>8</v>
      </c>
      <c r="AK2018" s="175">
        <v>3</v>
      </c>
      <c r="AL2018" s="175">
        <v>9</v>
      </c>
      <c r="AM2018" s="175">
        <v>3</v>
      </c>
      <c r="AN2018" s="175">
        <v>0</v>
      </c>
      <c r="AO2018" s="175">
        <v>23</v>
      </c>
      <c r="AP2018" s="175">
        <v>23</v>
      </c>
      <c r="AQ2018" s="175">
        <v>0</v>
      </c>
      <c r="AR2018" s="175">
        <v>0</v>
      </c>
      <c r="AS2018" s="175">
        <v>0</v>
      </c>
      <c r="AT2018" s="175">
        <v>0</v>
      </c>
    </row>
    <row r="2019" spans="1:46">
      <c r="A2019">
        <v>45626</v>
      </c>
      <c r="B2019" t="s">
        <v>11977</v>
      </c>
      <c r="C2019" t="s">
        <v>11978</v>
      </c>
      <c r="D2019" t="s">
        <v>11979</v>
      </c>
      <c r="E2019" t="s">
        <v>11980</v>
      </c>
      <c r="F2019" t="s">
        <v>7019</v>
      </c>
      <c r="G2019" t="s">
        <v>737</v>
      </c>
      <c r="H2019" t="s">
        <v>449</v>
      </c>
      <c r="J2019" t="s">
        <v>4032</v>
      </c>
      <c r="K2019" t="s">
        <v>606</v>
      </c>
      <c r="M2019" t="s">
        <v>607</v>
      </c>
      <c r="N2019" t="s">
        <v>657</v>
      </c>
      <c r="O2019" t="s">
        <v>889</v>
      </c>
      <c r="P2019" t="s">
        <v>739</v>
      </c>
      <c r="Q2019" t="s">
        <v>467</v>
      </c>
      <c r="R2019" t="s">
        <v>793</v>
      </c>
      <c r="S2019" t="s">
        <v>965</v>
      </c>
      <c r="T2019" t="s">
        <v>794</v>
      </c>
      <c r="U2019">
        <v>145400</v>
      </c>
      <c r="V2019" t="s">
        <v>8259</v>
      </c>
      <c r="W2019" t="s">
        <v>892</v>
      </c>
      <c r="X2019" t="s">
        <v>11981</v>
      </c>
      <c r="Y2019" t="s">
        <v>4725</v>
      </c>
      <c r="Z2019" t="s">
        <v>1043</v>
      </c>
      <c r="AA2019" t="s">
        <v>4726</v>
      </c>
      <c r="AE2019">
        <v>-36.877173810000002</v>
      </c>
      <c r="AF2019">
        <v>174.84938084000001</v>
      </c>
      <c r="AG2019" s="175">
        <v>85</v>
      </c>
      <c r="AH2019" s="175">
        <v>15</v>
      </c>
      <c r="AI2019" s="175">
        <v>2</v>
      </c>
      <c r="AJ2019" s="175">
        <v>9</v>
      </c>
      <c r="AK2019" s="175">
        <v>16</v>
      </c>
      <c r="AL2019" s="175">
        <v>7</v>
      </c>
      <c r="AM2019" s="175">
        <v>5</v>
      </c>
      <c r="AN2019" s="175">
        <v>0</v>
      </c>
      <c r="AO2019" s="175">
        <v>39</v>
      </c>
      <c r="AP2019" s="175">
        <v>22</v>
      </c>
      <c r="AQ2019" s="175">
        <v>6</v>
      </c>
      <c r="AR2019" s="175">
        <v>4</v>
      </c>
      <c r="AS2019" s="175">
        <v>15</v>
      </c>
      <c r="AT2019" s="175">
        <v>8</v>
      </c>
    </row>
    <row r="2020" spans="1:46">
      <c r="A2020">
        <v>45628</v>
      </c>
      <c r="B2020" t="s">
        <v>11982</v>
      </c>
      <c r="C2020" t="s">
        <v>11983</v>
      </c>
      <c r="D2020" t="s">
        <v>11984</v>
      </c>
      <c r="E2020" t="s">
        <v>11985</v>
      </c>
      <c r="G2020" t="s">
        <v>3744</v>
      </c>
      <c r="H2020" t="s">
        <v>449</v>
      </c>
      <c r="J2020" t="s">
        <v>4032</v>
      </c>
      <c r="K2020" t="s">
        <v>606</v>
      </c>
      <c r="M2020" t="s">
        <v>607</v>
      </c>
      <c r="N2020" t="s">
        <v>657</v>
      </c>
      <c r="O2020" t="s">
        <v>609</v>
      </c>
      <c r="P2020" t="s">
        <v>658</v>
      </c>
      <c r="Q2020" t="s">
        <v>509</v>
      </c>
      <c r="R2020" t="s">
        <v>611</v>
      </c>
      <c r="S2020" t="s">
        <v>612</v>
      </c>
      <c r="T2020" t="s">
        <v>613</v>
      </c>
      <c r="U2020">
        <v>102600</v>
      </c>
      <c r="V2020" t="s">
        <v>5390</v>
      </c>
      <c r="W2020" t="s">
        <v>644</v>
      </c>
      <c r="X2020" t="s">
        <v>5391</v>
      </c>
      <c r="Y2020" t="s">
        <v>5392</v>
      </c>
      <c r="AA2020" t="s">
        <v>4922</v>
      </c>
      <c r="AB2020" t="s">
        <v>5393</v>
      </c>
      <c r="AE2020">
        <v>-35.241949230000003</v>
      </c>
      <c r="AF2020">
        <v>173.91526078999999</v>
      </c>
      <c r="AG2020" s="175">
        <v>20</v>
      </c>
      <c r="AH2020" s="175">
        <v>0</v>
      </c>
      <c r="AI2020" s="175">
        <v>0</v>
      </c>
      <c r="AJ2020" s="175">
        <v>0</v>
      </c>
      <c r="AK2020" s="175">
        <v>0</v>
      </c>
      <c r="AL2020" s="175">
        <v>0</v>
      </c>
      <c r="AM2020" s="175">
        <v>0</v>
      </c>
      <c r="AN2020" s="175">
        <v>13</v>
      </c>
      <c r="AO2020" s="175">
        <v>13</v>
      </c>
      <c r="AP2020" s="175">
        <v>11</v>
      </c>
      <c r="AQ2020" s="175">
        <v>0</v>
      </c>
      <c r="AR2020" s="175">
        <v>0</v>
      </c>
      <c r="AS2020" s="175">
        <v>3</v>
      </c>
      <c r="AT2020" s="175">
        <v>0</v>
      </c>
    </row>
    <row r="2021" spans="1:46">
      <c r="A2021">
        <v>45631</v>
      </c>
      <c r="B2021" t="s">
        <v>11986</v>
      </c>
      <c r="C2021" t="s">
        <v>11987</v>
      </c>
      <c r="D2021" t="s">
        <v>11223</v>
      </c>
      <c r="E2021" t="s">
        <v>11988</v>
      </c>
      <c r="F2021" t="s">
        <v>1506</v>
      </c>
      <c r="G2021" t="s">
        <v>1381</v>
      </c>
      <c r="H2021" t="s">
        <v>449</v>
      </c>
      <c r="J2021" t="s">
        <v>4032</v>
      </c>
      <c r="K2021" t="s">
        <v>606</v>
      </c>
      <c r="M2021" t="s">
        <v>1382</v>
      </c>
      <c r="N2021" t="s">
        <v>643</v>
      </c>
      <c r="O2021" t="s">
        <v>1383</v>
      </c>
      <c r="P2021" t="s">
        <v>739</v>
      </c>
      <c r="Q2021" t="s">
        <v>510</v>
      </c>
      <c r="R2021" t="s">
        <v>1384</v>
      </c>
      <c r="S2021" t="s">
        <v>1385</v>
      </c>
      <c r="T2021" t="s">
        <v>1320</v>
      </c>
      <c r="U2021">
        <v>176301</v>
      </c>
      <c r="V2021" t="s">
        <v>8493</v>
      </c>
      <c r="W2021" t="s">
        <v>1387</v>
      </c>
      <c r="X2021" t="s">
        <v>11225</v>
      </c>
      <c r="Y2021" t="s">
        <v>11226</v>
      </c>
      <c r="Z2021" t="s">
        <v>11227</v>
      </c>
      <c r="AA2021" t="s">
        <v>8575</v>
      </c>
      <c r="AB2021" t="s">
        <v>11228</v>
      </c>
      <c r="AE2021">
        <v>-37.75107603</v>
      </c>
      <c r="AF2021">
        <v>175.24189134</v>
      </c>
      <c r="AG2021" s="175">
        <v>50</v>
      </c>
      <c r="AH2021" s="175">
        <v>15</v>
      </c>
      <c r="AI2021" s="175">
        <v>1</v>
      </c>
      <c r="AJ2021" s="175">
        <v>12</v>
      </c>
      <c r="AK2021" s="175">
        <v>12</v>
      </c>
      <c r="AL2021" s="175">
        <v>13</v>
      </c>
      <c r="AM2021" s="175">
        <v>12</v>
      </c>
      <c r="AN2021" s="175">
        <v>3</v>
      </c>
      <c r="AO2021" s="175">
        <v>53</v>
      </c>
      <c r="AP2021" s="175">
        <v>46</v>
      </c>
      <c r="AQ2021" s="175">
        <v>14</v>
      </c>
      <c r="AR2021" s="175">
        <v>2</v>
      </c>
      <c r="AS2021" s="175">
        <v>5</v>
      </c>
      <c r="AT2021" s="175">
        <v>3</v>
      </c>
    </row>
    <row r="2022" spans="1:46">
      <c r="A2022">
        <v>45633</v>
      </c>
      <c r="B2022" t="s">
        <v>11989</v>
      </c>
      <c r="C2022" t="s">
        <v>11990</v>
      </c>
      <c r="D2022" t="s">
        <v>11991</v>
      </c>
      <c r="E2022" t="s">
        <v>11992</v>
      </c>
      <c r="G2022" t="s">
        <v>2396</v>
      </c>
      <c r="H2022" t="s">
        <v>449</v>
      </c>
      <c r="J2022" t="s">
        <v>4032</v>
      </c>
      <c r="K2022" t="s">
        <v>606</v>
      </c>
      <c r="M2022" t="s">
        <v>2366</v>
      </c>
      <c r="N2022" t="s">
        <v>643</v>
      </c>
      <c r="O2022" t="s">
        <v>2397</v>
      </c>
      <c r="P2022" t="s">
        <v>1347</v>
      </c>
      <c r="Q2022" t="s">
        <v>516</v>
      </c>
      <c r="R2022" t="s">
        <v>2368</v>
      </c>
      <c r="S2022" t="s">
        <v>2348</v>
      </c>
      <c r="T2022" t="s">
        <v>2165</v>
      </c>
      <c r="U2022">
        <v>256400</v>
      </c>
      <c r="V2022" t="s">
        <v>2424</v>
      </c>
      <c r="W2022" t="s">
        <v>2399</v>
      </c>
      <c r="X2022" t="s">
        <v>11993</v>
      </c>
      <c r="Y2022" t="s">
        <v>11994</v>
      </c>
      <c r="Z2022" t="s">
        <v>2418</v>
      </c>
      <c r="AA2022" t="s">
        <v>11995</v>
      </c>
      <c r="AB2022" t="s">
        <v>11996</v>
      </c>
      <c r="AE2022">
        <v>-40.956019619999999</v>
      </c>
      <c r="AF2022">
        <v>175.65908962</v>
      </c>
      <c r="AG2022" s="175">
        <v>21</v>
      </c>
      <c r="AH2022" s="175">
        <v>20</v>
      </c>
      <c r="AI2022" s="175">
        <v>4</v>
      </c>
      <c r="AJ2022" s="175">
        <v>15</v>
      </c>
      <c r="AK2022" s="175">
        <v>13</v>
      </c>
      <c r="AL2022" s="175">
        <v>0</v>
      </c>
      <c r="AM2022" s="175">
        <v>0</v>
      </c>
      <c r="AN2022" s="175">
        <v>0</v>
      </c>
      <c r="AO2022" s="175">
        <v>32</v>
      </c>
      <c r="AP2022" s="175">
        <v>28</v>
      </c>
      <c r="AQ2022" s="175">
        <v>8</v>
      </c>
      <c r="AR2022" s="175">
        <v>0</v>
      </c>
      <c r="AS2022" s="175">
        <v>1</v>
      </c>
      <c r="AT2022" s="175">
        <v>2</v>
      </c>
    </row>
    <row r="2023" spans="1:46">
      <c r="A2023">
        <v>45634</v>
      </c>
      <c r="B2023" t="s">
        <v>11997</v>
      </c>
      <c r="C2023" t="s">
        <v>7870</v>
      </c>
      <c r="D2023" t="s">
        <v>6878</v>
      </c>
      <c r="E2023" t="s">
        <v>11998</v>
      </c>
      <c r="F2023" t="s">
        <v>998</v>
      </c>
      <c r="G2023" t="s">
        <v>737</v>
      </c>
      <c r="H2023" t="s">
        <v>301</v>
      </c>
      <c r="J2023" t="s">
        <v>605</v>
      </c>
      <c r="K2023" t="s">
        <v>606</v>
      </c>
      <c r="M2023" t="s">
        <v>607</v>
      </c>
      <c r="N2023" t="s">
        <v>4586</v>
      </c>
      <c r="O2023" t="s">
        <v>997</v>
      </c>
      <c r="P2023" t="s">
        <v>739</v>
      </c>
      <c r="Q2023" t="s">
        <v>467</v>
      </c>
      <c r="R2023" t="s">
        <v>793</v>
      </c>
      <c r="S2023" t="s">
        <v>998</v>
      </c>
      <c r="T2023" t="s">
        <v>794</v>
      </c>
      <c r="U2023">
        <v>139801</v>
      </c>
      <c r="V2023" t="s">
        <v>6152</v>
      </c>
      <c r="W2023" t="s">
        <v>945</v>
      </c>
      <c r="X2023" t="s">
        <v>7159</v>
      </c>
      <c r="Y2023" t="s">
        <v>5253</v>
      </c>
      <c r="AA2023" t="s">
        <v>5254</v>
      </c>
      <c r="AE2023">
        <v>-36.920126850000003</v>
      </c>
      <c r="AF2023">
        <v>174.72049150000001</v>
      </c>
      <c r="AG2023" s="175">
        <v>25</v>
      </c>
      <c r="AH2023" s="175">
        <v>25</v>
      </c>
      <c r="AI2023" s="175">
        <v>41</v>
      </c>
      <c r="AJ2023" s="175">
        <v>24</v>
      </c>
      <c r="AK2023" s="175">
        <v>2</v>
      </c>
      <c r="AL2023" s="175">
        <v>0</v>
      </c>
      <c r="AM2023" s="175">
        <v>0</v>
      </c>
      <c r="AN2023" s="175">
        <v>0</v>
      </c>
      <c r="AO2023" s="175">
        <v>67</v>
      </c>
      <c r="AP2023" s="175">
        <v>55</v>
      </c>
      <c r="AQ2023" s="175">
        <v>4</v>
      </c>
      <c r="AR2023" s="175">
        <v>1</v>
      </c>
      <c r="AS2023" s="175">
        <v>18</v>
      </c>
      <c r="AT2023" s="175">
        <v>1</v>
      </c>
    </row>
    <row r="2024" spans="1:46">
      <c r="A2024">
        <v>45635</v>
      </c>
      <c r="B2024" t="s">
        <v>11999</v>
      </c>
      <c r="C2024" t="s">
        <v>12000</v>
      </c>
      <c r="D2024" t="s">
        <v>12001</v>
      </c>
      <c r="E2024" t="s">
        <v>12002</v>
      </c>
      <c r="F2024" t="s">
        <v>3159</v>
      </c>
      <c r="G2024" t="s">
        <v>3015</v>
      </c>
      <c r="H2024" t="s">
        <v>449</v>
      </c>
      <c r="J2024" t="s">
        <v>4032</v>
      </c>
      <c r="K2024" t="s">
        <v>606</v>
      </c>
      <c r="M2024" t="s">
        <v>2366</v>
      </c>
      <c r="N2024" t="s">
        <v>657</v>
      </c>
      <c r="O2024" t="s">
        <v>3016</v>
      </c>
      <c r="P2024" t="s">
        <v>739</v>
      </c>
      <c r="Q2024" t="s">
        <v>521</v>
      </c>
      <c r="R2024" t="s">
        <v>3017</v>
      </c>
      <c r="S2024" t="s">
        <v>3092</v>
      </c>
      <c r="T2024" t="s">
        <v>2526</v>
      </c>
      <c r="U2024">
        <v>327700</v>
      </c>
      <c r="V2024" t="s">
        <v>11009</v>
      </c>
      <c r="W2024" t="s">
        <v>3161</v>
      </c>
      <c r="X2024" t="s">
        <v>12003</v>
      </c>
      <c r="Y2024" t="s">
        <v>12004</v>
      </c>
      <c r="Z2024" t="s">
        <v>3023</v>
      </c>
      <c r="AA2024" t="s">
        <v>12005</v>
      </c>
      <c r="AB2024" t="s">
        <v>12000</v>
      </c>
      <c r="AC2024">
        <v>99177</v>
      </c>
      <c r="AD2024" t="s">
        <v>3032</v>
      </c>
      <c r="AE2024">
        <v>-43.558287960000001</v>
      </c>
      <c r="AF2024">
        <v>172.60161743</v>
      </c>
      <c r="AG2024" s="175">
        <v>90</v>
      </c>
      <c r="AH2024" s="175">
        <v>30</v>
      </c>
      <c r="AI2024" s="175">
        <v>6</v>
      </c>
      <c r="AJ2024" s="175">
        <v>22</v>
      </c>
      <c r="AK2024" s="175">
        <v>29</v>
      </c>
      <c r="AL2024" s="175">
        <v>33</v>
      </c>
      <c r="AM2024" s="175">
        <v>18</v>
      </c>
      <c r="AN2024" s="175">
        <v>2</v>
      </c>
      <c r="AO2024" s="175">
        <v>110</v>
      </c>
      <c r="AP2024" s="175">
        <v>108</v>
      </c>
      <c r="AQ2024" s="175">
        <v>10</v>
      </c>
      <c r="AR2024" s="175">
        <v>3</v>
      </c>
      <c r="AS2024" s="175">
        <v>6</v>
      </c>
      <c r="AT2024" s="175">
        <v>1</v>
      </c>
    </row>
    <row r="2025" spans="1:46">
      <c r="A2025">
        <v>45639</v>
      </c>
      <c r="B2025" t="s">
        <v>12006</v>
      </c>
      <c r="C2025" t="s">
        <v>12007</v>
      </c>
      <c r="D2025" t="s">
        <v>12008</v>
      </c>
      <c r="E2025" t="s">
        <v>12009</v>
      </c>
      <c r="F2025" t="s">
        <v>12010</v>
      </c>
      <c r="G2025" t="s">
        <v>3015</v>
      </c>
      <c r="H2025" t="s">
        <v>449</v>
      </c>
      <c r="J2025" t="s">
        <v>4032</v>
      </c>
      <c r="K2025" t="s">
        <v>606</v>
      </c>
      <c r="M2025" t="s">
        <v>2366</v>
      </c>
      <c r="N2025" t="s">
        <v>657</v>
      </c>
      <c r="O2025" t="s">
        <v>3016</v>
      </c>
      <c r="P2025" t="s">
        <v>739</v>
      </c>
      <c r="Q2025" t="s">
        <v>521</v>
      </c>
      <c r="R2025" t="s">
        <v>3017</v>
      </c>
      <c r="S2025" t="s">
        <v>3046</v>
      </c>
      <c r="T2025" t="s">
        <v>2526</v>
      </c>
      <c r="U2025">
        <v>321302</v>
      </c>
      <c r="V2025" t="s">
        <v>12011</v>
      </c>
      <c r="W2025" t="s">
        <v>3199</v>
      </c>
      <c r="X2025" t="s">
        <v>12012</v>
      </c>
      <c r="Y2025" t="s">
        <v>12013</v>
      </c>
      <c r="Z2025" t="s">
        <v>3057</v>
      </c>
      <c r="AA2025" t="s">
        <v>11584</v>
      </c>
      <c r="AB2025" t="s">
        <v>12014</v>
      </c>
      <c r="AE2025">
        <v>-43.474181399999999</v>
      </c>
      <c r="AF2025">
        <v>172.66565151</v>
      </c>
      <c r="AG2025" s="175">
        <v>47</v>
      </c>
      <c r="AH2025" s="175">
        <v>14</v>
      </c>
      <c r="AI2025" s="175">
        <v>2</v>
      </c>
      <c r="AJ2025" s="175">
        <v>14</v>
      </c>
      <c r="AK2025" s="175">
        <v>9</v>
      </c>
      <c r="AL2025" s="175">
        <v>7</v>
      </c>
      <c r="AM2025" s="175">
        <v>3</v>
      </c>
      <c r="AN2025" s="175">
        <v>0</v>
      </c>
      <c r="AO2025" s="175">
        <v>35</v>
      </c>
      <c r="AP2025" s="175">
        <v>28</v>
      </c>
      <c r="AQ2025" s="175">
        <v>8</v>
      </c>
      <c r="AR2025" s="175">
        <v>0</v>
      </c>
      <c r="AS2025" s="175">
        <v>5</v>
      </c>
      <c r="AT2025" s="175">
        <v>2</v>
      </c>
    </row>
    <row r="2026" spans="1:46">
      <c r="A2026">
        <v>45645</v>
      </c>
      <c r="B2026" t="s">
        <v>12015</v>
      </c>
      <c r="C2026" t="s">
        <v>12016</v>
      </c>
      <c r="D2026" t="s">
        <v>12017</v>
      </c>
      <c r="E2026" t="s">
        <v>12018</v>
      </c>
      <c r="F2026" t="s">
        <v>11965</v>
      </c>
      <c r="G2026" t="s">
        <v>3569</v>
      </c>
      <c r="H2026" t="s">
        <v>449</v>
      </c>
      <c r="J2026" t="s">
        <v>4032</v>
      </c>
      <c r="K2026" t="s">
        <v>606</v>
      </c>
      <c r="M2026" t="s">
        <v>2366</v>
      </c>
      <c r="N2026" t="s">
        <v>657</v>
      </c>
      <c r="O2026" t="s">
        <v>3568</v>
      </c>
      <c r="P2026" t="s">
        <v>670</v>
      </c>
      <c r="Q2026" t="s">
        <v>523</v>
      </c>
      <c r="R2026" t="s">
        <v>3410</v>
      </c>
      <c r="S2026" t="s">
        <v>3569</v>
      </c>
      <c r="T2026" t="s">
        <v>2526</v>
      </c>
      <c r="U2026">
        <v>361900</v>
      </c>
      <c r="V2026" t="s">
        <v>12019</v>
      </c>
      <c r="W2026" t="s">
        <v>1734</v>
      </c>
      <c r="X2026" t="s">
        <v>12020</v>
      </c>
      <c r="Y2026" t="s">
        <v>12021</v>
      </c>
      <c r="AA2026" t="s">
        <v>12022</v>
      </c>
      <c r="AB2026" t="s">
        <v>12023</v>
      </c>
      <c r="AE2026">
        <v>-46.412434879999999</v>
      </c>
      <c r="AF2026">
        <v>168.3708413</v>
      </c>
      <c r="AG2026" s="175">
        <v>21</v>
      </c>
      <c r="AH2026" s="175">
        <v>21</v>
      </c>
      <c r="AI2026" s="175">
        <v>1</v>
      </c>
      <c r="AJ2026" s="175">
        <v>2</v>
      </c>
      <c r="AK2026" s="175">
        <v>3</v>
      </c>
      <c r="AL2026" s="175">
        <v>7</v>
      </c>
      <c r="AM2026" s="175">
        <v>7</v>
      </c>
      <c r="AN2026" s="175">
        <v>0</v>
      </c>
      <c r="AO2026" s="175">
        <v>20</v>
      </c>
      <c r="AP2026" s="175">
        <v>17</v>
      </c>
      <c r="AQ2026" s="175">
        <v>2</v>
      </c>
      <c r="AR2026" s="175">
        <v>1</v>
      </c>
      <c r="AS2026" s="175">
        <v>3</v>
      </c>
      <c r="AT2026" s="175">
        <v>1</v>
      </c>
    </row>
    <row r="2027" spans="1:46">
      <c r="A2027">
        <v>45648</v>
      </c>
      <c r="B2027" t="s">
        <v>12024</v>
      </c>
      <c r="C2027" t="s">
        <v>12025</v>
      </c>
      <c r="D2027" t="s">
        <v>12026</v>
      </c>
      <c r="E2027" t="s">
        <v>12027</v>
      </c>
      <c r="G2027" t="s">
        <v>3950</v>
      </c>
      <c r="H2027" t="s">
        <v>449</v>
      </c>
      <c r="J2027" t="s">
        <v>605</v>
      </c>
      <c r="K2027" t="s">
        <v>606</v>
      </c>
      <c r="M2027" t="s">
        <v>2366</v>
      </c>
      <c r="N2027" t="s">
        <v>657</v>
      </c>
      <c r="O2027" t="s">
        <v>3553</v>
      </c>
      <c r="P2027" t="s">
        <v>610</v>
      </c>
      <c r="Q2027" t="s">
        <v>522</v>
      </c>
      <c r="R2027" t="s">
        <v>3410</v>
      </c>
      <c r="S2027" t="s">
        <v>3456</v>
      </c>
      <c r="T2027" t="s">
        <v>2526</v>
      </c>
      <c r="U2027">
        <v>356400</v>
      </c>
      <c r="V2027" t="s">
        <v>3950</v>
      </c>
      <c r="W2027" t="s">
        <v>3951</v>
      </c>
      <c r="X2027" t="s">
        <v>12028</v>
      </c>
      <c r="Y2027" t="s">
        <v>12029</v>
      </c>
      <c r="AA2027" t="s">
        <v>12030</v>
      </c>
      <c r="AC2027">
        <v>99179</v>
      </c>
      <c r="AD2027" t="s">
        <v>3952</v>
      </c>
      <c r="AE2027">
        <v>-46.118615679999998</v>
      </c>
      <c r="AF2027">
        <v>169.96402144000001</v>
      </c>
      <c r="AG2027" s="175">
        <v>34</v>
      </c>
      <c r="AH2027" s="175">
        <v>11</v>
      </c>
      <c r="AI2027" s="175">
        <v>0</v>
      </c>
      <c r="AJ2027" s="175">
        <v>9</v>
      </c>
      <c r="AK2027" s="175">
        <v>7</v>
      </c>
      <c r="AL2027" s="175">
        <v>12</v>
      </c>
      <c r="AM2027" s="175">
        <v>12</v>
      </c>
      <c r="AN2027" s="175">
        <v>0</v>
      </c>
      <c r="AO2027" s="175">
        <v>40</v>
      </c>
      <c r="AP2027" s="175">
        <v>35</v>
      </c>
      <c r="AQ2027" s="175">
        <v>6</v>
      </c>
      <c r="AR2027" s="175">
        <v>0</v>
      </c>
      <c r="AS2027" s="175">
        <v>0</v>
      </c>
      <c r="AT2027" s="175">
        <v>4</v>
      </c>
    </row>
    <row r="2028" spans="1:46">
      <c r="A2028">
        <v>45654</v>
      </c>
      <c r="B2028" t="s">
        <v>12031</v>
      </c>
      <c r="C2028" t="s">
        <v>12032</v>
      </c>
      <c r="D2028" t="s">
        <v>12033</v>
      </c>
      <c r="E2028" t="s">
        <v>12034</v>
      </c>
      <c r="F2028" t="s">
        <v>855</v>
      </c>
      <c r="G2028" t="s">
        <v>737</v>
      </c>
      <c r="H2028" t="s">
        <v>449</v>
      </c>
      <c r="J2028" t="s">
        <v>605</v>
      </c>
      <c r="K2028" t="s">
        <v>606</v>
      </c>
      <c r="M2028" t="s">
        <v>607</v>
      </c>
      <c r="N2028" t="s">
        <v>657</v>
      </c>
      <c r="O2028" t="s">
        <v>803</v>
      </c>
      <c r="P2028" t="s">
        <v>739</v>
      </c>
      <c r="Q2028" t="s">
        <v>467</v>
      </c>
      <c r="R2028" t="s">
        <v>724</v>
      </c>
      <c r="S2028" t="s">
        <v>804</v>
      </c>
      <c r="T2028" t="s">
        <v>794</v>
      </c>
      <c r="U2028">
        <v>132600</v>
      </c>
      <c r="V2028" t="s">
        <v>11805</v>
      </c>
      <c r="W2028" t="s">
        <v>806</v>
      </c>
      <c r="X2028" t="s">
        <v>4013</v>
      </c>
      <c r="Y2028" t="s">
        <v>4014</v>
      </c>
      <c r="Z2028" t="s">
        <v>4015</v>
      </c>
      <c r="AA2028" t="s">
        <v>4016</v>
      </c>
      <c r="AB2028" t="s">
        <v>4017</v>
      </c>
      <c r="AE2028">
        <v>-36.909397499999997</v>
      </c>
      <c r="AF2028">
        <v>174.67316869999999</v>
      </c>
      <c r="AG2028" s="175">
        <v>100</v>
      </c>
      <c r="AH2028" s="175">
        <v>20</v>
      </c>
      <c r="AI2028" s="175">
        <v>4</v>
      </c>
      <c r="AJ2028" s="175">
        <v>8</v>
      </c>
      <c r="AK2028" s="175">
        <v>32</v>
      </c>
      <c r="AL2028" s="175">
        <v>25</v>
      </c>
      <c r="AM2028" s="175">
        <v>32</v>
      </c>
      <c r="AN2028" s="175">
        <v>0</v>
      </c>
      <c r="AO2028" s="175">
        <v>101</v>
      </c>
      <c r="AP2028" s="175">
        <v>14</v>
      </c>
      <c r="AQ2028" s="175">
        <v>11</v>
      </c>
      <c r="AR2028" s="175">
        <v>14</v>
      </c>
      <c r="AS2028" s="175">
        <v>65</v>
      </c>
      <c r="AT2028" s="175">
        <v>10</v>
      </c>
    </row>
    <row r="2029" spans="1:46">
      <c r="A2029">
        <v>45656</v>
      </c>
      <c r="B2029" t="s">
        <v>12035</v>
      </c>
      <c r="C2029" t="s">
        <v>12036</v>
      </c>
      <c r="D2029" t="s">
        <v>12037</v>
      </c>
      <c r="E2029" t="s">
        <v>12038</v>
      </c>
      <c r="F2029" t="s">
        <v>983</v>
      </c>
      <c r="G2029" t="s">
        <v>737</v>
      </c>
      <c r="H2029" t="s">
        <v>449</v>
      </c>
      <c r="J2029" t="s">
        <v>4032</v>
      </c>
      <c r="K2029" t="s">
        <v>606</v>
      </c>
      <c r="M2029" t="s">
        <v>607</v>
      </c>
      <c r="N2029" t="s">
        <v>625</v>
      </c>
      <c r="O2029" t="s">
        <v>898</v>
      </c>
      <c r="P2029" t="s">
        <v>739</v>
      </c>
      <c r="Q2029" t="s">
        <v>467</v>
      </c>
      <c r="R2029" t="s">
        <v>724</v>
      </c>
      <c r="S2029" t="s">
        <v>984</v>
      </c>
      <c r="T2029" t="s">
        <v>794</v>
      </c>
      <c r="U2029">
        <v>127900</v>
      </c>
      <c r="V2029" t="s">
        <v>7145</v>
      </c>
      <c r="W2029" t="s">
        <v>900</v>
      </c>
      <c r="X2029" t="s">
        <v>12039</v>
      </c>
      <c r="Y2029" t="s">
        <v>12040</v>
      </c>
      <c r="Z2029" t="s">
        <v>854</v>
      </c>
      <c r="AA2029" t="s">
        <v>4400</v>
      </c>
      <c r="AC2029">
        <v>99029</v>
      </c>
      <c r="AD2029" t="s">
        <v>986</v>
      </c>
      <c r="AE2029">
        <v>-36.8810802</v>
      </c>
      <c r="AF2029">
        <v>174.63917863</v>
      </c>
      <c r="AG2029" s="175">
        <v>45</v>
      </c>
      <c r="AH2029" s="175">
        <v>0</v>
      </c>
      <c r="AI2029" s="175">
        <v>0</v>
      </c>
      <c r="AJ2029" s="175">
        <v>0</v>
      </c>
      <c r="AK2029" s="175">
        <v>10</v>
      </c>
      <c r="AL2029" s="175">
        <v>16</v>
      </c>
      <c r="AM2029" s="175">
        <v>23</v>
      </c>
      <c r="AN2029" s="175">
        <v>2</v>
      </c>
      <c r="AO2029" s="175">
        <v>51</v>
      </c>
      <c r="AP2029" s="175">
        <v>7</v>
      </c>
      <c r="AQ2029" s="175">
        <v>13</v>
      </c>
      <c r="AR2029" s="175">
        <v>18</v>
      </c>
      <c r="AS2029" s="175">
        <v>21</v>
      </c>
      <c r="AT2029" s="175">
        <v>5</v>
      </c>
    </row>
    <row r="2030" spans="1:46">
      <c r="A2030">
        <v>45658</v>
      </c>
      <c r="B2030" t="s">
        <v>12041</v>
      </c>
      <c r="C2030" t="s">
        <v>12042</v>
      </c>
      <c r="D2030" t="s">
        <v>12043</v>
      </c>
      <c r="E2030" t="s">
        <v>12044</v>
      </c>
      <c r="G2030" t="s">
        <v>2396</v>
      </c>
      <c r="H2030" t="s">
        <v>449</v>
      </c>
      <c r="I2030" t="s">
        <v>4041</v>
      </c>
      <c r="J2030" t="s">
        <v>4032</v>
      </c>
      <c r="K2030" t="s">
        <v>606</v>
      </c>
      <c r="M2030" t="s">
        <v>2366</v>
      </c>
      <c r="N2030" t="s">
        <v>657</v>
      </c>
      <c r="O2030" t="s">
        <v>2397</v>
      </c>
      <c r="P2030" t="s">
        <v>1347</v>
      </c>
      <c r="Q2030" t="s">
        <v>516</v>
      </c>
      <c r="R2030" t="s">
        <v>2368</v>
      </c>
      <c r="S2030" t="s">
        <v>2348</v>
      </c>
      <c r="T2030" t="s">
        <v>2165</v>
      </c>
      <c r="U2030">
        <v>255900</v>
      </c>
      <c r="V2030" t="s">
        <v>12045</v>
      </c>
      <c r="W2030" t="s">
        <v>2399</v>
      </c>
      <c r="X2030" t="s">
        <v>12046</v>
      </c>
      <c r="Y2030" t="s">
        <v>12047</v>
      </c>
      <c r="AA2030" t="s">
        <v>11995</v>
      </c>
      <c r="AB2030" t="s">
        <v>12048</v>
      </c>
      <c r="AE2030">
        <v>-40.944239539999998</v>
      </c>
      <c r="AF2030">
        <v>175.66407813999999</v>
      </c>
      <c r="AG2030" s="175">
        <v>29</v>
      </c>
      <c r="AH2030" s="175">
        <v>10</v>
      </c>
      <c r="AI2030" s="175">
        <v>0</v>
      </c>
      <c r="AJ2030" s="175">
        <v>5</v>
      </c>
      <c r="AK2030" s="175">
        <v>11</v>
      </c>
      <c r="AL2030" s="175">
        <v>11</v>
      </c>
      <c r="AM2030" s="175">
        <v>10</v>
      </c>
      <c r="AN2030" s="175">
        <v>0</v>
      </c>
      <c r="AO2030" s="175">
        <v>37</v>
      </c>
      <c r="AP2030" s="175">
        <v>33</v>
      </c>
      <c r="AQ2030" s="175">
        <v>7</v>
      </c>
      <c r="AR2030" s="175">
        <v>0</v>
      </c>
      <c r="AS2030" s="175">
        <v>2</v>
      </c>
      <c r="AT2030" s="175">
        <v>0</v>
      </c>
    </row>
    <row r="2031" spans="1:46">
      <c r="A2031">
        <v>45660</v>
      </c>
      <c r="B2031" t="s">
        <v>12049</v>
      </c>
      <c r="C2031" t="s">
        <v>12050</v>
      </c>
      <c r="E2031" t="s">
        <v>12051</v>
      </c>
      <c r="G2031" t="s">
        <v>1761</v>
      </c>
      <c r="H2031" t="s">
        <v>449</v>
      </c>
      <c r="J2031" t="s">
        <v>4032</v>
      </c>
      <c r="K2031" t="s">
        <v>606</v>
      </c>
      <c r="M2031" t="s">
        <v>1382</v>
      </c>
      <c r="N2031" t="s">
        <v>625</v>
      </c>
      <c r="O2031" t="s">
        <v>1629</v>
      </c>
      <c r="P2031" t="s">
        <v>610</v>
      </c>
      <c r="Q2031" t="s">
        <v>510</v>
      </c>
      <c r="R2031" t="s">
        <v>1555</v>
      </c>
      <c r="S2031" t="s">
        <v>1404</v>
      </c>
      <c r="T2031" t="s">
        <v>1557</v>
      </c>
      <c r="U2031">
        <v>189700</v>
      </c>
      <c r="V2031" t="s">
        <v>1762</v>
      </c>
      <c r="W2031" t="s">
        <v>1763</v>
      </c>
      <c r="X2031" t="s">
        <v>12052</v>
      </c>
      <c r="Y2031" t="s">
        <v>12053</v>
      </c>
      <c r="Z2031" t="s">
        <v>11162</v>
      </c>
      <c r="AA2031" t="s">
        <v>11163</v>
      </c>
      <c r="AC2031">
        <v>99020</v>
      </c>
      <c r="AD2031" t="s">
        <v>1633</v>
      </c>
      <c r="AE2031">
        <v>-38.989125199999997</v>
      </c>
      <c r="AF2031">
        <v>175.8113118</v>
      </c>
      <c r="AG2031" s="175">
        <v>50</v>
      </c>
      <c r="AH2031" s="175">
        <v>0</v>
      </c>
      <c r="AI2031" s="175">
        <v>0</v>
      </c>
      <c r="AJ2031" s="175">
        <v>0</v>
      </c>
      <c r="AK2031" s="175">
        <v>7</v>
      </c>
      <c r="AL2031" s="175">
        <v>11</v>
      </c>
      <c r="AM2031" s="175">
        <v>12</v>
      </c>
      <c r="AN2031" s="175">
        <v>0</v>
      </c>
      <c r="AO2031" s="175">
        <v>30</v>
      </c>
      <c r="AP2031" s="175">
        <v>12</v>
      </c>
      <c r="AQ2031" s="175">
        <v>20</v>
      </c>
      <c r="AR2031" s="175">
        <v>5</v>
      </c>
      <c r="AS2031" s="175">
        <v>5</v>
      </c>
      <c r="AT2031" s="175">
        <v>5</v>
      </c>
    </row>
    <row r="2032" spans="1:46">
      <c r="A2032">
        <v>45668</v>
      </c>
      <c r="B2032" t="s">
        <v>12054</v>
      </c>
      <c r="D2032" t="s">
        <v>12055</v>
      </c>
      <c r="E2032" t="s">
        <v>12056</v>
      </c>
      <c r="F2032" t="s">
        <v>1121</v>
      </c>
      <c r="G2032" t="s">
        <v>737</v>
      </c>
      <c r="H2032" t="s">
        <v>449</v>
      </c>
      <c r="J2032" t="s">
        <v>4032</v>
      </c>
      <c r="K2032" t="s">
        <v>606</v>
      </c>
      <c r="M2032" t="s">
        <v>607</v>
      </c>
      <c r="N2032" t="s">
        <v>812</v>
      </c>
      <c r="O2032" t="s">
        <v>1301</v>
      </c>
      <c r="P2032" t="s">
        <v>739</v>
      </c>
      <c r="Q2032" t="s">
        <v>467</v>
      </c>
      <c r="R2032" t="s">
        <v>814</v>
      </c>
      <c r="S2032" t="s">
        <v>1121</v>
      </c>
      <c r="T2032" t="s">
        <v>794</v>
      </c>
      <c r="U2032">
        <v>159101</v>
      </c>
      <c r="V2032" t="s">
        <v>12057</v>
      </c>
      <c r="W2032" t="s">
        <v>1304</v>
      </c>
      <c r="X2032" t="s">
        <v>4700</v>
      </c>
      <c r="Y2032" t="s">
        <v>12058</v>
      </c>
      <c r="Z2032" t="s">
        <v>855</v>
      </c>
      <c r="AA2032" t="s">
        <v>12059</v>
      </c>
      <c r="AB2032" t="s">
        <v>4703</v>
      </c>
      <c r="AE2032">
        <v>-37.011127559999998</v>
      </c>
      <c r="AF2032">
        <v>174.8843675</v>
      </c>
      <c r="AG2032" s="175">
        <v>35</v>
      </c>
      <c r="AH2032" s="175">
        <v>0</v>
      </c>
      <c r="AI2032" s="175">
        <v>0</v>
      </c>
      <c r="AJ2032" s="175">
        <v>0</v>
      </c>
      <c r="AK2032" s="175">
        <v>4</v>
      </c>
      <c r="AL2032" s="175">
        <v>8</v>
      </c>
      <c r="AM2032" s="175">
        <v>11</v>
      </c>
      <c r="AN2032" s="175">
        <v>2</v>
      </c>
      <c r="AO2032" s="175">
        <v>25</v>
      </c>
      <c r="AP2032" s="175">
        <v>2</v>
      </c>
      <c r="AQ2032" s="175">
        <v>9</v>
      </c>
      <c r="AR2032" s="175">
        <v>12</v>
      </c>
      <c r="AS2032" s="175">
        <v>10</v>
      </c>
      <c r="AT2032" s="175">
        <v>1</v>
      </c>
    </row>
    <row r="2033" spans="1:46">
      <c r="A2033">
        <v>45669</v>
      </c>
      <c r="B2033" t="s">
        <v>12060</v>
      </c>
      <c r="C2033" t="s">
        <v>12061</v>
      </c>
      <c r="D2033" t="s">
        <v>12062</v>
      </c>
      <c r="E2033" t="s">
        <v>12063</v>
      </c>
      <c r="F2033" t="s">
        <v>11838</v>
      </c>
      <c r="G2033" t="s">
        <v>2505</v>
      </c>
      <c r="H2033" t="s">
        <v>449</v>
      </c>
      <c r="J2033" t="s">
        <v>605</v>
      </c>
      <c r="K2033" t="s">
        <v>606</v>
      </c>
      <c r="M2033" t="s">
        <v>2366</v>
      </c>
      <c r="N2033" t="s">
        <v>657</v>
      </c>
      <c r="O2033" t="s">
        <v>2506</v>
      </c>
      <c r="P2033" t="s">
        <v>739</v>
      </c>
      <c r="Q2033" t="s">
        <v>516</v>
      </c>
      <c r="R2033" t="s">
        <v>2368</v>
      </c>
      <c r="S2033" t="s">
        <v>2507</v>
      </c>
      <c r="T2033" t="s">
        <v>2526</v>
      </c>
      <c r="U2033">
        <v>244300</v>
      </c>
      <c r="V2033" t="s">
        <v>9090</v>
      </c>
      <c r="W2033" t="s">
        <v>2521</v>
      </c>
      <c r="X2033" t="s">
        <v>10497</v>
      </c>
      <c r="Y2033" t="s">
        <v>4014</v>
      </c>
      <c r="Z2033" t="s">
        <v>4015</v>
      </c>
      <c r="AA2033" t="s">
        <v>4016</v>
      </c>
      <c r="AE2033">
        <v>-41.210735769999999</v>
      </c>
      <c r="AF2033">
        <v>174.90886763</v>
      </c>
      <c r="AG2033" s="175">
        <v>100</v>
      </c>
      <c r="AH2033" s="175">
        <v>25</v>
      </c>
      <c r="AI2033" s="175">
        <v>5</v>
      </c>
      <c r="AJ2033" s="175">
        <v>17</v>
      </c>
      <c r="AK2033" s="175">
        <v>23</v>
      </c>
      <c r="AL2033" s="175">
        <v>22</v>
      </c>
      <c r="AM2033" s="175">
        <v>32</v>
      </c>
      <c r="AN2033" s="175">
        <v>1</v>
      </c>
      <c r="AO2033" s="175">
        <v>100</v>
      </c>
      <c r="AP2033" s="175">
        <v>43</v>
      </c>
      <c r="AQ2033" s="175">
        <v>13</v>
      </c>
      <c r="AR2033" s="175">
        <v>10</v>
      </c>
      <c r="AS2033" s="175">
        <v>48</v>
      </c>
      <c r="AT2033" s="175">
        <v>7</v>
      </c>
    </row>
    <row r="2034" spans="1:46">
      <c r="A2034">
        <v>45671</v>
      </c>
      <c r="B2034" t="s">
        <v>12064</v>
      </c>
      <c r="C2034" t="s">
        <v>12065</v>
      </c>
      <c r="E2034" t="s">
        <v>12066</v>
      </c>
      <c r="F2034" t="s">
        <v>907</v>
      </c>
      <c r="G2034" t="s">
        <v>737</v>
      </c>
      <c r="H2034" t="s">
        <v>449</v>
      </c>
      <c r="J2034" t="s">
        <v>605</v>
      </c>
      <c r="K2034" t="s">
        <v>606</v>
      </c>
      <c r="M2034" t="s">
        <v>607</v>
      </c>
      <c r="N2034" t="s">
        <v>4586</v>
      </c>
      <c r="O2034" t="s">
        <v>942</v>
      </c>
      <c r="P2034" t="s">
        <v>739</v>
      </c>
      <c r="Q2034" t="s">
        <v>467</v>
      </c>
      <c r="R2034" t="s">
        <v>793</v>
      </c>
      <c r="S2034" t="s">
        <v>907</v>
      </c>
      <c r="T2034" t="s">
        <v>794</v>
      </c>
      <c r="U2034">
        <v>140300</v>
      </c>
      <c r="V2034" t="s">
        <v>4569</v>
      </c>
      <c r="W2034" t="s">
        <v>945</v>
      </c>
      <c r="X2034" t="s">
        <v>12067</v>
      </c>
      <c r="Y2034" t="s">
        <v>12068</v>
      </c>
      <c r="Z2034" t="s">
        <v>4757</v>
      </c>
      <c r="AA2034" t="s">
        <v>4758</v>
      </c>
      <c r="AB2034" t="s">
        <v>12069</v>
      </c>
      <c r="AE2034">
        <v>-36.8791157</v>
      </c>
      <c r="AF2034">
        <v>174.77949651</v>
      </c>
      <c r="AG2034" s="175">
        <v>40</v>
      </c>
      <c r="AH2034" s="175">
        <v>0</v>
      </c>
      <c r="AI2034" s="175">
        <v>0</v>
      </c>
      <c r="AJ2034" s="175">
        <v>0</v>
      </c>
      <c r="AK2034" s="175">
        <v>0</v>
      </c>
      <c r="AL2034" s="175">
        <v>11</v>
      </c>
      <c r="AM2034" s="175">
        <v>20</v>
      </c>
      <c r="AN2034" s="175">
        <v>2</v>
      </c>
      <c r="AO2034" s="175">
        <v>33</v>
      </c>
      <c r="AP2034" s="175">
        <v>8</v>
      </c>
      <c r="AQ2034" s="175">
        <v>1</v>
      </c>
      <c r="AR2034" s="175">
        <v>2</v>
      </c>
      <c r="AS2034" s="175">
        <v>25</v>
      </c>
      <c r="AT2034" s="175">
        <v>0</v>
      </c>
    </row>
    <row r="2035" spans="1:46">
      <c r="A2035">
        <v>45673</v>
      </c>
      <c r="B2035" t="s">
        <v>12070</v>
      </c>
      <c r="C2035" t="s">
        <v>12071</v>
      </c>
      <c r="D2035" t="s">
        <v>12072</v>
      </c>
      <c r="E2035" t="s">
        <v>12073</v>
      </c>
      <c r="F2035" t="s">
        <v>12074</v>
      </c>
      <c r="G2035" t="s">
        <v>3454</v>
      </c>
      <c r="H2035" t="s">
        <v>449</v>
      </c>
      <c r="J2035" t="s">
        <v>605</v>
      </c>
      <c r="K2035" t="s">
        <v>606</v>
      </c>
      <c r="M2035" t="s">
        <v>2366</v>
      </c>
      <c r="N2035" t="s">
        <v>657</v>
      </c>
      <c r="O2035" t="s">
        <v>3455</v>
      </c>
      <c r="P2035" t="s">
        <v>739</v>
      </c>
      <c r="Q2035" t="s">
        <v>522</v>
      </c>
      <c r="R2035" t="s">
        <v>3410</v>
      </c>
      <c r="S2035" t="s">
        <v>3454</v>
      </c>
      <c r="T2035" t="s">
        <v>2526</v>
      </c>
      <c r="U2035">
        <v>352300</v>
      </c>
      <c r="V2035" t="s">
        <v>12075</v>
      </c>
      <c r="W2035" t="s">
        <v>1734</v>
      </c>
      <c r="X2035" t="s">
        <v>11148</v>
      </c>
      <c r="Y2035" t="s">
        <v>4014</v>
      </c>
      <c r="Z2035" t="s">
        <v>4015</v>
      </c>
      <c r="AA2035" t="s">
        <v>4016</v>
      </c>
      <c r="AE2035">
        <v>-45.88306343</v>
      </c>
      <c r="AF2035">
        <v>170.46721779999999</v>
      </c>
      <c r="AG2035" s="175">
        <v>75</v>
      </c>
      <c r="AH2035" s="175">
        <v>20</v>
      </c>
      <c r="AI2035" s="175">
        <v>3</v>
      </c>
      <c r="AJ2035" s="175">
        <v>12</v>
      </c>
      <c r="AK2035" s="175">
        <v>26</v>
      </c>
      <c r="AL2035" s="175">
        <v>17</v>
      </c>
      <c r="AM2035" s="175">
        <v>20</v>
      </c>
      <c r="AN2035" s="175">
        <v>0</v>
      </c>
      <c r="AO2035" s="175">
        <v>78</v>
      </c>
      <c r="AP2035" s="175">
        <v>58</v>
      </c>
      <c r="AQ2035" s="175">
        <v>16</v>
      </c>
      <c r="AR2035" s="175">
        <v>1</v>
      </c>
      <c r="AS2035" s="175">
        <v>8</v>
      </c>
      <c r="AT2035" s="175">
        <v>8</v>
      </c>
    </row>
    <row r="2036" spans="1:46">
      <c r="A2036">
        <v>45675</v>
      </c>
      <c r="B2036" t="s">
        <v>12076</v>
      </c>
      <c r="C2036" t="s">
        <v>12077</v>
      </c>
      <c r="E2036" t="s">
        <v>12078</v>
      </c>
      <c r="F2036" t="s">
        <v>8536</v>
      </c>
      <c r="G2036" t="s">
        <v>1681</v>
      </c>
      <c r="H2036" t="s">
        <v>449</v>
      </c>
      <c r="I2036" t="s">
        <v>4134</v>
      </c>
      <c r="J2036" t="s">
        <v>605</v>
      </c>
      <c r="K2036" t="s">
        <v>606</v>
      </c>
      <c r="M2036" t="s">
        <v>1382</v>
      </c>
      <c r="N2036" t="s">
        <v>657</v>
      </c>
      <c r="O2036" t="s">
        <v>1780</v>
      </c>
      <c r="P2036" t="s">
        <v>739</v>
      </c>
      <c r="Q2036" t="s">
        <v>511</v>
      </c>
      <c r="R2036" t="s">
        <v>1555</v>
      </c>
      <c r="S2036" t="s">
        <v>1681</v>
      </c>
      <c r="T2036" t="s">
        <v>1557</v>
      </c>
      <c r="U2036">
        <v>193000</v>
      </c>
      <c r="V2036" t="s">
        <v>10193</v>
      </c>
      <c r="W2036" t="s">
        <v>1791</v>
      </c>
      <c r="X2036" t="s">
        <v>8441</v>
      </c>
      <c r="Y2036" t="s">
        <v>4014</v>
      </c>
      <c r="Z2036" t="s">
        <v>4015</v>
      </c>
      <c r="AA2036" t="s">
        <v>4016</v>
      </c>
      <c r="AB2036" t="s">
        <v>8442</v>
      </c>
      <c r="AC2036">
        <v>99036</v>
      </c>
      <c r="AD2036" t="s">
        <v>1792</v>
      </c>
      <c r="AE2036">
        <v>-37.69550125</v>
      </c>
      <c r="AF2036">
        <v>176.10774069999999</v>
      </c>
      <c r="AG2036" s="175">
        <v>90</v>
      </c>
      <c r="AH2036" s="175">
        <v>20</v>
      </c>
      <c r="AI2036" s="175">
        <v>4</v>
      </c>
      <c r="AJ2036" s="175">
        <v>8</v>
      </c>
      <c r="AK2036" s="175">
        <v>24</v>
      </c>
      <c r="AL2036" s="175">
        <v>23</v>
      </c>
      <c r="AM2036" s="175">
        <v>23</v>
      </c>
      <c r="AN2036" s="175">
        <v>3</v>
      </c>
      <c r="AO2036" s="175">
        <v>85</v>
      </c>
      <c r="AP2036" s="175">
        <v>68</v>
      </c>
      <c r="AQ2036" s="175">
        <v>13</v>
      </c>
      <c r="AR2036" s="175">
        <v>2</v>
      </c>
      <c r="AS2036" s="175">
        <v>10</v>
      </c>
      <c r="AT2036" s="175">
        <v>10</v>
      </c>
    </row>
    <row r="2037" spans="1:46">
      <c r="A2037">
        <v>45680</v>
      </c>
      <c r="B2037" t="s">
        <v>12079</v>
      </c>
      <c r="C2037" t="s">
        <v>12080</v>
      </c>
      <c r="D2037" t="s">
        <v>12081</v>
      </c>
      <c r="E2037" t="s">
        <v>12082</v>
      </c>
      <c r="F2037" t="s">
        <v>2622</v>
      </c>
      <c r="G2037" t="s">
        <v>2368</v>
      </c>
      <c r="H2037" t="s">
        <v>449</v>
      </c>
      <c r="I2037" t="s">
        <v>12083</v>
      </c>
      <c r="J2037" t="s">
        <v>4032</v>
      </c>
      <c r="K2037" t="s">
        <v>606</v>
      </c>
      <c r="M2037" t="s">
        <v>2366</v>
      </c>
      <c r="N2037" t="s">
        <v>657</v>
      </c>
      <c r="O2037" t="s">
        <v>2614</v>
      </c>
      <c r="P2037" t="s">
        <v>739</v>
      </c>
      <c r="Q2037" t="s">
        <v>516</v>
      </c>
      <c r="R2037" t="s">
        <v>2368</v>
      </c>
      <c r="S2037" t="s">
        <v>2623</v>
      </c>
      <c r="T2037" t="s">
        <v>1568</v>
      </c>
      <c r="U2037">
        <v>247800</v>
      </c>
      <c r="V2037" t="s">
        <v>12084</v>
      </c>
      <c r="W2037" t="s">
        <v>2625</v>
      </c>
      <c r="X2037" t="s">
        <v>12085</v>
      </c>
      <c r="Y2037" t="s">
        <v>4166</v>
      </c>
      <c r="Z2037" t="s">
        <v>4167</v>
      </c>
      <c r="AA2037" t="s">
        <v>4168</v>
      </c>
      <c r="AE2037">
        <v>-41.184120810000003</v>
      </c>
      <c r="AF2037">
        <v>174.8251008</v>
      </c>
      <c r="AG2037" s="175">
        <v>100</v>
      </c>
      <c r="AH2037" s="175">
        <v>25</v>
      </c>
      <c r="AI2037" s="175">
        <v>2</v>
      </c>
      <c r="AJ2037" s="175">
        <v>22</v>
      </c>
      <c r="AK2037" s="175">
        <v>27</v>
      </c>
      <c r="AL2037" s="175">
        <v>27</v>
      </c>
      <c r="AM2037" s="175">
        <v>28</v>
      </c>
      <c r="AN2037" s="175">
        <v>0</v>
      </c>
      <c r="AO2037" s="175">
        <v>106</v>
      </c>
      <c r="AP2037" s="175">
        <v>86</v>
      </c>
      <c r="AQ2037" s="175">
        <v>4</v>
      </c>
      <c r="AR2037" s="175">
        <v>6</v>
      </c>
      <c r="AS2037" s="175">
        <v>25</v>
      </c>
      <c r="AT2037" s="175">
        <v>2</v>
      </c>
    </row>
    <row r="2038" spans="1:46">
      <c r="A2038">
        <v>45683</v>
      </c>
      <c r="B2038" t="s">
        <v>12086</v>
      </c>
      <c r="C2038" t="s">
        <v>12087</v>
      </c>
      <c r="D2038" t="s">
        <v>12088</v>
      </c>
      <c r="E2038" t="s">
        <v>12089</v>
      </c>
      <c r="F2038" t="s">
        <v>3246</v>
      </c>
      <c r="G2038" t="s">
        <v>3015</v>
      </c>
      <c r="H2038" t="s">
        <v>449</v>
      </c>
      <c r="J2038" t="s">
        <v>4032</v>
      </c>
      <c r="K2038" t="s">
        <v>606</v>
      </c>
      <c r="M2038" t="s">
        <v>2366</v>
      </c>
      <c r="N2038" t="s">
        <v>657</v>
      </c>
      <c r="O2038" t="s">
        <v>3016</v>
      </c>
      <c r="P2038" t="s">
        <v>739</v>
      </c>
      <c r="Q2038" t="s">
        <v>521</v>
      </c>
      <c r="R2038" t="s">
        <v>3017</v>
      </c>
      <c r="S2038" t="s">
        <v>3030</v>
      </c>
      <c r="T2038" t="s">
        <v>2526</v>
      </c>
      <c r="U2038">
        <v>322200</v>
      </c>
      <c r="V2038" t="s">
        <v>12090</v>
      </c>
      <c r="W2038" t="s">
        <v>3143</v>
      </c>
      <c r="X2038" t="s">
        <v>12091</v>
      </c>
      <c r="Y2038" t="s">
        <v>4725</v>
      </c>
      <c r="Z2038" t="s">
        <v>1043</v>
      </c>
      <c r="AA2038" t="s">
        <v>4726</v>
      </c>
      <c r="AB2038" t="s">
        <v>12087</v>
      </c>
      <c r="AE2038">
        <v>-43.508818300000001</v>
      </c>
      <c r="AF2038">
        <v>172.62851402999999</v>
      </c>
      <c r="AG2038" s="175">
        <v>50</v>
      </c>
      <c r="AH2038" s="175">
        <v>15</v>
      </c>
      <c r="AI2038" s="175">
        <v>2</v>
      </c>
      <c r="AJ2038" s="175">
        <v>10</v>
      </c>
      <c r="AK2038" s="175">
        <v>10</v>
      </c>
      <c r="AL2038" s="175">
        <v>9</v>
      </c>
      <c r="AM2038" s="175">
        <v>10</v>
      </c>
      <c r="AN2038" s="175">
        <v>0</v>
      </c>
      <c r="AO2038" s="175">
        <v>41</v>
      </c>
      <c r="AP2038" s="175">
        <v>27</v>
      </c>
      <c r="AQ2038" s="175">
        <v>4</v>
      </c>
      <c r="AR2038" s="175">
        <v>1</v>
      </c>
      <c r="AS2038" s="175">
        <v>10</v>
      </c>
      <c r="AT2038" s="175">
        <v>6</v>
      </c>
    </row>
    <row r="2039" spans="1:46">
      <c r="A2039">
        <v>45684</v>
      </c>
      <c r="B2039" t="s">
        <v>12092</v>
      </c>
      <c r="C2039" t="s">
        <v>12093</v>
      </c>
      <c r="E2039" t="s">
        <v>12094</v>
      </c>
      <c r="F2039" t="s">
        <v>1429</v>
      </c>
      <c r="G2039" t="s">
        <v>1381</v>
      </c>
      <c r="H2039" t="s">
        <v>450</v>
      </c>
      <c r="J2039" t="s">
        <v>4032</v>
      </c>
      <c r="K2039" t="s">
        <v>606</v>
      </c>
      <c r="M2039" t="s">
        <v>1382</v>
      </c>
      <c r="N2039" t="s">
        <v>657</v>
      </c>
      <c r="O2039" t="s">
        <v>1383</v>
      </c>
      <c r="P2039" t="s">
        <v>739</v>
      </c>
      <c r="Q2039" t="s">
        <v>510</v>
      </c>
      <c r="R2039" t="s">
        <v>1384</v>
      </c>
      <c r="S2039" t="s">
        <v>1385</v>
      </c>
      <c r="T2039" t="s">
        <v>1320</v>
      </c>
      <c r="U2039">
        <v>178901</v>
      </c>
      <c r="V2039" t="s">
        <v>8416</v>
      </c>
      <c r="W2039" t="s">
        <v>1387</v>
      </c>
      <c r="X2039" t="s">
        <v>8467</v>
      </c>
      <c r="Y2039" t="s">
        <v>8465</v>
      </c>
      <c r="AA2039" t="s">
        <v>8468</v>
      </c>
      <c r="AE2039">
        <v>-37.803080809999997</v>
      </c>
      <c r="AF2039">
        <v>175.2559364</v>
      </c>
      <c r="AG2039" s="175">
        <v>0</v>
      </c>
      <c r="AH2039" s="175">
        <v>0</v>
      </c>
      <c r="AI2039" s="175">
        <v>0</v>
      </c>
      <c r="AJ2039" s="175">
        <v>6</v>
      </c>
      <c r="AK2039" s="175">
        <v>8</v>
      </c>
      <c r="AL2039" s="175">
        <v>3</v>
      </c>
      <c r="AM2039" s="175">
        <v>8</v>
      </c>
      <c r="AN2039" s="175">
        <v>2</v>
      </c>
      <c r="AO2039" s="175">
        <v>27</v>
      </c>
      <c r="AP2039" s="175">
        <v>19</v>
      </c>
      <c r="AQ2039" s="175">
        <v>11</v>
      </c>
      <c r="AR2039" s="175">
        <v>3</v>
      </c>
      <c r="AS2039" s="175">
        <v>2</v>
      </c>
      <c r="AT2039" s="175">
        <v>2</v>
      </c>
    </row>
    <row r="2040" spans="1:46">
      <c r="A2040">
        <v>45685</v>
      </c>
      <c r="B2040" t="s">
        <v>12095</v>
      </c>
      <c r="C2040" t="s">
        <v>8463</v>
      </c>
      <c r="D2040" t="s">
        <v>8464</v>
      </c>
      <c r="E2040" t="s">
        <v>8465</v>
      </c>
      <c r="F2040" t="s">
        <v>8466</v>
      </c>
      <c r="G2040" t="s">
        <v>1681</v>
      </c>
      <c r="H2040" t="s">
        <v>450</v>
      </c>
      <c r="J2040" t="s">
        <v>4032</v>
      </c>
      <c r="K2040" t="s">
        <v>606</v>
      </c>
      <c r="M2040" t="s">
        <v>1382</v>
      </c>
      <c r="N2040" t="s">
        <v>657</v>
      </c>
      <c r="O2040" t="s">
        <v>1780</v>
      </c>
      <c r="P2040" t="s">
        <v>739</v>
      </c>
      <c r="Q2040" t="s">
        <v>511</v>
      </c>
      <c r="R2040" t="s">
        <v>1555</v>
      </c>
      <c r="S2040" t="s">
        <v>1681</v>
      </c>
      <c r="T2040" t="s">
        <v>1557</v>
      </c>
      <c r="U2040">
        <v>193800</v>
      </c>
      <c r="V2040" t="s">
        <v>8466</v>
      </c>
      <c r="W2040" t="s">
        <v>3795</v>
      </c>
      <c r="X2040" t="s">
        <v>10714</v>
      </c>
      <c r="Y2040" t="s">
        <v>8465</v>
      </c>
      <c r="AA2040" t="s">
        <v>8468</v>
      </c>
      <c r="AB2040" t="s">
        <v>8533</v>
      </c>
      <c r="AE2040">
        <v>-37.68426908</v>
      </c>
      <c r="AF2040">
        <v>176.16808784</v>
      </c>
      <c r="AG2040" s="175">
        <v>50</v>
      </c>
      <c r="AH2040" s="175">
        <v>50</v>
      </c>
      <c r="AI2040" s="175">
        <v>2</v>
      </c>
      <c r="AJ2040" s="175">
        <v>9</v>
      </c>
      <c r="AK2040" s="175">
        <v>14</v>
      </c>
      <c r="AL2040" s="175">
        <v>7</v>
      </c>
      <c r="AM2040" s="175">
        <v>4</v>
      </c>
      <c r="AN2040" s="175">
        <v>1</v>
      </c>
      <c r="AO2040" s="175">
        <v>37</v>
      </c>
      <c r="AP2040" s="175">
        <v>27</v>
      </c>
      <c r="AQ2040" s="175">
        <v>18</v>
      </c>
      <c r="AR2040" s="175">
        <v>1</v>
      </c>
      <c r="AS2040" s="175">
        <v>3</v>
      </c>
      <c r="AT2040" s="175">
        <v>4</v>
      </c>
    </row>
    <row r="2041" spans="1:46">
      <c r="A2041">
        <v>45687</v>
      </c>
      <c r="B2041" t="s">
        <v>12096</v>
      </c>
      <c r="C2041" t="s">
        <v>12097</v>
      </c>
      <c r="D2041" t="s">
        <v>12098</v>
      </c>
      <c r="E2041" t="s">
        <v>12099</v>
      </c>
      <c r="F2041" t="s">
        <v>1506</v>
      </c>
      <c r="G2041" t="s">
        <v>1381</v>
      </c>
      <c r="H2041" t="s">
        <v>449</v>
      </c>
      <c r="J2041" t="s">
        <v>4032</v>
      </c>
      <c r="K2041" t="s">
        <v>606</v>
      </c>
      <c r="M2041" t="s">
        <v>1382</v>
      </c>
      <c r="N2041" t="s">
        <v>657</v>
      </c>
      <c r="O2041" t="s">
        <v>1383</v>
      </c>
      <c r="P2041" t="s">
        <v>739</v>
      </c>
      <c r="Q2041" t="s">
        <v>510</v>
      </c>
      <c r="R2041" t="s">
        <v>1384</v>
      </c>
      <c r="S2041" t="s">
        <v>1385</v>
      </c>
      <c r="T2041" t="s">
        <v>1320</v>
      </c>
      <c r="U2041">
        <v>176301</v>
      </c>
      <c r="V2041" t="s">
        <v>8493</v>
      </c>
      <c r="W2041" t="s">
        <v>1387</v>
      </c>
      <c r="X2041" t="s">
        <v>12100</v>
      </c>
      <c r="Y2041" t="s">
        <v>5378</v>
      </c>
      <c r="Z2041" t="s">
        <v>5379</v>
      </c>
      <c r="AA2041" t="s">
        <v>5380</v>
      </c>
      <c r="AE2041">
        <v>-37.753533760000003</v>
      </c>
      <c r="AF2041">
        <v>175.23374901</v>
      </c>
      <c r="AG2041" s="175">
        <v>40</v>
      </c>
      <c r="AH2041" s="175">
        <v>12</v>
      </c>
      <c r="AI2041" s="175">
        <v>0</v>
      </c>
      <c r="AJ2041" s="175">
        <v>6</v>
      </c>
      <c r="AK2041" s="175">
        <v>9</v>
      </c>
      <c r="AL2041" s="175">
        <v>13</v>
      </c>
      <c r="AM2041" s="175">
        <v>9</v>
      </c>
      <c r="AN2041" s="175">
        <v>0</v>
      </c>
      <c r="AO2041" s="175">
        <v>37</v>
      </c>
      <c r="AP2041" s="175">
        <v>18</v>
      </c>
      <c r="AQ2041" s="175">
        <v>21</v>
      </c>
      <c r="AR2041" s="175">
        <v>6</v>
      </c>
      <c r="AS2041" s="175">
        <v>5</v>
      </c>
      <c r="AT2041" s="175">
        <v>0</v>
      </c>
    </row>
    <row r="2042" spans="1:46">
      <c r="A2042">
        <v>45688</v>
      </c>
      <c r="B2042" t="s">
        <v>12101</v>
      </c>
      <c r="C2042" t="s">
        <v>12102</v>
      </c>
      <c r="D2042" t="s">
        <v>12103</v>
      </c>
      <c r="E2042" t="s">
        <v>12104</v>
      </c>
      <c r="G2042" t="s">
        <v>12105</v>
      </c>
      <c r="H2042" t="s">
        <v>449</v>
      </c>
      <c r="I2042" t="s">
        <v>4023</v>
      </c>
      <c r="J2042" t="s">
        <v>605</v>
      </c>
      <c r="K2042" t="s">
        <v>606</v>
      </c>
      <c r="M2042" t="s">
        <v>2366</v>
      </c>
      <c r="N2042" t="s">
        <v>657</v>
      </c>
      <c r="O2042" t="s">
        <v>3598</v>
      </c>
      <c r="P2042" t="s">
        <v>626</v>
      </c>
      <c r="Q2042" t="s">
        <v>523</v>
      </c>
      <c r="R2042" t="s">
        <v>3410</v>
      </c>
      <c r="S2042" t="s">
        <v>3433</v>
      </c>
      <c r="T2042" t="s">
        <v>2526</v>
      </c>
      <c r="U2042">
        <v>358100</v>
      </c>
      <c r="V2042" t="s">
        <v>12106</v>
      </c>
      <c r="W2042" t="s">
        <v>3600</v>
      </c>
      <c r="X2042" t="s">
        <v>12107</v>
      </c>
      <c r="Y2042" t="s">
        <v>12108</v>
      </c>
      <c r="AA2042" t="s">
        <v>12109</v>
      </c>
      <c r="AB2042" t="s">
        <v>12102</v>
      </c>
      <c r="AC2042">
        <v>99055</v>
      </c>
      <c r="AD2042" t="s">
        <v>3588</v>
      </c>
      <c r="AE2042">
        <v>-45.905000340000001</v>
      </c>
      <c r="AF2042">
        <v>168.74679627</v>
      </c>
      <c r="AG2042" s="175">
        <v>35</v>
      </c>
      <c r="AH2042" s="175">
        <v>0</v>
      </c>
      <c r="AI2042" s="175">
        <v>0</v>
      </c>
      <c r="AJ2042" s="175">
        <v>0</v>
      </c>
      <c r="AK2042" s="175">
        <v>9</v>
      </c>
      <c r="AL2042" s="175">
        <v>18</v>
      </c>
      <c r="AM2042" s="175">
        <v>21</v>
      </c>
      <c r="AN2042" s="175">
        <v>0</v>
      </c>
      <c r="AO2042" s="175">
        <v>48</v>
      </c>
      <c r="AP2042" s="175">
        <v>43</v>
      </c>
      <c r="AQ2042" s="175">
        <v>7</v>
      </c>
      <c r="AR2042" s="175">
        <v>1</v>
      </c>
      <c r="AS2042" s="175">
        <v>2</v>
      </c>
      <c r="AT2042" s="175">
        <v>0</v>
      </c>
    </row>
    <row r="2043" spans="1:46">
      <c r="A2043">
        <v>45694</v>
      </c>
      <c r="B2043" t="s">
        <v>12110</v>
      </c>
      <c r="C2043" t="s">
        <v>12111</v>
      </c>
      <c r="D2043" t="s">
        <v>12112</v>
      </c>
      <c r="E2043" t="s">
        <v>12113</v>
      </c>
      <c r="F2043" t="s">
        <v>12114</v>
      </c>
      <c r="G2043" t="s">
        <v>3334</v>
      </c>
      <c r="H2043" t="s">
        <v>449</v>
      </c>
      <c r="J2043" t="s">
        <v>4032</v>
      </c>
      <c r="K2043" t="s">
        <v>606</v>
      </c>
      <c r="M2043" t="s">
        <v>2366</v>
      </c>
      <c r="N2043" t="s">
        <v>657</v>
      </c>
      <c r="O2043" t="s">
        <v>3322</v>
      </c>
      <c r="P2043" t="s">
        <v>1347</v>
      </c>
      <c r="Q2043" t="s">
        <v>521</v>
      </c>
      <c r="R2043" t="s">
        <v>3017</v>
      </c>
      <c r="S2043" t="s">
        <v>3292</v>
      </c>
      <c r="T2043" t="s">
        <v>2526</v>
      </c>
      <c r="U2043">
        <v>340700</v>
      </c>
      <c r="V2043" t="s">
        <v>12115</v>
      </c>
      <c r="W2043" t="s">
        <v>3336</v>
      </c>
      <c r="X2043" t="s">
        <v>12116</v>
      </c>
      <c r="Y2043" t="s">
        <v>4725</v>
      </c>
      <c r="Z2043" t="s">
        <v>1043</v>
      </c>
      <c r="AA2043" t="s">
        <v>4726</v>
      </c>
      <c r="AB2043" t="s">
        <v>12117</v>
      </c>
      <c r="AC2043">
        <v>99178</v>
      </c>
      <c r="AD2043" t="s">
        <v>3346</v>
      </c>
      <c r="AE2043">
        <v>-44.39837266</v>
      </c>
      <c r="AF2043">
        <v>171.22437775</v>
      </c>
      <c r="AG2043" s="175">
        <v>40</v>
      </c>
      <c r="AH2043" s="175">
        <v>10</v>
      </c>
      <c r="AI2043" s="175">
        <v>4</v>
      </c>
      <c r="AJ2043" s="175">
        <v>6</v>
      </c>
      <c r="AK2043" s="175">
        <v>10</v>
      </c>
      <c r="AL2043" s="175">
        <v>5</v>
      </c>
      <c r="AM2043" s="175">
        <v>8</v>
      </c>
      <c r="AN2043" s="175">
        <v>0</v>
      </c>
      <c r="AO2043" s="175">
        <v>33</v>
      </c>
      <c r="AP2043" s="175">
        <v>25</v>
      </c>
      <c r="AQ2043" s="175">
        <v>6</v>
      </c>
      <c r="AR2043" s="175">
        <v>5</v>
      </c>
      <c r="AS2043" s="175">
        <v>5</v>
      </c>
      <c r="AT2043" s="175">
        <v>1</v>
      </c>
    </row>
    <row r="2044" spans="1:46">
      <c r="A2044">
        <v>45696</v>
      </c>
      <c r="B2044" t="s">
        <v>12118</v>
      </c>
      <c r="C2044" t="s">
        <v>12119</v>
      </c>
      <c r="E2044" t="s">
        <v>12120</v>
      </c>
      <c r="F2044" t="s">
        <v>3490</v>
      </c>
      <c r="G2044" t="s">
        <v>3454</v>
      </c>
      <c r="H2044" t="s">
        <v>347</v>
      </c>
      <c r="J2044" t="s">
        <v>605</v>
      </c>
      <c r="K2044" t="s">
        <v>606</v>
      </c>
      <c r="L2044" t="s">
        <v>4273</v>
      </c>
      <c r="M2044" t="s">
        <v>2366</v>
      </c>
      <c r="N2044" t="s">
        <v>625</v>
      </c>
      <c r="O2044" t="s">
        <v>3455</v>
      </c>
      <c r="P2044" t="s">
        <v>739</v>
      </c>
      <c r="Q2044" t="s">
        <v>522</v>
      </c>
      <c r="R2044" t="s">
        <v>3410</v>
      </c>
      <c r="S2044" t="s">
        <v>3454</v>
      </c>
      <c r="T2044" t="s">
        <v>2526</v>
      </c>
      <c r="U2044">
        <v>350401</v>
      </c>
      <c r="V2044" t="s">
        <v>3490</v>
      </c>
      <c r="W2044" t="s">
        <v>1734</v>
      </c>
      <c r="X2044" t="s">
        <v>12121</v>
      </c>
      <c r="Y2044" t="s">
        <v>4276</v>
      </c>
      <c r="Z2044" t="s">
        <v>4277</v>
      </c>
      <c r="AA2044" t="s">
        <v>4278</v>
      </c>
      <c r="AB2044" t="s">
        <v>12122</v>
      </c>
      <c r="AE2044">
        <v>-45.856939199999999</v>
      </c>
      <c r="AF2044">
        <v>170.46568389999999</v>
      </c>
      <c r="AG2044" s="175">
        <v>25</v>
      </c>
      <c r="AH2044" s="175">
        <v>10</v>
      </c>
      <c r="AI2044" s="175">
        <v>0</v>
      </c>
      <c r="AJ2044" s="175">
        <v>5</v>
      </c>
      <c r="AK2044" s="175">
        <v>3</v>
      </c>
      <c r="AL2044" s="175">
        <v>4</v>
      </c>
      <c r="AM2044" s="175">
        <v>4</v>
      </c>
      <c r="AN2044" s="175">
        <v>0</v>
      </c>
      <c r="AO2044" s="175">
        <v>16</v>
      </c>
      <c r="AP2044" s="175">
        <v>0</v>
      </c>
      <c r="AQ2044" s="175">
        <v>16</v>
      </c>
      <c r="AR2044" s="175">
        <v>0</v>
      </c>
      <c r="AS2044" s="175">
        <v>0</v>
      </c>
      <c r="AT2044" s="175">
        <v>0</v>
      </c>
    </row>
    <row r="2045" spans="1:46">
      <c r="A2045">
        <v>45697</v>
      </c>
      <c r="B2045" t="s">
        <v>12123</v>
      </c>
      <c r="D2045" t="s">
        <v>12124</v>
      </c>
      <c r="E2045" t="s">
        <v>12125</v>
      </c>
      <c r="G2045" t="s">
        <v>3733</v>
      </c>
      <c r="H2045" t="s">
        <v>449</v>
      </c>
      <c r="J2045" t="s">
        <v>4032</v>
      </c>
      <c r="K2045" t="s">
        <v>606</v>
      </c>
      <c r="M2045" t="s">
        <v>2366</v>
      </c>
      <c r="N2045" t="s">
        <v>657</v>
      </c>
      <c r="O2045" t="s">
        <v>3281</v>
      </c>
      <c r="P2045" t="s">
        <v>610</v>
      </c>
      <c r="Q2045" t="s">
        <v>521</v>
      </c>
      <c r="R2045" t="s">
        <v>3017</v>
      </c>
      <c r="S2045" t="s">
        <v>3252</v>
      </c>
      <c r="T2045" t="s">
        <v>2526</v>
      </c>
      <c r="U2045">
        <v>336001</v>
      </c>
      <c r="V2045" t="s">
        <v>3734</v>
      </c>
      <c r="W2045" t="s">
        <v>3735</v>
      </c>
      <c r="X2045" t="s">
        <v>12126</v>
      </c>
      <c r="Y2045" t="s">
        <v>12125</v>
      </c>
      <c r="AA2045" t="s">
        <v>11494</v>
      </c>
      <c r="AC2045">
        <v>99113</v>
      </c>
      <c r="AD2045" t="s">
        <v>3736</v>
      </c>
      <c r="AE2045">
        <v>-43.64152996</v>
      </c>
      <c r="AF2045">
        <v>172.48185536</v>
      </c>
      <c r="AG2045" s="175">
        <v>34</v>
      </c>
      <c r="AH2045" s="175">
        <v>0</v>
      </c>
      <c r="AI2045" s="175">
        <v>0</v>
      </c>
      <c r="AJ2045" s="175">
        <v>0</v>
      </c>
      <c r="AK2045" s="175">
        <v>11</v>
      </c>
      <c r="AL2045" s="175">
        <v>10</v>
      </c>
      <c r="AM2045" s="175">
        <v>18</v>
      </c>
      <c r="AN2045" s="175">
        <v>2</v>
      </c>
      <c r="AO2045" s="175">
        <v>41</v>
      </c>
      <c r="AP2045" s="175">
        <v>30</v>
      </c>
      <c r="AQ2045" s="175">
        <v>1</v>
      </c>
      <c r="AR2045" s="175">
        <v>0</v>
      </c>
      <c r="AS2045" s="175">
        <v>12</v>
      </c>
      <c r="AT2045" s="175">
        <v>2</v>
      </c>
    </row>
    <row r="2046" spans="1:46">
      <c r="A2046">
        <v>45699</v>
      </c>
      <c r="B2046" t="s">
        <v>12127</v>
      </c>
      <c r="C2046" t="s">
        <v>12128</v>
      </c>
      <c r="D2046" t="s">
        <v>12129</v>
      </c>
      <c r="E2046" t="s">
        <v>12130</v>
      </c>
      <c r="G2046" t="s">
        <v>9252</v>
      </c>
      <c r="H2046" t="s">
        <v>449</v>
      </c>
      <c r="J2046" t="s">
        <v>4032</v>
      </c>
      <c r="K2046" t="s">
        <v>606</v>
      </c>
      <c r="M2046" t="s">
        <v>1382</v>
      </c>
      <c r="N2046" t="s">
        <v>657</v>
      </c>
      <c r="O2046" t="s">
        <v>1825</v>
      </c>
      <c r="P2046" t="s">
        <v>610</v>
      </c>
      <c r="Q2046" t="s">
        <v>511</v>
      </c>
      <c r="R2046" t="s">
        <v>1384</v>
      </c>
      <c r="S2046" t="s">
        <v>1522</v>
      </c>
      <c r="T2046" t="s">
        <v>1320</v>
      </c>
      <c r="U2046">
        <v>190200</v>
      </c>
      <c r="V2046" t="s">
        <v>9253</v>
      </c>
      <c r="W2046" t="s">
        <v>3860</v>
      </c>
      <c r="X2046" t="s">
        <v>12131</v>
      </c>
      <c r="Y2046" t="s">
        <v>12132</v>
      </c>
      <c r="AA2046" t="s">
        <v>12133</v>
      </c>
      <c r="AB2046" t="s">
        <v>12134</v>
      </c>
      <c r="AC2046">
        <v>99089</v>
      </c>
      <c r="AD2046" t="s">
        <v>3757</v>
      </c>
      <c r="AE2046">
        <v>-37.410595460000003</v>
      </c>
      <c r="AF2046">
        <v>175.94227670000001</v>
      </c>
      <c r="AG2046" s="175">
        <v>40</v>
      </c>
      <c r="AH2046" s="175">
        <v>8</v>
      </c>
      <c r="AI2046" s="175">
        <v>2</v>
      </c>
      <c r="AJ2046" s="175">
        <v>6</v>
      </c>
      <c r="AK2046" s="175">
        <v>12</v>
      </c>
      <c r="AL2046" s="175">
        <v>18</v>
      </c>
      <c r="AM2046" s="175">
        <v>15</v>
      </c>
      <c r="AN2046" s="175">
        <v>1</v>
      </c>
      <c r="AO2046" s="175">
        <v>54</v>
      </c>
      <c r="AP2046" s="175">
        <v>53</v>
      </c>
      <c r="AQ2046" s="175">
        <v>19</v>
      </c>
      <c r="AR2046" s="175">
        <v>0</v>
      </c>
      <c r="AS2046" s="175">
        <v>1</v>
      </c>
      <c r="AT2046" s="175">
        <v>0</v>
      </c>
    </row>
    <row r="2047" spans="1:46">
      <c r="A2047">
        <v>45701</v>
      </c>
      <c r="B2047" t="s">
        <v>12135</v>
      </c>
      <c r="C2047" t="s">
        <v>12136</v>
      </c>
      <c r="D2047" t="s">
        <v>12137</v>
      </c>
      <c r="E2047" t="s">
        <v>12138</v>
      </c>
      <c r="F2047" t="s">
        <v>3036</v>
      </c>
      <c r="G2047" t="s">
        <v>3015</v>
      </c>
      <c r="H2047" t="s">
        <v>449</v>
      </c>
      <c r="J2047" t="s">
        <v>4032</v>
      </c>
      <c r="K2047" t="s">
        <v>606</v>
      </c>
      <c r="M2047" t="s">
        <v>2366</v>
      </c>
      <c r="N2047" t="s">
        <v>657</v>
      </c>
      <c r="O2047" t="s">
        <v>3037</v>
      </c>
      <c r="P2047" t="s">
        <v>1347</v>
      </c>
      <c r="Q2047" t="s">
        <v>521</v>
      </c>
      <c r="R2047" t="s">
        <v>3017</v>
      </c>
      <c r="S2047" t="s">
        <v>3038</v>
      </c>
      <c r="T2047" t="s">
        <v>2526</v>
      </c>
      <c r="U2047">
        <v>315001</v>
      </c>
      <c r="V2047" t="s">
        <v>12139</v>
      </c>
      <c r="W2047" t="s">
        <v>3040</v>
      </c>
      <c r="X2047" t="s">
        <v>12140</v>
      </c>
      <c r="Y2047" t="s">
        <v>4166</v>
      </c>
      <c r="Z2047" t="s">
        <v>4167</v>
      </c>
      <c r="AA2047" t="s">
        <v>4168</v>
      </c>
      <c r="AB2047" t="s">
        <v>10870</v>
      </c>
      <c r="AE2047">
        <v>-43.320690450000001</v>
      </c>
      <c r="AF2047">
        <v>172.59793665000001</v>
      </c>
      <c r="AG2047" s="175">
        <v>100</v>
      </c>
      <c r="AH2047" s="175">
        <v>20</v>
      </c>
      <c r="AI2047" s="175">
        <v>2</v>
      </c>
      <c r="AJ2047" s="175">
        <v>13</v>
      </c>
      <c r="AK2047" s="175">
        <v>14</v>
      </c>
      <c r="AL2047" s="175">
        <v>17</v>
      </c>
      <c r="AM2047" s="175">
        <v>19</v>
      </c>
      <c r="AN2047" s="175">
        <v>1</v>
      </c>
      <c r="AO2047" s="175">
        <v>66</v>
      </c>
      <c r="AP2047" s="175">
        <v>61</v>
      </c>
      <c r="AQ2047" s="175">
        <v>6</v>
      </c>
      <c r="AR2047" s="175">
        <v>1</v>
      </c>
      <c r="AS2047" s="175">
        <v>1</v>
      </c>
      <c r="AT2047" s="175">
        <v>1</v>
      </c>
    </row>
    <row r="2048" spans="1:46">
      <c r="A2048">
        <v>45702</v>
      </c>
      <c r="B2048" t="s">
        <v>12141</v>
      </c>
      <c r="C2048" t="s">
        <v>12142</v>
      </c>
      <c r="D2048" t="s">
        <v>12143</v>
      </c>
      <c r="E2048" t="s">
        <v>12144</v>
      </c>
      <c r="F2048" t="s">
        <v>1477</v>
      </c>
      <c r="G2048" t="s">
        <v>1381</v>
      </c>
      <c r="H2048" t="s">
        <v>449</v>
      </c>
      <c r="J2048" t="s">
        <v>4032</v>
      </c>
      <c r="K2048" t="s">
        <v>606</v>
      </c>
      <c r="M2048" t="s">
        <v>1382</v>
      </c>
      <c r="N2048" t="s">
        <v>643</v>
      </c>
      <c r="O2048" t="s">
        <v>1383</v>
      </c>
      <c r="P2048" t="s">
        <v>739</v>
      </c>
      <c r="Q2048" t="s">
        <v>510</v>
      </c>
      <c r="R2048" t="s">
        <v>1384</v>
      </c>
      <c r="S2048" t="s">
        <v>1385</v>
      </c>
      <c r="T2048" t="s">
        <v>1320</v>
      </c>
      <c r="U2048">
        <v>180300</v>
      </c>
      <c r="V2048" t="s">
        <v>12145</v>
      </c>
      <c r="W2048" t="s">
        <v>1387</v>
      </c>
      <c r="X2048" t="s">
        <v>12146</v>
      </c>
      <c r="Y2048" t="s">
        <v>12147</v>
      </c>
      <c r="Z2048" t="s">
        <v>1396</v>
      </c>
      <c r="AA2048" t="s">
        <v>9631</v>
      </c>
      <c r="AB2048" t="s">
        <v>12148</v>
      </c>
      <c r="AE2048">
        <v>-37.81418455</v>
      </c>
      <c r="AF2048">
        <v>175.28599702</v>
      </c>
      <c r="AG2048" s="175">
        <v>20</v>
      </c>
      <c r="AH2048" s="175">
        <v>0</v>
      </c>
      <c r="AI2048" s="175">
        <v>0</v>
      </c>
      <c r="AJ2048" s="175">
        <v>0</v>
      </c>
      <c r="AK2048" s="175">
        <v>2</v>
      </c>
      <c r="AL2048" s="175">
        <v>5</v>
      </c>
      <c r="AM2048" s="175">
        <v>12</v>
      </c>
      <c r="AN2048" s="175">
        <v>1</v>
      </c>
      <c r="AO2048" s="175">
        <v>20</v>
      </c>
      <c r="AP2048" s="175">
        <v>3</v>
      </c>
      <c r="AQ2048" s="175">
        <v>9</v>
      </c>
      <c r="AR2048" s="175">
        <v>1</v>
      </c>
      <c r="AS2048" s="175">
        <v>8</v>
      </c>
      <c r="AT2048" s="175">
        <v>1</v>
      </c>
    </row>
    <row r="2049" spans="1:46">
      <c r="A2049">
        <v>45704</v>
      </c>
      <c r="B2049" t="s">
        <v>12149</v>
      </c>
      <c r="C2049" t="s">
        <v>12150</v>
      </c>
      <c r="D2049" t="s">
        <v>12151</v>
      </c>
      <c r="E2049" t="s">
        <v>12152</v>
      </c>
      <c r="G2049" t="s">
        <v>4454</v>
      </c>
      <c r="H2049" t="s">
        <v>449</v>
      </c>
      <c r="J2049" t="s">
        <v>4032</v>
      </c>
      <c r="K2049" t="s">
        <v>606</v>
      </c>
      <c r="M2049" t="s">
        <v>607</v>
      </c>
      <c r="N2049" t="s">
        <v>4586</v>
      </c>
      <c r="O2049" t="s">
        <v>723</v>
      </c>
      <c r="P2049" t="s">
        <v>610</v>
      </c>
      <c r="Q2049" t="s">
        <v>467</v>
      </c>
      <c r="R2049" t="s">
        <v>724</v>
      </c>
      <c r="S2049" t="s">
        <v>725</v>
      </c>
      <c r="T2049" t="s">
        <v>613</v>
      </c>
      <c r="U2049">
        <v>115001</v>
      </c>
      <c r="V2049" t="s">
        <v>6729</v>
      </c>
      <c r="W2049" t="s">
        <v>726</v>
      </c>
      <c r="X2049" t="s">
        <v>12153</v>
      </c>
      <c r="Y2049" t="s">
        <v>12154</v>
      </c>
      <c r="Z2049" t="s">
        <v>5170</v>
      </c>
      <c r="AA2049" t="s">
        <v>5066</v>
      </c>
      <c r="AE2049">
        <v>-36.771392349999999</v>
      </c>
      <c r="AF2049">
        <v>174.54552684999999</v>
      </c>
      <c r="AG2049" s="175">
        <v>100</v>
      </c>
      <c r="AH2049" s="175">
        <v>25</v>
      </c>
      <c r="AI2049" s="175">
        <v>2</v>
      </c>
      <c r="AJ2049" s="175">
        <v>12</v>
      </c>
      <c r="AK2049" s="175">
        <v>17</v>
      </c>
      <c r="AL2049" s="175">
        <v>13</v>
      </c>
      <c r="AM2049" s="175">
        <v>13</v>
      </c>
      <c r="AN2049" s="175">
        <v>1</v>
      </c>
      <c r="AO2049" s="175">
        <v>58</v>
      </c>
      <c r="AP2049" s="175">
        <v>38</v>
      </c>
      <c r="AQ2049" s="175">
        <v>7</v>
      </c>
      <c r="AR2049" s="175">
        <v>4</v>
      </c>
      <c r="AS2049" s="175">
        <v>19</v>
      </c>
      <c r="AT2049" s="175">
        <v>3</v>
      </c>
    </row>
    <row r="2050" spans="1:46">
      <c r="A2050">
        <v>45706</v>
      </c>
      <c r="B2050" t="s">
        <v>12155</v>
      </c>
      <c r="C2050" t="s">
        <v>12156</v>
      </c>
      <c r="D2050" t="s">
        <v>602</v>
      </c>
      <c r="E2050" t="s">
        <v>12157</v>
      </c>
      <c r="G2050" t="s">
        <v>668</v>
      </c>
      <c r="H2050" t="s">
        <v>452</v>
      </c>
      <c r="J2050" t="s">
        <v>605</v>
      </c>
      <c r="K2050" t="s">
        <v>606</v>
      </c>
      <c r="M2050" t="s">
        <v>607</v>
      </c>
      <c r="N2050" t="s">
        <v>657</v>
      </c>
      <c r="O2050" t="s">
        <v>669</v>
      </c>
      <c r="P2050" t="s">
        <v>658</v>
      </c>
      <c r="Q2050" t="s">
        <v>509</v>
      </c>
      <c r="R2050" t="s">
        <v>611</v>
      </c>
      <c r="S2050" t="s">
        <v>671</v>
      </c>
      <c r="T2050" t="s">
        <v>613</v>
      </c>
      <c r="U2050">
        <v>105101</v>
      </c>
      <c r="V2050" t="s">
        <v>12158</v>
      </c>
      <c r="W2050" t="s">
        <v>698</v>
      </c>
      <c r="X2050" t="s">
        <v>616</v>
      </c>
      <c r="Y2050" t="s">
        <v>617</v>
      </c>
      <c r="Z2050" t="s">
        <v>618</v>
      </c>
      <c r="AA2050" t="s">
        <v>619</v>
      </c>
      <c r="AB2050" t="s">
        <v>620</v>
      </c>
      <c r="AC2050">
        <v>99180</v>
      </c>
      <c r="AD2050" t="s">
        <v>4957</v>
      </c>
      <c r="AE2050">
        <v>-35.658776490000001</v>
      </c>
      <c r="AF2050">
        <v>174.22208642999999</v>
      </c>
      <c r="AG2050" s="175">
        <v>40</v>
      </c>
      <c r="AH2050" s="175">
        <v>0</v>
      </c>
      <c r="AI2050" s="175">
        <v>0</v>
      </c>
      <c r="AJ2050" s="175">
        <v>0</v>
      </c>
      <c r="AK2050" s="175">
        <v>10</v>
      </c>
      <c r="AL2050" s="175">
        <v>22</v>
      </c>
      <c r="AM2050" s="175">
        <v>16</v>
      </c>
      <c r="AN2050" s="175">
        <v>1</v>
      </c>
      <c r="AO2050" s="175">
        <v>49</v>
      </c>
      <c r="AP2050" s="175">
        <v>38</v>
      </c>
      <c r="AQ2050" s="175">
        <v>12</v>
      </c>
      <c r="AR2050" s="175">
        <v>1</v>
      </c>
      <c r="AS2050" s="175">
        <v>5</v>
      </c>
      <c r="AT2050" s="175">
        <v>6</v>
      </c>
    </row>
    <row r="2051" spans="1:46">
      <c r="A2051">
        <v>45707</v>
      </c>
      <c r="B2051" t="s">
        <v>12159</v>
      </c>
      <c r="C2051" t="s">
        <v>4759</v>
      </c>
      <c r="E2051" t="s">
        <v>12160</v>
      </c>
      <c r="F2051" t="s">
        <v>3493</v>
      </c>
      <c r="G2051" t="s">
        <v>3454</v>
      </c>
      <c r="H2051" t="s">
        <v>449</v>
      </c>
      <c r="J2051" t="s">
        <v>4032</v>
      </c>
      <c r="K2051" t="s">
        <v>606</v>
      </c>
      <c r="M2051" t="s">
        <v>2366</v>
      </c>
      <c r="N2051" t="s">
        <v>657</v>
      </c>
      <c r="O2051" t="s">
        <v>3455</v>
      </c>
      <c r="P2051" t="s">
        <v>739</v>
      </c>
      <c r="Q2051" t="s">
        <v>522</v>
      </c>
      <c r="R2051" t="s">
        <v>3410</v>
      </c>
      <c r="S2051" t="s">
        <v>3456</v>
      </c>
      <c r="T2051" t="s">
        <v>2526</v>
      </c>
      <c r="U2051">
        <v>354800</v>
      </c>
      <c r="V2051" t="s">
        <v>3493</v>
      </c>
      <c r="W2051" t="s">
        <v>1734</v>
      </c>
      <c r="X2051" t="s">
        <v>12161</v>
      </c>
      <c r="Y2051" t="s">
        <v>4756</v>
      </c>
      <c r="Z2051" t="s">
        <v>4757</v>
      </c>
      <c r="AA2051" t="s">
        <v>4758</v>
      </c>
      <c r="AE2051">
        <v>-45.90865033</v>
      </c>
      <c r="AF2051">
        <v>170.48718389000001</v>
      </c>
      <c r="AG2051" s="175">
        <v>60</v>
      </c>
      <c r="AH2051" s="175">
        <v>25</v>
      </c>
      <c r="AI2051" s="175">
        <v>4</v>
      </c>
      <c r="AJ2051" s="175">
        <v>16</v>
      </c>
      <c r="AK2051" s="175">
        <v>23</v>
      </c>
      <c r="AL2051" s="175">
        <v>11</v>
      </c>
      <c r="AM2051" s="175">
        <v>15</v>
      </c>
      <c r="AN2051" s="175">
        <v>0</v>
      </c>
      <c r="AO2051" s="175">
        <v>69</v>
      </c>
      <c r="AP2051" s="175">
        <v>64</v>
      </c>
      <c r="AQ2051" s="175">
        <v>8</v>
      </c>
      <c r="AR2051" s="175">
        <v>1</v>
      </c>
      <c r="AS2051" s="175">
        <v>6</v>
      </c>
      <c r="AT2051" s="175">
        <v>4</v>
      </c>
    </row>
    <row r="2052" spans="1:46">
      <c r="A2052">
        <v>45708</v>
      </c>
      <c r="B2052" t="s">
        <v>12162</v>
      </c>
      <c r="C2052" t="s">
        <v>12163</v>
      </c>
      <c r="E2052" t="s">
        <v>12164</v>
      </c>
      <c r="F2052" t="s">
        <v>822</v>
      </c>
      <c r="G2052" t="s">
        <v>737</v>
      </c>
      <c r="H2052" t="s">
        <v>449</v>
      </c>
      <c r="J2052" t="s">
        <v>4032</v>
      </c>
      <c r="K2052" t="s">
        <v>606</v>
      </c>
      <c r="M2052" t="s">
        <v>607</v>
      </c>
      <c r="N2052" t="s">
        <v>657</v>
      </c>
      <c r="O2052" t="s">
        <v>823</v>
      </c>
      <c r="P2052" t="s">
        <v>739</v>
      </c>
      <c r="Q2052" t="s">
        <v>467</v>
      </c>
      <c r="R2052" t="s">
        <v>724</v>
      </c>
      <c r="S2052" t="s">
        <v>824</v>
      </c>
      <c r="T2052" t="s">
        <v>613</v>
      </c>
      <c r="U2052">
        <v>123100</v>
      </c>
      <c r="V2052" t="s">
        <v>971</v>
      </c>
      <c r="W2052" t="s">
        <v>826</v>
      </c>
      <c r="X2052" t="s">
        <v>12165</v>
      </c>
      <c r="Y2052" t="s">
        <v>4725</v>
      </c>
      <c r="Z2052" t="s">
        <v>1043</v>
      </c>
      <c r="AA2052" t="s">
        <v>4726</v>
      </c>
      <c r="AB2052" t="s">
        <v>12166</v>
      </c>
      <c r="AE2052">
        <v>-36.775361599999997</v>
      </c>
      <c r="AF2052">
        <v>174.72086358999999</v>
      </c>
      <c r="AG2052" s="175">
        <v>80</v>
      </c>
      <c r="AH2052" s="175">
        <v>20</v>
      </c>
      <c r="AI2052" s="175">
        <v>5</v>
      </c>
      <c r="AJ2052" s="175">
        <v>13</v>
      </c>
      <c r="AK2052" s="175">
        <v>23</v>
      </c>
      <c r="AL2052" s="175">
        <v>15</v>
      </c>
      <c r="AM2052" s="175">
        <v>4</v>
      </c>
      <c r="AN2052" s="175">
        <v>0</v>
      </c>
      <c r="AO2052" s="175">
        <v>60</v>
      </c>
      <c r="AP2052" s="175">
        <v>17</v>
      </c>
      <c r="AQ2052" s="175">
        <v>9</v>
      </c>
      <c r="AR2052" s="175">
        <v>6</v>
      </c>
      <c r="AS2052" s="175">
        <v>38</v>
      </c>
      <c r="AT2052" s="175">
        <v>10</v>
      </c>
    </row>
    <row r="2053" spans="1:46">
      <c r="A2053">
        <v>45712</v>
      </c>
      <c r="B2053" t="s">
        <v>12167</v>
      </c>
      <c r="C2053" t="s">
        <v>12168</v>
      </c>
      <c r="D2053" t="s">
        <v>12169</v>
      </c>
      <c r="E2053" t="s">
        <v>12170</v>
      </c>
      <c r="G2053" t="s">
        <v>2803</v>
      </c>
      <c r="H2053" t="s">
        <v>449</v>
      </c>
      <c r="I2053" t="s">
        <v>4134</v>
      </c>
      <c r="J2053" t="s">
        <v>4032</v>
      </c>
      <c r="K2053" t="s">
        <v>606</v>
      </c>
      <c r="M2053" t="s">
        <v>2366</v>
      </c>
      <c r="N2053" t="s">
        <v>625</v>
      </c>
      <c r="O2053" t="s">
        <v>2147</v>
      </c>
      <c r="P2053" t="s">
        <v>1347</v>
      </c>
      <c r="Q2053" t="s">
        <v>553</v>
      </c>
      <c r="R2053" t="s">
        <v>2368</v>
      </c>
      <c r="S2053" t="s">
        <v>2148</v>
      </c>
      <c r="T2053" t="s">
        <v>1568</v>
      </c>
      <c r="U2053">
        <v>235100</v>
      </c>
      <c r="V2053" t="s">
        <v>10354</v>
      </c>
      <c r="W2053" t="s">
        <v>2805</v>
      </c>
      <c r="X2053" t="s">
        <v>10355</v>
      </c>
      <c r="Y2053" t="s">
        <v>10356</v>
      </c>
      <c r="AA2053" t="s">
        <v>10357</v>
      </c>
      <c r="AB2053" t="s">
        <v>10358</v>
      </c>
      <c r="AC2053">
        <v>99058</v>
      </c>
      <c r="AD2053" t="s">
        <v>2806</v>
      </c>
      <c r="AE2053">
        <v>-40.612907960000001</v>
      </c>
      <c r="AF2053">
        <v>175.29982197999999</v>
      </c>
      <c r="AG2053" s="175">
        <v>30</v>
      </c>
      <c r="AH2053" s="175">
        <v>0</v>
      </c>
      <c r="AI2053" s="175">
        <v>0</v>
      </c>
      <c r="AJ2053" s="175">
        <v>0</v>
      </c>
      <c r="AK2053" s="175">
        <v>5</v>
      </c>
      <c r="AL2053" s="175">
        <v>10</v>
      </c>
      <c r="AM2053" s="175">
        <v>21</v>
      </c>
      <c r="AN2053" s="175">
        <v>0</v>
      </c>
      <c r="AO2053" s="175">
        <v>36</v>
      </c>
      <c r="AP2053" s="175">
        <v>29</v>
      </c>
      <c r="AQ2053" s="175">
        <v>14</v>
      </c>
      <c r="AR2053" s="175">
        <v>3</v>
      </c>
      <c r="AS2053" s="175">
        <v>5</v>
      </c>
      <c r="AT2053" s="175">
        <v>0</v>
      </c>
    </row>
    <row r="2054" spans="1:46">
      <c r="A2054">
        <v>45714</v>
      </c>
      <c r="B2054" t="s">
        <v>12171</v>
      </c>
      <c r="C2054" t="s">
        <v>12172</v>
      </c>
      <c r="D2054" t="s">
        <v>12173</v>
      </c>
      <c r="E2054" t="s">
        <v>12174</v>
      </c>
      <c r="F2054" t="s">
        <v>983</v>
      </c>
      <c r="G2054" t="s">
        <v>737</v>
      </c>
      <c r="H2054" t="s">
        <v>449</v>
      </c>
      <c r="J2054" t="s">
        <v>4032</v>
      </c>
      <c r="K2054" t="s">
        <v>606</v>
      </c>
      <c r="M2054" t="s">
        <v>607</v>
      </c>
      <c r="N2054" t="s">
        <v>625</v>
      </c>
      <c r="O2054" t="s">
        <v>898</v>
      </c>
      <c r="P2054" t="s">
        <v>739</v>
      </c>
      <c r="Q2054" t="s">
        <v>467</v>
      </c>
      <c r="R2054" t="s">
        <v>724</v>
      </c>
      <c r="S2054" t="s">
        <v>984</v>
      </c>
      <c r="T2054" t="s">
        <v>613</v>
      </c>
      <c r="U2054">
        <v>127500</v>
      </c>
      <c r="V2054" t="s">
        <v>4619</v>
      </c>
      <c r="W2054" t="s">
        <v>900</v>
      </c>
      <c r="X2054" t="s">
        <v>6541</v>
      </c>
      <c r="Y2054" t="s">
        <v>12175</v>
      </c>
      <c r="Z2054" t="s">
        <v>1262</v>
      </c>
      <c r="AA2054" t="s">
        <v>4432</v>
      </c>
      <c r="AE2054">
        <v>-36.889528009999999</v>
      </c>
      <c r="AF2054">
        <v>174.62531730000001</v>
      </c>
      <c r="AG2054" s="175">
        <v>60</v>
      </c>
      <c r="AH2054" s="175">
        <v>0</v>
      </c>
      <c r="AI2054" s="175">
        <v>0</v>
      </c>
      <c r="AJ2054" s="175">
        <v>0</v>
      </c>
      <c r="AK2054" s="175">
        <v>20</v>
      </c>
      <c r="AL2054" s="175">
        <v>22</v>
      </c>
      <c r="AM2054" s="175">
        <v>18</v>
      </c>
      <c r="AN2054" s="175">
        <v>0</v>
      </c>
      <c r="AO2054" s="175">
        <v>60</v>
      </c>
      <c r="AP2054" s="175">
        <v>16</v>
      </c>
      <c r="AQ2054" s="175">
        <v>16</v>
      </c>
      <c r="AR2054" s="175">
        <v>19</v>
      </c>
      <c r="AS2054" s="175">
        <v>25</v>
      </c>
      <c r="AT2054" s="175">
        <v>0</v>
      </c>
    </row>
    <row r="2055" spans="1:46">
      <c r="A2055">
        <v>45717</v>
      </c>
      <c r="B2055" t="s">
        <v>12176</v>
      </c>
      <c r="C2055" t="s">
        <v>12177</v>
      </c>
      <c r="D2055" t="s">
        <v>12178</v>
      </c>
      <c r="E2055" t="s">
        <v>12179</v>
      </c>
      <c r="F2055" t="s">
        <v>3700</v>
      </c>
      <c r="G2055" t="s">
        <v>2198</v>
      </c>
      <c r="H2055" t="s">
        <v>449</v>
      </c>
      <c r="I2055" t="s">
        <v>4134</v>
      </c>
      <c r="J2055" t="s">
        <v>4032</v>
      </c>
      <c r="K2055" t="s">
        <v>606</v>
      </c>
      <c r="M2055" t="s">
        <v>1382</v>
      </c>
      <c r="N2055" t="s">
        <v>643</v>
      </c>
      <c r="O2055" t="s">
        <v>2210</v>
      </c>
      <c r="P2055" t="s">
        <v>670</v>
      </c>
      <c r="Q2055" t="s">
        <v>513</v>
      </c>
      <c r="R2055" t="s">
        <v>2164</v>
      </c>
      <c r="S2055" t="s">
        <v>2198</v>
      </c>
      <c r="T2055" t="s">
        <v>2165</v>
      </c>
      <c r="U2055">
        <v>215200</v>
      </c>
      <c r="V2055" t="s">
        <v>12180</v>
      </c>
      <c r="W2055" t="s">
        <v>2211</v>
      </c>
      <c r="X2055" t="s">
        <v>12181</v>
      </c>
      <c r="Y2055" t="s">
        <v>12182</v>
      </c>
      <c r="AA2055" t="s">
        <v>12183</v>
      </c>
      <c r="AB2055" t="s">
        <v>12177</v>
      </c>
      <c r="AE2055">
        <v>-39.50842943</v>
      </c>
      <c r="AF2055">
        <v>176.91436901</v>
      </c>
      <c r="AG2055" s="175">
        <v>30</v>
      </c>
      <c r="AH2055" s="175">
        <v>0</v>
      </c>
      <c r="AI2055" s="175">
        <v>0</v>
      </c>
      <c r="AJ2055" s="175">
        <v>0</v>
      </c>
      <c r="AK2055" s="175">
        <v>3</v>
      </c>
      <c r="AL2055" s="175">
        <v>14</v>
      </c>
      <c r="AM2055" s="175">
        <v>10</v>
      </c>
      <c r="AN2055" s="175">
        <v>6</v>
      </c>
      <c r="AO2055" s="175">
        <v>33</v>
      </c>
      <c r="AP2055" s="175">
        <v>16</v>
      </c>
      <c r="AQ2055" s="175">
        <v>13</v>
      </c>
      <c r="AR2055" s="175">
        <v>1</v>
      </c>
      <c r="AS2055" s="175">
        <v>15</v>
      </c>
      <c r="AT2055" s="175">
        <v>4</v>
      </c>
    </row>
    <row r="2056" spans="1:46">
      <c r="A2056">
        <v>45719</v>
      </c>
      <c r="B2056" t="s">
        <v>12184</v>
      </c>
      <c r="C2056" t="s">
        <v>12185</v>
      </c>
      <c r="D2056" t="s">
        <v>12186</v>
      </c>
      <c r="E2056" t="s">
        <v>12187</v>
      </c>
      <c r="F2056" t="s">
        <v>12188</v>
      </c>
      <c r="G2056" t="s">
        <v>2396</v>
      </c>
      <c r="H2056" t="s">
        <v>449</v>
      </c>
      <c r="J2056" t="s">
        <v>4032</v>
      </c>
      <c r="K2056" t="s">
        <v>606</v>
      </c>
      <c r="M2056" t="s">
        <v>2366</v>
      </c>
      <c r="N2056" t="s">
        <v>657</v>
      </c>
      <c r="O2056" t="s">
        <v>2397</v>
      </c>
      <c r="P2056" t="s">
        <v>1347</v>
      </c>
      <c r="Q2056" t="s">
        <v>516</v>
      </c>
      <c r="R2056" t="s">
        <v>2368</v>
      </c>
      <c r="S2056" t="s">
        <v>2348</v>
      </c>
      <c r="T2056" t="s">
        <v>2165</v>
      </c>
      <c r="U2056">
        <v>256301</v>
      </c>
      <c r="V2056" t="s">
        <v>2398</v>
      </c>
      <c r="W2056" t="s">
        <v>2399</v>
      </c>
      <c r="X2056" t="s">
        <v>12189</v>
      </c>
      <c r="Y2056" t="s">
        <v>4176</v>
      </c>
      <c r="AA2056" t="s">
        <v>4052</v>
      </c>
      <c r="AB2056" t="s">
        <v>12190</v>
      </c>
      <c r="AC2056">
        <v>99204</v>
      </c>
      <c r="AD2056" t="s">
        <v>2400</v>
      </c>
      <c r="AE2056">
        <v>-40.946423899999999</v>
      </c>
      <c r="AF2056">
        <v>175.67552782000001</v>
      </c>
      <c r="AG2056" s="175">
        <v>60</v>
      </c>
      <c r="AH2056" s="175">
        <v>20</v>
      </c>
      <c r="AI2056" s="175">
        <v>3</v>
      </c>
      <c r="AJ2056" s="175">
        <v>9</v>
      </c>
      <c r="AK2056" s="175">
        <v>19</v>
      </c>
      <c r="AL2056" s="175">
        <v>14</v>
      </c>
      <c r="AM2056" s="175">
        <v>12</v>
      </c>
      <c r="AN2056" s="175">
        <v>1</v>
      </c>
      <c r="AO2056" s="175">
        <v>58</v>
      </c>
      <c r="AP2056" s="175">
        <v>50</v>
      </c>
      <c r="AQ2056" s="175">
        <v>16</v>
      </c>
      <c r="AR2056" s="175">
        <v>6</v>
      </c>
      <c r="AS2056" s="175">
        <v>4</v>
      </c>
      <c r="AT2056" s="175">
        <v>5</v>
      </c>
    </row>
    <row r="2057" spans="1:46">
      <c r="A2057">
        <v>45720</v>
      </c>
      <c r="B2057" t="s">
        <v>12191</v>
      </c>
      <c r="C2057" t="s">
        <v>12192</v>
      </c>
      <c r="E2057" t="s">
        <v>12193</v>
      </c>
      <c r="G2057" t="s">
        <v>12194</v>
      </c>
      <c r="H2057" t="s">
        <v>449</v>
      </c>
      <c r="J2057" t="s">
        <v>4032</v>
      </c>
      <c r="K2057" t="s">
        <v>606</v>
      </c>
      <c r="M2057" t="s">
        <v>2366</v>
      </c>
      <c r="N2057" t="s">
        <v>657</v>
      </c>
      <c r="O2057" t="s">
        <v>3291</v>
      </c>
      <c r="P2057" t="s">
        <v>610</v>
      </c>
      <c r="Q2057" t="s">
        <v>521</v>
      </c>
      <c r="R2057" t="s">
        <v>3017</v>
      </c>
      <c r="S2057" t="s">
        <v>3292</v>
      </c>
      <c r="T2057" t="s">
        <v>2526</v>
      </c>
      <c r="U2057">
        <v>336901</v>
      </c>
      <c r="V2057" t="s">
        <v>12194</v>
      </c>
      <c r="W2057" t="s">
        <v>2539</v>
      </c>
      <c r="X2057" t="s">
        <v>12195</v>
      </c>
      <c r="Y2057" t="s">
        <v>12193</v>
      </c>
      <c r="AA2057" t="s">
        <v>12196</v>
      </c>
      <c r="AB2057" t="s">
        <v>12197</v>
      </c>
      <c r="AC2057">
        <v>99009</v>
      </c>
      <c r="AD2057" t="s">
        <v>10953</v>
      </c>
      <c r="AE2057">
        <v>-43.6334929</v>
      </c>
      <c r="AF2057">
        <v>171.64835124999999</v>
      </c>
      <c r="AG2057" s="175">
        <v>41</v>
      </c>
      <c r="AH2057" s="175">
        <v>14</v>
      </c>
      <c r="AI2057" s="175">
        <v>1</v>
      </c>
      <c r="AJ2057" s="175">
        <v>6</v>
      </c>
      <c r="AK2057" s="175">
        <v>12</v>
      </c>
      <c r="AL2057" s="175">
        <v>14</v>
      </c>
      <c r="AM2057" s="175">
        <v>27</v>
      </c>
      <c r="AN2057" s="175">
        <v>0</v>
      </c>
      <c r="AO2057" s="175">
        <v>60</v>
      </c>
      <c r="AP2057" s="175">
        <v>51</v>
      </c>
      <c r="AQ2057" s="175">
        <v>11</v>
      </c>
      <c r="AR2057" s="175">
        <v>0</v>
      </c>
      <c r="AS2057" s="175">
        <v>6</v>
      </c>
      <c r="AT2057" s="175">
        <v>3</v>
      </c>
    </row>
    <row r="2058" spans="1:46">
      <c r="A2058">
        <v>45722</v>
      </c>
      <c r="B2058" t="s">
        <v>12198</v>
      </c>
      <c r="C2058" t="s">
        <v>12199</v>
      </c>
      <c r="D2058" t="s">
        <v>12200</v>
      </c>
      <c r="E2058" t="s">
        <v>12201</v>
      </c>
      <c r="F2058" t="s">
        <v>2929</v>
      </c>
      <c r="G2058" t="s">
        <v>2930</v>
      </c>
      <c r="H2058" t="s">
        <v>450</v>
      </c>
      <c r="J2058" t="s">
        <v>4032</v>
      </c>
      <c r="K2058" t="s">
        <v>606</v>
      </c>
      <c r="M2058" t="s">
        <v>2366</v>
      </c>
      <c r="N2058" t="s">
        <v>657</v>
      </c>
      <c r="O2058" t="s">
        <v>2900</v>
      </c>
      <c r="P2058" t="s">
        <v>610</v>
      </c>
      <c r="Q2058" t="s">
        <v>519</v>
      </c>
      <c r="R2058" t="s">
        <v>2901</v>
      </c>
      <c r="S2058" t="s">
        <v>2902</v>
      </c>
      <c r="T2058" t="s">
        <v>2526</v>
      </c>
      <c r="U2058">
        <v>307100</v>
      </c>
      <c r="V2058" t="s">
        <v>3938</v>
      </c>
      <c r="W2058" t="s">
        <v>3939</v>
      </c>
      <c r="X2058" t="s">
        <v>12202</v>
      </c>
      <c r="Y2058" t="s">
        <v>12201</v>
      </c>
      <c r="Z2058" t="s">
        <v>2929</v>
      </c>
      <c r="AA2058" t="s">
        <v>11591</v>
      </c>
      <c r="AB2058" t="s">
        <v>12203</v>
      </c>
      <c r="AC2058">
        <v>99006</v>
      </c>
      <c r="AD2058" t="s">
        <v>2908</v>
      </c>
      <c r="AE2058">
        <v>-41.307156169999999</v>
      </c>
      <c r="AF2058">
        <v>173.2292502</v>
      </c>
      <c r="AG2058" s="175">
        <v>80</v>
      </c>
      <c r="AH2058" s="175">
        <v>80</v>
      </c>
      <c r="AI2058" s="175">
        <v>4</v>
      </c>
      <c r="AJ2058" s="175">
        <v>9</v>
      </c>
      <c r="AK2058" s="175">
        <v>26</v>
      </c>
      <c r="AL2058" s="175">
        <v>15</v>
      </c>
      <c r="AM2058" s="175">
        <v>8</v>
      </c>
      <c r="AN2058" s="175">
        <v>4</v>
      </c>
      <c r="AO2058" s="175">
        <v>66</v>
      </c>
      <c r="AP2058" s="175">
        <v>65</v>
      </c>
      <c r="AQ2058" s="175">
        <v>11</v>
      </c>
      <c r="AR2058" s="175">
        <v>1</v>
      </c>
      <c r="AS2058" s="175">
        <v>0</v>
      </c>
      <c r="AT2058" s="175">
        <v>0</v>
      </c>
    </row>
    <row r="2059" spans="1:46">
      <c r="A2059">
        <v>45723</v>
      </c>
      <c r="B2059" t="s">
        <v>12204</v>
      </c>
      <c r="C2059" t="s">
        <v>12205</v>
      </c>
      <c r="D2059" t="s">
        <v>12206</v>
      </c>
      <c r="E2059" t="s">
        <v>12207</v>
      </c>
      <c r="G2059" t="s">
        <v>3290</v>
      </c>
      <c r="H2059" t="s">
        <v>449</v>
      </c>
      <c r="J2059" t="s">
        <v>4032</v>
      </c>
      <c r="K2059" t="s">
        <v>606</v>
      </c>
      <c r="M2059" t="s">
        <v>2366</v>
      </c>
      <c r="N2059" t="s">
        <v>657</v>
      </c>
      <c r="O2059" t="s">
        <v>3291</v>
      </c>
      <c r="P2059" t="s">
        <v>1347</v>
      </c>
      <c r="Q2059" t="s">
        <v>521</v>
      </c>
      <c r="R2059" t="s">
        <v>3017</v>
      </c>
      <c r="S2059" t="s">
        <v>3292</v>
      </c>
      <c r="T2059" t="s">
        <v>2526</v>
      </c>
      <c r="U2059">
        <v>338300</v>
      </c>
      <c r="V2059" t="s">
        <v>12208</v>
      </c>
      <c r="W2059" t="s">
        <v>3294</v>
      </c>
      <c r="X2059" t="s">
        <v>12209</v>
      </c>
      <c r="Y2059" t="s">
        <v>4176</v>
      </c>
      <c r="AA2059" t="s">
        <v>4052</v>
      </c>
      <c r="AB2059" t="s">
        <v>12210</v>
      </c>
      <c r="AC2059">
        <v>99043</v>
      </c>
      <c r="AD2059" t="s">
        <v>3299</v>
      </c>
      <c r="AE2059">
        <v>-43.905843750000003</v>
      </c>
      <c r="AF2059">
        <v>171.75725661000001</v>
      </c>
      <c r="AG2059" s="175">
        <v>75</v>
      </c>
      <c r="AH2059" s="175">
        <v>25</v>
      </c>
      <c r="AI2059" s="175">
        <v>4</v>
      </c>
      <c r="AJ2059" s="175">
        <v>17</v>
      </c>
      <c r="AK2059" s="175">
        <v>13</v>
      </c>
      <c r="AL2059" s="175">
        <v>17</v>
      </c>
      <c r="AM2059" s="175">
        <v>22</v>
      </c>
      <c r="AN2059" s="175">
        <v>1</v>
      </c>
      <c r="AO2059" s="175">
        <v>74</v>
      </c>
      <c r="AP2059" s="175">
        <v>54</v>
      </c>
      <c r="AQ2059" s="175">
        <v>9</v>
      </c>
      <c r="AR2059" s="175">
        <v>3</v>
      </c>
      <c r="AS2059" s="175">
        <v>10</v>
      </c>
      <c r="AT2059" s="175">
        <v>7</v>
      </c>
    </row>
    <row r="2060" spans="1:46">
      <c r="A2060">
        <v>45727</v>
      </c>
      <c r="B2060" t="s">
        <v>12211</v>
      </c>
      <c r="C2060" t="s">
        <v>12212</v>
      </c>
      <c r="D2060" t="s">
        <v>12213</v>
      </c>
      <c r="E2060" t="s">
        <v>12214</v>
      </c>
      <c r="G2060" t="s">
        <v>3744</v>
      </c>
      <c r="H2060" t="s">
        <v>449</v>
      </c>
      <c r="J2060" t="s">
        <v>4032</v>
      </c>
      <c r="K2060" t="s">
        <v>606</v>
      </c>
      <c r="M2060" t="s">
        <v>607</v>
      </c>
      <c r="N2060" t="s">
        <v>657</v>
      </c>
      <c r="O2060" t="s">
        <v>609</v>
      </c>
      <c r="P2060" t="s">
        <v>610</v>
      </c>
      <c r="Q2060" t="s">
        <v>509</v>
      </c>
      <c r="R2060" t="s">
        <v>611</v>
      </c>
      <c r="S2060" t="s">
        <v>612</v>
      </c>
      <c r="T2060" t="s">
        <v>613</v>
      </c>
      <c r="U2060">
        <v>103000</v>
      </c>
      <c r="V2060" t="s">
        <v>3745</v>
      </c>
      <c r="W2060" t="s">
        <v>644</v>
      </c>
      <c r="X2060" t="s">
        <v>12215</v>
      </c>
      <c r="Y2060" t="s">
        <v>12216</v>
      </c>
      <c r="AA2060" t="s">
        <v>12217</v>
      </c>
      <c r="AB2060" t="s">
        <v>12218</v>
      </c>
      <c r="AE2060">
        <v>-35.231847999999999</v>
      </c>
      <c r="AF2060">
        <v>173.94476437</v>
      </c>
      <c r="AG2060" s="175">
        <v>50</v>
      </c>
      <c r="AH2060" s="175">
        <v>14</v>
      </c>
      <c r="AI2060" s="175">
        <v>1</v>
      </c>
      <c r="AJ2060" s="175">
        <v>3</v>
      </c>
      <c r="AK2060" s="175">
        <v>7</v>
      </c>
      <c r="AL2060" s="175">
        <v>15</v>
      </c>
      <c r="AM2060" s="175">
        <v>8</v>
      </c>
      <c r="AN2060" s="175">
        <v>3</v>
      </c>
      <c r="AO2060" s="175">
        <v>37</v>
      </c>
      <c r="AP2060" s="175">
        <v>30</v>
      </c>
      <c r="AQ2060" s="175">
        <v>6</v>
      </c>
      <c r="AR2060" s="175">
        <v>0</v>
      </c>
      <c r="AS2060" s="175">
        <v>1</v>
      </c>
      <c r="AT2060" s="175">
        <v>1</v>
      </c>
    </row>
    <row r="2061" spans="1:46">
      <c r="A2061">
        <v>45728</v>
      </c>
      <c r="B2061" t="s">
        <v>12219</v>
      </c>
      <c r="C2061" t="s">
        <v>12220</v>
      </c>
      <c r="E2061" t="s">
        <v>12221</v>
      </c>
      <c r="G2061" t="s">
        <v>1931</v>
      </c>
      <c r="H2061" t="s">
        <v>347</v>
      </c>
      <c r="J2061" t="s">
        <v>605</v>
      </c>
      <c r="K2061" t="s">
        <v>606</v>
      </c>
      <c r="L2061" t="s">
        <v>4273</v>
      </c>
      <c r="M2061" t="s">
        <v>1382</v>
      </c>
      <c r="N2061" t="s">
        <v>608</v>
      </c>
      <c r="O2061" t="s">
        <v>1932</v>
      </c>
      <c r="P2061" t="s">
        <v>610</v>
      </c>
      <c r="Q2061" t="s">
        <v>514</v>
      </c>
      <c r="R2061" t="s">
        <v>1841</v>
      </c>
      <c r="S2061" t="s">
        <v>1923</v>
      </c>
      <c r="T2061" t="s">
        <v>1568</v>
      </c>
      <c r="U2061">
        <v>221001</v>
      </c>
      <c r="V2061" t="s">
        <v>1931</v>
      </c>
      <c r="W2061" t="s">
        <v>1933</v>
      </c>
      <c r="X2061" t="s">
        <v>9133</v>
      </c>
      <c r="Y2061" t="s">
        <v>4276</v>
      </c>
      <c r="Z2061" t="s">
        <v>4277</v>
      </c>
      <c r="AA2061" t="s">
        <v>4278</v>
      </c>
      <c r="AB2061" t="s">
        <v>9134</v>
      </c>
      <c r="AE2061">
        <v>-39.431410530000001</v>
      </c>
      <c r="AF2061">
        <v>174.29799449000001</v>
      </c>
      <c r="AG2061" s="175">
        <v>45</v>
      </c>
      <c r="AH2061" s="175">
        <v>15</v>
      </c>
      <c r="AI2061" s="175">
        <v>1</v>
      </c>
      <c r="AJ2061" s="175">
        <v>7</v>
      </c>
      <c r="AK2061" s="175">
        <v>8</v>
      </c>
      <c r="AL2061" s="175">
        <v>10</v>
      </c>
      <c r="AM2061" s="175">
        <v>6</v>
      </c>
      <c r="AN2061" s="175">
        <v>0</v>
      </c>
      <c r="AO2061" s="175">
        <v>32</v>
      </c>
      <c r="AP2061" s="175">
        <v>0</v>
      </c>
      <c r="AQ2061" s="175">
        <v>32</v>
      </c>
      <c r="AR2061" s="175">
        <v>0</v>
      </c>
      <c r="AS2061" s="175">
        <v>0</v>
      </c>
      <c r="AT2061" s="175">
        <v>0</v>
      </c>
    </row>
    <row r="2062" spans="1:46">
      <c r="A2062">
        <v>45732</v>
      </c>
      <c r="B2062" t="s">
        <v>12222</v>
      </c>
      <c r="C2062" t="s">
        <v>12223</v>
      </c>
      <c r="D2062" t="s">
        <v>12224</v>
      </c>
      <c r="E2062" t="s">
        <v>12225</v>
      </c>
      <c r="F2062" t="s">
        <v>12226</v>
      </c>
      <c r="G2062" t="s">
        <v>2368</v>
      </c>
      <c r="H2062" t="s">
        <v>449</v>
      </c>
      <c r="I2062" t="s">
        <v>4023</v>
      </c>
      <c r="J2062" t="s">
        <v>605</v>
      </c>
      <c r="K2062" t="s">
        <v>606</v>
      </c>
      <c r="M2062" t="s">
        <v>2366</v>
      </c>
      <c r="N2062" t="s">
        <v>4586</v>
      </c>
      <c r="O2062" t="s">
        <v>2614</v>
      </c>
      <c r="P2062" t="s">
        <v>739</v>
      </c>
      <c r="Q2062" t="s">
        <v>516</v>
      </c>
      <c r="R2062" t="s">
        <v>2368</v>
      </c>
      <c r="S2062" t="s">
        <v>2631</v>
      </c>
      <c r="T2062" t="s">
        <v>2526</v>
      </c>
      <c r="U2062">
        <v>250700</v>
      </c>
      <c r="V2062" t="s">
        <v>12227</v>
      </c>
      <c r="W2062" t="s">
        <v>2651</v>
      </c>
      <c r="X2062" t="s">
        <v>12228</v>
      </c>
      <c r="Y2062" t="s">
        <v>12229</v>
      </c>
      <c r="Z2062" t="s">
        <v>12226</v>
      </c>
      <c r="AA2062" t="s">
        <v>12230</v>
      </c>
      <c r="AE2062">
        <v>-41.275750700000003</v>
      </c>
      <c r="AF2062">
        <v>174.7805626</v>
      </c>
      <c r="AG2062" s="175">
        <v>30</v>
      </c>
      <c r="AH2062" s="175">
        <v>15</v>
      </c>
      <c r="AI2062" s="175">
        <v>1</v>
      </c>
      <c r="AJ2062" s="175">
        <v>7</v>
      </c>
      <c r="AK2062" s="175">
        <v>12</v>
      </c>
      <c r="AL2062" s="175">
        <v>4</v>
      </c>
      <c r="AM2062" s="175">
        <v>4</v>
      </c>
      <c r="AN2062" s="175">
        <v>0</v>
      </c>
      <c r="AO2062" s="175">
        <v>28</v>
      </c>
      <c r="AP2062" s="175">
        <v>28</v>
      </c>
      <c r="AQ2062" s="175">
        <v>0</v>
      </c>
      <c r="AR2062" s="175">
        <v>0</v>
      </c>
      <c r="AS2062" s="175">
        <v>3</v>
      </c>
      <c r="AT2062" s="175">
        <v>2</v>
      </c>
    </row>
    <row r="2063" spans="1:46">
      <c r="A2063">
        <v>45734</v>
      </c>
      <c r="B2063" t="s">
        <v>12231</v>
      </c>
      <c r="C2063" t="s">
        <v>12232</v>
      </c>
      <c r="E2063" t="s">
        <v>12233</v>
      </c>
      <c r="F2063" t="s">
        <v>2899</v>
      </c>
      <c r="G2063" t="s">
        <v>2899</v>
      </c>
      <c r="H2063" t="s">
        <v>450</v>
      </c>
      <c r="J2063" t="s">
        <v>4032</v>
      </c>
      <c r="K2063" t="s">
        <v>606</v>
      </c>
      <c r="M2063" t="s">
        <v>2366</v>
      </c>
      <c r="N2063" t="s">
        <v>657</v>
      </c>
      <c r="O2063" t="s">
        <v>2900</v>
      </c>
      <c r="P2063" t="s">
        <v>1347</v>
      </c>
      <c r="Q2063" t="s">
        <v>519</v>
      </c>
      <c r="R2063" t="s">
        <v>2901</v>
      </c>
      <c r="S2063" t="s">
        <v>2902</v>
      </c>
      <c r="T2063" t="s">
        <v>2526</v>
      </c>
      <c r="U2063">
        <v>307900</v>
      </c>
      <c r="V2063" t="s">
        <v>11615</v>
      </c>
      <c r="W2063" t="s">
        <v>2903</v>
      </c>
      <c r="X2063" t="s">
        <v>12234</v>
      </c>
      <c r="Y2063" t="s">
        <v>9089</v>
      </c>
      <c r="Z2063" t="s">
        <v>2505</v>
      </c>
      <c r="AA2063" t="s">
        <v>9092</v>
      </c>
      <c r="AE2063">
        <v>-41.514847379999999</v>
      </c>
      <c r="AF2063">
        <v>173.95514534</v>
      </c>
      <c r="AG2063" s="175">
        <v>80</v>
      </c>
      <c r="AH2063" s="175">
        <v>80</v>
      </c>
      <c r="AI2063" s="175">
        <v>0</v>
      </c>
      <c r="AJ2063" s="175">
        <v>10</v>
      </c>
      <c r="AK2063" s="175">
        <v>11</v>
      </c>
      <c r="AL2063" s="175">
        <v>15</v>
      </c>
      <c r="AM2063" s="175">
        <v>15</v>
      </c>
      <c r="AN2063" s="175">
        <v>0</v>
      </c>
      <c r="AO2063" s="175">
        <v>51</v>
      </c>
      <c r="AP2063" s="175">
        <v>41</v>
      </c>
      <c r="AQ2063" s="175">
        <v>6</v>
      </c>
      <c r="AR2063" s="175">
        <v>1</v>
      </c>
      <c r="AS2063" s="175">
        <v>6</v>
      </c>
      <c r="AT2063" s="175">
        <v>3</v>
      </c>
    </row>
    <row r="2064" spans="1:46">
      <c r="A2064">
        <v>45735</v>
      </c>
      <c r="B2064" t="s">
        <v>12235</v>
      </c>
      <c r="C2064" t="s">
        <v>12236</v>
      </c>
      <c r="D2064" t="s">
        <v>12237</v>
      </c>
      <c r="E2064" t="s">
        <v>12238</v>
      </c>
      <c r="F2064" t="s">
        <v>906</v>
      </c>
      <c r="G2064" t="s">
        <v>737</v>
      </c>
      <c r="H2064" t="s">
        <v>449</v>
      </c>
      <c r="J2064" t="s">
        <v>4032</v>
      </c>
      <c r="K2064" t="s">
        <v>606</v>
      </c>
      <c r="M2064" t="s">
        <v>607</v>
      </c>
      <c r="N2064" t="s">
        <v>657</v>
      </c>
      <c r="O2064" t="s">
        <v>889</v>
      </c>
      <c r="P2064" t="s">
        <v>739</v>
      </c>
      <c r="Q2064" t="s">
        <v>467</v>
      </c>
      <c r="R2064" t="s">
        <v>793</v>
      </c>
      <c r="S2064" t="s">
        <v>907</v>
      </c>
      <c r="T2064" t="s">
        <v>794</v>
      </c>
      <c r="U2064">
        <v>141000</v>
      </c>
      <c r="V2064" t="s">
        <v>908</v>
      </c>
      <c r="W2064" t="s">
        <v>909</v>
      </c>
      <c r="X2064" t="s">
        <v>12239</v>
      </c>
      <c r="Y2064" t="s">
        <v>7728</v>
      </c>
      <c r="Z2064" t="s">
        <v>729</v>
      </c>
      <c r="AA2064" t="s">
        <v>730</v>
      </c>
      <c r="AB2064" t="s">
        <v>12240</v>
      </c>
      <c r="AE2064">
        <v>-36.886235820000003</v>
      </c>
      <c r="AF2064">
        <v>174.79734535</v>
      </c>
      <c r="AG2064" s="175">
        <v>145</v>
      </c>
      <c r="AH2064" s="175">
        <v>50</v>
      </c>
      <c r="AI2064" s="175">
        <v>2</v>
      </c>
      <c r="AJ2064" s="175">
        <v>15</v>
      </c>
      <c r="AK2064" s="175">
        <v>21</v>
      </c>
      <c r="AL2064" s="175">
        <v>17</v>
      </c>
      <c r="AM2064" s="175">
        <v>33</v>
      </c>
      <c r="AN2064" s="175">
        <v>3</v>
      </c>
      <c r="AO2064" s="175">
        <v>91</v>
      </c>
      <c r="AP2064" s="175">
        <v>33</v>
      </c>
      <c r="AQ2064" s="175">
        <v>0</v>
      </c>
      <c r="AR2064" s="175">
        <v>3</v>
      </c>
      <c r="AS2064" s="175">
        <v>68</v>
      </c>
      <c r="AT2064" s="175">
        <v>6</v>
      </c>
    </row>
    <row r="2065" spans="1:46">
      <c r="A2065">
        <v>45737</v>
      </c>
      <c r="B2065" t="s">
        <v>12241</v>
      </c>
      <c r="C2065" t="s">
        <v>12242</v>
      </c>
      <c r="D2065" t="s">
        <v>12243</v>
      </c>
      <c r="E2065" t="s">
        <v>12244</v>
      </c>
      <c r="G2065" t="s">
        <v>760</v>
      </c>
      <c r="H2065" t="s">
        <v>449</v>
      </c>
      <c r="J2065" t="s">
        <v>4032</v>
      </c>
      <c r="K2065" t="s">
        <v>606</v>
      </c>
      <c r="M2065" t="s">
        <v>607</v>
      </c>
      <c r="N2065" t="s">
        <v>657</v>
      </c>
      <c r="O2065" t="s">
        <v>723</v>
      </c>
      <c r="P2065" t="s">
        <v>610</v>
      </c>
      <c r="Q2065" t="s">
        <v>467</v>
      </c>
      <c r="R2065" t="s">
        <v>724</v>
      </c>
      <c r="S2065" t="s">
        <v>725</v>
      </c>
      <c r="T2065" t="s">
        <v>613</v>
      </c>
      <c r="U2065">
        <v>111100</v>
      </c>
      <c r="V2065" t="s">
        <v>761</v>
      </c>
      <c r="W2065" t="s">
        <v>726</v>
      </c>
      <c r="X2065" t="s">
        <v>12245</v>
      </c>
      <c r="Y2065" t="s">
        <v>12246</v>
      </c>
      <c r="Z2065" t="s">
        <v>760</v>
      </c>
      <c r="AA2065" t="s">
        <v>12247</v>
      </c>
      <c r="AB2065" t="s">
        <v>12248</v>
      </c>
      <c r="AE2065">
        <v>-36.410398430000001</v>
      </c>
      <c r="AF2065">
        <v>174.65482510000001</v>
      </c>
      <c r="AG2065" s="175">
        <v>80</v>
      </c>
      <c r="AH2065" s="175">
        <v>25</v>
      </c>
      <c r="AI2065" s="175">
        <v>6</v>
      </c>
      <c r="AJ2065" s="175">
        <v>21</v>
      </c>
      <c r="AK2065" s="175">
        <v>17</v>
      </c>
      <c r="AL2065" s="175">
        <v>19</v>
      </c>
      <c r="AM2065" s="175">
        <v>23</v>
      </c>
      <c r="AN2065" s="175">
        <v>0</v>
      </c>
      <c r="AO2065" s="175">
        <v>86</v>
      </c>
      <c r="AP2065" s="175">
        <v>86</v>
      </c>
      <c r="AQ2065" s="175">
        <v>12</v>
      </c>
      <c r="AR2065" s="175">
        <v>5</v>
      </c>
      <c r="AS2065" s="175">
        <v>1</v>
      </c>
      <c r="AT2065" s="175">
        <v>1</v>
      </c>
    </row>
    <row r="2066" spans="1:46">
      <c r="A2066">
        <v>45747</v>
      </c>
      <c r="B2066" t="s">
        <v>12249</v>
      </c>
      <c r="C2066" t="s">
        <v>12250</v>
      </c>
      <c r="D2066" t="s">
        <v>12251</v>
      </c>
      <c r="E2066" t="s">
        <v>12252</v>
      </c>
      <c r="F2066" t="s">
        <v>3841</v>
      </c>
      <c r="G2066" t="s">
        <v>1681</v>
      </c>
      <c r="H2066" t="s">
        <v>449</v>
      </c>
      <c r="J2066" t="s">
        <v>4032</v>
      </c>
      <c r="K2066" t="s">
        <v>606</v>
      </c>
      <c r="M2066" t="s">
        <v>1382</v>
      </c>
      <c r="N2066" t="s">
        <v>657</v>
      </c>
      <c r="O2066" t="s">
        <v>1780</v>
      </c>
      <c r="P2066" t="s">
        <v>739</v>
      </c>
      <c r="Q2066" t="s">
        <v>511</v>
      </c>
      <c r="R2066" t="s">
        <v>1555</v>
      </c>
      <c r="S2066" t="s">
        <v>1781</v>
      </c>
      <c r="T2066" t="s">
        <v>1557</v>
      </c>
      <c r="U2066">
        <v>197300</v>
      </c>
      <c r="V2066" t="s">
        <v>3842</v>
      </c>
      <c r="W2066" t="s">
        <v>3843</v>
      </c>
      <c r="X2066" t="s">
        <v>12253</v>
      </c>
      <c r="Y2066" t="s">
        <v>12254</v>
      </c>
      <c r="Z2066" t="s">
        <v>12255</v>
      </c>
      <c r="AA2066" t="s">
        <v>12256</v>
      </c>
      <c r="AB2066" t="s">
        <v>12250</v>
      </c>
      <c r="AE2066">
        <v>-37.71340197</v>
      </c>
      <c r="AF2066">
        <v>176.29244152999999</v>
      </c>
      <c r="AG2066" s="175">
        <v>100</v>
      </c>
      <c r="AH2066" s="175">
        <v>35</v>
      </c>
      <c r="AI2066" s="175">
        <v>3</v>
      </c>
      <c r="AJ2066" s="175">
        <v>22</v>
      </c>
      <c r="AK2066" s="175">
        <v>24</v>
      </c>
      <c r="AL2066" s="175">
        <v>35</v>
      </c>
      <c r="AM2066" s="175">
        <v>30</v>
      </c>
      <c r="AN2066" s="175">
        <v>0</v>
      </c>
      <c r="AO2066" s="175">
        <v>114</v>
      </c>
      <c r="AP2066" s="175">
        <v>101</v>
      </c>
      <c r="AQ2066" s="175">
        <v>16</v>
      </c>
      <c r="AR2066" s="175">
        <v>3</v>
      </c>
      <c r="AS2066" s="175">
        <v>13</v>
      </c>
      <c r="AT2066" s="175">
        <v>9</v>
      </c>
    </row>
    <row r="2067" spans="1:46">
      <c r="A2067">
        <v>45751</v>
      </c>
      <c r="B2067" t="s">
        <v>12257</v>
      </c>
      <c r="C2067" t="s">
        <v>12258</v>
      </c>
      <c r="D2067" t="s">
        <v>12259</v>
      </c>
      <c r="E2067" t="s">
        <v>12260</v>
      </c>
      <c r="F2067" t="s">
        <v>855</v>
      </c>
      <c r="G2067" t="s">
        <v>737</v>
      </c>
      <c r="H2067" t="s">
        <v>452</v>
      </c>
      <c r="J2067" t="s">
        <v>605</v>
      </c>
      <c r="K2067" t="s">
        <v>606</v>
      </c>
      <c r="M2067" t="s">
        <v>607</v>
      </c>
      <c r="N2067" t="s">
        <v>643</v>
      </c>
      <c r="O2067" t="s">
        <v>803</v>
      </c>
      <c r="P2067" t="s">
        <v>739</v>
      </c>
      <c r="Q2067" t="s">
        <v>467</v>
      </c>
      <c r="R2067" t="s">
        <v>724</v>
      </c>
      <c r="S2067" t="s">
        <v>855</v>
      </c>
      <c r="T2067" t="s">
        <v>794</v>
      </c>
      <c r="U2067">
        <v>135600</v>
      </c>
      <c r="V2067" t="s">
        <v>6657</v>
      </c>
      <c r="W2067" t="s">
        <v>806</v>
      </c>
      <c r="X2067" t="s">
        <v>727</v>
      </c>
      <c r="Y2067" t="s">
        <v>728</v>
      </c>
      <c r="Z2067" t="s">
        <v>729</v>
      </c>
      <c r="AA2067" t="s">
        <v>730</v>
      </c>
      <c r="AB2067" t="s">
        <v>731</v>
      </c>
      <c r="AC2067">
        <v>99062</v>
      </c>
      <c r="AD2067" t="s">
        <v>978</v>
      </c>
      <c r="AE2067">
        <v>-36.911478539999997</v>
      </c>
      <c r="AF2067">
        <v>174.67972707999999</v>
      </c>
      <c r="AG2067" s="175">
        <v>40</v>
      </c>
      <c r="AH2067" s="175">
        <v>0</v>
      </c>
      <c r="AI2067" s="175">
        <v>0</v>
      </c>
      <c r="AJ2067" s="175">
        <v>0</v>
      </c>
      <c r="AK2067" s="175">
        <v>1</v>
      </c>
      <c r="AL2067" s="175">
        <v>21</v>
      </c>
      <c r="AM2067" s="175">
        <v>29</v>
      </c>
      <c r="AN2067" s="175">
        <v>1</v>
      </c>
      <c r="AO2067" s="175">
        <v>52</v>
      </c>
      <c r="AP2067" s="175">
        <v>13</v>
      </c>
      <c r="AQ2067" s="175">
        <v>5</v>
      </c>
      <c r="AR2067" s="175">
        <v>7</v>
      </c>
      <c r="AS2067" s="175">
        <v>30</v>
      </c>
      <c r="AT2067" s="175">
        <v>5</v>
      </c>
    </row>
    <row r="2068" spans="1:46">
      <c r="A2068">
        <v>45753</v>
      </c>
      <c r="B2068" t="s">
        <v>12261</v>
      </c>
      <c r="C2068" t="s">
        <v>12262</v>
      </c>
      <c r="D2068" t="s">
        <v>12263</v>
      </c>
      <c r="E2068" t="s">
        <v>12264</v>
      </c>
      <c r="F2068" t="s">
        <v>3267</v>
      </c>
      <c r="G2068" t="s">
        <v>3015</v>
      </c>
      <c r="H2068" t="s">
        <v>449</v>
      </c>
      <c r="J2068" t="s">
        <v>605</v>
      </c>
      <c r="K2068" t="s">
        <v>606</v>
      </c>
      <c r="M2068" t="s">
        <v>2366</v>
      </c>
      <c r="N2068" t="s">
        <v>657</v>
      </c>
      <c r="O2068" t="s">
        <v>3016</v>
      </c>
      <c r="P2068" t="s">
        <v>739</v>
      </c>
      <c r="Q2068" t="s">
        <v>521</v>
      </c>
      <c r="R2068" t="s">
        <v>3017</v>
      </c>
      <c r="S2068" t="s">
        <v>3092</v>
      </c>
      <c r="T2068" t="s">
        <v>2526</v>
      </c>
      <c r="U2068">
        <v>325400</v>
      </c>
      <c r="V2068" t="s">
        <v>12265</v>
      </c>
      <c r="W2068" t="s">
        <v>3269</v>
      </c>
      <c r="X2068" t="s">
        <v>12266</v>
      </c>
      <c r="Y2068" t="s">
        <v>5169</v>
      </c>
      <c r="Z2068" t="s">
        <v>5170</v>
      </c>
      <c r="AA2068" t="s">
        <v>5171</v>
      </c>
      <c r="AB2068" t="s">
        <v>12267</v>
      </c>
      <c r="AC2068">
        <v>99173</v>
      </c>
      <c r="AD2068" t="s">
        <v>12268</v>
      </c>
      <c r="AE2068">
        <v>-43.563834780000001</v>
      </c>
      <c r="AF2068">
        <v>172.57099417000001</v>
      </c>
      <c r="AG2068" s="175">
        <v>44</v>
      </c>
      <c r="AH2068" s="175">
        <v>0</v>
      </c>
      <c r="AI2068" s="175">
        <v>0</v>
      </c>
      <c r="AJ2068" s="175">
        <v>0</v>
      </c>
      <c r="AK2068" s="175">
        <v>9</v>
      </c>
      <c r="AL2068" s="175">
        <v>16</v>
      </c>
      <c r="AM2068" s="175">
        <v>18</v>
      </c>
      <c r="AN2068" s="175">
        <v>1</v>
      </c>
      <c r="AO2068" s="175">
        <v>44</v>
      </c>
      <c r="AP2068" s="175">
        <v>24</v>
      </c>
      <c r="AQ2068" s="175">
        <v>0</v>
      </c>
      <c r="AR2068" s="175">
        <v>0</v>
      </c>
      <c r="AS2068" s="175">
        <v>21</v>
      </c>
      <c r="AT2068" s="175">
        <v>5</v>
      </c>
    </row>
    <row r="2069" spans="1:46">
      <c r="A2069">
        <v>45757</v>
      </c>
      <c r="B2069" t="s">
        <v>12269</v>
      </c>
      <c r="C2069" t="s">
        <v>8316</v>
      </c>
      <c r="D2069" t="s">
        <v>8317</v>
      </c>
      <c r="E2069" t="s">
        <v>8318</v>
      </c>
      <c r="F2069" t="s">
        <v>12270</v>
      </c>
      <c r="G2069" t="s">
        <v>737</v>
      </c>
      <c r="H2069" t="s">
        <v>450</v>
      </c>
      <c r="J2069" t="s">
        <v>4032</v>
      </c>
      <c r="K2069" t="s">
        <v>606</v>
      </c>
      <c r="M2069" t="s">
        <v>607</v>
      </c>
      <c r="N2069" t="s">
        <v>657</v>
      </c>
      <c r="O2069" t="s">
        <v>1253</v>
      </c>
      <c r="P2069" t="s">
        <v>739</v>
      </c>
      <c r="Q2069" t="s">
        <v>467</v>
      </c>
      <c r="R2069" t="s">
        <v>724</v>
      </c>
      <c r="S2069" t="s">
        <v>740</v>
      </c>
      <c r="T2069" t="s">
        <v>613</v>
      </c>
      <c r="U2069">
        <v>118600</v>
      </c>
      <c r="V2069" t="s">
        <v>4082</v>
      </c>
      <c r="W2069" t="s">
        <v>742</v>
      </c>
      <c r="X2069" t="s">
        <v>6333</v>
      </c>
      <c r="Y2069" t="s">
        <v>6334</v>
      </c>
      <c r="Z2069" t="s">
        <v>3777</v>
      </c>
      <c r="AA2069" t="s">
        <v>6335</v>
      </c>
      <c r="AB2069" t="s">
        <v>6336</v>
      </c>
      <c r="AC2069">
        <v>99012</v>
      </c>
      <c r="AD2069" t="s">
        <v>857</v>
      </c>
      <c r="AE2069">
        <v>-36.7459609</v>
      </c>
      <c r="AF2069">
        <v>174.70414708000001</v>
      </c>
      <c r="AG2069" s="175">
        <v>50</v>
      </c>
      <c r="AH2069" s="175">
        <v>50</v>
      </c>
      <c r="AI2069" s="175">
        <v>4</v>
      </c>
      <c r="AJ2069" s="175">
        <v>10</v>
      </c>
      <c r="AK2069" s="175">
        <v>9</v>
      </c>
      <c r="AL2069" s="175">
        <v>9</v>
      </c>
      <c r="AM2069" s="175">
        <v>10</v>
      </c>
      <c r="AN2069" s="175">
        <v>0</v>
      </c>
      <c r="AO2069" s="175">
        <v>42</v>
      </c>
      <c r="AP2069" s="175">
        <v>0</v>
      </c>
      <c r="AQ2069" s="175">
        <v>0</v>
      </c>
      <c r="AR2069" s="175">
        <v>0</v>
      </c>
      <c r="AS2069" s="175">
        <v>42</v>
      </c>
      <c r="AT2069" s="175">
        <v>0</v>
      </c>
    </row>
    <row r="2070" spans="1:46">
      <c r="A2070">
        <v>45760</v>
      </c>
      <c r="B2070" t="s">
        <v>12271</v>
      </c>
      <c r="C2070" t="s">
        <v>12272</v>
      </c>
      <c r="D2070" t="s">
        <v>12273</v>
      </c>
      <c r="E2070" t="s">
        <v>12274</v>
      </c>
      <c r="F2070" t="s">
        <v>1120</v>
      </c>
      <c r="G2070" t="s">
        <v>737</v>
      </c>
      <c r="H2070" t="s">
        <v>449</v>
      </c>
      <c r="J2070" t="s">
        <v>4032</v>
      </c>
      <c r="K2070" t="s">
        <v>606</v>
      </c>
      <c r="M2070" t="s">
        <v>607</v>
      </c>
      <c r="N2070" t="s">
        <v>643</v>
      </c>
      <c r="O2070" t="s">
        <v>813</v>
      </c>
      <c r="P2070" t="s">
        <v>739</v>
      </c>
      <c r="Q2070" t="s">
        <v>467</v>
      </c>
      <c r="R2070" t="s">
        <v>814</v>
      </c>
      <c r="S2070" t="s">
        <v>815</v>
      </c>
      <c r="T2070" t="s">
        <v>794</v>
      </c>
      <c r="U2070">
        <v>154902</v>
      </c>
      <c r="V2070" t="s">
        <v>7897</v>
      </c>
      <c r="W2070" t="s">
        <v>817</v>
      </c>
      <c r="X2070" t="s">
        <v>12275</v>
      </c>
      <c r="Y2070" t="s">
        <v>12276</v>
      </c>
      <c r="Z2070" t="s">
        <v>12277</v>
      </c>
      <c r="AA2070" t="s">
        <v>12278</v>
      </c>
      <c r="AB2070" t="s">
        <v>12279</v>
      </c>
      <c r="AC2070">
        <v>99102</v>
      </c>
      <c r="AD2070" t="s">
        <v>1123</v>
      </c>
      <c r="AE2070">
        <v>-36.975091050000003</v>
      </c>
      <c r="AF2070">
        <v>174.86116347000001</v>
      </c>
      <c r="AG2070" s="175">
        <v>48</v>
      </c>
      <c r="AH2070" s="175">
        <v>10</v>
      </c>
      <c r="AI2070" s="175">
        <v>0</v>
      </c>
      <c r="AJ2070" s="175">
        <v>6</v>
      </c>
      <c r="AK2070" s="175">
        <v>7</v>
      </c>
      <c r="AL2070" s="175">
        <v>11</v>
      </c>
      <c r="AM2070" s="175">
        <v>10</v>
      </c>
      <c r="AN2070" s="175">
        <v>1</v>
      </c>
      <c r="AO2070" s="175">
        <v>35</v>
      </c>
      <c r="AP2070" s="175">
        <v>2</v>
      </c>
      <c r="AQ2070" s="175">
        <v>0</v>
      </c>
      <c r="AR2070" s="175">
        <v>0</v>
      </c>
      <c r="AS2070" s="175">
        <v>33</v>
      </c>
      <c r="AT2070" s="175">
        <v>0</v>
      </c>
    </row>
    <row r="2071" spans="1:46">
      <c r="A2071">
        <v>45764</v>
      </c>
      <c r="B2071" t="s">
        <v>12280</v>
      </c>
      <c r="C2071" t="s">
        <v>12281</v>
      </c>
      <c r="D2071" t="s">
        <v>12282</v>
      </c>
      <c r="E2071" t="s">
        <v>12283</v>
      </c>
      <c r="F2071" t="s">
        <v>1121</v>
      </c>
      <c r="G2071" t="s">
        <v>737</v>
      </c>
      <c r="H2071" t="s">
        <v>449</v>
      </c>
      <c r="I2071" t="s">
        <v>5017</v>
      </c>
      <c r="J2071" t="s">
        <v>605</v>
      </c>
      <c r="K2071" t="s">
        <v>606</v>
      </c>
      <c r="M2071" t="s">
        <v>607</v>
      </c>
      <c r="N2071" t="s">
        <v>643</v>
      </c>
      <c r="O2071" t="s">
        <v>1301</v>
      </c>
      <c r="P2071" t="s">
        <v>739</v>
      </c>
      <c r="Q2071" t="s">
        <v>467</v>
      </c>
      <c r="R2071" t="s">
        <v>814</v>
      </c>
      <c r="S2071" t="s">
        <v>1121</v>
      </c>
      <c r="T2071" t="s">
        <v>794</v>
      </c>
      <c r="U2071">
        <v>157600</v>
      </c>
      <c r="V2071" t="s">
        <v>1341</v>
      </c>
      <c r="W2071" t="s">
        <v>1304</v>
      </c>
      <c r="X2071" t="s">
        <v>5314</v>
      </c>
      <c r="Y2071" t="s">
        <v>5315</v>
      </c>
      <c r="Z2071" t="s">
        <v>1121</v>
      </c>
      <c r="AA2071" t="s">
        <v>5316</v>
      </c>
      <c r="AB2071" t="s">
        <v>5317</v>
      </c>
      <c r="AC2071">
        <v>99187</v>
      </c>
      <c r="AD2071" t="s">
        <v>1342</v>
      </c>
      <c r="AE2071">
        <v>-37.012511029999999</v>
      </c>
      <c r="AF2071">
        <v>174.88023985999999</v>
      </c>
      <c r="AG2071" s="175">
        <v>50</v>
      </c>
      <c r="AH2071" s="175">
        <v>10</v>
      </c>
      <c r="AI2071" s="175">
        <v>0</v>
      </c>
      <c r="AJ2071" s="175">
        <v>2</v>
      </c>
      <c r="AK2071" s="175">
        <v>5</v>
      </c>
      <c r="AL2071" s="175">
        <v>8</v>
      </c>
      <c r="AM2071" s="175">
        <v>17</v>
      </c>
      <c r="AN2071" s="175">
        <v>0</v>
      </c>
      <c r="AO2071" s="175">
        <v>32</v>
      </c>
      <c r="AP2071" s="175">
        <v>2</v>
      </c>
      <c r="AQ2071" s="175">
        <v>15</v>
      </c>
      <c r="AR2071" s="175">
        <v>23</v>
      </c>
      <c r="AS2071" s="175">
        <v>5</v>
      </c>
      <c r="AT2071" s="175">
        <v>0</v>
      </c>
    </row>
    <row r="2072" spans="1:46">
      <c r="A2072">
        <v>45768</v>
      </c>
      <c r="B2072" t="s">
        <v>12284</v>
      </c>
      <c r="C2072" t="s">
        <v>12285</v>
      </c>
      <c r="E2072" t="s">
        <v>12286</v>
      </c>
      <c r="G2072" t="s">
        <v>2068</v>
      </c>
      <c r="H2072" t="s">
        <v>449</v>
      </c>
      <c r="J2072" t="s">
        <v>4032</v>
      </c>
      <c r="K2072" t="s">
        <v>606</v>
      </c>
      <c r="M2072" t="s">
        <v>1382</v>
      </c>
      <c r="N2072" t="s">
        <v>657</v>
      </c>
      <c r="O2072" t="s">
        <v>2069</v>
      </c>
      <c r="P2072" t="s">
        <v>658</v>
      </c>
      <c r="Q2072" t="s">
        <v>553</v>
      </c>
      <c r="R2072" t="s">
        <v>1841</v>
      </c>
      <c r="S2072" t="s">
        <v>1719</v>
      </c>
      <c r="T2072" t="s">
        <v>1568</v>
      </c>
      <c r="U2072">
        <v>228600</v>
      </c>
      <c r="V2072" t="s">
        <v>12287</v>
      </c>
      <c r="W2072" t="s">
        <v>12288</v>
      </c>
      <c r="X2072" t="s">
        <v>12289</v>
      </c>
      <c r="Y2072" t="s">
        <v>12290</v>
      </c>
      <c r="AA2072" t="s">
        <v>12291</v>
      </c>
      <c r="AB2072" t="s">
        <v>12285</v>
      </c>
      <c r="AC2072">
        <v>99134</v>
      </c>
      <c r="AD2072" t="s">
        <v>2072</v>
      </c>
      <c r="AE2072">
        <v>-40.279945220000002</v>
      </c>
      <c r="AF2072">
        <v>175.55495941999999</v>
      </c>
      <c r="AG2072" s="175">
        <v>40</v>
      </c>
      <c r="AH2072" s="175">
        <v>0</v>
      </c>
      <c r="AI2072" s="175">
        <v>0</v>
      </c>
      <c r="AJ2072" s="175">
        <v>0</v>
      </c>
      <c r="AK2072" s="175">
        <v>4</v>
      </c>
      <c r="AL2072" s="175">
        <v>10</v>
      </c>
      <c r="AM2072" s="175">
        <v>12</v>
      </c>
      <c r="AN2072" s="175">
        <v>0</v>
      </c>
      <c r="AO2072" s="175">
        <v>26</v>
      </c>
      <c r="AP2072" s="175">
        <v>25</v>
      </c>
      <c r="AQ2072" s="175">
        <v>5</v>
      </c>
      <c r="AR2072" s="175">
        <v>1</v>
      </c>
      <c r="AS2072" s="175">
        <v>0</v>
      </c>
      <c r="AT2072" s="175">
        <v>1</v>
      </c>
    </row>
    <row r="2073" spans="1:46">
      <c r="A2073">
        <v>45771</v>
      </c>
      <c r="B2073" t="s">
        <v>12292</v>
      </c>
      <c r="C2073" t="s">
        <v>12293</v>
      </c>
      <c r="D2073" t="s">
        <v>12294</v>
      </c>
      <c r="E2073" t="s">
        <v>12295</v>
      </c>
      <c r="G2073" t="s">
        <v>12296</v>
      </c>
      <c r="H2073" t="s">
        <v>301</v>
      </c>
      <c r="J2073" t="s">
        <v>605</v>
      </c>
      <c r="K2073" t="s">
        <v>606</v>
      </c>
      <c r="M2073" t="s">
        <v>1382</v>
      </c>
      <c r="N2073" t="s">
        <v>657</v>
      </c>
      <c r="O2073" t="s">
        <v>2347</v>
      </c>
      <c r="P2073" t="s">
        <v>626</v>
      </c>
      <c r="Q2073" t="s">
        <v>513</v>
      </c>
      <c r="R2073" t="s">
        <v>2164</v>
      </c>
      <c r="S2073" t="s">
        <v>2348</v>
      </c>
      <c r="T2073" t="s">
        <v>2165</v>
      </c>
      <c r="U2073">
        <v>215600</v>
      </c>
      <c r="V2073" t="s">
        <v>12297</v>
      </c>
      <c r="W2073" t="s">
        <v>12298</v>
      </c>
      <c r="X2073" t="s">
        <v>12299</v>
      </c>
      <c r="Y2073" t="s">
        <v>5253</v>
      </c>
      <c r="AA2073" t="s">
        <v>5254</v>
      </c>
      <c r="AB2073" t="s">
        <v>12300</v>
      </c>
      <c r="AE2073">
        <v>-40.026282299999998</v>
      </c>
      <c r="AF2073">
        <v>176.35253032</v>
      </c>
      <c r="AG2073" s="175">
        <v>30</v>
      </c>
      <c r="AH2073" s="175">
        <v>10</v>
      </c>
      <c r="AI2073" s="175">
        <v>1</v>
      </c>
      <c r="AJ2073" s="175">
        <v>2</v>
      </c>
      <c r="AK2073" s="175">
        <v>1</v>
      </c>
      <c r="AL2073" s="175">
        <v>1</v>
      </c>
      <c r="AM2073" s="175">
        <v>0</v>
      </c>
      <c r="AN2073" s="175">
        <v>0</v>
      </c>
      <c r="AO2073" s="175">
        <v>5</v>
      </c>
      <c r="AP2073" s="175">
        <v>5</v>
      </c>
      <c r="AQ2073" s="175">
        <v>2</v>
      </c>
      <c r="AR2073" s="175">
        <v>0</v>
      </c>
      <c r="AS2073" s="175">
        <v>0</v>
      </c>
      <c r="AT2073" s="175">
        <v>0</v>
      </c>
    </row>
    <row r="2074" spans="1:46">
      <c r="A2074">
        <v>45777</v>
      </c>
      <c r="B2074" t="s">
        <v>12301</v>
      </c>
      <c r="C2074" t="s">
        <v>12302</v>
      </c>
      <c r="E2074" t="s">
        <v>12303</v>
      </c>
      <c r="G2074" t="s">
        <v>1662</v>
      </c>
      <c r="H2074" t="s">
        <v>449</v>
      </c>
      <c r="J2074" t="s">
        <v>4032</v>
      </c>
      <c r="K2074" t="s">
        <v>606</v>
      </c>
      <c r="M2074" t="s">
        <v>1382</v>
      </c>
      <c r="N2074" t="s">
        <v>657</v>
      </c>
      <c r="O2074" t="s">
        <v>1534</v>
      </c>
      <c r="P2074" t="s">
        <v>610</v>
      </c>
      <c r="Q2074" t="s">
        <v>510</v>
      </c>
      <c r="R2074" t="s">
        <v>1384</v>
      </c>
      <c r="S2074" t="s">
        <v>1384</v>
      </c>
      <c r="T2074" t="s">
        <v>1320</v>
      </c>
      <c r="U2074">
        <v>175001</v>
      </c>
      <c r="V2074" t="s">
        <v>1663</v>
      </c>
      <c r="W2074" t="s">
        <v>1664</v>
      </c>
      <c r="X2074" t="s">
        <v>12304</v>
      </c>
      <c r="Y2074" t="s">
        <v>12303</v>
      </c>
      <c r="AA2074" t="s">
        <v>12305</v>
      </c>
      <c r="AB2074" t="s">
        <v>12306</v>
      </c>
      <c r="AE2074">
        <v>-37.817819720000003</v>
      </c>
      <c r="AF2074">
        <v>175.76248224</v>
      </c>
      <c r="AG2074" s="175">
        <v>75</v>
      </c>
      <c r="AH2074" s="175">
        <v>25</v>
      </c>
      <c r="AI2074" s="175">
        <v>6</v>
      </c>
      <c r="AJ2074" s="175">
        <v>15</v>
      </c>
      <c r="AK2074" s="175">
        <v>28</v>
      </c>
      <c r="AL2074" s="175">
        <v>35</v>
      </c>
      <c r="AM2074" s="175">
        <v>21</v>
      </c>
      <c r="AN2074" s="175">
        <v>0</v>
      </c>
      <c r="AO2074" s="175">
        <v>105</v>
      </c>
      <c r="AP2074" s="175">
        <v>94</v>
      </c>
      <c r="AQ2074" s="175">
        <v>21</v>
      </c>
      <c r="AR2074" s="175">
        <v>0</v>
      </c>
      <c r="AS2074" s="175">
        <v>6</v>
      </c>
      <c r="AT2074" s="175">
        <v>3</v>
      </c>
    </row>
    <row r="2075" spans="1:46">
      <c r="A2075">
        <v>45779</v>
      </c>
      <c r="B2075" t="s">
        <v>12307</v>
      </c>
      <c r="C2075" t="s">
        <v>12308</v>
      </c>
      <c r="D2075" t="s">
        <v>12309</v>
      </c>
      <c r="E2075" t="s">
        <v>12310</v>
      </c>
      <c r="F2075" t="s">
        <v>2603</v>
      </c>
      <c r="G2075" t="s">
        <v>2604</v>
      </c>
      <c r="H2075" t="s">
        <v>449</v>
      </c>
      <c r="I2075" t="s">
        <v>12083</v>
      </c>
      <c r="J2075" t="s">
        <v>4032</v>
      </c>
      <c r="K2075" t="s">
        <v>606</v>
      </c>
      <c r="M2075" t="s">
        <v>2366</v>
      </c>
      <c r="N2075" t="s">
        <v>657</v>
      </c>
      <c r="O2075" t="s">
        <v>2605</v>
      </c>
      <c r="P2075" t="s">
        <v>670</v>
      </c>
      <c r="Q2075" t="s">
        <v>516</v>
      </c>
      <c r="R2075" t="s">
        <v>2368</v>
      </c>
      <c r="S2075" t="s">
        <v>2606</v>
      </c>
      <c r="T2075" t="s">
        <v>1568</v>
      </c>
      <c r="U2075">
        <v>240100</v>
      </c>
      <c r="V2075" t="s">
        <v>12311</v>
      </c>
      <c r="W2075" t="s">
        <v>2607</v>
      </c>
      <c r="X2075" t="s">
        <v>12085</v>
      </c>
      <c r="Y2075" t="s">
        <v>4166</v>
      </c>
      <c r="Z2075" t="s">
        <v>4167</v>
      </c>
      <c r="AA2075" t="s">
        <v>4168</v>
      </c>
      <c r="AE2075">
        <v>-41.126319789999997</v>
      </c>
      <c r="AF2075">
        <v>174.86594099000001</v>
      </c>
      <c r="AG2075" s="175">
        <v>110</v>
      </c>
      <c r="AH2075" s="175">
        <v>30</v>
      </c>
      <c r="AI2075" s="175">
        <v>6</v>
      </c>
      <c r="AJ2075" s="175">
        <v>29</v>
      </c>
      <c r="AK2075" s="175">
        <v>35</v>
      </c>
      <c r="AL2075" s="175">
        <v>23</v>
      </c>
      <c r="AM2075" s="175">
        <v>25</v>
      </c>
      <c r="AN2075" s="175">
        <v>0</v>
      </c>
      <c r="AO2075" s="175">
        <v>118</v>
      </c>
      <c r="AP2075" s="175">
        <v>88</v>
      </c>
      <c r="AQ2075" s="175">
        <v>20</v>
      </c>
      <c r="AR2075" s="175">
        <v>14</v>
      </c>
      <c r="AS2075" s="175">
        <v>29</v>
      </c>
      <c r="AT2075" s="175">
        <v>5</v>
      </c>
    </row>
    <row r="2076" spans="1:46">
      <c r="A2076">
        <v>45782</v>
      </c>
      <c r="B2076" t="s">
        <v>12312</v>
      </c>
      <c r="C2076" t="s">
        <v>12313</v>
      </c>
      <c r="D2076" t="s">
        <v>12314</v>
      </c>
      <c r="E2076" t="s">
        <v>12315</v>
      </c>
      <c r="F2076" t="s">
        <v>5832</v>
      </c>
      <c r="G2076" t="s">
        <v>737</v>
      </c>
      <c r="H2076" t="s">
        <v>449</v>
      </c>
      <c r="J2076" t="s">
        <v>4032</v>
      </c>
      <c r="K2076" t="s">
        <v>606</v>
      </c>
      <c r="M2076" t="s">
        <v>607</v>
      </c>
      <c r="N2076" t="s">
        <v>657</v>
      </c>
      <c r="O2076" t="s">
        <v>823</v>
      </c>
      <c r="P2076" t="s">
        <v>739</v>
      </c>
      <c r="Q2076" t="s">
        <v>467</v>
      </c>
      <c r="R2076" t="s">
        <v>724</v>
      </c>
      <c r="S2076" t="s">
        <v>841</v>
      </c>
      <c r="T2076" t="s">
        <v>613</v>
      </c>
      <c r="U2076">
        <v>124401</v>
      </c>
      <c r="V2076" t="s">
        <v>6770</v>
      </c>
      <c r="W2076" t="s">
        <v>826</v>
      </c>
      <c r="X2076" t="s">
        <v>12316</v>
      </c>
      <c r="Y2076" t="s">
        <v>12317</v>
      </c>
      <c r="Z2076" t="s">
        <v>766</v>
      </c>
      <c r="AA2076" t="s">
        <v>4153</v>
      </c>
      <c r="AC2076">
        <v>99214</v>
      </c>
      <c r="AD2076" t="s">
        <v>843</v>
      </c>
      <c r="AE2076">
        <v>-36.793702940000003</v>
      </c>
      <c r="AF2076">
        <v>174.70916265</v>
      </c>
      <c r="AG2076" s="175">
        <v>30</v>
      </c>
      <c r="AH2076" s="175">
        <v>0</v>
      </c>
      <c r="AI2076" s="175">
        <v>0</v>
      </c>
      <c r="AJ2076" s="175">
        <v>0</v>
      </c>
      <c r="AK2076" s="175">
        <v>6</v>
      </c>
      <c r="AL2076" s="175">
        <v>10</v>
      </c>
      <c r="AM2076" s="175">
        <v>17</v>
      </c>
      <c r="AN2076" s="175">
        <v>1</v>
      </c>
      <c r="AO2076" s="175">
        <v>34</v>
      </c>
      <c r="AP2076" s="175">
        <v>26</v>
      </c>
      <c r="AQ2076" s="175">
        <v>1</v>
      </c>
      <c r="AR2076" s="175">
        <v>1</v>
      </c>
      <c r="AS2076" s="175">
        <v>7</v>
      </c>
      <c r="AT2076" s="175">
        <v>3</v>
      </c>
    </row>
    <row r="2077" spans="1:46">
      <c r="A2077">
        <v>45783</v>
      </c>
      <c r="B2077" t="s">
        <v>12318</v>
      </c>
      <c r="C2077" t="s">
        <v>8390</v>
      </c>
      <c r="D2077" t="s">
        <v>12319</v>
      </c>
      <c r="E2077" t="s">
        <v>12320</v>
      </c>
      <c r="G2077" t="s">
        <v>12321</v>
      </c>
      <c r="H2077" t="s">
        <v>301</v>
      </c>
      <c r="J2077" t="s">
        <v>605</v>
      </c>
      <c r="K2077" t="s">
        <v>606</v>
      </c>
      <c r="M2077" t="s">
        <v>1382</v>
      </c>
      <c r="N2077" t="s">
        <v>657</v>
      </c>
      <c r="O2077" t="s">
        <v>1629</v>
      </c>
      <c r="P2077" t="s">
        <v>658</v>
      </c>
      <c r="Q2077" t="s">
        <v>510</v>
      </c>
      <c r="R2077" t="s">
        <v>1384</v>
      </c>
      <c r="S2077" t="s">
        <v>1404</v>
      </c>
      <c r="T2077" t="s">
        <v>1568</v>
      </c>
      <c r="U2077">
        <v>187701</v>
      </c>
      <c r="V2077" t="s">
        <v>11534</v>
      </c>
      <c r="W2077" t="s">
        <v>9778</v>
      </c>
      <c r="X2077" t="s">
        <v>8394</v>
      </c>
      <c r="Y2077" t="s">
        <v>5253</v>
      </c>
      <c r="AA2077" t="s">
        <v>5254</v>
      </c>
      <c r="AB2077" t="s">
        <v>8390</v>
      </c>
      <c r="AE2077">
        <v>-38.482138999999997</v>
      </c>
      <c r="AF2077">
        <v>175.7785911</v>
      </c>
      <c r="AG2077" s="175">
        <v>27</v>
      </c>
      <c r="AH2077" s="175">
        <v>12</v>
      </c>
      <c r="AI2077" s="175">
        <v>0</v>
      </c>
      <c r="AJ2077" s="175">
        <v>4</v>
      </c>
      <c r="AK2077" s="175">
        <v>7</v>
      </c>
      <c r="AL2077" s="175">
        <v>4</v>
      </c>
      <c r="AM2077" s="175">
        <v>3</v>
      </c>
      <c r="AN2077" s="175">
        <v>0</v>
      </c>
      <c r="AO2077" s="175">
        <v>18</v>
      </c>
      <c r="AP2077" s="175">
        <v>18</v>
      </c>
      <c r="AQ2077" s="175">
        <v>2</v>
      </c>
      <c r="AR2077" s="175">
        <v>0</v>
      </c>
      <c r="AS2077" s="175">
        <v>0</v>
      </c>
      <c r="AT2077" s="175">
        <v>0</v>
      </c>
    </row>
    <row r="2078" spans="1:46">
      <c r="A2078">
        <v>45785</v>
      </c>
      <c r="B2078" t="s">
        <v>12322</v>
      </c>
      <c r="C2078" t="s">
        <v>12323</v>
      </c>
      <c r="D2078" t="s">
        <v>12324</v>
      </c>
      <c r="E2078" t="s">
        <v>12325</v>
      </c>
      <c r="F2078" t="s">
        <v>12326</v>
      </c>
      <c r="G2078" t="s">
        <v>3015</v>
      </c>
      <c r="H2078" t="s">
        <v>449</v>
      </c>
      <c r="J2078" t="s">
        <v>605</v>
      </c>
      <c r="K2078" t="s">
        <v>606</v>
      </c>
      <c r="M2078" t="s">
        <v>2366</v>
      </c>
      <c r="N2078" t="s">
        <v>657</v>
      </c>
      <c r="O2078" t="s">
        <v>3016</v>
      </c>
      <c r="P2078" t="s">
        <v>739</v>
      </c>
      <c r="Q2078" t="s">
        <v>521</v>
      </c>
      <c r="R2078" t="s">
        <v>3017</v>
      </c>
      <c r="S2078" t="s">
        <v>3092</v>
      </c>
      <c r="T2078" t="s">
        <v>2526</v>
      </c>
      <c r="U2078">
        <v>326900</v>
      </c>
      <c r="V2078" t="s">
        <v>12327</v>
      </c>
      <c r="W2078" t="s">
        <v>3161</v>
      </c>
      <c r="X2078" t="s">
        <v>12328</v>
      </c>
      <c r="Y2078" t="s">
        <v>12329</v>
      </c>
      <c r="Z2078" t="s">
        <v>12326</v>
      </c>
      <c r="AA2078" t="s">
        <v>12330</v>
      </c>
      <c r="AB2078" t="s">
        <v>12331</v>
      </c>
      <c r="AE2078">
        <v>-43.55293683</v>
      </c>
      <c r="AF2078">
        <v>172.60153007</v>
      </c>
      <c r="AG2078" s="175">
        <v>30</v>
      </c>
      <c r="AH2078" s="175">
        <v>0</v>
      </c>
      <c r="AI2078" s="175">
        <v>0</v>
      </c>
      <c r="AJ2078" s="175">
        <v>0</v>
      </c>
      <c r="AK2078" s="175">
        <v>3</v>
      </c>
      <c r="AL2078" s="175">
        <v>9</v>
      </c>
      <c r="AM2078" s="175">
        <v>15</v>
      </c>
      <c r="AN2078" s="175">
        <v>0</v>
      </c>
      <c r="AO2078" s="175">
        <v>27</v>
      </c>
      <c r="AP2078" s="175">
        <v>24</v>
      </c>
      <c r="AQ2078" s="175">
        <v>1</v>
      </c>
      <c r="AR2078" s="175">
        <v>1</v>
      </c>
      <c r="AS2078" s="175">
        <v>9</v>
      </c>
      <c r="AT2078" s="175">
        <v>1</v>
      </c>
    </row>
    <row r="2079" spans="1:46">
      <c r="A2079">
        <v>45795</v>
      </c>
      <c r="B2079" t="s">
        <v>12332</v>
      </c>
      <c r="C2079" t="s">
        <v>12333</v>
      </c>
      <c r="D2079" t="s">
        <v>12334</v>
      </c>
      <c r="E2079" t="s">
        <v>12335</v>
      </c>
      <c r="F2079" t="s">
        <v>1511</v>
      </c>
      <c r="G2079" t="s">
        <v>1381</v>
      </c>
      <c r="H2079" t="s">
        <v>449</v>
      </c>
      <c r="J2079" t="s">
        <v>4032</v>
      </c>
      <c r="K2079" t="s">
        <v>606</v>
      </c>
      <c r="M2079" t="s">
        <v>1382</v>
      </c>
      <c r="N2079" t="s">
        <v>657</v>
      </c>
      <c r="O2079" t="s">
        <v>1383</v>
      </c>
      <c r="P2079" t="s">
        <v>739</v>
      </c>
      <c r="Q2079" t="s">
        <v>510</v>
      </c>
      <c r="R2079" t="s">
        <v>1384</v>
      </c>
      <c r="S2079" t="s">
        <v>1385</v>
      </c>
      <c r="T2079" t="s">
        <v>1320</v>
      </c>
      <c r="U2079">
        <v>181000</v>
      </c>
      <c r="V2079" t="s">
        <v>12336</v>
      </c>
      <c r="W2079" t="s">
        <v>1387</v>
      </c>
      <c r="X2079" t="s">
        <v>12337</v>
      </c>
      <c r="Y2079" t="s">
        <v>12338</v>
      </c>
      <c r="Z2079" t="s">
        <v>1450</v>
      </c>
      <c r="AA2079" t="s">
        <v>9631</v>
      </c>
      <c r="AB2079" t="s">
        <v>12339</v>
      </c>
      <c r="AE2079">
        <v>-37.821977650000001</v>
      </c>
      <c r="AF2079">
        <v>175.28338210000001</v>
      </c>
      <c r="AG2079" s="175">
        <v>30</v>
      </c>
      <c r="AH2079" s="175">
        <v>0</v>
      </c>
      <c r="AI2079" s="175">
        <v>0</v>
      </c>
      <c r="AJ2079" s="175">
        <v>0</v>
      </c>
      <c r="AK2079" s="175">
        <v>6</v>
      </c>
      <c r="AL2079" s="175">
        <v>11</v>
      </c>
      <c r="AM2079" s="175">
        <v>5</v>
      </c>
      <c r="AN2079" s="175">
        <v>1</v>
      </c>
      <c r="AO2079" s="175">
        <v>23</v>
      </c>
      <c r="AP2079" s="175">
        <v>7</v>
      </c>
      <c r="AQ2079" s="175">
        <v>9</v>
      </c>
      <c r="AR2079" s="175">
        <v>3</v>
      </c>
      <c r="AS2079" s="175">
        <v>8</v>
      </c>
      <c r="AT2079" s="175">
        <v>0</v>
      </c>
    </row>
    <row r="2080" spans="1:46">
      <c r="A2080">
        <v>45796</v>
      </c>
      <c r="B2080" t="s">
        <v>12340</v>
      </c>
      <c r="C2080" t="s">
        <v>12341</v>
      </c>
      <c r="D2080" t="s">
        <v>12342</v>
      </c>
      <c r="E2080" t="s">
        <v>12343</v>
      </c>
      <c r="G2080" t="s">
        <v>7862</v>
      </c>
      <c r="H2080" t="s">
        <v>449</v>
      </c>
      <c r="J2080" t="s">
        <v>4032</v>
      </c>
      <c r="K2080" t="s">
        <v>606</v>
      </c>
      <c r="M2080" t="s">
        <v>1382</v>
      </c>
      <c r="N2080" t="s">
        <v>657</v>
      </c>
      <c r="O2080" t="s">
        <v>1435</v>
      </c>
      <c r="P2080" t="s">
        <v>610</v>
      </c>
      <c r="Q2080" t="s">
        <v>510</v>
      </c>
      <c r="R2080" t="s">
        <v>1384</v>
      </c>
      <c r="S2080" t="s">
        <v>1331</v>
      </c>
      <c r="T2080" t="s">
        <v>1320</v>
      </c>
      <c r="U2080">
        <v>171101</v>
      </c>
      <c r="V2080" t="s">
        <v>7863</v>
      </c>
      <c r="W2080" t="s">
        <v>7864</v>
      </c>
      <c r="X2080" t="s">
        <v>12344</v>
      </c>
      <c r="Y2080" t="s">
        <v>12345</v>
      </c>
      <c r="AA2080" t="s">
        <v>12346</v>
      </c>
      <c r="AB2080" t="s">
        <v>12341</v>
      </c>
      <c r="AC2080">
        <v>99193</v>
      </c>
      <c r="AD2080" t="s">
        <v>7865</v>
      </c>
      <c r="AE2080">
        <v>-37.401182059999996</v>
      </c>
      <c r="AF2080">
        <v>175.14996056999999</v>
      </c>
      <c r="AG2080" s="175">
        <v>61</v>
      </c>
      <c r="AH2080" s="175">
        <v>10</v>
      </c>
      <c r="AI2080" s="175">
        <v>2</v>
      </c>
      <c r="AJ2080" s="175">
        <v>10</v>
      </c>
      <c r="AK2080" s="175">
        <v>13</v>
      </c>
      <c r="AL2080" s="175">
        <v>18</v>
      </c>
      <c r="AM2080" s="175">
        <v>14</v>
      </c>
      <c r="AN2080" s="175">
        <v>3</v>
      </c>
      <c r="AO2080" s="175">
        <v>60</v>
      </c>
      <c r="AP2080" s="175">
        <v>49</v>
      </c>
      <c r="AQ2080" s="175">
        <v>25</v>
      </c>
      <c r="AR2080" s="175">
        <v>8</v>
      </c>
      <c r="AS2080" s="175">
        <v>5</v>
      </c>
      <c r="AT2080" s="175">
        <v>3</v>
      </c>
    </row>
    <row r="2081" spans="1:46">
      <c r="A2081">
        <v>45801</v>
      </c>
      <c r="B2081" t="s">
        <v>12347</v>
      </c>
      <c r="C2081" t="s">
        <v>12348</v>
      </c>
      <c r="D2081" t="s">
        <v>12349</v>
      </c>
      <c r="E2081" t="s">
        <v>12350</v>
      </c>
      <c r="G2081" t="s">
        <v>2385</v>
      </c>
      <c r="H2081" t="s">
        <v>449</v>
      </c>
      <c r="J2081" t="s">
        <v>4032</v>
      </c>
      <c r="K2081" t="s">
        <v>606</v>
      </c>
      <c r="M2081" t="s">
        <v>2366</v>
      </c>
      <c r="N2081" t="s">
        <v>657</v>
      </c>
      <c r="O2081" t="s">
        <v>2367</v>
      </c>
      <c r="P2081" t="s">
        <v>610</v>
      </c>
      <c r="Q2081" t="s">
        <v>553</v>
      </c>
      <c r="R2081" t="s">
        <v>2368</v>
      </c>
      <c r="S2081" t="s">
        <v>2348</v>
      </c>
      <c r="T2081" t="s">
        <v>2165</v>
      </c>
      <c r="U2081">
        <v>233600</v>
      </c>
      <c r="V2081" t="s">
        <v>2385</v>
      </c>
      <c r="W2081" t="s">
        <v>2386</v>
      </c>
      <c r="X2081" t="s">
        <v>12351</v>
      </c>
      <c r="Y2081" t="s">
        <v>4051</v>
      </c>
      <c r="AA2081" t="s">
        <v>4052</v>
      </c>
      <c r="AB2081" t="s">
        <v>12352</v>
      </c>
      <c r="AC2081">
        <v>99071</v>
      </c>
      <c r="AD2081" t="s">
        <v>2387</v>
      </c>
      <c r="AE2081">
        <v>-40.450215300000004</v>
      </c>
      <c r="AF2081">
        <v>175.8437227</v>
      </c>
      <c r="AG2081" s="175">
        <v>50</v>
      </c>
      <c r="AH2081" s="175">
        <v>20</v>
      </c>
      <c r="AI2081" s="175">
        <v>2</v>
      </c>
      <c r="AJ2081" s="175">
        <v>17</v>
      </c>
      <c r="AK2081" s="175">
        <v>12</v>
      </c>
      <c r="AL2081" s="175">
        <v>18</v>
      </c>
      <c r="AM2081" s="175">
        <v>13</v>
      </c>
      <c r="AN2081" s="175">
        <v>0</v>
      </c>
      <c r="AO2081" s="175">
        <v>62</v>
      </c>
      <c r="AP2081" s="175">
        <v>51</v>
      </c>
      <c r="AQ2081" s="175">
        <v>19</v>
      </c>
      <c r="AR2081" s="175">
        <v>3</v>
      </c>
      <c r="AS2081" s="175">
        <v>2</v>
      </c>
      <c r="AT2081" s="175">
        <v>3</v>
      </c>
    </row>
    <row r="2082" spans="1:46">
      <c r="A2082">
        <v>45802</v>
      </c>
      <c r="B2082" t="s">
        <v>12353</v>
      </c>
      <c r="C2082" t="s">
        <v>12354</v>
      </c>
      <c r="D2082" t="s">
        <v>12355</v>
      </c>
      <c r="E2082" t="s">
        <v>12356</v>
      </c>
      <c r="F2082" t="s">
        <v>12357</v>
      </c>
      <c r="G2082" t="s">
        <v>2505</v>
      </c>
      <c r="H2082" t="s">
        <v>449</v>
      </c>
      <c r="J2082" t="s">
        <v>4032</v>
      </c>
      <c r="K2082" t="s">
        <v>606</v>
      </c>
      <c r="M2082" t="s">
        <v>2366</v>
      </c>
      <c r="N2082" t="s">
        <v>657</v>
      </c>
      <c r="O2082" t="s">
        <v>2506</v>
      </c>
      <c r="P2082" t="s">
        <v>739</v>
      </c>
      <c r="Q2082" t="s">
        <v>516</v>
      </c>
      <c r="R2082" t="s">
        <v>2368</v>
      </c>
      <c r="S2082" t="s">
        <v>2507</v>
      </c>
      <c r="T2082" t="s">
        <v>2526</v>
      </c>
      <c r="U2082">
        <v>244000</v>
      </c>
      <c r="V2082" t="s">
        <v>12358</v>
      </c>
      <c r="W2082" t="s">
        <v>2539</v>
      </c>
      <c r="X2082" t="s">
        <v>12359</v>
      </c>
      <c r="Y2082" t="s">
        <v>12360</v>
      </c>
      <c r="Z2082" t="s">
        <v>12357</v>
      </c>
      <c r="AA2082" t="s">
        <v>12361</v>
      </c>
      <c r="AB2082" t="s">
        <v>12354</v>
      </c>
      <c r="AE2082">
        <v>-41.209769440000002</v>
      </c>
      <c r="AF2082">
        <v>174.89732917000001</v>
      </c>
      <c r="AG2082" s="175">
        <v>77</v>
      </c>
      <c r="AH2082" s="175">
        <v>29</v>
      </c>
      <c r="AI2082" s="175">
        <v>2</v>
      </c>
      <c r="AJ2082" s="175">
        <v>22</v>
      </c>
      <c r="AK2082" s="175">
        <v>25</v>
      </c>
      <c r="AL2082" s="175">
        <v>14</v>
      </c>
      <c r="AM2082" s="175">
        <v>17</v>
      </c>
      <c r="AN2082" s="175">
        <v>2</v>
      </c>
      <c r="AO2082" s="175">
        <v>82</v>
      </c>
      <c r="AP2082" s="175">
        <v>57</v>
      </c>
      <c r="AQ2082" s="175">
        <v>19</v>
      </c>
      <c r="AR2082" s="175">
        <v>17</v>
      </c>
      <c r="AS2082" s="175">
        <v>18</v>
      </c>
      <c r="AT2082" s="175">
        <v>6</v>
      </c>
    </row>
    <row r="2083" spans="1:46">
      <c r="A2083">
        <v>45803</v>
      </c>
      <c r="B2083" t="s">
        <v>12362</v>
      </c>
      <c r="C2083" t="s">
        <v>12363</v>
      </c>
      <c r="D2083" t="s">
        <v>12364</v>
      </c>
      <c r="E2083" t="s">
        <v>12365</v>
      </c>
      <c r="G2083" t="s">
        <v>1628</v>
      </c>
      <c r="H2083" t="s">
        <v>449</v>
      </c>
      <c r="J2083" t="s">
        <v>4032</v>
      </c>
      <c r="K2083" t="s">
        <v>606</v>
      </c>
      <c r="M2083" t="s">
        <v>1382</v>
      </c>
      <c r="N2083" t="s">
        <v>657</v>
      </c>
      <c r="O2083" t="s">
        <v>1629</v>
      </c>
      <c r="P2083" t="s">
        <v>1347</v>
      </c>
      <c r="Q2083" t="s">
        <v>510</v>
      </c>
      <c r="R2083" t="s">
        <v>1555</v>
      </c>
      <c r="S2083" t="s">
        <v>1404</v>
      </c>
      <c r="T2083" t="s">
        <v>1557</v>
      </c>
      <c r="U2083">
        <v>188900</v>
      </c>
      <c r="V2083" t="s">
        <v>1630</v>
      </c>
      <c r="W2083" t="s">
        <v>1631</v>
      </c>
      <c r="X2083" t="s">
        <v>12366</v>
      </c>
      <c r="Y2083" t="s">
        <v>12367</v>
      </c>
      <c r="AA2083" t="s">
        <v>12368</v>
      </c>
      <c r="AB2083" t="s">
        <v>12369</v>
      </c>
      <c r="AC2083">
        <v>99020</v>
      </c>
      <c r="AD2083" t="s">
        <v>1633</v>
      </c>
      <c r="AE2083">
        <v>-38.688355250000001</v>
      </c>
      <c r="AF2083">
        <v>176.09283443999999</v>
      </c>
      <c r="AG2083" s="175">
        <v>56</v>
      </c>
      <c r="AH2083" s="175">
        <v>10</v>
      </c>
      <c r="AI2083" s="175">
        <v>0</v>
      </c>
      <c r="AJ2083" s="175">
        <v>11</v>
      </c>
      <c r="AK2083" s="175">
        <v>14</v>
      </c>
      <c r="AL2083" s="175">
        <v>18</v>
      </c>
      <c r="AM2083" s="175">
        <v>19</v>
      </c>
      <c r="AN2083" s="175">
        <v>0</v>
      </c>
      <c r="AO2083" s="175">
        <v>62</v>
      </c>
      <c r="AP2083" s="175">
        <v>56</v>
      </c>
      <c r="AQ2083" s="175">
        <v>15</v>
      </c>
      <c r="AR2083" s="175">
        <v>2</v>
      </c>
      <c r="AS2083" s="175">
        <v>5</v>
      </c>
      <c r="AT2083" s="175">
        <v>2</v>
      </c>
    </row>
    <row r="2084" spans="1:46">
      <c r="A2084">
        <v>45804</v>
      </c>
      <c r="B2084" t="s">
        <v>12370</v>
      </c>
      <c r="C2084" t="s">
        <v>12371</v>
      </c>
      <c r="E2084" t="s">
        <v>12372</v>
      </c>
      <c r="G2084" t="s">
        <v>12373</v>
      </c>
      <c r="H2084" t="s">
        <v>449</v>
      </c>
      <c r="J2084" t="s">
        <v>4032</v>
      </c>
      <c r="K2084" t="s">
        <v>606</v>
      </c>
      <c r="M2084" t="s">
        <v>607</v>
      </c>
      <c r="N2084" t="s">
        <v>643</v>
      </c>
      <c r="O2084" t="s">
        <v>609</v>
      </c>
      <c r="P2084" t="s">
        <v>626</v>
      </c>
      <c r="Q2084" t="s">
        <v>509</v>
      </c>
      <c r="R2084" t="s">
        <v>611</v>
      </c>
      <c r="S2084" t="s">
        <v>612</v>
      </c>
      <c r="T2084" t="s">
        <v>613</v>
      </c>
      <c r="U2084">
        <v>100100</v>
      </c>
      <c r="V2084" t="s">
        <v>5745</v>
      </c>
      <c r="W2084" t="s">
        <v>615</v>
      </c>
      <c r="X2084" t="s">
        <v>12374</v>
      </c>
      <c r="Y2084" t="s">
        <v>12372</v>
      </c>
      <c r="AA2084" t="s">
        <v>12375</v>
      </c>
      <c r="AB2084" t="s">
        <v>12376</v>
      </c>
      <c r="AE2084">
        <v>-34.82402871</v>
      </c>
      <c r="AF2084">
        <v>173.13052343999999</v>
      </c>
      <c r="AG2084" s="175">
        <v>28</v>
      </c>
      <c r="AH2084" s="175">
        <v>8</v>
      </c>
      <c r="AI2084" s="175">
        <v>0</v>
      </c>
      <c r="AJ2084" s="175">
        <v>6</v>
      </c>
      <c r="AK2084" s="175">
        <v>11</v>
      </c>
      <c r="AL2084" s="175">
        <v>12</v>
      </c>
      <c r="AM2084" s="175">
        <v>9</v>
      </c>
      <c r="AN2084" s="175">
        <v>0</v>
      </c>
      <c r="AO2084" s="175">
        <v>38</v>
      </c>
      <c r="AP2084" s="175">
        <v>27</v>
      </c>
      <c r="AQ2084" s="175">
        <v>19</v>
      </c>
      <c r="AR2084" s="175">
        <v>2</v>
      </c>
      <c r="AS2084" s="175">
        <v>1</v>
      </c>
      <c r="AT2084" s="175">
        <v>0</v>
      </c>
    </row>
    <row r="2085" spans="1:46">
      <c r="A2085">
        <v>45806</v>
      </c>
      <c r="B2085" t="s">
        <v>12377</v>
      </c>
      <c r="C2085" t="s">
        <v>12378</v>
      </c>
      <c r="D2085" t="s">
        <v>7512</v>
      </c>
      <c r="E2085" t="s">
        <v>12379</v>
      </c>
      <c r="F2085" t="s">
        <v>4271</v>
      </c>
      <c r="G2085" t="s">
        <v>737</v>
      </c>
      <c r="H2085" t="s">
        <v>449</v>
      </c>
      <c r="J2085" t="s">
        <v>605</v>
      </c>
      <c r="K2085" t="s">
        <v>606</v>
      </c>
      <c r="M2085" t="s">
        <v>607</v>
      </c>
      <c r="N2085" t="s">
        <v>608</v>
      </c>
      <c r="O2085" t="s">
        <v>1301</v>
      </c>
      <c r="P2085" t="s">
        <v>739</v>
      </c>
      <c r="Q2085" t="s">
        <v>467</v>
      </c>
      <c r="R2085" t="s">
        <v>814</v>
      </c>
      <c r="S2085" t="s">
        <v>1121</v>
      </c>
      <c r="T2085" t="s">
        <v>794</v>
      </c>
      <c r="U2085">
        <v>160700</v>
      </c>
      <c r="V2085" t="s">
        <v>7340</v>
      </c>
      <c r="W2085" t="s">
        <v>1304</v>
      </c>
      <c r="X2085" t="s">
        <v>7514</v>
      </c>
      <c r="Y2085" t="s">
        <v>7515</v>
      </c>
      <c r="Z2085" t="s">
        <v>1121</v>
      </c>
      <c r="AA2085" t="s">
        <v>7401</v>
      </c>
      <c r="AC2085">
        <v>99211</v>
      </c>
      <c r="AD2085" t="s">
        <v>7342</v>
      </c>
      <c r="AE2085">
        <v>-37.046753389999999</v>
      </c>
      <c r="AF2085">
        <v>174.86561692999999</v>
      </c>
      <c r="AG2085" s="175">
        <v>74</v>
      </c>
      <c r="AH2085" s="175">
        <v>10</v>
      </c>
      <c r="AI2085" s="175">
        <v>2</v>
      </c>
      <c r="AJ2085" s="175">
        <v>3</v>
      </c>
      <c r="AK2085" s="175">
        <v>9</v>
      </c>
      <c r="AL2085" s="175">
        <v>15</v>
      </c>
      <c r="AM2085" s="175">
        <v>27</v>
      </c>
      <c r="AN2085" s="175">
        <v>5</v>
      </c>
      <c r="AO2085" s="175">
        <v>61</v>
      </c>
      <c r="AP2085" s="175">
        <v>19</v>
      </c>
      <c r="AQ2085" s="175">
        <v>20</v>
      </c>
      <c r="AR2085" s="175">
        <v>41</v>
      </c>
      <c r="AS2085" s="175">
        <v>11</v>
      </c>
      <c r="AT2085" s="175">
        <v>0</v>
      </c>
    </row>
    <row r="2086" spans="1:46">
      <c r="A2086">
        <v>45807</v>
      </c>
      <c r="B2086" t="s">
        <v>12380</v>
      </c>
      <c r="C2086" t="s">
        <v>6331</v>
      </c>
      <c r="D2086" t="s">
        <v>11150</v>
      </c>
      <c r="E2086" t="s">
        <v>12381</v>
      </c>
      <c r="F2086" t="s">
        <v>3777</v>
      </c>
      <c r="G2086" t="s">
        <v>737</v>
      </c>
      <c r="H2086" t="s">
        <v>450</v>
      </c>
      <c r="I2086" t="s">
        <v>3715</v>
      </c>
      <c r="J2086" t="s">
        <v>4032</v>
      </c>
      <c r="K2086" t="s">
        <v>606</v>
      </c>
      <c r="M2086" t="s">
        <v>607</v>
      </c>
      <c r="N2086" t="s">
        <v>608</v>
      </c>
      <c r="O2086" t="s">
        <v>1253</v>
      </c>
      <c r="P2086" t="s">
        <v>739</v>
      </c>
      <c r="Q2086" t="s">
        <v>467</v>
      </c>
      <c r="R2086" t="s">
        <v>724</v>
      </c>
      <c r="S2086" t="s">
        <v>740</v>
      </c>
      <c r="T2086" t="s">
        <v>613</v>
      </c>
      <c r="U2086">
        <v>117300</v>
      </c>
      <c r="V2086" t="s">
        <v>5769</v>
      </c>
      <c r="W2086" t="s">
        <v>742</v>
      </c>
      <c r="X2086" t="s">
        <v>6333</v>
      </c>
      <c r="Y2086" t="s">
        <v>6334</v>
      </c>
      <c r="Z2086" t="s">
        <v>3777</v>
      </c>
      <c r="AA2086" t="s">
        <v>6335</v>
      </c>
      <c r="AB2086" t="s">
        <v>6336</v>
      </c>
      <c r="AE2086">
        <v>-36.733572909999999</v>
      </c>
      <c r="AF2086">
        <v>174.71022905000001</v>
      </c>
      <c r="AG2086" s="175">
        <v>60</v>
      </c>
      <c r="AH2086" s="175">
        <v>60</v>
      </c>
      <c r="AI2086" s="175">
        <v>1</v>
      </c>
      <c r="AJ2086" s="175">
        <v>0</v>
      </c>
      <c r="AK2086" s="175">
        <v>1</v>
      </c>
      <c r="AL2086" s="175">
        <v>0</v>
      </c>
      <c r="AM2086" s="175">
        <v>0</v>
      </c>
      <c r="AN2086" s="175">
        <v>0</v>
      </c>
      <c r="AO2086" s="175">
        <v>2</v>
      </c>
      <c r="AP2086" s="175">
        <v>2</v>
      </c>
      <c r="AQ2086" s="175">
        <v>0</v>
      </c>
      <c r="AR2086" s="175">
        <v>0</v>
      </c>
      <c r="AS2086" s="175">
        <v>2</v>
      </c>
      <c r="AT2086" s="175">
        <v>0</v>
      </c>
    </row>
    <row r="2087" spans="1:46">
      <c r="A2087">
        <v>45808</v>
      </c>
      <c r="B2087" t="s">
        <v>12382</v>
      </c>
      <c r="D2087" t="s">
        <v>12383</v>
      </c>
      <c r="E2087" t="s">
        <v>12384</v>
      </c>
      <c r="F2087" t="s">
        <v>12385</v>
      </c>
      <c r="G2087" t="s">
        <v>3015</v>
      </c>
      <c r="H2087" t="s">
        <v>450</v>
      </c>
      <c r="J2087" t="s">
        <v>4032</v>
      </c>
      <c r="K2087" t="s">
        <v>606</v>
      </c>
      <c r="M2087" t="s">
        <v>2366</v>
      </c>
      <c r="N2087" t="s">
        <v>657</v>
      </c>
      <c r="O2087" t="s">
        <v>3016</v>
      </c>
      <c r="P2087" t="s">
        <v>739</v>
      </c>
      <c r="Q2087" t="s">
        <v>521</v>
      </c>
      <c r="R2087" t="s">
        <v>3017</v>
      </c>
      <c r="S2087" t="s">
        <v>3046</v>
      </c>
      <c r="T2087" t="s">
        <v>2526</v>
      </c>
      <c r="U2087">
        <v>326000</v>
      </c>
      <c r="V2087" t="s">
        <v>12385</v>
      </c>
      <c r="W2087" t="s">
        <v>3047</v>
      </c>
      <c r="X2087" t="s">
        <v>12386</v>
      </c>
      <c r="Y2087" t="s">
        <v>12387</v>
      </c>
      <c r="Z2087" t="s">
        <v>3045</v>
      </c>
      <c r="AA2087" t="s">
        <v>12388</v>
      </c>
      <c r="AB2087" t="s">
        <v>12389</v>
      </c>
      <c r="AC2087">
        <v>99009</v>
      </c>
      <c r="AD2087" t="s">
        <v>10953</v>
      </c>
      <c r="AE2087">
        <v>-43.480276699999997</v>
      </c>
      <c r="AF2087">
        <v>172.71740036</v>
      </c>
      <c r="AG2087" s="175">
        <v>80</v>
      </c>
      <c r="AH2087" s="175">
        <v>80</v>
      </c>
      <c r="AI2087" s="175">
        <v>5</v>
      </c>
      <c r="AJ2087" s="175">
        <v>13</v>
      </c>
      <c r="AK2087" s="175">
        <v>10</v>
      </c>
      <c r="AL2087" s="175">
        <v>15</v>
      </c>
      <c r="AM2087" s="175">
        <v>9</v>
      </c>
      <c r="AN2087" s="175">
        <v>1</v>
      </c>
      <c r="AO2087" s="175">
        <v>53</v>
      </c>
      <c r="AP2087" s="175">
        <v>48</v>
      </c>
      <c r="AQ2087" s="175">
        <v>10</v>
      </c>
      <c r="AR2087" s="175">
        <v>1</v>
      </c>
      <c r="AS2087" s="175">
        <v>7</v>
      </c>
      <c r="AT2087" s="175">
        <v>2</v>
      </c>
    </row>
    <row r="2088" spans="1:46">
      <c r="A2088">
        <v>45809</v>
      </c>
      <c r="B2088" t="s">
        <v>12390</v>
      </c>
      <c r="C2088" t="s">
        <v>12391</v>
      </c>
      <c r="D2088" t="s">
        <v>12392</v>
      </c>
      <c r="E2088" t="s">
        <v>12393</v>
      </c>
      <c r="G2088" t="s">
        <v>2055</v>
      </c>
      <c r="H2088" t="s">
        <v>450</v>
      </c>
      <c r="J2088" t="s">
        <v>4032</v>
      </c>
      <c r="K2088" t="s">
        <v>606</v>
      </c>
      <c r="M2088" t="s">
        <v>1382</v>
      </c>
      <c r="N2088" t="s">
        <v>643</v>
      </c>
      <c r="O2088" t="s">
        <v>2037</v>
      </c>
      <c r="P2088" t="s">
        <v>670</v>
      </c>
      <c r="Q2088" t="s">
        <v>553</v>
      </c>
      <c r="R2088" t="s">
        <v>1841</v>
      </c>
      <c r="S2088" t="s">
        <v>2055</v>
      </c>
      <c r="T2088" t="s">
        <v>1568</v>
      </c>
      <c r="U2088">
        <v>230600</v>
      </c>
      <c r="V2088" t="s">
        <v>2056</v>
      </c>
      <c r="W2088" t="s">
        <v>2038</v>
      </c>
      <c r="X2088" t="s">
        <v>12394</v>
      </c>
      <c r="Y2088" t="s">
        <v>12395</v>
      </c>
      <c r="AA2088" t="s">
        <v>2041</v>
      </c>
      <c r="AB2088" t="s">
        <v>12391</v>
      </c>
      <c r="AC2088">
        <v>99134</v>
      </c>
      <c r="AD2088" t="s">
        <v>2072</v>
      </c>
      <c r="AE2088">
        <v>-40.358752989999999</v>
      </c>
      <c r="AF2088">
        <v>175.60482943</v>
      </c>
      <c r="AG2088" s="175">
        <v>80</v>
      </c>
      <c r="AH2088" s="175">
        <v>80</v>
      </c>
      <c r="AI2088" s="175">
        <v>6</v>
      </c>
      <c r="AJ2088" s="175">
        <v>10</v>
      </c>
      <c r="AK2088" s="175">
        <v>12</v>
      </c>
      <c r="AL2088" s="175">
        <v>8</v>
      </c>
      <c r="AM2088" s="175">
        <v>8</v>
      </c>
      <c r="AN2088" s="175">
        <v>1</v>
      </c>
      <c r="AO2088" s="175">
        <v>45</v>
      </c>
      <c r="AP2088" s="175">
        <v>36</v>
      </c>
      <c r="AQ2088" s="175">
        <v>26</v>
      </c>
      <c r="AR2088" s="175">
        <v>4</v>
      </c>
      <c r="AS2088" s="175">
        <v>3</v>
      </c>
      <c r="AT2088" s="175">
        <v>1</v>
      </c>
    </row>
    <row r="2089" spans="1:46">
      <c r="A2089">
        <v>45810</v>
      </c>
      <c r="B2089" t="s">
        <v>12396</v>
      </c>
      <c r="E2089" t="s">
        <v>12397</v>
      </c>
      <c r="F2089" t="s">
        <v>3733</v>
      </c>
      <c r="G2089" t="s">
        <v>3015</v>
      </c>
      <c r="H2089" t="s">
        <v>449</v>
      </c>
      <c r="J2089" t="s">
        <v>4032</v>
      </c>
      <c r="K2089" t="s">
        <v>606</v>
      </c>
      <c r="M2089" t="s">
        <v>2366</v>
      </c>
      <c r="N2089" t="s">
        <v>4586</v>
      </c>
      <c r="O2089" t="s">
        <v>3281</v>
      </c>
      <c r="P2089" t="s">
        <v>610</v>
      </c>
      <c r="Q2089" t="s">
        <v>521</v>
      </c>
      <c r="R2089" t="s">
        <v>3017</v>
      </c>
      <c r="S2089" t="s">
        <v>3252</v>
      </c>
      <c r="T2089" t="s">
        <v>2526</v>
      </c>
      <c r="U2089">
        <v>336001</v>
      </c>
      <c r="V2089" t="s">
        <v>3734</v>
      </c>
      <c r="W2089" t="s">
        <v>3735</v>
      </c>
      <c r="X2089" t="s">
        <v>12398</v>
      </c>
      <c r="Y2089" t="s">
        <v>4471</v>
      </c>
      <c r="Z2089" t="s">
        <v>4472</v>
      </c>
      <c r="AA2089" t="s">
        <v>5443</v>
      </c>
      <c r="AB2089" t="s">
        <v>12399</v>
      </c>
      <c r="AC2089">
        <v>99113</v>
      </c>
      <c r="AD2089" t="s">
        <v>3736</v>
      </c>
      <c r="AE2089">
        <v>-43.641087650000003</v>
      </c>
      <c r="AF2089">
        <v>172.48407857000001</v>
      </c>
      <c r="AG2089" s="175">
        <v>75</v>
      </c>
      <c r="AH2089" s="175">
        <v>25</v>
      </c>
      <c r="AI2089" s="175">
        <v>4</v>
      </c>
      <c r="AJ2089" s="175">
        <v>16</v>
      </c>
      <c r="AK2089" s="175">
        <v>20</v>
      </c>
      <c r="AL2089" s="175">
        <v>18</v>
      </c>
      <c r="AM2089" s="175">
        <v>21</v>
      </c>
      <c r="AN2089" s="175">
        <v>1</v>
      </c>
      <c r="AO2089" s="175">
        <v>80</v>
      </c>
      <c r="AP2089" s="175">
        <v>65</v>
      </c>
      <c r="AQ2089" s="175">
        <v>15</v>
      </c>
      <c r="AR2089" s="175">
        <v>4</v>
      </c>
      <c r="AS2089" s="175">
        <v>16</v>
      </c>
      <c r="AT2089" s="175">
        <v>0</v>
      </c>
    </row>
    <row r="2090" spans="1:46">
      <c r="A2090">
        <v>45812</v>
      </c>
      <c r="B2090" t="s">
        <v>12400</v>
      </c>
      <c r="C2090" t="s">
        <v>12401</v>
      </c>
      <c r="D2090" t="s">
        <v>12402</v>
      </c>
      <c r="E2090" t="s">
        <v>12403</v>
      </c>
      <c r="F2090" t="s">
        <v>2449</v>
      </c>
      <c r="G2090" t="s">
        <v>2449</v>
      </c>
      <c r="H2090" t="s">
        <v>449</v>
      </c>
      <c r="I2090" t="s">
        <v>12083</v>
      </c>
      <c r="J2090" t="s">
        <v>4032</v>
      </c>
      <c r="K2090" t="s">
        <v>606</v>
      </c>
      <c r="M2090" t="s">
        <v>2366</v>
      </c>
      <c r="N2090" t="s">
        <v>657</v>
      </c>
      <c r="O2090" t="s">
        <v>2450</v>
      </c>
      <c r="P2090" t="s">
        <v>670</v>
      </c>
      <c r="Q2090" t="s">
        <v>516</v>
      </c>
      <c r="R2090" t="s">
        <v>2368</v>
      </c>
      <c r="S2090" t="s">
        <v>2451</v>
      </c>
      <c r="T2090" t="s">
        <v>2165</v>
      </c>
      <c r="U2090">
        <v>241600</v>
      </c>
      <c r="V2090" t="s">
        <v>2463</v>
      </c>
      <c r="W2090" t="s">
        <v>1734</v>
      </c>
      <c r="X2090" t="s">
        <v>12404</v>
      </c>
      <c r="Y2090" t="s">
        <v>4166</v>
      </c>
      <c r="Z2090" t="s">
        <v>4167</v>
      </c>
      <c r="AA2090" t="s">
        <v>4168</v>
      </c>
      <c r="AE2090">
        <v>-41.122153750000003</v>
      </c>
      <c r="AF2090">
        <v>175.05065221000001</v>
      </c>
      <c r="AG2090" s="175">
        <v>120</v>
      </c>
      <c r="AH2090" s="175">
        <v>50</v>
      </c>
      <c r="AI2090" s="175">
        <v>5</v>
      </c>
      <c r="AJ2090" s="175">
        <v>25</v>
      </c>
      <c r="AK2090" s="175">
        <v>29</v>
      </c>
      <c r="AL2090" s="175">
        <v>35</v>
      </c>
      <c r="AM2090" s="175">
        <v>36</v>
      </c>
      <c r="AN2090" s="175">
        <v>1</v>
      </c>
      <c r="AO2090" s="175">
        <v>131</v>
      </c>
      <c r="AP2090" s="175">
        <v>76</v>
      </c>
      <c r="AQ2090" s="175">
        <v>12</v>
      </c>
      <c r="AR2090" s="175">
        <v>9</v>
      </c>
      <c r="AS2090" s="175">
        <v>48</v>
      </c>
      <c r="AT2090" s="175">
        <v>3</v>
      </c>
    </row>
    <row r="2091" spans="1:46">
      <c r="A2091">
        <v>45815</v>
      </c>
      <c r="B2091" t="s">
        <v>6956</v>
      </c>
      <c r="C2091" t="s">
        <v>12405</v>
      </c>
      <c r="D2091" t="s">
        <v>6958</v>
      </c>
      <c r="E2091" t="s">
        <v>12406</v>
      </c>
      <c r="F2091" t="s">
        <v>5926</v>
      </c>
      <c r="G2091" t="s">
        <v>737</v>
      </c>
      <c r="H2091" t="s">
        <v>449</v>
      </c>
      <c r="J2091" t="s">
        <v>4032</v>
      </c>
      <c r="K2091" t="s">
        <v>606</v>
      </c>
      <c r="M2091" t="s">
        <v>607</v>
      </c>
      <c r="N2091" t="s">
        <v>657</v>
      </c>
      <c r="O2091" t="s">
        <v>833</v>
      </c>
      <c r="P2091" t="s">
        <v>739</v>
      </c>
      <c r="Q2091" t="s">
        <v>467</v>
      </c>
      <c r="R2091" t="s">
        <v>724</v>
      </c>
      <c r="S2091" t="s">
        <v>767</v>
      </c>
      <c r="T2091" t="s">
        <v>613</v>
      </c>
      <c r="U2091">
        <v>121200</v>
      </c>
      <c r="V2091" t="s">
        <v>6638</v>
      </c>
      <c r="W2091" t="s">
        <v>826</v>
      </c>
      <c r="X2091" t="s">
        <v>12407</v>
      </c>
      <c r="Y2091" t="s">
        <v>6959</v>
      </c>
      <c r="Z2091" t="s">
        <v>822</v>
      </c>
      <c r="AA2091" t="s">
        <v>6963</v>
      </c>
      <c r="AE2091">
        <v>-36.760530500000002</v>
      </c>
      <c r="AF2091">
        <v>174.73978023000001</v>
      </c>
      <c r="AG2091" s="175">
        <v>75</v>
      </c>
      <c r="AH2091" s="175">
        <v>25</v>
      </c>
      <c r="AI2091" s="175">
        <v>1</v>
      </c>
      <c r="AJ2091" s="175">
        <v>14</v>
      </c>
      <c r="AK2091" s="175">
        <v>20</v>
      </c>
      <c r="AL2091" s="175">
        <v>20</v>
      </c>
      <c r="AM2091" s="175">
        <v>23</v>
      </c>
      <c r="AN2091" s="175">
        <v>0</v>
      </c>
      <c r="AO2091" s="175">
        <v>78</v>
      </c>
      <c r="AP2091" s="175">
        <v>23</v>
      </c>
      <c r="AQ2091" s="175">
        <v>3</v>
      </c>
      <c r="AR2091" s="175">
        <v>1</v>
      </c>
      <c r="AS2091" s="175">
        <v>52</v>
      </c>
      <c r="AT2091" s="175">
        <v>5</v>
      </c>
    </row>
    <row r="2092" spans="1:46">
      <c r="A2092">
        <v>45817</v>
      </c>
      <c r="B2092" t="s">
        <v>12408</v>
      </c>
      <c r="C2092" t="s">
        <v>12409</v>
      </c>
      <c r="D2092" t="s">
        <v>12410</v>
      </c>
      <c r="E2092" t="s">
        <v>12411</v>
      </c>
      <c r="G2092" t="s">
        <v>1319</v>
      </c>
      <c r="H2092" t="s">
        <v>449</v>
      </c>
      <c r="J2092" t="s">
        <v>4032</v>
      </c>
      <c r="K2092" t="s">
        <v>606</v>
      </c>
      <c r="M2092" t="s">
        <v>607</v>
      </c>
      <c r="N2092" t="s">
        <v>643</v>
      </c>
      <c r="O2092" t="s">
        <v>1353</v>
      </c>
      <c r="P2092" t="s">
        <v>739</v>
      </c>
      <c r="Q2092" t="s">
        <v>467</v>
      </c>
      <c r="R2092" t="s">
        <v>814</v>
      </c>
      <c r="S2092" t="s">
        <v>1319</v>
      </c>
      <c r="T2092" t="s">
        <v>1320</v>
      </c>
      <c r="U2092">
        <v>164001</v>
      </c>
      <c r="V2092" t="s">
        <v>12412</v>
      </c>
      <c r="W2092" t="s">
        <v>1304</v>
      </c>
      <c r="X2092" t="s">
        <v>12413</v>
      </c>
      <c r="Y2092" t="s">
        <v>12414</v>
      </c>
      <c r="Z2092" t="s">
        <v>1120</v>
      </c>
      <c r="AA2092" t="s">
        <v>7439</v>
      </c>
      <c r="AC2092">
        <v>99152</v>
      </c>
      <c r="AD2092" t="s">
        <v>1355</v>
      </c>
      <c r="AE2092">
        <v>-37.078231469999999</v>
      </c>
      <c r="AF2092">
        <v>174.95082925</v>
      </c>
      <c r="AG2092" s="175">
        <v>35</v>
      </c>
      <c r="AH2092" s="175">
        <v>0</v>
      </c>
      <c r="AI2092" s="175">
        <v>0</v>
      </c>
      <c r="AJ2092" s="175">
        <v>0</v>
      </c>
      <c r="AK2092" s="175">
        <v>8</v>
      </c>
      <c r="AL2092" s="175">
        <v>6</v>
      </c>
      <c r="AM2092" s="175">
        <v>11</v>
      </c>
      <c r="AN2092" s="175">
        <v>0</v>
      </c>
      <c r="AO2092" s="175">
        <v>25</v>
      </c>
      <c r="AP2092" s="175">
        <v>4</v>
      </c>
      <c r="AQ2092" s="175">
        <v>3</v>
      </c>
      <c r="AR2092" s="175">
        <v>5</v>
      </c>
      <c r="AS2092" s="175">
        <v>17</v>
      </c>
      <c r="AT2092" s="175">
        <v>0</v>
      </c>
    </row>
    <row r="2093" spans="1:46">
      <c r="A2093">
        <v>45819</v>
      </c>
      <c r="B2093" t="s">
        <v>12415</v>
      </c>
      <c r="C2093" t="s">
        <v>12416</v>
      </c>
      <c r="D2093" t="s">
        <v>12417</v>
      </c>
      <c r="E2093" t="s">
        <v>12418</v>
      </c>
      <c r="G2093" t="s">
        <v>10974</v>
      </c>
      <c r="H2093" t="s">
        <v>450</v>
      </c>
      <c r="J2093" t="s">
        <v>4032</v>
      </c>
      <c r="K2093" t="s">
        <v>606</v>
      </c>
      <c r="M2093" t="s">
        <v>2366</v>
      </c>
      <c r="N2093" t="s">
        <v>657</v>
      </c>
      <c r="O2093" t="s">
        <v>3281</v>
      </c>
      <c r="P2093" t="s">
        <v>1347</v>
      </c>
      <c r="Q2093" t="s">
        <v>521</v>
      </c>
      <c r="R2093" t="s">
        <v>3017</v>
      </c>
      <c r="S2093" t="s">
        <v>3252</v>
      </c>
      <c r="T2093" t="s">
        <v>2526</v>
      </c>
      <c r="U2093">
        <v>334801</v>
      </c>
      <c r="V2093" t="s">
        <v>12419</v>
      </c>
      <c r="W2093" t="s">
        <v>10977</v>
      </c>
      <c r="X2093" t="s">
        <v>12420</v>
      </c>
      <c r="Y2093" t="s">
        <v>11941</v>
      </c>
      <c r="AA2093" t="s">
        <v>10980</v>
      </c>
      <c r="AB2093" t="s">
        <v>11942</v>
      </c>
      <c r="AE2093">
        <v>-43.586679429999997</v>
      </c>
      <c r="AF2093">
        <v>172.37445156000001</v>
      </c>
      <c r="AG2093" s="175">
        <v>80</v>
      </c>
      <c r="AH2093" s="175">
        <v>80</v>
      </c>
      <c r="AI2093" s="175">
        <v>0</v>
      </c>
      <c r="AJ2093" s="175">
        <v>5</v>
      </c>
      <c r="AK2093" s="175">
        <v>6</v>
      </c>
      <c r="AL2093" s="175">
        <v>4</v>
      </c>
      <c r="AM2093" s="175">
        <v>3</v>
      </c>
      <c r="AN2093" s="175">
        <v>0</v>
      </c>
      <c r="AO2093" s="175">
        <v>18</v>
      </c>
      <c r="AP2093" s="175">
        <v>17</v>
      </c>
      <c r="AQ2093" s="175">
        <v>2</v>
      </c>
      <c r="AR2093" s="175">
        <v>1</v>
      </c>
      <c r="AS2093" s="175">
        <v>2</v>
      </c>
      <c r="AT2093" s="175">
        <v>0</v>
      </c>
    </row>
    <row r="2094" spans="1:46">
      <c r="A2094">
        <v>45822</v>
      </c>
      <c r="B2094" t="s">
        <v>12421</v>
      </c>
      <c r="C2094" t="s">
        <v>12422</v>
      </c>
      <c r="D2094" t="s">
        <v>12423</v>
      </c>
      <c r="E2094" t="s">
        <v>12424</v>
      </c>
      <c r="F2094" t="s">
        <v>7220</v>
      </c>
      <c r="G2094" t="s">
        <v>737</v>
      </c>
      <c r="H2094" t="s">
        <v>449</v>
      </c>
      <c r="J2094" t="s">
        <v>4032</v>
      </c>
      <c r="K2094" t="s">
        <v>606</v>
      </c>
      <c r="M2094" t="s">
        <v>607</v>
      </c>
      <c r="N2094" t="s">
        <v>657</v>
      </c>
      <c r="O2094" t="s">
        <v>942</v>
      </c>
      <c r="P2094" t="s">
        <v>739</v>
      </c>
      <c r="Q2094" t="s">
        <v>467</v>
      </c>
      <c r="R2094" t="s">
        <v>793</v>
      </c>
      <c r="S2094" t="s">
        <v>943</v>
      </c>
      <c r="T2094" t="s">
        <v>794</v>
      </c>
      <c r="U2094">
        <v>133600</v>
      </c>
      <c r="V2094" t="s">
        <v>1097</v>
      </c>
      <c r="W2094" t="s">
        <v>945</v>
      </c>
      <c r="X2094" t="s">
        <v>12425</v>
      </c>
      <c r="Y2094" t="s">
        <v>12426</v>
      </c>
      <c r="Z2094" t="s">
        <v>906</v>
      </c>
      <c r="AA2094" t="s">
        <v>4138</v>
      </c>
      <c r="AB2094" t="s">
        <v>12427</v>
      </c>
      <c r="AE2094">
        <v>-36.872250569999999</v>
      </c>
      <c r="AF2094">
        <v>174.72640168999999</v>
      </c>
      <c r="AG2094" s="175">
        <v>80</v>
      </c>
      <c r="AH2094" s="175">
        <v>25</v>
      </c>
      <c r="AI2094" s="175">
        <v>3</v>
      </c>
      <c r="AJ2094" s="175">
        <v>23</v>
      </c>
      <c r="AK2094" s="175">
        <v>19</v>
      </c>
      <c r="AL2094" s="175">
        <v>13</v>
      </c>
      <c r="AM2094" s="175">
        <v>25</v>
      </c>
      <c r="AN2094" s="175">
        <v>0</v>
      </c>
      <c r="AO2094" s="175">
        <v>83</v>
      </c>
      <c r="AP2094" s="175">
        <v>67</v>
      </c>
      <c r="AQ2094" s="175">
        <v>9</v>
      </c>
      <c r="AR2094" s="175">
        <v>3</v>
      </c>
      <c r="AS2094" s="175">
        <v>18</v>
      </c>
      <c r="AT2094" s="175">
        <v>5</v>
      </c>
    </row>
    <row r="2095" spans="1:46">
      <c r="A2095">
        <v>45823</v>
      </c>
      <c r="B2095" t="s">
        <v>12428</v>
      </c>
      <c r="C2095" t="s">
        <v>12429</v>
      </c>
      <c r="D2095" t="s">
        <v>12430</v>
      </c>
      <c r="E2095" t="s">
        <v>12431</v>
      </c>
      <c r="F2095" t="s">
        <v>791</v>
      </c>
      <c r="G2095" t="s">
        <v>4272</v>
      </c>
      <c r="H2095" t="s">
        <v>449</v>
      </c>
      <c r="J2095" t="s">
        <v>4032</v>
      </c>
      <c r="K2095" t="s">
        <v>606</v>
      </c>
      <c r="M2095" t="s">
        <v>607</v>
      </c>
      <c r="N2095" t="s">
        <v>657</v>
      </c>
      <c r="O2095" t="s">
        <v>792</v>
      </c>
      <c r="P2095" t="s">
        <v>739</v>
      </c>
      <c r="Q2095" t="s">
        <v>467</v>
      </c>
      <c r="R2095" t="s">
        <v>793</v>
      </c>
      <c r="S2095" t="s">
        <v>791</v>
      </c>
      <c r="T2095" t="s">
        <v>794</v>
      </c>
      <c r="U2095">
        <v>150700</v>
      </c>
      <c r="V2095" t="s">
        <v>882</v>
      </c>
      <c r="W2095" t="s">
        <v>796</v>
      </c>
      <c r="X2095" t="s">
        <v>12432</v>
      </c>
      <c r="Y2095" t="s">
        <v>12433</v>
      </c>
      <c r="Z2095" t="s">
        <v>4006</v>
      </c>
      <c r="AA2095" t="s">
        <v>12434</v>
      </c>
      <c r="AB2095" t="s">
        <v>12435</v>
      </c>
      <c r="AE2095">
        <v>-36.915545090000002</v>
      </c>
      <c r="AF2095">
        <v>174.89852300000001</v>
      </c>
      <c r="AG2095" s="175">
        <v>80</v>
      </c>
      <c r="AH2095" s="175">
        <v>25</v>
      </c>
      <c r="AI2095" s="175">
        <v>0</v>
      </c>
      <c r="AJ2095" s="175">
        <v>7</v>
      </c>
      <c r="AK2095" s="175">
        <v>4</v>
      </c>
      <c r="AL2095" s="175">
        <v>14</v>
      </c>
      <c r="AM2095" s="175">
        <v>3</v>
      </c>
      <c r="AN2095" s="175">
        <v>0</v>
      </c>
      <c r="AO2095" s="175">
        <v>28</v>
      </c>
      <c r="AP2095" s="175">
        <v>3</v>
      </c>
      <c r="AQ2095" s="175">
        <v>0</v>
      </c>
      <c r="AR2095" s="175">
        <v>13</v>
      </c>
      <c r="AS2095" s="175">
        <v>9</v>
      </c>
      <c r="AT2095" s="175">
        <v>8</v>
      </c>
    </row>
    <row r="2096" spans="1:46">
      <c r="A2096">
        <v>45826</v>
      </c>
      <c r="B2096" t="s">
        <v>12436</v>
      </c>
      <c r="C2096" t="s">
        <v>12437</v>
      </c>
      <c r="D2096" t="s">
        <v>12438</v>
      </c>
      <c r="E2096" t="s">
        <v>12439</v>
      </c>
      <c r="F2096" t="s">
        <v>3141</v>
      </c>
      <c r="G2096" t="s">
        <v>3015</v>
      </c>
      <c r="H2096" t="s">
        <v>449</v>
      </c>
      <c r="J2096" t="s">
        <v>605</v>
      </c>
      <c r="K2096" t="s">
        <v>606</v>
      </c>
      <c r="M2096" t="s">
        <v>2366</v>
      </c>
      <c r="N2096" t="s">
        <v>657</v>
      </c>
      <c r="O2096" t="s">
        <v>3016</v>
      </c>
      <c r="P2096" t="s">
        <v>739</v>
      </c>
      <c r="Q2096" t="s">
        <v>521</v>
      </c>
      <c r="R2096" t="s">
        <v>3017</v>
      </c>
      <c r="S2096" t="s">
        <v>3046</v>
      </c>
      <c r="T2096" t="s">
        <v>2526</v>
      </c>
      <c r="U2096">
        <v>324600</v>
      </c>
      <c r="V2096" t="s">
        <v>12440</v>
      </c>
      <c r="W2096" t="s">
        <v>3199</v>
      </c>
      <c r="X2096" t="s">
        <v>10864</v>
      </c>
      <c r="Y2096" t="s">
        <v>4014</v>
      </c>
      <c r="Z2096" t="s">
        <v>4015</v>
      </c>
      <c r="AA2096" t="s">
        <v>4016</v>
      </c>
      <c r="AC2096">
        <v>99175</v>
      </c>
      <c r="AD2096" t="s">
        <v>3144</v>
      </c>
      <c r="AE2096">
        <v>-43.503025460000003</v>
      </c>
      <c r="AF2096">
        <v>172.6627215</v>
      </c>
      <c r="AG2096" s="175">
        <v>75</v>
      </c>
      <c r="AH2096" s="175">
        <v>25</v>
      </c>
      <c r="AI2096" s="175">
        <v>5</v>
      </c>
      <c r="AJ2096" s="175">
        <v>10</v>
      </c>
      <c r="AK2096" s="175">
        <v>20</v>
      </c>
      <c r="AL2096" s="175">
        <v>22</v>
      </c>
      <c r="AM2096" s="175">
        <v>18</v>
      </c>
      <c r="AN2096" s="175">
        <v>1</v>
      </c>
      <c r="AO2096" s="175">
        <v>76</v>
      </c>
      <c r="AP2096" s="175">
        <v>42</v>
      </c>
      <c r="AQ2096" s="175">
        <v>17</v>
      </c>
      <c r="AR2096" s="175">
        <v>11</v>
      </c>
      <c r="AS2096" s="175">
        <v>29</v>
      </c>
      <c r="AT2096" s="175">
        <v>0</v>
      </c>
    </row>
    <row r="2097" spans="1:46">
      <c r="A2097">
        <v>45829</v>
      </c>
      <c r="B2097" t="s">
        <v>12441</v>
      </c>
      <c r="C2097" t="s">
        <v>12442</v>
      </c>
      <c r="E2097" t="s">
        <v>12443</v>
      </c>
      <c r="F2097" t="s">
        <v>5016</v>
      </c>
      <c r="G2097" t="s">
        <v>668</v>
      </c>
      <c r="H2097" t="s">
        <v>449</v>
      </c>
      <c r="J2097" t="s">
        <v>4032</v>
      </c>
      <c r="K2097" t="s">
        <v>606</v>
      </c>
      <c r="M2097" t="s">
        <v>607</v>
      </c>
      <c r="N2097" t="s">
        <v>657</v>
      </c>
      <c r="O2097" t="s">
        <v>669</v>
      </c>
      <c r="P2097" t="s">
        <v>670</v>
      </c>
      <c r="Q2097" t="s">
        <v>509</v>
      </c>
      <c r="R2097" t="s">
        <v>611</v>
      </c>
      <c r="S2097" t="s">
        <v>671</v>
      </c>
      <c r="T2097" t="s">
        <v>613</v>
      </c>
      <c r="U2097">
        <v>107501</v>
      </c>
      <c r="V2097" t="s">
        <v>5018</v>
      </c>
      <c r="W2097" t="s">
        <v>673</v>
      </c>
      <c r="X2097" t="s">
        <v>4470</v>
      </c>
      <c r="Y2097" t="s">
        <v>4471</v>
      </c>
      <c r="Z2097" t="s">
        <v>4472</v>
      </c>
      <c r="AA2097" t="s">
        <v>4596</v>
      </c>
      <c r="AB2097" t="s">
        <v>4474</v>
      </c>
      <c r="AC2097">
        <v>99181</v>
      </c>
      <c r="AD2097" t="s">
        <v>680</v>
      </c>
      <c r="AE2097">
        <v>-35.734593009999998</v>
      </c>
      <c r="AF2097">
        <v>174.32625332000001</v>
      </c>
      <c r="AG2097" s="175">
        <v>70</v>
      </c>
      <c r="AH2097" s="175">
        <v>20</v>
      </c>
      <c r="AI2097" s="175">
        <v>2</v>
      </c>
      <c r="AJ2097" s="175">
        <v>10</v>
      </c>
      <c r="AK2097" s="175">
        <v>19</v>
      </c>
      <c r="AL2097" s="175">
        <v>17</v>
      </c>
      <c r="AM2097" s="175">
        <v>17</v>
      </c>
      <c r="AN2097" s="175">
        <v>0</v>
      </c>
      <c r="AO2097" s="175">
        <v>65</v>
      </c>
      <c r="AP2097" s="175">
        <v>48</v>
      </c>
      <c r="AQ2097" s="175">
        <v>27</v>
      </c>
      <c r="AR2097" s="175">
        <v>1</v>
      </c>
      <c r="AS2097" s="175">
        <v>3</v>
      </c>
      <c r="AT2097" s="175">
        <v>6</v>
      </c>
    </row>
    <row r="2098" spans="1:46">
      <c r="A2098">
        <v>45832</v>
      </c>
      <c r="B2098" t="s">
        <v>12444</v>
      </c>
      <c r="C2098" t="s">
        <v>12445</v>
      </c>
      <c r="E2098" t="s">
        <v>12446</v>
      </c>
      <c r="G2098" t="s">
        <v>5615</v>
      </c>
      <c r="H2098" t="s">
        <v>449</v>
      </c>
      <c r="J2098" t="s">
        <v>4032</v>
      </c>
      <c r="K2098" t="s">
        <v>606</v>
      </c>
      <c r="M2098" t="s">
        <v>607</v>
      </c>
      <c r="N2098" t="s">
        <v>643</v>
      </c>
      <c r="O2098" t="s">
        <v>650</v>
      </c>
      <c r="P2098" t="s">
        <v>626</v>
      </c>
      <c r="Q2098" t="s">
        <v>509</v>
      </c>
      <c r="R2098" t="s">
        <v>611</v>
      </c>
      <c r="S2098" t="s">
        <v>612</v>
      </c>
      <c r="T2098" t="s">
        <v>613</v>
      </c>
      <c r="U2098">
        <v>109700</v>
      </c>
      <c r="V2098" t="s">
        <v>5615</v>
      </c>
      <c r="W2098" t="s">
        <v>5376</v>
      </c>
      <c r="X2098" t="s">
        <v>12447</v>
      </c>
      <c r="Y2098" t="s">
        <v>12448</v>
      </c>
      <c r="AA2098" t="s">
        <v>12449</v>
      </c>
      <c r="AB2098" t="s">
        <v>12445</v>
      </c>
      <c r="AE2098">
        <v>-36.16156608</v>
      </c>
      <c r="AF2098">
        <v>174.44468083000001</v>
      </c>
      <c r="AG2098" s="175">
        <v>53</v>
      </c>
      <c r="AH2098" s="175">
        <v>17</v>
      </c>
      <c r="AI2098" s="175">
        <v>2</v>
      </c>
      <c r="AJ2098" s="175">
        <v>4</v>
      </c>
      <c r="AK2098" s="175">
        <v>8</v>
      </c>
      <c r="AL2098" s="175">
        <v>18</v>
      </c>
      <c r="AM2098" s="175">
        <v>13</v>
      </c>
      <c r="AN2098" s="175">
        <v>1</v>
      </c>
      <c r="AO2098" s="175">
        <v>46</v>
      </c>
      <c r="AP2098" s="175">
        <v>42</v>
      </c>
      <c r="AQ2098" s="175">
        <v>13</v>
      </c>
      <c r="AR2098" s="175">
        <v>2</v>
      </c>
      <c r="AS2098" s="175">
        <v>3</v>
      </c>
      <c r="AT2098" s="175">
        <v>2</v>
      </c>
    </row>
    <row r="2099" spans="1:46">
      <c r="A2099">
        <v>45835</v>
      </c>
      <c r="B2099" t="s">
        <v>12450</v>
      </c>
      <c r="C2099" t="s">
        <v>11744</v>
      </c>
      <c r="D2099" t="s">
        <v>12451</v>
      </c>
      <c r="E2099" t="s">
        <v>11745</v>
      </c>
      <c r="F2099" t="s">
        <v>4060</v>
      </c>
      <c r="G2099" t="s">
        <v>737</v>
      </c>
      <c r="H2099" t="s">
        <v>450</v>
      </c>
      <c r="J2099" t="s">
        <v>4032</v>
      </c>
      <c r="K2099" t="s">
        <v>606</v>
      </c>
      <c r="M2099" t="s">
        <v>607</v>
      </c>
      <c r="N2099" t="s">
        <v>608</v>
      </c>
      <c r="O2099" t="s">
        <v>813</v>
      </c>
      <c r="P2099" t="s">
        <v>739</v>
      </c>
      <c r="Q2099" t="s">
        <v>467</v>
      </c>
      <c r="R2099" t="s">
        <v>814</v>
      </c>
      <c r="S2099" t="s">
        <v>863</v>
      </c>
      <c r="T2099" t="s">
        <v>794</v>
      </c>
      <c r="U2099">
        <v>156000</v>
      </c>
      <c r="V2099" t="s">
        <v>6473</v>
      </c>
      <c r="W2099" t="s">
        <v>817</v>
      </c>
      <c r="X2099" t="s">
        <v>11746</v>
      </c>
      <c r="Y2099" t="s">
        <v>11747</v>
      </c>
      <c r="Z2099" t="s">
        <v>913</v>
      </c>
      <c r="AA2099" t="s">
        <v>6945</v>
      </c>
      <c r="AE2099">
        <v>-36.960511680000003</v>
      </c>
      <c r="AF2099">
        <v>174.8960366</v>
      </c>
      <c r="AG2099" s="175">
        <v>60</v>
      </c>
      <c r="AH2099" s="175">
        <v>60</v>
      </c>
      <c r="AI2099" s="175">
        <v>5</v>
      </c>
      <c r="AJ2099" s="175">
        <v>7</v>
      </c>
      <c r="AK2099" s="175">
        <v>8</v>
      </c>
      <c r="AL2099" s="175">
        <v>12</v>
      </c>
      <c r="AM2099" s="175">
        <v>9</v>
      </c>
      <c r="AN2099" s="175">
        <v>2</v>
      </c>
      <c r="AO2099" s="175">
        <v>43</v>
      </c>
      <c r="AP2099" s="175">
        <v>0</v>
      </c>
      <c r="AQ2099" s="175">
        <v>1</v>
      </c>
      <c r="AR2099" s="175">
        <v>42</v>
      </c>
      <c r="AS2099" s="175">
        <v>1</v>
      </c>
      <c r="AT2099" s="175">
        <v>0</v>
      </c>
    </row>
    <row r="2100" spans="1:46">
      <c r="A2100">
        <v>45836</v>
      </c>
      <c r="B2100" t="s">
        <v>12452</v>
      </c>
      <c r="C2100" t="s">
        <v>12453</v>
      </c>
      <c r="D2100" t="s">
        <v>12454</v>
      </c>
      <c r="E2100" t="s">
        <v>12455</v>
      </c>
      <c r="F2100" t="s">
        <v>12456</v>
      </c>
      <c r="G2100" t="s">
        <v>2368</v>
      </c>
      <c r="H2100" t="s">
        <v>449</v>
      </c>
      <c r="I2100" t="s">
        <v>4023</v>
      </c>
      <c r="J2100" t="s">
        <v>4032</v>
      </c>
      <c r="K2100" t="s">
        <v>606</v>
      </c>
      <c r="M2100" t="s">
        <v>2366</v>
      </c>
      <c r="N2100" t="s">
        <v>657</v>
      </c>
      <c r="O2100" t="s">
        <v>2614</v>
      </c>
      <c r="P2100" t="s">
        <v>739</v>
      </c>
      <c r="Q2100" t="s">
        <v>516</v>
      </c>
      <c r="R2100" t="s">
        <v>2368</v>
      </c>
      <c r="S2100" t="s">
        <v>2615</v>
      </c>
      <c r="T2100" t="s">
        <v>2526</v>
      </c>
      <c r="U2100">
        <v>253800</v>
      </c>
      <c r="V2100" t="s">
        <v>12457</v>
      </c>
      <c r="W2100" t="s">
        <v>2616</v>
      </c>
      <c r="X2100" t="s">
        <v>12458</v>
      </c>
      <c r="Y2100" t="s">
        <v>12459</v>
      </c>
      <c r="Z2100" t="s">
        <v>12460</v>
      </c>
      <c r="AA2100" t="s">
        <v>12461</v>
      </c>
      <c r="AE2100">
        <v>-41.333446500000001</v>
      </c>
      <c r="AF2100">
        <v>174.77323909</v>
      </c>
      <c r="AG2100" s="175">
        <v>106</v>
      </c>
      <c r="AH2100" s="175">
        <v>30</v>
      </c>
      <c r="AI2100" s="175">
        <v>4</v>
      </c>
      <c r="AJ2100" s="175">
        <v>20</v>
      </c>
      <c r="AK2100" s="175">
        <v>30</v>
      </c>
      <c r="AL2100" s="175">
        <v>14</v>
      </c>
      <c r="AM2100" s="175">
        <v>20</v>
      </c>
      <c r="AN2100" s="175">
        <v>1</v>
      </c>
      <c r="AO2100" s="175">
        <v>89</v>
      </c>
      <c r="AP2100" s="175">
        <v>81</v>
      </c>
      <c r="AQ2100" s="175">
        <v>5</v>
      </c>
      <c r="AR2100" s="175">
        <v>6</v>
      </c>
      <c r="AS2100" s="175">
        <v>8</v>
      </c>
      <c r="AT2100" s="175">
        <v>13</v>
      </c>
    </row>
    <row r="2101" spans="1:46">
      <c r="A2101">
        <v>45837</v>
      </c>
      <c r="B2101" t="s">
        <v>12462</v>
      </c>
      <c r="C2101" t="s">
        <v>12463</v>
      </c>
      <c r="E2101" t="s">
        <v>12464</v>
      </c>
      <c r="F2101" t="s">
        <v>2735</v>
      </c>
      <c r="G2101" t="s">
        <v>2368</v>
      </c>
      <c r="H2101" t="s">
        <v>449</v>
      </c>
      <c r="J2101" t="s">
        <v>4032</v>
      </c>
      <c r="K2101" t="s">
        <v>606</v>
      </c>
      <c r="M2101" t="s">
        <v>2366</v>
      </c>
      <c r="N2101" t="s">
        <v>657</v>
      </c>
      <c r="O2101" t="s">
        <v>2614</v>
      </c>
      <c r="P2101" t="s">
        <v>739</v>
      </c>
      <c r="Q2101" t="s">
        <v>516</v>
      </c>
      <c r="R2101" t="s">
        <v>2368</v>
      </c>
      <c r="S2101" t="s">
        <v>2623</v>
      </c>
      <c r="T2101" t="s">
        <v>2526</v>
      </c>
      <c r="U2101">
        <v>249501</v>
      </c>
      <c r="V2101" t="s">
        <v>2736</v>
      </c>
      <c r="W2101" t="s">
        <v>2625</v>
      </c>
      <c r="X2101" t="s">
        <v>12465</v>
      </c>
      <c r="Y2101" t="s">
        <v>12466</v>
      </c>
      <c r="Z2101" t="s">
        <v>2644</v>
      </c>
      <c r="AA2101" t="s">
        <v>12467</v>
      </c>
      <c r="AB2101" t="s">
        <v>12463</v>
      </c>
      <c r="AE2101">
        <v>-41.222440900000002</v>
      </c>
      <c r="AF2101">
        <v>174.82213365999999</v>
      </c>
      <c r="AG2101" s="175">
        <v>43</v>
      </c>
      <c r="AH2101" s="175">
        <v>11</v>
      </c>
      <c r="AI2101" s="175">
        <v>0</v>
      </c>
      <c r="AJ2101" s="175">
        <v>9</v>
      </c>
      <c r="AK2101" s="175">
        <v>17</v>
      </c>
      <c r="AL2101" s="175">
        <v>11</v>
      </c>
      <c r="AM2101" s="175">
        <v>9</v>
      </c>
      <c r="AN2101" s="175">
        <v>0</v>
      </c>
      <c r="AO2101" s="175">
        <v>46</v>
      </c>
      <c r="AP2101" s="175">
        <v>29</v>
      </c>
      <c r="AQ2101" s="175">
        <v>4</v>
      </c>
      <c r="AR2101" s="175">
        <v>4</v>
      </c>
      <c r="AS2101" s="175">
        <v>16</v>
      </c>
      <c r="AT2101" s="175">
        <v>4</v>
      </c>
    </row>
    <row r="2102" spans="1:46">
      <c r="A2102">
        <v>45842</v>
      </c>
      <c r="B2102" t="s">
        <v>12468</v>
      </c>
      <c r="C2102" t="s">
        <v>12469</v>
      </c>
      <c r="D2102" t="s">
        <v>12470</v>
      </c>
      <c r="E2102" t="s">
        <v>12471</v>
      </c>
      <c r="G2102" t="s">
        <v>5598</v>
      </c>
      <c r="H2102" t="s">
        <v>449</v>
      </c>
      <c r="I2102" t="s">
        <v>5017</v>
      </c>
      <c r="J2102" t="s">
        <v>605</v>
      </c>
      <c r="K2102" t="s">
        <v>606</v>
      </c>
      <c r="M2102" t="s">
        <v>607</v>
      </c>
      <c r="N2102" t="s">
        <v>812</v>
      </c>
      <c r="O2102" t="s">
        <v>609</v>
      </c>
      <c r="P2102" t="s">
        <v>610</v>
      </c>
      <c r="Q2102" t="s">
        <v>509</v>
      </c>
      <c r="R2102" t="s">
        <v>611</v>
      </c>
      <c r="S2102" t="s">
        <v>612</v>
      </c>
      <c r="T2102" t="s">
        <v>613</v>
      </c>
      <c r="U2102">
        <v>104600</v>
      </c>
      <c r="V2102" t="s">
        <v>5598</v>
      </c>
      <c r="W2102" t="s">
        <v>644</v>
      </c>
      <c r="X2102" t="s">
        <v>12472</v>
      </c>
      <c r="Y2102" t="s">
        <v>12473</v>
      </c>
      <c r="AA2102" t="s">
        <v>5362</v>
      </c>
      <c r="AB2102" t="s">
        <v>12474</v>
      </c>
      <c r="AE2102">
        <v>-35.379381789999996</v>
      </c>
      <c r="AF2102">
        <v>174.06340957</v>
      </c>
      <c r="AG2102" s="175">
        <v>80</v>
      </c>
      <c r="AH2102" s="175">
        <v>15</v>
      </c>
      <c r="AI2102" s="175">
        <v>3</v>
      </c>
      <c r="AJ2102" s="175">
        <v>10</v>
      </c>
      <c r="AK2102" s="175">
        <v>9</v>
      </c>
      <c r="AL2102" s="175">
        <v>13</v>
      </c>
      <c r="AM2102" s="175">
        <v>17</v>
      </c>
      <c r="AN2102" s="175">
        <v>2</v>
      </c>
      <c r="AO2102" s="175">
        <v>54</v>
      </c>
      <c r="AP2102" s="175">
        <v>14</v>
      </c>
      <c r="AQ2102" s="175">
        <v>39</v>
      </c>
      <c r="AR2102" s="175">
        <v>8</v>
      </c>
      <c r="AS2102" s="175">
        <v>8</v>
      </c>
      <c r="AT2102" s="175">
        <v>0</v>
      </c>
    </row>
    <row r="2103" spans="1:46">
      <c r="A2103">
        <v>45843</v>
      </c>
      <c r="B2103" t="s">
        <v>12475</v>
      </c>
      <c r="C2103" t="s">
        <v>12476</v>
      </c>
      <c r="D2103" t="s">
        <v>12477</v>
      </c>
      <c r="E2103" t="s">
        <v>12478</v>
      </c>
      <c r="F2103" t="s">
        <v>2746</v>
      </c>
      <c r="G2103" t="s">
        <v>2368</v>
      </c>
      <c r="H2103" t="s">
        <v>449</v>
      </c>
      <c r="J2103" t="s">
        <v>4032</v>
      </c>
      <c r="K2103" t="s">
        <v>606</v>
      </c>
      <c r="M2103" t="s">
        <v>2366</v>
      </c>
      <c r="N2103" t="s">
        <v>657</v>
      </c>
      <c r="O2103" t="s">
        <v>2614</v>
      </c>
      <c r="P2103" t="s">
        <v>739</v>
      </c>
      <c r="Q2103" t="s">
        <v>516</v>
      </c>
      <c r="R2103" t="s">
        <v>2368</v>
      </c>
      <c r="S2103" t="s">
        <v>2615</v>
      </c>
      <c r="T2103" t="s">
        <v>2526</v>
      </c>
      <c r="U2103">
        <v>253300</v>
      </c>
      <c r="V2103" t="s">
        <v>2613</v>
      </c>
      <c r="W2103" t="s">
        <v>2616</v>
      </c>
      <c r="X2103" t="s">
        <v>12479</v>
      </c>
      <c r="Y2103" t="s">
        <v>12480</v>
      </c>
      <c r="Z2103" t="s">
        <v>1181</v>
      </c>
      <c r="AA2103" t="s">
        <v>4604</v>
      </c>
      <c r="AB2103" t="s">
        <v>12481</v>
      </c>
      <c r="AE2103">
        <v>-41.316543410000001</v>
      </c>
      <c r="AF2103">
        <v>174.77783703</v>
      </c>
      <c r="AG2103" s="175">
        <v>150</v>
      </c>
      <c r="AH2103" s="175">
        <v>50</v>
      </c>
      <c r="AI2103" s="175">
        <v>6</v>
      </c>
      <c r="AJ2103" s="175">
        <v>28</v>
      </c>
      <c r="AK2103" s="175">
        <v>50</v>
      </c>
      <c r="AL2103" s="175">
        <v>37</v>
      </c>
      <c r="AM2103" s="175">
        <v>44</v>
      </c>
      <c r="AN2103" s="175">
        <v>1</v>
      </c>
      <c r="AO2103" s="175">
        <v>166</v>
      </c>
      <c r="AP2103" s="175">
        <v>134</v>
      </c>
      <c r="AQ2103" s="175">
        <v>13</v>
      </c>
      <c r="AR2103" s="175">
        <v>10</v>
      </c>
      <c r="AS2103" s="175">
        <v>37</v>
      </c>
      <c r="AT2103" s="175">
        <v>7</v>
      </c>
    </row>
    <row r="2104" spans="1:46">
      <c r="A2104">
        <v>45845</v>
      </c>
      <c r="B2104" t="s">
        <v>12482</v>
      </c>
      <c r="C2104" t="s">
        <v>12483</v>
      </c>
      <c r="D2104" t="s">
        <v>12484</v>
      </c>
      <c r="E2104" t="s">
        <v>12485</v>
      </c>
      <c r="G2104" t="s">
        <v>3744</v>
      </c>
      <c r="H2104" t="s">
        <v>449</v>
      </c>
      <c r="J2104" t="s">
        <v>4032</v>
      </c>
      <c r="K2104" t="s">
        <v>606</v>
      </c>
      <c r="M2104" t="s">
        <v>607</v>
      </c>
      <c r="N2104" t="s">
        <v>657</v>
      </c>
      <c r="O2104" t="s">
        <v>609</v>
      </c>
      <c r="P2104" t="s">
        <v>658</v>
      </c>
      <c r="Q2104" t="s">
        <v>509</v>
      </c>
      <c r="R2104" t="s">
        <v>611</v>
      </c>
      <c r="S2104" t="s">
        <v>612</v>
      </c>
      <c r="T2104" t="s">
        <v>613</v>
      </c>
      <c r="U2104">
        <v>102201</v>
      </c>
      <c r="V2104" t="s">
        <v>5778</v>
      </c>
      <c r="W2104" t="s">
        <v>644</v>
      </c>
      <c r="X2104" t="s">
        <v>12486</v>
      </c>
      <c r="Y2104" t="s">
        <v>12487</v>
      </c>
      <c r="AA2104" t="s">
        <v>12488</v>
      </c>
      <c r="AB2104" t="s">
        <v>12489</v>
      </c>
      <c r="AE2104">
        <v>-35.191329830000001</v>
      </c>
      <c r="AF2104">
        <v>173.93879476999999</v>
      </c>
      <c r="AG2104" s="175">
        <v>40</v>
      </c>
      <c r="AH2104" s="175">
        <v>15</v>
      </c>
      <c r="AI2104" s="175">
        <v>4</v>
      </c>
      <c r="AJ2104" s="175">
        <v>4</v>
      </c>
      <c r="AK2104" s="175">
        <v>9</v>
      </c>
      <c r="AL2104" s="175">
        <v>9</v>
      </c>
      <c r="AM2104" s="175">
        <v>8</v>
      </c>
      <c r="AN2104" s="175">
        <v>3</v>
      </c>
      <c r="AO2104" s="175">
        <v>37</v>
      </c>
      <c r="AP2104" s="175">
        <v>32</v>
      </c>
      <c r="AQ2104" s="175">
        <v>14</v>
      </c>
      <c r="AR2104" s="175">
        <v>6</v>
      </c>
      <c r="AS2104" s="175">
        <v>2</v>
      </c>
      <c r="AT2104" s="175">
        <v>0</v>
      </c>
    </row>
    <row r="2105" spans="1:46">
      <c r="A2105">
        <v>45847</v>
      </c>
      <c r="B2105" t="s">
        <v>12490</v>
      </c>
      <c r="C2105" t="s">
        <v>12491</v>
      </c>
      <c r="D2105" t="s">
        <v>12492</v>
      </c>
      <c r="E2105" t="s">
        <v>12493</v>
      </c>
      <c r="F2105" t="s">
        <v>1225</v>
      </c>
      <c r="G2105" t="s">
        <v>737</v>
      </c>
      <c r="H2105" t="s">
        <v>449</v>
      </c>
      <c r="J2105" t="s">
        <v>4032</v>
      </c>
      <c r="K2105" t="s">
        <v>606</v>
      </c>
      <c r="M2105" t="s">
        <v>607</v>
      </c>
      <c r="N2105" t="s">
        <v>4586</v>
      </c>
      <c r="O2105" t="s">
        <v>889</v>
      </c>
      <c r="P2105" t="s">
        <v>739</v>
      </c>
      <c r="Q2105" t="s">
        <v>467</v>
      </c>
      <c r="R2105" t="s">
        <v>793</v>
      </c>
      <c r="S2105" t="s">
        <v>965</v>
      </c>
      <c r="T2105" t="s">
        <v>794</v>
      </c>
      <c r="U2105">
        <v>142700</v>
      </c>
      <c r="V2105" t="s">
        <v>6094</v>
      </c>
      <c r="W2105" t="s">
        <v>909</v>
      </c>
      <c r="X2105" t="s">
        <v>12494</v>
      </c>
      <c r="Y2105" t="s">
        <v>12495</v>
      </c>
      <c r="Z2105" t="s">
        <v>2698</v>
      </c>
      <c r="AA2105" t="s">
        <v>12496</v>
      </c>
      <c r="AE2105">
        <v>-36.854035500000002</v>
      </c>
      <c r="AF2105">
        <v>174.85132608000001</v>
      </c>
      <c r="AG2105" s="175">
        <v>30</v>
      </c>
      <c r="AH2105" s="175">
        <v>8</v>
      </c>
      <c r="AI2105" s="175">
        <v>0</v>
      </c>
      <c r="AJ2105" s="175">
        <v>0</v>
      </c>
      <c r="AK2105" s="175">
        <v>2</v>
      </c>
      <c r="AL2105" s="175">
        <v>3</v>
      </c>
      <c r="AM2105" s="175">
        <v>5</v>
      </c>
      <c r="AN2105" s="175">
        <v>0</v>
      </c>
      <c r="AO2105" s="175">
        <v>10</v>
      </c>
      <c r="AP2105" s="175">
        <v>9</v>
      </c>
      <c r="AQ2105" s="175">
        <v>2</v>
      </c>
      <c r="AR2105" s="175">
        <v>0</v>
      </c>
      <c r="AS2105" s="175">
        <v>1</v>
      </c>
      <c r="AT2105" s="175">
        <v>0</v>
      </c>
    </row>
    <row r="2106" spans="1:46">
      <c r="A2106">
        <v>45851</v>
      </c>
      <c r="B2106" t="s">
        <v>12497</v>
      </c>
      <c r="C2106" t="s">
        <v>12498</v>
      </c>
      <c r="D2106" t="s">
        <v>12499</v>
      </c>
      <c r="E2106" t="s">
        <v>12500</v>
      </c>
      <c r="F2106" t="s">
        <v>983</v>
      </c>
      <c r="G2106" t="s">
        <v>737</v>
      </c>
      <c r="H2106" t="s">
        <v>449</v>
      </c>
      <c r="J2106" t="s">
        <v>605</v>
      </c>
      <c r="K2106" t="s">
        <v>606</v>
      </c>
      <c r="M2106" t="s">
        <v>607</v>
      </c>
      <c r="N2106" t="s">
        <v>657</v>
      </c>
      <c r="O2106" t="s">
        <v>898</v>
      </c>
      <c r="P2106" t="s">
        <v>739</v>
      </c>
      <c r="Q2106" t="s">
        <v>467</v>
      </c>
      <c r="R2106" t="s">
        <v>724</v>
      </c>
      <c r="S2106" t="s">
        <v>984</v>
      </c>
      <c r="T2106" t="s">
        <v>613</v>
      </c>
      <c r="U2106">
        <v>125100</v>
      </c>
      <c r="V2106" t="s">
        <v>4372</v>
      </c>
      <c r="W2106" t="s">
        <v>900</v>
      </c>
      <c r="X2106" t="s">
        <v>6653</v>
      </c>
      <c r="Y2106" t="s">
        <v>4166</v>
      </c>
      <c r="Z2106" t="s">
        <v>4167</v>
      </c>
      <c r="AA2106" t="s">
        <v>4026</v>
      </c>
      <c r="AB2106" t="s">
        <v>4169</v>
      </c>
      <c r="AE2106">
        <v>-36.856730929999998</v>
      </c>
      <c r="AF2106">
        <v>174.62957700000001</v>
      </c>
      <c r="AG2106" s="175">
        <v>125</v>
      </c>
      <c r="AH2106" s="175">
        <v>50</v>
      </c>
      <c r="AI2106" s="175">
        <v>9</v>
      </c>
      <c r="AJ2106" s="175">
        <v>24</v>
      </c>
      <c r="AK2106" s="175">
        <v>25</v>
      </c>
      <c r="AL2106" s="175">
        <v>27</v>
      </c>
      <c r="AM2106" s="175">
        <v>29</v>
      </c>
      <c r="AN2106" s="175">
        <v>1</v>
      </c>
      <c r="AO2106" s="175">
        <v>115</v>
      </c>
      <c r="AP2106" s="175">
        <v>62</v>
      </c>
      <c r="AQ2106" s="175">
        <v>33</v>
      </c>
      <c r="AR2106" s="175">
        <v>19</v>
      </c>
      <c r="AS2106" s="175">
        <v>33</v>
      </c>
      <c r="AT2106" s="175">
        <v>9</v>
      </c>
    </row>
    <row r="2107" spans="1:46">
      <c r="A2107">
        <v>45852</v>
      </c>
      <c r="B2107" t="s">
        <v>12501</v>
      </c>
      <c r="C2107" t="s">
        <v>12502</v>
      </c>
      <c r="D2107" t="s">
        <v>12503</v>
      </c>
      <c r="E2107" t="s">
        <v>12504</v>
      </c>
      <c r="F2107" t="s">
        <v>854</v>
      </c>
      <c r="G2107" t="s">
        <v>737</v>
      </c>
      <c r="H2107" t="s">
        <v>449</v>
      </c>
      <c r="J2107" t="s">
        <v>4032</v>
      </c>
      <c r="K2107" t="s">
        <v>606</v>
      </c>
      <c r="M2107" t="s">
        <v>607</v>
      </c>
      <c r="N2107" t="s">
        <v>4586</v>
      </c>
      <c r="O2107" t="s">
        <v>803</v>
      </c>
      <c r="P2107" t="s">
        <v>739</v>
      </c>
      <c r="Q2107" t="s">
        <v>467</v>
      </c>
      <c r="R2107" t="s">
        <v>793</v>
      </c>
      <c r="S2107" t="s">
        <v>855</v>
      </c>
      <c r="T2107" t="s">
        <v>794</v>
      </c>
      <c r="U2107">
        <v>137202</v>
      </c>
      <c r="V2107" t="s">
        <v>856</v>
      </c>
      <c r="W2107" t="s">
        <v>806</v>
      </c>
      <c r="X2107" t="s">
        <v>12505</v>
      </c>
      <c r="Y2107" t="s">
        <v>12506</v>
      </c>
      <c r="AA2107" t="s">
        <v>12507</v>
      </c>
      <c r="AE2107">
        <v>-36.917199269999998</v>
      </c>
      <c r="AF2107">
        <v>174.70812303</v>
      </c>
      <c r="AG2107" s="175">
        <v>49</v>
      </c>
      <c r="AH2107" s="175">
        <v>15</v>
      </c>
      <c r="AI2107" s="175">
        <v>2</v>
      </c>
      <c r="AJ2107" s="175">
        <v>7</v>
      </c>
      <c r="AK2107" s="175">
        <v>7</v>
      </c>
      <c r="AL2107" s="175">
        <v>13</v>
      </c>
      <c r="AM2107" s="175">
        <v>15</v>
      </c>
      <c r="AN2107" s="175">
        <v>0</v>
      </c>
      <c r="AO2107" s="175">
        <v>44</v>
      </c>
      <c r="AP2107" s="175">
        <v>8</v>
      </c>
      <c r="AQ2107" s="175">
        <v>3</v>
      </c>
      <c r="AR2107" s="175">
        <v>8</v>
      </c>
      <c r="AS2107" s="175">
        <v>36</v>
      </c>
      <c r="AT2107" s="175">
        <v>0</v>
      </c>
    </row>
    <row r="2108" spans="1:46">
      <c r="A2108">
        <v>45853</v>
      </c>
      <c r="B2108" t="s">
        <v>12508</v>
      </c>
      <c r="C2108" t="s">
        <v>12509</v>
      </c>
      <c r="D2108" t="s">
        <v>12510</v>
      </c>
      <c r="E2108" t="s">
        <v>12511</v>
      </c>
      <c r="F2108" t="s">
        <v>5242</v>
      </c>
      <c r="G2108" t="s">
        <v>737</v>
      </c>
      <c r="H2108" t="s">
        <v>450</v>
      </c>
      <c r="J2108" t="s">
        <v>4032</v>
      </c>
      <c r="K2108" t="s">
        <v>606</v>
      </c>
      <c r="M2108" t="s">
        <v>607</v>
      </c>
      <c r="N2108" t="s">
        <v>657</v>
      </c>
      <c r="O2108" t="s">
        <v>889</v>
      </c>
      <c r="P2108" t="s">
        <v>739</v>
      </c>
      <c r="Q2108" t="s">
        <v>467</v>
      </c>
      <c r="R2108" t="s">
        <v>793</v>
      </c>
      <c r="S2108" t="s">
        <v>965</v>
      </c>
      <c r="T2108" t="s">
        <v>794</v>
      </c>
      <c r="U2108">
        <v>141801</v>
      </c>
      <c r="V2108" t="s">
        <v>6570</v>
      </c>
      <c r="W2108" t="s">
        <v>909</v>
      </c>
      <c r="X2108" t="s">
        <v>12512</v>
      </c>
      <c r="Y2108" t="s">
        <v>12513</v>
      </c>
      <c r="Z2108" t="s">
        <v>12514</v>
      </c>
      <c r="AA2108" t="s">
        <v>12515</v>
      </c>
      <c r="AE2108">
        <v>-36.852834010000002</v>
      </c>
      <c r="AF2108">
        <v>174.83816302</v>
      </c>
      <c r="AG2108" s="175">
        <v>80</v>
      </c>
      <c r="AH2108" s="175">
        <v>80</v>
      </c>
      <c r="AI2108" s="175">
        <v>4</v>
      </c>
      <c r="AJ2108" s="175">
        <v>13</v>
      </c>
      <c r="AK2108" s="175">
        <v>11</v>
      </c>
      <c r="AL2108" s="175">
        <v>10</v>
      </c>
      <c r="AM2108" s="175">
        <v>8</v>
      </c>
      <c r="AN2108" s="175">
        <v>0</v>
      </c>
      <c r="AO2108" s="175">
        <v>46</v>
      </c>
      <c r="AP2108" s="175">
        <v>39</v>
      </c>
      <c r="AQ2108" s="175">
        <v>1</v>
      </c>
      <c r="AR2108" s="175">
        <v>1</v>
      </c>
      <c r="AS2108" s="175">
        <v>7</v>
      </c>
      <c r="AT2108" s="175">
        <v>2</v>
      </c>
    </row>
    <row r="2109" spans="1:46">
      <c r="A2109">
        <v>45855</v>
      </c>
      <c r="B2109" t="s">
        <v>12516</v>
      </c>
      <c r="C2109" t="s">
        <v>12517</v>
      </c>
      <c r="E2109" t="s">
        <v>12518</v>
      </c>
      <c r="F2109" t="s">
        <v>745</v>
      </c>
      <c r="G2109" t="s">
        <v>737</v>
      </c>
      <c r="H2109" t="s">
        <v>449</v>
      </c>
      <c r="J2109" t="s">
        <v>4032</v>
      </c>
      <c r="K2109" t="s">
        <v>606</v>
      </c>
      <c r="M2109" t="s">
        <v>607</v>
      </c>
      <c r="N2109" t="s">
        <v>657</v>
      </c>
      <c r="O2109" t="s">
        <v>738</v>
      </c>
      <c r="P2109" t="s">
        <v>739</v>
      </c>
      <c r="Q2109" t="s">
        <v>467</v>
      </c>
      <c r="R2109" t="s">
        <v>724</v>
      </c>
      <c r="S2109" t="s">
        <v>740</v>
      </c>
      <c r="T2109" t="s">
        <v>613</v>
      </c>
      <c r="U2109">
        <v>118300</v>
      </c>
      <c r="V2109" t="s">
        <v>774</v>
      </c>
      <c r="W2109" t="s">
        <v>742</v>
      </c>
      <c r="X2109" t="s">
        <v>12519</v>
      </c>
      <c r="Y2109" t="s">
        <v>4725</v>
      </c>
      <c r="Z2109" t="s">
        <v>1043</v>
      </c>
      <c r="AA2109" t="s">
        <v>4726</v>
      </c>
      <c r="AB2109" t="s">
        <v>4244</v>
      </c>
      <c r="AE2109">
        <v>-36.714248060000003</v>
      </c>
      <c r="AF2109">
        <v>174.7432216</v>
      </c>
      <c r="AG2109" s="175">
        <v>75</v>
      </c>
      <c r="AH2109" s="175">
        <v>25</v>
      </c>
      <c r="AI2109" s="175">
        <v>4</v>
      </c>
      <c r="AJ2109" s="175">
        <v>7</v>
      </c>
      <c r="AK2109" s="175">
        <v>20</v>
      </c>
      <c r="AL2109" s="175">
        <v>15</v>
      </c>
      <c r="AM2109" s="175">
        <v>19</v>
      </c>
      <c r="AN2109" s="175">
        <v>0</v>
      </c>
      <c r="AO2109" s="175">
        <v>65</v>
      </c>
      <c r="AP2109" s="175">
        <v>34</v>
      </c>
      <c r="AQ2109" s="175">
        <v>9</v>
      </c>
      <c r="AR2109" s="175">
        <v>2</v>
      </c>
      <c r="AS2109" s="175">
        <v>31</v>
      </c>
      <c r="AT2109" s="175">
        <v>2</v>
      </c>
    </row>
    <row r="2110" spans="1:46">
      <c r="A2110">
        <v>45856</v>
      </c>
      <c r="B2110" t="s">
        <v>12520</v>
      </c>
      <c r="C2110" t="s">
        <v>12521</v>
      </c>
      <c r="D2110" t="s">
        <v>12522</v>
      </c>
      <c r="E2110" t="s">
        <v>12523</v>
      </c>
      <c r="G2110" t="s">
        <v>7257</v>
      </c>
      <c r="H2110" t="s">
        <v>449</v>
      </c>
      <c r="J2110" t="s">
        <v>4032</v>
      </c>
      <c r="K2110" t="s">
        <v>606</v>
      </c>
      <c r="M2110" t="s">
        <v>607</v>
      </c>
      <c r="N2110" t="s">
        <v>657</v>
      </c>
      <c r="O2110" t="s">
        <v>723</v>
      </c>
      <c r="P2110" t="s">
        <v>658</v>
      </c>
      <c r="Q2110" t="s">
        <v>467</v>
      </c>
      <c r="R2110" t="s">
        <v>724</v>
      </c>
      <c r="S2110" t="s">
        <v>725</v>
      </c>
      <c r="T2110" t="s">
        <v>613</v>
      </c>
      <c r="U2110">
        <v>115501</v>
      </c>
      <c r="V2110" t="s">
        <v>7257</v>
      </c>
      <c r="W2110" t="s">
        <v>726</v>
      </c>
      <c r="X2110" t="s">
        <v>12524</v>
      </c>
      <c r="Y2110" t="s">
        <v>4725</v>
      </c>
      <c r="Z2110" t="s">
        <v>1043</v>
      </c>
      <c r="AA2110" t="s">
        <v>4726</v>
      </c>
      <c r="AB2110" t="s">
        <v>12525</v>
      </c>
      <c r="AE2110">
        <v>-36.717927029999998</v>
      </c>
      <c r="AF2110">
        <v>174.63901847</v>
      </c>
      <c r="AG2110" s="175">
        <v>50</v>
      </c>
      <c r="AH2110" s="175">
        <v>10</v>
      </c>
      <c r="AI2110" s="175">
        <v>2</v>
      </c>
      <c r="AJ2110" s="175">
        <v>2</v>
      </c>
      <c r="AK2110" s="175">
        <v>4</v>
      </c>
      <c r="AL2110" s="175">
        <v>12</v>
      </c>
      <c r="AM2110" s="175">
        <v>8</v>
      </c>
      <c r="AN2110" s="175">
        <v>0</v>
      </c>
      <c r="AO2110" s="175">
        <v>28</v>
      </c>
      <c r="AP2110" s="175">
        <v>23</v>
      </c>
      <c r="AQ2110" s="175">
        <v>3</v>
      </c>
      <c r="AR2110" s="175">
        <v>3</v>
      </c>
      <c r="AS2110" s="175">
        <v>5</v>
      </c>
      <c r="AT2110" s="175">
        <v>0</v>
      </c>
    </row>
    <row r="2111" spans="1:46">
      <c r="A2111">
        <v>45857</v>
      </c>
      <c r="B2111" t="s">
        <v>12526</v>
      </c>
      <c r="C2111" t="s">
        <v>12527</v>
      </c>
      <c r="D2111" t="s">
        <v>12528</v>
      </c>
      <c r="E2111" t="s">
        <v>12529</v>
      </c>
      <c r="F2111" t="s">
        <v>1102</v>
      </c>
      <c r="G2111" t="s">
        <v>737</v>
      </c>
      <c r="H2111" t="s">
        <v>449</v>
      </c>
      <c r="J2111" t="s">
        <v>4032</v>
      </c>
      <c r="K2111" t="s">
        <v>606</v>
      </c>
      <c r="M2111" t="s">
        <v>607</v>
      </c>
      <c r="N2111" t="s">
        <v>657</v>
      </c>
      <c r="O2111" t="s">
        <v>942</v>
      </c>
      <c r="P2111" t="s">
        <v>739</v>
      </c>
      <c r="Q2111" t="s">
        <v>467</v>
      </c>
      <c r="R2111" t="s">
        <v>793</v>
      </c>
      <c r="S2111" t="s">
        <v>998</v>
      </c>
      <c r="T2111" t="s">
        <v>794</v>
      </c>
      <c r="U2111">
        <v>139300</v>
      </c>
      <c r="V2111" t="s">
        <v>6826</v>
      </c>
      <c r="W2111" t="s">
        <v>945</v>
      </c>
      <c r="X2111" t="s">
        <v>12530</v>
      </c>
      <c r="Y2111" t="s">
        <v>12531</v>
      </c>
      <c r="Z2111" t="s">
        <v>906</v>
      </c>
      <c r="AA2111" t="s">
        <v>4138</v>
      </c>
      <c r="AE2111">
        <v>-36.887836</v>
      </c>
      <c r="AF2111">
        <v>174.75005135000001</v>
      </c>
      <c r="AG2111" s="175">
        <v>33</v>
      </c>
      <c r="AH2111" s="175">
        <v>8</v>
      </c>
      <c r="AI2111" s="175">
        <v>0</v>
      </c>
      <c r="AJ2111" s="175">
        <v>5</v>
      </c>
      <c r="AK2111" s="175">
        <v>7</v>
      </c>
      <c r="AL2111" s="175">
        <v>10</v>
      </c>
      <c r="AM2111" s="175">
        <v>5</v>
      </c>
      <c r="AN2111" s="175">
        <v>0</v>
      </c>
      <c r="AO2111" s="175">
        <v>27</v>
      </c>
      <c r="AP2111" s="175">
        <v>21</v>
      </c>
      <c r="AQ2111" s="175">
        <v>2</v>
      </c>
      <c r="AR2111" s="175">
        <v>0</v>
      </c>
      <c r="AS2111" s="175">
        <v>12</v>
      </c>
      <c r="AT2111" s="175">
        <v>1</v>
      </c>
    </row>
    <row r="2112" spans="1:46">
      <c r="A2112">
        <v>45861</v>
      </c>
      <c r="B2112" t="s">
        <v>12532</v>
      </c>
      <c r="C2112" t="s">
        <v>12533</v>
      </c>
      <c r="E2112" t="s">
        <v>12534</v>
      </c>
      <c r="G2112" t="s">
        <v>12535</v>
      </c>
      <c r="H2112" t="s">
        <v>449</v>
      </c>
      <c r="J2112" t="s">
        <v>4032</v>
      </c>
      <c r="K2112" t="s">
        <v>606</v>
      </c>
      <c r="M2112" t="s">
        <v>2366</v>
      </c>
      <c r="N2112" t="s">
        <v>643</v>
      </c>
      <c r="O2112" t="s">
        <v>2367</v>
      </c>
      <c r="P2112" t="s">
        <v>626</v>
      </c>
      <c r="Q2112" t="s">
        <v>553</v>
      </c>
      <c r="R2112" t="s">
        <v>2368</v>
      </c>
      <c r="S2112" t="s">
        <v>2348</v>
      </c>
      <c r="T2112" t="s">
        <v>2165</v>
      </c>
      <c r="U2112">
        <v>232800</v>
      </c>
      <c r="V2112" t="s">
        <v>12535</v>
      </c>
      <c r="W2112" t="s">
        <v>2370</v>
      </c>
      <c r="X2112" t="s">
        <v>8997</v>
      </c>
      <c r="Y2112" t="s">
        <v>8998</v>
      </c>
      <c r="Z2112" t="s">
        <v>2346</v>
      </c>
      <c r="AA2112" t="s">
        <v>8999</v>
      </c>
      <c r="AB2112" t="s">
        <v>9000</v>
      </c>
      <c r="AC2112">
        <v>99047</v>
      </c>
      <c r="AD2112" t="s">
        <v>2375</v>
      </c>
      <c r="AE2112">
        <v>-40.0688016</v>
      </c>
      <c r="AF2112">
        <v>176.21506686999999</v>
      </c>
      <c r="AG2112" s="175">
        <v>35</v>
      </c>
      <c r="AH2112" s="175">
        <v>12</v>
      </c>
      <c r="AI2112" s="175">
        <v>2</v>
      </c>
      <c r="AJ2112" s="175">
        <v>5</v>
      </c>
      <c r="AK2112" s="175">
        <v>10</v>
      </c>
      <c r="AL2112" s="175">
        <v>12</v>
      </c>
      <c r="AM2112" s="175">
        <v>13</v>
      </c>
      <c r="AN2112" s="175">
        <v>2</v>
      </c>
      <c r="AO2112" s="175">
        <v>44</v>
      </c>
      <c r="AP2112" s="175">
        <v>37</v>
      </c>
      <c r="AQ2112" s="175">
        <v>16</v>
      </c>
      <c r="AR2112" s="175">
        <v>0</v>
      </c>
      <c r="AS2112" s="175">
        <v>1</v>
      </c>
      <c r="AT2112" s="175">
        <v>0</v>
      </c>
    </row>
    <row r="2113" spans="1:46">
      <c r="A2113">
        <v>45863</v>
      </c>
      <c r="B2113" t="s">
        <v>12536</v>
      </c>
      <c r="C2113" t="s">
        <v>12537</v>
      </c>
      <c r="D2113" t="s">
        <v>12538</v>
      </c>
      <c r="E2113" t="s">
        <v>12539</v>
      </c>
      <c r="F2113" t="s">
        <v>9070</v>
      </c>
      <c r="G2113" t="s">
        <v>2162</v>
      </c>
      <c r="H2113" t="s">
        <v>471</v>
      </c>
      <c r="I2113" t="s">
        <v>5017</v>
      </c>
      <c r="J2113" t="s">
        <v>605</v>
      </c>
      <c r="K2113" t="s">
        <v>606</v>
      </c>
      <c r="M2113" t="s">
        <v>1382</v>
      </c>
      <c r="N2113" t="s">
        <v>625</v>
      </c>
      <c r="O2113" t="s">
        <v>2163</v>
      </c>
      <c r="P2113" t="s">
        <v>670</v>
      </c>
      <c r="Q2113" t="s">
        <v>512</v>
      </c>
      <c r="R2113" t="s">
        <v>2164</v>
      </c>
      <c r="S2113" t="s">
        <v>1556</v>
      </c>
      <c r="T2113" t="s">
        <v>2165</v>
      </c>
      <c r="U2113">
        <v>206000</v>
      </c>
      <c r="V2113" t="s">
        <v>2166</v>
      </c>
      <c r="W2113" t="s">
        <v>2167</v>
      </c>
      <c r="X2113" t="s">
        <v>12540</v>
      </c>
      <c r="Y2113" t="s">
        <v>8662</v>
      </c>
      <c r="Z2113" t="s">
        <v>8663</v>
      </c>
      <c r="AA2113" t="s">
        <v>8664</v>
      </c>
      <c r="AB2113" t="s">
        <v>12541</v>
      </c>
      <c r="AE2113">
        <v>-38.657862100000003</v>
      </c>
      <c r="AF2113">
        <v>177.99843304000001</v>
      </c>
      <c r="AG2113" s="175">
        <v>50</v>
      </c>
      <c r="AH2113" s="175">
        <v>14</v>
      </c>
      <c r="AI2113" s="175">
        <v>2</v>
      </c>
      <c r="AJ2113" s="175">
        <v>5</v>
      </c>
      <c r="AK2113" s="175">
        <v>10</v>
      </c>
      <c r="AL2113" s="175">
        <v>10</v>
      </c>
      <c r="AM2113" s="175">
        <v>6</v>
      </c>
      <c r="AN2113" s="175">
        <v>0</v>
      </c>
      <c r="AO2113" s="175">
        <v>33</v>
      </c>
      <c r="AP2113" s="175">
        <v>4</v>
      </c>
      <c r="AQ2113" s="175">
        <v>33</v>
      </c>
      <c r="AR2113" s="175">
        <v>3</v>
      </c>
      <c r="AS2113" s="175">
        <v>0</v>
      </c>
      <c r="AT2113" s="175">
        <v>0</v>
      </c>
    </row>
    <row r="2114" spans="1:46">
      <c r="A2114">
        <v>45864</v>
      </c>
      <c r="B2114" t="s">
        <v>12542</v>
      </c>
      <c r="C2114" t="s">
        <v>12543</v>
      </c>
      <c r="D2114" t="s">
        <v>12544</v>
      </c>
      <c r="E2114" t="s">
        <v>12545</v>
      </c>
      <c r="F2114" t="s">
        <v>3733</v>
      </c>
      <c r="G2114" t="s">
        <v>3015</v>
      </c>
      <c r="H2114" t="s">
        <v>449</v>
      </c>
      <c r="J2114" t="s">
        <v>4032</v>
      </c>
      <c r="K2114" t="s">
        <v>606</v>
      </c>
      <c r="M2114" t="s">
        <v>2366</v>
      </c>
      <c r="N2114" t="s">
        <v>4586</v>
      </c>
      <c r="O2114" t="s">
        <v>3281</v>
      </c>
      <c r="P2114" t="s">
        <v>610</v>
      </c>
      <c r="Q2114" t="s">
        <v>521</v>
      </c>
      <c r="R2114" t="s">
        <v>3017</v>
      </c>
      <c r="S2114" t="s">
        <v>3252</v>
      </c>
      <c r="T2114" t="s">
        <v>2526</v>
      </c>
      <c r="U2114">
        <v>336102</v>
      </c>
      <c r="V2114" t="s">
        <v>12546</v>
      </c>
      <c r="W2114" t="s">
        <v>3735</v>
      </c>
      <c r="X2114" t="s">
        <v>12547</v>
      </c>
      <c r="Y2114" t="s">
        <v>12548</v>
      </c>
      <c r="Z2114" t="s">
        <v>3733</v>
      </c>
      <c r="AA2114" t="s">
        <v>12549</v>
      </c>
      <c r="AB2114" t="s">
        <v>12550</v>
      </c>
      <c r="AC2114">
        <v>99113</v>
      </c>
      <c r="AD2114" t="s">
        <v>3736</v>
      </c>
      <c r="AE2114">
        <v>-43.642479379999997</v>
      </c>
      <c r="AF2114">
        <v>172.49465638000001</v>
      </c>
      <c r="AG2114" s="175">
        <v>80</v>
      </c>
      <c r="AH2114" s="175">
        <v>20</v>
      </c>
      <c r="AI2114" s="175">
        <v>4</v>
      </c>
      <c r="AJ2114" s="175">
        <v>13</v>
      </c>
      <c r="AK2114" s="175">
        <v>19</v>
      </c>
      <c r="AL2114" s="175">
        <v>24</v>
      </c>
      <c r="AM2114" s="175">
        <v>21</v>
      </c>
      <c r="AN2114" s="175">
        <v>2</v>
      </c>
      <c r="AO2114" s="175">
        <v>83</v>
      </c>
      <c r="AP2114" s="175">
        <v>76</v>
      </c>
      <c r="AQ2114" s="175">
        <v>9</v>
      </c>
      <c r="AR2114" s="175">
        <v>1</v>
      </c>
      <c r="AS2114" s="175">
        <v>2</v>
      </c>
      <c r="AT2114" s="175">
        <v>5</v>
      </c>
    </row>
    <row r="2115" spans="1:46">
      <c r="A2115">
        <v>45865</v>
      </c>
      <c r="B2115" t="s">
        <v>12551</v>
      </c>
      <c r="C2115" t="s">
        <v>12552</v>
      </c>
      <c r="D2115" t="s">
        <v>12553</v>
      </c>
      <c r="E2115" t="s">
        <v>12554</v>
      </c>
      <c r="F2115" t="s">
        <v>7614</v>
      </c>
      <c r="G2115" t="s">
        <v>737</v>
      </c>
      <c r="H2115" t="s">
        <v>449</v>
      </c>
      <c r="I2115" t="s">
        <v>5017</v>
      </c>
      <c r="J2115" t="s">
        <v>605</v>
      </c>
      <c r="K2115" t="s">
        <v>606</v>
      </c>
      <c r="M2115" t="s">
        <v>607</v>
      </c>
      <c r="N2115" t="s">
        <v>812</v>
      </c>
      <c r="O2115" t="s">
        <v>1301</v>
      </c>
      <c r="P2115" t="s">
        <v>739</v>
      </c>
      <c r="Q2115" t="s">
        <v>467</v>
      </c>
      <c r="R2115" t="s">
        <v>814</v>
      </c>
      <c r="S2115" t="s">
        <v>1121</v>
      </c>
      <c r="T2115" t="s">
        <v>794</v>
      </c>
      <c r="U2115">
        <v>159201</v>
      </c>
      <c r="V2115" t="s">
        <v>12555</v>
      </c>
      <c r="W2115" t="s">
        <v>1304</v>
      </c>
      <c r="X2115" t="s">
        <v>12556</v>
      </c>
      <c r="Y2115" t="s">
        <v>5020</v>
      </c>
      <c r="Z2115" t="s">
        <v>5021</v>
      </c>
      <c r="AA2115" t="s">
        <v>5022</v>
      </c>
      <c r="AB2115" t="s">
        <v>12557</v>
      </c>
      <c r="AE2115">
        <v>-37.017870889999998</v>
      </c>
      <c r="AF2115">
        <v>174.87078410999999</v>
      </c>
      <c r="AG2115" s="175">
        <v>45</v>
      </c>
      <c r="AH2115" s="175">
        <v>0</v>
      </c>
      <c r="AI2115" s="175">
        <v>0</v>
      </c>
      <c r="AJ2115" s="175">
        <v>0</v>
      </c>
      <c r="AK2115" s="175">
        <v>8</v>
      </c>
      <c r="AL2115" s="175">
        <v>18</v>
      </c>
      <c r="AM2115" s="175">
        <v>17</v>
      </c>
      <c r="AN2115" s="175">
        <v>1</v>
      </c>
      <c r="AO2115" s="175">
        <v>44</v>
      </c>
      <c r="AP2115" s="175">
        <v>14</v>
      </c>
      <c r="AQ2115" s="175">
        <v>28</v>
      </c>
      <c r="AR2115" s="175">
        <v>27</v>
      </c>
      <c r="AS2115" s="175">
        <v>6</v>
      </c>
      <c r="AT2115" s="175">
        <v>0</v>
      </c>
    </row>
    <row r="2116" spans="1:46">
      <c r="A2116">
        <v>45866</v>
      </c>
      <c r="B2116" t="s">
        <v>12558</v>
      </c>
      <c r="C2116" t="s">
        <v>12559</v>
      </c>
      <c r="D2116" t="s">
        <v>12560</v>
      </c>
      <c r="E2116" t="s">
        <v>12561</v>
      </c>
      <c r="F2116" t="s">
        <v>1231</v>
      </c>
      <c r="G2116" t="s">
        <v>737</v>
      </c>
      <c r="H2116" t="s">
        <v>449</v>
      </c>
      <c r="I2116" t="s">
        <v>4134</v>
      </c>
      <c r="J2116" t="s">
        <v>4032</v>
      </c>
      <c r="K2116" t="s">
        <v>606</v>
      </c>
      <c r="M2116" t="s">
        <v>607</v>
      </c>
      <c r="N2116" t="s">
        <v>4586</v>
      </c>
      <c r="O2116" t="s">
        <v>1042</v>
      </c>
      <c r="P2116" t="s">
        <v>739</v>
      </c>
      <c r="Q2116" t="s">
        <v>467</v>
      </c>
      <c r="R2116" t="s">
        <v>793</v>
      </c>
      <c r="S2116" t="s">
        <v>943</v>
      </c>
      <c r="T2116" t="s">
        <v>794</v>
      </c>
      <c r="U2116">
        <v>132100</v>
      </c>
      <c r="V2116" t="s">
        <v>5880</v>
      </c>
      <c r="W2116" t="s">
        <v>1044</v>
      </c>
      <c r="X2116" t="s">
        <v>12562</v>
      </c>
      <c r="Y2116" t="s">
        <v>4176</v>
      </c>
      <c r="AA2116" t="s">
        <v>4052</v>
      </c>
      <c r="AB2116" t="s">
        <v>12563</v>
      </c>
      <c r="AE2116">
        <v>-36.8624048</v>
      </c>
      <c r="AF2116">
        <v>174.73445140000001</v>
      </c>
      <c r="AG2116" s="175">
        <v>50</v>
      </c>
      <c r="AH2116" s="175">
        <v>0</v>
      </c>
      <c r="AI2116" s="175">
        <v>0</v>
      </c>
      <c r="AJ2116" s="175">
        <v>0</v>
      </c>
      <c r="AK2116" s="175">
        <v>11</v>
      </c>
      <c r="AL2116" s="175">
        <v>17</v>
      </c>
      <c r="AM2116" s="175">
        <v>14</v>
      </c>
      <c r="AN2116" s="175">
        <v>0</v>
      </c>
      <c r="AO2116" s="175">
        <v>42</v>
      </c>
      <c r="AP2116" s="175">
        <v>29</v>
      </c>
      <c r="AQ2116" s="175">
        <v>3</v>
      </c>
      <c r="AR2116" s="175">
        <v>7</v>
      </c>
      <c r="AS2116" s="175">
        <v>7</v>
      </c>
      <c r="AT2116" s="175">
        <v>8</v>
      </c>
    </row>
    <row r="2117" spans="1:46">
      <c r="A2117">
        <v>45868</v>
      </c>
      <c r="B2117" t="s">
        <v>12564</v>
      </c>
      <c r="C2117" t="s">
        <v>12565</v>
      </c>
      <c r="E2117" t="s">
        <v>12566</v>
      </c>
      <c r="F2117" t="s">
        <v>2062</v>
      </c>
      <c r="G2117" t="s">
        <v>2055</v>
      </c>
      <c r="H2117" t="s">
        <v>449</v>
      </c>
      <c r="J2117" t="s">
        <v>605</v>
      </c>
      <c r="K2117" t="s">
        <v>606</v>
      </c>
      <c r="M2117" t="s">
        <v>1382</v>
      </c>
      <c r="N2117" t="s">
        <v>643</v>
      </c>
      <c r="O2117" t="s">
        <v>2037</v>
      </c>
      <c r="P2117" t="s">
        <v>670</v>
      </c>
      <c r="Q2117" t="s">
        <v>553</v>
      </c>
      <c r="R2117" t="s">
        <v>1841</v>
      </c>
      <c r="S2117" t="s">
        <v>2055</v>
      </c>
      <c r="T2117" t="s">
        <v>1568</v>
      </c>
      <c r="U2117">
        <v>229201</v>
      </c>
      <c r="V2117" t="s">
        <v>12567</v>
      </c>
      <c r="W2117" t="s">
        <v>2038</v>
      </c>
      <c r="X2117" t="s">
        <v>12568</v>
      </c>
      <c r="Y2117" t="s">
        <v>12569</v>
      </c>
      <c r="Z2117" t="s">
        <v>12570</v>
      </c>
      <c r="AA2117" t="s">
        <v>2041</v>
      </c>
      <c r="AB2117" t="s">
        <v>12571</v>
      </c>
      <c r="AE2117">
        <v>-40.351125279999998</v>
      </c>
      <c r="AF2117">
        <v>175.58129661999999</v>
      </c>
      <c r="AG2117" s="175">
        <v>50</v>
      </c>
      <c r="AH2117" s="175">
        <v>16</v>
      </c>
      <c r="AI2117" s="175">
        <v>1</v>
      </c>
      <c r="AJ2117" s="175">
        <v>5</v>
      </c>
      <c r="AK2117" s="175">
        <v>11</v>
      </c>
      <c r="AL2117" s="175">
        <v>12</v>
      </c>
      <c r="AM2117" s="175">
        <v>18</v>
      </c>
      <c r="AN2117" s="175">
        <v>0</v>
      </c>
      <c r="AO2117" s="175">
        <v>47</v>
      </c>
      <c r="AP2117" s="175">
        <v>33</v>
      </c>
      <c r="AQ2117" s="175">
        <v>16</v>
      </c>
      <c r="AR2117" s="175">
        <v>9</v>
      </c>
      <c r="AS2117" s="175">
        <v>9</v>
      </c>
      <c r="AT2117" s="175">
        <v>3</v>
      </c>
    </row>
    <row r="2118" spans="1:46">
      <c r="A2118">
        <v>45870</v>
      </c>
      <c r="B2118" t="s">
        <v>12572</v>
      </c>
      <c r="C2118" t="s">
        <v>12573</v>
      </c>
      <c r="D2118" t="s">
        <v>12574</v>
      </c>
      <c r="E2118" t="s">
        <v>12575</v>
      </c>
      <c r="G2118" t="s">
        <v>1628</v>
      </c>
      <c r="H2118" t="s">
        <v>449</v>
      </c>
      <c r="J2118" t="s">
        <v>605</v>
      </c>
      <c r="K2118" t="s">
        <v>606</v>
      </c>
      <c r="M2118" t="s">
        <v>1382</v>
      </c>
      <c r="N2118" t="s">
        <v>4586</v>
      </c>
      <c r="O2118" t="s">
        <v>1629</v>
      </c>
      <c r="P2118" t="s">
        <v>1347</v>
      </c>
      <c r="Q2118" t="s">
        <v>510</v>
      </c>
      <c r="R2118" t="s">
        <v>1555</v>
      </c>
      <c r="S2118" t="s">
        <v>1404</v>
      </c>
      <c r="T2118" t="s">
        <v>1557</v>
      </c>
      <c r="U2118">
        <v>188600</v>
      </c>
      <c r="V2118" t="s">
        <v>9899</v>
      </c>
      <c r="W2118" t="s">
        <v>1631</v>
      </c>
      <c r="X2118" t="s">
        <v>10550</v>
      </c>
      <c r="Y2118" t="s">
        <v>4014</v>
      </c>
      <c r="Z2118" t="s">
        <v>4015</v>
      </c>
      <c r="AA2118" t="s">
        <v>4016</v>
      </c>
      <c r="AB2118" t="s">
        <v>10551</v>
      </c>
      <c r="AC2118">
        <v>99020</v>
      </c>
      <c r="AD2118" t="s">
        <v>1633</v>
      </c>
      <c r="AE2118">
        <v>-38.689034599999999</v>
      </c>
      <c r="AF2118">
        <v>176.07502550000001</v>
      </c>
      <c r="AG2118" s="175">
        <v>50</v>
      </c>
      <c r="AH2118" s="175">
        <v>0</v>
      </c>
      <c r="AI2118" s="175">
        <v>0</v>
      </c>
      <c r="AJ2118" s="175">
        <v>0</v>
      </c>
      <c r="AK2118" s="175">
        <v>7</v>
      </c>
      <c r="AL2118" s="175">
        <v>20</v>
      </c>
      <c r="AM2118" s="175">
        <v>19</v>
      </c>
      <c r="AN2118" s="175">
        <v>2</v>
      </c>
      <c r="AO2118" s="175">
        <v>48</v>
      </c>
      <c r="AP2118" s="175">
        <v>14</v>
      </c>
      <c r="AQ2118" s="175">
        <v>13</v>
      </c>
      <c r="AR2118" s="175">
        <v>2</v>
      </c>
      <c r="AS2118" s="175">
        <v>24</v>
      </c>
      <c r="AT2118" s="175">
        <v>2</v>
      </c>
    </row>
    <row r="2119" spans="1:46">
      <c r="A2119">
        <v>45871</v>
      </c>
      <c r="B2119" t="s">
        <v>12576</v>
      </c>
      <c r="C2119" t="s">
        <v>12577</v>
      </c>
      <c r="D2119" t="s">
        <v>12578</v>
      </c>
      <c r="E2119" t="s">
        <v>12579</v>
      </c>
      <c r="G2119" t="s">
        <v>4383</v>
      </c>
      <c r="H2119" t="s">
        <v>449</v>
      </c>
      <c r="J2119" t="s">
        <v>4032</v>
      </c>
      <c r="K2119" t="s">
        <v>606</v>
      </c>
      <c r="M2119" t="s">
        <v>607</v>
      </c>
      <c r="N2119" t="s">
        <v>4586</v>
      </c>
      <c r="O2119" t="s">
        <v>723</v>
      </c>
      <c r="P2119" t="s">
        <v>658</v>
      </c>
      <c r="Q2119" t="s">
        <v>467</v>
      </c>
      <c r="R2119" t="s">
        <v>724</v>
      </c>
      <c r="S2119" t="s">
        <v>725</v>
      </c>
      <c r="T2119" t="s">
        <v>613</v>
      </c>
      <c r="U2119">
        <v>113201</v>
      </c>
      <c r="V2119" t="s">
        <v>4384</v>
      </c>
      <c r="W2119" t="s">
        <v>726</v>
      </c>
      <c r="X2119" t="s">
        <v>12580</v>
      </c>
      <c r="Y2119" t="s">
        <v>12581</v>
      </c>
      <c r="AA2119" t="s">
        <v>6278</v>
      </c>
      <c r="AB2119" t="s">
        <v>12577</v>
      </c>
      <c r="AC2119">
        <v>99097</v>
      </c>
      <c r="AD2119" t="s">
        <v>6279</v>
      </c>
      <c r="AE2119">
        <v>-36.78806204</v>
      </c>
      <c r="AF2119">
        <v>174.46720440999999</v>
      </c>
      <c r="AG2119" s="175">
        <v>34</v>
      </c>
      <c r="AH2119" s="175">
        <v>0</v>
      </c>
      <c r="AI2119" s="175">
        <v>0</v>
      </c>
      <c r="AJ2119" s="175">
        <v>0</v>
      </c>
      <c r="AK2119" s="175">
        <v>12</v>
      </c>
      <c r="AL2119" s="175">
        <v>15</v>
      </c>
      <c r="AM2119" s="175">
        <v>20</v>
      </c>
      <c r="AN2119" s="175">
        <v>1</v>
      </c>
      <c r="AO2119" s="175">
        <v>48</v>
      </c>
      <c r="AP2119" s="175">
        <v>42</v>
      </c>
      <c r="AQ2119" s="175">
        <v>10</v>
      </c>
      <c r="AR2119" s="175">
        <v>3</v>
      </c>
      <c r="AS2119" s="175">
        <v>5</v>
      </c>
      <c r="AT2119" s="175">
        <v>6</v>
      </c>
    </row>
    <row r="2120" spans="1:46">
      <c r="A2120">
        <v>45872</v>
      </c>
      <c r="B2120" t="s">
        <v>12582</v>
      </c>
      <c r="C2120" t="s">
        <v>12583</v>
      </c>
      <c r="E2120" t="s">
        <v>12584</v>
      </c>
      <c r="G2120" t="s">
        <v>1346</v>
      </c>
      <c r="H2120" t="s">
        <v>449</v>
      </c>
      <c r="J2120" t="s">
        <v>4032</v>
      </c>
      <c r="K2120" t="s">
        <v>606</v>
      </c>
      <c r="M2120" t="s">
        <v>607</v>
      </c>
      <c r="N2120" t="s">
        <v>657</v>
      </c>
      <c r="O2120" t="s">
        <v>1318</v>
      </c>
      <c r="P2120" t="s">
        <v>1347</v>
      </c>
      <c r="Q2120" t="s">
        <v>467</v>
      </c>
      <c r="R2120" t="s">
        <v>814</v>
      </c>
      <c r="S2120" t="s">
        <v>1331</v>
      </c>
      <c r="T2120" t="s">
        <v>1320</v>
      </c>
      <c r="U2120">
        <v>166000</v>
      </c>
      <c r="V2120" t="s">
        <v>1365</v>
      </c>
      <c r="W2120" t="s">
        <v>1322</v>
      </c>
      <c r="X2120" t="s">
        <v>12585</v>
      </c>
      <c r="Y2120" t="s">
        <v>12586</v>
      </c>
      <c r="Z2120" t="s">
        <v>1330</v>
      </c>
      <c r="AA2120" t="s">
        <v>12587</v>
      </c>
      <c r="AC2120">
        <v>99075</v>
      </c>
      <c r="AD2120" t="s">
        <v>1349</v>
      </c>
      <c r="AE2120">
        <v>-37.2130467</v>
      </c>
      <c r="AF2120">
        <v>174.9081262</v>
      </c>
      <c r="AG2120" s="175">
        <v>150</v>
      </c>
      <c r="AH2120" s="175">
        <v>25</v>
      </c>
      <c r="AI2120" s="175">
        <v>2</v>
      </c>
      <c r="AJ2120" s="175">
        <v>12</v>
      </c>
      <c r="AK2120" s="175">
        <v>24</v>
      </c>
      <c r="AL2120" s="175">
        <v>20</v>
      </c>
      <c r="AM2120" s="175">
        <v>23</v>
      </c>
      <c r="AN2120" s="175">
        <v>1</v>
      </c>
      <c r="AO2120" s="175">
        <v>82</v>
      </c>
      <c r="AP2120" s="175">
        <v>70</v>
      </c>
      <c r="AQ2120" s="175">
        <v>19</v>
      </c>
      <c r="AR2120" s="175">
        <v>8</v>
      </c>
      <c r="AS2120" s="175">
        <v>14</v>
      </c>
      <c r="AT2120" s="175">
        <v>1</v>
      </c>
    </row>
    <row r="2121" spans="1:46">
      <c r="A2121">
        <v>45873</v>
      </c>
      <c r="B2121" t="s">
        <v>12588</v>
      </c>
      <c r="C2121" t="s">
        <v>12589</v>
      </c>
      <c r="D2121" t="s">
        <v>12590</v>
      </c>
      <c r="E2121" t="s">
        <v>12591</v>
      </c>
      <c r="F2121" t="s">
        <v>766</v>
      </c>
      <c r="G2121" t="s">
        <v>737</v>
      </c>
      <c r="H2121" t="s">
        <v>449</v>
      </c>
      <c r="I2121" t="s">
        <v>5838</v>
      </c>
      <c r="J2121" t="s">
        <v>4032</v>
      </c>
      <c r="K2121" t="s">
        <v>606</v>
      </c>
      <c r="M2121" t="s">
        <v>607</v>
      </c>
      <c r="N2121" t="s">
        <v>657</v>
      </c>
      <c r="O2121" t="s">
        <v>1253</v>
      </c>
      <c r="P2121" t="s">
        <v>739</v>
      </c>
      <c r="Q2121" t="s">
        <v>467</v>
      </c>
      <c r="R2121" t="s">
        <v>724</v>
      </c>
      <c r="S2121" t="s">
        <v>740</v>
      </c>
      <c r="T2121" t="s">
        <v>613</v>
      </c>
      <c r="U2121">
        <v>119700</v>
      </c>
      <c r="V2121" t="s">
        <v>4926</v>
      </c>
      <c r="W2121" t="s">
        <v>742</v>
      </c>
      <c r="X2121" t="s">
        <v>12592</v>
      </c>
      <c r="Y2121" t="s">
        <v>12593</v>
      </c>
      <c r="Z2121" t="s">
        <v>766</v>
      </c>
      <c r="AA2121" t="s">
        <v>4153</v>
      </c>
      <c r="AC2121">
        <v>99000</v>
      </c>
      <c r="AD2121" t="s">
        <v>769</v>
      </c>
      <c r="AE2121">
        <v>-36.73896517</v>
      </c>
      <c r="AF2121">
        <v>174.74159990000001</v>
      </c>
      <c r="AG2121" s="175">
        <v>138</v>
      </c>
      <c r="AH2121" s="175">
        <v>25</v>
      </c>
      <c r="AI2121" s="175">
        <v>3</v>
      </c>
      <c r="AJ2121" s="175">
        <v>15</v>
      </c>
      <c r="AK2121" s="175">
        <v>17</v>
      </c>
      <c r="AL2121" s="175">
        <v>24</v>
      </c>
      <c r="AM2121" s="175">
        <v>24</v>
      </c>
      <c r="AN2121" s="175">
        <v>0</v>
      </c>
      <c r="AO2121" s="175">
        <v>83</v>
      </c>
      <c r="AP2121" s="175">
        <v>36</v>
      </c>
      <c r="AQ2121" s="175">
        <v>3</v>
      </c>
      <c r="AR2121" s="175">
        <v>0</v>
      </c>
      <c r="AS2121" s="175">
        <v>47</v>
      </c>
      <c r="AT2121" s="175">
        <v>4</v>
      </c>
    </row>
    <row r="2122" spans="1:46">
      <c r="A2122">
        <v>45875</v>
      </c>
      <c r="B2122" t="s">
        <v>12594</v>
      </c>
      <c r="C2122" t="s">
        <v>12595</v>
      </c>
      <c r="D2122" t="s">
        <v>12596</v>
      </c>
      <c r="E2122" t="s">
        <v>12597</v>
      </c>
      <c r="F2122" t="s">
        <v>4495</v>
      </c>
      <c r="G2122" t="s">
        <v>737</v>
      </c>
      <c r="H2122" t="s">
        <v>449</v>
      </c>
      <c r="I2122" t="s">
        <v>4134</v>
      </c>
      <c r="J2122" t="s">
        <v>4032</v>
      </c>
      <c r="K2122" t="s">
        <v>606</v>
      </c>
      <c r="M2122" t="s">
        <v>607</v>
      </c>
      <c r="N2122" t="s">
        <v>4586</v>
      </c>
      <c r="O2122" t="s">
        <v>914</v>
      </c>
      <c r="P2122" t="s">
        <v>739</v>
      </c>
      <c r="Q2122" t="s">
        <v>467</v>
      </c>
      <c r="R2122" t="s">
        <v>793</v>
      </c>
      <c r="S2122" t="s">
        <v>965</v>
      </c>
      <c r="T2122" t="s">
        <v>794</v>
      </c>
      <c r="U2122">
        <v>145800</v>
      </c>
      <c r="V2122" t="s">
        <v>966</v>
      </c>
      <c r="W2122" t="s">
        <v>892</v>
      </c>
      <c r="X2122" t="s">
        <v>11187</v>
      </c>
      <c r="Y2122" t="s">
        <v>12597</v>
      </c>
      <c r="Z2122" t="s">
        <v>4495</v>
      </c>
      <c r="AA2122" t="s">
        <v>4423</v>
      </c>
      <c r="AB2122" t="s">
        <v>11189</v>
      </c>
      <c r="AE2122">
        <v>-36.869602110000002</v>
      </c>
      <c r="AF2122">
        <v>174.87452139999999</v>
      </c>
      <c r="AG2122" s="175">
        <v>37</v>
      </c>
      <c r="AH2122" s="175">
        <v>0</v>
      </c>
      <c r="AI2122" s="175">
        <v>0</v>
      </c>
      <c r="AJ2122" s="175">
        <v>0</v>
      </c>
      <c r="AK2122" s="175">
        <v>1</v>
      </c>
      <c r="AL2122" s="175">
        <v>12</v>
      </c>
      <c r="AM2122" s="175">
        <v>6</v>
      </c>
      <c r="AN2122" s="175">
        <v>1</v>
      </c>
      <c r="AO2122" s="175">
        <v>20</v>
      </c>
      <c r="AP2122" s="175">
        <v>8</v>
      </c>
      <c r="AQ2122" s="175">
        <v>3</v>
      </c>
      <c r="AR2122" s="175">
        <v>3</v>
      </c>
      <c r="AS2122" s="175">
        <v>13</v>
      </c>
      <c r="AT2122" s="175">
        <v>0</v>
      </c>
    </row>
    <row r="2123" spans="1:46">
      <c r="A2123">
        <v>45877</v>
      </c>
      <c r="B2123" t="s">
        <v>12598</v>
      </c>
      <c r="C2123" t="s">
        <v>12599</v>
      </c>
      <c r="D2123" t="s">
        <v>12600</v>
      </c>
      <c r="E2123" t="s">
        <v>12601</v>
      </c>
      <c r="F2123" t="s">
        <v>5170</v>
      </c>
      <c r="G2123" t="s">
        <v>4272</v>
      </c>
      <c r="H2123" t="s">
        <v>449</v>
      </c>
      <c r="J2123" t="s">
        <v>605</v>
      </c>
      <c r="K2123" t="s">
        <v>606</v>
      </c>
      <c r="M2123" t="s">
        <v>607</v>
      </c>
      <c r="N2123" t="s">
        <v>657</v>
      </c>
      <c r="O2123" t="s">
        <v>792</v>
      </c>
      <c r="P2123" t="s">
        <v>739</v>
      </c>
      <c r="Q2123" t="s">
        <v>467</v>
      </c>
      <c r="R2123" t="s">
        <v>814</v>
      </c>
      <c r="S2123" t="s">
        <v>1302</v>
      </c>
      <c r="T2123" t="s">
        <v>794</v>
      </c>
      <c r="U2123">
        <v>158101</v>
      </c>
      <c r="V2123" t="s">
        <v>12602</v>
      </c>
      <c r="W2123" t="s">
        <v>796</v>
      </c>
      <c r="X2123" t="s">
        <v>4013</v>
      </c>
      <c r="Y2123" t="s">
        <v>4014</v>
      </c>
      <c r="Z2123" t="s">
        <v>4015</v>
      </c>
      <c r="AA2123" t="s">
        <v>4016</v>
      </c>
      <c r="AB2123" t="s">
        <v>4017</v>
      </c>
      <c r="AE2123">
        <v>-36.97356173</v>
      </c>
      <c r="AF2123">
        <v>174.91813622999999</v>
      </c>
      <c r="AG2123" s="175">
        <v>100</v>
      </c>
      <c r="AH2123" s="175">
        <v>25</v>
      </c>
      <c r="AI2123" s="175">
        <v>1</v>
      </c>
      <c r="AJ2123" s="175">
        <v>12</v>
      </c>
      <c r="AK2123" s="175">
        <v>22</v>
      </c>
      <c r="AL2123" s="175">
        <v>38</v>
      </c>
      <c r="AM2123" s="175">
        <v>47</v>
      </c>
      <c r="AN2123" s="175">
        <v>7</v>
      </c>
      <c r="AO2123" s="175">
        <v>127</v>
      </c>
      <c r="AP2123" s="175">
        <v>23</v>
      </c>
      <c r="AQ2123" s="175">
        <v>4</v>
      </c>
      <c r="AR2123" s="175">
        <v>9</v>
      </c>
      <c r="AS2123" s="175">
        <v>110</v>
      </c>
      <c r="AT2123" s="175">
        <v>6</v>
      </c>
    </row>
    <row r="2124" spans="1:46">
      <c r="A2124">
        <v>45881</v>
      </c>
      <c r="B2124" t="s">
        <v>12603</v>
      </c>
      <c r="C2124" t="s">
        <v>12604</v>
      </c>
      <c r="D2124" t="s">
        <v>12605</v>
      </c>
      <c r="E2124" t="s">
        <v>12606</v>
      </c>
      <c r="F2124" t="s">
        <v>983</v>
      </c>
      <c r="G2124" t="s">
        <v>737</v>
      </c>
      <c r="H2124" t="s">
        <v>449</v>
      </c>
      <c r="J2124" t="s">
        <v>605</v>
      </c>
      <c r="K2124" t="s">
        <v>606</v>
      </c>
      <c r="M2124" t="s">
        <v>607</v>
      </c>
      <c r="N2124" t="s">
        <v>657</v>
      </c>
      <c r="O2124" t="s">
        <v>898</v>
      </c>
      <c r="P2124" t="s">
        <v>739</v>
      </c>
      <c r="Q2124" t="s">
        <v>467</v>
      </c>
      <c r="R2124" t="s">
        <v>724</v>
      </c>
      <c r="S2124" t="s">
        <v>984</v>
      </c>
      <c r="T2124" t="s">
        <v>613</v>
      </c>
      <c r="U2124">
        <v>126702</v>
      </c>
      <c r="V2124" t="s">
        <v>985</v>
      </c>
      <c r="W2124" t="s">
        <v>900</v>
      </c>
      <c r="X2124" t="s">
        <v>12607</v>
      </c>
      <c r="Y2124" t="s">
        <v>6434</v>
      </c>
      <c r="Z2124" t="s">
        <v>4622</v>
      </c>
      <c r="AA2124" t="s">
        <v>4623</v>
      </c>
      <c r="AB2124" t="s">
        <v>12608</v>
      </c>
      <c r="AE2124">
        <v>-36.881657410000003</v>
      </c>
      <c r="AF2124">
        <v>174.62812851000001</v>
      </c>
      <c r="AG2124" s="175">
        <v>30</v>
      </c>
      <c r="AH2124" s="175">
        <v>25</v>
      </c>
      <c r="AI2124" s="175">
        <v>3</v>
      </c>
      <c r="AJ2124" s="175">
        <v>8</v>
      </c>
      <c r="AK2124" s="175">
        <v>4</v>
      </c>
      <c r="AL2124" s="175">
        <v>1</v>
      </c>
      <c r="AM2124" s="175">
        <v>9</v>
      </c>
      <c r="AN2124" s="175">
        <v>2</v>
      </c>
      <c r="AO2124" s="175">
        <v>27</v>
      </c>
      <c r="AP2124" s="175">
        <v>12</v>
      </c>
      <c r="AQ2124" s="175">
        <v>12</v>
      </c>
      <c r="AR2124" s="175">
        <v>8</v>
      </c>
      <c r="AS2124" s="175">
        <v>9</v>
      </c>
      <c r="AT2124" s="175">
        <v>0</v>
      </c>
    </row>
    <row r="2125" spans="1:46">
      <c r="A2125">
        <v>45883</v>
      </c>
      <c r="B2125" t="s">
        <v>12609</v>
      </c>
      <c r="C2125" t="s">
        <v>12610</v>
      </c>
      <c r="D2125" t="s">
        <v>12611</v>
      </c>
      <c r="E2125" t="s">
        <v>12612</v>
      </c>
      <c r="G2125" t="s">
        <v>2068</v>
      </c>
      <c r="H2125" t="s">
        <v>449</v>
      </c>
      <c r="I2125" t="s">
        <v>12613</v>
      </c>
      <c r="J2125" t="s">
        <v>4032</v>
      </c>
      <c r="K2125" t="s">
        <v>606</v>
      </c>
      <c r="M2125" t="s">
        <v>1382</v>
      </c>
      <c r="N2125" t="s">
        <v>657</v>
      </c>
      <c r="O2125" t="s">
        <v>2069</v>
      </c>
      <c r="P2125" t="s">
        <v>1347</v>
      </c>
      <c r="Q2125" t="s">
        <v>553</v>
      </c>
      <c r="R2125" t="s">
        <v>1841</v>
      </c>
      <c r="S2125" t="s">
        <v>1719</v>
      </c>
      <c r="T2125" t="s">
        <v>1568</v>
      </c>
      <c r="U2125">
        <v>228400</v>
      </c>
      <c r="V2125" t="s">
        <v>12614</v>
      </c>
      <c r="W2125" t="s">
        <v>12288</v>
      </c>
      <c r="X2125" t="s">
        <v>12615</v>
      </c>
      <c r="Y2125" t="s">
        <v>12616</v>
      </c>
      <c r="AA2125" t="s">
        <v>12617</v>
      </c>
      <c r="AB2125" t="s">
        <v>12618</v>
      </c>
      <c r="AC2125">
        <v>99134</v>
      </c>
      <c r="AD2125" t="s">
        <v>2072</v>
      </c>
      <c r="AE2125">
        <v>-40.241292639999998</v>
      </c>
      <c r="AF2125">
        <v>175.58175326</v>
      </c>
      <c r="AG2125" s="175">
        <v>50</v>
      </c>
      <c r="AH2125" s="175">
        <v>14</v>
      </c>
      <c r="AI2125" s="175">
        <v>3</v>
      </c>
      <c r="AJ2125" s="175">
        <v>11</v>
      </c>
      <c r="AK2125" s="175">
        <v>15</v>
      </c>
      <c r="AL2125" s="175">
        <v>17</v>
      </c>
      <c r="AM2125" s="175">
        <v>15</v>
      </c>
      <c r="AN2125" s="175">
        <v>1</v>
      </c>
      <c r="AO2125" s="175">
        <v>62</v>
      </c>
      <c r="AP2125" s="175">
        <v>57</v>
      </c>
      <c r="AQ2125" s="175">
        <v>13</v>
      </c>
      <c r="AR2125" s="175">
        <v>0</v>
      </c>
      <c r="AS2125" s="175">
        <v>1</v>
      </c>
      <c r="AT2125" s="175">
        <v>0</v>
      </c>
    </row>
    <row r="2126" spans="1:46">
      <c r="A2126">
        <v>45886</v>
      </c>
      <c r="B2126" t="s">
        <v>12619</v>
      </c>
      <c r="C2126" t="s">
        <v>12620</v>
      </c>
      <c r="D2126" t="s">
        <v>12621</v>
      </c>
      <c r="E2126" t="s">
        <v>12622</v>
      </c>
      <c r="F2126" t="s">
        <v>6211</v>
      </c>
      <c r="G2126" t="s">
        <v>737</v>
      </c>
      <c r="H2126" t="s">
        <v>449</v>
      </c>
      <c r="J2126" t="s">
        <v>4032</v>
      </c>
      <c r="K2126" t="s">
        <v>606</v>
      </c>
      <c r="M2126" t="s">
        <v>607</v>
      </c>
      <c r="N2126" t="s">
        <v>657</v>
      </c>
      <c r="O2126" t="s">
        <v>914</v>
      </c>
      <c r="P2126" t="s">
        <v>739</v>
      </c>
      <c r="Q2126" t="s">
        <v>467</v>
      </c>
      <c r="R2126" t="s">
        <v>793</v>
      </c>
      <c r="S2126" t="s">
        <v>890</v>
      </c>
      <c r="T2126" t="s">
        <v>794</v>
      </c>
      <c r="U2126">
        <v>142802</v>
      </c>
      <c r="V2126" t="s">
        <v>12623</v>
      </c>
      <c r="W2126" t="s">
        <v>892</v>
      </c>
      <c r="X2126" t="s">
        <v>4927</v>
      </c>
      <c r="Y2126" t="s">
        <v>12624</v>
      </c>
      <c r="Z2126" t="s">
        <v>6211</v>
      </c>
      <c r="AA2126" t="s">
        <v>4604</v>
      </c>
      <c r="AE2126">
        <v>-36.90689106</v>
      </c>
      <c r="AF2126">
        <v>174.79317986999999</v>
      </c>
      <c r="AG2126" s="175">
        <v>30</v>
      </c>
      <c r="AH2126" s="175">
        <v>0</v>
      </c>
      <c r="AI2126" s="175">
        <v>0</v>
      </c>
      <c r="AJ2126" s="175">
        <v>0</v>
      </c>
      <c r="AK2126" s="175">
        <v>8</v>
      </c>
      <c r="AL2126" s="175">
        <v>11</v>
      </c>
      <c r="AM2126" s="175">
        <v>8</v>
      </c>
      <c r="AN2126" s="175">
        <v>0</v>
      </c>
      <c r="AO2126" s="175">
        <v>27</v>
      </c>
      <c r="AP2126" s="175">
        <v>21</v>
      </c>
      <c r="AQ2126" s="175">
        <v>0</v>
      </c>
      <c r="AR2126" s="175">
        <v>2</v>
      </c>
      <c r="AS2126" s="175">
        <v>9</v>
      </c>
      <c r="AT2126" s="175">
        <v>3</v>
      </c>
    </row>
    <row r="2127" spans="1:46">
      <c r="A2127">
        <v>45888</v>
      </c>
      <c r="B2127" t="s">
        <v>12625</v>
      </c>
      <c r="C2127" t="s">
        <v>12626</v>
      </c>
      <c r="E2127" t="s">
        <v>12627</v>
      </c>
      <c r="F2127" t="s">
        <v>12628</v>
      </c>
      <c r="G2127" t="s">
        <v>1717</v>
      </c>
      <c r="H2127" t="s">
        <v>347</v>
      </c>
      <c r="J2127" t="s">
        <v>605</v>
      </c>
      <c r="K2127" t="s">
        <v>606</v>
      </c>
      <c r="L2127" t="s">
        <v>4273</v>
      </c>
      <c r="M2127" t="s">
        <v>1382</v>
      </c>
      <c r="N2127" t="s">
        <v>625</v>
      </c>
      <c r="O2127" t="s">
        <v>1718</v>
      </c>
      <c r="P2127" t="s">
        <v>610</v>
      </c>
      <c r="Q2127" t="s">
        <v>553</v>
      </c>
      <c r="R2127" t="s">
        <v>1555</v>
      </c>
      <c r="S2127" t="s">
        <v>1719</v>
      </c>
      <c r="T2127" t="s">
        <v>1568</v>
      </c>
      <c r="U2127">
        <v>222600</v>
      </c>
      <c r="V2127" t="s">
        <v>1720</v>
      </c>
      <c r="W2127" t="s">
        <v>1721</v>
      </c>
      <c r="X2127" t="s">
        <v>8511</v>
      </c>
      <c r="Y2127" t="s">
        <v>4276</v>
      </c>
      <c r="Z2127" t="s">
        <v>4277</v>
      </c>
      <c r="AA2127" t="s">
        <v>4278</v>
      </c>
      <c r="AB2127" t="s">
        <v>8512</v>
      </c>
      <c r="AE2127">
        <v>-38.88409463</v>
      </c>
      <c r="AF2127">
        <v>175.27174199000001</v>
      </c>
      <c r="AG2127" s="175">
        <v>16</v>
      </c>
      <c r="AH2127" s="175">
        <v>3</v>
      </c>
      <c r="AI2127" s="175">
        <v>1</v>
      </c>
      <c r="AJ2127" s="175">
        <v>3</v>
      </c>
      <c r="AK2127" s="175">
        <v>6</v>
      </c>
      <c r="AL2127" s="175">
        <v>3</v>
      </c>
      <c r="AM2127" s="175">
        <v>1</v>
      </c>
      <c r="AN2127" s="175">
        <v>0</v>
      </c>
      <c r="AO2127" s="175">
        <v>14</v>
      </c>
      <c r="AP2127" s="175">
        <v>0</v>
      </c>
      <c r="AQ2127" s="175">
        <v>11</v>
      </c>
      <c r="AR2127" s="175">
        <v>0</v>
      </c>
      <c r="AS2127" s="175">
        <v>0</v>
      </c>
      <c r="AT2127" s="175">
        <v>3</v>
      </c>
    </row>
    <row r="2128" spans="1:46">
      <c r="A2128">
        <v>45895</v>
      </c>
      <c r="B2128" t="s">
        <v>11438</v>
      </c>
      <c r="C2128" t="s">
        <v>12629</v>
      </c>
      <c r="D2128" t="s">
        <v>12630</v>
      </c>
      <c r="E2128" t="s">
        <v>12631</v>
      </c>
      <c r="G2128" t="s">
        <v>1839</v>
      </c>
      <c r="H2128" t="s">
        <v>449</v>
      </c>
      <c r="J2128" t="s">
        <v>4032</v>
      </c>
      <c r="K2128" t="s">
        <v>606</v>
      </c>
      <c r="M2128" t="s">
        <v>1382</v>
      </c>
      <c r="N2128" t="s">
        <v>4586</v>
      </c>
      <c r="O2128" t="s">
        <v>1840</v>
      </c>
      <c r="P2128" t="s">
        <v>670</v>
      </c>
      <c r="Q2128" t="s">
        <v>514</v>
      </c>
      <c r="R2128" t="s">
        <v>1841</v>
      </c>
      <c r="S2128" t="s">
        <v>1839</v>
      </c>
      <c r="T2128" t="s">
        <v>1568</v>
      </c>
      <c r="U2128">
        <v>217701</v>
      </c>
      <c r="V2128" t="s">
        <v>12632</v>
      </c>
      <c r="W2128" t="s">
        <v>1843</v>
      </c>
      <c r="X2128" t="s">
        <v>12633</v>
      </c>
      <c r="Y2128" t="s">
        <v>12634</v>
      </c>
      <c r="Z2128" t="s">
        <v>3706</v>
      </c>
      <c r="AA2128" t="s">
        <v>12635</v>
      </c>
      <c r="AB2128" t="s">
        <v>12636</v>
      </c>
      <c r="AE2128">
        <v>-39.047293949999997</v>
      </c>
      <c r="AF2128">
        <v>174.1226972</v>
      </c>
      <c r="AG2128" s="175">
        <v>60</v>
      </c>
      <c r="AH2128" s="175">
        <v>0</v>
      </c>
      <c r="AI2128" s="175">
        <v>0</v>
      </c>
      <c r="AJ2128" s="175">
        <v>0</v>
      </c>
      <c r="AK2128" s="175">
        <v>25</v>
      </c>
      <c r="AL2128" s="175">
        <v>24</v>
      </c>
      <c r="AM2128" s="175">
        <v>10</v>
      </c>
      <c r="AN2128" s="175">
        <v>2</v>
      </c>
      <c r="AO2128" s="175">
        <v>61</v>
      </c>
      <c r="AP2128" s="175">
        <v>38</v>
      </c>
      <c r="AQ2128" s="175">
        <v>17</v>
      </c>
      <c r="AR2128" s="175">
        <v>4</v>
      </c>
      <c r="AS2128" s="175">
        <v>9</v>
      </c>
      <c r="AT2128" s="175">
        <v>9</v>
      </c>
    </row>
    <row r="2129" spans="1:46">
      <c r="A2129">
        <v>45896</v>
      </c>
      <c r="B2129" t="s">
        <v>12637</v>
      </c>
      <c r="C2129" t="s">
        <v>12638</v>
      </c>
      <c r="D2129" t="s">
        <v>12639</v>
      </c>
      <c r="E2129" t="s">
        <v>12640</v>
      </c>
      <c r="F2129" t="s">
        <v>2119</v>
      </c>
      <c r="G2129" t="s">
        <v>2055</v>
      </c>
      <c r="H2129" t="s">
        <v>449</v>
      </c>
      <c r="J2129" t="s">
        <v>4032</v>
      </c>
      <c r="K2129" t="s">
        <v>606</v>
      </c>
      <c r="M2129" t="s">
        <v>1382</v>
      </c>
      <c r="N2129" t="s">
        <v>657</v>
      </c>
      <c r="O2129" t="s">
        <v>2037</v>
      </c>
      <c r="P2129" t="s">
        <v>670</v>
      </c>
      <c r="Q2129" t="s">
        <v>553</v>
      </c>
      <c r="R2129" t="s">
        <v>1841</v>
      </c>
      <c r="S2129" t="s">
        <v>2055</v>
      </c>
      <c r="T2129" t="s">
        <v>1568</v>
      </c>
      <c r="U2129">
        <v>230600</v>
      </c>
      <c r="V2129" t="s">
        <v>2056</v>
      </c>
      <c r="W2129" t="s">
        <v>2038</v>
      </c>
      <c r="X2129" t="s">
        <v>12641</v>
      </c>
      <c r="Y2129" t="s">
        <v>4725</v>
      </c>
      <c r="Z2129" t="s">
        <v>1043</v>
      </c>
      <c r="AA2129" t="s">
        <v>4726</v>
      </c>
      <c r="AB2129" t="s">
        <v>12642</v>
      </c>
      <c r="AC2129">
        <v>99052</v>
      </c>
      <c r="AD2129" t="s">
        <v>2043</v>
      </c>
      <c r="AE2129">
        <v>-40.349415280000002</v>
      </c>
      <c r="AF2129">
        <v>175.61725756999999</v>
      </c>
      <c r="AG2129" s="175">
        <v>50</v>
      </c>
      <c r="AH2129" s="175">
        <v>25</v>
      </c>
      <c r="AI2129" s="175">
        <v>1</v>
      </c>
      <c r="AJ2129" s="175">
        <v>15</v>
      </c>
      <c r="AK2129" s="175">
        <v>14</v>
      </c>
      <c r="AL2129" s="175">
        <v>10</v>
      </c>
      <c r="AM2129" s="175">
        <v>14</v>
      </c>
      <c r="AN2129" s="175">
        <v>0</v>
      </c>
      <c r="AO2129" s="175">
        <v>54</v>
      </c>
      <c r="AP2129" s="175">
        <v>33</v>
      </c>
      <c r="AQ2129" s="175">
        <v>25</v>
      </c>
      <c r="AR2129" s="175">
        <v>8</v>
      </c>
      <c r="AS2129" s="175">
        <v>6</v>
      </c>
      <c r="AT2129" s="175">
        <v>2</v>
      </c>
    </row>
    <row r="2130" spans="1:46">
      <c r="A2130">
        <v>45900</v>
      </c>
      <c r="B2130" t="s">
        <v>12643</v>
      </c>
      <c r="C2130" t="s">
        <v>12644</v>
      </c>
      <c r="D2130" t="s">
        <v>12645</v>
      </c>
      <c r="E2130" t="s">
        <v>12646</v>
      </c>
      <c r="G2130" t="s">
        <v>9760</v>
      </c>
      <c r="H2130" t="s">
        <v>449</v>
      </c>
      <c r="J2130" t="s">
        <v>4032</v>
      </c>
      <c r="K2130" t="s">
        <v>606</v>
      </c>
      <c r="M2130" t="s">
        <v>1382</v>
      </c>
      <c r="N2130" t="s">
        <v>643</v>
      </c>
      <c r="O2130" t="s">
        <v>8701</v>
      </c>
      <c r="P2130" t="s">
        <v>626</v>
      </c>
      <c r="Q2130" t="s">
        <v>510</v>
      </c>
      <c r="R2130" t="s">
        <v>1384</v>
      </c>
      <c r="S2130" t="s">
        <v>1501</v>
      </c>
      <c r="T2130" t="s">
        <v>1568</v>
      </c>
      <c r="U2130">
        <v>187200</v>
      </c>
      <c r="V2130" t="s">
        <v>9197</v>
      </c>
      <c r="W2130" t="s">
        <v>9198</v>
      </c>
      <c r="X2130" t="s">
        <v>12647</v>
      </c>
      <c r="Y2130" t="s">
        <v>12648</v>
      </c>
      <c r="AA2130" t="s">
        <v>12649</v>
      </c>
      <c r="AC2130">
        <v>99106</v>
      </c>
      <c r="AD2130" t="s">
        <v>8708</v>
      </c>
      <c r="AE2130">
        <v>-38.464711180000002</v>
      </c>
      <c r="AF2130">
        <v>175.01503450999999</v>
      </c>
      <c r="AG2130" s="175">
        <v>40</v>
      </c>
      <c r="AH2130" s="175">
        <v>16</v>
      </c>
      <c r="AI2130" s="175">
        <v>0</v>
      </c>
      <c r="AJ2130" s="175">
        <v>4</v>
      </c>
      <c r="AK2130" s="175">
        <v>15</v>
      </c>
      <c r="AL2130" s="175">
        <v>16</v>
      </c>
      <c r="AM2130" s="175">
        <v>15</v>
      </c>
      <c r="AN2130" s="175">
        <v>0</v>
      </c>
      <c r="AO2130" s="175">
        <v>50</v>
      </c>
      <c r="AP2130" s="175">
        <v>43</v>
      </c>
      <c r="AQ2130" s="175">
        <v>15</v>
      </c>
      <c r="AR2130" s="175">
        <v>1</v>
      </c>
      <c r="AS2130" s="175">
        <v>1</v>
      </c>
      <c r="AT2130" s="175">
        <v>1</v>
      </c>
    </row>
    <row r="2131" spans="1:46">
      <c r="A2131">
        <v>45902</v>
      </c>
      <c r="B2131" t="s">
        <v>12650</v>
      </c>
      <c r="C2131" t="s">
        <v>12651</v>
      </c>
      <c r="E2131" t="s">
        <v>12652</v>
      </c>
      <c r="F2131" t="s">
        <v>10187</v>
      </c>
      <c r="G2131" t="s">
        <v>1681</v>
      </c>
      <c r="H2131" t="s">
        <v>449</v>
      </c>
      <c r="J2131" t="s">
        <v>605</v>
      </c>
      <c r="K2131" t="s">
        <v>606</v>
      </c>
      <c r="M2131" t="s">
        <v>1382</v>
      </c>
      <c r="N2131" t="s">
        <v>657</v>
      </c>
      <c r="O2131" t="s">
        <v>1780</v>
      </c>
      <c r="P2131" t="s">
        <v>739</v>
      </c>
      <c r="Q2131" t="s">
        <v>511</v>
      </c>
      <c r="R2131" t="s">
        <v>1555</v>
      </c>
      <c r="S2131" t="s">
        <v>1781</v>
      </c>
      <c r="T2131" t="s">
        <v>1557</v>
      </c>
      <c r="U2131">
        <v>196000</v>
      </c>
      <c r="V2131" t="s">
        <v>10187</v>
      </c>
      <c r="W2131" t="s">
        <v>1813</v>
      </c>
      <c r="X2131" t="s">
        <v>12653</v>
      </c>
      <c r="Y2131" t="s">
        <v>12652</v>
      </c>
      <c r="Z2131" t="s">
        <v>10187</v>
      </c>
      <c r="AA2131" t="s">
        <v>8947</v>
      </c>
      <c r="AB2131" t="s">
        <v>12651</v>
      </c>
      <c r="AC2131">
        <v>99085</v>
      </c>
      <c r="AD2131" t="s">
        <v>1800</v>
      </c>
      <c r="AE2131">
        <v>-37.737131099999999</v>
      </c>
      <c r="AF2131">
        <v>176.15240874</v>
      </c>
      <c r="AG2131" s="175">
        <v>32</v>
      </c>
      <c r="AH2131" s="175">
        <v>7</v>
      </c>
      <c r="AI2131" s="175">
        <v>0</v>
      </c>
      <c r="AJ2131" s="175">
        <v>4</v>
      </c>
      <c r="AK2131" s="175">
        <v>11</v>
      </c>
      <c r="AL2131" s="175">
        <v>12</v>
      </c>
      <c r="AM2131" s="175">
        <v>16</v>
      </c>
      <c r="AN2131" s="175">
        <v>0</v>
      </c>
      <c r="AO2131" s="175">
        <v>43</v>
      </c>
      <c r="AP2131" s="175">
        <v>40</v>
      </c>
      <c r="AQ2131" s="175">
        <v>7</v>
      </c>
      <c r="AR2131" s="175">
        <v>1</v>
      </c>
      <c r="AS2131" s="175">
        <v>3</v>
      </c>
      <c r="AT2131" s="175">
        <v>1</v>
      </c>
    </row>
    <row r="2132" spans="1:46">
      <c r="A2132">
        <v>45904</v>
      </c>
      <c r="B2132" t="s">
        <v>12654</v>
      </c>
      <c r="C2132" t="s">
        <v>12655</v>
      </c>
      <c r="E2132" t="s">
        <v>12656</v>
      </c>
      <c r="F2132" t="s">
        <v>1797</v>
      </c>
      <c r="G2132" t="s">
        <v>1681</v>
      </c>
      <c r="H2132" t="s">
        <v>449</v>
      </c>
      <c r="J2132" t="s">
        <v>4032</v>
      </c>
      <c r="K2132" t="s">
        <v>606</v>
      </c>
      <c r="M2132" t="s">
        <v>1382</v>
      </c>
      <c r="N2132" t="s">
        <v>657</v>
      </c>
      <c r="O2132" t="s">
        <v>1780</v>
      </c>
      <c r="P2132" t="s">
        <v>739</v>
      </c>
      <c r="Q2132" t="s">
        <v>511</v>
      </c>
      <c r="R2132" t="s">
        <v>1555</v>
      </c>
      <c r="S2132" t="s">
        <v>1681</v>
      </c>
      <c r="T2132" t="s">
        <v>1557</v>
      </c>
      <c r="U2132">
        <v>195200</v>
      </c>
      <c r="V2132" t="s">
        <v>8945</v>
      </c>
      <c r="W2132" t="s">
        <v>1799</v>
      </c>
      <c r="X2132" t="s">
        <v>12657</v>
      </c>
      <c r="Y2132" t="s">
        <v>12658</v>
      </c>
      <c r="Z2132" t="s">
        <v>10595</v>
      </c>
      <c r="AA2132" t="s">
        <v>8772</v>
      </c>
      <c r="AB2132" t="s">
        <v>12659</v>
      </c>
      <c r="AC2132">
        <v>99085</v>
      </c>
      <c r="AD2132" t="s">
        <v>1800</v>
      </c>
      <c r="AE2132">
        <v>-37.730572299999999</v>
      </c>
      <c r="AF2132">
        <v>176.12849499999999</v>
      </c>
      <c r="AG2132" s="175">
        <v>84</v>
      </c>
      <c r="AH2132" s="175">
        <v>23</v>
      </c>
      <c r="AI2132" s="175">
        <v>2</v>
      </c>
      <c r="AJ2132" s="175">
        <v>5</v>
      </c>
      <c r="AK2132" s="175">
        <v>12</v>
      </c>
      <c r="AL2132" s="175">
        <v>17</v>
      </c>
      <c r="AM2132" s="175">
        <v>18</v>
      </c>
      <c r="AN2132" s="175">
        <v>1</v>
      </c>
      <c r="AO2132" s="175">
        <v>55</v>
      </c>
      <c r="AP2132" s="175">
        <v>16</v>
      </c>
      <c r="AQ2132" s="175">
        <v>11</v>
      </c>
      <c r="AR2132" s="175">
        <v>2</v>
      </c>
      <c r="AS2132" s="175">
        <v>37</v>
      </c>
      <c r="AT2132" s="175">
        <v>0</v>
      </c>
    </row>
    <row r="2133" spans="1:46">
      <c r="A2133">
        <v>45905</v>
      </c>
      <c r="B2133" t="s">
        <v>12660</v>
      </c>
      <c r="C2133" t="s">
        <v>12661</v>
      </c>
      <c r="D2133" t="s">
        <v>12662</v>
      </c>
      <c r="E2133" t="s">
        <v>12663</v>
      </c>
      <c r="F2133" t="s">
        <v>862</v>
      </c>
      <c r="G2133" t="s">
        <v>737</v>
      </c>
      <c r="H2133" t="s">
        <v>449</v>
      </c>
      <c r="J2133" t="s">
        <v>4032</v>
      </c>
      <c r="K2133" t="s">
        <v>606</v>
      </c>
      <c r="M2133" t="s">
        <v>607</v>
      </c>
      <c r="N2133" t="s">
        <v>4586</v>
      </c>
      <c r="O2133" t="s">
        <v>792</v>
      </c>
      <c r="P2133" t="s">
        <v>739</v>
      </c>
      <c r="Q2133" t="s">
        <v>467</v>
      </c>
      <c r="R2133" t="s">
        <v>793</v>
      </c>
      <c r="S2133" t="s">
        <v>791</v>
      </c>
      <c r="T2133" t="s">
        <v>794</v>
      </c>
      <c r="U2133">
        <v>152400</v>
      </c>
      <c r="V2133" t="s">
        <v>5234</v>
      </c>
      <c r="W2133" t="s">
        <v>796</v>
      </c>
      <c r="X2133" t="s">
        <v>7360</v>
      </c>
      <c r="Y2133" t="s">
        <v>12664</v>
      </c>
      <c r="Z2133" t="s">
        <v>862</v>
      </c>
      <c r="AA2133" t="s">
        <v>7569</v>
      </c>
      <c r="AB2133" t="s">
        <v>7362</v>
      </c>
      <c r="AC2133">
        <v>99119</v>
      </c>
      <c r="AD2133" t="s">
        <v>865</v>
      </c>
      <c r="AE2133">
        <v>-36.902380999999998</v>
      </c>
      <c r="AF2133">
        <v>174.92713458</v>
      </c>
      <c r="AG2133" s="175">
        <v>50</v>
      </c>
      <c r="AH2133" s="175">
        <v>14</v>
      </c>
      <c r="AI2133" s="175">
        <v>3</v>
      </c>
      <c r="AJ2133" s="175">
        <v>6</v>
      </c>
      <c r="AK2133" s="175">
        <v>13</v>
      </c>
      <c r="AL2133" s="175">
        <v>19</v>
      </c>
      <c r="AM2133" s="175">
        <v>15</v>
      </c>
      <c r="AN2133" s="175">
        <v>0</v>
      </c>
      <c r="AO2133" s="175">
        <v>56</v>
      </c>
      <c r="AP2133" s="175">
        <v>44</v>
      </c>
      <c r="AQ2133" s="175">
        <v>3</v>
      </c>
      <c r="AR2133" s="175">
        <v>2</v>
      </c>
      <c r="AS2133" s="175">
        <v>15</v>
      </c>
      <c r="AT2133" s="175">
        <v>3</v>
      </c>
    </row>
    <row r="2134" spans="1:46">
      <c r="A2134">
        <v>45907</v>
      </c>
      <c r="B2134" t="s">
        <v>12665</v>
      </c>
      <c r="C2134" t="s">
        <v>12666</v>
      </c>
      <c r="E2134" t="s">
        <v>12667</v>
      </c>
      <c r="G2134" t="s">
        <v>12668</v>
      </c>
      <c r="H2134" t="s">
        <v>449</v>
      </c>
      <c r="J2134" t="s">
        <v>605</v>
      </c>
      <c r="K2134" t="s">
        <v>606</v>
      </c>
      <c r="M2134" t="s">
        <v>2366</v>
      </c>
      <c r="N2134" t="s">
        <v>4586</v>
      </c>
      <c r="O2134" t="s">
        <v>3281</v>
      </c>
      <c r="P2134" t="s">
        <v>610</v>
      </c>
      <c r="Q2134" t="s">
        <v>521</v>
      </c>
      <c r="R2134" t="s">
        <v>3017</v>
      </c>
      <c r="S2134" t="s">
        <v>3252</v>
      </c>
      <c r="T2134" t="s">
        <v>2526</v>
      </c>
      <c r="U2134">
        <v>334601</v>
      </c>
      <c r="V2134" t="s">
        <v>12668</v>
      </c>
      <c r="W2134" t="s">
        <v>12669</v>
      </c>
      <c r="X2134" t="s">
        <v>10864</v>
      </c>
      <c r="Y2134" t="s">
        <v>4014</v>
      </c>
      <c r="Z2134" t="s">
        <v>4015</v>
      </c>
      <c r="AA2134" t="s">
        <v>4016</v>
      </c>
      <c r="AC2134">
        <v>99206</v>
      </c>
      <c r="AD2134" t="s">
        <v>3284</v>
      </c>
      <c r="AE2134">
        <v>-43.520423049999998</v>
      </c>
      <c r="AF2134">
        <v>172.36577057</v>
      </c>
      <c r="AG2134" s="175">
        <v>94</v>
      </c>
      <c r="AH2134" s="175">
        <v>20</v>
      </c>
      <c r="AI2134" s="175">
        <v>2</v>
      </c>
      <c r="AJ2134" s="175">
        <v>13</v>
      </c>
      <c r="AK2134" s="175">
        <v>23</v>
      </c>
      <c r="AL2134" s="175">
        <v>18</v>
      </c>
      <c r="AM2134" s="175">
        <v>24</v>
      </c>
      <c r="AN2134" s="175">
        <v>0</v>
      </c>
      <c r="AO2134" s="175">
        <v>80</v>
      </c>
      <c r="AP2134" s="175">
        <v>71</v>
      </c>
      <c r="AQ2134" s="175">
        <v>10</v>
      </c>
      <c r="AR2134" s="175">
        <v>1</v>
      </c>
      <c r="AS2134" s="175">
        <v>2</v>
      </c>
      <c r="AT2134" s="175">
        <v>7</v>
      </c>
    </row>
    <row r="2135" spans="1:46">
      <c r="A2135">
        <v>45909</v>
      </c>
      <c r="B2135" t="s">
        <v>12670</v>
      </c>
      <c r="C2135" t="s">
        <v>12671</v>
      </c>
      <c r="D2135" t="s">
        <v>12672</v>
      </c>
      <c r="E2135" t="s">
        <v>12673</v>
      </c>
      <c r="F2135" t="s">
        <v>12674</v>
      </c>
      <c r="G2135" t="s">
        <v>668</v>
      </c>
      <c r="H2135" t="s">
        <v>449</v>
      </c>
      <c r="J2135" t="s">
        <v>605</v>
      </c>
      <c r="K2135" t="s">
        <v>606</v>
      </c>
      <c r="M2135" t="s">
        <v>607</v>
      </c>
      <c r="N2135" t="s">
        <v>657</v>
      </c>
      <c r="O2135" t="s">
        <v>669</v>
      </c>
      <c r="P2135" t="s">
        <v>670</v>
      </c>
      <c r="Q2135" t="s">
        <v>509</v>
      </c>
      <c r="R2135" t="s">
        <v>611</v>
      </c>
      <c r="S2135" t="s">
        <v>671</v>
      </c>
      <c r="T2135" t="s">
        <v>613</v>
      </c>
      <c r="U2135">
        <v>106901</v>
      </c>
      <c r="V2135" t="s">
        <v>12674</v>
      </c>
      <c r="W2135" t="s">
        <v>673</v>
      </c>
      <c r="X2135" t="s">
        <v>4503</v>
      </c>
      <c r="Y2135" t="s">
        <v>4014</v>
      </c>
      <c r="Z2135" t="s">
        <v>4015</v>
      </c>
      <c r="AA2135" t="s">
        <v>4016</v>
      </c>
      <c r="AC2135">
        <v>99181</v>
      </c>
      <c r="AD2135" t="s">
        <v>680</v>
      </c>
      <c r="AE2135">
        <v>-35.740152199999997</v>
      </c>
      <c r="AF2135">
        <v>174.28135710000001</v>
      </c>
      <c r="AG2135" s="175">
        <v>150</v>
      </c>
      <c r="AH2135" s="175">
        <v>30</v>
      </c>
      <c r="AI2135" s="175">
        <v>3</v>
      </c>
      <c r="AJ2135" s="175">
        <v>35</v>
      </c>
      <c r="AK2135" s="175">
        <v>35</v>
      </c>
      <c r="AL2135" s="175">
        <v>55</v>
      </c>
      <c r="AM2135" s="175">
        <v>62</v>
      </c>
      <c r="AN2135" s="175">
        <v>3</v>
      </c>
      <c r="AO2135" s="175">
        <v>193</v>
      </c>
      <c r="AP2135" s="175">
        <v>126</v>
      </c>
      <c r="AQ2135" s="175">
        <v>36</v>
      </c>
      <c r="AR2135" s="175">
        <v>3</v>
      </c>
      <c r="AS2135" s="175">
        <v>54</v>
      </c>
      <c r="AT2135" s="175">
        <v>5</v>
      </c>
    </row>
    <row r="2136" spans="1:46">
      <c r="A2136">
        <v>45911</v>
      </c>
      <c r="B2136" t="s">
        <v>12675</v>
      </c>
      <c r="C2136" t="s">
        <v>12676</v>
      </c>
      <c r="E2136" t="s">
        <v>12677</v>
      </c>
      <c r="F2136" t="s">
        <v>1030</v>
      </c>
      <c r="G2136" t="s">
        <v>737</v>
      </c>
      <c r="H2136" t="s">
        <v>449</v>
      </c>
      <c r="J2136" t="s">
        <v>4032</v>
      </c>
      <c r="K2136" t="s">
        <v>606</v>
      </c>
      <c r="M2136" t="s">
        <v>607</v>
      </c>
      <c r="N2136" t="s">
        <v>625</v>
      </c>
      <c r="O2136" t="s">
        <v>813</v>
      </c>
      <c r="P2136" t="s">
        <v>739</v>
      </c>
      <c r="Q2136" t="s">
        <v>467</v>
      </c>
      <c r="R2136" t="s">
        <v>814</v>
      </c>
      <c r="S2136" t="s">
        <v>934</v>
      </c>
      <c r="T2136" t="s">
        <v>794</v>
      </c>
      <c r="U2136">
        <v>153600</v>
      </c>
      <c r="V2136" t="s">
        <v>4935</v>
      </c>
      <c r="W2136" t="s">
        <v>817</v>
      </c>
      <c r="X2136" t="s">
        <v>8194</v>
      </c>
      <c r="Y2136" t="s">
        <v>4725</v>
      </c>
      <c r="Z2136" t="s">
        <v>1043</v>
      </c>
      <c r="AA2136" t="s">
        <v>4726</v>
      </c>
      <c r="AB2136" t="s">
        <v>8192</v>
      </c>
      <c r="AE2136">
        <v>-36.972737180000003</v>
      </c>
      <c r="AF2136">
        <v>174.83305243000001</v>
      </c>
      <c r="AG2136" s="175">
        <v>39</v>
      </c>
      <c r="AH2136" s="175">
        <v>0</v>
      </c>
      <c r="AI2136" s="175">
        <v>0</v>
      </c>
      <c r="AJ2136" s="175">
        <v>0</v>
      </c>
      <c r="AK2136" s="175">
        <v>7</v>
      </c>
      <c r="AL2136" s="175">
        <v>7</v>
      </c>
      <c r="AM2136" s="175">
        <v>6</v>
      </c>
      <c r="AN2136" s="175">
        <v>2</v>
      </c>
      <c r="AO2136" s="175">
        <v>22</v>
      </c>
      <c r="AP2136" s="175">
        <v>1</v>
      </c>
      <c r="AQ2136" s="175">
        <v>5</v>
      </c>
      <c r="AR2136" s="175">
        <v>9</v>
      </c>
      <c r="AS2136" s="175">
        <v>10</v>
      </c>
      <c r="AT2136" s="175">
        <v>3</v>
      </c>
    </row>
    <row r="2137" spans="1:46">
      <c r="A2137">
        <v>45913</v>
      </c>
      <c r="B2137" t="s">
        <v>12678</v>
      </c>
      <c r="C2137" t="s">
        <v>12679</v>
      </c>
      <c r="D2137" t="s">
        <v>12680</v>
      </c>
      <c r="E2137" t="s">
        <v>12681</v>
      </c>
      <c r="F2137" t="s">
        <v>1060</v>
      </c>
      <c r="G2137" t="s">
        <v>737</v>
      </c>
      <c r="H2137" t="s">
        <v>449</v>
      </c>
      <c r="J2137" t="s">
        <v>4032</v>
      </c>
      <c r="K2137" t="s">
        <v>606</v>
      </c>
      <c r="M2137" t="s">
        <v>607</v>
      </c>
      <c r="N2137" t="s">
        <v>625</v>
      </c>
      <c r="O2137" t="s">
        <v>933</v>
      </c>
      <c r="P2137" t="s">
        <v>739</v>
      </c>
      <c r="Q2137" t="s">
        <v>467</v>
      </c>
      <c r="R2137" t="s">
        <v>793</v>
      </c>
      <c r="S2137" t="s">
        <v>934</v>
      </c>
      <c r="T2137" t="s">
        <v>794</v>
      </c>
      <c r="U2137">
        <v>146800</v>
      </c>
      <c r="V2137" t="s">
        <v>5009</v>
      </c>
      <c r="W2137" t="s">
        <v>817</v>
      </c>
      <c r="X2137" t="s">
        <v>6943</v>
      </c>
      <c r="Y2137" t="s">
        <v>6944</v>
      </c>
      <c r="Z2137" t="s">
        <v>913</v>
      </c>
      <c r="AA2137" t="s">
        <v>6945</v>
      </c>
      <c r="AE2137">
        <v>-36.946157329999998</v>
      </c>
      <c r="AF2137">
        <v>174.78682246</v>
      </c>
      <c r="AG2137" s="175">
        <v>46</v>
      </c>
      <c r="AH2137" s="175">
        <v>10</v>
      </c>
      <c r="AI2137" s="175">
        <v>2</v>
      </c>
      <c r="AJ2137" s="175">
        <v>4</v>
      </c>
      <c r="AK2137" s="175">
        <v>9</v>
      </c>
      <c r="AL2137" s="175">
        <v>15</v>
      </c>
      <c r="AM2137" s="175">
        <v>20</v>
      </c>
      <c r="AN2137" s="175">
        <v>0</v>
      </c>
      <c r="AO2137" s="175">
        <v>50</v>
      </c>
      <c r="AP2137" s="175">
        <v>14</v>
      </c>
      <c r="AQ2137" s="175">
        <v>22</v>
      </c>
      <c r="AR2137" s="175">
        <v>35</v>
      </c>
      <c r="AS2137" s="175">
        <v>7</v>
      </c>
      <c r="AT2137" s="175">
        <v>1</v>
      </c>
    </row>
    <row r="2138" spans="1:46">
      <c r="A2138">
        <v>45914</v>
      </c>
      <c r="B2138" t="s">
        <v>12682</v>
      </c>
      <c r="C2138" t="s">
        <v>12683</v>
      </c>
      <c r="D2138" t="s">
        <v>12684</v>
      </c>
      <c r="E2138" t="s">
        <v>12685</v>
      </c>
      <c r="F2138" t="s">
        <v>802</v>
      </c>
      <c r="G2138" t="s">
        <v>737</v>
      </c>
      <c r="H2138" t="s">
        <v>449</v>
      </c>
      <c r="J2138" t="s">
        <v>4032</v>
      </c>
      <c r="K2138" t="s">
        <v>606</v>
      </c>
      <c r="M2138" t="s">
        <v>607</v>
      </c>
      <c r="N2138" t="s">
        <v>643</v>
      </c>
      <c r="O2138" t="s">
        <v>803</v>
      </c>
      <c r="P2138" t="s">
        <v>739</v>
      </c>
      <c r="Q2138" t="s">
        <v>467</v>
      </c>
      <c r="R2138" t="s">
        <v>793</v>
      </c>
      <c r="S2138" t="s">
        <v>855</v>
      </c>
      <c r="T2138" t="s">
        <v>794</v>
      </c>
      <c r="U2138">
        <v>133100</v>
      </c>
      <c r="V2138" t="s">
        <v>11642</v>
      </c>
      <c r="W2138" t="s">
        <v>806</v>
      </c>
      <c r="X2138" t="s">
        <v>12686</v>
      </c>
      <c r="Y2138" t="s">
        <v>12687</v>
      </c>
      <c r="Z2138" t="s">
        <v>802</v>
      </c>
      <c r="AA2138" t="s">
        <v>12688</v>
      </c>
      <c r="AB2138" t="s">
        <v>12683</v>
      </c>
      <c r="AE2138">
        <v>-36.893757669999999</v>
      </c>
      <c r="AF2138">
        <v>174.6966639</v>
      </c>
      <c r="AG2138" s="175">
        <v>50</v>
      </c>
      <c r="AH2138" s="175">
        <v>15</v>
      </c>
      <c r="AI2138" s="175">
        <v>4</v>
      </c>
      <c r="AJ2138" s="175">
        <v>11</v>
      </c>
      <c r="AK2138" s="175">
        <v>13</v>
      </c>
      <c r="AL2138" s="175">
        <v>8</v>
      </c>
      <c r="AM2138" s="175">
        <v>18</v>
      </c>
      <c r="AN2138" s="175">
        <v>1</v>
      </c>
      <c r="AO2138" s="175">
        <v>55</v>
      </c>
      <c r="AP2138" s="175">
        <v>40</v>
      </c>
      <c r="AQ2138" s="175">
        <v>6</v>
      </c>
      <c r="AR2138" s="175">
        <v>11</v>
      </c>
      <c r="AS2138" s="175">
        <v>17</v>
      </c>
      <c r="AT2138" s="175">
        <v>3</v>
      </c>
    </row>
    <row r="2139" spans="1:46">
      <c r="A2139">
        <v>45915</v>
      </c>
      <c r="B2139" t="s">
        <v>12689</v>
      </c>
      <c r="C2139" t="s">
        <v>12690</v>
      </c>
      <c r="D2139" t="s">
        <v>7771</v>
      </c>
      <c r="E2139" t="s">
        <v>12691</v>
      </c>
      <c r="F2139" t="s">
        <v>6968</v>
      </c>
      <c r="G2139" t="s">
        <v>3834</v>
      </c>
      <c r="H2139" t="s">
        <v>449</v>
      </c>
      <c r="J2139" t="s">
        <v>4032</v>
      </c>
      <c r="K2139" t="s">
        <v>606</v>
      </c>
      <c r="M2139" t="s">
        <v>607</v>
      </c>
      <c r="N2139" t="s">
        <v>4586</v>
      </c>
      <c r="O2139" t="s">
        <v>3835</v>
      </c>
      <c r="P2139" t="s">
        <v>610</v>
      </c>
      <c r="Q2139" t="s">
        <v>467</v>
      </c>
      <c r="R2139" t="s">
        <v>793</v>
      </c>
      <c r="S2139" t="s">
        <v>1043</v>
      </c>
      <c r="T2139" t="s">
        <v>794</v>
      </c>
      <c r="U2139">
        <v>144600</v>
      </c>
      <c r="V2139" t="s">
        <v>6969</v>
      </c>
      <c r="W2139" t="s">
        <v>1044</v>
      </c>
      <c r="X2139" t="s">
        <v>7773</v>
      </c>
      <c r="Y2139" t="s">
        <v>7774</v>
      </c>
      <c r="Z2139" t="s">
        <v>3834</v>
      </c>
      <c r="AA2139" t="s">
        <v>7775</v>
      </c>
      <c r="AB2139" t="s">
        <v>7776</v>
      </c>
      <c r="AC2139">
        <v>99088</v>
      </c>
      <c r="AD2139" t="s">
        <v>3836</v>
      </c>
      <c r="AE2139">
        <v>-36.783439860000001</v>
      </c>
      <c r="AF2139">
        <v>175.0090916</v>
      </c>
      <c r="AG2139" s="175">
        <v>43</v>
      </c>
      <c r="AH2139" s="175">
        <v>14</v>
      </c>
      <c r="AI2139" s="175">
        <v>2</v>
      </c>
      <c r="AJ2139" s="175">
        <v>17</v>
      </c>
      <c r="AK2139" s="175">
        <v>7</v>
      </c>
      <c r="AL2139" s="175">
        <v>10</v>
      </c>
      <c r="AM2139" s="175">
        <v>14</v>
      </c>
      <c r="AN2139" s="175">
        <v>0</v>
      </c>
      <c r="AO2139" s="175">
        <v>50</v>
      </c>
      <c r="AP2139" s="175">
        <v>44</v>
      </c>
      <c r="AQ2139" s="175">
        <v>5</v>
      </c>
      <c r="AR2139" s="175">
        <v>0</v>
      </c>
      <c r="AS2139" s="175">
        <v>2</v>
      </c>
      <c r="AT2139" s="175">
        <v>4</v>
      </c>
    </row>
    <row r="2140" spans="1:46">
      <c r="A2140">
        <v>45918</v>
      </c>
      <c r="B2140" t="s">
        <v>12692</v>
      </c>
      <c r="C2140" t="s">
        <v>12693</v>
      </c>
      <c r="D2140" t="s">
        <v>12694</v>
      </c>
      <c r="E2140" t="s">
        <v>12695</v>
      </c>
      <c r="F2140" t="s">
        <v>10675</v>
      </c>
      <c r="G2140" t="s">
        <v>1681</v>
      </c>
      <c r="H2140" t="s">
        <v>449</v>
      </c>
      <c r="I2140" t="s">
        <v>4134</v>
      </c>
      <c r="J2140" t="s">
        <v>4032</v>
      </c>
      <c r="K2140" t="s">
        <v>606</v>
      </c>
      <c r="M2140" t="s">
        <v>1382</v>
      </c>
      <c r="N2140" t="s">
        <v>4586</v>
      </c>
      <c r="O2140" t="s">
        <v>1780</v>
      </c>
      <c r="P2140" t="s">
        <v>739</v>
      </c>
      <c r="Q2140" t="s">
        <v>511</v>
      </c>
      <c r="R2140" t="s">
        <v>1555</v>
      </c>
      <c r="S2140" t="s">
        <v>1681</v>
      </c>
      <c r="T2140" t="s">
        <v>1557</v>
      </c>
      <c r="U2140">
        <v>194000</v>
      </c>
      <c r="V2140" t="s">
        <v>10675</v>
      </c>
      <c r="W2140" t="s">
        <v>1791</v>
      </c>
      <c r="X2140" t="s">
        <v>12696</v>
      </c>
      <c r="Y2140" t="s">
        <v>12695</v>
      </c>
      <c r="AA2140" t="s">
        <v>8947</v>
      </c>
      <c r="AB2140" t="s">
        <v>12697</v>
      </c>
      <c r="AC2140">
        <v>99036</v>
      </c>
      <c r="AD2140" t="s">
        <v>1792</v>
      </c>
      <c r="AE2140">
        <v>-37.696204479999999</v>
      </c>
      <c r="AF2140">
        <v>176.14478219</v>
      </c>
      <c r="AG2140" s="175">
        <v>30</v>
      </c>
      <c r="AH2140" s="175">
        <v>5</v>
      </c>
      <c r="AI2140" s="175">
        <v>0</v>
      </c>
      <c r="AJ2140" s="175">
        <v>3</v>
      </c>
      <c r="AK2140" s="175">
        <v>5</v>
      </c>
      <c r="AL2140" s="175">
        <v>15</v>
      </c>
      <c r="AM2140" s="175">
        <v>6</v>
      </c>
      <c r="AN2140" s="175">
        <v>0</v>
      </c>
      <c r="AO2140" s="175">
        <v>29</v>
      </c>
      <c r="AP2140" s="175">
        <v>15</v>
      </c>
      <c r="AQ2140" s="175">
        <v>3</v>
      </c>
      <c r="AR2140" s="175">
        <v>4</v>
      </c>
      <c r="AS2140" s="175">
        <v>12</v>
      </c>
      <c r="AT2140" s="175">
        <v>1</v>
      </c>
    </row>
    <row r="2141" spans="1:46">
      <c r="A2141">
        <v>45919</v>
      </c>
      <c r="B2141" t="s">
        <v>12698</v>
      </c>
      <c r="C2141" t="s">
        <v>12699</v>
      </c>
      <c r="D2141" t="s">
        <v>12700</v>
      </c>
      <c r="E2141" t="s">
        <v>12701</v>
      </c>
      <c r="G2141" t="s">
        <v>12702</v>
      </c>
      <c r="H2141" t="s">
        <v>452</v>
      </c>
      <c r="J2141" t="s">
        <v>605</v>
      </c>
      <c r="K2141" t="s">
        <v>606</v>
      </c>
      <c r="M2141" t="s">
        <v>2366</v>
      </c>
      <c r="N2141" t="s">
        <v>657</v>
      </c>
      <c r="O2141" t="s">
        <v>3432</v>
      </c>
      <c r="P2141" t="s">
        <v>626</v>
      </c>
      <c r="Q2141" t="s">
        <v>522</v>
      </c>
      <c r="R2141" t="s">
        <v>3410</v>
      </c>
      <c r="S2141" t="s">
        <v>3323</v>
      </c>
      <c r="T2141" t="s">
        <v>2526</v>
      </c>
      <c r="U2141">
        <v>345700</v>
      </c>
      <c r="V2141" t="s">
        <v>12703</v>
      </c>
      <c r="W2141" t="s">
        <v>12704</v>
      </c>
      <c r="X2141" t="s">
        <v>3021</v>
      </c>
      <c r="Y2141" t="s">
        <v>3022</v>
      </c>
      <c r="Z2141" t="s">
        <v>3023</v>
      </c>
      <c r="AA2141" t="s">
        <v>3024</v>
      </c>
      <c r="AB2141" t="s">
        <v>3025</v>
      </c>
      <c r="AC2141">
        <v>99049</v>
      </c>
      <c r="AD2141" t="s">
        <v>3436</v>
      </c>
      <c r="AE2141">
        <v>-45.123823129999998</v>
      </c>
      <c r="AF2141">
        <v>170.10026726000001</v>
      </c>
      <c r="AG2141" s="175">
        <v>30</v>
      </c>
      <c r="AH2141" s="175">
        <v>0</v>
      </c>
      <c r="AI2141" s="175">
        <v>0</v>
      </c>
      <c r="AJ2141" s="175">
        <v>0</v>
      </c>
      <c r="AK2141" s="175">
        <v>9</v>
      </c>
      <c r="AL2141" s="175">
        <v>16</v>
      </c>
      <c r="AM2141" s="175">
        <v>16</v>
      </c>
      <c r="AN2141" s="175">
        <v>0</v>
      </c>
      <c r="AO2141" s="175">
        <v>41</v>
      </c>
      <c r="AP2141" s="175">
        <v>39</v>
      </c>
      <c r="AQ2141" s="175">
        <v>16</v>
      </c>
      <c r="AR2141" s="175">
        <v>1</v>
      </c>
      <c r="AS2141" s="175">
        <v>2</v>
      </c>
      <c r="AT2141" s="175">
        <v>0</v>
      </c>
    </row>
    <row r="2142" spans="1:46">
      <c r="A2142">
        <v>45920</v>
      </c>
      <c r="B2142" t="s">
        <v>12705</v>
      </c>
      <c r="C2142" t="s">
        <v>12706</v>
      </c>
      <c r="D2142" t="s">
        <v>12707</v>
      </c>
      <c r="E2142" t="s">
        <v>12708</v>
      </c>
      <c r="F2142" t="s">
        <v>4271</v>
      </c>
      <c r="G2142" t="s">
        <v>737</v>
      </c>
      <c r="H2142" t="s">
        <v>449</v>
      </c>
      <c r="J2142" t="s">
        <v>4032</v>
      </c>
      <c r="K2142" t="s">
        <v>606</v>
      </c>
      <c r="M2142" t="s">
        <v>607</v>
      </c>
      <c r="N2142" t="s">
        <v>812</v>
      </c>
      <c r="O2142" t="s">
        <v>1301</v>
      </c>
      <c r="P2142" t="s">
        <v>739</v>
      </c>
      <c r="Q2142" t="s">
        <v>467</v>
      </c>
      <c r="R2142" t="s">
        <v>814</v>
      </c>
      <c r="S2142" t="s">
        <v>1121</v>
      </c>
      <c r="T2142" t="s">
        <v>794</v>
      </c>
      <c r="U2142">
        <v>160700</v>
      </c>
      <c r="V2142" t="s">
        <v>7340</v>
      </c>
      <c r="W2142" t="s">
        <v>1304</v>
      </c>
      <c r="X2142" t="s">
        <v>12709</v>
      </c>
      <c r="Y2142" t="s">
        <v>12710</v>
      </c>
      <c r="Z2142" t="s">
        <v>921</v>
      </c>
      <c r="AA2142" t="s">
        <v>4349</v>
      </c>
      <c r="AB2142" t="s">
        <v>12711</v>
      </c>
      <c r="AE2142">
        <v>-37.045357170000003</v>
      </c>
      <c r="AF2142">
        <v>174.86400796000001</v>
      </c>
      <c r="AG2142" s="175">
        <v>50</v>
      </c>
      <c r="AH2142" s="175">
        <v>0</v>
      </c>
      <c r="AI2142" s="175">
        <v>0</v>
      </c>
      <c r="AJ2142" s="175">
        <v>0</v>
      </c>
      <c r="AK2142" s="175">
        <v>19</v>
      </c>
      <c r="AL2142" s="175">
        <v>21</v>
      </c>
      <c r="AM2142" s="175">
        <v>29</v>
      </c>
      <c r="AN2142" s="175">
        <v>6</v>
      </c>
      <c r="AO2142" s="175">
        <v>75</v>
      </c>
      <c r="AP2142" s="175">
        <v>16</v>
      </c>
      <c r="AQ2142" s="175">
        <v>58</v>
      </c>
      <c r="AR2142" s="175">
        <v>30</v>
      </c>
      <c r="AS2142" s="175">
        <v>3</v>
      </c>
      <c r="AT2142" s="175">
        <v>1</v>
      </c>
    </row>
    <row r="2143" spans="1:46">
      <c r="A2143">
        <v>45922</v>
      </c>
      <c r="B2143" t="s">
        <v>12712</v>
      </c>
      <c r="C2143" t="s">
        <v>12713</v>
      </c>
      <c r="D2143" t="s">
        <v>12714</v>
      </c>
      <c r="E2143" t="s">
        <v>12715</v>
      </c>
      <c r="F2143" t="s">
        <v>1450</v>
      </c>
      <c r="G2143" t="s">
        <v>737</v>
      </c>
      <c r="H2143" t="s">
        <v>449</v>
      </c>
      <c r="J2143" t="s">
        <v>4032</v>
      </c>
      <c r="K2143" t="s">
        <v>606</v>
      </c>
      <c r="M2143" t="s">
        <v>607</v>
      </c>
      <c r="N2143" t="s">
        <v>657</v>
      </c>
      <c r="O2143" t="s">
        <v>823</v>
      </c>
      <c r="P2143" t="s">
        <v>739</v>
      </c>
      <c r="Q2143" t="s">
        <v>467</v>
      </c>
      <c r="R2143" t="s">
        <v>724</v>
      </c>
      <c r="S2143" t="s">
        <v>841</v>
      </c>
      <c r="T2143" t="s">
        <v>613</v>
      </c>
      <c r="U2143">
        <v>125800</v>
      </c>
      <c r="V2143" t="s">
        <v>12716</v>
      </c>
      <c r="W2143" t="s">
        <v>826</v>
      </c>
      <c r="X2143" t="s">
        <v>12717</v>
      </c>
      <c r="Y2143" t="s">
        <v>12715</v>
      </c>
      <c r="Z2143" t="s">
        <v>1450</v>
      </c>
      <c r="AA2143" t="s">
        <v>5965</v>
      </c>
      <c r="AE2143">
        <v>-36.802254480000002</v>
      </c>
      <c r="AF2143">
        <v>174.72611950999999</v>
      </c>
      <c r="AG2143" s="175">
        <v>50</v>
      </c>
      <c r="AH2143" s="175">
        <v>16</v>
      </c>
      <c r="AI2143" s="175">
        <v>5</v>
      </c>
      <c r="AJ2143" s="175">
        <v>15</v>
      </c>
      <c r="AK2143" s="175">
        <v>16</v>
      </c>
      <c r="AL2143" s="175">
        <v>20</v>
      </c>
      <c r="AM2143" s="175">
        <v>7</v>
      </c>
      <c r="AN2143" s="175">
        <v>0</v>
      </c>
      <c r="AO2143" s="175">
        <v>63</v>
      </c>
      <c r="AP2143" s="175">
        <v>52</v>
      </c>
      <c r="AQ2143" s="175">
        <v>6</v>
      </c>
      <c r="AR2143" s="175">
        <v>5</v>
      </c>
      <c r="AS2143" s="175">
        <v>11</v>
      </c>
      <c r="AT2143" s="175">
        <v>5</v>
      </c>
    </row>
    <row r="2144" spans="1:46">
      <c r="A2144">
        <v>45923</v>
      </c>
      <c r="B2144" t="s">
        <v>12718</v>
      </c>
      <c r="C2144" t="s">
        <v>12719</v>
      </c>
      <c r="D2144" t="s">
        <v>12720</v>
      </c>
      <c r="E2144" t="s">
        <v>12721</v>
      </c>
      <c r="F2144" t="s">
        <v>1303</v>
      </c>
      <c r="G2144" t="s">
        <v>737</v>
      </c>
      <c r="H2144" t="s">
        <v>449</v>
      </c>
      <c r="J2144" t="s">
        <v>4032</v>
      </c>
      <c r="K2144" t="s">
        <v>606</v>
      </c>
      <c r="M2144" t="s">
        <v>607</v>
      </c>
      <c r="N2144" t="s">
        <v>608</v>
      </c>
      <c r="O2144" t="s">
        <v>1301</v>
      </c>
      <c r="P2144" t="s">
        <v>739</v>
      </c>
      <c r="Q2144" t="s">
        <v>467</v>
      </c>
      <c r="R2144" t="s">
        <v>814</v>
      </c>
      <c r="S2144" t="s">
        <v>1121</v>
      </c>
      <c r="T2144" t="s">
        <v>794</v>
      </c>
      <c r="U2144">
        <v>160300</v>
      </c>
      <c r="V2144" t="s">
        <v>1337</v>
      </c>
      <c r="W2144" t="s">
        <v>1304</v>
      </c>
      <c r="X2144" t="s">
        <v>12722</v>
      </c>
      <c r="Y2144" t="s">
        <v>4051</v>
      </c>
      <c r="AA2144" t="s">
        <v>4052</v>
      </c>
      <c r="AB2144" t="s">
        <v>12723</v>
      </c>
      <c r="AE2144">
        <v>-37.021173070000003</v>
      </c>
      <c r="AF2144">
        <v>174.90477718</v>
      </c>
      <c r="AG2144" s="175">
        <v>90</v>
      </c>
      <c r="AH2144" s="175">
        <v>20</v>
      </c>
      <c r="AI2144" s="175">
        <v>2</v>
      </c>
      <c r="AJ2144" s="175">
        <v>12</v>
      </c>
      <c r="AK2144" s="175">
        <v>27</v>
      </c>
      <c r="AL2144" s="175">
        <v>19</v>
      </c>
      <c r="AM2144" s="175">
        <v>32</v>
      </c>
      <c r="AN2144" s="175">
        <v>2</v>
      </c>
      <c r="AO2144" s="175">
        <v>94</v>
      </c>
      <c r="AP2144" s="175">
        <v>12</v>
      </c>
      <c r="AQ2144" s="175">
        <v>16</v>
      </c>
      <c r="AR2144" s="175">
        <v>34</v>
      </c>
      <c r="AS2144" s="175">
        <v>50</v>
      </c>
      <c r="AT2144" s="175">
        <v>3</v>
      </c>
    </row>
    <row r="2145" spans="1:46">
      <c r="A2145">
        <v>45924</v>
      </c>
      <c r="B2145" t="s">
        <v>12724</v>
      </c>
      <c r="C2145" t="s">
        <v>12725</v>
      </c>
      <c r="D2145" t="s">
        <v>12726</v>
      </c>
      <c r="E2145" t="s">
        <v>12727</v>
      </c>
      <c r="G2145" t="s">
        <v>3882</v>
      </c>
      <c r="H2145" t="s">
        <v>449</v>
      </c>
      <c r="J2145" t="s">
        <v>4032</v>
      </c>
      <c r="K2145" t="s">
        <v>606</v>
      </c>
      <c r="M2145" t="s">
        <v>607</v>
      </c>
      <c r="N2145" t="s">
        <v>625</v>
      </c>
      <c r="O2145" t="s">
        <v>1435</v>
      </c>
      <c r="P2145" t="s">
        <v>610</v>
      </c>
      <c r="Q2145" t="s">
        <v>510</v>
      </c>
      <c r="R2145" t="s">
        <v>814</v>
      </c>
      <c r="S2145" t="s">
        <v>1331</v>
      </c>
      <c r="T2145" t="s">
        <v>1320</v>
      </c>
      <c r="U2145">
        <v>170001</v>
      </c>
      <c r="V2145" t="s">
        <v>4609</v>
      </c>
      <c r="W2145" t="s">
        <v>3884</v>
      </c>
      <c r="X2145" t="s">
        <v>12728</v>
      </c>
      <c r="Y2145" t="s">
        <v>12729</v>
      </c>
      <c r="AA2145" t="s">
        <v>7805</v>
      </c>
      <c r="AE2145">
        <v>-37.250236440000002</v>
      </c>
      <c r="AF2145">
        <v>174.95067584</v>
      </c>
      <c r="AG2145" s="175">
        <v>38</v>
      </c>
      <c r="AH2145" s="175">
        <v>10</v>
      </c>
      <c r="AI2145" s="175">
        <v>0</v>
      </c>
      <c r="AJ2145" s="175">
        <v>4</v>
      </c>
      <c r="AK2145" s="175">
        <v>4</v>
      </c>
      <c r="AL2145" s="175">
        <v>2</v>
      </c>
      <c r="AM2145" s="175">
        <v>4</v>
      </c>
      <c r="AN2145" s="175">
        <v>0</v>
      </c>
      <c r="AO2145" s="175">
        <v>14</v>
      </c>
      <c r="AP2145" s="175">
        <v>6</v>
      </c>
      <c r="AQ2145" s="175">
        <v>6</v>
      </c>
      <c r="AR2145" s="175">
        <v>4</v>
      </c>
      <c r="AS2145" s="175">
        <v>5</v>
      </c>
      <c r="AT2145" s="175">
        <v>1</v>
      </c>
    </row>
    <row r="2146" spans="1:46">
      <c r="A2146">
        <v>45925</v>
      </c>
      <c r="B2146" t="s">
        <v>12730</v>
      </c>
      <c r="C2146" t="s">
        <v>12731</v>
      </c>
      <c r="E2146" t="s">
        <v>12732</v>
      </c>
      <c r="F2146" t="s">
        <v>1030</v>
      </c>
      <c r="G2146" t="s">
        <v>737</v>
      </c>
      <c r="H2146" t="s">
        <v>449</v>
      </c>
      <c r="J2146" t="s">
        <v>4032</v>
      </c>
      <c r="K2146" t="s">
        <v>606</v>
      </c>
      <c r="M2146" t="s">
        <v>607</v>
      </c>
      <c r="N2146" t="s">
        <v>608</v>
      </c>
      <c r="O2146" t="s">
        <v>933</v>
      </c>
      <c r="P2146" t="s">
        <v>739</v>
      </c>
      <c r="Q2146" t="s">
        <v>467</v>
      </c>
      <c r="R2146" t="s">
        <v>814</v>
      </c>
      <c r="S2146" t="s">
        <v>934</v>
      </c>
      <c r="T2146" t="s">
        <v>794</v>
      </c>
      <c r="U2146">
        <v>153200</v>
      </c>
      <c r="V2146" t="s">
        <v>12733</v>
      </c>
      <c r="W2146" t="s">
        <v>817</v>
      </c>
      <c r="X2146" t="s">
        <v>4872</v>
      </c>
      <c r="Y2146" t="s">
        <v>4059</v>
      </c>
      <c r="Z2146" t="s">
        <v>4060</v>
      </c>
      <c r="AA2146" t="s">
        <v>4061</v>
      </c>
      <c r="AC2146">
        <v>99102</v>
      </c>
      <c r="AD2146" t="s">
        <v>1123</v>
      </c>
      <c r="AE2146">
        <v>-36.972216639999999</v>
      </c>
      <c r="AF2146">
        <v>174.82910093999999</v>
      </c>
      <c r="AG2146" s="175">
        <v>30</v>
      </c>
      <c r="AH2146" s="175">
        <v>0</v>
      </c>
      <c r="AI2146" s="175">
        <v>0</v>
      </c>
      <c r="AJ2146" s="175">
        <v>0</v>
      </c>
      <c r="AK2146" s="175">
        <v>4</v>
      </c>
      <c r="AL2146" s="175">
        <v>6</v>
      </c>
      <c r="AM2146" s="175">
        <v>12</v>
      </c>
      <c r="AN2146" s="175">
        <v>3</v>
      </c>
      <c r="AO2146" s="175">
        <v>25</v>
      </c>
      <c r="AP2146" s="175">
        <v>1</v>
      </c>
      <c r="AQ2146" s="175">
        <v>2</v>
      </c>
      <c r="AR2146" s="175">
        <v>18</v>
      </c>
      <c r="AS2146" s="175">
        <v>3</v>
      </c>
      <c r="AT2146" s="175">
        <v>2</v>
      </c>
    </row>
    <row r="2147" spans="1:46">
      <c r="A2147">
        <v>45926</v>
      </c>
      <c r="B2147" t="s">
        <v>12734</v>
      </c>
      <c r="C2147" t="s">
        <v>12735</v>
      </c>
      <c r="D2147" t="s">
        <v>12736</v>
      </c>
      <c r="E2147" t="s">
        <v>12737</v>
      </c>
      <c r="F2147" t="s">
        <v>2622</v>
      </c>
      <c r="G2147" t="s">
        <v>2368</v>
      </c>
      <c r="H2147" t="s">
        <v>450</v>
      </c>
      <c r="I2147" t="s">
        <v>4233</v>
      </c>
      <c r="J2147" t="s">
        <v>605</v>
      </c>
      <c r="K2147" t="s">
        <v>606</v>
      </c>
      <c r="M2147" t="s">
        <v>2366</v>
      </c>
      <c r="N2147" t="s">
        <v>4586</v>
      </c>
      <c r="O2147" t="s">
        <v>2614</v>
      </c>
      <c r="P2147" t="s">
        <v>739</v>
      </c>
      <c r="Q2147" t="s">
        <v>516</v>
      </c>
      <c r="R2147" t="s">
        <v>2368</v>
      </c>
      <c r="S2147" t="s">
        <v>2623</v>
      </c>
      <c r="T2147" t="s">
        <v>1568</v>
      </c>
      <c r="U2147">
        <v>247900</v>
      </c>
      <c r="V2147" t="s">
        <v>2856</v>
      </c>
      <c r="W2147" t="s">
        <v>2625</v>
      </c>
      <c r="X2147" t="s">
        <v>1970</v>
      </c>
      <c r="Y2147" t="s">
        <v>1971</v>
      </c>
      <c r="AA2147" t="s">
        <v>1972</v>
      </c>
      <c r="AB2147" t="s">
        <v>1973</v>
      </c>
      <c r="AE2147">
        <v>-41.168806920000002</v>
      </c>
      <c r="AF2147">
        <v>174.82474361000001</v>
      </c>
      <c r="AG2147" s="175">
        <v>0</v>
      </c>
      <c r="AH2147" s="175">
        <v>0</v>
      </c>
      <c r="AI2147" s="175">
        <v>4</v>
      </c>
      <c r="AJ2147" s="175">
        <v>11</v>
      </c>
      <c r="AK2147" s="175">
        <v>9</v>
      </c>
      <c r="AL2147" s="175">
        <v>6</v>
      </c>
      <c r="AM2147" s="175">
        <v>6</v>
      </c>
      <c r="AN2147" s="175">
        <v>0</v>
      </c>
      <c r="AO2147" s="175">
        <v>36</v>
      </c>
      <c r="AP2147" s="175">
        <v>3</v>
      </c>
      <c r="AQ2147" s="175">
        <v>14</v>
      </c>
      <c r="AR2147" s="175">
        <v>24</v>
      </c>
      <c r="AS2147" s="175">
        <v>1</v>
      </c>
      <c r="AT2147" s="175">
        <v>4</v>
      </c>
    </row>
    <row r="2148" spans="1:46">
      <c r="A2148">
        <v>45929</v>
      </c>
      <c r="B2148" t="s">
        <v>12738</v>
      </c>
      <c r="C2148" t="s">
        <v>12739</v>
      </c>
      <c r="D2148" t="s">
        <v>8100</v>
      </c>
      <c r="E2148" t="s">
        <v>12740</v>
      </c>
      <c r="F2148" t="s">
        <v>1157</v>
      </c>
      <c r="G2148" t="s">
        <v>737</v>
      </c>
      <c r="H2148" t="s">
        <v>449</v>
      </c>
      <c r="J2148" t="s">
        <v>4032</v>
      </c>
      <c r="K2148" t="s">
        <v>606</v>
      </c>
      <c r="M2148" t="s">
        <v>607</v>
      </c>
      <c r="N2148" t="s">
        <v>608</v>
      </c>
      <c r="O2148" t="s">
        <v>933</v>
      </c>
      <c r="P2148" t="s">
        <v>739</v>
      </c>
      <c r="Q2148" t="s">
        <v>467</v>
      </c>
      <c r="R2148" t="s">
        <v>814</v>
      </c>
      <c r="S2148" t="s">
        <v>815</v>
      </c>
      <c r="T2148" t="s">
        <v>794</v>
      </c>
      <c r="U2148">
        <v>150301</v>
      </c>
      <c r="V2148" t="s">
        <v>7932</v>
      </c>
      <c r="W2148" t="s">
        <v>817</v>
      </c>
      <c r="X2148" t="s">
        <v>8102</v>
      </c>
      <c r="Y2148" t="s">
        <v>8103</v>
      </c>
      <c r="AA2148" t="s">
        <v>8104</v>
      </c>
      <c r="AB2148" t="s">
        <v>8105</v>
      </c>
      <c r="AE2148">
        <v>-36.940580310000001</v>
      </c>
      <c r="AF2148">
        <v>174.84256310000001</v>
      </c>
      <c r="AG2148" s="175">
        <v>70</v>
      </c>
      <c r="AH2148" s="175">
        <v>20</v>
      </c>
      <c r="AI2148" s="175">
        <v>5</v>
      </c>
      <c r="AJ2148" s="175">
        <v>14</v>
      </c>
      <c r="AK2148" s="175">
        <v>20</v>
      </c>
      <c r="AL2148" s="175">
        <v>12</v>
      </c>
      <c r="AM2148" s="175">
        <v>15</v>
      </c>
      <c r="AN2148" s="175">
        <v>2</v>
      </c>
      <c r="AO2148" s="175">
        <v>68</v>
      </c>
      <c r="AP2148" s="175">
        <v>1</v>
      </c>
      <c r="AQ2148" s="175">
        <v>13</v>
      </c>
      <c r="AR2148" s="175">
        <v>44</v>
      </c>
      <c r="AS2148" s="175">
        <v>24</v>
      </c>
      <c r="AT2148" s="175">
        <v>0</v>
      </c>
    </row>
    <row r="2149" spans="1:46">
      <c r="A2149">
        <v>45930</v>
      </c>
      <c r="B2149" t="s">
        <v>12741</v>
      </c>
      <c r="C2149" t="s">
        <v>12742</v>
      </c>
      <c r="D2149" t="s">
        <v>12743</v>
      </c>
      <c r="E2149" t="s">
        <v>12744</v>
      </c>
      <c r="F2149" t="s">
        <v>2675</v>
      </c>
      <c r="G2149" t="s">
        <v>2368</v>
      </c>
      <c r="H2149" t="s">
        <v>449</v>
      </c>
      <c r="J2149" t="s">
        <v>4032</v>
      </c>
      <c r="K2149" t="s">
        <v>606</v>
      </c>
      <c r="M2149" t="s">
        <v>2366</v>
      </c>
      <c r="N2149" t="s">
        <v>657</v>
      </c>
      <c r="O2149" t="s">
        <v>2614</v>
      </c>
      <c r="P2149" t="s">
        <v>739</v>
      </c>
      <c r="Q2149" t="s">
        <v>516</v>
      </c>
      <c r="R2149" t="s">
        <v>2368</v>
      </c>
      <c r="S2149" t="s">
        <v>2623</v>
      </c>
      <c r="T2149" t="s">
        <v>2526</v>
      </c>
      <c r="U2149">
        <v>249200</v>
      </c>
      <c r="V2149" t="s">
        <v>12745</v>
      </c>
      <c r="W2149" t="s">
        <v>2625</v>
      </c>
      <c r="X2149" t="s">
        <v>12404</v>
      </c>
      <c r="Y2149" t="s">
        <v>4166</v>
      </c>
      <c r="Z2149" t="s">
        <v>4167</v>
      </c>
      <c r="AA2149" t="s">
        <v>4168</v>
      </c>
      <c r="AE2149">
        <v>-41.233409029999997</v>
      </c>
      <c r="AF2149">
        <v>174.79792785000001</v>
      </c>
      <c r="AG2149" s="175">
        <v>100</v>
      </c>
      <c r="AH2149" s="175">
        <v>40</v>
      </c>
      <c r="AI2149" s="175">
        <v>4</v>
      </c>
      <c r="AJ2149" s="175">
        <v>21</v>
      </c>
      <c r="AK2149" s="175">
        <v>22</v>
      </c>
      <c r="AL2149" s="175">
        <v>32</v>
      </c>
      <c r="AM2149" s="175">
        <v>26</v>
      </c>
      <c r="AN2149" s="175">
        <v>0</v>
      </c>
      <c r="AO2149" s="175">
        <v>105</v>
      </c>
      <c r="AP2149" s="175">
        <v>71</v>
      </c>
      <c r="AQ2149" s="175">
        <v>5</v>
      </c>
      <c r="AR2149" s="175">
        <v>5</v>
      </c>
      <c r="AS2149" s="175">
        <v>39</v>
      </c>
      <c r="AT2149" s="175">
        <v>12</v>
      </c>
    </row>
    <row r="2150" spans="1:46">
      <c r="A2150">
        <v>45931</v>
      </c>
      <c r="B2150" t="s">
        <v>12746</v>
      </c>
      <c r="C2150" t="s">
        <v>12747</v>
      </c>
      <c r="D2150" t="s">
        <v>12748</v>
      </c>
      <c r="E2150" t="s">
        <v>12749</v>
      </c>
      <c r="G2150" t="s">
        <v>10496</v>
      </c>
      <c r="H2150" t="s">
        <v>449</v>
      </c>
      <c r="J2150" t="s">
        <v>4032</v>
      </c>
      <c r="K2150" t="s">
        <v>606</v>
      </c>
      <c r="M2150" t="s">
        <v>2366</v>
      </c>
      <c r="N2150" t="s">
        <v>625</v>
      </c>
      <c r="O2150" t="s">
        <v>2147</v>
      </c>
      <c r="P2150" t="s">
        <v>610</v>
      </c>
      <c r="Q2150" t="s">
        <v>553</v>
      </c>
      <c r="R2150" t="s">
        <v>2368</v>
      </c>
      <c r="S2150" t="s">
        <v>2148</v>
      </c>
      <c r="T2150" t="s">
        <v>1568</v>
      </c>
      <c r="U2150">
        <v>234100</v>
      </c>
      <c r="V2150" t="s">
        <v>10496</v>
      </c>
      <c r="W2150" t="s">
        <v>2150</v>
      </c>
      <c r="X2150" t="s">
        <v>10355</v>
      </c>
      <c r="Y2150" t="s">
        <v>10356</v>
      </c>
      <c r="AA2150" t="s">
        <v>12750</v>
      </c>
      <c r="AB2150" t="s">
        <v>10358</v>
      </c>
      <c r="AC2150">
        <v>99058</v>
      </c>
      <c r="AD2150" t="s">
        <v>2806</v>
      </c>
      <c r="AE2150">
        <v>-40.45666567</v>
      </c>
      <c r="AF2150">
        <v>175.22632909999999</v>
      </c>
      <c r="AG2150" s="175">
        <v>90</v>
      </c>
      <c r="AH2150" s="175">
        <v>18</v>
      </c>
      <c r="AI2150" s="175">
        <v>5</v>
      </c>
      <c r="AJ2150" s="175">
        <v>16</v>
      </c>
      <c r="AK2150" s="175">
        <v>23</v>
      </c>
      <c r="AL2150" s="175">
        <v>28</v>
      </c>
      <c r="AM2150" s="175">
        <v>28</v>
      </c>
      <c r="AN2150" s="175">
        <v>0</v>
      </c>
      <c r="AO2150" s="175">
        <v>100</v>
      </c>
      <c r="AP2150" s="175">
        <v>84</v>
      </c>
      <c r="AQ2150" s="175">
        <v>58</v>
      </c>
      <c r="AR2150" s="175">
        <v>5</v>
      </c>
      <c r="AS2150" s="175">
        <v>2</v>
      </c>
      <c r="AT2150" s="175">
        <v>0</v>
      </c>
    </row>
    <row r="2151" spans="1:46">
      <c r="A2151">
        <v>45933</v>
      </c>
      <c r="B2151" t="s">
        <v>12751</v>
      </c>
      <c r="C2151" t="s">
        <v>12752</v>
      </c>
      <c r="E2151" t="s">
        <v>12753</v>
      </c>
      <c r="F2151" t="s">
        <v>4757</v>
      </c>
      <c r="G2151" t="s">
        <v>737</v>
      </c>
      <c r="H2151" t="s">
        <v>449</v>
      </c>
      <c r="J2151" t="s">
        <v>4032</v>
      </c>
      <c r="K2151" t="s">
        <v>606</v>
      </c>
      <c r="M2151" t="s">
        <v>607</v>
      </c>
      <c r="N2151" t="s">
        <v>657</v>
      </c>
      <c r="O2151" t="s">
        <v>1042</v>
      </c>
      <c r="P2151" t="s">
        <v>739</v>
      </c>
      <c r="Q2151" t="s">
        <v>467</v>
      </c>
      <c r="R2151" t="s">
        <v>793</v>
      </c>
      <c r="S2151" t="s">
        <v>907</v>
      </c>
      <c r="T2151" t="s">
        <v>794</v>
      </c>
      <c r="U2151">
        <v>138501</v>
      </c>
      <c r="V2151" t="s">
        <v>4757</v>
      </c>
      <c r="W2151" t="s">
        <v>909</v>
      </c>
      <c r="X2151" t="s">
        <v>12754</v>
      </c>
      <c r="Y2151" t="s">
        <v>12755</v>
      </c>
      <c r="Z2151" t="s">
        <v>6227</v>
      </c>
      <c r="AA2151" t="s">
        <v>4498</v>
      </c>
      <c r="AB2151" t="s">
        <v>12756</v>
      </c>
      <c r="AE2151">
        <v>-36.870187489999999</v>
      </c>
      <c r="AF2151">
        <v>174.77637759999999</v>
      </c>
      <c r="AG2151" s="175">
        <v>70</v>
      </c>
      <c r="AH2151" s="175">
        <v>20</v>
      </c>
      <c r="AI2151" s="175">
        <v>0</v>
      </c>
      <c r="AJ2151" s="175">
        <v>14</v>
      </c>
      <c r="AK2151" s="175">
        <v>15</v>
      </c>
      <c r="AL2151" s="175">
        <v>12</v>
      </c>
      <c r="AM2151" s="175">
        <v>13</v>
      </c>
      <c r="AN2151" s="175">
        <v>0</v>
      </c>
      <c r="AO2151" s="175">
        <v>54</v>
      </c>
      <c r="AP2151" s="175">
        <v>18</v>
      </c>
      <c r="AQ2151" s="175">
        <v>3</v>
      </c>
      <c r="AR2151" s="175">
        <v>6</v>
      </c>
      <c r="AS2151" s="175">
        <v>33</v>
      </c>
      <c r="AT2151" s="175">
        <v>3</v>
      </c>
    </row>
    <row r="2152" spans="1:46">
      <c r="A2152">
        <v>45934</v>
      </c>
      <c r="B2152" t="s">
        <v>12757</v>
      </c>
      <c r="C2152" t="s">
        <v>12758</v>
      </c>
      <c r="D2152" t="s">
        <v>12759</v>
      </c>
      <c r="E2152" t="s">
        <v>12760</v>
      </c>
      <c r="F2152" t="s">
        <v>1121</v>
      </c>
      <c r="G2152" t="s">
        <v>737</v>
      </c>
      <c r="H2152" t="s">
        <v>449</v>
      </c>
      <c r="J2152" t="s">
        <v>605</v>
      </c>
      <c r="K2152" t="s">
        <v>606</v>
      </c>
      <c r="M2152" t="s">
        <v>607</v>
      </c>
      <c r="N2152" t="s">
        <v>608</v>
      </c>
      <c r="O2152" t="s">
        <v>1301</v>
      </c>
      <c r="P2152" t="s">
        <v>739</v>
      </c>
      <c r="Q2152" t="s">
        <v>467</v>
      </c>
      <c r="R2152" t="s">
        <v>814</v>
      </c>
      <c r="S2152" t="s">
        <v>1121</v>
      </c>
      <c r="T2152" t="s">
        <v>794</v>
      </c>
      <c r="U2152">
        <v>160100</v>
      </c>
      <c r="V2152" t="s">
        <v>6942</v>
      </c>
      <c r="W2152" t="s">
        <v>1304</v>
      </c>
      <c r="X2152" t="s">
        <v>4670</v>
      </c>
      <c r="Y2152" t="s">
        <v>4671</v>
      </c>
      <c r="AA2152" t="s">
        <v>4106</v>
      </c>
      <c r="AB2152" t="s">
        <v>4672</v>
      </c>
      <c r="AE2152">
        <v>-37.024936500000003</v>
      </c>
      <c r="AF2152">
        <v>174.8862378</v>
      </c>
      <c r="AG2152" s="175">
        <v>50</v>
      </c>
      <c r="AH2152" s="175">
        <v>0</v>
      </c>
      <c r="AI2152" s="175">
        <v>0</v>
      </c>
      <c r="AJ2152" s="175">
        <v>0</v>
      </c>
      <c r="AK2152" s="175">
        <v>2</v>
      </c>
      <c r="AL2152" s="175">
        <v>12</v>
      </c>
      <c r="AM2152" s="175">
        <v>16</v>
      </c>
      <c r="AN2152" s="175">
        <v>0</v>
      </c>
      <c r="AO2152" s="175">
        <v>30</v>
      </c>
      <c r="AP2152" s="175">
        <v>1</v>
      </c>
      <c r="AQ2152" s="175">
        <v>7</v>
      </c>
      <c r="AR2152" s="175">
        <v>17</v>
      </c>
      <c r="AS2152" s="175">
        <v>9</v>
      </c>
      <c r="AT2152" s="175">
        <v>0</v>
      </c>
    </row>
    <row r="2153" spans="1:46">
      <c r="A2153">
        <v>45935</v>
      </c>
      <c r="B2153" t="s">
        <v>12761</v>
      </c>
      <c r="C2153" t="s">
        <v>12762</v>
      </c>
      <c r="D2153" t="s">
        <v>12763</v>
      </c>
      <c r="E2153" t="s">
        <v>12764</v>
      </c>
      <c r="G2153" t="s">
        <v>12765</v>
      </c>
      <c r="H2153" t="s">
        <v>449</v>
      </c>
      <c r="I2153" t="s">
        <v>4298</v>
      </c>
      <c r="J2153" t="s">
        <v>605</v>
      </c>
      <c r="K2153" t="s">
        <v>606</v>
      </c>
      <c r="M2153" t="s">
        <v>607</v>
      </c>
      <c r="N2153" t="s">
        <v>657</v>
      </c>
      <c r="O2153" t="s">
        <v>609</v>
      </c>
      <c r="P2153" t="s">
        <v>658</v>
      </c>
      <c r="Q2153" t="s">
        <v>509</v>
      </c>
      <c r="R2153" t="s">
        <v>611</v>
      </c>
      <c r="S2153" t="s">
        <v>612</v>
      </c>
      <c r="T2153" t="s">
        <v>613</v>
      </c>
      <c r="U2153">
        <v>103301</v>
      </c>
      <c r="V2153" t="s">
        <v>12766</v>
      </c>
      <c r="W2153" t="s">
        <v>644</v>
      </c>
      <c r="X2153" t="s">
        <v>12767</v>
      </c>
      <c r="Y2153" t="s">
        <v>12768</v>
      </c>
      <c r="AA2153" t="s">
        <v>4922</v>
      </c>
      <c r="AB2153" t="s">
        <v>12769</v>
      </c>
      <c r="AC2153">
        <v>99117</v>
      </c>
      <c r="AD2153" t="s">
        <v>645</v>
      </c>
      <c r="AE2153">
        <v>-35.320500099999997</v>
      </c>
      <c r="AF2153">
        <v>173.9779738</v>
      </c>
      <c r="AG2153" s="175">
        <v>30</v>
      </c>
      <c r="AH2153" s="175">
        <v>0</v>
      </c>
      <c r="AI2153" s="175">
        <v>0</v>
      </c>
      <c r="AJ2153" s="175">
        <v>0</v>
      </c>
      <c r="AK2153" s="175">
        <v>6</v>
      </c>
      <c r="AL2153" s="175">
        <v>10</v>
      </c>
      <c r="AM2153" s="175">
        <v>9</v>
      </c>
      <c r="AN2153" s="175">
        <v>4</v>
      </c>
      <c r="AO2153" s="175">
        <v>29</v>
      </c>
      <c r="AP2153" s="175">
        <v>26</v>
      </c>
      <c r="AQ2153" s="175">
        <v>7</v>
      </c>
      <c r="AR2153" s="175">
        <v>1</v>
      </c>
      <c r="AS2153" s="175">
        <v>5</v>
      </c>
      <c r="AT2153" s="175">
        <v>0</v>
      </c>
    </row>
    <row r="2154" spans="1:46">
      <c r="A2154">
        <v>45936</v>
      </c>
      <c r="B2154" t="s">
        <v>12770</v>
      </c>
      <c r="C2154" t="s">
        <v>12771</v>
      </c>
      <c r="D2154" t="s">
        <v>12772</v>
      </c>
      <c r="E2154" t="s">
        <v>12773</v>
      </c>
      <c r="F2154" t="s">
        <v>1030</v>
      </c>
      <c r="G2154" t="s">
        <v>737</v>
      </c>
      <c r="H2154" t="s">
        <v>449</v>
      </c>
      <c r="I2154" t="s">
        <v>3715</v>
      </c>
      <c r="J2154" t="s">
        <v>605</v>
      </c>
      <c r="K2154" t="s">
        <v>606</v>
      </c>
      <c r="M2154" t="s">
        <v>607</v>
      </c>
      <c r="N2154" t="s">
        <v>812</v>
      </c>
      <c r="O2154" t="s">
        <v>933</v>
      </c>
      <c r="P2154" t="s">
        <v>739</v>
      </c>
      <c r="Q2154" t="s">
        <v>467</v>
      </c>
      <c r="R2154" t="s">
        <v>814</v>
      </c>
      <c r="S2154" t="s">
        <v>934</v>
      </c>
      <c r="T2154" t="s">
        <v>794</v>
      </c>
      <c r="U2154">
        <v>149600</v>
      </c>
      <c r="V2154" t="s">
        <v>7735</v>
      </c>
      <c r="W2154" t="s">
        <v>817</v>
      </c>
      <c r="X2154" t="s">
        <v>12774</v>
      </c>
      <c r="Y2154" t="s">
        <v>12773</v>
      </c>
      <c r="Z2154" t="s">
        <v>932</v>
      </c>
      <c r="AA2154" t="s">
        <v>7521</v>
      </c>
      <c r="AB2154" t="s">
        <v>12775</v>
      </c>
      <c r="AE2154">
        <v>-36.957897150000001</v>
      </c>
      <c r="AF2154">
        <v>174.82735597999999</v>
      </c>
      <c r="AG2154" s="175">
        <v>0</v>
      </c>
      <c r="AH2154" s="175">
        <v>0</v>
      </c>
      <c r="AI2154" s="175">
        <v>1</v>
      </c>
      <c r="AJ2154" s="175">
        <v>2</v>
      </c>
      <c r="AK2154" s="175">
        <v>3</v>
      </c>
      <c r="AL2154" s="175">
        <v>7</v>
      </c>
      <c r="AM2154" s="175">
        <v>5</v>
      </c>
      <c r="AN2154" s="175">
        <v>0</v>
      </c>
      <c r="AO2154" s="175">
        <v>18</v>
      </c>
      <c r="AP2154" s="175">
        <v>0</v>
      </c>
      <c r="AQ2154" s="175">
        <v>0</v>
      </c>
      <c r="AR2154" s="175">
        <v>18</v>
      </c>
      <c r="AS2154" s="175">
        <v>0</v>
      </c>
      <c r="AT2154" s="175">
        <v>0</v>
      </c>
    </row>
    <row r="2155" spans="1:46">
      <c r="A2155">
        <v>45940</v>
      </c>
      <c r="B2155" t="s">
        <v>12776</v>
      </c>
      <c r="C2155" t="s">
        <v>12777</v>
      </c>
      <c r="D2155" t="s">
        <v>12778</v>
      </c>
      <c r="E2155" t="s">
        <v>12779</v>
      </c>
      <c r="F2155" t="s">
        <v>932</v>
      </c>
      <c r="G2155" t="s">
        <v>737</v>
      </c>
      <c r="H2155" t="s">
        <v>449</v>
      </c>
      <c r="J2155" t="s">
        <v>4032</v>
      </c>
      <c r="K2155" t="s">
        <v>606</v>
      </c>
      <c r="M2155" t="s">
        <v>607</v>
      </c>
      <c r="N2155" t="s">
        <v>812</v>
      </c>
      <c r="O2155" t="s">
        <v>933</v>
      </c>
      <c r="P2155" t="s">
        <v>739</v>
      </c>
      <c r="Q2155" t="s">
        <v>467</v>
      </c>
      <c r="R2155" t="s">
        <v>814</v>
      </c>
      <c r="S2155" t="s">
        <v>934</v>
      </c>
      <c r="T2155" t="s">
        <v>794</v>
      </c>
      <c r="U2155">
        <v>150000</v>
      </c>
      <c r="V2155" t="s">
        <v>1055</v>
      </c>
      <c r="W2155" t="s">
        <v>817</v>
      </c>
      <c r="X2155" t="s">
        <v>12780</v>
      </c>
      <c r="Y2155" t="s">
        <v>12779</v>
      </c>
      <c r="Z2155" t="s">
        <v>1030</v>
      </c>
      <c r="AA2155" t="s">
        <v>7521</v>
      </c>
      <c r="AC2155">
        <v>99102</v>
      </c>
      <c r="AD2155" t="s">
        <v>1123</v>
      </c>
      <c r="AE2155">
        <v>-36.957711080000003</v>
      </c>
      <c r="AF2155">
        <v>174.81463685</v>
      </c>
      <c r="AG2155" s="175">
        <v>40</v>
      </c>
      <c r="AH2155" s="175">
        <v>5</v>
      </c>
      <c r="AI2155" s="175">
        <v>1</v>
      </c>
      <c r="AJ2155" s="175">
        <v>2</v>
      </c>
      <c r="AK2155" s="175">
        <v>7</v>
      </c>
      <c r="AL2155" s="175">
        <v>14</v>
      </c>
      <c r="AM2155" s="175">
        <v>8</v>
      </c>
      <c r="AN2155" s="175">
        <v>1</v>
      </c>
      <c r="AO2155" s="175">
        <v>33</v>
      </c>
      <c r="AP2155" s="175">
        <v>2</v>
      </c>
      <c r="AQ2155" s="175">
        <v>10</v>
      </c>
      <c r="AR2155" s="175">
        <v>29</v>
      </c>
      <c r="AS2155" s="175">
        <v>5</v>
      </c>
      <c r="AT2155" s="175">
        <v>0</v>
      </c>
    </row>
    <row r="2156" spans="1:46">
      <c r="A2156">
        <v>45941</v>
      </c>
      <c r="B2156" t="s">
        <v>12781</v>
      </c>
      <c r="C2156" t="s">
        <v>12782</v>
      </c>
      <c r="D2156" t="s">
        <v>12783</v>
      </c>
      <c r="E2156" t="s">
        <v>12784</v>
      </c>
      <c r="F2156" t="s">
        <v>2811</v>
      </c>
      <c r="G2156" t="s">
        <v>2505</v>
      </c>
      <c r="H2156" t="s">
        <v>449</v>
      </c>
      <c r="J2156" t="s">
        <v>4032</v>
      </c>
      <c r="K2156" t="s">
        <v>606</v>
      </c>
      <c r="M2156" t="s">
        <v>2366</v>
      </c>
      <c r="N2156" t="s">
        <v>657</v>
      </c>
      <c r="O2156" t="s">
        <v>2506</v>
      </c>
      <c r="P2156" t="s">
        <v>739</v>
      </c>
      <c r="Q2156" t="s">
        <v>516</v>
      </c>
      <c r="R2156" t="s">
        <v>2368</v>
      </c>
      <c r="S2156" t="s">
        <v>2507</v>
      </c>
      <c r="T2156" t="s">
        <v>2526</v>
      </c>
      <c r="U2156">
        <v>245000</v>
      </c>
      <c r="V2156" t="s">
        <v>2893</v>
      </c>
      <c r="W2156" t="s">
        <v>2569</v>
      </c>
      <c r="X2156" t="s">
        <v>12785</v>
      </c>
      <c r="Y2156" t="s">
        <v>12786</v>
      </c>
      <c r="AA2156" t="s">
        <v>12361</v>
      </c>
      <c r="AE2156">
        <v>-41.227336940000001</v>
      </c>
      <c r="AF2156">
        <v>174.88167888999999</v>
      </c>
      <c r="AG2156" s="175">
        <v>75</v>
      </c>
      <c r="AH2156" s="175">
        <v>20</v>
      </c>
      <c r="AI2156" s="175">
        <v>1</v>
      </c>
      <c r="AJ2156" s="175">
        <v>23</v>
      </c>
      <c r="AK2156" s="175">
        <v>21</v>
      </c>
      <c r="AL2156" s="175">
        <v>21</v>
      </c>
      <c r="AM2156" s="175">
        <v>19</v>
      </c>
      <c r="AN2156" s="175">
        <v>0</v>
      </c>
      <c r="AO2156" s="175">
        <v>85</v>
      </c>
      <c r="AP2156" s="175">
        <v>65</v>
      </c>
      <c r="AQ2156" s="175">
        <v>21</v>
      </c>
      <c r="AR2156" s="175">
        <v>15</v>
      </c>
      <c r="AS2156" s="175">
        <v>13</v>
      </c>
      <c r="AT2156" s="175">
        <v>1</v>
      </c>
    </row>
    <row r="2157" spans="1:46">
      <c r="A2157">
        <v>45943</v>
      </c>
      <c r="B2157" t="s">
        <v>12787</v>
      </c>
      <c r="C2157" t="s">
        <v>12788</v>
      </c>
      <c r="D2157" t="s">
        <v>12510</v>
      </c>
      <c r="E2157" t="s">
        <v>12511</v>
      </c>
      <c r="F2157" t="s">
        <v>5242</v>
      </c>
      <c r="G2157" t="s">
        <v>737</v>
      </c>
      <c r="H2157" t="s">
        <v>450</v>
      </c>
      <c r="J2157" t="s">
        <v>4032</v>
      </c>
      <c r="K2157" t="s">
        <v>606</v>
      </c>
      <c r="M2157" t="s">
        <v>607</v>
      </c>
      <c r="N2157" t="s">
        <v>657</v>
      </c>
      <c r="O2157" t="s">
        <v>889</v>
      </c>
      <c r="P2157" t="s">
        <v>739</v>
      </c>
      <c r="Q2157" t="s">
        <v>467</v>
      </c>
      <c r="R2157" t="s">
        <v>793</v>
      </c>
      <c r="S2157" t="s">
        <v>965</v>
      </c>
      <c r="T2157" t="s">
        <v>794</v>
      </c>
      <c r="U2157">
        <v>141801</v>
      </c>
      <c r="V2157" t="s">
        <v>6570</v>
      </c>
      <c r="W2157" t="s">
        <v>909</v>
      </c>
      <c r="X2157" t="s">
        <v>12512</v>
      </c>
      <c r="Y2157" t="s">
        <v>12513</v>
      </c>
      <c r="Z2157" t="s">
        <v>12514</v>
      </c>
      <c r="AA2157" t="s">
        <v>12515</v>
      </c>
      <c r="AE2157">
        <v>-36.852834010000002</v>
      </c>
      <c r="AF2157">
        <v>174.83816302</v>
      </c>
      <c r="AG2157" s="175">
        <v>80</v>
      </c>
      <c r="AH2157" s="175">
        <v>80</v>
      </c>
      <c r="AI2157" s="175">
        <v>2</v>
      </c>
      <c r="AJ2157" s="175">
        <v>21</v>
      </c>
      <c r="AK2157" s="175">
        <v>24</v>
      </c>
      <c r="AL2157" s="175">
        <v>21</v>
      </c>
      <c r="AM2157" s="175">
        <v>16</v>
      </c>
      <c r="AN2157" s="175">
        <v>1</v>
      </c>
      <c r="AO2157" s="175">
        <v>85</v>
      </c>
      <c r="AP2157" s="175">
        <v>73</v>
      </c>
      <c r="AQ2157" s="175">
        <v>3</v>
      </c>
      <c r="AR2157" s="175">
        <v>1</v>
      </c>
      <c r="AS2157" s="175">
        <v>12</v>
      </c>
      <c r="AT2157" s="175">
        <v>3</v>
      </c>
    </row>
    <row r="2158" spans="1:46">
      <c r="A2158">
        <v>45944</v>
      </c>
      <c r="B2158" t="s">
        <v>12789</v>
      </c>
      <c r="C2158" t="s">
        <v>12790</v>
      </c>
      <c r="E2158" t="s">
        <v>12791</v>
      </c>
      <c r="G2158" t="s">
        <v>3905</v>
      </c>
      <c r="H2158" t="s">
        <v>450</v>
      </c>
      <c r="J2158" t="s">
        <v>4032</v>
      </c>
      <c r="K2158" t="s">
        <v>606</v>
      </c>
      <c r="M2158" t="s">
        <v>2366</v>
      </c>
      <c r="N2158" t="s">
        <v>657</v>
      </c>
      <c r="O2158" t="s">
        <v>3906</v>
      </c>
      <c r="P2158" t="s">
        <v>1347</v>
      </c>
      <c r="Q2158" t="s">
        <v>522</v>
      </c>
      <c r="R2158" t="s">
        <v>3410</v>
      </c>
      <c r="S2158" t="s">
        <v>3433</v>
      </c>
      <c r="T2158" t="s">
        <v>2526</v>
      </c>
      <c r="U2158">
        <v>348100</v>
      </c>
      <c r="V2158" t="s">
        <v>11872</v>
      </c>
      <c r="W2158" t="s">
        <v>3908</v>
      </c>
      <c r="X2158" t="s">
        <v>12792</v>
      </c>
      <c r="Y2158" t="s">
        <v>9089</v>
      </c>
      <c r="Z2158" t="s">
        <v>2505</v>
      </c>
      <c r="AA2158" t="s">
        <v>9092</v>
      </c>
      <c r="AB2158" t="s">
        <v>12793</v>
      </c>
      <c r="AE2158">
        <v>-45.030465229999997</v>
      </c>
      <c r="AF2158">
        <v>168.66031479</v>
      </c>
      <c r="AG2158" s="175">
        <v>80</v>
      </c>
      <c r="AH2158" s="175">
        <v>80</v>
      </c>
      <c r="AI2158" s="175">
        <v>2</v>
      </c>
      <c r="AJ2158" s="175">
        <v>9</v>
      </c>
      <c r="AK2158" s="175">
        <v>14</v>
      </c>
      <c r="AL2158" s="175">
        <v>10</v>
      </c>
      <c r="AM2158" s="175">
        <v>7</v>
      </c>
      <c r="AN2158" s="175">
        <v>0</v>
      </c>
      <c r="AO2158" s="175">
        <v>42</v>
      </c>
      <c r="AP2158" s="175">
        <v>37</v>
      </c>
      <c r="AQ2158" s="175">
        <v>7</v>
      </c>
      <c r="AR2158" s="175">
        <v>3</v>
      </c>
      <c r="AS2158" s="175">
        <v>4</v>
      </c>
      <c r="AT2158" s="175">
        <v>0</v>
      </c>
    </row>
    <row r="2159" spans="1:46">
      <c r="A2159">
        <v>45945</v>
      </c>
      <c r="B2159" t="s">
        <v>12794</v>
      </c>
      <c r="C2159" t="s">
        <v>12795</v>
      </c>
      <c r="D2159" t="s">
        <v>12796</v>
      </c>
      <c r="E2159" t="s">
        <v>12797</v>
      </c>
      <c r="F2159" t="s">
        <v>5926</v>
      </c>
      <c r="G2159" t="s">
        <v>737</v>
      </c>
      <c r="H2159" t="s">
        <v>449</v>
      </c>
      <c r="J2159" t="s">
        <v>4032</v>
      </c>
      <c r="K2159" t="s">
        <v>606</v>
      </c>
      <c r="M2159" t="s">
        <v>607</v>
      </c>
      <c r="N2159" t="s">
        <v>657</v>
      </c>
      <c r="O2159" t="s">
        <v>833</v>
      </c>
      <c r="P2159" t="s">
        <v>739</v>
      </c>
      <c r="Q2159" t="s">
        <v>467</v>
      </c>
      <c r="R2159" t="s">
        <v>724</v>
      </c>
      <c r="S2159" t="s">
        <v>767</v>
      </c>
      <c r="T2159" t="s">
        <v>613</v>
      </c>
      <c r="U2159">
        <v>121300</v>
      </c>
      <c r="V2159" t="s">
        <v>870</v>
      </c>
      <c r="W2159" t="s">
        <v>826</v>
      </c>
      <c r="X2159" t="s">
        <v>12798</v>
      </c>
      <c r="Y2159" t="s">
        <v>12797</v>
      </c>
      <c r="Z2159" t="s">
        <v>5926</v>
      </c>
      <c r="AA2159" t="s">
        <v>4977</v>
      </c>
      <c r="AB2159" t="s">
        <v>12795</v>
      </c>
      <c r="AC2159">
        <v>99188</v>
      </c>
      <c r="AD2159" t="s">
        <v>871</v>
      </c>
      <c r="AE2159">
        <v>-36.754745610000001</v>
      </c>
      <c r="AF2159">
        <v>174.74031959000001</v>
      </c>
      <c r="AG2159" s="175">
        <v>80</v>
      </c>
      <c r="AH2159" s="175">
        <v>35</v>
      </c>
      <c r="AI2159" s="175">
        <v>2</v>
      </c>
      <c r="AJ2159" s="175">
        <v>13</v>
      </c>
      <c r="AK2159" s="175">
        <v>33</v>
      </c>
      <c r="AL2159" s="175">
        <v>16</v>
      </c>
      <c r="AM2159" s="175">
        <v>24</v>
      </c>
      <c r="AN2159" s="175">
        <v>1</v>
      </c>
      <c r="AO2159" s="175">
        <v>89</v>
      </c>
      <c r="AP2159" s="175">
        <v>54</v>
      </c>
      <c r="AQ2159" s="175">
        <v>4</v>
      </c>
      <c r="AR2159" s="175">
        <v>1</v>
      </c>
      <c r="AS2159" s="175">
        <v>34</v>
      </c>
      <c r="AT2159" s="175">
        <v>8</v>
      </c>
    </row>
    <row r="2160" spans="1:46">
      <c r="A2160">
        <v>45946</v>
      </c>
      <c r="B2160" t="s">
        <v>12799</v>
      </c>
      <c r="C2160" t="s">
        <v>12800</v>
      </c>
      <c r="D2160" t="s">
        <v>12801</v>
      </c>
      <c r="E2160" t="s">
        <v>12802</v>
      </c>
      <c r="G2160" t="s">
        <v>2055</v>
      </c>
      <c r="H2160" t="s">
        <v>449</v>
      </c>
      <c r="J2160" t="s">
        <v>4032</v>
      </c>
      <c r="K2160" t="s">
        <v>606</v>
      </c>
      <c r="M2160" t="s">
        <v>1382</v>
      </c>
      <c r="N2160" t="s">
        <v>4586</v>
      </c>
      <c r="O2160" t="s">
        <v>2037</v>
      </c>
      <c r="P2160" t="s">
        <v>670</v>
      </c>
      <c r="Q2160" t="s">
        <v>553</v>
      </c>
      <c r="R2160" t="s">
        <v>1841</v>
      </c>
      <c r="S2160" t="s">
        <v>2055</v>
      </c>
      <c r="T2160" t="s">
        <v>1568</v>
      </c>
      <c r="U2160">
        <v>230700</v>
      </c>
      <c r="V2160" t="s">
        <v>2141</v>
      </c>
      <c r="W2160" t="s">
        <v>2038</v>
      </c>
      <c r="X2160" t="s">
        <v>12803</v>
      </c>
      <c r="Y2160" t="s">
        <v>12804</v>
      </c>
      <c r="Z2160" t="s">
        <v>12805</v>
      </c>
      <c r="AA2160" t="s">
        <v>2041</v>
      </c>
      <c r="AB2160" t="s">
        <v>12806</v>
      </c>
      <c r="AE2160">
        <v>-40.369788239999998</v>
      </c>
      <c r="AF2160">
        <v>175.59843308999999</v>
      </c>
      <c r="AG2160" s="175">
        <v>42</v>
      </c>
      <c r="AH2160" s="175">
        <v>15</v>
      </c>
      <c r="AI2160" s="175">
        <v>6</v>
      </c>
      <c r="AJ2160" s="175">
        <v>4</v>
      </c>
      <c r="AK2160" s="175">
        <v>16</v>
      </c>
      <c r="AL2160" s="175">
        <v>5</v>
      </c>
      <c r="AM2160" s="175">
        <v>12</v>
      </c>
      <c r="AN2160" s="175">
        <v>0</v>
      </c>
      <c r="AO2160" s="175">
        <v>43</v>
      </c>
      <c r="AP2160" s="175">
        <v>22</v>
      </c>
      <c r="AQ2160" s="175">
        <v>14</v>
      </c>
      <c r="AR2160" s="175">
        <v>0</v>
      </c>
      <c r="AS2160" s="175">
        <v>21</v>
      </c>
      <c r="AT2160" s="175">
        <v>0</v>
      </c>
    </row>
    <row r="2161" spans="1:46">
      <c r="A2161">
        <v>45947</v>
      </c>
      <c r="B2161" t="s">
        <v>11084</v>
      </c>
      <c r="C2161" t="s">
        <v>12807</v>
      </c>
      <c r="D2161" t="s">
        <v>12808</v>
      </c>
      <c r="E2161" t="s">
        <v>12809</v>
      </c>
      <c r="F2161" t="s">
        <v>1108</v>
      </c>
      <c r="G2161" t="s">
        <v>737</v>
      </c>
      <c r="H2161" t="s">
        <v>449</v>
      </c>
      <c r="J2161" t="s">
        <v>4032</v>
      </c>
      <c r="K2161" t="s">
        <v>606</v>
      </c>
      <c r="M2161" t="s">
        <v>607</v>
      </c>
      <c r="N2161" t="s">
        <v>643</v>
      </c>
      <c r="O2161" t="s">
        <v>997</v>
      </c>
      <c r="P2161" t="s">
        <v>739</v>
      </c>
      <c r="Q2161" t="s">
        <v>467</v>
      </c>
      <c r="R2161" t="s">
        <v>793</v>
      </c>
      <c r="S2161" t="s">
        <v>998</v>
      </c>
      <c r="T2161" t="s">
        <v>794</v>
      </c>
      <c r="U2161">
        <v>139802</v>
      </c>
      <c r="V2161" t="s">
        <v>12810</v>
      </c>
      <c r="W2161" t="s">
        <v>945</v>
      </c>
      <c r="X2161" t="s">
        <v>12811</v>
      </c>
      <c r="Y2161" t="s">
        <v>7530</v>
      </c>
      <c r="AA2161" t="s">
        <v>7531</v>
      </c>
      <c r="AE2161">
        <v>-36.911815400000002</v>
      </c>
      <c r="AF2161">
        <v>174.72756686</v>
      </c>
      <c r="AG2161" s="175">
        <v>53</v>
      </c>
      <c r="AH2161" s="175">
        <v>10</v>
      </c>
      <c r="AI2161" s="175">
        <v>0</v>
      </c>
      <c r="AJ2161" s="175">
        <v>10</v>
      </c>
      <c r="AK2161" s="175">
        <v>6</v>
      </c>
      <c r="AL2161" s="175">
        <v>9</v>
      </c>
      <c r="AM2161" s="175">
        <v>15</v>
      </c>
      <c r="AN2161" s="175">
        <v>1</v>
      </c>
      <c r="AO2161" s="175">
        <v>41</v>
      </c>
      <c r="AP2161" s="175">
        <v>0</v>
      </c>
      <c r="AQ2161" s="175">
        <v>1</v>
      </c>
      <c r="AR2161" s="175">
        <v>4</v>
      </c>
      <c r="AS2161" s="175">
        <v>30</v>
      </c>
      <c r="AT2161" s="175">
        <v>7</v>
      </c>
    </row>
    <row r="2162" spans="1:46">
      <c r="A2162">
        <v>45949</v>
      </c>
      <c r="B2162" t="s">
        <v>12812</v>
      </c>
      <c r="C2162" t="s">
        <v>12813</v>
      </c>
      <c r="D2162" t="s">
        <v>12814</v>
      </c>
      <c r="E2162" t="s">
        <v>12815</v>
      </c>
      <c r="F2162" t="s">
        <v>8466</v>
      </c>
      <c r="G2162" t="s">
        <v>1681</v>
      </c>
      <c r="H2162" t="s">
        <v>449</v>
      </c>
      <c r="J2162" t="s">
        <v>4032</v>
      </c>
      <c r="K2162" t="s">
        <v>606</v>
      </c>
      <c r="M2162" t="s">
        <v>1382</v>
      </c>
      <c r="N2162" t="s">
        <v>657</v>
      </c>
      <c r="O2162" t="s">
        <v>1780</v>
      </c>
      <c r="P2162" t="s">
        <v>739</v>
      </c>
      <c r="Q2162" t="s">
        <v>511</v>
      </c>
      <c r="R2162" t="s">
        <v>1555</v>
      </c>
      <c r="S2162" t="s">
        <v>1681</v>
      </c>
      <c r="T2162" t="s">
        <v>1557</v>
      </c>
      <c r="U2162">
        <v>193800</v>
      </c>
      <c r="V2162" t="s">
        <v>8466</v>
      </c>
      <c r="W2162" t="s">
        <v>3795</v>
      </c>
      <c r="X2162" t="s">
        <v>12816</v>
      </c>
      <c r="Y2162" t="s">
        <v>11333</v>
      </c>
      <c r="AA2162" t="s">
        <v>10927</v>
      </c>
      <c r="AE2162">
        <v>-37.687733299999998</v>
      </c>
      <c r="AF2162">
        <v>176.16640243000001</v>
      </c>
      <c r="AG2162" s="175">
        <v>60</v>
      </c>
      <c r="AH2162" s="175">
        <v>20</v>
      </c>
      <c r="AI2162" s="175">
        <v>3</v>
      </c>
      <c r="AJ2162" s="175">
        <v>12</v>
      </c>
      <c r="AK2162" s="175">
        <v>5</v>
      </c>
      <c r="AL2162" s="175">
        <v>5</v>
      </c>
      <c r="AM2162" s="175">
        <v>13</v>
      </c>
      <c r="AN2162" s="175">
        <v>3</v>
      </c>
      <c r="AO2162" s="175">
        <v>41</v>
      </c>
      <c r="AP2162" s="175">
        <v>27</v>
      </c>
      <c r="AQ2162" s="175">
        <v>11</v>
      </c>
      <c r="AR2162" s="175">
        <v>2</v>
      </c>
      <c r="AS2162" s="175">
        <v>8</v>
      </c>
      <c r="AT2162" s="175">
        <v>2</v>
      </c>
    </row>
    <row r="2163" spans="1:46">
      <c r="A2163">
        <v>45951</v>
      </c>
      <c r="B2163" t="s">
        <v>12817</v>
      </c>
      <c r="C2163" t="s">
        <v>12818</v>
      </c>
      <c r="E2163" t="s">
        <v>12819</v>
      </c>
      <c r="G2163" t="s">
        <v>3431</v>
      </c>
      <c r="H2163" t="s">
        <v>450</v>
      </c>
      <c r="J2163" t="s">
        <v>4032</v>
      </c>
      <c r="K2163" t="s">
        <v>606</v>
      </c>
      <c r="M2163" t="s">
        <v>2366</v>
      </c>
      <c r="N2163" t="s">
        <v>4586</v>
      </c>
      <c r="O2163" t="s">
        <v>3432</v>
      </c>
      <c r="P2163" t="s">
        <v>658</v>
      </c>
      <c r="Q2163" t="s">
        <v>522</v>
      </c>
      <c r="R2163" t="s">
        <v>3410</v>
      </c>
      <c r="S2163" t="s">
        <v>3433</v>
      </c>
      <c r="T2163" t="s">
        <v>2526</v>
      </c>
      <c r="U2163">
        <v>345300</v>
      </c>
      <c r="V2163" t="s">
        <v>12820</v>
      </c>
      <c r="W2163" t="s">
        <v>3435</v>
      </c>
      <c r="X2163" t="s">
        <v>12821</v>
      </c>
      <c r="Y2163" t="s">
        <v>12819</v>
      </c>
      <c r="AA2163" t="s">
        <v>12822</v>
      </c>
      <c r="AB2163" t="s">
        <v>12823</v>
      </c>
      <c r="AE2163">
        <v>-45.2031615</v>
      </c>
      <c r="AF2163">
        <v>169.46048039999999</v>
      </c>
      <c r="AG2163" s="175">
        <v>80</v>
      </c>
      <c r="AH2163" s="175">
        <v>80</v>
      </c>
      <c r="AI2163" s="175">
        <v>2</v>
      </c>
      <c r="AJ2163" s="175">
        <v>12</v>
      </c>
      <c r="AK2163" s="175">
        <v>15</v>
      </c>
      <c r="AL2163" s="175">
        <v>29</v>
      </c>
      <c r="AM2163" s="175">
        <v>21</v>
      </c>
      <c r="AN2163" s="175">
        <v>2</v>
      </c>
      <c r="AO2163" s="175">
        <v>81</v>
      </c>
      <c r="AP2163" s="175">
        <v>74</v>
      </c>
      <c r="AQ2163" s="175">
        <v>17</v>
      </c>
      <c r="AR2163" s="175">
        <v>1</v>
      </c>
      <c r="AS2163" s="175">
        <v>1</v>
      </c>
      <c r="AT2163" s="175">
        <v>0</v>
      </c>
    </row>
    <row r="2164" spans="1:46">
      <c r="A2164">
        <v>45952</v>
      </c>
      <c r="B2164" t="s">
        <v>12824</v>
      </c>
      <c r="C2164" t="s">
        <v>12825</v>
      </c>
      <c r="E2164" t="s">
        <v>12826</v>
      </c>
      <c r="G2164" t="s">
        <v>3569</v>
      </c>
      <c r="H2164" t="s">
        <v>449</v>
      </c>
      <c r="J2164" t="s">
        <v>605</v>
      </c>
      <c r="K2164" t="s">
        <v>606</v>
      </c>
      <c r="M2164" t="s">
        <v>2366</v>
      </c>
      <c r="N2164" t="s">
        <v>657</v>
      </c>
      <c r="O2164" t="s">
        <v>3568</v>
      </c>
      <c r="P2164" t="s">
        <v>670</v>
      </c>
      <c r="Q2164" t="s">
        <v>523</v>
      </c>
      <c r="R2164" t="s">
        <v>3410</v>
      </c>
      <c r="S2164" t="s">
        <v>3569</v>
      </c>
      <c r="T2164" t="s">
        <v>2526</v>
      </c>
      <c r="U2164">
        <v>360601</v>
      </c>
      <c r="V2164" t="s">
        <v>3611</v>
      </c>
      <c r="W2164" t="s">
        <v>1734</v>
      </c>
      <c r="X2164" t="s">
        <v>12827</v>
      </c>
      <c r="Y2164" t="s">
        <v>4014</v>
      </c>
      <c r="Z2164" t="s">
        <v>4015</v>
      </c>
      <c r="AA2164" t="s">
        <v>4016</v>
      </c>
      <c r="AB2164" t="s">
        <v>12828</v>
      </c>
      <c r="AE2164">
        <v>-46.384297699999998</v>
      </c>
      <c r="AF2164">
        <v>168.34692369999999</v>
      </c>
      <c r="AG2164" s="175">
        <v>67</v>
      </c>
      <c r="AH2164" s="175">
        <v>20</v>
      </c>
      <c r="AI2164" s="175">
        <v>1</v>
      </c>
      <c r="AJ2164" s="175">
        <v>15</v>
      </c>
      <c r="AK2164" s="175">
        <v>14</v>
      </c>
      <c r="AL2164" s="175">
        <v>21</v>
      </c>
      <c r="AM2164" s="175">
        <v>22</v>
      </c>
      <c r="AN2164" s="175">
        <v>0</v>
      </c>
      <c r="AO2164" s="175">
        <v>73</v>
      </c>
      <c r="AP2164" s="175">
        <v>51</v>
      </c>
      <c r="AQ2164" s="175">
        <v>17</v>
      </c>
      <c r="AR2164" s="175">
        <v>4</v>
      </c>
      <c r="AS2164" s="175">
        <v>8</v>
      </c>
      <c r="AT2164" s="175">
        <v>10</v>
      </c>
    </row>
    <row r="2165" spans="1:46">
      <c r="A2165">
        <v>45953</v>
      </c>
      <c r="B2165" t="s">
        <v>12829</v>
      </c>
      <c r="C2165" t="s">
        <v>12830</v>
      </c>
      <c r="E2165" t="s">
        <v>12831</v>
      </c>
      <c r="G2165" t="s">
        <v>12832</v>
      </c>
      <c r="H2165" t="s">
        <v>449</v>
      </c>
      <c r="J2165" t="s">
        <v>4032</v>
      </c>
      <c r="K2165" t="s">
        <v>606</v>
      </c>
      <c r="M2165" t="s">
        <v>1382</v>
      </c>
      <c r="N2165" t="s">
        <v>657</v>
      </c>
      <c r="O2165" t="s">
        <v>1840</v>
      </c>
      <c r="P2165" t="s">
        <v>626</v>
      </c>
      <c r="Q2165" t="s">
        <v>514</v>
      </c>
      <c r="R2165" t="s">
        <v>1841</v>
      </c>
      <c r="S2165" t="s">
        <v>1839</v>
      </c>
      <c r="T2165" t="s">
        <v>1568</v>
      </c>
      <c r="U2165">
        <v>216700</v>
      </c>
      <c r="V2165" t="s">
        <v>12833</v>
      </c>
      <c r="W2165" t="s">
        <v>1843</v>
      </c>
      <c r="X2165" t="s">
        <v>12834</v>
      </c>
      <c r="Y2165" t="s">
        <v>12835</v>
      </c>
      <c r="AA2165" t="s">
        <v>12836</v>
      </c>
      <c r="AB2165" t="s">
        <v>12830</v>
      </c>
      <c r="AE2165">
        <v>-39.190708319999999</v>
      </c>
      <c r="AF2165">
        <v>173.86670928999999</v>
      </c>
      <c r="AG2165" s="175">
        <v>49</v>
      </c>
      <c r="AH2165" s="175">
        <v>12</v>
      </c>
      <c r="AI2165" s="175">
        <v>0</v>
      </c>
      <c r="AJ2165" s="175">
        <v>7</v>
      </c>
      <c r="AK2165" s="175">
        <v>13</v>
      </c>
      <c r="AL2165" s="175">
        <v>18</v>
      </c>
      <c r="AM2165" s="175">
        <v>17</v>
      </c>
      <c r="AN2165" s="175">
        <v>2</v>
      </c>
      <c r="AO2165" s="175">
        <v>57</v>
      </c>
      <c r="AP2165" s="175">
        <v>54</v>
      </c>
      <c r="AQ2165" s="175">
        <v>11</v>
      </c>
      <c r="AR2165" s="175">
        <v>0</v>
      </c>
      <c r="AS2165" s="175">
        <v>0</v>
      </c>
      <c r="AT2165" s="175">
        <v>0</v>
      </c>
    </row>
    <row r="2166" spans="1:46">
      <c r="A2166">
        <v>45957</v>
      </c>
      <c r="B2166" t="s">
        <v>12837</v>
      </c>
      <c r="C2166" t="s">
        <v>12838</v>
      </c>
      <c r="E2166" t="s">
        <v>12839</v>
      </c>
      <c r="G2166" t="s">
        <v>3569</v>
      </c>
      <c r="H2166" t="s">
        <v>449</v>
      </c>
      <c r="J2166" t="s">
        <v>605</v>
      </c>
      <c r="K2166" t="s">
        <v>606</v>
      </c>
      <c r="M2166" t="s">
        <v>2366</v>
      </c>
      <c r="N2166" t="s">
        <v>625</v>
      </c>
      <c r="O2166" t="s">
        <v>3568</v>
      </c>
      <c r="P2166" t="s">
        <v>670</v>
      </c>
      <c r="Q2166" t="s">
        <v>523</v>
      </c>
      <c r="R2166" t="s">
        <v>3410</v>
      </c>
      <c r="S2166" t="s">
        <v>3569</v>
      </c>
      <c r="T2166" t="s">
        <v>2526</v>
      </c>
      <c r="U2166">
        <v>362501</v>
      </c>
      <c r="V2166" t="s">
        <v>3593</v>
      </c>
      <c r="W2166" t="s">
        <v>1734</v>
      </c>
      <c r="X2166" t="s">
        <v>12827</v>
      </c>
      <c r="Y2166" t="s">
        <v>4014</v>
      </c>
      <c r="Z2166" t="s">
        <v>4015</v>
      </c>
      <c r="AA2166" t="s">
        <v>4016</v>
      </c>
      <c r="AB2166" t="s">
        <v>12828</v>
      </c>
      <c r="AE2166">
        <v>-46.425152599999997</v>
      </c>
      <c r="AF2166">
        <v>168.36176309999999</v>
      </c>
      <c r="AG2166" s="175">
        <v>75</v>
      </c>
      <c r="AH2166" s="175">
        <v>25</v>
      </c>
      <c r="AI2166" s="175">
        <v>4</v>
      </c>
      <c r="AJ2166" s="175">
        <v>16</v>
      </c>
      <c r="AK2166" s="175">
        <v>27</v>
      </c>
      <c r="AL2166" s="175">
        <v>22</v>
      </c>
      <c r="AM2166" s="175">
        <v>17</v>
      </c>
      <c r="AN2166" s="175">
        <v>2</v>
      </c>
      <c r="AO2166" s="175">
        <v>88</v>
      </c>
      <c r="AP2166" s="175">
        <v>53</v>
      </c>
      <c r="AQ2166" s="175">
        <v>31</v>
      </c>
      <c r="AR2166" s="175">
        <v>5</v>
      </c>
      <c r="AS2166" s="175">
        <v>11</v>
      </c>
      <c r="AT2166" s="175">
        <v>6</v>
      </c>
    </row>
    <row r="2167" spans="1:46">
      <c r="A2167">
        <v>45958</v>
      </c>
      <c r="B2167" t="s">
        <v>12840</v>
      </c>
      <c r="C2167" t="s">
        <v>12841</v>
      </c>
      <c r="D2167" t="s">
        <v>12842</v>
      </c>
      <c r="E2167" t="s">
        <v>12843</v>
      </c>
      <c r="F2167" t="s">
        <v>2630</v>
      </c>
      <c r="G2167" t="s">
        <v>2368</v>
      </c>
      <c r="H2167" t="s">
        <v>449</v>
      </c>
      <c r="J2167" t="s">
        <v>4032</v>
      </c>
      <c r="K2167" t="s">
        <v>606</v>
      </c>
      <c r="M2167" t="s">
        <v>2366</v>
      </c>
      <c r="N2167" t="s">
        <v>4586</v>
      </c>
      <c r="O2167" t="s">
        <v>2614</v>
      </c>
      <c r="P2167" t="s">
        <v>739</v>
      </c>
      <c r="Q2167" t="s">
        <v>516</v>
      </c>
      <c r="R2167" t="s">
        <v>2368</v>
      </c>
      <c r="S2167" t="s">
        <v>2631</v>
      </c>
      <c r="T2167" t="s">
        <v>2526</v>
      </c>
      <c r="U2167">
        <v>251900</v>
      </c>
      <c r="V2167" t="s">
        <v>12844</v>
      </c>
      <c r="W2167" t="s">
        <v>2616</v>
      </c>
      <c r="X2167" t="s">
        <v>12845</v>
      </c>
      <c r="Y2167" t="s">
        <v>4176</v>
      </c>
      <c r="AA2167" t="s">
        <v>4052</v>
      </c>
      <c r="AB2167" t="s">
        <v>12846</v>
      </c>
      <c r="AE2167">
        <v>-41.305206300000002</v>
      </c>
      <c r="AF2167">
        <v>174.76464240000001</v>
      </c>
      <c r="AG2167" s="175">
        <v>114</v>
      </c>
      <c r="AH2167" s="175">
        <v>35</v>
      </c>
      <c r="AI2167" s="175">
        <v>4</v>
      </c>
      <c r="AJ2167" s="175">
        <v>31</v>
      </c>
      <c r="AK2167" s="175">
        <v>26</v>
      </c>
      <c r="AL2167" s="175">
        <v>29</v>
      </c>
      <c r="AM2167" s="175">
        <v>28</v>
      </c>
      <c r="AN2167" s="175">
        <v>1</v>
      </c>
      <c r="AO2167" s="175">
        <v>119</v>
      </c>
      <c r="AP2167" s="175">
        <v>73</v>
      </c>
      <c r="AQ2167" s="175">
        <v>34</v>
      </c>
      <c r="AR2167" s="175">
        <v>7</v>
      </c>
      <c r="AS2167" s="175">
        <v>32</v>
      </c>
      <c r="AT2167" s="175">
        <v>15</v>
      </c>
    </row>
    <row r="2168" spans="1:46">
      <c r="A2168">
        <v>45972</v>
      </c>
      <c r="B2168" t="s">
        <v>6105</v>
      </c>
      <c r="C2168" t="s">
        <v>12847</v>
      </c>
      <c r="E2168" t="s">
        <v>12848</v>
      </c>
      <c r="F2168" t="s">
        <v>888</v>
      </c>
      <c r="G2168" t="s">
        <v>737</v>
      </c>
      <c r="H2168" t="s">
        <v>449</v>
      </c>
      <c r="J2168" t="s">
        <v>605</v>
      </c>
      <c r="K2168" t="s">
        <v>606</v>
      </c>
      <c r="M2168" t="s">
        <v>607</v>
      </c>
      <c r="N2168" t="s">
        <v>4586</v>
      </c>
      <c r="O2168" t="s">
        <v>889</v>
      </c>
      <c r="P2168" t="s">
        <v>739</v>
      </c>
      <c r="Q2168" t="s">
        <v>467</v>
      </c>
      <c r="R2168" t="s">
        <v>793</v>
      </c>
      <c r="S2168" t="s">
        <v>890</v>
      </c>
      <c r="T2168" t="s">
        <v>794</v>
      </c>
      <c r="U2168">
        <v>144800</v>
      </c>
      <c r="V2168" t="s">
        <v>4446</v>
      </c>
      <c r="W2168" t="s">
        <v>892</v>
      </c>
      <c r="X2168" t="s">
        <v>4527</v>
      </c>
      <c r="Y2168" t="s">
        <v>12848</v>
      </c>
      <c r="Z2168" t="s">
        <v>888</v>
      </c>
      <c r="AA2168" t="s">
        <v>4604</v>
      </c>
      <c r="AB2168" t="s">
        <v>4529</v>
      </c>
      <c r="AE2168">
        <v>-36.900148180000002</v>
      </c>
      <c r="AF2168">
        <v>174.81680101000001</v>
      </c>
      <c r="AG2168" s="175">
        <v>60</v>
      </c>
      <c r="AH2168" s="175">
        <v>20</v>
      </c>
      <c r="AI2168" s="175">
        <v>0</v>
      </c>
      <c r="AJ2168" s="175">
        <v>9</v>
      </c>
      <c r="AK2168" s="175">
        <v>13</v>
      </c>
      <c r="AL2168" s="175">
        <v>4</v>
      </c>
      <c r="AM2168" s="175">
        <v>17</v>
      </c>
      <c r="AN2168" s="175">
        <v>2</v>
      </c>
      <c r="AO2168" s="175">
        <v>45</v>
      </c>
      <c r="AP2168" s="175">
        <v>12</v>
      </c>
      <c r="AQ2168" s="175">
        <v>2</v>
      </c>
      <c r="AR2168" s="175">
        <v>5</v>
      </c>
      <c r="AS2168" s="175">
        <v>29</v>
      </c>
      <c r="AT2168" s="175">
        <v>3</v>
      </c>
    </row>
    <row r="2169" spans="1:46">
      <c r="A2169">
        <v>45976</v>
      </c>
      <c r="B2169" t="s">
        <v>12849</v>
      </c>
      <c r="C2169" t="s">
        <v>12850</v>
      </c>
      <c r="D2169" t="s">
        <v>12851</v>
      </c>
      <c r="E2169" t="s">
        <v>12852</v>
      </c>
      <c r="F2169" t="s">
        <v>854</v>
      </c>
      <c r="G2169" t="s">
        <v>737</v>
      </c>
      <c r="H2169" t="s">
        <v>449</v>
      </c>
      <c r="J2169" t="s">
        <v>4032</v>
      </c>
      <c r="K2169" t="s">
        <v>606</v>
      </c>
      <c r="M2169" t="s">
        <v>607</v>
      </c>
      <c r="N2169" t="s">
        <v>657</v>
      </c>
      <c r="O2169" t="s">
        <v>803</v>
      </c>
      <c r="P2169" t="s">
        <v>739</v>
      </c>
      <c r="Q2169" t="s">
        <v>467</v>
      </c>
      <c r="R2169" t="s">
        <v>793</v>
      </c>
      <c r="S2169" t="s">
        <v>998</v>
      </c>
      <c r="T2169" t="s">
        <v>794</v>
      </c>
      <c r="U2169">
        <v>139501</v>
      </c>
      <c r="V2169" t="s">
        <v>12853</v>
      </c>
      <c r="W2169" t="s">
        <v>806</v>
      </c>
      <c r="X2169" t="s">
        <v>12854</v>
      </c>
      <c r="Y2169" t="s">
        <v>10629</v>
      </c>
      <c r="Z2169" t="s">
        <v>976</v>
      </c>
      <c r="AA2169" t="s">
        <v>10630</v>
      </c>
      <c r="AB2169" t="s">
        <v>12855</v>
      </c>
      <c r="AC2169">
        <v>99012</v>
      </c>
      <c r="AD2169" t="s">
        <v>857</v>
      </c>
      <c r="AE2169">
        <v>-36.91882519</v>
      </c>
      <c r="AF2169">
        <v>174.71348058999999</v>
      </c>
      <c r="AG2169" s="175">
        <v>60</v>
      </c>
      <c r="AH2169" s="175">
        <v>15</v>
      </c>
      <c r="AI2169" s="175">
        <v>3</v>
      </c>
      <c r="AJ2169" s="175">
        <v>14</v>
      </c>
      <c r="AK2169" s="175">
        <v>14</v>
      </c>
      <c r="AL2169" s="175">
        <v>16</v>
      </c>
      <c r="AM2169" s="175">
        <v>16</v>
      </c>
      <c r="AN2169" s="175">
        <v>1</v>
      </c>
      <c r="AO2169" s="175">
        <v>64</v>
      </c>
      <c r="AP2169" s="175">
        <v>18</v>
      </c>
      <c r="AQ2169" s="175">
        <v>3</v>
      </c>
      <c r="AR2169" s="175">
        <v>4</v>
      </c>
      <c r="AS2169" s="175">
        <v>46</v>
      </c>
      <c r="AT2169" s="175">
        <v>3</v>
      </c>
    </row>
    <row r="2170" spans="1:46">
      <c r="A2170">
        <v>45977</v>
      </c>
      <c r="B2170" t="s">
        <v>12856</v>
      </c>
      <c r="C2170" t="s">
        <v>12857</v>
      </c>
      <c r="D2170" t="s">
        <v>12858</v>
      </c>
      <c r="E2170" t="s">
        <v>12859</v>
      </c>
      <c r="G2170" t="s">
        <v>1638</v>
      </c>
      <c r="H2170" t="s">
        <v>449</v>
      </c>
      <c r="J2170" t="s">
        <v>4032</v>
      </c>
      <c r="K2170" t="s">
        <v>606</v>
      </c>
      <c r="M2170" t="s">
        <v>1382</v>
      </c>
      <c r="N2170" t="s">
        <v>625</v>
      </c>
      <c r="O2170" t="s">
        <v>1435</v>
      </c>
      <c r="P2170" t="s">
        <v>610</v>
      </c>
      <c r="Q2170" t="s">
        <v>510</v>
      </c>
      <c r="R2170" t="s">
        <v>1384</v>
      </c>
      <c r="S2170" t="s">
        <v>1384</v>
      </c>
      <c r="T2170" t="s">
        <v>1320</v>
      </c>
      <c r="U2170">
        <v>171502</v>
      </c>
      <c r="V2170" t="s">
        <v>1639</v>
      </c>
      <c r="W2170" t="s">
        <v>1640</v>
      </c>
      <c r="X2170" t="s">
        <v>12860</v>
      </c>
      <c r="Y2170" t="s">
        <v>12859</v>
      </c>
      <c r="AA2170" t="s">
        <v>12346</v>
      </c>
      <c r="AB2170" t="s">
        <v>12861</v>
      </c>
      <c r="AE2170">
        <v>-37.556886419999998</v>
      </c>
      <c r="AF2170">
        <v>175.16171204</v>
      </c>
      <c r="AG2170" s="175">
        <v>49</v>
      </c>
      <c r="AH2170" s="175">
        <v>15</v>
      </c>
      <c r="AI2170" s="175">
        <v>1</v>
      </c>
      <c r="AJ2170" s="175">
        <v>6</v>
      </c>
      <c r="AK2170" s="175">
        <v>10</v>
      </c>
      <c r="AL2170" s="175">
        <v>12</v>
      </c>
      <c r="AM2170" s="175">
        <v>13</v>
      </c>
      <c r="AN2170" s="175">
        <v>0</v>
      </c>
      <c r="AO2170" s="175">
        <v>42</v>
      </c>
      <c r="AP2170" s="175">
        <v>14</v>
      </c>
      <c r="AQ2170" s="175">
        <v>25</v>
      </c>
      <c r="AR2170" s="175">
        <v>11</v>
      </c>
      <c r="AS2170" s="175">
        <v>11</v>
      </c>
      <c r="AT2170" s="175">
        <v>2</v>
      </c>
    </row>
    <row r="2171" spans="1:46">
      <c r="A2171">
        <v>45980</v>
      </c>
      <c r="B2171" t="s">
        <v>12862</v>
      </c>
      <c r="E2171" t="s">
        <v>12863</v>
      </c>
      <c r="G2171" t="s">
        <v>3905</v>
      </c>
      <c r="H2171" t="s">
        <v>449</v>
      </c>
      <c r="J2171" t="s">
        <v>4032</v>
      </c>
      <c r="K2171" t="s">
        <v>606</v>
      </c>
      <c r="M2171" t="s">
        <v>2366</v>
      </c>
      <c r="N2171" t="s">
        <v>4586</v>
      </c>
      <c r="O2171" t="s">
        <v>3906</v>
      </c>
      <c r="P2171" t="s">
        <v>1347</v>
      </c>
      <c r="Q2171" t="s">
        <v>522</v>
      </c>
      <c r="R2171" t="s">
        <v>3410</v>
      </c>
      <c r="S2171" t="s">
        <v>3433</v>
      </c>
      <c r="T2171" t="s">
        <v>2526</v>
      </c>
      <c r="U2171">
        <v>348801</v>
      </c>
      <c r="V2171" t="s">
        <v>12864</v>
      </c>
      <c r="W2171" t="s">
        <v>11569</v>
      </c>
      <c r="X2171" t="s">
        <v>12865</v>
      </c>
      <c r="Y2171" t="s">
        <v>12459</v>
      </c>
      <c r="Z2171" t="s">
        <v>4622</v>
      </c>
      <c r="AA2171" t="s">
        <v>4623</v>
      </c>
      <c r="AB2171" t="s">
        <v>12866</v>
      </c>
      <c r="AE2171">
        <v>-45.002657910000003</v>
      </c>
      <c r="AF2171">
        <v>168.78897273999999</v>
      </c>
      <c r="AG2171" s="175">
        <v>70</v>
      </c>
      <c r="AH2171" s="175">
        <v>25</v>
      </c>
      <c r="AI2171" s="175">
        <v>8</v>
      </c>
      <c r="AJ2171" s="175">
        <v>9</v>
      </c>
      <c r="AK2171" s="175">
        <v>10</v>
      </c>
      <c r="AL2171" s="175">
        <v>20</v>
      </c>
      <c r="AM2171" s="175">
        <v>17</v>
      </c>
      <c r="AN2171" s="175">
        <v>1</v>
      </c>
      <c r="AO2171" s="175">
        <v>65</v>
      </c>
      <c r="AP2171" s="175">
        <v>56</v>
      </c>
      <c r="AQ2171" s="175">
        <v>2</v>
      </c>
      <c r="AR2171" s="175">
        <v>0</v>
      </c>
      <c r="AS2171" s="175">
        <v>7</v>
      </c>
      <c r="AT2171" s="175">
        <v>8</v>
      </c>
    </row>
    <row r="2172" spans="1:46">
      <c r="A2172">
        <v>45985</v>
      </c>
      <c r="B2172" t="s">
        <v>12867</v>
      </c>
      <c r="C2172" t="s">
        <v>12868</v>
      </c>
      <c r="E2172" t="s">
        <v>12869</v>
      </c>
      <c r="F2172" t="s">
        <v>940</v>
      </c>
      <c r="G2172" t="s">
        <v>737</v>
      </c>
      <c r="H2172" t="s">
        <v>347</v>
      </c>
      <c r="J2172" t="s">
        <v>605</v>
      </c>
      <c r="K2172" t="s">
        <v>606</v>
      </c>
      <c r="L2172" t="s">
        <v>4273</v>
      </c>
      <c r="M2172" t="s">
        <v>607</v>
      </c>
      <c r="N2172" t="s">
        <v>657</v>
      </c>
      <c r="O2172" t="s">
        <v>942</v>
      </c>
      <c r="P2172" t="s">
        <v>739</v>
      </c>
      <c r="Q2172" t="s">
        <v>467</v>
      </c>
      <c r="R2172" t="s">
        <v>793</v>
      </c>
      <c r="S2172" t="s">
        <v>943</v>
      </c>
      <c r="T2172" t="s">
        <v>794</v>
      </c>
      <c r="U2172">
        <v>134200</v>
      </c>
      <c r="V2172" t="s">
        <v>944</v>
      </c>
      <c r="W2172" t="s">
        <v>945</v>
      </c>
      <c r="X2172" t="s">
        <v>4275</v>
      </c>
      <c r="Y2172" t="s">
        <v>4276</v>
      </c>
      <c r="Z2172" t="s">
        <v>4277</v>
      </c>
      <c r="AA2172" t="s">
        <v>4278</v>
      </c>
      <c r="AE2172">
        <v>-36.888286290000003</v>
      </c>
      <c r="AF2172">
        <v>174.72699763</v>
      </c>
      <c r="AG2172" s="175">
        <v>25</v>
      </c>
      <c r="AH2172" s="175">
        <v>5</v>
      </c>
      <c r="AI2172" s="175">
        <v>1</v>
      </c>
      <c r="AJ2172" s="175">
        <v>2</v>
      </c>
      <c r="AK2172" s="175">
        <v>7</v>
      </c>
      <c r="AL2172" s="175">
        <v>6</v>
      </c>
      <c r="AM2172" s="175">
        <v>7</v>
      </c>
      <c r="AN2172" s="175">
        <v>0</v>
      </c>
      <c r="AO2172" s="175">
        <v>23</v>
      </c>
      <c r="AP2172" s="175">
        <v>0</v>
      </c>
      <c r="AQ2172" s="175">
        <v>23</v>
      </c>
      <c r="AR2172" s="175">
        <v>0</v>
      </c>
      <c r="AS2172" s="175">
        <v>0</v>
      </c>
      <c r="AT2172" s="175">
        <v>0</v>
      </c>
    </row>
    <row r="2173" spans="1:46">
      <c r="A2173">
        <v>45988</v>
      </c>
      <c r="B2173" t="s">
        <v>12870</v>
      </c>
      <c r="C2173" t="s">
        <v>12871</v>
      </c>
      <c r="D2173" t="s">
        <v>12872</v>
      </c>
      <c r="E2173" t="s">
        <v>12873</v>
      </c>
      <c r="F2173" t="s">
        <v>2811</v>
      </c>
      <c r="G2173" t="s">
        <v>2505</v>
      </c>
      <c r="H2173" t="s">
        <v>449</v>
      </c>
      <c r="J2173" t="s">
        <v>4032</v>
      </c>
      <c r="K2173" t="s">
        <v>606</v>
      </c>
      <c r="M2173" t="s">
        <v>2366</v>
      </c>
      <c r="N2173" t="s">
        <v>657</v>
      </c>
      <c r="O2173" t="s">
        <v>2506</v>
      </c>
      <c r="P2173" t="s">
        <v>739</v>
      </c>
      <c r="Q2173" t="s">
        <v>516</v>
      </c>
      <c r="R2173" t="s">
        <v>2368</v>
      </c>
      <c r="S2173" t="s">
        <v>2507</v>
      </c>
      <c r="T2173" t="s">
        <v>2526</v>
      </c>
      <c r="U2173">
        <v>243700</v>
      </c>
      <c r="V2173" t="s">
        <v>11019</v>
      </c>
      <c r="W2173" t="s">
        <v>2569</v>
      </c>
      <c r="X2173" t="s">
        <v>12874</v>
      </c>
      <c r="Y2173" t="s">
        <v>12873</v>
      </c>
      <c r="Z2173" t="s">
        <v>2811</v>
      </c>
      <c r="AA2173" t="s">
        <v>12875</v>
      </c>
      <c r="AE2173">
        <v>-41.220337100000002</v>
      </c>
      <c r="AF2173">
        <v>174.87647835000001</v>
      </c>
      <c r="AG2173" s="175">
        <v>47</v>
      </c>
      <c r="AH2173" s="175">
        <v>14</v>
      </c>
      <c r="AI2173" s="175">
        <v>0</v>
      </c>
      <c r="AJ2173" s="175">
        <v>11</v>
      </c>
      <c r="AK2173" s="175">
        <v>18</v>
      </c>
      <c r="AL2173" s="175">
        <v>15</v>
      </c>
      <c r="AM2173" s="175">
        <v>17</v>
      </c>
      <c r="AN2173" s="175">
        <v>0</v>
      </c>
      <c r="AO2173" s="175">
        <v>61</v>
      </c>
      <c r="AP2173" s="175">
        <v>58</v>
      </c>
      <c r="AQ2173" s="175">
        <v>10</v>
      </c>
      <c r="AR2173" s="175">
        <v>0</v>
      </c>
      <c r="AS2173" s="175">
        <v>2</v>
      </c>
      <c r="AT2173" s="175">
        <v>1</v>
      </c>
    </row>
    <row r="2174" spans="1:46">
      <c r="A2174">
        <v>45998</v>
      </c>
      <c r="B2174" t="s">
        <v>12876</v>
      </c>
      <c r="C2174" t="s">
        <v>12877</v>
      </c>
      <c r="E2174" t="s">
        <v>12878</v>
      </c>
      <c r="G2174" t="s">
        <v>2112</v>
      </c>
      <c r="H2174" t="s">
        <v>449</v>
      </c>
      <c r="J2174" t="s">
        <v>4032</v>
      </c>
      <c r="K2174" t="s">
        <v>606</v>
      </c>
      <c r="M2174" t="s">
        <v>1382</v>
      </c>
      <c r="N2174" t="s">
        <v>643</v>
      </c>
      <c r="O2174" t="s">
        <v>2048</v>
      </c>
      <c r="P2174" t="s">
        <v>610</v>
      </c>
      <c r="Q2174" t="s">
        <v>553</v>
      </c>
      <c r="R2174" t="s">
        <v>1841</v>
      </c>
      <c r="S2174" t="s">
        <v>1719</v>
      </c>
      <c r="T2174" t="s">
        <v>1568</v>
      </c>
      <c r="U2174">
        <v>226701</v>
      </c>
      <c r="V2174" t="s">
        <v>3670</v>
      </c>
      <c r="W2174" t="s">
        <v>2114</v>
      </c>
      <c r="X2174" t="s">
        <v>12879</v>
      </c>
      <c r="Y2174" t="s">
        <v>4701</v>
      </c>
      <c r="AA2174" t="s">
        <v>4702</v>
      </c>
      <c r="AB2174" t="s">
        <v>12880</v>
      </c>
      <c r="AC2174">
        <v>99078</v>
      </c>
      <c r="AD2174" t="s">
        <v>2050</v>
      </c>
      <c r="AE2174">
        <v>-40.07295482</v>
      </c>
      <c r="AF2174">
        <v>175.37830020999999</v>
      </c>
      <c r="AG2174" s="175">
        <v>59</v>
      </c>
      <c r="AH2174" s="175">
        <v>15</v>
      </c>
      <c r="AI2174" s="175">
        <v>5</v>
      </c>
      <c r="AJ2174" s="175">
        <v>9</v>
      </c>
      <c r="AK2174" s="175">
        <v>15</v>
      </c>
      <c r="AL2174" s="175">
        <v>13</v>
      </c>
      <c r="AM2174" s="175">
        <v>13</v>
      </c>
      <c r="AN2174" s="175">
        <v>0</v>
      </c>
      <c r="AO2174" s="175">
        <v>55</v>
      </c>
      <c r="AP2174" s="175">
        <v>38</v>
      </c>
      <c r="AQ2174" s="175">
        <v>22</v>
      </c>
      <c r="AR2174" s="175">
        <v>6</v>
      </c>
      <c r="AS2174" s="175">
        <v>3</v>
      </c>
      <c r="AT2174" s="175">
        <v>5</v>
      </c>
    </row>
    <row r="2175" spans="1:46">
      <c r="A2175">
        <v>46003</v>
      </c>
      <c r="B2175" t="s">
        <v>12881</v>
      </c>
      <c r="C2175" t="s">
        <v>12882</v>
      </c>
      <c r="D2175" t="s">
        <v>12883</v>
      </c>
      <c r="E2175" t="s">
        <v>12884</v>
      </c>
      <c r="G2175" t="s">
        <v>12885</v>
      </c>
      <c r="H2175" t="s">
        <v>449</v>
      </c>
      <c r="J2175" t="s">
        <v>4032</v>
      </c>
      <c r="K2175" t="s">
        <v>606</v>
      </c>
      <c r="M2175" t="s">
        <v>2366</v>
      </c>
      <c r="N2175" t="s">
        <v>657</v>
      </c>
      <c r="O2175" t="s">
        <v>2944</v>
      </c>
      <c r="P2175" t="s">
        <v>610</v>
      </c>
      <c r="Q2175" t="s">
        <v>517</v>
      </c>
      <c r="R2175" t="s">
        <v>2901</v>
      </c>
      <c r="S2175" t="s">
        <v>2930</v>
      </c>
      <c r="T2175" t="s">
        <v>2526</v>
      </c>
      <c r="U2175">
        <v>302701</v>
      </c>
      <c r="V2175" t="s">
        <v>12885</v>
      </c>
      <c r="W2175" t="s">
        <v>2959</v>
      </c>
      <c r="X2175" t="s">
        <v>12886</v>
      </c>
      <c r="Y2175" t="s">
        <v>12884</v>
      </c>
      <c r="Z2175" t="s">
        <v>12885</v>
      </c>
      <c r="AA2175" t="s">
        <v>12887</v>
      </c>
      <c r="AB2175" t="s">
        <v>12882</v>
      </c>
      <c r="AC2175">
        <v>99142</v>
      </c>
      <c r="AD2175" t="s">
        <v>2960</v>
      </c>
      <c r="AE2175">
        <v>-41.354664560000003</v>
      </c>
      <c r="AF2175">
        <v>173.1535701</v>
      </c>
      <c r="AG2175" s="175">
        <v>60</v>
      </c>
      <c r="AH2175" s="175">
        <v>10</v>
      </c>
      <c r="AI2175" s="175">
        <v>0</v>
      </c>
      <c r="AJ2175" s="175">
        <v>0</v>
      </c>
      <c r="AK2175" s="175">
        <v>10</v>
      </c>
      <c r="AL2175" s="175">
        <v>18</v>
      </c>
      <c r="AM2175" s="175">
        <v>22</v>
      </c>
      <c r="AN2175" s="175">
        <v>2</v>
      </c>
      <c r="AO2175" s="175">
        <v>52</v>
      </c>
      <c r="AP2175" s="175">
        <v>49</v>
      </c>
      <c r="AQ2175" s="175">
        <v>14</v>
      </c>
      <c r="AR2175" s="175">
        <v>4</v>
      </c>
      <c r="AS2175" s="175">
        <v>1</v>
      </c>
      <c r="AT2175" s="175">
        <v>0</v>
      </c>
    </row>
    <row r="2176" spans="1:46">
      <c r="A2176">
        <v>46005</v>
      </c>
      <c r="B2176" t="s">
        <v>12888</v>
      </c>
      <c r="C2176" t="s">
        <v>12889</v>
      </c>
      <c r="D2176" t="s">
        <v>12890</v>
      </c>
      <c r="E2176" t="s">
        <v>12891</v>
      </c>
      <c r="F2176" t="s">
        <v>4060</v>
      </c>
      <c r="G2176" t="s">
        <v>737</v>
      </c>
      <c r="H2176" t="s">
        <v>449</v>
      </c>
      <c r="J2176" t="s">
        <v>4032</v>
      </c>
      <c r="K2176" t="s">
        <v>606</v>
      </c>
      <c r="M2176" t="s">
        <v>607</v>
      </c>
      <c r="N2176" t="s">
        <v>657</v>
      </c>
      <c r="O2176" t="s">
        <v>792</v>
      </c>
      <c r="P2176" t="s">
        <v>739</v>
      </c>
      <c r="Q2176" t="s">
        <v>467</v>
      </c>
      <c r="R2176" t="s">
        <v>793</v>
      </c>
      <c r="S2176" t="s">
        <v>863</v>
      </c>
      <c r="T2176" t="s">
        <v>794</v>
      </c>
      <c r="U2176">
        <v>152300</v>
      </c>
      <c r="V2176" t="s">
        <v>4060</v>
      </c>
      <c r="W2176" t="s">
        <v>796</v>
      </c>
      <c r="X2176" t="s">
        <v>12892</v>
      </c>
      <c r="Y2176" t="s">
        <v>12893</v>
      </c>
      <c r="Z2176" t="s">
        <v>5170</v>
      </c>
      <c r="AA2176" t="s">
        <v>12894</v>
      </c>
      <c r="AB2176" t="s">
        <v>12889</v>
      </c>
      <c r="AE2176">
        <v>-36.924923139999997</v>
      </c>
      <c r="AF2176">
        <v>174.8952816</v>
      </c>
      <c r="AG2176" s="175">
        <v>45</v>
      </c>
      <c r="AH2176" s="175">
        <v>5</v>
      </c>
      <c r="AI2176" s="175">
        <v>2</v>
      </c>
      <c r="AJ2176" s="175">
        <v>1</v>
      </c>
      <c r="AK2176" s="175">
        <v>4</v>
      </c>
      <c r="AL2176" s="175">
        <v>7</v>
      </c>
      <c r="AM2176" s="175">
        <v>9</v>
      </c>
      <c r="AN2176" s="175">
        <v>0</v>
      </c>
      <c r="AO2176" s="175">
        <v>23</v>
      </c>
      <c r="AP2176" s="175">
        <v>6</v>
      </c>
      <c r="AQ2176" s="175">
        <v>2</v>
      </c>
      <c r="AR2176" s="175">
        <v>5</v>
      </c>
      <c r="AS2176" s="175">
        <v>12</v>
      </c>
      <c r="AT2176" s="175">
        <v>3</v>
      </c>
    </row>
    <row r="2177" spans="1:46">
      <c r="A2177">
        <v>46008</v>
      </c>
      <c r="B2177" t="s">
        <v>12895</v>
      </c>
      <c r="C2177" t="s">
        <v>12896</v>
      </c>
      <c r="E2177" t="s">
        <v>12897</v>
      </c>
      <c r="G2177" t="s">
        <v>1824</v>
      </c>
      <c r="H2177" t="s">
        <v>347</v>
      </c>
      <c r="J2177" t="s">
        <v>605</v>
      </c>
      <c r="K2177" t="s">
        <v>606</v>
      </c>
      <c r="L2177" t="s">
        <v>4273</v>
      </c>
      <c r="M2177" t="s">
        <v>1382</v>
      </c>
      <c r="N2177" t="s">
        <v>4586</v>
      </c>
      <c r="O2177" t="s">
        <v>1825</v>
      </c>
      <c r="P2177" t="s">
        <v>658</v>
      </c>
      <c r="Q2177" t="s">
        <v>511</v>
      </c>
      <c r="R2177" t="s">
        <v>1555</v>
      </c>
      <c r="S2177" t="s">
        <v>1604</v>
      </c>
      <c r="T2177" t="s">
        <v>1557</v>
      </c>
      <c r="U2177">
        <v>192000</v>
      </c>
      <c r="V2177" t="s">
        <v>10785</v>
      </c>
      <c r="W2177" t="s">
        <v>1827</v>
      </c>
      <c r="X2177" t="s">
        <v>8511</v>
      </c>
      <c r="Y2177" t="s">
        <v>4276</v>
      </c>
      <c r="Z2177" t="s">
        <v>4277</v>
      </c>
      <c r="AA2177" t="s">
        <v>4278</v>
      </c>
      <c r="AB2177" t="s">
        <v>8512</v>
      </c>
      <c r="AC2177">
        <v>99212</v>
      </c>
      <c r="AD2177" t="s">
        <v>12898</v>
      </c>
      <c r="AE2177">
        <v>-37.793922180000003</v>
      </c>
      <c r="AF2177">
        <v>176.34176792</v>
      </c>
      <c r="AG2177" s="175">
        <v>20</v>
      </c>
      <c r="AH2177" s="175">
        <v>6</v>
      </c>
      <c r="AI2177" s="175">
        <v>0</v>
      </c>
      <c r="AJ2177" s="175">
        <v>2</v>
      </c>
      <c r="AK2177" s="175">
        <v>4</v>
      </c>
      <c r="AL2177" s="175">
        <v>3</v>
      </c>
      <c r="AM2177" s="175">
        <v>4</v>
      </c>
      <c r="AN2177" s="175">
        <v>0</v>
      </c>
      <c r="AO2177" s="175">
        <v>13</v>
      </c>
      <c r="AP2177" s="175">
        <v>0</v>
      </c>
      <c r="AQ2177" s="175">
        <v>13</v>
      </c>
      <c r="AR2177" s="175">
        <v>0</v>
      </c>
      <c r="AS2177" s="175">
        <v>0</v>
      </c>
      <c r="AT2177" s="175">
        <v>0</v>
      </c>
    </row>
    <row r="2178" spans="1:46">
      <c r="A2178">
        <v>46009</v>
      </c>
      <c r="B2178" t="s">
        <v>12899</v>
      </c>
      <c r="C2178" t="s">
        <v>12900</v>
      </c>
      <c r="E2178" t="s">
        <v>12901</v>
      </c>
      <c r="G2178" t="s">
        <v>12902</v>
      </c>
      <c r="H2178" t="s">
        <v>449</v>
      </c>
      <c r="J2178" t="s">
        <v>4032</v>
      </c>
      <c r="K2178" t="s">
        <v>606</v>
      </c>
      <c r="M2178" t="s">
        <v>2366</v>
      </c>
      <c r="N2178" t="s">
        <v>657</v>
      </c>
      <c r="O2178" t="s">
        <v>3037</v>
      </c>
      <c r="P2178" t="s">
        <v>610</v>
      </c>
      <c r="Q2178" t="s">
        <v>521</v>
      </c>
      <c r="R2178" t="s">
        <v>3017</v>
      </c>
      <c r="S2178" t="s">
        <v>3038</v>
      </c>
      <c r="T2178" t="s">
        <v>2526</v>
      </c>
      <c r="U2178">
        <v>315301</v>
      </c>
      <c r="V2178" t="s">
        <v>12902</v>
      </c>
      <c r="W2178" t="s">
        <v>3262</v>
      </c>
      <c r="X2178" t="s">
        <v>12903</v>
      </c>
      <c r="Y2178" t="s">
        <v>4176</v>
      </c>
      <c r="AA2178" t="s">
        <v>4052</v>
      </c>
      <c r="AB2178" t="s">
        <v>12900</v>
      </c>
      <c r="AC2178">
        <v>99061</v>
      </c>
      <c r="AD2178" t="s">
        <v>3263</v>
      </c>
      <c r="AE2178">
        <v>-43.329308189999999</v>
      </c>
      <c r="AF2178">
        <v>172.66741614</v>
      </c>
      <c r="AG2178" s="175">
        <v>75</v>
      </c>
      <c r="AH2178" s="175">
        <v>25</v>
      </c>
      <c r="AI2178" s="175">
        <v>5</v>
      </c>
      <c r="AJ2178" s="175">
        <v>16</v>
      </c>
      <c r="AK2178" s="175">
        <v>17</v>
      </c>
      <c r="AL2178" s="175">
        <v>24</v>
      </c>
      <c r="AM2178" s="175">
        <v>29</v>
      </c>
      <c r="AN2178" s="175">
        <v>1</v>
      </c>
      <c r="AO2178" s="175">
        <v>92</v>
      </c>
      <c r="AP2178" s="175">
        <v>90</v>
      </c>
      <c r="AQ2178" s="175">
        <v>17</v>
      </c>
      <c r="AR2178" s="175">
        <v>1</v>
      </c>
      <c r="AS2178" s="175">
        <v>4</v>
      </c>
      <c r="AT2178" s="175">
        <v>5</v>
      </c>
    </row>
    <row r="2179" spans="1:46">
      <c r="A2179">
        <v>46011</v>
      </c>
      <c r="B2179" t="s">
        <v>12904</v>
      </c>
      <c r="C2179" t="s">
        <v>12905</v>
      </c>
      <c r="D2179" t="s">
        <v>12906</v>
      </c>
      <c r="E2179" t="s">
        <v>12907</v>
      </c>
      <c r="F2179" t="s">
        <v>1121</v>
      </c>
      <c r="G2179" t="s">
        <v>737</v>
      </c>
      <c r="H2179" t="s">
        <v>449</v>
      </c>
      <c r="J2179" t="s">
        <v>605</v>
      </c>
      <c r="K2179" t="s">
        <v>606</v>
      </c>
      <c r="M2179" t="s">
        <v>607</v>
      </c>
      <c r="N2179" t="s">
        <v>608</v>
      </c>
      <c r="O2179" t="s">
        <v>1301</v>
      </c>
      <c r="P2179" t="s">
        <v>739</v>
      </c>
      <c r="Q2179" t="s">
        <v>467</v>
      </c>
      <c r="R2179" t="s">
        <v>814</v>
      </c>
      <c r="S2179" t="s">
        <v>1302</v>
      </c>
      <c r="T2179" t="s">
        <v>794</v>
      </c>
      <c r="U2179">
        <v>160901</v>
      </c>
      <c r="V2179" t="s">
        <v>5027</v>
      </c>
      <c r="W2179" t="s">
        <v>1304</v>
      </c>
      <c r="X2179" t="s">
        <v>4013</v>
      </c>
      <c r="Y2179" t="s">
        <v>4014</v>
      </c>
      <c r="Z2179" t="s">
        <v>4015</v>
      </c>
      <c r="AA2179" t="s">
        <v>4016</v>
      </c>
      <c r="AB2179" t="s">
        <v>4017</v>
      </c>
      <c r="AE2179">
        <v>-37.026022159999997</v>
      </c>
      <c r="AF2179">
        <v>174.89439530000001</v>
      </c>
      <c r="AG2179" s="175">
        <v>122</v>
      </c>
      <c r="AH2179" s="175">
        <v>20</v>
      </c>
      <c r="AI2179" s="175">
        <v>4</v>
      </c>
      <c r="AJ2179" s="175">
        <v>8</v>
      </c>
      <c r="AK2179" s="175">
        <v>21</v>
      </c>
      <c r="AL2179" s="175">
        <v>24</v>
      </c>
      <c r="AM2179" s="175">
        <v>37</v>
      </c>
      <c r="AN2179" s="175">
        <v>4</v>
      </c>
      <c r="AO2179" s="175">
        <v>98</v>
      </c>
      <c r="AP2179" s="175">
        <v>20</v>
      </c>
      <c r="AQ2179" s="175">
        <v>26</v>
      </c>
      <c r="AR2179" s="175">
        <v>38</v>
      </c>
      <c r="AS2179" s="175">
        <v>33</v>
      </c>
      <c r="AT2179" s="175">
        <v>2</v>
      </c>
    </row>
    <row r="2180" spans="1:46">
      <c r="A2180">
        <v>46012</v>
      </c>
      <c r="B2180" t="s">
        <v>12908</v>
      </c>
      <c r="C2180" t="s">
        <v>12909</v>
      </c>
      <c r="D2180" t="s">
        <v>12910</v>
      </c>
      <c r="E2180" t="s">
        <v>12911</v>
      </c>
      <c r="G2180" t="s">
        <v>4576</v>
      </c>
      <c r="H2180" t="s">
        <v>449</v>
      </c>
      <c r="J2180" t="s">
        <v>4032</v>
      </c>
      <c r="K2180" t="s">
        <v>606</v>
      </c>
      <c r="M2180" t="s">
        <v>607</v>
      </c>
      <c r="N2180" t="s">
        <v>4586</v>
      </c>
      <c r="O2180" t="s">
        <v>738</v>
      </c>
      <c r="P2180" t="s">
        <v>670</v>
      </c>
      <c r="Q2180" t="s">
        <v>467</v>
      </c>
      <c r="R2180" t="s">
        <v>724</v>
      </c>
      <c r="S2180" t="s">
        <v>753</v>
      </c>
      <c r="T2180" t="s">
        <v>613</v>
      </c>
      <c r="U2180">
        <v>113101</v>
      </c>
      <c r="V2180" t="s">
        <v>12912</v>
      </c>
      <c r="W2180" t="s">
        <v>742</v>
      </c>
      <c r="X2180" t="s">
        <v>12913</v>
      </c>
      <c r="Y2180" t="s">
        <v>12914</v>
      </c>
      <c r="AA2180" t="s">
        <v>12449</v>
      </c>
      <c r="AE2180">
        <v>-36.599271510000001</v>
      </c>
      <c r="AF2180">
        <v>174.66838403</v>
      </c>
      <c r="AG2180" s="175">
        <v>30</v>
      </c>
      <c r="AH2180" s="175">
        <v>10</v>
      </c>
      <c r="AI2180" s="175">
        <v>0</v>
      </c>
      <c r="AJ2180" s="175">
        <v>3</v>
      </c>
      <c r="AK2180" s="175">
        <v>7</v>
      </c>
      <c r="AL2180" s="175">
        <v>12</v>
      </c>
      <c r="AM2180" s="175">
        <v>6</v>
      </c>
      <c r="AN2180" s="175">
        <v>0</v>
      </c>
      <c r="AO2180" s="175">
        <v>28</v>
      </c>
      <c r="AP2180" s="175">
        <v>25</v>
      </c>
      <c r="AQ2180" s="175">
        <v>4</v>
      </c>
      <c r="AR2180" s="175">
        <v>0</v>
      </c>
      <c r="AS2180" s="175">
        <v>4</v>
      </c>
      <c r="AT2180" s="175">
        <v>1</v>
      </c>
    </row>
    <row r="2181" spans="1:46">
      <c r="A2181">
        <v>46015</v>
      </c>
      <c r="B2181" t="s">
        <v>12915</v>
      </c>
      <c r="C2181" t="s">
        <v>12916</v>
      </c>
      <c r="D2181" t="s">
        <v>12917</v>
      </c>
      <c r="E2181" t="s">
        <v>12918</v>
      </c>
      <c r="G2181" t="s">
        <v>1621</v>
      </c>
      <c r="H2181" t="s">
        <v>449</v>
      </c>
      <c r="J2181" t="s">
        <v>4032</v>
      </c>
      <c r="K2181" t="s">
        <v>606</v>
      </c>
      <c r="M2181" t="s">
        <v>1382</v>
      </c>
      <c r="N2181" t="s">
        <v>643</v>
      </c>
      <c r="O2181" t="s">
        <v>1403</v>
      </c>
      <c r="P2181" t="s">
        <v>1347</v>
      </c>
      <c r="Q2181" t="s">
        <v>510</v>
      </c>
      <c r="R2181" t="s">
        <v>1384</v>
      </c>
      <c r="S2181" t="s">
        <v>1501</v>
      </c>
      <c r="T2181" t="s">
        <v>1320</v>
      </c>
      <c r="U2181">
        <v>183600</v>
      </c>
      <c r="V2181" t="s">
        <v>1742</v>
      </c>
      <c r="W2181" t="s">
        <v>1623</v>
      </c>
      <c r="X2181" t="s">
        <v>12919</v>
      </c>
      <c r="Y2181" t="s">
        <v>12920</v>
      </c>
      <c r="Z2181" t="s">
        <v>6269</v>
      </c>
      <c r="AA2181" t="s">
        <v>4423</v>
      </c>
      <c r="AB2181" t="s">
        <v>12921</v>
      </c>
      <c r="AE2181">
        <v>-38.006020329999998</v>
      </c>
      <c r="AF2181">
        <v>175.31386357</v>
      </c>
      <c r="AG2181" s="175">
        <v>47</v>
      </c>
      <c r="AH2181" s="175">
        <v>16</v>
      </c>
      <c r="AI2181" s="175">
        <v>4</v>
      </c>
      <c r="AJ2181" s="175">
        <v>7</v>
      </c>
      <c r="AK2181" s="175">
        <v>3</v>
      </c>
      <c r="AL2181" s="175">
        <v>6</v>
      </c>
      <c r="AM2181" s="175">
        <v>5</v>
      </c>
      <c r="AN2181" s="175">
        <v>1</v>
      </c>
      <c r="AO2181" s="175">
        <v>26</v>
      </c>
      <c r="AP2181" s="175">
        <v>21</v>
      </c>
      <c r="AQ2181" s="175">
        <v>15</v>
      </c>
      <c r="AR2181" s="175">
        <v>2</v>
      </c>
      <c r="AS2181" s="175">
        <v>2</v>
      </c>
      <c r="AT2181" s="175">
        <v>0</v>
      </c>
    </row>
    <row r="2182" spans="1:46">
      <c r="A2182">
        <v>46017</v>
      </c>
      <c r="B2182" t="s">
        <v>12922</v>
      </c>
      <c r="C2182" t="s">
        <v>12923</v>
      </c>
      <c r="D2182" t="s">
        <v>12924</v>
      </c>
      <c r="E2182" t="s">
        <v>12925</v>
      </c>
      <c r="F2182" t="s">
        <v>8547</v>
      </c>
      <c r="G2182" t="s">
        <v>1681</v>
      </c>
      <c r="H2182" t="s">
        <v>449</v>
      </c>
      <c r="J2182" t="s">
        <v>4032</v>
      </c>
      <c r="K2182" t="s">
        <v>606</v>
      </c>
      <c r="M2182" t="s">
        <v>1382</v>
      </c>
      <c r="N2182" t="s">
        <v>625</v>
      </c>
      <c r="O2182" t="s">
        <v>1780</v>
      </c>
      <c r="P2182" t="s">
        <v>739</v>
      </c>
      <c r="Q2182" t="s">
        <v>511</v>
      </c>
      <c r="R2182" t="s">
        <v>1555</v>
      </c>
      <c r="S2182" t="s">
        <v>1681</v>
      </c>
      <c r="T2182" t="s">
        <v>1557</v>
      </c>
      <c r="U2182">
        <v>194601</v>
      </c>
      <c r="V2182" t="s">
        <v>8547</v>
      </c>
      <c r="W2182" t="s">
        <v>3795</v>
      </c>
      <c r="X2182" t="s">
        <v>12926</v>
      </c>
      <c r="Y2182" t="s">
        <v>12925</v>
      </c>
      <c r="Z2182" t="s">
        <v>8547</v>
      </c>
      <c r="AA2182" t="s">
        <v>8947</v>
      </c>
      <c r="AB2182" t="s">
        <v>12927</v>
      </c>
      <c r="AC2182">
        <v>99085</v>
      </c>
      <c r="AD2182" t="s">
        <v>1800</v>
      </c>
      <c r="AE2182">
        <v>-37.718102620000003</v>
      </c>
      <c r="AF2182">
        <v>176.13796081999999</v>
      </c>
      <c r="AG2182" s="175">
        <v>30</v>
      </c>
      <c r="AH2182" s="175">
        <v>10</v>
      </c>
      <c r="AI2182" s="175">
        <v>0</v>
      </c>
      <c r="AJ2182" s="175">
        <v>12</v>
      </c>
      <c r="AK2182" s="175">
        <v>9</v>
      </c>
      <c r="AL2182" s="175">
        <v>11</v>
      </c>
      <c r="AM2182" s="175">
        <v>9</v>
      </c>
      <c r="AN2182" s="175">
        <v>1</v>
      </c>
      <c r="AO2182" s="175">
        <v>42</v>
      </c>
      <c r="AP2182" s="175">
        <v>27</v>
      </c>
      <c r="AQ2182" s="175">
        <v>23</v>
      </c>
      <c r="AR2182" s="175">
        <v>10</v>
      </c>
      <c r="AS2182" s="175">
        <v>5</v>
      </c>
      <c r="AT2182" s="175">
        <v>0</v>
      </c>
    </row>
    <row r="2183" spans="1:46">
      <c r="A2183">
        <v>46018</v>
      </c>
      <c r="B2183" t="s">
        <v>12928</v>
      </c>
      <c r="C2183" t="s">
        <v>12929</v>
      </c>
      <c r="D2183" t="s">
        <v>12930</v>
      </c>
      <c r="E2183" t="s">
        <v>12931</v>
      </c>
      <c r="F2183" t="s">
        <v>2201</v>
      </c>
      <c r="G2183" t="s">
        <v>2198</v>
      </c>
      <c r="H2183" t="s">
        <v>449</v>
      </c>
      <c r="J2183" t="s">
        <v>605</v>
      </c>
      <c r="K2183" t="s">
        <v>606</v>
      </c>
      <c r="M2183" t="s">
        <v>1382</v>
      </c>
      <c r="N2183" t="s">
        <v>608</v>
      </c>
      <c r="O2183" t="s">
        <v>2210</v>
      </c>
      <c r="P2183" t="s">
        <v>670</v>
      </c>
      <c r="Q2183" t="s">
        <v>513</v>
      </c>
      <c r="R2183" t="s">
        <v>2164</v>
      </c>
      <c r="S2183" t="s">
        <v>2198</v>
      </c>
      <c r="T2183" t="s">
        <v>2165</v>
      </c>
      <c r="U2183">
        <v>213900</v>
      </c>
      <c r="V2183" t="s">
        <v>12932</v>
      </c>
      <c r="W2183" t="s">
        <v>2242</v>
      </c>
      <c r="X2183" t="s">
        <v>12933</v>
      </c>
      <c r="Y2183" t="s">
        <v>12934</v>
      </c>
      <c r="Z2183" t="s">
        <v>2201</v>
      </c>
      <c r="AA2183" t="s">
        <v>2202</v>
      </c>
      <c r="AB2183" t="s">
        <v>12935</v>
      </c>
      <c r="AE2183">
        <v>-39.501037320000002</v>
      </c>
      <c r="AF2183">
        <v>176.89311189</v>
      </c>
      <c r="AG2183" s="175">
        <v>15</v>
      </c>
      <c r="AH2183" s="175">
        <v>15</v>
      </c>
      <c r="AI2183" s="175">
        <v>2</v>
      </c>
      <c r="AJ2183" s="175">
        <v>9</v>
      </c>
      <c r="AK2183" s="175">
        <v>1</v>
      </c>
      <c r="AL2183" s="175">
        <v>0</v>
      </c>
      <c r="AM2183" s="175">
        <v>0</v>
      </c>
      <c r="AN2183" s="175">
        <v>0</v>
      </c>
      <c r="AO2183" s="175">
        <v>12</v>
      </c>
      <c r="AP2183" s="175">
        <v>7</v>
      </c>
      <c r="AQ2183" s="175">
        <v>7</v>
      </c>
      <c r="AR2183" s="175">
        <v>2</v>
      </c>
      <c r="AS2183" s="175">
        <v>4</v>
      </c>
      <c r="AT2183" s="175">
        <v>0</v>
      </c>
    </row>
    <row r="2184" spans="1:46">
      <c r="A2184">
        <v>46019</v>
      </c>
      <c r="B2184" t="s">
        <v>12936</v>
      </c>
      <c r="C2184" t="s">
        <v>12937</v>
      </c>
      <c r="D2184" t="s">
        <v>12938</v>
      </c>
      <c r="E2184" t="s">
        <v>12939</v>
      </c>
      <c r="F2184" t="s">
        <v>6042</v>
      </c>
      <c r="G2184" t="s">
        <v>737</v>
      </c>
      <c r="H2184" t="s">
        <v>449</v>
      </c>
      <c r="J2184" t="s">
        <v>4032</v>
      </c>
      <c r="K2184" t="s">
        <v>606</v>
      </c>
      <c r="M2184" t="s">
        <v>607</v>
      </c>
      <c r="N2184" t="s">
        <v>657</v>
      </c>
      <c r="O2184" t="s">
        <v>942</v>
      </c>
      <c r="P2184" t="s">
        <v>739</v>
      </c>
      <c r="Q2184" t="s">
        <v>467</v>
      </c>
      <c r="R2184" t="s">
        <v>793</v>
      </c>
      <c r="S2184" t="s">
        <v>943</v>
      </c>
      <c r="T2184" t="s">
        <v>794</v>
      </c>
      <c r="U2184">
        <v>129902</v>
      </c>
      <c r="V2184" t="s">
        <v>6585</v>
      </c>
      <c r="W2184" t="s">
        <v>945</v>
      </c>
      <c r="X2184" t="s">
        <v>12940</v>
      </c>
      <c r="Y2184" t="s">
        <v>12939</v>
      </c>
      <c r="Z2184" t="s">
        <v>6042</v>
      </c>
      <c r="AA2184" t="s">
        <v>6587</v>
      </c>
      <c r="AE2184">
        <v>-36.868354220000001</v>
      </c>
      <c r="AF2184">
        <v>174.71465137999999</v>
      </c>
      <c r="AG2184" s="175">
        <v>49</v>
      </c>
      <c r="AH2184" s="175">
        <v>15</v>
      </c>
      <c r="AI2184" s="175">
        <v>3</v>
      </c>
      <c r="AJ2184" s="175">
        <v>11</v>
      </c>
      <c r="AK2184" s="175">
        <v>15</v>
      </c>
      <c r="AL2184" s="175">
        <v>13</v>
      </c>
      <c r="AM2184" s="175">
        <v>13</v>
      </c>
      <c r="AN2184" s="175">
        <v>0</v>
      </c>
      <c r="AO2184" s="175">
        <v>55</v>
      </c>
      <c r="AP2184" s="175">
        <v>42</v>
      </c>
      <c r="AQ2184" s="175">
        <v>1</v>
      </c>
      <c r="AR2184" s="175">
        <v>1</v>
      </c>
      <c r="AS2184" s="175">
        <v>4</v>
      </c>
      <c r="AT2184" s="175">
        <v>10</v>
      </c>
    </row>
    <row r="2185" spans="1:46">
      <c r="A2185">
        <v>46020</v>
      </c>
      <c r="B2185" t="s">
        <v>12941</v>
      </c>
      <c r="C2185" t="s">
        <v>12942</v>
      </c>
      <c r="E2185" t="s">
        <v>12943</v>
      </c>
      <c r="G2185" t="s">
        <v>2930</v>
      </c>
      <c r="H2185" t="s">
        <v>449</v>
      </c>
      <c r="I2185" t="s">
        <v>4134</v>
      </c>
      <c r="J2185" t="s">
        <v>4032</v>
      </c>
      <c r="K2185" t="s">
        <v>606</v>
      </c>
      <c r="M2185" t="s">
        <v>2366</v>
      </c>
      <c r="N2185" t="s">
        <v>657</v>
      </c>
      <c r="O2185" t="s">
        <v>2931</v>
      </c>
      <c r="P2185" t="s">
        <v>670</v>
      </c>
      <c r="Q2185" t="s">
        <v>518</v>
      </c>
      <c r="R2185" t="s">
        <v>2901</v>
      </c>
      <c r="S2185" t="s">
        <v>2930</v>
      </c>
      <c r="T2185" t="s">
        <v>2526</v>
      </c>
      <c r="U2185">
        <v>305600</v>
      </c>
      <c r="V2185" t="s">
        <v>2975</v>
      </c>
      <c r="W2185" t="s">
        <v>2114</v>
      </c>
      <c r="X2185" t="s">
        <v>12944</v>
      </c>
      <c r="Y2185" t="s">
        <v>12945</v>
      </c>
      <c r="AA2185" t="s">
        <v>2936</v>
      </c>
      <c r="AC2185">
        <v>99005</v>
      </c>
      <c r="AD2185" t="s">
        <v>2953</v>
      </c>
      <c r="AE2185">
        <v>-41.290656509999998</v>
      </c>
      <c r="AF2185">
        <v>173.26952381000001</v>
      </c>
      <c r="AG2185" s="175">
        <v>42</v>
      </c>
      <c r="AH2185" s="175">
        <v>10</v>
      </c>
      <c r="AI2185" s="175">
        <v>1</v>
      </c>
      <c r="AJ2185" s="175">
        <v>11</v>
      </c>
      <c r="AK2185" s="175">
        <v>10</v>
      </c>
      <c r="AL2185" s="175">
        <v>12</v>
      </c>
      <c r="AM2185" s="175">
        <v>5</v>
      </c>
      <c r="AN2185" s="175">
        <v>0</v>
      </c>
      <c r="AO2185" s="175">
        <v>39</v>
      </c>
      <c r="AP2185" s="175">
        <v>24</v>
      </c>
      <c r="AQ2185" s="175">
        <v>2</v>
      </c>
      <c r="AR2185" s="175">
        <v>1</v>
      </c>
      <c r="AS2185" s="175">
        <v>5</v>
      </c>
      <c r="AT2185" s="175">
        <v>19</v>
      </c>
    </row>
    <row r="2186" spans="1:46">
      <c r="A2186">
        <v>46023</v>
      </c>
      <c r="B2186" t="s">
        <v>12946</v>
      </c>
      <c r="C2186" t="s">
        <v>12947</v>
      </c>
      <c r="D2186" t="s">
        <v>12948</v>
      </c>
      <c r="E2186" t="s">
        <v>12949</v>
      </c>
      <c r="F2186" t="s">
        <v>6950</v>
      </c>
      <c r="G2186" t="s">
        <v>737</v>
      </c>
      <c r="H2186" t="s">
        <v>452</v>
      </c>
      <c r="I2186" t="s">
        <v>941</v>
      </c>
      <c r="J2186" t="s">
        <v>605</v>
      </c>
      <c r="K2186" t="s">
        <v>606</v>
      </c>
      <c r="M2186" t="s">
        <v>607</v>
      </c>
      <c r="N2186" t="s">
        <v>643</v>
      </c>
      <c r="O2186" t="s">
        <v>942</v>
      </c>
      <c r="P2186" t="s">
        <v>739</v>
      </c>
      <c r="Q2186" t="s">
        <v>467</v>
      </c>
      <c r="R2186" t="s">
        <v>793</v>
      </c>
      <c r="S2186" t="s">
        <v>804</v>
      </c>
      <c r="T2186" t="s">
        <v>794</v>
      </c>
      <c r="U2186">
        <v>131100</v>
      </c>
      <c r="V2186" t="s">
        <v>6950</v>
      </c>
      <c r="W2186" t="s">
        <v>945</v>
      </c>
      <c r="X2186" t="s">
        <v>727</v>
      </c>
      <c r="Y2186" t="s">
        <v>728</v>
      </c>
      <c r="Z2186" t="s">
        <v>729</v>
      </c>
      <c r="AA2186" t="s">
        <v>730</v>
      </c>
      <c r="AB2186" t="s">
        <v>731</v>
      </c>
      <c r="AE2186">
        <v>-36.877419629999999</v>
      </c>
      <c r="AF2186">
        <v>174.70065367999999</v>
      </c>
      <c r="AG2186" s="175">
        <v>40</v>
      </c>
      <c r="AH2186" s="175">
        <v>0</v>
      </c>
      <c r="AI2186" s="175">
        <v>0</v>
      </c>
      <c r="AJ2186" s="175">
        <v>0</v>
      </c>
      <c r="AK2186" s="175">
        <v>7</v>
      </c>
      <c r="AL2186" s="175">
        <v>13</v>
      </c>
      <c r="AM2186" s="175">
        <v>29</v>
      </c>
      <c r="AN2186" s="175">
        <v>0</v>
      </c>
      <c r="AO2186" s="175">
        <v>49</v>
      </c>
      <c r="AP2186" s="175">
        <v>21</v>
      </c>
      <c r="AQ2186" s="175">
        <v>7</v>
      </c>
      <c r="AR2186" s="175">
        <v>18</v>
      </c>
      <c r="AS2186" s="175">
        <v>8</v>
      </c>
      <c r="AT2186" s="175">
        <v>6</v>
      </c>
    </row>
    <row r="2187" spans="1:46">
      <c r="A2187">
        <v>46026</v>
      </c>
      <c r="B2187" t="s">
        <v>12950</v>
      </c>
      <c r="C2187" t="s">
        <v>12951</v>
      </c>
      <c r="D2187" t="s">
        <v>12952</v>
      </c>
      <c r="E2187" t="s">
        <v>12953</v>
      </c>
      <c r="F2187" t="s">
        <v>12321</v>
      </c>
      <c r="G2187" t="s">
        <v>9777</v>
      </c>
      <c r="H2187" t="s">
        <v>449</v>
      </c>
      <c r="J2187" t="s">
        <v>4032</v>
      </c>
      <c r="K2187" t="s">
        <v>606</v>
      </c>
      <c r="M2187" t="s">
        <v>1382</v>
      </c>
      <c r="N2187" t="s">
        <v>643</v>
      </c>
      <c r="O2187" t="s">
        <v>1629</v>
      </c>
      <c r="P2187" t="s">
        <v>658</v>
      </c>
      <c r="Q2187" t="s">
        <v>510</v>
      </c>
      <c r="R2187" t="s">
        <v>1555</v>
      </c>
      <c r="S2187" t="s">
        <v>1404</v>
      </c>
      <c r="T2187" t="s">
        <v>1568</v>
      </c>
      <c r="U2187">
        <v>187701</v>
      </c>
      <c r="V2187" t="s">
        <v>11534</v>
      </c>
      <c r="W2187" t="s">
        <v>9778</v>
      </c>
      <c r="X2187" t="s">
        <v>12954</v>
      </c>
      <c r="Y2187" t="s">
        <v>12955</v>
      </c>
      <c r="AA2187" t="s">
        <v>12956</v>
      </c>
      <c r="AB2187" t="s">
        <v>12957</v>
      </c>
      <c r="AC2187">
        <v>99020</v>
      </c>
      <c r="AD2187" t="s">
        <v>1633</v>
      </c>
      <c r="AE2187">
        <v>-38.423763119999997</v>
      </c>
      <c r="AF2187">
        <v>175.79136765999999</v>
      </c>
      <c r="AG2187" s="175">
        <v>40</v>
      </c>
      <c r="AH2187" s="175">
        <v>10</v>
      </c>
      <c r="AI2187" s="175">
        <v>1</v>
      </c>
      <c r="AJ2187" s="175">
        <v>5</v>
      </c>
      <c r="AK2187" s="175">
        <v>9</v>
      </c>
      <c r="AL2187" s="175">
        <v>13</v>
      </c>
      <c r="AM2187" s="175">
        <v>8</v>
      </c>
      <c r="AN2187" s="175">
        <v>0</v>
      </c>
      <c r="AO2187" s="175">
        <v>36</v>
      </c>
      <c r="AP2187" s="175">
        <v>22</v>
      </c>
      <c r="AQ2187" s="175">
        <v>15</v>
      </c>
      <c r="AR2187" s="175">
        <v>2</v>
      </c>
      <c r="AS2187" s="175">
        <v>4</v>
      </c>
      <c r="AT2187" s="175">
        <v>2</v>
      </c>
    </row>
    <row r="2188" spans="1:46">
      <c r="A2188">
        <v>46027</v>
      </c>
      <c r="B2188" t="s">
        <v>12958</v>
      </c>
      <c r="C2188" t="s">
        <v>12959</v>
      </c>
      <c r="D2188" t="s">
        <v>12960</v>
      </c>
      <c r="E2188" t="s">
        <v>12961</v>
      </c>
      <c r="F2188" t="s">
        <v>2811</v>
      </c>
      <c r="G2188" t="s">
        <v>2505</v>
      </c>
      <c r="H2188" t="s">
        <v>449</v>
      </c>
      <c r="J2188" t="s">
        <v>4032</v>
      </c>
      <c r="K2188" t="s">
        <v>606</v>
      </c>
      <c r="M2188" t="s">
        <v>2366</v>
      </c>
      <c r="N2188" t="s">
        <v>9058</v>
      </c>
      <c r="O2188" t="s">
        <v>2506</v>
      </c>
      <c r="P2188" t="s">
        <v>739</v>
      </c>
      <c r="Q2188" t="s">
        <v>516</v>
      </c>
      <c r="R2188" t="s">
        <v>2368</v>
      </c>
      <c r="S2188" t="s">
        <v>2507</v>
      </c>
      <c r="T2188" t="s">
        <v>2526</v>
      </c>
      <c r="U2188">
        <v>243700</v>
      </c>
      <c r="V2188" t="s">
        <v>11019</v>
      </c>
      <c r="W2188" t="s">
        <v>2569</v>
      </c>
      <c r="X2188" t="s">
        <v>12962</v>
      </c>
      <c r="Y2188" t="s">
        <v>4725</v>
      </c>
      <c r="Z2188" t="s">
        <v>1043</v>
      </c>
      <c r="AA2188" t="s">
        <v>4726</v>
      </c>
      <c r="AE2188">
        <v>-41.226833980000002</v>
      </c>
      <c r="AF2188">
        <v>174.87278886000001</v>
      </c>
      <c r="AG2188" s="175">
        <v>110</v>
      </c>
      <c r="AH2188" s="175">
        <v>40</v>
      </c>
      <c r="AI2188" s="175">
        <v>4</v>
      </c>
      <c r="AJ2188" s="175">
        <v>23</v>
      </c>
      <c r="AK2188" s="175">
        <v>18</v>
      </c>
      <c r="AL2188" s="175">
        <v>20</v>
      </c>
      <c r="AM2188" s="175">
        <v>21</v>
      </c>
      <c r="AN2188" s="175">
        <v>0</v>
      </c>
      <c r="AO2188" s="175">
        <v>86</v>
      </c>
      <c r="AP2188" s="175">
        <v>56</v>
      </c>
      <c r="AQ2188" s="175">
        <v>16</v>
      </c>
      <c r="AR2188" s="175">
        <v>4</v>
      </c>
      <c r="AS2188" s="175">
        <v>22</v>
      </c>
      <c r="AT2188" s="175">
        <v>5</v>
      </c>
    </row>
    <row r="2189" spans="1:46">
      <c r="A2189">
        <v>46029</v>
      </c>
      <c r="B2189" t="s">
        <v>12963</v>
      </c>
      <c r="C2189" t="s">
        <v>12964</v>
      </c>
      <c r="D2189" t="s">
        <v>12965</v>
      </c>
      <c r="E2189" t="s">
        <v>12966</v>
      </c>
      <c r="F2189" t="s">
        <v>12967</v>
      </c>
      <c r="G2189" t="s">
        <v>2505</v>
      </c>
      <c r="H2189" t="s">
        <v>449</v>
      </c>
      <c r="J2189" t="s">
        <v>4032</v>
      </c>
      <c r="K2189" t="s">
        <v>606</v>
      </c>
      <c r="M2189" t="s">
        <v>2366</v>
      </c>
      <c r="N2189" t="s">
        <v>643</v>
      </c>
      <c r="O2189" t="s">
        <v>2506</v>
      </c>
      <c r="P2189" t="s">
        <v>739</v>
      </c>
      <c r="Q2189" t="s">
        <v>516</v>
      </c>
      <c r="R2189" t="s">
        <v>2368</v>
      </c>
      <c r="S2189" t="s">
        <v>2507</v>
      </c>
      <c r="T2189" t="s">
        <v>2526</v>
      </c>
      <c r="U2189">
        <v>246002</v>
      </c>
      <c r="V2189" t="s">
        <v>12968</v>
      </c>
      <c r="W2189" t="s">
        <v>2569</v>
      </c>
      <c r="X2189" t="s">
        <v>12969</v>
      </c>
      <c r="Y2189" t="s">
        <v>4725</v>
      </c>
      <c r="Z2189" t="s">
        <v>1043</v>
      </c>
      <c r="AA2189" t="s">
        <v>4726</v>
      </c>
      <c r="AB2189" t="s">
        <v>12970</v>
      </c>
      <c r="AE2189">
        <v>-41.225031309999999</v>
      </c>
      <c r="AF2189">
        <v>174.91352555</v>
      </c>
      <c r="AG2189" s="175">
        <v>75</v>
      </c>
      <c r="AH2189" s="175">
        <v>25</v>
      </c>
      <c r="AI2189" s="175">
        <v>6</v>
      </c>
      <c r="AJ2189" s="175">
        <v>18</v>
      </c>
      <c r="AK2189" s="175">
        <v>20</v>
      </c>
      <c r="AL2189" s="175">
        <v>16</v>
      </c>
      <c r="AM2189" s="175">
        <v>15</v>
      </c>
      <c r="AN2189" s="175">
        <v>1</v>
      </c>
      <c r="AO2189" s="175">
        <v>76</v>
      </c>
      <c r="AP2189" s="175">
        <v>43</v>
      </c>
      <c r="AQ2189" s="175">
        <v>20</v>
      </c>
      <c r="AR2189" s="175">
        <v>7</v>
      </c>
      <c r="AS2189" s="175">
        <v>24</v>
      </c>
      <c r="AT2189" s="175">
        <v>3</v>
      </c>
    </row>
    <row r="2190" spans="1:46">
      <c r="A2190">
        <v>46032</v>
      </c>
      <c r="B2190" t="s">
        <v>12971</v>
      </c>
      <c r="C2190" t="s">
        <v>12972</v>
      </c>
      <c r="D2190" t="s">
        <v>12973</v>
      </c>
      <c r="E2190" t="s">
        <v>12974</v>
      </c>
      <c r="G2190" t="s">
        <v>1319</v>
      </c>
      <c r="H2190" t="s">
        <v>449</v>
      </c>
      <c r="J2190" t="s">
        <v>4032</v>
      </c>
      <c r="K2190" t="s">
        <v>606</v>
      </c>
      <c r="M2190" t="s">
        <v>607</v>
      </c>
      <c r="N2190" t="s">
        <v>812</v>
      </c>
      <c r="O2190" t="s">
        <v>1353</v>
      </c>
      <c r="P2190" t="s">
        <v>739</v>
      </c>
      <c r="Q2190" t="s">
        <v>467</v>
      </c>
      <c r="R2190" t="s">
        <v>814</v>
      </c>
      <c r="S2190" t="s">
        <v>1319</v>
      </c>
      <c r="T2190" t="s">
        <v>1320</v>
      </c>
      <c r="U2190">
        <v>163200</v>
      </c>
      <c r="V2190" t="s">
        <v>4113</v>
      </c>
      <c r="W2190" t="s">
        <v>1304</v>
      </c>
      <c r="X2190" t="s">
        <v>12709</v>
      </c>
      <c r="Y2190" t="s">
        <v>12710</v>
      </c>
      <c r="Z2190" t="s">
        <v>921</v>
      </c>
      <c r="AA2190" t="s">
        <v>4349</v>
      </c>
      <c r="AB2190" t="s">
        <v>12711</v>
      </c>
      <c r="AC2190">
        <v>99152</v>
      </c>
      <c r="AD2190" t="s">
        <v>1355</v>
      </c>
      <c r="AE2190">
        <v>-37.070157819999999</v>
      </c>
      <c r="AF2190">
        <v>174.95204108999999</v>
      </c>
      <c r="AG2190" s="175">
        <v>117</v>
      </c>
      <c r="AH2190" s="175">
        <v>20</v>
      </c>
      <c r="AI2190" s="175">
        <v>1</v>
      </c>
      <c r="AJ2190" s="175">
        <v>18</v>
      </c>
      <c r="AK2190" s="175">
        <v>33</v>
      </c>
      <c r="AL2190" s="175">
        <v>48</v>
      </c>
      <c r="AM2190" s="175">
        <v>48</v>
      </c>
      <c r="AN2190" s="175">
        <v>3</v>
      </c>
      <c r="AO2190" s="175">
        <v>151</v>
      </c>
      <c r="AP2190" s="175">
        <v>46</v>
      </c>
      <c r="AQ2190" s="175">
        <v>109</v>
      </c>
      <c r="AR2190" s="175">
        <v>51</v>
      </c>
      <c r="AS2190" s="175">
        <v>19</v>
      </c>
      <c r="AT2190" s="175">
        <v>3</v>
      </c>
    </row>
    <row r="2191" spans="1:46">
      <c r="A2191">
        <v>46033</v>
      </c>
      <c r="B2191" t="s">
        <v>12975</v>
      </c>
      <c r="C2191" t="s">
        <v>12976</v>
      </c>
      <c r="D2191" t="s">
        <v>12977</v>
      </c>
      <c r="E2191" t="s">
        <v>12978</v>
      </c>
      <c r="F2191" t="s">
        <v>876</v>
      </c>
      <c r="G2191" t="s">
        <v>737</v>
      </c>
      <c r="H2191" t="s">
        <v>449</v>
      </c>
      <c r="J2191" t="s">
        <v>4032</v>
      </c>
      <c r="K2191" t="s">
        <v>606</v>
      </c>
      <c r="M2191" t="s">
        <v>607</v>
      </c>
      <c r="N2191" t="s">
        <v>657</v>
      </c>
      <c r="O2191" t="s">
        <v>792</v>
      </c>
      <c r="P2191" t="s">
        <v>739</v>
      </c>
      <c r="Q2191" t="s">
        <v>467</v>
      </c>
      <c r="R2191" t="s">
        <v>793</v>
      </c>
      <c r="S2191" t="s">
        <v>791</v>
      </c>
      <c r="T2191" t="s">
        <v>794</v>
      </c>
      <c r="U2191">
        <v>148300</v>
      </c>
      <c r="V2191" t="s">
        <v>12979</v>
      </c>
      <c r="W2191" t="s">
        <v>796</v>
      </c>
      <c r="X2191" t="s">
        <v>6462</v>
      </c>
      <c r="Y2191" t="s">
        <v>12980</v>
      </c>
      <c r="Z2191" t="s">
        <v>6269</v>
      </c>
      <c r="AA2191" t="s">
        <v>4423</v>
      </c>
      <c r="AB2191" t="s">
        <v>6464</v>
      </c>
      <c r="AE2191">
        <v>-36.881769839999997</v>
      </c>
      <c r="AF2191">
        <v>174.91082947999999</v>
      </c>
      <c r="AG2191" s="175">
        <v>30</v>
      </c>
      <c r="AH2191" s="175">
        <v>0</v>
      </c>
      <c r="AI2191" s="175">
        <v>0</v>
      </c>
      <c r="AJ2191" s="175">
        <v>0</v>
      </c>
      <c r="AK2191" s="175">
        <v>9</v>
      </c>
      <c r="AL2191" s="175">
        <v>4</v>
      </c>
      <c r="AM2191" s="175">
        <v>9</v>
      </c>
      <c r="AN2191" s="175">
        <v>0</v>
      </c>
      <c r="AO2191" s="175">
        <v>22</v>
      </c>
      <c r="AP2191" s="175">
        <v>2</v>
      </c>
      <c r="AQ2191" s="175">
        <v>1</v>
      </c>
      <c r="AR2191" s="175">
        <v>1</v>
      </c>
      <c r="AS2191" s="175">
        <v>19</v>
      </c>
      <c r="AT2191" s="175">
        <v>0</v>
      </c>
    </row>
    <row r="2192" spans="1:46">
      <c r="A2192">
        <v>46035</v>
      </c>
      <c r="B2192" t="s">
        <v>12981</v>
      </c>
      <c r="C2192" t="s">
        <v>12982</v>
      </c>
      <c r="D2192" t="s">
        <v>12983</v>
      </c>
      <c r="E2192" t="s">
        <v>12984</v>
      </c>
      <c r="F2192" t="s">
        <v>2302</v>
      </c>
      <c r="G2192" t="s">
        <v>2276</v>
      </c>
      <c r="H2192" t="s">
        <v>449</v>
      </c>
      <c r="J2192" t="s">
        <v>4032</v>
      </c>
      <c r="K2192" t="s">
        <v>606</v>
      </c>
      <c r="M2192" t="s">
        <v>1382</v>
      </c>
      <c r="N2192" t="s">
        <v>812</v>
      </c>
      <c r="O2192" t="s">
        <v>2277</v>
      </c>
      <c r="P2192" t="s">
        <v>670</v>
      </c>
      <c r="Q2192" t="s">
        <v>513</v>
      </c>
      <c r="R2192" t="s">
        <v>2164</v>
      </c>
      <c r="S2192" t="s">
        <v>2278</v>
      </c>
      <c r="T2192" t="s">
        <v>2165</v>
      </c>
      <c r="U2192">
        <v>208800</v>
      </c>
      <c r="V2192" t="s">
        <v>12985</v>
      </c>
      <c r="W2192" t="s">
        <v>2304</v>
      </c>
      <c r="X2192" t="s">
        <v>12986</v>
      </c>
      <c r="Y2192" t="s">
        <v>4725</v>
      </c>
      <c r="Z2192" t="s">
        <v>1043</v>
      </c>
      <c r="AA2192" t="s">
        <v>4726</v>
      </c>
      <c r="AB2192" t="s">
        <v>12982</v>
      </c>
      <c r="AC2192">
        <v>99135</v>
      </c>
      <c r="AD2192" t="s">
        <v>2305</v>
      </c>
      <c r="AE2192">
        <v>-39.615376900000001</v>
      </c>
      <c r="AF2192">
        <v>176.77233680000001</v>
      </c>
      <c r="AG2192" s="175">
        <v>60</v>
      </c>
      <c r="AH2192" s="175">
        <v>0</v>
      </c>
      <c r="AI2192" s="175">
        <v>0</v>
      </c>
      <c r="AJ2192" s="175">
        <v>0</v>
      </c>
      <c r="AK2192" s="175">
        <v>7</v>
      </c>
      <c r="AL2192" s="175">
        <v>14</v>
      </c>
      <c r="AM2192" s="175">
        <v>21</v>
      </c>
      <c r="AN2192" s="175">
        <v>2</v>
      </c>
      <c r="AO2192" s="175">
        <v>44</v>
      </c>
      <c r="AP2192" s="175">
        <v>10</v>
      </c>
      <c r="AQ2192" s="175">
        <v>27</v>
      </c>
      <c r="AR2192" s="175">
        <v>16</v>
      </c>
      <c r="AS2192" s="175">
        <v>3</v>
      </c>
      <c r="AT2192" s="175">
        <v>1</v>
      </c>
    </row>
    <row r="2193" spans="1:46">
      <c r="A2193">
        <v>46036</v>
      </c>
      <c r="B2193" t="s">
        <v>12987</v>
      </c>
      <c r="C2193" t="s">
        <v>12988</v>
      </c>
      <c r="D2193" t="s">
        <v>12989</v>
      </c>
      <c r="E2193" t="s">
        <v>12990</v>
      </c>
      <c r="G2193" t="s">
        <v>604</v>
      </c>
      <c r="H2193" t="s">
        <v>449</v>
      </c>
      <c r="J2193" t="s">
        <v>4032</v>
      </c>
      <c r="K2193" t="s">
        <v>606</v>
      </c>
      <c r="M2193" t="s">
        <v>607</v>
      </c>
      <c r="N2193" t="s">
        <v>812</v>
      </c>
      <c r="O2193" t="s">
        <v>609</v>
      </c>
      <c r="P2193" t="s">
        <v>610</v>
      </c>
      <c r="Q2193" t="s">
        <v>509</v>
      </c>
      <c r="R2193" t="s">
        <v>611</v>
      </c>
      <c r="S2193" t="s">
        <v>612</v>
      </c>
      <c r="T2193" t="s">
        <v>613</v>
      </c>
      <c r="U2193">
        <v>100700</v>
      </c>
      <c r="V2193" t="s">
        <v>632</v>
      </c>
      <c r="W2193" t="s">
        <v>615</v>
      </c>
      <c r="X2193" t="s">
        <v>12991</v>
      </c>
      <c r="Y2193" t="s">
        <v>12992</v>
      </c>
      <c r="AA2193" t="s">
        <v>12993</v>
      </c>
      <c r="AB2193" t="s">
        <v>12988</v>
      </c>
      <c r="AE2193">
        <v>-35.113882959999998</v>
      </c>
      <c r="AF2193">
        <v>173.26497261</v>
      </c>
      <c r="AG2193" s="175">
        <v>30</v>
      </c>
      <c r="AH2193" s="175">
        <v>0</v>
      </c>
      <c r="AI2193" s="175">
        <v>0</v>
      </c>
      <c r="AJ2193" s="175">
        <v>0</v>
      </c>
      <c r="AK2193" s="175">
        <v>9</v>
      </c>
      <c r="AL2193" s="175">
        <v>6</v>
      </c>
      <c r="AM2193" s="175">
        <v>4</v>
      </c>
      <c r="AN2193" s="175">
        <v>0</v>
      </c>
      <c r="AO2193" s="175">
        <v>19</v>
      </c>
      <c r="AP2193" s="175">
        <v>6</v>
      </c>
      <c r="AQ2193" s="175">
        <v>15</v>
      </c>
      <c r="AR2193" s="175">
        <v>8</v>
      </c>
      <c r="AS2193" s="175">
        <v>2</v>
      </c>
      <c r="AT2193" s="175">
        <v>1</v>
      </c>
    </row>
    <row r="2194" spans="1:46">
      <c r="A2194">
        <v>46037</v>
      </c>
      <c r="B2194" t="s">
        <v>12994</v>
      </c>
      <c r="C2194" t="s">
        <v>12995</v>
      </c>
      <c r="D2194" t="s">
        <v>12996</v>
      </c>
      <c r="E2194" t="s">
        <v>12997</v>
      </c>
      <c r="F2194" t="s">
        <v>1477</v>
      </c>
      <c r="G2194" t="s">
        <v>1381</v>
      </c>
      <c r="H2194" t="s">
        <v>449</v>
      </c>
      <c r="J2194" t="s">
        <v>605</v>
      </c>
      <c r="K2194" t="s">
        <v>606</v>
      </c>
      <c r="M2194" t="s">
        <v>1382</v>
      </c>
      <c r="N2194" t="s">
        <v>625</v>
      </c>
      <c r="O2194" t="s">
        <v>1383</v>
      </c>
      <c r="P2194" t="s">
        <v>739</v>
      </c>
      <c r="Q2194" t="s">
        <v>510</v>
      </c>
      <c r="R2194" t="s">
        <v>1384</v>
      </c>
      <c r="S2194" t="s">
        <v>1385</v>
      </c>
      <c r="T2194" t="s">
        <v>1320</v>
      </c>
      <c r="U2194">
        <v>180500</v>
      </c>
      <c r="V2194" t="s">
        <v>1478</v>
      </c>
      <c r="W2194" t="s">
        <v>1387</v>
      </c>
      <c r="X2194" t="s">
        <v>8441</v>
      </c>
      <c r="Y2194" t="s">
        <v>4014</v>
      </c>
      <c r="Z2194" t="s">
        <v>4015</v>
      </c>
      <c r="AA2194" t="s">
        <v>4016</v>
      </c>
      <c r="AB2194" t="s">
        <v>8442</v>
      </c>
      <c r="AE2194">
        <v>-37.808599880000003</v>
      </c>
      <c r="AF2194">
        <v>175.28738874000001</v>
      </c>
      <c r="AG2194" s="175">
        <v>65</v>
      </c>
      <c r="AH2194" s="175">
        <v>15</v>
      </c>
      <c r="AI2194" s="175">
        <v>4</v>
      </c>
      <c r="AJ2194" s="175">
        <v>9</v>
      </c>
      <c r="AK2194" s="175">
        <v>15</v>
      </c>
      <c r="AL2194" s="175">
        <v>16</v>
      </c>
      <c r="AM2194" s="175">
        <v>19</v>
      </c>
      <c r="AN2194" s="175">
        <v>2</v>
      </c>
      <c r="AO2194" s="175">
        <v>65</v>
      </c>
      <c r="AP2194" s="175">
        <v>9</v>
      </c>
      <c r="AQ2194" s="175">
        <v>26</v>
      </c>
      <c r="AR2194" s="175">
        <v>11</v>
      </c>
      <c r="AS2194" s="175">
        <v>27</v>
      </c>
      <c r="AT2194" s="175">
        <v>5</v>
      </c>
    </row>
    <row r="2195" spans="1:46">
      <c r="A2195">
        <v>46041</v>
      </c>
      <c r="B2195" t="s">
        <v>12998</v>
      </c>
      <c r="C2195" t="s">
        <v>12999</v>
      </c>
      <c r="D2195" t="s">
        <v>13000</v>
      </c>
      <c r="E2195" t="s">
        <v>13001</v>
      </c>
      <c r="F2195" t="s">
        <v>983</v>
      </c>
      <c r="G2195" t="s">
        <v>737</v>
      </c>
      <c r="H2195" t="s">
        <v>449</v>
      </c>
      <c r="J2195" t="s">
        <v>4032</v>
      </c>
      <c r="K2195" t="s">
        <v>606</v>
      </c>
      <c r="M2195" t="s">
        <v>607</v>
      </c>
      <c r="N2195" t="s">
        <v>4586</v>
      </c>
      <c r="O2195" t="s">
        <v>898</v>
      </c>
      <c r="P2195" t="s">
        <v>739</v>
      </c>
      <c r="Q2195" t="s">
        <v>467</v>
      </c>
      <c r="R2195" t="s">
        <v>724</v>
      </c>
      <c r="S2195" t="s">
        <v>984</v>
      </c>
      <c r="T2195" t="s">
        <v>613</v>
      </c>
      <c r="U2195">
        <v>126701</v>
      </c>
      <c r="V2195" t="s">
        <v>13002</v>
      </c>
      <c r="W2195" t="s">
        <v>900</v>
      </c>
      <c r="X2195" t="s">
        <v>6610</v>
      </c>
      <c r="Y2195" t="s">
        <v>6611</v>
      </c>
      <c r="Z2195" t="s">
        <v>1152</v>
      </c>
      <c r="AA2195" t="s">
        <v>4774</v>
      </c>
      <c r="AB2195" t="s">
        <v>6612</v>
      </c>
      <c r="AE2195">
        <v>-36.871429409999998</v>
      </c>
      <c r="AF2195">
        <v>174.62836659999999</v>
      </c>
      <c r="AG2195" s="175">
        <v>30</v>
      </c>
      <c r="AH2195" s="175">
        <v>0</v>
      </c>
      <c r="AI2195" s="175">
        <v>0</v>
      </c>
      <c r="AJ2195" s="175">
        <v>0</v>
      </c>
      <c r="AK2195" s="175">
        <v>4</v>
      </c>
      <c r="AL2195" s="175">
        <v>9</v>
      </c>
      <c r="AM2195" s="175">
        <v>10</v>
      </c>
      <c r="AN2195" s="175">
        <v>0</v>
      </c>
      <c r="AO2195" s="175">
        <v>23</v>
      </c>
      <c r="AP2195" s="175">
        <v>3</v>
      </c>
      <c r="AQ2195" s="175">
        <v>6</v>
      </c>
      <c r="AR2195" s="175">
        <v>7</v>
      </c>
      <c r="AS2195" s="175">
        <v>11</v>
      </c>
      <c r="AT2195" s="175">
        <v>3</v>
      </c>
    </row>
    <row r="2196" spans="1:46">
      <c r="A2196">
        <v>46043</v>
      </c>
      <c r="B2196" t="s">
        <v>13003</v>
      </c>
      <c r="C2196" t="s">
        <v>13004</v>
      </c>
      <c r="D2196" t="s">
        <v>13005</v>
      </c>
      <c r="E2196" t="s">
        <v>13006</v>
      </c>
      <c r="G2196" t="s">
        <v>752</v>
      </c>
      <c r="H2196" t="s">
        <v>449</v>
      </c>
      <c r="J2196" t="s">
        <v>4032</v>
      </c>
      <c r="K2196" t="s">
        <v>606</v>
      </c>
      <c r="M2196" t="s">
        <v>607</v>
      </c>
      <c r="N2196" t="s">
        <v>657</v>
      </c>
      <c r="O2196" t="s">
        <v>738</v>
      </c>
      <c r="P2196" t="s">
        <v>670</v>
      </c>
      <c r="Q2196" t="s">
        <v>467</v>
      </c>
      <c r="R2196" t="s">
        <v>724</v>
      </c>
      <c r="S2196" t="s">
        <v>753</v>
      </c>
      <c r="T2196" t="s">
        <v>613</v>
      </c>
      <c r="U2196">
        <v>113000</v>
      </c>
      <c r="V2196" t="s">
        <v>13007</v>
      </c>
      <c r="W2196" t="s">
        <v>742</v>
      </c>
      <c r="X2196" t="s">
        <v>13008</v>
      </c>
      <c r="Y2196" t="s">
        <v>13009</v>
      </c>
      <c r="Z2196" t="s">
        <v>752</v>
      </c>
      <c r="AA2196" t="s">
        <v>13010</v>
      </c>
      <c r="AB2196" t="s">
        <v>13011</v>
      </c>
      <c r="AC2196">
        <v>99069</v>
      </c>
      <c r="AD2196" t="s">
        <v>755</v>
      </c>
      <c r="AE2196">
        <v>-36.578740740000001</v>
      </c>
      <c r="AF2196">
        <v>174.69040458000001</v>
      </c>
      <c r="AG2196" s="175">
        <v>34</v>
      </c>
      <c r="AH2196" s="175">
        <v>0</v>
      </c>
      <c r="AI2196" s="175">
        <v>0</v>
      </c>
      <c r="AJ2196" s="175">
        <v>0</v>
      </c>
      <c r="AK2196" s="175">
        <v>11</v>
      </c>
      <c r="AL2196" s="175">
        <v>14</v>
      </c>
      <c r="AM2196" s="175">
        <v>15</v>
      </c>
      <c r="AN2196" s="175">
        <v>1</v>
      </c>
      <c r="AO2196" s="175">
        <v>41</v>
      </c>
      <c r="AP2196" s="175">
        <v>34</v>
      </c>
      <c r="AQ2196" s="175">
        <v>6</v>
      </c>
      <c r="AR2196" s="175">
        <v>1</v>
      </c>
      <c r="AS2196" s="175">
        <v>3</v>
      </c>
      <c r="AT2196" s="175">
        <v>3</v>
      </c>
    </row>
    <row r="2197" spans="1:46">
      <c r="A2197">
        <v>46045</v>
      </c>
      <c r="B2197" t="s">
        <v>13012</v>
      </c>
      <c r="C2197" t="s">
        <v>13013</v>
      </c>
      <c r="D2197" t="s">
        <v>13014</v>
      </c>
      <c r="E2197" t="s">
        <v>13015</v>
      </c>
      <c r="F2197" t="s">
        <v>3159</v>
      </c>
      <c r="G2197" t="s">
        <v>3015</v>
      </c>
      <c r="H2197" t="s">
        <v>449</v>
      </c>
      <c r="J2197" t="s">
        <v>4032</v>
      </c>
      <c r="K2197" t="s">
        <v>606</v>
      </c>
      <c r="M2197" t="s">
        <v>2366</v>
      </c>
      <c r="N2197" t="s">
        <v>657</v>
      </c>
      <c r="O2197" t="s">
        <v>3016</v>
      </c>
      <c r="P2197" t="s">
        <v>739</v>
      </c>
      <c r="Q2197" t="s">
        <v>521</v>
      </c>
      <c r="R2197" t="s">
        <v>3017</v>
      </c>
      <c r="S2197" t="s">
        <v>3092</v>
      </c>
      <c r="T2197" t="s">
        <v>2526</v>
      </c>
      <c r="U2197">
        <v>326701</v>
      </c>
      <c r="V2197" t="s">
        <v>3160</v>
      </c>
      <c r="W2197" t="s">
        <v>3161</v>
      </c>
      <c r="X2197" t="s">
        <v>13016</v>
      </c>
      <c r="Y2197" t="s">
        <v>13015</v>
      </c>
      <c r="Z2197" t="s">
        <v>3159</v>
      </c>
      <c r="AA2197" t="s">
        <v>13017</v>
      </c>
      <c r="AB2197" t="s">
        <v>13018</v>
      </c>
      <c r="AE2197">
        <v>-43.558925369999997</v>
      </c>
      <c r="AF2197">
        <v>172.59298991</v>
      </c>
      <c r="AG2197" s="175">
        <v>30</v>
      </c>
      <c r="AH2197" s="175">
        <v>12</v>
      </c>
      <c r="AI2197" s="175">
        <v>2</v>
      </c>
      <c r="AJ2197" s="175">
        <v>10</v>
      </c>
      <c r="AK2197" s="175">
        <v>10</v>
      </c>
      <c r="AL2197" s="175">
        <v>12</v>
      </c>
      <c r="AM2197" s="175">
        <v>11</v>
      </c>
      <c r="AN2197" s="175">
        <v>1</v>
      </c>
      <c r="AO2197" s="175">
        <v>46</v>
      </c>
      <c r="AP2197" s="175">
        <v>36</v>
      </c>
      <c r="AQ2197" s="175">
        <v>5</v>
      </c>
      <c r="AR2197" s="175">
        <v>0</v>
      </c>
      <c r="AS2197" s="175">
        <v>8</v>
      </c>
      <c r="AT2197" s="175">
        <v>1</v>
      </c>
    </row>
    <row r="2198" spans="1:46">
      <c r="A2198">
        <v>46046</v>
      </c>
      <c r="B2198" t="s">
        <v>13019</v>
      </c>
      <c r="C2198" t="s">
        <v>13020</v>
      </c>
      <c r="D2198" t="s">
        <v>13021</v>
      </c>
      <c r="E2198" t="s">
        <v>13022</v>
      </c>
      <c r="G2198" t="s">
        <v>3569</v>
      </c>
      <c r="H2198" t="s">
        <v>449</v>
      </c>
      <c r="J2198" t="s">
        <v>4032</v>
      </c>
      <c r="K2198" t="s">
        <v>606</v>
      </c>
      <c r="M2198" t="s">
        <v>2366</v>
      </c>
      <c r="N2198" t="s">
        <v>643</v>
      </c>
      <c r="O2198" t="s">
        <v>3568</v>
      </c>
      <c r="P2198" t="s">
        <v>670</v>
      </c>
      <c r="Q2198" t="s">
        <v>523</v>
      </c>
      <c r="R2198" t="s">
        <v>3410</v>
      </c>
      <c r="S2198" t="s">
        <v>3569</v>
      </c>
      <c r="T2198" t="s">
        <v>2526</v>
      </c>
      <c r="U2198">
        <v>362001</v>
      </c>
      <c r="V2198" t="s">
        <v>13023</v>
      </c>
      <c r="W2198" t="s">
        <v>1734</v>
      </c>
      <c r="X2198" t="s">
        <v>13024</v>
      </c>
      <c r="Y2198" t="s">
        <v>13025</v>
      </c>
      <c r="AA2198" t="s">
        <v>13026</v>
      </c>
      <c r="AB2198" t="s">
        <v>13027</v>
      </c>
      <c r="AE2198">
        <v>-46.41817253</v>
      </c>
      <c r="AF2198">
        <v>168.35941593999999</v>
      </c>
      <c r="AG2198" s="175">
        <v>90</v>
      </c>
      <c r="AH2198" s="175">
        <v>40</v>
      </c>
      <c r="AI2198" s="175">
        <v>1</v>
      </c>
      <c r="AJ2198" s="175">
        <v>14</v>
      </c>
      <c r="AK2198" s="175">
        <v>25</v>
      </c>
      <c r="AL2198" s="175">
        <v>17</v>
      </c>
      <c r="AM2198" s="175">
        <v>13</v>
      </c>
      <c r="AN2198" s="175">
        <v>1</v>
      </c>
      <c r="AO2198" s="175">
        <v>71</v>
      </c>
      <c r="AP2198" s="175">
        <v>61</v>
      </c>
      <c r="AQ2198" s="175">
        <v>11</v>
      </c>
      <c r="AR2198" s="175">
        <v>5</v>
      </c>
      <c r="AS2198" s="175">
        <v>9</v>
      </c>
      <c r="AT2198" s="175">
        <v>5</v>
      </c>
    </row>
    <row r="2199" spans="1:46">
      <c r="A2199">
        <v>46047</v>
      </c>
      <c r="B2199" t="s">
        <v>13028</v>
      </c>
      <c r="C2199" t="s">
        <v>13029</v>
      </c>
      <c r="D2199" t="s">
        <v>4217</v>
      </c>
      <c r="E2199" t="s">
        <v>13030</v>
      </c>
      <c r="F2199" t="s">
        <v>848</v>
      </c>
      <c r="G2199" t="s">
        <v>737</v>
      </c>
      <c r="H2199" t="s">
        <v>449</v>
      </c>
      <c r="J2199" t="s">
        <v>4032</v>
      </c>
      <c r="K2199" t="s">
        <v>606</v>
      </c>
      <c r="M2199" t="s">
        <v>607</v>
      </c>
      <c r="N2199" t="s">
        <v>4586</v>
      </c>
      <c r="O2199" t="s">
        <v>823</v>
      </c>
      <c r="P2199" t="s">
        <v>739</v>
      </c>
      <c r="Q2199" t="s">
        <v>467</v>
      </c>
      <c r="R2199" t="s">
        <v>724</v>
      </c>
      <c r="S2199" t="s">
        <v>841</v>
      </c>
      <c r="T2199" t="s">
        <v>613</v>
      </c>
      <c r="U2199">
        <v>126500</v>
      </c>
      <c r="V2199" t="s">
        <v>5865</v>
      </c>
      <c r="W2199" t="s">
        <v>826</v>
      </c>
      <c r="X2199" t="s">
        <v>4220</v>
      </c>
      <c r="Y2199" t="s">
        <v>4221</v>
      </c>
      <c r="Z2199" t="s">
        <v>4222</v>
      </c>
      <c r="AA2199" t="s">
        <v>4223</v>
      </c>
      <c r="AC2199">
        <v>99214</v>
      </c>
      <c r="AD2199" t="s">
        <v>843</v>
      </c>
      <c r="AE2199">
        <v>-36.80903945</v>
      </c>
      <c r="AF2199">
        <v>174.72535712000001</v>
      </c>
      <c r="AG2199" s="175">
        <v>50</v>
      </c>
      <c r="AH2199" s="175">
        <v>20</v>
      </c>
      <c r="AI2199" s="175">
        <v>4</v>
      </c>
      <c r="AJ2199" s="175">
        <v>16</v>
      </c>
      <c r="AK2199" s="175">
        <v>14</v>
      </c>
      <c r="AL2199" s="175">
        <v>8</v>
      </c>
      <c r="AM2199" s="175">
        <v>7</v>
      </c>
      <c r="AN2199" s="175">
        <v>0</v>
      </c>
      <c r="AO2199" s="175">
        <v>49</v>
      </c>
      <c r="AP2199" s="175">
        <v>25</v>
      </c>
      <c r="AQ2199" s="175">
        <v>0</v>
      </c>
      <c r="AR2199" s="175">
        <v>0</v>
      </c>
      <c r="AS2199" s="175">
        <v>3</v>
      </c>
      <c r="AT2199" s="175">
        <v>22</v>
      </c>
    </row>
    <row r="2200" spans="1:46">
      <c r="A2200">
        <v>46050</v>
      </c>
      <c r="B2200" t="s">
        <v>13031</v>
      </c>
      <c r="C2200" t="s">
        <v>13032</v>
      </c>
      <c r="D2200" t="s">
        <v>13033</v>
      </c>
      <c r="E2200" t="s">
        <v>13034</v>
      </c>
      <c r="G2200" t="s">
        <v>1638</v>
      </c>
      <c r="H2200" t="s">
        <v>449</v>
      </c>
      <c r="J2200" t="s">
        <v>4032</v>
      </c>
      <c r="K2200" t="s">
        <v>606</v>
      </c>
      <c r="M2200" t="s">
        <v>1382</v>
      </c>
      <c r="N2200" t="s">
        <v>625</v>
      </c>
      <c r="O2200" t="s">
        <v>1435</v>
      </c>
      <c r="P2200" t="s">
        <v>610</v>
      </c>
      <c r="Q2200" t="s">
        <v>510</v>
      </c>
      <c r="R2200" t="s">
        <v>1384</v>
      </c>
      <c r="S2200" t="s">
        <v>1384</v>
      </c>
      <c r="T2200" t="s">
        <v>1320</v>
      </c>
      <c r="U2200">
        <v>171502</v>
      </c>
      <c r="V2200" t="s">
        <v>1639</v>
      </c>
      <c r="W2200" t="s">
        <v>1640</v>
      </c>
      <c r="X2200" t="s">
        <v>13035</v>
      </c>
      <c r="Y2200" t="s">
        <v>13034</v>
      </c>
      <c r="AA2200" t="s">
        <v>12346</v>
      </c>
      <c r="AB2200" t="s">
        <v>13032</v>
      </c>
      <c r="AE2200">
        <v>-37.559786180000003</v>
      </c>
      <c r="AF2200">
        <v>175.16161092999999</v>
      </c>
      <c r="AG2200" s="175">
        <v>66</v>
      </c>
      <c r="AH2200" s="175">
        <v>15</v>
      </c>
      <c r="AI2200" s="175">
        <v>1</v>
      </c>
      <c r="AJ2200" s="175">
        <v>8</v>
      </c>
      <c r="AK2200" s="175">
        <v>15</v>
      </c>
      <c r="AL2200" s="175">
        <v>15</v>
      </c>
      <c r="AM2200" s="175">
        <v>10</v>
      </c>
      <c r="AN2200" s="175">
        <v>0</v>
      </c>
      <c r="AO2200" s="175">
        <v>49</v>
      </c>
      <c r="AP2200" s="175">
        <v>16</v>
      </c>
      <c r="AQ2200" s="175">
        <v>34</v>
      </c>
      <c r="AR2200" s="175">
        <v>8</v>
      </c>
      <c r="AS2200" s="175">
        <v>5</v>
      </c>
      <c r="AT2200" s="175">
        <v>0</v>
      </c>
    </row>
    <row r="2201" spans="1:46">
      <c r="A2201">
        <v>46051</v>
      </c>
      <c r="B2201" t="s">
        <v>13036</v>
      </c>
      <c r="C2201" t="s">
        <v>13037</v>
      </c>
      <c r="D2201" t="s">
        <v>13038</v>
      </c>
      <c r="E2201" t="s">
        <v>13039</v>
      </c>
      <c r="G2201" t="s">
        <v>2055</v>
      </c>
      <c r="H2201" t="s">
        <v>449</v>
      </c>
      <c r="J2201" t="s">
        <v>4032</v>
      </c>
      <c r="K2201" t="s">
        <v>606</v>
      </c>
      <c r="M2201" t="s">
        <v>1382</v>
      </c>
      <c r="N2201" t="s">
        <v>657</v>
      </c>
      <c r="O2201" t="s">
        <v>2037</v>
      </c>
      <c r="P2201" t="s">
        <v>670</v>
      </c>
      <c r="Q2201" t="s">
        <v>553</v>
      </c>
      <c r="R2201" t="s">
        <v>1841</v>
      </c>
      <c r="S2201" t="s">
        <v>2055</v>
      </c>
      <c r="T2201" t="s">
        <v>1568</v>
      </c>
      <c r="U2201">
        <v>230100</v>
      </c>
      <c r="V2201" t="s">
        <v>11826</v>
      </c>
      <c r="W2201" t="s">
        <v>2038</v>
      </c>
      <c r="X2201" t="s">
        <v>13040</v>
      </c>
      <c r="Y2201" t="s">
        <v>13039</v>
      </c>
      <c r="AA2201" t="s">
        <v>2041</v>
      </c>
      <c r="AB2201" t="s">
        <v>13041</v>
      </c>
      <c r="AC2201">
        <v>99165</v>
      </c>
      <c r="AD2201" t="s">
        <v>2057</v>
      </c>
      <c r="AE2201">
        <v>-40.35480201</v>
      </c>
      <c r="AF2201">
        <v>175.59721393999999</v>
      </c>
      <c r="AG2201" s="175">
        <v>32</v>
      </c>
      <c r="AH2201" s="175">
        <v>15</v>
      </c>
      <c r="AI2201" s="175">
        <v>1</v>
      </c>
      <c r="AJ2201" s="175">
        <v>7</v>
      </c>
      <c r="AK2201" s="175">
        <v>6</v>
      </c>
      <c r="AL2201" s="175">
        <v>9</v>
      </c>
      <c r="AM2201" s="175">
        <v>10</v>
      </c>
      <c r="AN2201" s="175">
        <v>0</v>
      </c>
      <c r="AO2201" s="175">
        <v>33</v>
      </c>
      <c r="AP2201" s="175">
        <v>23</v>
      </c>
      <c r="AQ2201" s="175">
        <v>12</v>
      </c>
      <c r="AR2201" s="175">
        <v>6</v>
      </c>
      <c r="AS2201" s="175">
        <v>6</v>
      </c>
      <c r="AT2201" s="175">
        <v>3</v>
      </c>
    </row>
    <row r="2202" spans="1:46">
      <c r="A2202">
        <v>46052</v>
      </c>
      <c r="B2202" t="s">
        <v>13042</v>
      </c>
      <c r="C2202" t="s">
        <v>13043</v>
      </c>
      <c r="D2202" t="s">
        <v>13044</v>
      </c>
      <c r="E2202" t="s">
        <v>13045</v>
      </c>
      <c r="F2202" t="s">
        <v>13046</v>
      </c>
      <c r="G2202" t="s">
        <v>1381</v>
      </c>
      <c r="H2202" t="s">
        <v>449</v>
      </c>
      <c r="J2202" t="s">
        <v>4032</v>
      </c>
      <c r="K2202" t="s">
        <v>606</v>
      </c>
      <c r="M2202" t="s">
        <v>1382</v>
      </c>
      <c r="N2202" t="s">
        <v>643</v>
      </c>
      <c r="O2202" t="s">
        <v>1383</v>
      </c>
      <c r="P2202" t="s">
        <v>739</v>
      </c>
      <c r="Q2202" t="s">
        <v>510</v>
      </c>
      <c r="R2202" t="s">
        <v>1384</v>
      </c>
      <c r="S2202" t="s">
        <v>1396</v>
      </c>
      <c r="T2202" t="s">
        <v>1320</v>
      </c>
      <c r="U2202">
        <v>178400</v>
      </c>
      <c r="V2202" t="s">
        <v>1459</v>
      </c>
      <c r="W2202" t="s">
        <v>1398</v>
      </c>
      <c r="X2202" t="s">
        <v>13047</v>
      </c>
      <c r="Y2202" t="s">
        <v>13048</v>
      </c>
      <c r="Z2202" t="s">
        <v>8574</v>
      </c>
      <c r="AA2202" t="s">
        <v>9061</v>
      </c>
      <c r="AB2202" t="s">
        <v>13043</v>
      </c>
      <c r="AE2202">
        <v>-37.763937089999999</v>
      </c>
      <c r="AF2202">
        <v>175.29829824999999</v>
      </c>
      <c r="AG2202" s="175">
        <v>45</v>
      </c>
      <c r="AH2202" s="175">
        <v>10</v>
      </c>
      <c r="AI2202" s="175">
        <v>3</v>
      </c>
      <c r="AJ2202" s="175">
        <v>4</v>
      </c>
      <c r="AK2202" s="175">
        <v>7</v>
      </c>
      <c r="AL2202" s="175">
        <v>14</v>
      </c>
      <c r="AM2202" s="175">
        <v>15</v>
      </c>
      <c r="AN2202" s="175">
        <v>2</v>
      </c>
      <c r="AO2202" s="175">
        <v>45</v>
      </c>
      <c r="AP2202" s="175">
        <v>11</v>
      </c>
      <c r="AQ2202" s="175">
        <v>28</v>
      </c>
      <c r="AR2202" s="175">
        <v>4</v>
      </c>
      <c r="AS2202" s="175">
        <v>9</v>
      </c>
      <c r="AT2202" s="175">
        <v>6</v>
      </c>
    </row>
    <row r="2203" spans="1:46">
      <c r="A2203">
        <v>46053</v>
      </c>
      <c r="B2203" t="s">
        <v>13049</v>
      </c>
      <c r="C2203" t="s">
        <v>13050</v>
      </c>
      <c r="E2203" t="s">
        <v>13051</v>
      </c>
      <c r="G2203" t="s">
        <v>3858</v>
      </c>
      <c r="H2203" t="s">
        <v>449</v>
      </c>
      <c r="J2203" t="s">
        <v>4032</v>
      </c>
      <c r="K2203" t="s">
        <v>606</v>
      </c>
      <c r="M2203" t="s">
        <v>1382</v>
      </c>
      <c r="N2203" t="s">
        <v>643</v>
      </c>
      <c r="O2203" t="s">
        <v>1825</v>
      </c>
      <c r="P2203" t="s">
        <v>610</v>
      </c>
      <c r="Q2203" t="s">
        <v>511</v>
      </c>
      <c r="R2203" t="s">
        <v>1555</v>
      </c>
      <c r="S2203" t="s">
        <v>1522</v>
      </c>
      <c r="T2203" t="s">
        <v>1557</v>
      </c>
      <c r="U2203">
        <v>190602</v>
      </c>
      <c r="V2203" t="s">
        <v>3859</v>
      </c>
      <c r="W2203" t="s">
        <v>3860</v>
      </c>
      <c r="X2203" t="s">
        <v>13052</v>
      </c>
      <c r="Y2203" t="s">
        <v>4725</v>
      </c>
      <c r="Z2203" t="s">
        <v>1043</v>
      </c>
      <c r="AA2203" t="s">
        <v>4726</v>
      </c>
      <c r="AB2203" t="s">
        <v>13050</v>
      </c>
      <c r="AE2203">
        <v>-37.55639918</v>
      </c>
      <c r="AF2203">
        <v>175.9165309</v>
      </c>
      <c r="AG2203" s="175">
        <v>48</v>
      </c>
      <c r="AH2203" s="175">
        <v>10</v>
      </c>
      <c r="AI2203" s="175">
        <v>1</v>
      </c>
      <c r="AJ2203" s="175">
        <v>7</v>
      </c>
      <c r="AK2203" s="175">
        <v>4</v>
      </c>
      <c r="AL2203" s="175">
        <v>4</v>
      </c>
      <c r="AM2203" s="175">
        <v>11</v>
      </c>
      <c r="AN2203" s="175">
        <v>1</v>
      </c>
      <c r="AO2203" s="175">
        <v>28</v>
      </c>
      <c r="AP2203" s="175">
        <v>11</v>
      </c>
      <c r="AQ2203" s="175">
        <v>12</v>
      </c>
      <c r="AR2203" s="175">
        <v>3</v>
      </c>
      <c r="AS2203" s="175">
        <v>9</v>
      </c>
      <c r="AT2203" s="175">
        <v>0</v>
      </c>
    </row>
    <row r="2204" spans="1:46">
      <c r="A2204">
        <v>46055</v>
      </c>
      <c r="B2204" t="s">
        <v>13053</v>
      </c>
      <c r="C2204" t="s">
        <v>13054</v>
      </c>
      <c r="D2204" t="s">
        <v>13055</v>
      </c>
      <c r="E2204" t="s">
        <v>13056</v>
      </c>
      <c r="F2204" t="s">
        <v>13057</v>
      </c>
      <c r="G2204" t="s">
        <v>3015</v>
      </c>
      <c r="H2204" t="s">
        <v>449</v>
      </c>
      <c r="J2204" t="s">
        <v>4032</v>
      </c>
      <c r="K2204" t="s">
        <v>606</v>
      </c>
      <c r="M2204" t="s">
        <v>2366</v>
      </c>
      <c r="N2204" t="s">
        <v>657</v>
      </c>
      <c r="O2204" t="s">
        <v>3016</v>
      </c>
      <c r="P2204" t="s">
        <v>739</v>
      </c>
      <c r="Q2204" t="s">
        <v>521</v>
      </c>
      <c r="R2204" t="s">
        <v>3017</v>
      </c>
      <c r="S2204" t="s">
        <v>3030</v>
      </c>
      <c r="T2204" t="s">
        <v>2526</v>
      </c>
      <c r="U2204">
        <v>322200</v>
      </c>
      <c r="V2204" t="s">
        <v>12090</v>
      </c>
      <c r="W2204" t="s">
        <v>3072</v>
      </c>
      <c r="X2204" t="s">
        <v>13058</v>
      </c>
      <c r="Y2204" t="s">
        <v>13059</v>
      </c>
      <c r="Z2204" t="s">
        <v>13060</v>
      </c>
      <c r="AA2204" t="s">
        <v>4186</v>
      </c>
      <c r="AB2204" t="s">
        <v>13061</v>
      </c>
      <c r="AC2204">
        <v>99027</v>
      </c>
      <c r="AD2204" t="s">
        <v>3073</v>
      </c>
      <c r="AE2204">
        <v>-43.508833719999998</v>
      </c>
      <c r="AF2204">
        <v>172.61943493000001</v>
      </c>
      <c r="AG2204" s="175">
        <v>48</v>
      </c>
      <c r="AH2204" s="175">
        <v>15</v>
      </c>
      <c r="AI2204" s="175">
        <v>3</v>
      </c>
      <c r="AJ2204" s="175">
        <v>6</v>
      </c>
      <c r="AK2204" s="175">
        <v>16</v>
      </c>
      <c r="AL2204" s="175">
        <v>8</v>
      </c>
      <c r="AM2204" s="175">
        <v>13</v>
      </c>
      <c r="AN2204" s="175">
        <v>2</v>
      </c>
      <c r="AO2204" s="175">
        <v>48</v>
      </c>
      <c r="AP2204" s="175">
        <v>38</v>
      </c>
      <c r="AQ2204" s="175">
        <v>3</v>
      </c>
      <c r="AR2204" s="175">
        <v>3</v>
      </c>
      <c r="AS2204" s="175">
        <v>6</v>
      </c>
      <c r="AT2204" s="175">
        <v>6</v>
      </c>
    </row>
    <row r="2205" spans="1:46">
      <c r="A2205">
        <v>46056</v>
      </c>
      <c r="B2205" t="s">
        <v>13062</v>
      </c>
      <c r="C2205" t="s">
        <v>13063</v>
      </c>
      <c r="D2205" t="s">
        <v>13064</v>
      </c>
      <c r="E2205" t="s">
        <v>13065</v>
      </c>
      <c r="F2205" t="s">
        <v>9070</v>
      </c>
      <c r="G2205" t="s">
        <v>2162</v>
      </c>
      <c r="H2205" t="s">
        <v>449</v>
      </c>
      <c r="J2205" t="s">
        <v>4032</v>
      </c>
      <c r="K2205" t="s">
        <v>606</v>
      </c>
      <c r="M2205" t="s">
        <v>1382</v>
      </c>
      <c r="N2205" t="s">
        <v>608</v>
      </c>
      <c r="O2205" t="s">
        <v>2163</v>
      </c>
      <c r="P2205" t="s">
        <v>670</v>
      </c>
      <c r="Q2205" t="s">
        <v>512</v>
      </c>
      <c r="R2205" t="s">
        <v>2164</v>
      </c>
      <c r="S2205" t="s">
        <v>1556</v>
      </c>
      <c r="T2205" t="s">
        <v>2165</v>
      </c>
      <c r="U2205">
        <v>206100</v>
      </c>
      <c r="V2205" t="s">
        <v>13066</v>
      </c>
      <c r="W2205" t="s">
        <v>2167</v>
      </c>
      <c r="X2205" t="s">
        <v>13067</v>
      </c>
      <c r="Y2205" t="s">
        <v>8845</v>
      </c>
      <c r="Z2205" t="s">
        <v>7725</v>
      </c>
      <c r="AA2205" t="s">
        <v>8137</v>
      </c>
      <c r="AB2205" t="s">
        <v>13068</v>
      </c>
      <c r="AC2205">
        <v>99081</v>
      </c>
      <c r="AD2205" t="s">
        <v>13069</v>
      </c>
      <c r="AE2205">
        <v>-38.65100434</v>
      </c>
      <c r="AF2205">
        <v>177.99363554000001</v>
      </c>
      <c r="AG2205" s="175">
        <v>54</v>
      </c>
      <c r="AH2205" s="175">
        <v>14</v>
      </c>
      <c r="AI2205" s="175">
        <v>3</v>
      </c>
      <c r="AJ2205" s="175">
        <v>8</v>
      </c>
      <c r="AK2205" s="175">
        <v>14</v>
      </c>
      <c r="AL2205" s="175">
        <v>12</v>
      </c>
      <c r="AM2205" s="175">
        <v>9</v>
      </c>
      <c r="AN2205" s="175">
        <v>1</v>
      </c>
      <c r="AO2205" s="175">
        <v>47</v>
      </c>
      <c r="AP2205" s="175">
        <v>16</v>
      </c>
      <c r="AQ2205" s="175">
        <v>32</v>
      </c>
      <c r="AR2205" s="175">
        <v>7</v>
      </c>
      <c r="AS2205" s="175">
        <v>2</v>
      </c>
      <c r="AT2205" s="175">
        <v>0</v>
      </c>
    </row>
    <row r="2206" spans="1:46">
      <c r="A2206">
        <v>46057</v>
      </c>
      <c r="B2206" t="s">
        <v>13070</v>
      </c>
      <c r="C2206" t="s">
        <v>13071</v>
      </c>
      <c r="D2206" t="s">
        <v>12960</v>
      </c>
      <c r="E2206" t="s">
        <v>13072</v>
      </c>
      <c r="F2206" t="s">
        <v>2448</v>
      </c>
      <c r="G2206" t="s">
        <v>2449</v>
      </c>
      <c r="H2206" t="s">
        <v>449</v>
      </c>
      <c r="I2206" t="s">
        <v>4023</v>
      </c>
      <c r="J2206" t="s">
        <v>4032</v>
      </c>
      <c r="K2206" t="s">
        <v>606</v>
      </c>
      <c r="M2206" t="s">
        <v>2366</v>
      </c>
      <c r="N2206" t="s">
        <v>657</v>
      </c>
      <c r="O2206" t="s">
        <v>2450</v>
      </c>
      <c r="P2206" t="s">
        <v>670</v>
      </c>
      <c r="Q2206" t="s">
        <v>516</v>
      </c>
      <c r="R2206" t="s">
        <v>2368</v>
      </c>
      <c r="S2206" t="s">
        <v>2451</v>
      </c>
      <c r="T2206" t="s">
        <v>2165</v>
      </c>
      <c r="U2206">
        <v>243000</v>
      </c>
      <c r="V2206" t="s">
        <v>11597</v>
      </c>
      <c r="W2206" t="s">
        <v>1734</v>
      </c>
      <c r="X2206" t="s">
        <v>13073</v>
      </c>
      <c r="Y2206" t="s">
        <v>4725</v>
      </c>
      <c r="Z2206" t="s">
        <v>1043</v>
      </c>
      <c r="AA2206" t="s">
        <v>4726</v>
      </c>
      <c r="AB2206" t="s">
        <v>13074</v>
      </c>
      <c r="AE2206">
        <v>-41.125544339999998</v>
      </c>
      <c r="AF2206">
        <v>175.06875484</v>
      </c>
      <c r="AG2206" s="175">
        <v>98</v>
      </c>
      <c r="AH2206" s="175">
        <v>24</v>
      </c>
      <c r="AI2206" s="175">
        <v>3</v>
      </c>
      <c r="AJ2206" s="175">
        <v>21</v>
      </c>
      <c r="AK2206" s="175">
        <v>20</v>
      </c>
      <c r="AL2206" s="175">
        <v>21</v>
      </c>
      <c r="AM2206" s="175">
        <v>27</v>
      </c>
      <c r="AN2206" s="175">
        <v>0</v>
      </c>
      <c r="AO2206" s="175">
        <v>92</v>
      </c>
      <c r="AP2206" s="175">
        <v>72</v>
      </c>
      <c r="AQ2206" s="175">
        <v>11</v>
      </c>
      <c r="AR2206" s="175">
        <v>8</v>
      </c>
      <c r="AS2206" s="175">
        <v>16</v>
      </c>
      <c r="AT2206" s="175">
        <v>4</v>
      </c>
    </row>
    <row r="2207" spans="1:46">
      <c r="A2207">
        <v>46058</v>
      </c>
      <c r="B2207" t="s">
        <v>13075</v>
      </c>
      <c r="C2207" t="s">
        <v>13076</v>
      </c>
      <c r="D2207" t="s">
        <v>13077</v>
      </c>
      <c r="E2207" t="s">
        <v>13078</v>
      </c>
      <c r="G2207" t="s">
        <v>13079</v>
      </c>
      <c r="H2207" t="s">
        <v>470</v>
      </c>
      <c r="J2207" t="s">
        <v>4032</v>
      </c>
      <c r="K2207" t="s">
        <v>606</v>
      </c>
      <c r="M2207" t="s">
        <v>607</v>
      </c>
      <c r="N2207" t="s">
        <v>812</v>
      </c>
      <c r="O2207" t="s">
        <v>609</v>
      </c>
      <c r="P2207" t="s">
        <v>626</v>
      </c>
      <c r="Q2207" t="s">
        <v>509</v>
      </c>
      <c r="R2207" t="s">
        <v>611</v>
      </c>
      <c r="S2207" t="s">
        <v>612</v>
      </c>
      <c r="T2207" t="s">
        <v>613</v>
      </c>
      <c r="U2207">
        <v>100400</v>
      </c>
      <c r="V2207" t="s">
        <v>13079</v>
      </c>
      <c r="W2207" t="s">
        <v>615</v>
      </c>
      <c r="X2207" t="s">
        <v>13080</v>
      </c>
      <c r="Y2207" t="s">
        <v>13081</v>
      </c>
      <c r="AA2207" t="s">
        <v>13082</v>
      </c>
      <c r="AB2207" t="s">
        <v>13083</v>
      </c>
      <c r="AE2207">
        <v>-34.870373819999998</v>
      </c>
      <c r="AF2207">
        <v>173.37934404999999</v>
      </c>
      <c r="AG2207" s="175">
        <v>60</v>
      </c>
      <c r="AH2207" s="175">
        <v>20</v>
      </c>
      <c r="AI2207" s="175">
        <v>0</v>
      </c>
      <c r="AJ2207" s="175">
        <v>4</v>
      </c>
      <c r="AK2207" s="175">
        <v>7</v>
      </c>
      <c r="AL2207" s="175">
        <v>7</v>
      </c>
      <c r="AM2207" s="175">
        <v>7</v>
      </c>
      <c r="AN2207" s="175">
        <v>6</v>
      </c>
      <c r="AO2207" s="175">
        <v>31</v>
      </c>
      <c r="AP2207" s="175">
        <v>6</v>
      </c>
      <c r="AQ2207" s="175">
        <v>30</v>
      </c>
      <c r="AR2207" s="175">
        <v>2</v>
      </c>
      <c r="AS2207" s="175">
        <v>1</v>
      </c>
      <c r="AT2207" s="175">
        <v>0</v>
      </c>
    </row>
    <row r="2208" spans="1:46">
      <c r="A2208">
        <v>46059</v>
      </c>
      <c r="B2208" t="s">
        <v>13084</v>
      </c>
      <c r="C2208" t="s">
        <v>13085</v>
      </c>
      <c r="D2208" t="s">
        <v>13086</v>
      </c>
      <c r="E2208" t="s">
        <v>13087</v>
      </c>
      <c r="G2208" t="s">
        <v>1346</v>
      </c>
      <c r="H2208" t="s">
        <v>449</v>
      </c>
      <c r="J2208" t="s">
        <v>4032</v>
      </c>
      <c r="K2208" t="s">
        <v>606</v>
      </c>
      <c r="M2208" t="s">
        <v>607</v>
      </c>
      <c r="N2208" t="s">
        <v>657</v>
      </c>
      <c r="O2208" t="s">
        <v>1318</v>
      </c>
      <c r="P2208" t="s">
        <v>1347</v>
      </c>
      <c r="Q2208" t="s">
        <v>467</v>
      </c>
      <c r="R2208" t="s">
        <v>814</v>
      </c>
      <c r="S2208" t="s">
        <v>1331</v>
      </c>
      <c r="T2208" t="s">
        <v>1320</v>
      </c>
      <c r="U2208">
        <v>165700</v>
      </c>
      <c r="V2208" t="s">
        <v>1348</v>
      </c>
      <c r="W2208" t="s">
        <v>1322</v>
      </c>
      <c r="X2208" t="s">
        <v>13088</v>
      </c>
      <c r="Y2208" t="s">
        <v>4051</v>
      </c>
      <c r="AA2208" t="s">
        <v>4052</v>
      </c>
      <c r="AB2208" t="s">
        <v>13085</v>
      </c>
      <c r="AE2208">
        <v>-37.210754229999999</v>
      </c>
      <c r="AF2208">
        <v>174.89449508999999</v>
      </c>
      <c r="AG2208" s="175">
        <v>75</v>
      </c>
      <c r="AH2208" s="175">
        <v>16</v>
      </c>
      <c r="AI2208" s="175">
        <v>1</v>
      </c>
      <c r="AJ2208" s="175">
        <v>12</v>
      </c>
      <c r="AK2208" s="175">
        <v>10</v>
      </c>
      <c r="AL2208" s="175">
        <v>25</v>
      </c>
      <c r="AM2208" s="175">
        <v>19</v>
      </c>
      <c r="AN2208" s="175">
        <v>1</v>
      </c>
      <c r="AO2208" s="175">
        <v>68</v>
      </c>
      <c r="AP2208" s="175">
        <v>44</v>
      </c>
      <c r="AQ2208" s="175">
        <v>17</v>
      </c>
      <c r="AR2208" s="175">
        <v>8</v>
      </c>
      <c r="AS2208" s="175">
        <v>14</v>
      </c>
      <c r="AT2208" s="175">
        <v>7</v>
      </c>
    </row>
    <row r="2209" spans="1:46">
      <c r="A2209">
        <v>46060</v>
      </c>
      <c r="B2209" t="s">
        <v>13089</v>
      </c>
      <c r="C2209" t="s">
        <v>13090</v>
      </c>
      <c r="D2209" t="s">
        <v>13091</v>
      </c>
      <c r="E2209" t="s">
        <v>13092</v>
      </c>
      <c r="G2209" t="s">
        <v>3001</v>
      </c>
      <c r="H2209" t="s">
        <v>449</v>
      </c>
      <c r="J2209" t="s">
        <v>4032</v>
      </c>
      <c r="K2209" t="s">
        <v>606</v>
      </c>
      <c r="M2209" t="s">
        <v>2366</v>
      </c>
      <c r="N2209" t="s">
        <v>608</v>
      </c>
      <c r="O2209" t="s">
        <v>3002</v>
      </c>
      <c r="P2209" t="s">
        <v>610</v>
      </c>
      <c r="Q2209" t="s">
        <v>520</v>
      </c>
      <c r="R2209" t="s">
        <v>2901</v>
      </c>
      <c r="S2209" t="s">
        <v>2945</v>
      </c>
      <c r="T2209" t="s">
        <v>2526</v>
      </c>
      <c r="U2209">
        <v>309400</v>
      </c>
      <c r="V2209" t="s">
        <v>13093</v>
      </c>
      <c r="W2209" t="s">
        <v>3004</v>
      </c>
      <c r="X2209" t="s">
        <v>13094</v>
      </c>
      <c r="Y2209" t="s">
        <v>4051</v>
      </c>
      <c r="AA2209" t="s">
        <v>4052</v>
      </c>
      <c r="AB2209" t="s">
        <v>13095</v>
      </c>
      <c r="AC2209">
        <v>99007</v>
      </c>
      <c r="AD2209" t="s">
        <v>3009</v>
      </c>
      <c r="AE2209">
        <v>-41.759514070000002</v>
      </c>
      <c r="AF2209">
        <v>171.60739946000001</v>
      </c>
      <c r="AG2209" s="175">
        <v>72</v>
      </c>
      <c r="AH2209" s="175">
        <v>18</v>
      </c>
      <c r="AI2209" s="175">
        <v>1</v>
      </c>
      <c r="AJ2209" s="175">
        <v>6</v>
      </c>
      <c r="AK2209" s="175">
        <v>16</v>
      </c>
      <c r="AL2209" s="175">
        <v>12</v>
      </c>
      <c r="AM2209" s="175">
        <v>14</v>
      </c>
      <c r="AN2209" s="175">
        <v>0</v>
      </c>
      <c r="AO2209" s="175">
        <v>49</v>
      </c>
      <c r="AP2209" s="175">
        <v>33</v>
      </c>
      <c r="AQ2209" s="175">
        <v>16</v>
      </c>
      <c r="AR2209" s="175">
        <v>1</v>
      </c>
      <c r="AS2209" s="175">
        <v>3</v>
      </c>
      <c r="AT2209" s="175">
        <v>2</v>
      </c>
    </row>
    <row r="2210" spans="1:46">
      <c r="A2210">
        <v>46064</v>
      </c>
      <c r="B2210" t="s">
        <v>13096</v>
      </c>
      <c r="C2210" t="s">
        <v>13097</v>
      </c>
      <c r="D2210" t="s">
        <v>13098</v>
      </c>
      <c r="E2210" t="s">
        <v>13099</v>
      </c>
      <c r="G2210" t="s">
        <v>2604</v>
      </c>
      <c r="H2210" t="s">
        <v>449</v>
      </c>
      <c r="J2210" t="s">
        <v>4032</v>
      </c>
      <c r="K2210" t="s">
        <v>606</v>
      </c>
      <c r="M2210" t="s">
        <v>2366</v>
      </c>
      <c r="N2210" t="s">
        <v>657</v>
      </c>
      <c r="O2210" t="s">
        <v>2605</v>
      </c>
      <c r="P2210" t="s">
        <v>670</v>
      </c>
      <c r="Q2210" t="s">
        <v>516</v>
      </c>
      <c r="R2210" t="s">
        <v>2368</v>
      </c>
      <c r="S2210" t="s">
        <v>2606</v>
      </c>
      <c r="T2210" t="s">
        <v>1568</v>
      </c>
      <c r="U2210">
        <v>239900</v>
      </c>
      <c r="V2210" t="s">
        <v>13100</v>
      </c>
      <c r="W2210" t="s">
        <v>2607</v>
      </c>
      <c r="X2210" t="s">
        <v>13101</v>
      </c>
      <c r="Y2210" t="s">
        <v>13102</v>
      </c>
      <c r="AA2210" t="s">
        <v>1972</v>
      </c>
      <c r="AB2210" t="s">
        <v>13103</v>
      </c>
      <c r="AC2210">
        <v>99094</v>
      </c>
      <c r="AD2210" t="s">
        <v>2693</v>
      </c>
      <c r="AE2210">
        <v>-41.133664770000003</v>
      </c>
      <c r="AF2210">
        <v>174.83644729</v>
      </c>
      <c r="AG2210" s="175">
        <v>55</v>
      </c>
      <c r="AH2210" s="175">
        <v>20</v>
      </c>
      <c r="AI2210" s="175">
        <v>1</v>
      </c>
      <c r="AJ2210" s="175">
        <v>15</v>
      </c>
      <c r="AK2210" s="175">
        <v>12</v>
      </c>
      <c r="AL2210" s="175">
        <v>16</v>
      </c>
      <c r="AM2210" s="175">
        <v>13</v>
      </c>
      <c r="AN2210" s="175">
        <v>1</v>
      </c>
      <c r="AO2210" s="175">
        <v>58</v>
      </c>
      <c r="AP2210" s="175">
        <v>43</v>
      </c>
      <c r="AQ2210" s="175">
        <v>12</v>
      </c>
      <c r="AR2210" s="175">
        <v>11</v>
      </c>
      <c r="AS2210" s="175">
        <v>5</v>
      </c>
      <c r="AT2210" s="175">
        <v>5</v>
      </c>
    </row>
    <row r="2211" spans="1:46">
      <c r="A2211">
        <v>46070</v>
      </c>
      <c r="B2211" t="s">
        <v>13104</v>
      </c>
      <c r="C2211" t="s">
        <v>13105</v>
      </c>
      <c r="E2211" t="s">
        <v>13106</v>
      </c>
      <c r="F2211" t="s">
        <v>906</v>
      </c>
      <c r="G2211" t="s">
        <v>737</v>
      </c>
      <c r="H2211" t="s">
        <v>449</v>
      </c>
      <c r="I2211" t="s">
        <v>4134</v>
      </c>
      <c r="J2211" t="s">
        <v>4032</v>
      </c>
      <c r="K2211" t="s">
        <v>606</v>
      </c>
      <c r="M2211" t="s">
        <v>607</v>
      </c>
      <c r="N2211" t="s">
        <v>657</v>
      </c>
      <c r="O2211" t="s">
        <v>889</v>
      </c>
      <c r="P2211" t="s">
        <v>739</v>
      </c>
      <c r="Q2211" t="s">
        <v>467</v>
      </c>
      <c r="R2211" t="s">
        <v>793</v>
      </c>
      <c r="S2211" t="s">
        <v>907</v>
      </c>
      <c r="T2211" t="s">
        <v>794</v>
      </c>
      <c r="U2211">
        <v>141000</v>
      </c>
      <c r="V2211" t="s">
        <v>908</v>
      </c>
      <c r="W2211" t="s">
        <v>909</v>
      </c>
      <c r="X2211" t="s">
        <v>7026</v>
      </c>
      <c r="Y2211" t="s">
        <v>4725</v>
      </c>
      <c r="Z2211" t="s">
        <v>1043</v>
      </c>
      <c r="AA2211" t="s">
        <v>4726</v>
      </c>
      <c r="AB2211" t="s">
        <v>7027</v>
      </c>
      <c r="AE2211">
        <v>-36.884906129999997</v>
      </c>
      <c r="AF2211">
        <v>174.80144124</v>
      </c>
      <c r="AG2211" s="175">
        <v>45</v>
      </c>
      <c r="AH2211" s="175">
        <v>8</v>
      </c>
      <c r="AI2211" s="175">
        <v>0</v>
      </c>
      <c r="AJ2211" s="175">
        <v>7</v>
      </c>
      <c r="AK2211" s="175">
        <v>6</v>
      </c>
      <c r="AL2211" s="175">
        <v>10</v>
      </c>
      <c r="AM2211" s="175">
        <v>4</v>
      </c>
      <c r="AN2211" s="175">
        <v>0</v>
      </c>
      <c r="AO2211" s="175">
        <v>27</v>
      </c>
      <c r="AP2211" s="175">
        <v>11</v>
      </c>
      <c r="AQ2211" s="175">
        <v>2</v>
      </c>
      <c r="AR2211" s="175">
        <v>1</v>
      </c>
      <c r="AS2211" s="175">
        <v>17</v>
      </c>
      <c r="AT2211" s="175">
        <v>2</v>
      </c>
    </row>
    <row r="2212" spans="1:46">
      <c r="A2212">
        <v>46071</v>
      </c>
      <c r="B2212" t="s">
        <v>13107</v>
      </c>
      <c r="C2212" t="s">
        <v>13108</v>
      </c>
      <c r="E2212" t="s">
        <v>13109</v>
      </c>
      <c r="F2212" t="s">
        <v>3777</v>
      </c>
      <c r="G2212" t="s">
        <v>737</v>
      </c>
      <c r="H2212" t="s">
        <v>449</v>
      </c>
      <c r="J2212" t="s">
        <v>4032</v>
      </c>
      <c r="K2212" t="s">
        <v>606</v>
      </c>
      <c r="M2212" t="s">
        <v>607</v>
      </c>
      <c r="N2212" t="s">
        <v>4586</v>
      </c>
      <c r="O2212" t="s">
        <v>1253</v>
      </c>
      <c r="P2212" t="s">
        <v>739</v>
      </c>
      <c r="Q2212" t="s">
        <v>467</v>
      </c>
      <c r="R2212" t="s">
        <v>724</v>
      </c>
      <c r="S2212" t="s">
        <v>740</v>
      </c>
      <c r="T2212" t="s">
        <v>613</v>
      </c>
      <c r="U2212">
        <v>118501</v>
      </c>
      <c r="V2212" t="s">
        <v>13110</v>
      </c>
      <c r="W2212" t="s">
        <v>742</v>
      </c>
      <c r="X2212" t="s">
        <v>7792</v>
      </c>
      <c r="Y2212" t="s">
        <v>7793</v>
      </c>
      <c r="Z2212" t="s">
        <v>3777</v>
      </c>
      <c r="AA2212" t="s">
        <v>7794</v>
      </c>
      <c r="AB2212" t="s">
        <v>7795</v>
      </c>
      <c r="AE2212">
        <v>-36.730128190000002</v>
      </c>
      <c r="AF2212">
        <v>174.72172345999999</v>
      </c>
      <c r="AG2212" s="175">
        <v>70</v>
      </c>
      <c r="AH2212" s="175">
        <v>15</v>
      </c>
      <c r="AI2212" s="175">
        <v>0</v>
      </c>
      <c r="AJ2212" s="175">
        <v>12</v>
      </c>
      <c r="AK2212" s="175">
        <v>9</v>
      </c>
      <c r="AL2212" s="175">
        <v>5</v>
      </c>
      <c r="AM2212" s="175">
        <v>16</v>
      </c>
      <c r="AN2212" s="175">
        <v>0</v>
      </c>
      <c r="AO2212" s="175">
        <v>42</v>
      </c>
      <c r="AP2212" s="175">
        <v>15</v>
      </c>
      <c r="AQ2212" s="175">
        <v>1</v>
      </c>
      <c r="AR2212" s="175">
        <v>1</v>
      </c>
      <c r="AS2212" s="175">
        <v>19</v>
      </c>
      <c r="AT2212" s="175">
        <v>13</v>
      </c>
    </row>
    <row r="2213" spans="1:46">
      <c r="A2213">
        <v>46072</v>
      </c>
      <c r="B2213" t="s">
        <v>13111</v>
      </c>
      <c r="C2213" t="s">
        <v>13112</v>
      </c>
      <c r="D2213" t="s">
        <v>13113</v>
      </c>
      <c r="E2213" t="s">
        <v>13114</v>
      </c>
      <c r="G2213" t="s">
        <v>3584</v>
      </c>
      <c r="H2213" t="s">
        <v>449</v>
      </c>
      <c r="J2213" t="s">
        <v>4032</v>
      </c>
      <c r="K2213" t="s">
        <v>606</v>
      </c>
      <c r="M2213" t="s">
        <v>2366</v>
      </c>
      <c r="N2213" t="s">
        <v>657</v>
      </c>
      <c r="O2213" t="s">
        <v>3585</v>
      </c>
      <c r="P2213" t="s">
        <v>610</v>
      </c>
      <c r="Q2213" t="s">
        <v>523</v>
      </c>
      <c r="R2213" t="s">
        <v>3410</v>
      </c>
      <c r="S2213" t="s">
        <v>3433</v>
      </c>
      <c r="T2213" t="s">
        <v>2526</v>
      </c>
      <c r="U2213">
        <v>359900</v>
      </c>
      <c r="V2213" t="s">
        <v>11401</v>
      </c>
      <c r="W2213" t="s">
        <v>3587</v>
      </c>
      <c r="X2213" t="s">
        <v>13115</v>
      </c>
      <c r="Y2213" t="s">
        <v>13114</v>
      </c>
      <c r="AA2213" t="s">
        <v>13116</v>
      </c>
      <c r="AB2213" t="s">
        <v>13112</v>
      </c>
      <c r="AC2213">
        <v>99055</v>
      </c>
      <c r="AD2213" t="s">
        <v>3588</v>
      </c>
      <c r="AE2213">
        <v>-46.102793660000003</v>
      </c>
      <c r="AF2213">
        <v>168.93437645</v>
      </c>
      <c r="AG2213" s="175">
        <v>80</v>
      </c>
      <c r="AH2213" s="175">
        <v>30</v>
      </c>
      <c r="AI2213" s="175">
        <v>3</v>
      </c>
      <c r="AJ2213" s="175">
        <v>17</v>
      </c>
      <c r="AK2213" s="175">
        <v>16</v>
      </c>
      <c r="AL2213" s="175">
        <v>21</v>
      </c>
      <c r="AM2213" s="175">
        <v>25</v>
      </c>
      <c r="AN2213" s="175">
        <v>0</v>
      </c>
      <c r="AO2213" s="175">
        <v>82</v>
      </c>
      <c r="AP2213" s="175">
        <v>63</v>
      </c>
      <c r="AQ2213" s="175">
        <v>17</v>
      </c>
      <c r="AR2213" s="175">
        <v>4</v>
      </c>
      <c r="AS2213" s="175">
        <v>10</v>
      </c>
      <c r="AT2213" s="175">
        <v>6</v>
      </c>
    </row>
    <row r="2214" spans="1:46">
      <c r="A2214">
        <v>46073</v>
      </c>
      <c r="B2214" t="s">
        <v>13117</v>
      </c>
      <c r="C2214" t="s">
        <v>13118</v>
      </c>
      <c r="D2214" t="s">
        <v>13119</v>
      </c>
      <c r="E2214" t="s">
        <v>13120</v>
      </c>
      <c r="F2214" t="s">
        <v>1477</v>
      </c>
      <c r="G2214" t="s">
        <v>1381</v>
      </c>
      <c r="H2214" t="s">
        <v>449</v>
      </c>
      <c r="J2214" t="s">
        <v>4032</v>
      </c>
      <c r="K2214" t="s">
        <v>606</v>
      </c>
      <c r="M2214" t="s">
        <v>1382</v>
      </c>
      <c r="N2214" t="s">
        <v>657</v>
      </c>
      <c r="O2214" t="s">
        <v>1383</v>
      </c>
      <c r="P2214" t="s">
        <v>739</v>
      </c>
      <c r="Q2214" t="s">
        <v>510</v>
      </c>
      <c r="R2214" t="s">
        <v>1384</v>
      </c>
      <c r="S2214" t="s">
        <v>1385</v>
      </c>
      <c r="T2214" t="s">
        <v>1320</v>
      </c>
      <c r="U2214">
        <v>180400</v>
      </c>
      <c r="V2214" t="s">
        <v>1414</v>
      </c>
      <c r="W2214" t="s">
        <v>1387</v>
      </c>
      <c r="X2214" t="s">
        <v>13121</v>
      </c>
      <c r="Y2214" t="s">
        <v>4725</v>
      </c>
      <c r="Z2214" t="s">
        <v>1043</v>
      </c>
      <c r="AA2214" t="s">
        <v>4726</v>
      </c>
      <c r="AB2214" t="s">
        <v>13118</v>
      </c>
      <c r="AC2214">
        <v>99105</v>
      </c>
      <c r="AD2214" t="s">
        <v>1415</v>
      </c>
      <c r="AE2214">
        <v>-37.820676130000003</v>
      </c>
      <c r="AF2214">
        <v>175.27022592</v>
      </c>
      <c r="AG2214" s="175">
        <v>100</v>
      </c>
      <c r="AH2214" s="175">
        <v>30</v>
      </c>
      <c r="AI2214" s="175">
        <v>5</v>
      </c>
      <c r="AJ2214" s="175">
        <v>16</v>
      </c>
      <c r="AK2214" s="175">
        <v>21</v>
      </c>
      <c r="AL2214" s="175">
        <v>18</v>
      </c>
      <c r="AM2214" s="175">
        <v>33</v>
      </c>
      <c r="AN2214" s="175">
        <v>0</v>
      </c>
      <c r="AO2214" s="175">
        <v>93</v>
      </c>
      <c r="AP2214" s="175">
        <v>48</v>
      </c>
      <c r="AQ2214" s="175">
        <v>29</v>
      </c>
      <c r="AR2214" s="175">
        <v>3</v>
      </c>
      <c r="AS2214" s="175">
        <v>44</v>
      </c>
      <c r="AT2214" s="175">
        <v>2</v>
      </c>
    </row>
    <row r="2215" spans="1:46">
      <c r="A2215">
        <v>46074</v>
      </c>
      <c r="B2215" t="s">
        <v>13122</v>
      </c>
      <c r="C2215" t="s">
        <v>13123</v>
      </c>
      <c r="E2215" t="s">
        <v>13124</v>
      </c>
      <c r="G2215" t="s">
        <v>4256</v>
      </c>
      <c r="H2215" t="s">
        <v>449</v>
      </c>
      <c r="J2215" t="s">
        <v>4032</v>
      </c>
      <c r="K2215" t="s">
        <v>606</v>
      </c>
      <c r="M2215" t="s">
        <v>607</v>
      </c>
      <c r="N2215" t="s">
        <v>657</v>
      </c>
      <c r="O2215" t="s">
        <v>723</v>
      </c>
      <c r="P2215" t="s">
        <v>658</v>
      </c>
      <c r="Q2215" t="s">
        <v>467</v>
      </c>
      <c r="R2215" t="s">
        <v>724</v>
      </c>
      <c r="S2215" t="s">
        <v>725</v>
      </c>
      <c r="T2215" t="s">
        <v>613</v>
      </c>
      <c r="U2215">
        <v>110700</v>
      </c>
      <c r="V2215" t="s">
        <v>13125</v>
      </c>
      <c r="W2215" t="s">
        <v>726</v>
      </c>
      <c r="X2215" t="s">
        <v>5128</v>
      </c>
      <c r="Y2215" t="s">
        <v>5129</v>
      </c>
      <c r="Z2215" t="s">
        <v>1187</v>
      </c>
      <c r="AA2215" t="s">
        <v>4314</v>
      </c>
      <c r="AE2215">
        <v>-36.673179009999998</v>
      </c>
      <c r="AF2215">
        <v>174.44092069000001</v>
      </c>
      <c r="AG2215" s="175">
        <v>52</v>
      </c>
      <c r="AH2215" s="175">
        <v>12</v>
      </c>
      <c r="AI2215" s="175">
        <v>3</v>
      </c>
      <c r="AJ2215" s="175">
        <v>8</v>
      </c>
      <c r="AK2215" s="175">
        <v>12</v>
      </c>
      <c r="AL2215" s="175">
        <v>13</v>
      </c>
      <c r="AM2215" s="175">
        <v>17</v>
      </c>
      <c r="AN2215" s="175">
        <v>0</v>
      </c>
      <c r="AO2215" s="175">
        <v>53</v>
      </c>
      <c r="AP2215" s="175">
        <v>49</v>
      </c>
      <c r="AQ2215" s="175">
        <v>20</v>
      </c>
      <c r="AR2215" s="175">
        <v>6</v>
      </c>
      <c r="AS2215" s="175">
        <v>0</v>
      </c>
      <c r="AT2215" s="175">
        <v>0</v>
      </c>
    </row>
    <row r="2216" spans="1:46">
      <c r="A2216">
        <v>46076</v>
      </c>
      <c r="B2216" t="s">
        <v>13126</v>
      </c>
      <c r="C2216" t="s">
        <v>13127</v>
      </c>
      <c r="D2216" t="s">
        <v>13128</v>
      </c>
      <c r="E2216" t="s">
        <v>13129</v>
      </c>
      <c r="F2216" t="s">
        <v>811</v>
      </c>
      <c r="G2216" t="s">
        <v>737</v>
      </c>
      <c r="H2216" t="s">
        <v>450</v>
      </c>
      <c r="I2216" t="s">
        <v>4320</v>
      </c>
      <c r="J2216" t="s">
        <v>4032</v>
      </c>
      <c r="K2216" t="s">
        <v>606</v>
      </c>
      <c r="M2216" t="s">
        <v>607</v>
      </c>
      <c r="N2216" t="s">
        <v>608</v>
      </c>
      <c r="O2216" t="s">
        <v>813</v>
      </c>
      <c r="P2216" t="s">
        <v>739</v>
      </c>
      <c r="Q2216" t="s">
        <v>467</v>
      </c>
      <c r="R2216" t="s">
        <v>814</v>
      </c>
      <c r="S2216" t="s">
        <v>815</v>
      </c>
      <c r="T2216" t="s">
        <v>794</v>
      </c>
      <c r="U2216">
        <v>154400</v>
      </c>
      <c r="V2216" t="s">
        <v>7416</v>
      </c>
      <c r="W2216" t="s">
        <v>817</v>
      </c>
      <c r="X2216" t="s">
        <v>13130</v>
      </c>
      <c r="Y2216" t="s">
        <v>13131</v>
      </c>
      <c r="Z2216" t="s">
        <v>1157</v>
      </c>
      <c r="AA2216" t="s">
        <v>4952</v>
      </c>
      <c r="AB2216" t="s">
        <v>13132</v>
      </c>
      <c r="AE2216">
        <v>-36.960934279999996</v>
      </c>
      <c r="AF2216">
        <v>174.8756812</v>
      </c>
      <c r="AG2216" s="175">
        <v>60</v>
      </c>
      <c r="AH2216" s="175">
        <v>60</v>
      </c>
      <c r="AI2216" s="175">
        <v>6</v>
      </c>
      <c r="AJ2216" s="175">
        <v>9</v>
      </c>
      <c r="AK2216" s="175">
        <v>9</v>
      </c>
      <c r="AL2216" s="175">
        <v>8</v>
      </c>
      <c r="AM2216" s="175">
        <v>6</v>
      </c>
      <c r="AN2216" s="175">
        <v>1</v>
      </c>
      <c r="AO2216" s="175">
        <v>39</v>
      </c>
      <c r="AP2216" s="175">
        <v>0</v>
      </c>
      <c r="AQ2216" s="175">
        <v>2</v>
      </c>
      <c r="AR2216" s="175">
        <v>39</v>
      </c>
      <c r="AS2216" s="175">
        <v>2</v>
      </c>
      <c r="AT2216" s="175">
        <v>0</v>
      </c>
    </row>
    <row r="2217" spans="1:46">
      <c r="A2217">
        <v>46077</v>
      </c>
      <c r="B2217" t="s">
        <v>13133</v>
      </c>
      <c r="C2217" t="s">
        <v>13134</v>
      </c>
      <c r="D2217" t="s">
        <v>13135</v>
      </c>
      <c r="E2217" t="s">
        <v>13136</v>
      </c>
      <c r="G2217" t="s">
        <v>1346</v>
      </c>
      <c r="H2217" t="s">
        <v>449</v>
      </c>
      <c r="J2217" t="s">
        <v>4032</v>
      </c>
      <c r="K2217" t="s">
        <v>606</v>
      </c>
      <c r="M2217" t="s">
        <v>607</v>
      </c>
      <c r="N2217" t="s">
        <v>643</v>
      </c>
      <c r="O2217" t="s">
        <v>1318</v>
      </c>
      <c r="P2217" t="s">
        <v>1347</v>
      </c>
      <c r="Q2217" t="s">
        <v>467</v>
      </c>
      <c r="R2217" t="s">
        <v>814</v>
      </c>
      <c r="S2217" t="s">
        <v>1331</v>
      </c>
      <c r="T2217" t="s">
        <v>1320</v>
      </c>
      <c r="U2217">
        <v>166000</v>
      </c>
      <c r="V2217" t="s">
        <v>1365</v>
      </c>
      <c r="W2217" t="s">
        <v>1322</v>
      </c>
      <c r="X2217" t="s">
        <v>8102</v>
      </c>
      <c r="Y2217" t="s">
        <v>8103</v>
      </c>
      <c r="AA2217" t="s">
        <v>8104</v>
      </c>
      <c r="AB2217" t="s">
        <v>8105</v>
      </c>
      <c r="AE2217">
        <v>-37.201461080000001</v>
      </c>
      <c r="AF2217">
        <v>174.90088725000001</v>
      </c>
      <c r="AG2217" s="175">
        <v>40</v>
      </c>
      <c r="AH2217" s="175">
        <v>15</v>
      </c>
      <c r="AI2217" s="175">
        <v>7</v>
      </c>
      <c r="AJ2217" s="175">
        <v>4</v>
      </c>
      <c r="AK2217" s="175">
        <v>9</v>
      </c>
      <c r="AL2217" s="175">
        <v>12</v>
      </c>
      <c r="AM2217" s="175">
        <v>9</v>
      </c>
      <c r="AN2217" s="175">
        <v>0</v>
      </c>
      <c r="AO2217" s="175">
        <v>41</v>
      </c>
      <c r="AP2217" s="175">
        <v>6</v>
      </c>
      <c r="AQ2217" s="175">
        <v>7</v>
      </c>
      <c r="AR2217" s="175">
        <v>5</v>
      </c>
      <c r="AS2217" s="175">
        <v>28</v>
      </c>
      <c r="AT2217" s="175">
        <v>2</v>
      </c>
    </row>
    <row r="2218" spans="1:46">
      <c r="A2218">
        <v>46081</v>
      </c>
      <c r="B2218" t="s">
        <v>13137</v>
      </c>
      <c r="C2218" t="s">
        <v>13138</v>
      </c>
      <c r="D2218" t="s">
        <v>13139</v>
      </c>
      <c r="E2218" t="s">
        <v>13140</v>
      </c>
      <c r="F2218" t="s">
        <v>1030</v>
      </c>
      <c r="G2218" t="s">
        <v>737</v>
      </c>
      <c r="H2218" t="s">
        <v>449</v>
      </c>
      <c r="I2218" t="s">
        <v>4233</v>
      </c>
      <c r="J2218" t="s">
        <v>605</v>
      </c>
      <c r="K2218" t="s">
        <v>606</v>
      </c>
      <c r="M2218" t="s">
        <v>607</v>
      </c>
      <c r="N2218" t="s">
        <v>608</v>
      </c>
      <c r="O2218" t="s">
        <v>813</v>
      </c>
      <c r="P2218" t="s">
        <v>739</v>
      </c>
      <c r="Q2218" t="s">
        <v>467</v>
      </c>
      <c r="R2218" t="s">
        <v>814</v>
      </c>
      <c r="S2218" t="s">
        <v>934</v>
      </c>
      <c r="T2218" t="s">
        <v>794</v>
      </c>
      <c r="U2218">
        <v>153600</v>
      </c>
      <c r="V2218" t="s">
        <v>4935</v>
      </c>
      <c r="W2218" t="s">
        <v>817</v>
      </c>
      <c r="X2218" t="s">
        <v>13141</v>
      </c>
      <c r="Y2218" t="s">
        <v>13142</v>
      </c>
      <c r="Z2218" t="s">
        <v>1030</v>
      </c>
      <c r="AA2218" t="s">
        <v>4679</v>
      </c>
      <c r="AB2218" t="s">
        <v>13143</v>
      </c>
      <c r="AE2218">
        <v>-36.974735340000002</v>
      </c>
      <c r="AF2218">
        <v>174.82902283999999</v>
      </c>
      <c r="AG2218" s="175">
        <v>60</v>
      </c>
      <c r="AH2218" s="175">
        <v>15</v>
      </c>
      <c r="AI2218" s="175">
        <v>1</v>
      </c>
      <c r="AJ2218" s="175">
        <v>5</v>
      </c>
      <c r="AK2218" s="175">
        <v>10</v>
      </c>
      <c r="AL2218" s="175">
        <v>12</v>
      </c>
      <c r="AM2218" s="175">
        <v>17</v>
      </c>
      <c r="AN2218" s="175">
        <v>0</v>
      </c>
      <c r="AO2218" s="175">
        <v>45</v>
      </c>
      <c r="AP2218" s="175">
        <v>0</v>
      </c>
      <c r="AQ2218" s="175">
        <v>1</v>
      </c>
      <c r="AR2218" s="175">
        <v>44</v>
      </c>
      <c r="AS2218" s="175">
        <v>1</v>
      </c>
      <c r="AT2218" s="175">
        <v>0</v>
      </c>
    </row>
    <row r="2219" spans="1:46">
      <c r="A2219">
        <v>46087</v>
      </c>
      <c r="B2219" t="s">
        <v>13144</v>
      </c>
      <c r="C2219" t="s">
        <v>13145</v>
      </c>
      <c r="D2219" t="s">
        <v>13146</v>
      </c>
      <c r="E2219" t="s">
        <v>13147</v>
      </c>
      <c r="F2219" t="s">
        <v>1506</v>
      </c>
      <c r="G2219" t="s">
        <v>1381</v>
      </c>
      <c r="H2219" t="s">
        <v>449</v>
      </c>
      <c r="J2219" t="s">
        <v>605</v>
      </c>
      <c r="K2219" t="s">
        <v>606</v>
      </c>
      <c r="M2219" t="s">
        <v>1382</v>
      </c>
      <c r="N2219" t="s">
        <v>657</v>
      </c>
      <c r="O2219" t="s">
        <v>1383</v>
      </c>
      <c r="P2219" t="s">
        <v>739</v>
      </c>
      <c r="Q2219" t="s">
        <v>510</v>
      </c>
      <c r="R2219" t="s">
        <v>1384</v>
      </c>
      <c r="S2219" t="s">
        <v>1385</v>
      </c>
      <c r="T2219" t="s">
        <v>1320</v>
      </c>
      <c r="U2219">
        <v>176400</v>
      </c>
      <c r="V2219" t="s">
        <v>13148</v>
      </c>
      <c r="W2219" t="s">
        <v>1387</v>
      </c>
      <c r="X2219" t="s">
        <v>8441</v>
      </c>
      <c r="Y2219" t="s">
        <v>4014</v>
      </c>
      <c r="Z2219" t="s">
        <v>4015</v>
      </c>
      <c r="AA2219" t="s">
        <v>4016</v>
      </c>
      <c r="AB2219" t="s">
        <v>8442</v>
      </c>
      <c r="AC2219">
        <v>99035</v>
      </c>
      <c r="AD2219" t="s">
        <v>1392</v>
      </c>
      <c r="AE2219">
        <v>-37.762407539999998</v>
      </c>
      <c r="AF2219">
        <v>175.25562357000001</v>
      </c>
      <c r="AG2219" s="175">
        <v>65</v>
      </c>
      <c r="AH2219" s="175">
        <v>15</v>
      </c>
      <c r="AI2219" s="175">
        <v>2</v>
      </c>
      <c r="AJ2219" s="175">
        <v>8</v>
      </c>
      <c r="AK2219" s="175">
        <v>13</v>
      </c>
      <c r="AL2219" s="175">
        <v>15</v>
      </c>
      <c r="AM2219" s="175">
        <v>17</v>
      </c>
      <c r="AN2219" s="175">
        <v>1</v>
      </c>
      <c r="AO2219" s="175">
        <v>56</v>
      </c>
      <c r="AP2219" s="175">
        <v>17</v>
      </c>
      <c r="AQ2219" s="175">
        <v>21</v>
      </c>
      <c r="AR2219" s="175">
        <v>14</v>
      </c>
      <c r="AS2219" s="175">
        <v>15</v>
      </c>
      <c r="AT2219" s="175">
        <v>5</v>
      </c>
    </row>
    <row r="2220" spans="1:46">
      <c r="A2220">
        <v>46090</v>
      </c>
      <c r="B2220" t="s">
        <v>13149</v>
      </c>
      <c r="C2220" t="s">
        <v>13150</v>
      </c>
      <c r="D2220" t="s">
        <v>13151</v>
      </c>
      <c r="E2220" t="s">
        <v>13152</v>
      </c>
      <c r="F2220" t="s">
        <v>3777</v>
      </c>
      <c r="G2220" t="s">
        <v>737</v>
      </c>
      <c r="H2220" t="s">
        <v>449</v>
      </c>
      <c r="J2220" t="s">
        <v>4032</v>
      </c>
      <c r="K2220" t="s">
        <v>606</v>
      </c>
      <c r="M2220" t="s">
        <v>607</v>
      </c>
      <c r="N2220" t="s">
        <v>4586</v>
      </c>
      <c r="O2220" t="s">
        <v>1253</v>
      </c>
      <c r="P2220" t="s">
        <v>739</v>
      </c>
      <c r="Q2220" t="s">
        <v>467</v>
      </c>
      <c r="R2220" t="s">
        <v>724</v>
      </c>
      <c r="S2220" t="s">
        <v>740</v>
      </c>
      <c r="T2220" t="s">
        <v>613</v>
      </c>
      <c r="U2220">
        <v>118600</v>
      </c>
      <c r="V2220" t="s">
        <v>4082</v>
      </c>
      <c r="W2220" t="s">
        <v>742</v>
      </c>
      <c r="X2220" t="s">
        <v>13153</v>
      </c>
      <c r="Y2220" t="s">
        <v>4448</v>
      </c>
      <c r="Z2220" t="s">
        <v>4101</v>
      </c>
      <c r="AA2220" t="s">
        <v>4449</v>
      </c>
      <c r="AB2220" t="s">
        <v>13154</v>
      </c>
      <c r="AC2220">
        <v>99000</v>
      </c>
      <c r="AD2220" t="s">
        <v>769</v>
      </c>
      <c r="AE2220">
        <v>-36.738861960000001</v>
      </c>
      <c r="AF2220">
        <v>174.7265582</v>
      </c>
      <c r="AG2220" s="175">
        <v>80</v>
      </c>
      <c r="AH2220" s="175">
        <v>35</v>
      </c>
      <c r="AI2220" s="175">
        <v>3</v>
      </c>
      <c r="AJ2220" s="175">
        <v>10</v>
      </c>
      <c r="AK2220" s="175">
        <v>17</v>
      </c>
      <c r="AL2220" s="175">
        <v>22</v>
      </c>
      <c r="AM2220" s="175">
        <v>18</v>
      </c>
      <c r="AN2220" s="175">
        <v>1</v>
      </c>
      <c r="AO2220" s="175">
        <v>71</v>
      </c>
      <c r="AP2220" s="175">
        <v>53</v>
      </c>
      <c r="AQ2220" s="175">
        <v>5</v>
      </c>
      <c r="AR2220" s="175">
        <v>1</v>
      </c>
      <c r="AS2220" s="175">
        <v>20</v>
      </c>
      <c r="AT2220" s="175">
        <v>2</v>
      </c>
    </row>
    <row r="2221" spans="1:46">
      <c r="A2221">
        <v>46095</v>
      </c>
      <c r="B2221" t="s">
        <v>13155</v>
      </c>
      <c r="C2221" t="s">
        <v>13156</v>
      </c>
      <c r="D2221" t="s">
        <v>13157</v>
      </c>
      <c r="E2221" t="s">
        <v>13158</v>
      </c>
      <c r="F2221" t="s">
        <v>1114</v>
      </c>
      <c r="G2221" t="s">
        <v>737</v>
      </c>
      <c r="H2221" t="s">
        <v>449</v>
      </c>
      <c r="J2221" t="s">
        <v>4032</v>
      </c>
      <c r="K2221" t="s">
        <v>606</v>
      </c>
      <c r="M2221" t="s">
        <v>607</v>
      </c>
      <c r="N2221" t="s">
        <v>643</v>
      </c>
      <c r="O2221" t="s">
        <v>914</v>
      </c>
      <c r="P2221" t="s">
        <v>739</v>
      </c>
      <c r="Q2221" t="s">
        <v>467</v>
      </c>
      <c r="R2221" t="s">
        <v>793</v>
      </c>
      <c r="S2221" t="s">
        <v>815</v>
      </c>
      <c r="T2221" t="s">
        <v>794</v>
      </c>
      <c r="U2221">
        <v>146000</v>
      </c>
      <c r="V2221" t="s">
        <v>7529</v>
      </c>
      <c r="W2221" t="s">
        <v>892</v>
      </c>
      <c r="X2221" t="s">
        <v>7539</v>
      </c>
      <c r="Y2221" t="s">
        <v>7540</v>
      </c>
      <c r="Z2221" t="s">
        <v>1187</v>
      </c>
      <c r="AA2221" t="s">
        <v>6874</v>
      </c>
      <c r="AB2221" t="s">
        <v>7541</v>
      </c>
      <c r="AC2221">
        <v>99100</v>
      </c>
      <c r="AD2221" t="s">
        <v>1146</v>
      </c>
      <c r="AE2221">
        <v>-36.893627430000002</v>
      </c>
      <c r="AF2221">
        <v>174.83922534000001</v>
      </c>
      <c r="AG2221" s="175">
        <v>150</v>
      </c>
      <c r="AH2221" s="175">
        <v>40</v>
      </c>
      <c r="AI2221" s="175">
        <v>0</v>
      </c>
      <c r="AJ2221" s="175">
        <v>22</v>
      </c>
      <c r="AK2221" s="175">
        <v>28</v>
      </c>
      <c r="AL2221" s="175">
        <v>30</v>
      </c>
      <c r="AM2221" s="175">
        <v>36</v>
      </c>
      <c r="AN2221" s="175">
        <v>0</v>
      </c>
      <c r="AO2221" s="175">
        <v>116</v>
      </c>
      <c r="AP2221" s="175">
        <v>81</v>
      </c>
      <c r="AQ2221" s="175">
        <v>7</v>
      </c>
      <c r="AR2221" s="175">
        <v>5</v>
      </c>
      <c r="AS2221" s="175">
        <v>44</v>
      </c>
      <c r="AT2221" s="175">
        <v>10</v>
      </c>
    </row>
    <row r="2222" spans="1:46">
      <c r="A2222">
        <v>46096</v>
      </c>
      <c r="B2222" t="s">
        <v>13159</v>
      </c>
      <c r="C2222" t="s">
        <v>13160</v>
      </c>
      <c r="D2222" t="s">
        <v>13161</v>
      </c>
      <c r="E2222" t="s">
        <v>13162</v>
      </c>
      <c r="F2222" t="s">
        <v>5285</v>
      </c>
      <c r="G2222" t="s">
        <v>668</v>
      </c>
      <c r="H2222" t="s">
        <v>449</v>
      </c>
      <c r="J2222" t="s">
        <v>4032</v>
      </c>
      <c r="K2222" t="s">
        <v>606</v>
      </c>
      <c r="M2222" t="s">
        <v>607</v>
      </c>
      <c r="N2222" t="s">
        <v>657</v>
      </c>
      <c r="O2222" t="s">
        <v>669</v>
      </c>
      <c r="P2222" t="s">
        <v>670</v>
      </c>
      <c r="Q2222" t="s">
        <v>509</v>
      </c>
      <c r="R2222" t="s">
        <v>611</v>
      </c>
      <c r="S2222" t="s">
        <v>671</v>
      </c>
      <c r="T2222" t="s">
        <v>613</v>
      </c>
      <c r="U2222">
        <v>106100</v>
      </c>
      <c r="V2222" t="s">
        <v>5285</v>
      </c>
      <c r="W2222" t="s">
        <v>673</v>
      </c>
      <c r="X2222" t="s">
        <v>13163</v>
      </c>
      <c r="Y2222" t="s">
        <v>13164</v>
      </c>
      <c r="AA2222" t="s">
        <v>13165</v>
      </c>
      <c r="AE2222">
        <v>-35.701284940000001</v>
      </c>
      <c r="AF2222">
        <v>174.31633371000001</v>
      </c>
      <c r="AG2222" s="175">
        <v>40</v>
      </c>
      <c r="AH2222" s="175">
        <v>10</v>
      </c>
      <c r="AI2222" s="175">
        <v>2</v>
      </c>
      <c r="AJ2222" s="175">
        <v>7</v>
      </c>
      <c r="AK2222" s="175">
        <v>11</v>
      </c>
      <c r="AL2222" s="175">
        <v>13</v>
      </c>
      <c r="AM2222" s="175">
        <v>15</v>
      </c>
      <c r="AN2222" s="175">
        <v>2</v>
      </c>
      <c r="AO2222" s="175">
        <v>50</v>
      </c>
      <c r="AP2222" s="175">
        <v>42</v>
      </c>
      <c r="AQ2222" s="175">
        <v>20</v>
      </c>
      <c r="AR2222" s="175">
        <v>3</v>
      </c>
      <c r="AS2222" s="175">
        <v>0</v>
      </c>
      <c r="AT2222" s="175">
        <v>2</v>
      </c>
    </row>
    <row r="2223" spans="1:46">
      <c r="A2223">
        <v>46097</v>
      </c>
      <c r="B2223" t="s">
        <v>13166</v>
      </c>
      <c r="C2223" t="s">
        <v>13167</v>
      </c>
      <c r="D2223" t="s">
        <v>13168</v>
      </c>
      <c r="E2223" t="s">
        <v>13169</v>
      </c>
      <c r="F2223" t="s">
        <v>13170</v>
      </c>
      <c r="G2223" t="s">
        <v>737</v>
      </c>
      <c r="H2223" t="s">
        <v>449</v>
      </c>
      <c r="J2223" t="s">
        <v>4032</v>
      </c>
      <c r="K2223" t="s">
        <v>606</v>
      </c>
      <c r="M2223" t="s">
        <v>607</v>
      </c>
      <c r="N2223" t="s">
        <v>4586</v>
      </c>
      <c r="O2223" t="s">
        <v>914</v>
      </c>
      <c r="P2223" t="s">
        <v>739</v>
      </c>
      <c r="Q2223" t="s">
        <v>467</v>
      </c>
      <c r="R2223" t="s">
        <v>793</v>
      </c>
      <c r="S2223" t="s">
        <v>890</v>
      </c>
      <c r="T2223" t="s">
        <v>794</v>
      </c>
      <c r="U2223">
        <v>147202</v>
      </c>
      <c r="V2223" t="s">
        <v>1115</v>
      </c>
      <c r="W2223" t="s">
        <v>892</v>
      </c>
      <c r="X2223" t="s">
        <v>13171</v>
      </c>
      <c r="Y2223" t="s">
        <v>4701</v>
      </c>
      <c r="AA2223" t="s">
        <v>4702</v>
      </c>
      <c r="AB2223" t="s">
        <v>12502</v>
      </c>
      <c r="AE2223">
        <v>-36.914583020000002</v>
      </c>
      <c r="AF2223">
        <v>174.83856520000001</v>
      </c>
      <c r="AG2223" s="175">
        <v>110</v>
      </c>
      <c r="AH2223" s="175">
        <v>35</v>
      </c>
      <c r="AI2223" s="175">
        <v>1</v>
      </c>
      <c r="AJ2223" s="175">
        <v>18</v>
      </c>
      <c r="AK2223" s="175">
        <v>14</v>
      </c>
      <c r="AL2223" s="175">
        <v>23</v>
      </c>
      <c r="AM2223" s="175">
        <v>24</v>
      </c>
      <c r="AN2223" s="175">
        <v>1</v>
      </c>
      <c r="AO2223" s="175">
        <v>81</v>
      </c>
      <c r="AP2223" s="175">
        <v>31</v>
      </c>
      <c r="AQ2223" s="175">
        <v>31</v>
      </c>
      <c r="AR2223" s="175">
        <v>35</v>
      </c>
      <c r="AS2223" s="175">
        <v>21</v>
      </c>
      <c r="AT2223" s="175">
        <v>8</v>
      </c>
    </row>
    <row r="2224" spans="1:46">
      <c r="A2224">
        <v>46098</v>
      </c>
      <c r="B2224" t="s">
        <v>13172</v>
      </c>
      <c r="C2224" t="s">
        <v>13173</v>
      </c>
      <c r="D2224" t="s">
        <v>13174</v>
      </c>
      <c r="E2224" t="s">
        <v>13175</v>
      </c>
      <c r="F2224" t="s">
        <v>6666</v>
      </c>
      <c r="G2224" t="s">
        <v>737</v>
      </c>
      <c r="H2224" t="s">
        <v>449</v>
      </c>
      <c r="J2224" t="s">
        <v>4032</v>
      </c>
      <c r="K2224" t="s">
        <v>606</v>
      </c>
      <c r="M2224" t="s">
        <v>607</v>
      </c>
      <c r="N2224" t="s">
        <v>657</v>
      </c>
      <c r="O2224" t="s">
        <v>898</v>
      </c>
      <c r="P2224" t="s">
        <v>739</v>
      </c>
      <c r="Q2224" t="s">
        <v>467</v>
      </c>
      <c r="R2224" t="s">
        <v>724</v>
      </c>
      <c r="S2224" t="s">
        <v>824</v>
      </c>
      <c r="T2224" t="s">
        <v>613</v>
      </c>
      <c r="U2224">
        <v>119800</v>
      </c>
      <c r="V2224" t="s">
        <v>1005</v>
      </c>
      <c r="W2224" t="s">
        <v>900</v>
      </c>
      <c r="X2224" t="s">
        <v>13176</v>
      </c>
      <c r="Y2224" t="s">
        <v>13177</v>
      </c>
      <c r="Z2224" t="s">
        <v>1108</v>
      </c>
      <c r="AA2224" t="s">
        <v>6130</v>
      </c>
      <c r="AB2224" t="s">
        <v>13178</v>
      </c>
      <c r="AC2224">
        <v>99129</v>
      </c>
      <c r="AD2224" t="s">
        <v>1006</v>
      </c>
      <c r="AE2224">
        <v>-36.819454020000002</v>
      </c>
      <c r="AF2224">
        <v>174.62984804999999</v>
      </c>
      <c r="AG2224" s="175">
        <v>37</v>
      </c>
      <c r="AH2224" s="175">
        <v>0</v>
      </c>
      <c r="AI2224" s="175">
        <v>0</v>
      </c>
      <c r="AJ2224" s="175">
        <v>0</v>
      </c>
      <c r="AK2224" s="175">
        <v>5</v>
      </c>
      <c r="AL2224" s="175">
        <v>3</v>
      </c>
      <c r="AM2224" s="175">
        <v>16</v>
      </c>
      <c r="AN2224" s="175">
        <v>1</v>
      </c>
      <c r="AO2224" s="175">
        <v>25</v>
      </c>
      <c r="AP2224" s="175">
        <v>8</v>
      </c>
      <c r="AQ2224" s="175">
        <v>7</v>
      </c>
      <c r="AR2224" s="175">
        <v>5</v>
      </c>
      <c r="AS2224" s="175">
        <v>11</v>
      </c>
      <c r="AT2224" s="175">
        <v>2</v>
      </c>
    </row>
    <row r="2225" spans="1:46">
      <c r="A2225">
        <v>46099</v>
      </c>
      <c r="B2225" t="s">
        <v>13179</v>
      </c>
      <c r="C2225" t="s">
        <v>13180</v>
      </c>
      <c r="D2225" t="s">
        <v>13181</v>
      </c>
      <c r="E2225" t="s">
        <v>13182</v>
      </c>
      <c r="G2225" t="s">
        <v>6575</v>
      </c>
      <c r="H2225" t="s">
        <v>449</v>
      </c>
      <c r="J2225" t="s">
        <v>4032</v>
      </c>
      <c r="K2225" t="s">
        <v>606</v>
      </c>
      <c r="M2225" t="s">
        <v>607</v>
      </c>
      <c r="N2225" t="s">
        <v>4586</v>
      </c>
      <c r="O2225" t="s">
        <v>723</v>
      </c>
      <c r="P2225" t="s">
        <v>610</v>
      </c>
      <c r="Q2225" t="s">
        <v>467</v>
      </c>
      <c r="R2225" t="s">
        <v>724</v>
      </c>
      <c r="S2225" t="s">
        <v>725</v>
      </c>
      <c r="T2225" t="s">
        <v>613</v>
      </c>
      <c r="U2225">
        <v>111700</v>
      </c>
      <c r="V2225" t="s">
        <v>6575</v>
      </c>
      <c r="W2225" t="s">
        <v>726</v>
      </c>
      <c r="X2225" t="s">
        <v>13183</v>
      </c>
      <c r="Y2225" t="s">
        <v>13184</v>
      </c>
      <c r="AA2225" t="s">
        <v>13185</v>
      </c>
      <c r="AC2225">
        <v>99122</v>
      </c>
      <c r="AD2225" t="s">
        <v>4154</v>
      </c>
      <c r="AE2225">
        <v>-36.420683140000001</v>
      </c>
      <c r="AF2225">
        <v>174.72186744000001</v>
      </c>
      <c r="AG2225" s="175">
        <v>34</v>
      </c>
      <c r="AH2225" s="175">
        <v>8</v>
      </c>
      <c r="AI2225" s="175">
        <v>0</v>
      </c>
      <c r="AJ2225" s="175">
        <v>7</v>
      </c>
      <c r="AK2225" s="175">
        <v>13</v>
      </c>
      <c r="AL2225" s="175">
        <v>7</v>
      </c>
      <c r="AM2225" s="175">
        <v>8</v>
      </c>
      <c r="AN2225" s="175">
        <v>1</v>
      </c>
      <c r="AO2225" s="175">
        <v>36</v>
      </c>
      <c r="AP2225" s="175">
        <v>30</v>
      </c>
      <c r="AQ2225" s="175">
        <v>2</v>
      </c>
      <c r="AR2225" s="175">
        <v>2</v>
      </c>
      <c r="AS2225" s="175">
        <v>1</v>
      </c>
      <c r="AT2225" s="175">
        <v>6</v>
      </c>
    </row>
    <row r="2226" spans="1:46">
      <c r="A2226">
        <v>46103</v>
      </c>
      <c r="B2226" t="s">
        <v>13186</v>
      </c>
      <c r="C2226" t="s">
        <v>13187</v>
      </c>
      <c r="D2226" t="s">
        <v>13188</v>
      </c>
      <c r="E2226" t="s">
        <v>13189</v>
      </c>
      <c r="F2226" t="s">
        <v>1380</v>
      </c>
      <c r="G2226" t="s">
        <v>1381</v>
      </c>
      <c r="H2226" t="s">
        <v>449</v>
      </c>
      <c r="J2226" t="s">
        <v>4032</v>
      </c>
      <c r="K2226" t="s">
        <v>606</v>
      </c>
      <c r="M2226" t="s">
        <v>1382</v>
      </c>
      <c r="N2226" t="s">
        <v>657</v>
      </c>
      <c r="O2226" t="s">
        <v>1383</v>
      </c>
      <c r="P2226" t="s">
        <v>739</v>
      </c>
      <c r="Q2226" t="s">
        <v>510</v>
      </c>
      <c r="R2226" t="s">
        <v>1384</v>
      </c>
      <c r="S2226" t="s">
        <v>1385</v>
      </c>
      <c r="T2226" t="s">
        <v>1320</v>
      </c>
      <c r="U2226">
        <v>179501</v>
      </c>
      <c r="V2226" t="s">
        <v>8612</v>
      </c>
      <c r="W2226" t="s">
        <v>1387</v>
      </c>
      <c r="X2226" t="s">
        <v>13190</v>
      </c>
      <c r="Y2226" t="s">
        <v>12254</v>
      </c>
      <c r="Z2226" t="s">
        <v>12255</v>
      </c>
      <c r="AA2226" t="s">
        <v>12256</v>
      </c>
      <c r="AB2226" t="s">
        <v>13187</v>
      </c>
      <c r="AE2226">
        <v>-37.79041205</v>
      </c>
      <c r="AF2226">
        <v>175.27870917000001</v>
      </c>
      <c r="AG2226" s="175">
        <v>97</v>
      </c>
      <c r="AH2226" s="175">
        <v>36</v>
      </c>
      <c r="AI2226" s="175">
        <v>6</v>
      </c>
      <c r="AJ2226" s="175">
        <v>36</v>
      </c>
      <c r="AK2226" s="175">
        <v>20</v>
      </c>
      <c r="AL2226" s="175">
        <v>24</v>
      </c>
      <c r="AM2226" s="175">
        <v>28</v>
      </c>
      <c r="AN2226" s="175">
        <v>0</v>
      </c>
      <c r="AO2226" s="175">
        <v>114</v>
      </c>
      <c r="AP2226" s="175">
        <v>93</v>
      </c>
      <c r="AQ2226" s="175">
        <v>16</v>
      </c>
      <c r="AR2226" s="175">
        <v>5</v>
      </c>
      <c r="AS2226" s="175">
        <v>19</v>
      </c>
      <c r="AT2226" s="175">
        <v>5</v>
      </c>
    </row>
    <row r="2227" spans="1:46">
      <c r="A2227">
        <v>46107</v>
      </c>
      <c r="B2227" t="s">
        <v>13191</v>
      </c>
      <c r="C2227" t="s">
        <v>13192</v>
      </c>
      <c r="D2227" t="s">
        <v>13193</v>
      </c>
      <c r="E2227" t="s">
        <v>13194</v>
      </c>
      <c r="F2227" t="s">
        <v>3944</v>
      </c>
      <c r="G2227" t="s">
        <v>1681</v>
      </c>
      <c r="H2227" t="s">
        <v>449</v>
      </c>
      <c r="J2227" t="s">
        <v>4032</v>
      </c>
      <c r="K2227" t="s">
        <v>606</v>
      </c>
      <c r="M2227" t="s">
        <v>1382</v>
      </c>
      <c r="N2227" t="s">
        <v>657</v>
      </c>
      <c r="O2227" t="s">
        <v>1780</v>
      </c>
      <c r="P2227" t="s">
        <v>739</v>
      </c>
      <c r="Q2227" t="s">
        <v>511</v>
      </c>
      <c r="R2227" t="s">
        <v>1555</v>
      </c>
      <c r="S2227" t="s">
        <v>1781</v>
      </c>
      <c r="T2227" t="s">
        <v>1557</v>
      </c>
      <c r="U2227">
        <v>196600</v>
      </c>
      <c r="V2227" t="s">
        <v>3945</v>
      </c>
      <c r="W2227" t="s">
        <v>1813</v>
      </c>
      <c r="X2227" t="s">
        <v>13195</v>
      </c>
      <c r="Y2227" t="s">
        <v>13196</v>
      </c>
      <c r="AA2227" t="s">
        <v>8947</v>
      </c>
      <c r="AC2227">
        <v>99085</v>
      </c>
      <c r="AD2227" t="s">
        <v>1800</v>
      </c>
      <c r="AE2227">
        <v>-37.730826039999997</v>
      </c>
      <c r="AF2227">
        <v>176.18922244999999</v>
      </c>
      <c r="AG2227" s="175">
        <v>40</v>
      </c>
      <c r="AH2227" s="175">
        <v>15</v>
      </c>
      <c r="AI2227" s="175">
        <v>0</v>
      </c>
      <c r="AJ2227" s="175">
        <v>14</v>
      </c>
      <c r="AK2227" s="175">
        <v>10</v>
      </c>
      <c r="AL2227" s="175">
        <v>15</v>
      </c>
      <c r="AM2227" s="175">
        <v>6</v>
      </c>
      <c r="AN2227" s="175">
        <v>0</v>
      </c>
      <c r="AO2227" s="175">
        <v>45</v>
      </c>
      <c r="AP2227" s="175">
        <v>37</v>
      </c>
      <c r="AQ2227" s="175">
        <v>19</v>
      </c>
      <c r="AR2227" s="175">
        <v>1</v>
      </c>
      <c r="AS2227" s="175">
        <v>5</v>
      </c>
      <c r="AT2227" s="175">
        <v>1</v>
      </c>
    </row>
    <row r="2228" spans="1:46">
      <c r="A2228">
        <v>46108</v>
      </c>
      <c r="B2228" t="s">
        <v>13197</v>
      </c>
      <c r="C2228" t="s">
        <v>13198</v>
      </c>
      <c r="E2228" t="s">
        <v>13199</v>
      </c>
      <c r="F2228" t="s">
        <v>1838</v>
      </c>
      <c r="G2228" t="s">
        <v>1839</v>
      </c>
      <c r="H2228" t="s">
        <v>449</v>
      </c>
      <c r="J2228" t="s">
        <v>4032</v>
      </c>
      <c r="K2228" t="s">
        <v>606</v>
      </c>
      <c r="M2228" t="s">
        <v>1382</v>
      </c>
      <c r="N2228" t="s">
        <v>657</v>
      </c>
      <c r="O2228" t="s">
        <v>1840</v>
      </c>
      <c r="P2228" t="s">
        <v>670</v>
      </c>
      <c r="Q2228" t="s">
        <v>514</v>
      </c>
      <c r="R2228" t="s">
        <v>1841</v>
      </c>
      <c r="S2228" t="s">
        <v>1839</v>
      </c>
      <c r="T2228" t="s">
        <v>1568</v>
      </c>
      <c r="U2228">
        <v>217501</v>
      </c>
      <c r="V2228" t="s">
        <v>1842</v>
      </c>
      <c r="W2228" t="s">
        <v>1843</v>
      </c>
      <c r="X2228" t="s">
        <v>13200</v>
      </c>
      <c r="Y2228" t="s">
        <v>4725</v>
      </c>
      <c r="Z2228" t="s">
        <v>1043</v>
      </c>
      <c r="AA2228" t="s">
        <v>4726</v>
      </c>
      <c r="AB2228" t="s">
        <v>13201</v>
      </c>
      <c r="AE2228">
        <v>-39.035897929999997</v>
      </c>
      <c r="AF2228">
        <v>174.14027189999999</v>
      </c>
      <c r="AG2228" s="175">
        <v>120</v>
      </c>
      <c r="AH2228" s="175">
        <v>20</v>
      </c>
      <c r="AI2228" s="175">
        <v>5</v>
      </c>
      <c r="AJ2228" s="175">
        <v>22</v>
      </c>
      <c r="AK2228" s="175">
        <v>27</v>
      </c>
      <c r="AL2228" s="175">
        <v>17</v>
      </c>
      <c r="AM2228" s="175">
        <v>33</v>
      </c>
      <c r="AN2228" s="175">
        <v>2</v>
      </c>
      <c r="AO2228" s="175">
        <v>106</v>
      </c>
      <c r="AP2228" s="175">
        <v>63</v>
      </c>
      <c r="AQ2228" s="175">
        <v>49</v>
      </c>
      <c r="AR2228" s="175">
        <v>12</v>
      </c>
      <c r="AS2228" s="175">
        <v>13</v>
      </c>
      <c r="AT2228" s="175">
        <v>19</v>
      </c>
    </row>
    <row r="2229" spans="1:46">
      <c r="A2229">
        <v>46109</v>
      </c>
      <c r="B2229" t="s">
        <v>13202</v>
      </c>
      <c r="C2229" t="s">
        <v>13203</v>
      </c>
      <c r="D2229" t="s">
        <v>13204</v>
      </c>
      <c r="E2229" t="s">
        <v>13205</v>
      </c>
      <c r="G2229" t="s">
        <v>5660</v>
      </c>
      <c r="H2229" t="s">
        <v>449</v>
      </c>
      <c r="J2229" t="s">
        <v>4032</v>
      </c>
      <c r="K2229" t="s">
        <v>606</v>
      </c>
      <c r="M2229" t="s">
        <v>607</v>
      </c>
      <c r="N2229" t="s">
        <v>4586</v>
      </c>
      <c r="O2229" t="s">
        <v>669</v>
      </c>
      <c r="P2229" t="s">
        <v>658</v>
      </c>
      <c r="Q2229" t="s">
        <v>509</v>
      </c>
      <c r="R2229" t="s">
        <v>611</v>
      </c>
      <c r="S2229" t="s">
        <v>671</v>
      </c>
      <c r="T2229" t="s">
        <v>613</v>
      </c>
      <c r="U2229">
        <v>105400</v>
      </c>
      <c r="V2229" t="s">
        <v>5661</v>
      </c>
      <c r="W2229" t="s">
        <v>5368</v>
      </c>
      <c r="X2229" t="s">
        <v>13206</v>
      </c>
      <c r="Y2229" t="s">
        <v>13207</v>
      </c>
      <c r="AA2229" t="s">
        <v>13208</v>
      </c>
      <c r="AB2229" t="s">
        <v>13209</v>
      </c>
      <c r="AE2229">
        <v>-35.748276199999999</v>
      </c>
      <c r="AF2229">
        <v>174.21323346</v>
      </c>
      <c r="AG2229" s="175">
        <v>75</v>
      </c>
      <c r="AH2229" s="175">
        <v>12</v>
      </c>
      <c r="AI2229" s="175">
        <v>3</v>
      </c>
      <c r="AJ2229" s="175">
        <v>19</v>
      </c>
      <c r="AK2229" s="175">
        <v>24</v>
      </c>
      <c r="AL2229" s="175">
        <v>33</v>
      </c>
      <c r="AM2229" s="175">
        <v>37</v>
      </c>
      <c r="AN2229" s="175">
        <v>0</v>
      </c>
      <c r="AO2229" s="175">
        <v>116</v>
      </c>
      <c r="AP2229" s="175">
        <v>112</v>
      </c>
      <c r="AQ2229" s="175">
        <v>24</v>
      </c>
      <c r="AR2229" s="175">
        <v>4</v>
      </c>
      <c r="AS2229" s="175">
        <v>5</v>
      </c>
      <c r="AT2229" s="175">
        <v>2</v>
      </c>
    </row>
    <row r="2230" spans="1:46">
      <c r="A2230">
        <v>46110</v>
      </c>
      <c r="B2230" t="s">
        <v>13210</v>
      </c>
      <c r="C2230" t="s">
        <v>13211</v>
      </c>
      <c r="E2230" t="s">
        <v>13212</v>
      </c>
      <c r="F2230" t="s">
        <v>13213</v>
      </c>
      <c r="G2230" t="s">
        <v>1681</v>
      </c>
      <c r="H2230" t="s">
        <v>449</v>
      </c>
      <c r="J2230" t="s">
        <v>4032</v>
      </c>
      <c r="K2230" t="s">
        <v>606</v>
      </c>
      <c r="M2230" t="s">
        <v>1382</v>
      </c>
      <c r="N2230" t="s">
        <v>657</v>
      </c>
      <c r="O2230" t="s">
        <v>1780</v>
      </c>
      <c r="P2230" t="s">
        <v>739</v>
      </c>
      <c r="Q2230" t="s">
        <v>511</v>
      </c>
      <c r="R2230" t="s">
        <v>1555</v>
      </c>
      <c r="S2230" t="s">
        <v>1681</v>
      </c>
      <c r="T2230" t="s">
        <v>1557</v>
      </c>
      <c r="U2230">
        <v>195601</v>
      </c>
      <c r="V2230" t="s">
        <v>13214</v>
      </c>
      <c r="W2230" t="s">
        <v>1799</v>
      </c>
      <c r="X2230" t="s">
        <v>13215</v>
      </c>
      <c r="Y2230" t="s">
        <v>13212</v>
      </c>
      <c r="Z2230" t="s">
        <v>13213</v>
      </c>
      <c r="AA2230" t="s">
        <v>8947</v>
      </c>
      <c r="AB2230" t="s">
        <v>13211</v>
      </c>
      <c r="AC2230">
        <v>99085</v>
      </c>
      <c r="AD2230" t="s">
        <v>1800</v>
      </c>
      <c r="AE2230">
        <v>-37.74725411</v>
      </c>
      <c r="AF2230">
        <v>176.12754024</v>
      </c>
      <c r="AG2230" s="175">
        <v>56</v>
      </c>
      <c r="AH2230" s="175">
        <v>10</v>
      </c>
      <c r="AI2230" s="175">
        <v>1</v>
      </c>
      <c r="AJ2230" s="175">
        <v>11</v>
      </c>
      <c r="AK2230" s="175">
        <v>14</v>
      </c>
      <c r="AL2230" s="175">
        <v>24</v>
      </c>
      <c r="AM2230" s="175">
        <v>31</v>
      </c>
      <c r="AN2230" s="175">
        <v>0</v>
      </c>
      <c r="AO2230" s="175">
        <v>81</v>
      </c>
      <c r="AP2230" s="175">
        <v>74</v>
      </c>
      <c r="AQ2230" s="175">
        <v>18</v>
      </c>
      <c r="AR2230" s="175">
        <v>2</v>
      </c>
      <c r="AS2230" s="175">
        <v>1</v>
      </c>
      <c r="AT2230" s="175">
        <v>2</v>
      </c>
    </row>
    <row r="2231" spans="1:46">
      <c r="A2231">
        <v>46112</v>
      </c>
      <c r="B2231" t="s">
        <v>13216</v>
      </c>
      <c r="C2231" t="s">
        <v>13217</v>
      </c>
      <c r="D2231" t="s">
        <v>13218</v>
      </c>
      <c r="E2231" t="s">
        <v>13219</v>
      </c>
      <c r="F2231" t="s">
        <v>13170</v>
      </c>
      <c r="G2231" t="s">
        <v>737</v>
      </c>
      <c r="H2231" t="s">
        <v>449</v>
      </c>
      <c r="J2231" t="s">
        <v>605</v>
      </c>
      <c r="K2231" t="s">
        <v>606</v>
      </c>
      <c r="M2231" t="s">
        <v>607</v>
      </c>
      <c r="N2231" t="s">
        <v>643</v>
      </c>
      <c r="O2231" t="s">
        <v>914</v>
      </c>
      <c r="P2231" t="s">
        <v>739</v>
      </c>
      <c r="Q2231" t="s">
        <v>467</v>
      </c>
      <c r="R2231" t="s">
        <v>793</v>
      </c>
      <c r="S2231" t="s">
        <v>890</v>
      </c>
      <c r="T2231" t="s">
        <v>794</v>
      </c>
      <c r="U2231">
        <v>146501</v>
      </c>
      <c r="V2231" t="s">
        <v>13220</v>
      </c>
      <c r="W2231" t="s">
        <v>892</v>
      </c>
      <c r="X2231" t="s">
        <v>4013</v>
      </c>
      <c r="Y2231" t="s">
        <v>4014</v>
      </c>
      <c r="Z2231" t="s">
        <v>4015</v>
      </c>
      <c r="AA2231" t="s">
        <v>4016</v>
      </c>
      <c r="AB2231" t="s">
        <v>4017</v>
      </c>
      <c r="AE2231">
        <v>-36.903561529999998</v>
      </c>
      <c r="AF2231">
        <v>174.84144845</v>
      </c>
      <c r="AG2231" s="175">
        <v>100</v>
      </c>
      <c r="AH2231" s="175">
        <v>20</v>
      </c>
      <c r="AI2231" s="175">
        <v>5</v>
      </c>
      <c r="AJ2231" s="175">
        <v>9</v>
      </c>
      <c r="AK2231" s="175">
        <v>21</v>
      </c>
      <c r="AL2231" s="175">
        <v>25</v>
      </c>
      <c r="AM2231" s="175">
        <v>29</v>
      </c>
      <c r="AN2231" s="175">
        <v>1</v>
      </c>
      <c r="AO2231" s="175">
        <v>90</v>
      </c>
      <c r="AP2231" s="175">
        <v>21</v>
      </c>
      <c r="AQ2231" s="175">
        <v>16</v>
      </c>
      <c r="AR2231" s="175">
        <v>36</v>
      </c>
      <c r="AS2231" s="175">
        <v>42</v>
      </c>
      <c r="AT2231" s="175">
        <v>4</v>
      </c>
    </row>
    <row r="2232" spans="1:46">
      <c r="A2232">
        <v>46113</v>
      </c>
      <c r="B2232" t="s">
        <v>13221</v>
      </c>
      <c r="C2232" t="s">
        <v>13222</v>
      </c>
      <c r="D2232" t="s">
        <v>13223</v>
      </c>
      <c r="E2232" t="s">
        <v>13224</v>
      </c>
      <c r="F2232" t="s">
        <v>3944</v>
      </c>
      <c r="G2232" t="s">
        <v>1681</v>
      </c>
      <c r="H2232" t="s">
        <v>449</v>
      </c>
      <c r="J2232" t="s">
        <v>605</v>
      </c>
      <c r="K2232" t="s">
        <v>606</v>
      </c>
      <c r="M2232" t="s">
        <v>1382</v>
      </c>
      <c r="N2232" t="s">
        <v>657</v>
      </c>
      <c r="O2232" t="s">
        <v>1780</v>
      </c>
      <c r="P2232" t="s">
        <v>739</v>
      </c>
      <c r="Q2232" t="s">
        <v>511</v>
      </c>
      <c r="R2232" t="s">
        <v>1555</v>
      </c>
      <c r="S2232" t="s">
        <v>1781</v>
      </c>
      <c r="T2232" t="s">
        <v>1557</v>
      </c>
      <c r="U2232">
        <v>196700</v>
      </c>
      <c r="V2232" t="s">
        <v>9809</v>
      </c>
      <c r="W2232" t="s">
        <v>1813</v>
      </c>
      <c r="X2232" t="s">
        <v>8441</v>
      </c>
      <c r="Y2232" t="s">
        <v>4014</v>
      </c>
      <c r="Z2232" t="s">
        <v>4015</v>
      </c>
      <c r="AA2232" t="s">
        <v>4016</v>
      </c>
      <c r="AB2232" t="s">
        <v>8442</v>
      </c>
      <c r="AC2232">
        <v>99085</v>
      </c>
      <c r="AD2232" t="s">
        <v>1800</v>
      </c>
      <c r="AE2232">
        <v>-37.725905609999998</v>
      </c>
      <c r="AF2232">
        <v>176.19453074</v>
      </c>
      <c r="AG2232" s="175">
        <v>40</v>
      </c>
      <c r="AH2232" s="175">
        <v>0</v>
      </c>
      <c r="AI2232" s="175">
        <v>0</v>
      </c>
      <c r="AJ2232" s="175">
        <v>0</v>
      </c>
      <c r="AK2232" s="175">
        <v>11</v>
      </c>
      <c r="AL2232" s="175">
        <v>13</v>
      </c>
      <c r="AM2232" s="175">
        <v>18</v>
      </c>
      <c r="AN2232" s="175">
        <v>0</v>
      </c>
      <c r="AO2232" s="175">
        <v>42</v>
      </c>
      <c r="AP2232" s="175">
        <v>18</v>
      </c>
      <c r="AQ2232" s="175">
        <v>15</v>
      </c>
      <c r="AR2232" s="175">
        <v>0</v>
      </c>
      <c r="AS2232" s="175">
        <v>13</v>
      </c>
      <c r="AT2232" s="175">
        <v>0</v>
      </c>
    </row>
    <row r="2233" spans="1:46">
      <c r="A2233">
        <v>46114</v>
      </c>
      <c r="B2233" t="s">
        <v>13225</v>
      </c>
      <c r="C2233" t="s">
        <v>13226</v>
      </c>
      <c r="E2233" t="s">
        <v>13227</v>
      </c>
      <c r="F2233" t="s">
        <v>906</v>
      </c>
      <c r="G2233" t="s">
        <v>737</v>
      </c>
      <c r="H2233" t="s">
        <v>449</v>
      </c>
      <c r="J2233" t="s">
        <v>605</v>
      </c>
      <c r="K2233" t="s">
        <v>606</v>
      </c>
      <c r="M2233" t="s">
        <v>607</v>
      </c>
      <c r="N2233" t="s">
        <v>657</v>
      </c>
      <c r="O2233" t="s">
        <v>889</v>
      </c>
      <c r="P2233" t="s">
        <v>739</v>
      </c>
      <c r="Q2233" t="s">
        <v>467</v>
      </c>
      <c r="R2233" t="s">
        <v>793</v>
      </c>
      <c r="S2233" t="s">
        <v>907</v>
      </c>
      <c r="T2233" t="s">
        <v>794</v>
      </c>
      <c r="U2233">
        <v>140000</v>
      </c>
      <c r="V2233" t="s">
        <v>13228</v>
      </c>
      <c r="W2233" t="s">
        <v>909</v>
      </c>
      <c r="X2233" t="s">
        <v>13229</v>
      </c>
      <c r="Y2233" t="s">
        <v>13230</v>
      </c>
      <c r="AA2233" t="s">
        <v>13231</v>
      </c>
      <c r="AB2233" t="s">
        <v>13232</v>
      </c>
      <c r="AE2233">
        <v>-36.879413720000002</v>
      </c>
      <c r="AF2233">
        <v>174.79247337999999</v>
      </c>
      <c r="AG2233" s="175">
        <v>28</v>
      </c>
      <c r="AH2233" s="175">
        <v>0</v>
      </c>
      <c r="AI2233" s="175">
        <v>0</v>
      </c>
      <c r="AJ2233" s="175">
        <v>0</v>
      </c>
      <c r="AK2233" s="175">
        <v>0</v>
      </c>
      <c r="AL2233" s="175">
        <v>0</v>
      </c>
      <c r="AM2233" s="175">
        <v>16</v>
      </c>
      <c r="AN2233" s="175">
        <v>4</v>
      </c>
      <c r="AO2233" s="175">
        <v>20</v>
      </c>
      <c r="AP2233" s="175">
        <v>8</v>
      </c>
      <c r="AQ2233" s="175">
        <v>0</v>
      </c>
      <c r="AR2233" s="175">
        <v>1</v>
      </c>
      <c r="AS2233" s="175">
        <v>15</v>
      </c>
      <c r="AT2233" s="175">
        <v>0</v>
      </c>
    </row>
    <row r="2234" spans="1:46">
      <c r="A2234">
        <v>46117</v>
      </c>
      <c r="B2234" t="s">
        <v>13233</v>
      </c>
      <c r="C2234" t="s">
        <v>13234</v>
      </c>
      <c r="D2234" t="s">
        <v>13235</v>
      </c>
      <c r="E2234" t="s">
        <v>13236</v>
      </c>
      <c r="F2234" t="s">
        <v>4472</v>
      </c>
      <c r="G2234" t="s">
        <v>668</v>
      </c>
      <c r="H2234" t="s">
        <v>449</v>
      </c>
      <c r="J2234" t="s">
        <v>4032</v>
      </c>
      <c r="K2234" t="s">
        <v>606</v>
      </c>
      <c r="M2234" t="s">
        <v>607</v>
      </c>
      <c r="N2234" t="s">
        <v>657</v>
      </c>
      <c r="O2234" t="s">
        <v>669</v>
      </c>
      <c r="P2234" t="s">
        <v>670</v>
      </c>
      <c r="Q2234" t="s">
        <v>509</v>
      </c>
      <c r="R2234" t="s">
        <v>611</v>
      </c>
      <c r="S2234" t="s">
        <v>671</v>
      </c>
      <c r="T2234" t="s">
        <v>613</v>
      </c>
      <c r="U2234">
        <v>106600</v>
      </c>
      <c r="V2234" t="s">
        <v>5100</v>
      </c>
      <c r="W2234" t="s">
        <v>673</v>
      </c>
      <c r="X2234" t="s">
        <v>13237</v>
      </c>
      <c r="Y2234" t="s">
        <v>13238</v>
      </c>
      <c r="Z2234" t="s">
        <v>822</v>
      </c>
      <c r="AA2234" t="s">
        <v>13239</v>
      </c>
      <c r="AC2234">
        <v>99180</v>
      </c>
      <c r="AD2234" t="s">
        <v>4957</v>
      </c>
      <c r="AE2234">
        <v>-35.71374994</v>
      </c>
      <c r="AF2234">
        <v>174.32382523000001</v>
      </c>
      <c r="AG2234" s="175">
        <v>24</v>
      </c>
      <c r="AH2234" s="175">
        <v>0</v>
      </c>
      <c r="AI2234" s="175">
        <v>0</v>
      </c>
      <c r="AJ2234" s="175">
        <v>0</v>
      </c>
      <c r="AK2234" s="175">
        <v>9</v>
      </c>
      <c r="AL2234" s="175">
        <v>7</v>
      </c>
      <c r="AM2234" s="175">
        <v>9</v>
      </c>
      <c r="AN2234" s="175">
        <v>0</v>
      </c>
      <c r="AO2234" s="175">
        <v>25</v>
      </c>
      <c r="AP2234" s="175">
        <v>14</v>
      </c>
      <c r="AQ2234" s="175">
        <v>15</v>
      </c>
      <c r="AR2234" s="175">
        <v>4</v>
      </c>
      <c r="AS2234" s="175">
        <v>4</v>
      </c>
      <c r="AT2234" s="175">
        <v>0</v>
      </c>
    </row>
    <row r="2235" spans="1:46">
      <c r="A2235">
        <v>46118</v>
      </c>
      <c r="B2235" t="s">
        <v>13240</v>
      </c>
      <c r="C2235" t="s">
        <v>13241</v>
      </c>
      <c r="D2235" t="s">
        <v>13242</v>
      </c>
      <c r="E2235" t="s">
        <v>13243</v>
      </c>
      <c r="F2235" t="s">
        <v>5170</v>
      </c>
      <c r="G2235" t="s">
        <v>737</v>
      </c>
      <c r="H2235" t="s">
        <v>449</v>
      </c>
      <c r="J2235" t="s">
        <v>605</v>
      </c>
      <c r="K2235" t="s">
        <v>606</v>
      </c>
      <c r="M2235" t="s">
        <v>607</v>
      </c>
      <c r="N2235" t="s">
        <v>657</v>
      </c>
      <c r="O2235" t="s">
        <v>792</v>
      </c>
      <c r="P2235" t="s">
        <v>739</v>
      </c>
      <c r="Q2235" t="s">
        <v>467</v>
      </c>
      <c r="R2235" t="s">
        <v>793</v>
      </c>
      <c r="S2235" t="s">
        <v>863</v>
      </c>
      <c r="T2235" t="s">
        <v>794</v>
      </c>
      <c r="U2235">
        <v>156901</v>
      </c>
      <c r="V2235" t="s">
        <v>13244</v>
      </c>
      <c r="W2235" t="s">
        <v>796</v>
      </c>
      <c r="X2235" t="s">
        <v>4013</v>
      </c>
      <c r="Y2235" t="s">
        <v>4014</v>
      </c>
      <c r="Z2235" t="s">
        <v>4015</v>
      </c>
      <c r="AA2235" t="s">
        <v>4016</v>
      </c>
      <c r="AB2235" t="s">
        <v>4017</v>
      </c>
      <c r="AC2235">
        <v>99127</v>
      </c>
      <c r="AD2235" t="s">
        <v>4007</v>
      </c>
      <c r="AE2235">
        <v>-36.955774859999998</v>
      </c>
      <c r="AF2235">
        <v>174.91359349999999</v>
      </c>
      <c r="AG2235" s="175">
        <v>100</v>
      </c>
      <c r="AH2235" s="175">
        <v>25</v>
      </c>
      <c r="AI2235" s="175">
        <v>1</v>
      </c>
      <c r="AJ2235" s="175">
        <v>18</v>
      </c>
      <c r="AK2235" s="175">
        <v>23</v>
      </c>
      <c r="AL2235" s="175">
        <v>34</v>
      </c>
      <c r="AM2235" s="175">
        <v>36</v>
      </c>
      <c r="AN2235" s="175">
        <v>3</v>
      </c>
      <c r="AO2235" s="175">
        <v>115</v>
      </c>
      <c r="AP2235" s="175">
        <v>9</v>
      </c>
      <c r="AQ2235" s="175">
        <v>11</v>
      </c>
      <c r="AR2235" s="175">
        <v>19</v>
      </c>
      <c r="AS2235" s="175">
        <v>85</v>
      </c>
      <c r="AT2235" s="175">
        <v>10</v>
      </c>
    </row>
    <row r="2236" spans="1:46">
      <c r="A2236">
        <v>46120</v>
      </c>
      <c r="B2236" t="s">
        <v>13245</v>
      </c>
      <c r="C2236" t="s">
        <v>13246</v>
      </c>
      <c r="E2236" t="s">
        <v>13247</v>
      </c>
      <c r="F2236" t="s">
        <v>2899</v>
      </c>
      <c r="G2236" t="s">
        <v>2899</v>
      </c>
      <c r="H2236" t="s">
        <v>449</v>
      </c>
      <c r="J2236" t="s">
        <v>4032</v>
      </c>
      <c r="K2236" t="s">
        <v>606</v>
      </c>
      <c r="M2236" t="s">
        <v>2366</v>
      </c>
      <c r="N2236" t="s">
        <v>657</v>
      </c>
      <c r="O2236" t="s">
        <v>2900</v>
      </c>
      <c r="P2236" t="s">
        <v>1347</v>
      </c>
      <c r="Q2236" t="s">
        <v>519</v>
      </c>
      <c r="R2236" t="s">
        <v>2901</v>
      </c>
      <c r="S2236" t="s">
        <v>2902</v>
      </c>
      <c r="T2236" t="s">
        <v>2526</v>
      </c>
      <c r="U2236">
        <v>308100</v>
      </c>
      <c r="V2236" t="s">
        <v>2919</v>
      </c>
      <c r="W2236" t="s">
        <v>2903</v>
      </c>
      <c r="X2236" t="s">
        <v>11616</v>
      </c>
      <c r="Y2236" t="s">
        <v>4725</v>
      </c>
      <c r="Z2236" t="s">
        <v>1043</v>
      </c>
      <c r="AA2236" t="s">
        <v>4726</v>
      </c>
      <c r="AB2236" t="s">
        <v>11617</v>
      </c>
      <c r="AE2236">
        <v>-41.516737540000001</v>
      </c>
      <c r="AF2236">
        <v>173.95463534999999</v>
      </c>
      <c r="AG2236" s="175">
        <v>60</v>
      </c>
      <c r="AH2236" s="175">
        <v>20</v>
      </c>
      <c r="AI2236" s="175">
        <v>2</v>
      </c>
      <c r="AJ2236" s="175">
        <v>12</v>
      </c>
      <c r="AK2236" s="175">
        <v>12</v>
      </c>
      <c r="AL2236" s="175">
        <v>14</v>
      </c>
      <c r="AM2236" s="175">
        <v>11</v>
      </c>
      <c r="AN2236" s="175">
        <v>0</v>
      </c>
      <c r="AO2236" s="175">
        <v>51</v>
      </c>
      <c r="AP2236" s="175">
        <v>41</v>
      </c>
      <c r="AQ2236" s="175">
        <v>12</v>
      </c>
      <c r="AR2236" s="175">
        <v>2</v>
      </c>
      <c r="AS2236" s="175">
        <v>6</v>
      </c>
      <c r="AT2236" s="175">
        <v>3</v>
      </c>
    </row>
    <row r="2237" spans="1:46">
      <c r="A2237">
        <v>46121</v>
      </c>
      <c r="B2237" t="s">
        <v>13248</v>
      </c>
      <c r="C2237" t="s">
        <v>13249</v>
      </c>
      <c r="D2237" t="s">
        <v>13250</v>
      </c>
      <c r="E2237" t="s">
        <v>13251</v>
      </c>
      <c r="F2237" t="s">
        <v>7884</v>
      </c>
      <c r="G2237" t="s">
        <v>737</v>
      </c>
      <c r="H2237" t="s">
        <v>450</v>
      </c>
      <c r="J2237" t="s">
        <v>4032</v>
      </c>
      <c r="K2237" t="s">
        <v>606</v>
      </c>
      <c r="M2237" t="s">
        <v>607</v>
      </c>
      <c r="N2237" t="s">
        <v>657</v>
      </c>
      <c r="O2237" t="s">
        <v>792</v>
      </c>
      <c r="P2237" t="s">
        <v>739</v>
      </c>
      <c r="Q2237" t="s">
        <v>467</v>
      </c>
      <c r="R2237" t="s">
        <v>793</v>
      </c>
      <c r="S2237" t="s">
        <v>791</v>
      </c>
      <c r="T2237" t="s">
        <v>794</v>
      </c>
      <c r="U2237">
        <v>152400</v>
      </c>
      <c r="V2237" t="s">
        <v>5234</v>
      </c>
      <c r="W2237" t="s">
        <v>796</v>
      </c>
      <c r="X2237" t="s">
        <v>13252</v>
      </c>
      <c r="Y2237" t="s">
        <v>13253</v>
      </c>
      <c r="Z2237" t="s">
        <v>862</v>
      </c>
      <c r="AA2237" t="s">
        <v>5237</v>
      </c>
      <c r="AB2237" t="s">
        <v>13249</v>
      </c>
      <c r="AE2237">
        <v>-36.898679170000001</v>
      </c>
      <c r="AF2237">
        <v>174.93495722</v>
      </c>
      <c r="AG2237" s="175">
        <v>50</v>
      </c>
      <c r="AH2237" s="175">
        <v>50</v>
      </c>
      <c r="AI2237" s="175">
        <v>1</v>
      </c>
      <c r="AJ2237" s="175">
        <v>2</v>
      </c>
      <c r="AK2237" s="175">
        <v>4</v>
      </c>
      <c r="AL2237" s="175">
        <v>6</v>
      </c>
      <c r="AM2237" s="175">
        <v>4</v>
      </c>
      <c r="AN2237" s="175">
        <v>0</v>
      </c>
      <c r="AO2237" s="175">
        <v>17</v>
      </c>
      <c r="AP2237" s="175">
        <v>5</v>
      </c>
      <c r="AQ2237" s="175">
        <v>4</v>
      </c>
      <c r="AR2237" s="175">
        <v>8</v>
      </c>
      <c r="AS2237" s="175">
        <v>0</v>
      </c>
      <c r="AT2237" s="175">
        <v>3</v>
      </c>
    </row>
    <row r="2238" spans="1:46">
      <c r="A2238">
        <v>46124</v>
      </c>
      <c r="B2238" t="s">
        <v>13254</v>
      </c>
      <c r="C2238" t="s">
        <v>13255</v>
      </c>
      <c r="D2238" t="s">
        <v>13256</v>
      </c>
      <c r="E2238" t="s">
        <v>13257</v>
      </c>
      <c r="F2238" t="s">
        <v>1121</v>
      </c>
      <c r="G2238" t="s">
        <v>737</v>
      </c>
      <c r="H2238" t="s">
        <v>469</v>
      </c>
      <c r="I2238" t="s">
        <v>4320</v>
      </c>
      <c r="J2238" t="s">
        <v>605</v>
      </c>
      <c r="K2238" t="s">
        <v>606</v>
      </c>
      <c r="M2238" t="s">
        <v>607</v>
      </c>
      <c r="N2238" t="s">
        <v>812</v>
      </c>
      <c r="O2238" t="s">
        <v>1301</v>
      </c>
      <c r="P2238" t="s">
        <v>739</v>
      </c>
      <c r="Q2238" t="s">
        <v>467</v>
      </c>
      <c r="R2238" t="s">
        <v>814</v>
      </c>
      <c r="S2238" t="s">
        <v>1121</v>
      </c>
      <c r="T2238" t="s">
        <v>794</v>
      </c>
      <c r="U2238">
        <v>159201</v>
      </c>
      <c r="V2238" t="s">
        <v>12555</v>
      </c>
      <c r="W2238" t="s">
        <v>1304</v>
      </c>
      <c r="X2238" t="s">
        <v>13258</v>
      </c>
      <c r="Y2238" t="s">
        <v>13259</v>
      </c>
      <c r="Z2238" t="s">
        <v>913</v>
      </c>
      <c r="AA2238" t="s">
        <v>13260</v>
      </c>
      <c r="AB2238" t="s">
        <v>13261</v>
      </c>
      <c r="AE2238">
        <v>-37.021349260000001</v>
      </c>
      <c r="AF2238">
        <v>174.87324314</v>
      </c>
      <c r="AG2238" s="175">
        <v>50</v>
      </c>
      <c r="AH2238" s="175">
        <v>10</v>
      </c>
      <c r="AI2238" s="175">
        <v>1</v>
      </c>
      <c r="AJ2238" s="175">
        <v>5</v>
      </c>
      <c r="AK2238" s="175">
        <v>7</v>
      </c>
      <c r="AL2238" s="175">
        <v>12</v>
      </c>
      <c r="AM2238" s="175">
        <v>9</v>
      </c>
      <c r="AN2238" s="175">
        <v>0</v>
      </c>
      <c r="AO2238" s="175">
        <v>34</v>
      </c>
      <c r="AP2238" s="175">
        <v>4</v>
      </c>
      <c r="AQ2238" s="175">
        <v>4</v>
      </c>
      <c r="AR2238" s="175">
        <v>34</v>
      </c>
      <c r="AS2238" s="175">
        <v>1</v>
      </c>
      <c r="AT2238" s="175">
        <v>0</v>
      </c>
    </row>
    <row r="2239" spans="1:46">
      <c r="A2239">
        <v>46126</v>
      </c>
      <c r="B2239" t="s">
        <v>13262</v>
      </c>
      <c r="C2239" t="s">
        <v>13263</v>
      </c>
      <c r="D2239" t="s">
        <v>13264</v>
      </c>
      <c r="E2239" t="s">
        <v>13265</v>
      </c>
      <c r="F2239" t="s">
        <v>4472</v>
      </c>
      <c r="G2239" t="s">
        <v>668</v>
      </c>
      <c r="H2239" t="s">
        <v>449</v>
      </c>
      <c r="J2239" t="s">
        <v>4032</v>
      </c>
      <c r="K2239" t="s">
        <v>606</v>
      </c>
      <c r="M2239" t="s">
        <v>607</v>
      </c>
      <c r="N2239" t="s">
        <v>657</v>
      </c>
      <c r="O2239" t="s">
        <v>669</v>
      </c>
      <c r="P2239" t="s">
        <v>670</v>
      </c>
      <c r="Q2239" t="s">
        <v>509</v>
      </c>
      <c r="R2239" t="s">
        <v>611</v>
      </c>
      <c r="S2239" t="s">
        <v>671</v>
      </c>
      <c r="T2239" t="s">
        <v>613</v>
      </c>
      <c r="U2239">
        <v>107100</v>
      </c>
      <c r="V2239" t="s">
        <v>4469</v>
      </c>
      <c r="W2239" t="s">
        <v>673</v>
      </c>
      <c r="X2239" t="s">
        <v>13237</v>
      </c>
      <c r="Y2239" t="s">
        <v>13238</v>
      </c>
      <c r="Z2239" t="s">
        <v>822</v>
      </c>
      <c r="AA2239" t="s">
        <v>13239</v>
      </c>
      <c r="AC2239">
        <v>99181</v>
      </c>
      <c r="AD2239" t="s">
        <v>680</v>
      </c>
      <c r="AE2239">
        <v>-35.716641940000002</v>
      </c>
      <c r="AF2239">
        <v>174.32063231000001</v>
      </c>
      <c r="AG2239" s="175">
        <v>26</v>
      </c>
      <c r="AH2239" s="175">
        <v>0</v>
      </c>
      <c r="AI2239" s="175">
        <v>0</v>
      </c>
      <c r="AJ2239" s="175">
        <v>0</v>
      </c>
      <c r="AK2239" s="175">
        <v>1</v>
      </c>
      <c r="AL2239" s="175">
        <v>5</v>
      </c>
      <c r="AM2239" s="175">
        <v>12</v>
      </c>
      <c r="AN2239" s="175">
        <v>0</v>
      </c>
      <c r="AO2239" s="175">
        <v>18</v>
      </c>
      <c r="AP2239" s="175">
        <v>14</v>
      </c>
      <c r="AQ2239" s="175">
        <v>8</v>
      </c>
      <c r="AR2239" s="175">
        <v>0</v>
      </c>
      <c r="AS2239" s="175">
        <v>2</v>
      </c>
      <c r="AT2239" s="175">
        <v>1</v>
      </c>
    </row>
    <row r="2240" spans="1:46">
      <c r="A2240">
        <v>46127</v>
      </c>
      <c r="B2240" t="s">
        <v>13266</v>
      </c>
      <c r="C2240" t="s">
        <v>13267</v>
      </c>
      <c r="D2240" t="s">
        <v>13268</v>
      </c>
      <c r="E2240" t="s">
        <v>13269</v>
      </c>
      <c r="F2240" t="s">
        <v>13270</v>
      </c>
      <c r="G2240" t="s">
        <v>3015</v>
      </c>
      <c r="H2240" t="s">
        <v>449</v>
      </c>
      <c r="I2240" t="s">
        <v>13271</v>
      </c>
      <c r="J2240" t="s">
        <v>4032</v>
      </c>
      <c r="K2240" t="s">
        <v>606</v>
      </c>
      <c r="M2240" t="s">
        <v>2366</v>
      </c>
      <c r="N2240" t="s">
        <v>657</v>
      </c>
      <c r="O2240" t="s">
        <v>3016</v>
      </c>
      <c r="P2240" t="s">
        <v>739</v>
      </c>
      <c r="Q2240" t="s">
        <v>521</v>
      </c>
      <c r="R2240" t="s">
        <v>3017</v>
      </c>
      <c r="S2240" t="s">
        <v>3092</v>
      </c>
      <c r="T2240" t="s">
        <v>2526</v>
      </c>
      <c r="U2240">
        <v>322000</v>
      </c>
      <c r="V2240" t="s">
        <v>13270</v>
      </c>
      <c r="W2240" t="s">
        <v>3149</v>
      </c>
      <c r="X2240" t="s">
        <v>13272</v>
      </c>
      <c r="Y2240" t="s">
        <v>13269</v>
      </c>
      <c r="Z2240" t="s">
        <v>13273</v>
      </c>
      <c r="AA2240" t="s">
        <v>11482</v>
      </c>
      <c r="AB2240" t="s">
        <v>13274</v>
      </c>
      <c r="AE2240">
        <v>-43.537244090000002</v>
      </c>
      <c r="AF2240">
        <v>172.56781265000001</v>
      </c>
      <c r="AG2240" s="175">
        <v>38</v>
      </c>
      <c r="AH2240" s="175">
        <v>0</v>
      </c>
      <c r="AI2240" s="175">
        <v>0</v>
      </c>
      <c r="AJ2240" s="175">
        <v>0</v>
      </c>
      <c r="AK2240" s="175">
        <v>4</v>
      </c>
      <c r="AL2240" s="175">
        <v>8</v>
      </c>
      <c r="AM2240" s="175">
        <v>9</v>
      </c>
      <c r="AN2240" s="175">
        <v>1</v>
      </c>
      <c r="AO2240" s="175">
        <v>22</v>
      </c>
      <c r="AP2240" s="175">
        <v>0</v>
      </c>
      <c r="AQ2240" s="175">
        <v>0</v>
      </c>
      <c r="AR2240" s="175">
        <v>0</v>
      </c>
      <c r="AS2240" s="175">
        <v>18</v>
      </c>
      <c r="AT2240" s="175">
        <v>4</v>
      </c>
    </row>
    <row r="2241" spans="1:46">
      <c r="A2241">
        <v>46128</v>
      </c>
      <c r="B2241" t="s">
        <v>13275</v>
      </c>
      <c r="C2241" t="s">
        <v>13276</v>
      </c>
      <c r="D2241" t="s">
        <v>13277</v>
      </c>
      <c r="E2241" t="s">
        <v>13278</v>
      </c>
      <c r="G2241" t="s">
        <v>2442</v>
      </c>
      <c r="H2241" t="s">
        <v>449</v>
      </c>
      <c r="J2241" t="s">
        <v>4032</v>
      </c>
      <c r="K2241" t="s">
        <v>606</v>
      </c>
      <c r="M2241" t="s">
        <v>2366</v>
      </c>
      <c r="N2241" t="s">
        <v>657</v>
      </c>
      <c r="O2241" t="s">
        <v>2411</v>
      </c>
      <c r="P2241" t="s">
        <v>610</v>
      </c>
      <c r="Q2241" t="s">
        <v>516</v>
      </c>
      <c r="R2241" t="s">
        <v>2368</v>
      </c>
      <c r="S2241" t="s">
        <v>2348</v>
      </c>
      <c r="T2241" t="s">
        <v>2165</v>
      </c>
      <c r="U2241">
        <v>257700</v>
      </c>
      <c r="V2241" t="s">
        <v>2442</v>
      </c>
      <c r="W2241" t="s">
        <v>2443</v>
      </c>
      <c r="X2241" t="s">
        <v>13279</v>
      </c>
      <c r="Y2241" t="s">
        <v>13278</v>
      </c>
      <c r="AA2241" t="s">
        <v>13280</v>
      </c>
      <c r="AB2241" t="s">
        <v>13281</v>
      </c>
      <c r="AC2241">
        <v>99109</v>
      </c>
      <c r="AD2241" t="s">
        <v>2413</v>
      </c>
      <c r="AE2241">
        <v>-41.080767489999999</v>
      </c>
      <c r="AF2241">
        <v>175.45523288000001</v>
      </c>
      <c r="AG2241" s="175">
        <v>40</v>
      </c>
      <c r="AH2241" s="175">
        <v>0</v>
      </c>
      <c r="AI2241" s="175">
        <v>0</v>
      </c>
      <c r="AJ2241" s="175">
        <v>0</v>
      </c>
      <c r="AK2241" s="175">
        <v>1</v>
      </c>
      <c r="AL2241" s="175">
        <v>21</v>
      </c>
      <c r="AM2241" s="175">
        <v>23</v>
      </c>
      <c r="AN2241" s="175">
        <v>1</v>
      </c>
      <c r="AO2241" s="175">
        <v>46</v>
      </c>
      <c r="AP2241" s="175">
        <v>45</v>
      </c>
      <c r="AQ2241" s="175">
        <v>10</v>
      </c>
      <c r="AR2241" s="175">
        <v>1</v>
      </c>
      <c r="AS2241" s="175">
        <v>2</v>
      </c>
      <c r="AT2241" s="175">
        <v>2</v>
      </c>
    </row>
    <row r="2242" spans="1:46">
      <c r="A2242">
        <v>46130</v>
      </c>
      <c r="B2242" t="s">
        <v>13282</v>
      </c>
      <c r="C2242" t="s">
        <v>13283</v>
      </c>
      <c r="D2242" t="s">
        <v>13284</v>
      </c>
      <c r="E2242" t="s">
        <v>13285</v>
      </c>
      <c r="F2242" t="s">
        <v>612</v>
      </c>
      <c r="G2242" t="s">
        <v>2368</v>
      </c>
      <c r="H2242" t="s">
        <v>449</v>
      </c>
      <c r="J2242" t="s">
        <v>605</v>
      </c>
      <c r="K2242" t="s">
        <v>606</v>
      </c>
      <c r="M2242" t="s">
        <v>2366</v>
      </c>
      <c r="N2242" t="s">
        <v>657</v>
      </c>
      <c r="O2242" t="s">
        <v>2614</v>
      </c>
      <c r="P2242" t="s">
        <v>739</v>
      </c>
      <c r="Q2242" t="s">
        <v>516</v>
      </c>
      <c r="R2242" t="s">
        <v>2368</v>
      </c>
      <c r="S2242" t="s">
        <v>2623</v>
      </c>
      <c r="T2242" t="s">
        <v>2526</v>
      </c>
      <c r="U2242">
        <v>250100</v>
      </c>
      <c r="V2242" t="s">
        <v>13286</v>
      </c>
      <c r="W2242" t="s">
        <v>2639</v>
      </c>
      <c r="X2242" t="s">
        <v>13287</v>
      </c>
      <c r="Y2242" t="s">
        <v>13285</v>
      </c>
      <c r="Z2242" t="s">
        <v>612</v>
      </c>
      <c r="AA2242" t="s">
        <v>13288</v>
      </c>
      <c r="AE2242">
        <v>-41.267575000000001</v>
      </c>
      <c r="AF2242">
        <v>174.76595900999999</v>
      </c>
      <c r="AG2242" s="175">
        <v>30</v>
      </c>
      <c r="AH2242" s="175">
        <v>10</v>
      </c>
      <c r="AI2242" s="175">
        <v>0</v>
      </c>
      <c r="AJ2242" s="175">
        <v>2</v>
      </c>
      <c r="AK2242" s="175">
        <v>9</v>
      </c>
      <c r="AL2242" s="175">
        <v>6</v>
      </c>
      <c r="AM2242" s="175">
        <v>8</v>
      </c>
      <c r="AN2242" s="175">
        <v>0</v>
      </c>
      <c r="AO2242" s="175">
        <v>25</v>
      </c>
      <c r="AP2242" s="175">
        <v>24</v>
      </c>
      <c r="AQ2242" s="175">
        <v>4</v>
      </c>
      <c r="AR2242" s="175">
        <v>0</v>
      </c>
      <c r="AS2242" s="175">
        <v>3</v>
      </c>
      <c r="AT2242" s="175">
        <v>0</v>
      </c>
    </row>
    <row r="2243" spans="1:46">
      <c r="A2243">
        <v>46132</v>
      </c>
      <c r="B2243" t="s">
        <v>13289</v>
      </c>
      <c r="C2243" t="s">
        <v>13290</v>
      </c>
      <c r="E2243" t="s">
        <v>13291</v>
      </c>
      <c r="F2243" t="s">
        <v>1992</v>
      </c>
      <c r="G2243" t="s">
        <v>1923</v>
      </c>
      <c r="H2243" t="s">
        <v>449</v>
      </c>
      <c r="J2243" t="s">
        <v>4032</v>
      </c>
      <c r="K2243" t="s">
        <v>606</v>
      </c>
      <c r="M2243" t="s">
        <v>1382</v>
      </c>
      <c r="N2243" t="s">
        <v>643</v>
      </c>
      <c r="O2243" t="s">
        <v>1968</v>
      </c>
      <c r="P2243" t="s">
        <v>670</v>
      </c>
      <c r="Q2243" t="s">
        <v>553</v>
      </c>
      <c r="R2243" t="s">
        <v>1841</v>
      </c>
      <c r="S2243" t="s">
        <v>1923</v>
      </c>
      <c r="T2243" t="s">
        <v>1568</v>
      </c>
      <c r="U2243">
        <v>225800</v>
      </c>
      <c r="V2243" t="s">
        <v>13292</v>
      </c>
      <c r="W2243" t="s">
        <v>1734</v>
      </c>
      <c r="X2243" t="s">
        <v>13293</v>
      </c>
      <c r="Y2243" t="s">
        <v>13294</v>
      </c>
      <c r="AA2243" t="s">
        <v>13295</v>
      </c>
      <c r="AB2243" t="s">
        <v>13296</v>
      </c>
      <c r="AE2243">
        <v>-39.942886360000003</v>
      </c>
      <c r="AF2243">
        <v>175.03511838</v>
      </c>
      <c r="AG2243" s="175">
        <v>50</v>
      </c>
      <c r="AH2243" s="175">
        <v>18</v>
      </c>
      <c r="AI2243" s="175">
        <v>2</v>
      </c>
      <c r="AJ2243" s="175">
        <v>11</v>
      </c>
      <c r="AK2243" s="175">
        <v>17</v>
      </c>
      <c r="AL2243" s="175">
        <v>8</v>
      </c>
      <c r="AM2243" s="175">
        <v>20</v>
      </c>
      <c r="AN2243" s="175">
        <v>0</v>
      </c>
      <c r="AO2243" s="175">
        <v>58</v>
      </c>
      <c r="AP2243" s="175">
        <v>50</v>
      </c>
      <c r="AQ2243" s="175">
        <v>23</v>
      </c>
      <c r="AR2243" s="175">
        <v>5</v>
      </c>
      <c r="AS2243" s="175">
        <v>3</v>
      </c>
      <c r="AT2243" s="175">
        <v>0</v>
      </c>
    </row>
    <row r="2244" spans="1:46">
      <c r="A2244">
        <v>46134</v>
      </c>
      <c r="B2244" t="s">
        <v>13297</v>
      </c>
      <c r="C2244" t="s">
        <v>13298</v>
      </c>
      <c r="D2244" t="s">
        <v>13299</v>
      </c>
      <c r="E2244" t="s">
        <v>13300</v>
      </c>
      <c r="G2244" t="s">
        <v>13301</v>
      </c>
      <c r="H2244" t="s">
        <v>449</v>
      </c>
      <c r="J2244" t="s">
        <v>4032</v>
      </c>
      <c r="K2244" t="s">
        <v>606</v>
      </c>
      <c r="M2244" t="s">
        <v>1382</v>
      </c>
      <c r="N2244" t="s">
        <v>608</v>
      </c>
      <c r="O2244" t="s">
        <v>1825</v>
      </c>
      <c r="P2244" t="s">
        <v>610</v>
      </c>
      <c r="Q2244" t="s">
        <v>511</v>
      </c>
      <c r="R2244" t="s">
        <v>1555</v>
      </c>
      <c r="S2244" t="s">
        <v>1556</v>
      </c>
      <c r="T2244" t="s">
        <v>1557</v>
      </c>
      <c r="U2244">
        <v>192300</v>
      </c>
      <c r="V2244" t="s">
        <v>13302</v>
      </c>
      <c r="W2244" t="s">
        <v>1827</v>
      </c>
      <c r="X2244" t="s">
        <v>13303</v>
      </c>
      <c r="Y2244" t="s">
        <v>13304</v>
      </c>
      <c r="AA2244" t="s">
        <v>5144</v>
      </c>
      <c r="AC2244">
        <v>99086</v>
      </c>
      <c r="AD2244" t="s">
        <v>1828</v>
      </c>
      <c r="AE2244">
        <v>-37.762064530000004</v>
      </c>
      <c r="AF2244">
        <v>176.45607881000001</v>
      </c>
      <c r="AG2244" s="175">
        <v>22</v>
      </c>
      <c r="AH2244" s="175">
        <v>0</v>
      </c>
      <c r="AI2244" s="175">
        <v>0</v>
      </c>
      <c r="AJ2244" s="175">
        <v>0</v>
      </c>
      <c r="AK2244" s="175">
        <v>4</v>
      </c>
      <c r="AL2244" s="175">
        <v>11</v>
      </c>
      <c r="AM2244" s="175">
        <v>9</v>
      </c>
      <c r="AN2244" s="175">
        <v>1</v>
      </c>
      <c r="AO2244" s="175">
        <v>25</v>
      </c>
      <c r="AP2244" s="175">
        <v>6</v>
      </c>
      <c r="AQ2244" s="175">
        <v>23</v>
      </c>
      <c r="AR2244" s="175">
        <v>2</v>
      </c>
      <c r="AS2244" s="175">
        <v>0</v>
      </c>
      <c r="AT2244" s="175">
        <v>0</v>
      </c>
    </row>
    <row r="2245" spans="1:46">
      <c r="A2245">
        <v>46138</v>
      </c>
      <c r="B2245" t="s">
        <v>13305</v>
      </c>
      <c r="C2245" t="s">
        <v>13306</v>
      </c>
      <c r="D2245" t="s">
        <v>13307</v>
      </c>
      <c r="E2245" t="s">
        <v>13308</v>
      </c>
      <c r="F2245" t="s">
        <v>1170</v>
      </c>
      <c r="G2245" t="s">
        <v>737</v>
      </c>
      <c r="H2245" t="s">
        <v>449</v>
      </c>
      <c r="J2245" t="s">
        <v>4032</v>
      </c>
      <c r="K2245" t="s">
        <v>606</v>
      </c>
      <c r="M2245" t="s">
        <v>607</v>
      </c>
      <c r="N2245" t="s">
        <v>657</v>
      </c>
      <c r="O2245" t="s">
        <v>792</v>
      </c>
      <c r="P2245" t="s">
        <v>739</v>
      </c>
      <c r="Q2245" t="s">
        <v>467</v>
      </c>
      <c r="R2245" t="s">
        <v>793</v>
      </c>
      <c r="S2245" t="s">
        <v>791</v>
      </c>
      <c r="T2245" t="s">
        <v>794</v>
      </c>
      <c r="U2245">
        <v>149800</v>
      </c>
      <c r="V2245" t="s">
        <v>5322</v>
      </c>
      <c r="W2245" t="s">
        <v>796</v>
      </c>
      <c r="X2245" t="s">
        <v>7374</v>
      </c>
      <c r="Y2245" t="s">
        <v>7375</v>
      </c>
      <c r="Z2245" t="s">
        <v>848</v>
      </c>
      <c r="AA2245" t="s">
        <v>4432</v>
      </c>
      <c r="AB2245" t="s">
        <v>7376</v>
      </c>
      <c r="AE2245">
        <v>-36.91584769</v>
      </c>
      <c r="AF2245">
        <v>174.88246937</v>
      </c>
      <c r="AG2245" s="175">
        <v>40</v>
      </c>
      <c r="AH2245" s="175">
        <v>10</v>
      </c>
      <c r="AI2245" s="175">
        <v>2</v>
      </c>
      <c r="AJ2245" s="175">
        <v>6</v>
      </c>
      <c r="AK2245" s="175">
        <v>10</v>
      </c>
      <c r="AL2245" s="175">
        <v>5</v>
      </c>
      <c r="AM2245" s="175">
        <v>16</v>
      </c>
      <c r="AN2245" s="175">
        <v>1</v>
      </c>
      <c r="AO2245" s="175">
        <v>40</v>
      </c>
      <c r="AP2245" s="175">
        <v>25</v>
      </c>
      <c r="AQ2245" s="175">
        <v>15</v>
      </c>
      <c r="AR2245" s="175">
        <v>11</v>
      </c>
      <c r="AS2245" s="175">
        <v>10</v>
      </c>
      <c r="AT2245" s="175">
        <v>1</v>
      </c>
    </row>
    <row r="2246" spans="1:46">
      <c r="A2246">
        <v>46140</v>
      </c>
      <c r="B2246" t="s">
        <v>13309</v>
      </c>
      <c r="C2246" t="s">
        <v>12735</v>
      </c>
      <c r="D2246" t="s">
        <v>13310</v>
      </c>
      <c r="E2246" t="s">
        <v>13311</v>
      </c>
      <c r="F2246" t="s">
        <v>2691</v>
      </c>
      <c r="G2246" t="s">
        <v>2604</v>
      </c>
      <c r="H2246" t="s">
        <v>450</v>
      </c>
      <c r="I2246" t="s">
        <v>13312</v>
      </c>
      <c r="J2246" t="s">
        <v>605</v>
      </c>
      <c r="K2246" t="s">
        <v>606</v>
      </c>
      <c r="M2246" t="s">
        <v>2366</v>
      </c>
      <c r="N2246" t="s">
        <v>812</v>
      </c>
      <c r="O2246" t="s">
        <v>2605</v>
      </c>
      <c r="P2246" t="s">
        <v>670</v>
      </c>
      <c r="Q2246" t="s">
        <v>516</v>
      </c>
      <c r="R2246" t="s">
        <v>2368</v>
      </c>
      <c r="S2246" t="s">
        <v>2606</v>
      </c>
      <c r="T2246" t="s">
        <v>1568</v>
      </c>
      <c r="U2246">
        <v>239900</v>
      </c>
      <c r="V2246" t="s">
        <v>13100</v>
      </c>
      <c r="W2246" t="s">
        <v>2607</v>
      </c>
      <c r="X2246" t="s">
        <v>1970</v>
      </c>
      <c r="Y2246" t="s">
        <v>1971</v>
      </c>
      <c r="AA2246" t="s">
        <v>1972</v>
      </c>
      <c r="AB2246" t="s">
        <v>1973</v>
      </c>
      <c r="AE2246">
        <v>-41.138268660000001</v>
      </c>
      <c r="AF2246">
        <v>174.83403425</v>
      </c>
      <c r="AG2246" s="175">
        <v>80</v>
      </c>
      <c r="AH2246" s="175">
        <v>80</v>
      </c>
      <c r="AI2246" s="175">
        <v>3</v>
      </c>
      <c r="AJ2246" s="175">
        <v>10</v>
      </c>
      <c r="AK2246" s="175">
        <v>10</v>
      </c>
      <c r="AL2246" s="175">
        <v>13</v>
      </c>
      <c r="AM2246" s="175">
        <v>5</v>
      </c>
      <c r="AN2246" s="175">
        <v>0</v>
      </c>
      <c r="AO2246" s="175">
        <v>41</v>
      </c>
      <c r="AP2246" s="175">
        <v>3</v>
      </c>
      <c r="AQ2246" s="175">
        <v>14</v>
      </c>
      <c r="AR2246" s="175">
        <v>27</v>
      </c>
      <c r="AS2246" s="175">
        <v>9</v>
      </c>
      <c r="AT2246" s="175">
        <v>3</v>
      </c>
    </row>
    <row r="2247" spans="1:46">
      <c r="A2247">
        <v>46143</v>
      </c>
      <c r="B2247" t="s">
        <v>13313</v>
      </c>
      <c r="D2247" t="s">
        <v>13314</v>
      </c>
      <c r="E2247" t="s">
        <v>13315</v>
      </c>
      <c r="F2247" t="s">
        <v>1121</v>
      </c>
      <c r="G2247" t="s">
        <v>737</v>
      </c>
      <c r="H2247" t="s">
        <v>449</v>
      </c>
      <c r="J2247" t="s">
        <v>4032</v>
      </c>
      <c r="K2247" t="s">
        <v>606</v>
      </c>
      <c r="M2247" t="s">
        <v>607</v>
      </c>
      <c r="N2247" t="s">
        <v>608</v>
      </c>
      <c r="O2247" t="s">
        <v>1301</v>
      </c>
      <c r="P2247" t="s">
        <v>739</v>
      </c>
      <c r="Q2247" t="s">
        <v>467</v>
      </c>
      <c r="R2247" t="s">
        <v>814</v>
      </c>
      <c r="S2247" t="s">
        <v>1121</v>
      </c>
      <c r="T2247" t="s">
        <v>794</v>
      </c>
      <c r="U2247">
        <v>160601</v>
      </c>
      <c r="V2247" t="s">
        <v>7744</v>
      </c>
      <c r="W2247" t="s">
        <v>1304</v>
      </c>
      <c r="X2247" t="s">
        <v>4700</v>
      </c>
      <c r="Y2247" t="s">
        <v>12058</v>
      </c>
      <c r="Z2247" t="s">
        <v>855</v>
      </c>
      <c r="AA2247" t="s">
        <v>12059</v>
      </c>
      <c r="AB2247" t="s">
        <v>4703</v>
      </c>
      <c r="AE2247">
        <v>-37.037401099999997</v>
      </c>
      <c r="AF2247">
        <v>174.88924460000001</v>
      </c>
      <c r="AG2247" s="175">
        <v>40</v>
      </c>
      <c r="AH2247" s="175">
        <v>0</v>
      </c>
      <c r="AI2247" s="175">
        <v>0</v>
      </c>
      <c r="AJ2247" s="175">
        <v>0</v>
      </c>
      <c r="AK2247" s="175">
        <v>3</v>
      </c>
      <c r="AL2247" s="175">
        <v>14</v>
      </c>
      <c r="AM2247" s="175">
        <v>16</v>
      </c>
      <c r="AN2247" s="175">
        <v>2</v>
      </c>
      <c r="AO2247" s="175">
        <v>35</v>
      </c>
      <c r="AP2247" s="175">
        <v>5</v>
      </c>
      <c r="AQ2247" s="175">
        <v>16</v>
      </c>
      <c r="AR2247" s="175">
        <v>17</v>
      </c>
      <c r="AS2247" s="175">
        <v>5</v>
      </c>
      <c r="AT2247" s="175">
        <v>2</v>
      </c>
    </row>
    <row r="2248" spans="1:46">
      <c r="A2248">
        <v>46145</v>
      </c>
      <c r="B2248" t="s">
        <v>13316</v>
      </c>
      <c r="C2248" t="s">
        <v>13317</v>
      </c>
      <c r="E2248" t="s">
        <v>13318</v>
      </c>
      <c r="G2248" t="s">
        <v>13319</v>
      </c>
      <c r="H2248" t="s">
        <v>452</v>
      </c>
      <c r="J2248" t="s">
        <v>605</v>
      </c>
      <c r="K2248" t="s">
        <v>606</v>
      </c>
      <c r="M2248" t="s">
        <v>2366</v>
      </c>
      <c r="N2248" t="s">
        <v>657</v>
      </c>
      <c r="O2248" t="s">
        <v>2900</v>
      </c>
      <c r="P2248" t="s">
        <v>626</v>
      </c>
      <c r="Q2248" t="s">
        <v>519</v>
      </c>
      <c r="R2248" t="s">
        <v>2901</v>
      </c>
      <c r="S2248" t="s">
        <v>2902</v>
      </c>
      <c r="T2248" t="s">
        <v>2526</v>
      </c>
      <c r="U2248">
        <v>307000</v>
      </c>
      <c r="V2248" t="s">
        <v>13320</v>
      </c>
      <c r="W2248" t="s">
        <v>3939</v>
      </c>
      <c r="X2248" t="s">
        <v>2904</v>
      </c>
      <c r="Y2248" t="s">
        <v>2905</v>
      </c>
      <c r="AA2248" t="s">
        <v>2906</v>
      </c>
      <c r="AB2248" t="s">
        <v>2907</v>
      </c>
      <c r="AE2248">
        <v>-41.675101750000003</v>
      </c>
      <c r="AF2248">
        <v>174.07274745999999</v>
      </c>
      <c r="AG2248" s="175">
        <v>40</v>
      </c>
      <c r="AH2248" s="175">
        <v>0</v>
      </c>
      <c r="AI2248" s="175">
        <v>0</v>
      </c>
      <c r="AJ2248" s="175">
        <v>0</v>
      </c>
      <c r="AK2248" s="175">
        <v>5</v>
      </c>
      <c r="AL2248" s="175">
        <v>20</v>
      </c>
      <c r="AM2248" s="175">
        <v>14</v>
      </c>
      <c r="AN2248" s="175">
        <v>0</v>
      </c>
      <c r="AO2248" s="175">
        <v>39</v>
      </c>
      <c r="AP2248" s="175">
        <v>33</v>
      </c>
      <c r="AQ2248" s="175">
        <v>12</v>
      </c>
      <c r="AR2248" s="175">
        <v>1</v>
      </c>
      <c r="AS2248" s="175">
        <v>2</v>
      </c>
      <c r="AT2248" s="175">
        <v>1</v>
      </c>
    </row>
    <row r="2249" spans="1:46">
      <c r="A2249">
        <v>46148</v>
      </c>
      <c r="B2249" t="s">
        <v>13321</v>
      </c>
      <c r="C2249" t="s">
        <v>13322</v>
      </c>
      <c r="D2249" t="s">
        <v>1378</v>
      </c>
      <c r="E2249" t="s">
        <v>13323</v>
      </c>
      <c r="F2249" t="s">
        <v>8655</v>
      </c>
      <c r="G2249" t="s">
        <v>1381</v>
      </c>
      <c r="H2249" t="s">
        <v>449</v>
      </c>
      <c r="J2249" t="s">
        <v>605</v>
      </c>
      <c r="K2249" t="s">
        <v>606</v>
      </c>
      <c r="M2249" t="s">
        <v>1382</v>
      </c>
      <c r="N2249" t="s">
        <v>4586</v>
      </c>
      <c r="O2249" t="s">
        <v>1383</v>
      </c>
      <c r="P2249" t="s">
        <v>739</v>
      </c>
      <c r="Q2249" t="s">
        <v>510</v>
      </c>
      <c r="R2249" t="s">
        <v>1384</v>
      </c>
      <c r="S2249" t="s">
        <v>1385</v>
      </c>
      <c r="T2249" t="s">
        <v>1320</v>
      </c>
      <c r="U2249">
        <v>175302</v>
      </c>
      <c r="V2249" t="s">
        <v>13324</v>
      </c>
      <c r="W2249" t="s">
        <v>1398</v>
      </c>
      <c r="X2249" t="s">
        <v>1388</v>
      </c>
      <c r="Y2249" t="s">
        <v>1389</v>
      </c>
      <c r="Z2249" t="s">
        <v>1396</v>
      </c>
      <c r="AA2249" t="s">
        <v>1390</v>
      </c>
      <c r="AB2249" t="s">
        <v>1391</v>
      </c>
      <c r="AE2249">
        <v>-37.723461810000003</v>
      </c>
      <c r="AF2249">
        <v>175.25270725999999</v>
      </c>
      <c r="AG2249" s="175">
        <v>120</v>
      </c>
      <c r="AH2249" s="175">
        <v>50</v>
      </c>
      <c r="AI2249" s="175">
        <v>3</v>
      </c>
      <c r="AJ2249" s="175">
        <v>24</v>
      </c>
      <c r="AK2249" s="175">
        <v>37</v>
      </c>
      <c r="AL2249" s="175">
        <v>37</v>
      </c>
      <c r="AM2249" s="175">
        <v>33</v>
      </c>
      <c r="AN2249" s="175">
        <v>0</v>
      </c>
      <c r="AO2249" s="175">
        <v>134</v>
      </c>
      <c r="AP2249" s="175">
        <v>78</v>
      </c>
      <c r="AQ2249" s="175">
        <v>16</v>
      </c>
      <c r="AR2249" s="175">
        <v>2</v>
      </c>
      <c r="AS2249" s="175">
        <v>51</v>
      </c>
      <c r="AT2249" s="175">
        <v>1</v>
      </c>
    </row>
    <row r="2250" spans="1:46">
      <c r="A2250">
        <v>46150</v>
      </c>
      <c r="B2250" t="s">
        <v>13325</v>
      </c>
      <c r="C2250" t="s">
        <v>13326</v>
      </c>
      <c r="D2250" t="s">
        <v>13327</v>
      </c>
      <c r="E2250" t="s">
        <v>13328</v>
      </c>
      <c r="F2250" t="s">
        <v>2130</v>
      </c>
      <c r="G2250" t="s">
        <v>3454</v>
      </c>
      <c r="H2250" t="s">
        <v>449</v>
      </c>
      <c r="J2250" t="s">
        <v>4032</v>
      </c>
      <c r="K2250" t="s">
        <v>606</v>
      </c>
      <c r="M2250" t="s">
        <v>2366</v>
      </c>
      <c r="N2250" t="s">
        <v>657</v>
      </c>
      <c r="O2250" t="s">
        <v>3455</v>
      </c>
      <c r="P2250" t="s">
        <v>739</v>
      </c>
      <c r="Q2250" t="s">
        <v>522</v>
      </c>
      <c r="R2250" t="s">
        <v>3410</v>
      </c>
      <c r="S2250" t="s">
        <v>3454</v>
      </c>
      <c r="T2250" t="s">
        <v>2526</v>
      </c>
      <c r="U2250">
        <v>351000</v>
      </c>
      <c r="V2250" t="s">
        <v>3505</v>
      </c>
      <c r="W2250" t="s">
        <v>1734</v>
      </c>
      <c r="X2250" t="s">
        <v>13329</v>
      </c>
      <c r="Y2250" t="s">
        <v>4725</v>
      </c>
      <c r="Z2250" t="s">
        <v>1043</v>
      </c>
      <c r="AA2250" t="s">
        <v>4726</v>
      </c>
      <c r="AB2250" t="s">
        <v>13330</v>
      </c>
      <c r="AE2250">
        <v>-45.865536210000002</v>
      </c>
      <c r="AF2250">
        <v>170.48630183</v>
      </c>
      <c r="AG2250" s="175">
        <v>100</v>
      </c>
      <c r="AH2250" s="175">
        <v>35</v>
      </c>
      <c r="AI2250" s="175">
        <v>7</v>
      </c>
      <c r="AJ2250" s="175">
        <v>20</v>
      </c>
      <c r="AK2250" s="175">
        <v>24</v>
      </c>
      <c r="AL2250" s="175">
        <v>25</v>
      </c>
      <c r="AM2250" s="175">
        <v>22</v>
      </c>
      <c r="AN2250" s="175">
        <v>1</v>
      </c>
      <c r="AO2250" s="175">
        <v>99</v>
      </c>
      <c r="AP2250" s="175">
        <v>79</v>
      </c>
      <c r="AQ2250" s="175">
        <v>25</v>
      </c>
      <c r="AR2250" s="175">
        <v>3</v>
      </c>
      <c r="AS2250" s="175">
        <v>14</v>
      </c>
      <c r="AT2250" s="175">
        <v>1</v>
      </c>
    </row>
    <row r="2251" spans="1:46">
      <c r="A2251">
        <v>46155</v>
      </c>
      <c r="B2251" t="s">
        <v>13331</v>
      </c>
      <c r="C2251" t="s">
        <v>13332</v>
      </c>
      <c r="D2251" t="s">
        <v>13333</v>
      </c>
      <c r="E2251" t="s">
        <v>13334</v>
      </c>
      <c r="F2251" t="s">
        <v>2177</v>
      </c>
      <c r="G2251" t="s">
        <v>2162</v>
      </c>
      <c r="H2251" t="s">
        <v>449</v>
      </c>
      <c r="J2251" t="s">
        <v>4032</v>
      </c>
      <c r="K2251" t="s">
        <v>606</v>
      </c>
      <c r="M2251" t="s">
        <v>1382</v>
      </c>
      <c r="N2251" t="s">
        <v>657</v>
      </c>
      <c r="O2251" t="s">
        <v>2163</v>
      </c>
      <c r="P2251" t="s">
        <v>670</v>
      </c>
      <c r="Q2251" t="s">
        <v>512</v>
      </c>
      <c r="R2251" t="s">
        <v>2164</v>
      </c>
      <c r="S2251" t="s">
        <v>1556</v>
      </c>
      <c r="T2251" t="s">
        <v>2165</v>
      </c>
      <c r="U2251">
        <v>206200</v>
      </c>
      <c r="V2251" t="s">
        <v>2178</v>
      </c>
      <c r="W2251" t="s">
        <v>2167</v>
      </c>
      <c r="X2251" t="s">
        <v>13335</v>
      </c>
      <c r="Y2251" t="s">
        <v>11661</v>
      </c>
      <c r="Z2251" t="s">
        <v>8574</v>
      </c>
      <c r="AA2251" t="s">
        <v>8726</v>
      </c>
      <c r="AB2251" t="s">
        <v>13336</v>
      </c>
      <c r="AC2251">
        <v>99083</v>
      </c>
      <c r="AD2251" t="s">
        <v>2179</v>
      </c>
      <c r="AE2251">
        <v>-38.636921800000003</v>
      </c>
      <c r="AF2251">
        <v>178.02229389999999</v>
      </c>
      <c r="AG2251" s="175">
        <v>110</v>
      </c>
      <c r="AH2251" s="175">
        <v>30</v>
      </c>
      <c r="AI2251" s="175">
        <v>4</v>
      </c>
      <c r="AJ2251" s="175">
        <v>16</v>
      </c>
      <c r="AK2251" s="175">
        <v>22</v>
      </c>
      <c r="AL2251" s="175">
        <v>21</v>
      </c>
      <c r="AM2251" s="175">
        <v>20</v>
      </c>
      <c r="AN2251" s="175">
        <v>0</v>
      </c>
      <c r="AO2251" s="175">
        <v>83</v>
      </c>
      <c r="AP2251" s="175">
        <v>60</v>
      </c>
      <c r="AQ2251" s="175">
        <v>23</v>
      </c>
      <c r="AR2251" s="175">
        <v>1</v>
      </c>
      <c r="AS2251" s="175">
        <v>11</v>
      </c>
      <c r="AT2251" s="175">
        <v>9</v>
      </c>
    </row>
    <row r="2252" spans="1:46">
      <c r="A2252">
        <v>46163</v>
      </c>
      <c r="B2252" t="s">
        <v>13337</v>
      </c>
      <c r="C2252" t="s">
        <v>13338</v>
      </c>
      <c r="D2252" t="s">
        <v>12960</v>
      </c>
      <c r="E2252" t="s">
        <v>13339</v>
      </c>
      <c r="F2252" t="s">
        <v>13340</v>
      </c>
      <c r="G2252" t="s">
        <v>2368</v>
      </c>
      <c r="H2252" t="s">
        <v>449</v>
      </c>
      <c r="J2252" t="s">
        <v>4032</v>
      </c>
      <c r="K2252" t="s">
        <v>606</v>
      </c>
      <c r="M2252" t="s">
        <v>2366</v>
      </c>
      <c r="N2252" t="s">
        <v>657</v>
      </c>
      <c r="O2252" t="s">
        <v>2614</v>
      </c>
      <c r="P2252" t="s">
        <v>739</v>
      </c>
      <c r="Q2252" t="s">
        <v>516</v>
      </c>
      <c r="R2252" t="s">
        <v>2368</v>
      </c>
      <c r="S2252" t="s">
        <v>2623</v>
      </c>
      <c r="T2252" t="s">
        <v>2526</v>
      </c>
      <c r="U2252">
        <v>248500</v>
      </c>
      <c r="V2252" t="s">
        <v>13340</v>
      </c>
      <c r="W2252" t="s">
        <v>2625</v>
      </c>
      <c r="X2252" t="s">
        <v>12962</v>
      </c>
      <c r="Y2252" t="s">
        <v>4725</v>
      </c>
      <c r="Z2252" t="s">
        <v>1043</v>
      </c>
      <c r="AA2252" t="s">
        <v>4726</v>
      </c>
      <c r="AE2252">
        <v>-41.200496579999999</v>
      </c>
      <c r="AF2252">
        <v>174.82688845000001</v>
      </c>
      <c r="AG2252" s="175">
        <v>85</v>
      </c>
      <c r="AH2252" s="175">
        <v>25</v>
      </c>
      <c r="AI2252" s="175">
        <v>4</v>
      </c>
      <c r="AJ2252" s="175">
        <v>14</v>
      </c>
      <c r="AK2252" s="175">
        <v>24</v>
      </c>
      <c r="AL2252" s="175">
        <v>19</v>
      </c>
      <c r="AM2252" s="175">
        <v>15</v>
      </c>
      <c r="AN2252" s="175">
        <v>0</v>
      </c>
      <c r="AO2252" s="175">
        <v>76</v>
      </c>
      <c r="AP2252" s="175">
        <v>42</v>
      </c>
      <c r="AQ2252" s="175">
        <v>7</v>
      </c>
      <c r="AR2252" s="175">
        <v>4</v>
      </c>
      <c r="AS2252" s="175">
        <v>31</v>
      </c>
      <c r="AT2252" s="175">
        <v>5</v>
      </c>
    </row>
    <row r="2253" spans="1:46">
      <c r="A2253">
        <v>46164</v>
      </c>
      <c r="B2253" t="s">
        <v>13341</v>
      </c>
      <c r="C2253" t="s">
        <v>13342</v>
      </c>
      <c r="E2253" t="s">
        <v>13343</v>
      </c>
      <c r="G2253" t="s">
        <v>2112</v>
      </c>
      <c r="H2253" t="s">
        <v>449</v>
      </c>
      <c r="J2253" t="s">
        <v>4032</v>
      </c>
      <c r="K2253" t="s">
        <v>606</v>
      </c>
      <c r="M2253" t="s">
        <v>1382</v>
      </c>
      <c r="N2253" t="s">
        <v>643</v>
      </c>
      <c r="O2253" t="s">
        <v>2048</v>
      </c>
      <c r="P2253" t="s">
        <v>610</v>
      </c>
      <c r="Q2253" t="s">
        <v>553</v>
      </c>
      <c r="R2253" t="s">
        <v>1841</v>
      </c>
      <c r="S2253" t="s">
        <v>1719</v>
      </c>
      <c r="T2253" t="s">
        <v>1568</v>
      </c>
      <c r="U2253">
        <v>226701</v>
      </c>
      <c r="V2253" t="s">
        <v>3670</v>
      </c>
      <c r="W2253" t="s">
        <v>2114</v>
      </c>
      <c r="X2253" t="s">
        <v>13344</v>
      </c>
      <c r="Y2253" t="s">
        <v>4807</v>
      </c>
      <c r="Z2253" t="s">
        <v>2473</v>
      </c>
      <c r="AA2253" t="s">
        <v>4808</v>
      </c>
      <c r="AE2253">
        <v>-40.06816053</v>
      </c>
      <c r="AF2253">
        <v>175.38027413</v>
      </c>
      <c r="AG2253" s="175">
        <v>23</v>
      </c>
      <c r="AH2253" s="175">
        <v>8</v>
      </c>
      <c r="AI2253" s="175">
        <v>2</v>
      </c>
      <c r="AJ2253" s="175">
        <v>6</v>
      </c>
      <c r="AK2253" s="175">
        <v>2</v>
      </c>
      <c r="AL2253" s="175">
        <v>7</v>
      </c>
      <c r="AM2253" s="175">
        <v>5</v>
      </c>
      <c r="AN2253" s="175">
        <v>0</v>
      </c>
      <c r="AO2253" s="175">
        <v>22</v>
      </c>
      <c r="AP2253" s="175">
        <v>15</v>
      </c>
      <c r="AQ2253" s="175">
        <v>13</v>
      </c>
      <c r="AR2253" s="175">
        <v>1</v>
      </c>
      <c r="AS2253" s="175">
        <v>2</v>
      </c>
      <c r="AT2253" s="175">
        <v>0</v>
      </c>
    </row>
    <row r="2254" spans="1:46">
      <c r="A2254">
        <v>46165</v>
      </c>
      <c r="B2254" t="s">
        <v>13345</v>
      </c>
      <c r="C2254" t="s">
        <v>13346</v>
      </c>
      <c r="D2254" t="s">
        <v>13347</v>
      </c>
      <c r="E2254" t="s">
        <v>13348</v>
      </c>
      <c r="F2254" t="s">
        <v>2209</v>
      </c>
      <c r="G2254" t="s">
        <v>2198</v>
      </c>
      <c r="H2254" t="s">
        <v>449</v>
      </c>
      <c r="J2254" t="s">
        <v>4032</v>
      </c>
      <c r="K2254" t="s">
        <v>606</v>
      </c>
      <c r="M2254" t="s">
        <v>1382</v>
      </c>
      <c r="N2254" t="s">
        <v>812</v>
      </c>
      <c r="O2254" t="s">
        <v>2210</v>
      </c>
      <c r="P2254" t="s">
        <v>670</v>
      </c>
      <c r="Q2254" t="s">
        <v>513</v>
      </c>
      <c r="R2254" t="s">
        <v>2164</v>
      </c>
      <c r="S2254" t="s">
        <v>2198</v>
      </c>
      <c r="T2254" t="s">
        <v>2165</v>
      </c>
      <c r="U2254">
        <v>215300</v>
      </c>
      <c r="V2254" t="s">
        <v>2209</v>
      </c>
      <c r="W2254" t="s">
        <v>2211</v>
      </c>
      <c r="X2254" t="s">
        <v>13349</v>
      </c>
      <c r="Y2254" t="s">
        <v>4725</v>
      </c>
      <c r="Z2254" t="s">
        <v>1043</v>
      </c>
      <c r="AA2254" t="s">
        <v>4726</v>
      </c>
      <c r="AB2254" t="s">
        <v>13350</v>
      </c>
      <c r="AC2254">
        <v>99002</v>
      </c>
      <c r="AD2254" t="s">
        <v>2212</v>
      </c>
      <c r="AE2254">
        <v>-39.519122799999998</v>
      </c>
      <c r="AF2254">
        <v>176.90119949999999</v>
      </c>
      <c r="AG2254" s="175">
        <v>60</v>
      </c>
      <c r="AH2254" s="175">
        <v>0</v>
      </c>
      <c r="AI2254" s="175">
        <v>0</v>
      </c>
      <c r="AJ2254" s="175">
        <v>0</v>
      </c>
      <c r="AK2254" s="175">
        <v>11</v>
      </c>
      <c r="AL2254" s="175">
        <v>11</v>
      </c>
      <c r="AM2254" s="175">
        <v>17</v>
      </c>
      <c r="AN2254" s="175">
        <v>4</v>
      </c>
      <c r="AO2254" s="175">
        <v>43</v>
      </c>
      <c r="AP2254" s="175">
        <v>10</v>
      </c>
      <c r="AQ2254" s="175">
        <v>33</v>
      </c>
      <c r="AR2254" s="175">
        <v>10</v>
      </c>
      <c r="AS2254" s="175">
        <v>1</v>
      </c>
      <c r="AT2254" s="175">
        <v>0</v>
      </c>
    </row>
    <row r="2255" spans="1:46">
      <c r="A2255">
        <v>46171</v>
      </c>
      <c r="B2255" t="s">
        <v>13351</v>
      </c>
      <c r="C2255" t="s">
        <v>13352</v>
      </c>
      <c r="E2255" t="s">
        <v>13353</v>
      </c>
      <c r="F2255" t="s">
        <v>1121</v>
      </c>
      <c r="G2255" t="s">
        <v>737</v>
      </c>
      <c r="H2255" t="s">
        <v>449</v>
      </c>
      <c r="I2255" t="s">
        <v>4642</v>
      </c>
      <c r="J2255" t="s">
        <v>605</v>
      </c>
      <c r="K2255" t="s">
        <v>606</v>
      </c>
      <c r="M2255" t="s">
        <v>607</v>
      </c>
      <c r="N2255" t="s">
        <v>608</v>
      </c>
      <c r="O2255" t="s">
        <v>1301</v>
      </c>
      <c r="P2255" t="s">
        <v>739</v>
      </c>
      <c r="Q2255" t="s">
        <v>467</v>
      </c>
      <c r="R2255" t="s">
        <v>814</v>
      </c>
      <c r="S2255" t="s">
        <v>1121</v>
      </c>
      <c r="T2255" t="s">
        <v>794</v>
      </c>
      <c r="U2255">
        <v>159201</v>
      </c>
      <c r="V2255" t="s">
        <v>12555</v>
      </c>
      <c r="W2255" t="s">
        <v>1304</v>
      </c>
      <c r="X2255" t="s">
        <v>13354</v>
      </c>
      <c r="Y2255" t="s">
        <v>13355</v>
      </c>
      <c r="Z2255" t="s">
        <v>4272</v>
      </c>
      <c r="AA2255" t="s">
        <v>4652</v>
      </c>
      <c r="AB2255" t="s">
        <v>13356</v>
      </c>
      <c r="AE2255">
        <v>-37.021315319999999</v>
      </c>
      <c r="AF2255">
        <v>174.87322413999999</v>
      </c>
      <c r="AG2255" s="175">
        <v>50</v>
      </c>
      <c r="AH2255" s="175">
        <v>10</v>
      </c>
      <c r="AI2255" s="175">
        <v>1</v>
      </c>
      <c r="AJ2255" s="175">
        <v>10</v>
      </c>
      <c r="AK2255" s="175">
        <v>14</v>
      </c>
      <c r="AL2255" s="175">
        <v>15</v>
      </c>
      <c r="AM2255" s="175">
        <v>10</v>
      </c>
      <c r="AN2255" s="175">
        <v>0</v>
      </c>
      <c r="AO2255" s="175">
        <v>50</v>
      </c>
      <c r="AP2255" s="175">
        <v>3</v>
      </c>
      <c r="AQ2255" s="175">
        <v>8</v>
      </c>
      <c r="AR2255" s="175">
        <v>49</v>
      </c>
      <c r="AS2255" s="175">
        <v>1</v>
      </c>
      <c r="AT2255" s="175">
        <v>0</v>
      </c>
    </row>
    <row r="2256" spans="1:46">
      <c r="A2256">
        <v>46180</v>
      </c>
      <c r="B2256" t="s">
        <v>13357</v>
      </c>
      <c r="C2256" t="s">
        <v>13358</v>
      </c>
      <c r="E2256" t="s">
        <v>13359</v>
      </c>
      <c r="F2256" t="s">
        <v>3351</v>
      </c>
      <c r="G2256" t="s">
        <v>3334</v>
      </c>
      <c r="H2256" t="s">
        <v>449</v>
      </c>
      <c r="J2256" t="s">
        <v>4032</v>
      </c>
      <c r="K2256" t="s">
        <v>606</v>
      </c>
      <c r="M2256" t="s">
        <v>2366</v>
      </c>
      <c r="N2256" t="s">
        <v>657</v>
      </c>
      <c r="O2256" t="s">
        <v>3322</v>
      </c>
      <c r="P2256" t="s">
        <v>1347</v>
      </c>
      <c r="Q2256" t="s">
        <v>521</v>
      </c>
      <c r="R2256" t="s">
        <v>3017</v>
      </c>
      <c r="S2256" t="s">
        <v>3292</v>
      </c>
      <c r="T2256" t="s">
        <v>2526</v>
      </c>
      <c r="U2256">
        <v>341000</v>
      </c>
      <c r="V2256" t="s">
        <v>3351</v>
      </c>
      <c r="W2256" t="s">
        <v>3336</v>
      </c>
      <c r="X2256" t="s">
        <v>13360</v>
      </c>
      <c r="Y2256" t="s">
        <v>13361</v>
      </c>
      <c r="AA2256" t="s">
        <v>13362</v>
      </c>
      <c r="AB2256" t="s">
        <v>13363</v>
      </c>
      <c r="AC2256">
        <v>99178</v>
      </c>
      <c r="AD2256" t="s">
        <v>3346</v>
      </c>
      <c r="AE2256">
        <v>-44.403211409999997</v>
      </c>
      <c r="AF2256">
        <v>171.22859224000001</v>
      </c>
      <c r="AG2256" s="175">
        <v>35</v>
      </c>
      <c r="AH2256" s="175">
        <v>0</v>
      </c>
      <c r="AI2256" s="175">
        <v>0</v>
      </c>
      <c r="AJ2256" s="175">
        <v>0</v>
      </c>
      <c r="AK2256" s="175">
        <v>8</v>
      </c>
      <c r="AL2256" s="175">
        <v>11</v>
      </c>
      <c r="AM2256" s="175">
        <v>15</v>
      </c>
      <c r="AN2256" s="175">
        <v>2</v>
      </c>
      <c r="AO2256" s="175">
        <v>36</v>
      </c>
      <c r="AP2256" s="175">
        <v>25</v>
      </c>
      <c r="AQ2256" s="175">
        <v>3</v>
      </c>
      <c r="AR2256" s="175">
        <v>7</v>
      </c>
      <c r="AS2256" s="175">
        <v>6</v>
      </c>
      <c r="AT2256" s="175">
        <v>3</v>
      </c>
    </row>
    <row r="2257" spans="1:46">
      <c r="A2257">
        <v>46185</v>
      </c>
      <c r="B2257" t="s">
        <v>13364</v>
      </c>
      <c r="C2257" t="s">
        <v>13365</v>
      </c>
      <c r="D2257" t="s">
        <v>13366</v>
      </c>
      <c r="E2257" t="s">
        <v>13367</v>
      </c>
      <c r="F2257" t="s">
        <v>667</v>
      </c>
      <c r="G2257" t="s">
        <v>668</v>
      </c>
      <c r="H2257" t="s">
        <v>449</v>
      </c>
      <c r="J2257" t="s">
        <v>4032</v>
      </c>
      <c r="K2257" t="s">
        <v>606</v>
      </c>
      <c r="M2257" t="s">
        <v>607</v>
      </c>
      <c r="N2257" t="s">
        <v>643</v>
      </c>
      <c r="O2257" t="s">
        <v>669</v>
      </c>
      <c r="P2257" t="s">
        <v>670</v>
      </c>
      <c r="Q2257" t="s">
        <v>509</v>
      </c>
      <c r="R2257" t="s">
        <v>611</v>
      </c>
      <c r="S2257" t="s">
        <v>671</v>
      </c>
      <c r="T2257" t="s">
        <v>613</v>
      </c>
      <c r="U2257">
        <v>106501</v>
      </c>
      <c r="V2257" t="s">
        <v>4636</v>
      </c>
      <c r="W2257" t="s">
        <v>673</v>
      </c>
      <c r="X2257" t="s">
        <v>13368</v>
      </c>
      <c r="Y2257" t="s">
        <v>13367</v>
      </c>
      <c r="Z2257" t="s">
        <v>13369</v>
      </c>
      <c r="AA2257" t="s">
        <v>4596</v>
      </c>
      <c r="AB2257" t="s">
        <v>13365</v>
      </c>
      <c r="AE2257">
        <v>-35.69184096</v>
      </c>
      <c r="AF2257">
        <v>174.32686992000001</v>
      </c>
      <c r="AG2257" s="175">
        <v>30</v>
      </c>
      <c r="AH2257" s="175">
        <v>0</v>
      </c>
      <c r="AI2257" s="175">
        <v>0</v>
      </c>
      <c r="AJ2257" s="175">
        <v>0</v>
      </c>
      <c r="AK2257" s="175">
        <v>6</v>
      </c>
      <c r="AL2257" s="175">
        <v>17</v>
      </c>
      <c r="AM2257" s="175">
        <v>8</v>
      </c>
      <c r="AN2257" s="175">
        <v>0</v>
      </c>
      <c r="AO2257" s="175">
        <v>31</v>
      </c>
      <c r="AP2257" s="175">
        <v>22</v>
      </c>
      <c r="AQ2257" s="175">
        <v>18</v>
      </c>
      <c r="AR2257" s="175">
        <v>2</v>
      </c>
      <c r="AS2257" s="175">
        <v>1</v>
      </c>
      <c r="AT2257" s="175">
        <v>1</v>
      </c>
    </row>
    <row r="2258" spans="1:46">
      <c r="A2258">
        <v>46186</v>
      </c>
      <c r="B2258" t="s">
        <v>13370</v>
      </c>
      <c r="C2258" t="s">
        <v>13371</v>
      </c>
      <c r="E2258" t="s">
        <v>13372</v>
      </c>
      <c r="G2258" t="s">
        <v>1779</v>
      </c>
      <c r="H2258" t="s">
        <v>449</v>
      </c>
      <c r="J2258" t="s">
        <v>4032</v>
      </c>
      <c r="K2258" t="s">
        <v>606</v>
      </c>
      <c r="M2258" t="s">
        <v>1382</v>
      </c>
      <c r="N2258" t="s">
        <v>657</v>
      </c>
      <c r="O2258" t="s">
        <v>1780</v>
      </c>
      <c r="P2258" t="s">
        <v>739</v>
      </c>
      <c r="Q2258" t="s">
        <v>511</v>
      </c>
      <c r="R2258" t="s">
        <v>1555</v>
      </c>
      <c r="S2258" t="s">
        <v>1681</v>
      </c>
      <c r="T2258" t="s">
        <v>1557</v>
      </c>
      <c r="U2258">
        <v>193900</v>
      </c>
      <c r="V2258" t="s">
        <v>8440</v>
      </c>
      <c r="W2258" t="s">
        <v>1806</v>
      </c>
      <c r="X2258" t="s">
        <v>13373</v>
      </c>
      <c r="Y2258" t="s">
        <v>13374</v>
      </c>
      <c r="AA2258" t="s">
        <v>13375</v>
      </c>
      <c r="AB2258" t="s">
        <v>13371</v>
      </c>
      <c r="AC2258">
        <v>99064</v>
      </c>
      <c r="AD2258" t="s">
        <v>1784</v>
      </c>
      <c r="AE2258">
        <v>-37.644747270000003</v>
      </c>
      <c r="AF2258">
        <v>176.18720830000001</v>
      </c>
      <c r="AG2258" s="175">
        <v>50</v>
      </c>
      <c r="AH2258" s="175">
        <v>20</v>
      </c>
      <c r="AI2258" s="175">
        <v>0</v>
      </c>
      <c r="AJ2258" s="175">
        <v>14</v>
      </c>
      <c r="AK2258" s="175">
        <v>18</v>
      </c>
      <c r="AL2258" s="175">
        <v>5</v>
      </c>
      <c r="AM2258" s="175">
        <v>8</v>
      </c>
      <c r="AN2258" s="175">
        <v>0</v>
      </c>
      <c r="AO2258" s="175">
        <v>45</v>
      </c>
      <c r="AP2258" s="175">
        <v>36</v>
      </c>
      <c r="AQ2258" s="175">
        <v>9</v>
      </c>
      <c r="AR2258" s="175">
        <v>0</v>
      </c>
      <c r="AS2258" s="175">
        <v>9</v>
      </c>
      <c r="AT2258" s="175">
        <v>5</v>
      </c>
    </row>
    <row r="2259" spans="1:46">
      <c r="A2259">
        <v>46187</v>
      </c>
      <c r="B2259" t="s">
        <v>13376</v>
      </c>
      <c r="C2259" t="s">
        <v>13377</v>
      </c>
      <c r="E2259" t="s">
        <v>13378</v>
      </c>
      <c r="F2259" t="s">
        <v>964</v>
      </c>
      <c r="G2259" t="s">
        <v>737</v>
      </c>
      <c r="H2259" t="s">
        <v>449</v>
      </c>
      <c r="I2259" t="s">
        <v>4642</v>
      </c>
      <c r="J2259" t="s">
        <v>605</v>
      </c>
      <c r="K2259" t="s">
        <v>606</v>
      </c>
      <c r="M2259" t="s">
        <v>607</v>
      </c>
      <c r="N2259" t="s">
        <v>812</v>
      </c>
      <c r="O2259" t="s">
        <v>914</v>
      </c>
      <c r="P2259" t="s">
        <v>739</v>
      </c>
      <c r="Q2259" t="s">
        <v>467</v>
      </c>
      <c r="R2259" t="s">
        <v>793</v>
      </c>
      <c r="S2259" t="s">
        <v>965</v>
      </c>
      <c r="T2259" t="s">
        <v>794</v>
      </c>
      <c r="U2259">
        <v>144700</v>
      </c>
      <c r="V2259" t="s">
        <v>4892</v>
      </c>
      <c r="W2259" t="s">
        <v>892</v>
      </c>
      <c r="X2259" t="s">
        <v>13379</v>
      </c>
      <c r="Y2259" t="s">
        <v>13380</v>
      </c>
      <c r="Z2259" t="s">
        <v>964</v>
      </c>
      <c r="AA2259" t="s">
        <v>4840</v>
      </c>
      <c r="AB2259" t="s">
        <v>13377</v>
      </c>
      <c r="AE2259">
        <v>-36.873814510000003</v>
      </c>
      <c r="AF2259">
        <v>174.85636775</v>
      </c>
      <c r="AG2259" s="175">
        <v>0</v>
      </c>
      <c r="AH2259" s="175">
        <v>0</v>
      </c>
      <c r="AI2259" s="175">
        <v>0</v>
      </c>
      <c r="AJ2259" s="175">
        <v>4</v>
      </c>
      <c r="AK2259" s="175">
        <v>4</v>
      </c>
      <c r="AL2259" s="175">
        <v>7</v>
      </c>
      <c r="AM2259" s="175">
        <v>11</v>
      </c>
      <c r="AN2259" s="175">
        <v>2</v>
      </c>
      <c r="AO2259" s="175">
        <v>28</v>
      </c>
      <c r="AP2259" s="175">
        <v>1</v>
      </c>
      <c r="AQ2259" s="175">
        <v>8</v>
      </c>
      <c r="AR2259" s="175">
        <v>6</v>
      </c>
      <c r="AS2259" s="175">
        <v>2</v>
      </c>
      <c r="AT2259" s="175">
        <v>17</v>
      </c>
    </row>
    <row r="2260" spans="1:46">
      <c r="A2260">
        <v>46188</v>
      </c>
      <c r="B2260" t="s">
        <v>13381</v>
      </c>
      <c r="C2260" t="s">
        <v>13382</v>
      </c>
      <c r="E2260" t="s">
        <v>8318</v>
      </c>
      <c r="F2260" t="s">
        <v>8319</v>
      </c>
      <c r="G2260" t="s">
        <v>737</v>
      </c>
      <c r="H2260" t="s">
        <v>450</v>
      </c>
      <c r="J2260" t="s">
        <v>4032</v>
      </c>
      <c r="K2260" t="s">
        <v>606</v>
      </c>
      <c r="M2260" t="s">
        <v>607</v>
      </c>
      <c r="N2260" t="s">
        <v>657</v>
      </c>
      <c r="O2260" t="s">
        <v>1253</v>
      </c>
      <c r="P2260" t="s">
        <v>739</v>
      </c>
      <c r="Q2260" t="s">
        <v>467</v>
      </c>
      <c r="R2260" t="s">
        <v>724</v>
      </c>
      <c r="S2260" t="s">
        <v>740</v>
      </c>
      <c r="T2260" t="s">
        <v>613</v>
      </c>
      <c r="U2260">
        <v>118600</v>
      </c>
      <c r="V2260" t="s">
        <v>4082</v>
      </c>
      <c r="W2260" t="s">
        <v>742</v>
      </c>
      <c r="X2260" t="s">
        <v>6333</v>
      </c>
      <c r="Y2260" t="s">
        <v>6334</v>
      </c>
      <c r="Z2260" t="s">
        <v>3777</v>
      </c>
      <c r="AA2260" t="s">
        <v>6335</v>
      </c>
      <c r="AB2260" t="s">
        <v>6336</v>
      </c>
      <c r="AE2260">
        <v>-36.745911849999999</v>
      </c>
      <c r="AF2260">
        <v>174.70420583999999</v>
      </c>
      <c r="AG2260" s="175">
        <v>50</v>
      </c>
      <c r="AH2260" s="175">
        <v>50</v>
      </c>
      <c r="AI2260" s="175">
        <v>9</v>
      </c>
      <c r="AJ2260" s="175">
        <v>13</v>
      </c>
      <c r="AK2260" s="175">
        <v>8</v>
      </c>
      <c r="AL2260" s="175">
        <v>11</v>
      </c>
      <c r="AM2260" s="175">
        <v>4</v>
      </c>
      <c r="AN2260" s="175">
        <v>0</v>
      </c>
      <c r="AO2260" s="175">
        <v>45</v>
      </c>
      <c r="AP2260" s="175">
        <v>9</v>
      </c>
      <c r="AQ2260" s="175">
        <v>0</v>
      </c>
      <c r="AR2260" s="175">
        <v>0</v>
      </c>
      <c r="AS2260" s="175">
        <v>39</v>
      </c>
      <c r="AT2260" s="175">
        <v>1</v>
      </c>
    </row>
    <row r="2261" spans="1:46">
      <c r="A2261">
        <v>46190</v>
      </c>
      <c r="B2261" t="s">
        <v>13383</v>
      </c>
      <c r="C2261" t="s">
        <v>13384</v>
      </c>
      <c r="D2261" t="s">
        <v>13385</v>
      </c>
      <c r="E2261" t="s">
        <v>13386</v>
      </c>
      <c r="F2261" t="s">
        <v>811</v>
      </c>
      <c r="G2261" t="s">
        <v>737</v>
      </c>
      <c r="H2261" t="s">
        <v>449</v>
      </c>
      <c r="J2261" t="s">
        <v>4032</v>
      </c>
      <c r="K2261" t="s">
        <v>606</v>
      </c>
      <c r="M2261" t="s">
        <v>607</v>
      </c>
      <c r="N2261" t="s">
        <v>812</v>
      </c>
      <c r="O2261" t="s">
        <v>813</v>
      </c>
      <c r="P2261" t="s">
        <v>739</v>
      </c>
      <c r="Q2261" t="s">
        <v>467</v>
      </c>
      <c r="R2261" t="s">
        <v>814</v>
      </c>
      <c r="S2261" t="s">
        <v>863</v>
      </c>
      <c r="T2261" t="s">
        <v>794</v>
      </c>
      <c r="U2261">
        <v>157200</v>
      </c>
      <c r="V2261" t="s">
        <v>5112</v>
      </c>
      <c r="W2261" t="s">
        <v>817</v>
      </c>
      <c r="X2261" t="s">
        <v>13387</v>
      </c>
      <c r="Y2261" t="s">
        <v>13388</v>
      </c>
      <c r="Z2261" t="s">
        <v>5170</v>
      </c>
      <c r="AA2261" t="s">
        <v>4061</v>
      </c>
      <c r="AB2261" t="s">
        <v>13389</v>
      </c>
      <c r="AE2261">
        <v>-36.975637640000002</v>
      </c>
      <c r="AF2261">
        <v>174.89392505000001</v>
      </c>
      <c r="AG2261" s="175">
        <v>80</v>
      </c>
      <c r="AH2261" s="175">
        <v>20</v>
      </c>
      <c r="AI2261" s="175">
        <v>1</v>
      </c>
      <c r="AJ2261" s="175">
        <v>6</v>
      </c>
      <c r="AK2261" s="175">
        <v>15</v>
      </c>
      <c r="AL2261" s="175">
        <v>12</v>
      </c>
      <c r="AM2261" s="175">
        <v>21</v>
      </c>
      <c r="AN2261" s="175">
        <v>2</v>
      </c>
      <c r="AO2261" s="175">
        <v>57</v>
      </c>
      <c r="AP2261" s="175">
        <v>5</v>
      </c>
      <c r="AQ2261" s="175">
        <v>17</v>
      </c>
      <c r="AR2261" s="175">
        <v>43</v>
      </c>
      <c r="AS2261" s="175">
        <v>6</v>
      </c>
      <c r="AT2261" s="175">
        <v>1</v>
      </c>
    </row>
    <row r="2262" spans="1:46">
      <c r="A2262">
        <v>46192</v>
      </c>
      <c r="B2262" t="s">
        <v>13390</v>
      </c>
      <c r="C2262" t="s">
        <v>13391</v>
      </c>
      <c r="E2262" t="s">
        <v>13392</v>
      </c>
      <c r="F2262" t="s">
        <v>855</v>
      </c>
      <c r="G2262" t="s">
        <v>737</v>
      </c>
      <c r="H2262" t="s">
        <v>449</v>
      </c>
      <c r="J2262" t="s">
        <v>605</v>
      </c>
      <c r="K2262" t="s">
        <v>606</v>
      </c>
      <c r="M2262" t="s">
        <v>607</v>
      </c>
      <c r="N2262" t="s">
        <v>812</v>
      </c>
      <c r="O2262" t="s">
        <v>803</v>
      </c>
      <c r="P2262" t="s">
        <v>739</v>
      </c>
      <c r="Q2262" t="s">
        <v>467</v>
      </c>
      <c r="R2262" t="s">
        <v>724</v>
      </c>
      <c r="S2262" t="s">
        <v>804</v>
      </c>
      <c r="T2262" t="s">
        <v>794</v>
      </c>
      <c r="U2262">
        <v>132600</v>
      </c>
      <c r="V2262" t="s">
        <v>11805</v>
      </c>
      <c r="W2262" t="s">
        <v>806</v>
      </c>
      <c r="X2262" t="s">
        <v>13393</v>
      </c>
      <c r="Y2262" t="s">
        <v>13394</v>
      </c>
      <c r="Z2262" t="s">
        <v>7257</v>
      </c>
      <c r="AA2262" t="s">
        <v>13395</v>
      </c>
      <c r="AE2262">
        <v>-36.905744009999999</v>
      </c>
      <c r="AF2262">
        <v>174.67468324000001</v>
      </c>
      <c r="AG2262" s="175">
        <v>57</v>
      </c>
      <c r="AH2262" s="175">
        <v>0</v>
      </c>
      <c r="AI2262" s="175">
        <v>0</v>
      </c>
      <c r="AJ2262" s="175">
        <v>0</v>
      </c>
      <c r="AK2262" s="175">
        <v>7</v>
      </c>
      <c r="AL2262" s="175">
        <v>11</v>
      </c>
      <c r="AM2262" s="175">
        <v>21</v>
      </c>
      <c r="AN2262" s="175">
        <v>0</v>
      </c>
      <c r="AO2262" s="175">
        <v>39</v>
      </c>
      <c r="AP2262" s="175">
        <v>3</v>
      </c>
      <c r="AQ2262" s="175">
        <v>4</v>
      </c>
      <c r="AR2262" s="175">
        <v>26</v>
      </c>
      <c r="AS2262" s="175">
        <v>11</v>
      </c>
      <c r="AT2262" s="175">
        <v>0</v>
      </c>
    </row>
    <row r="2263" spans="1:46">
      <c r="A2263">
        <v>46195</v>
      </c>
      <c r="B2263" t="s">
        <v>13396</v>
      </c>
      <c r="C2263" t="s">
        <v>13397</v>
      </c>
      <c r="E2263" t="s">
        <v>13398</v>
      </c>
      <c r="F2263" t="s">
        <v>2504</v>
      </c>
      <c r="G2263" t="s">
        <v>2505</v>
      </c>
      <c r="H2263" t="s">
        <v>449</v>
      </c>
      <c r="J2263" t="s">
        <v>605</v>
      </c>
      <c r="K2263" t="s">
        <v>606</v>
      </c>
      <c r="M2263" t="s">
        <v>2366</v>
      </c>
      <c r="N2263" t="s">
        <v>608</v>
      </c>
      <c r="O2263" t="s">
        <v>2506</v>
      </c>
      <c r="P2263" t="s">
        <v>739</v>
      </c>
      <c r="Q2263" t="s">
        <v>516</v>
      </c>
      <c r="R2263" t="s">
        <v>2368</v>
      </c>
      <c r="S2263" t="s">
        <v>2507</v>
      </c>
      <c r="T2263" t="s">
        <v>2165</v>
      </c>
      <c r="U2263">
        <v>247100</v>
      </c>
      <c r="V2263" t="s">
        <v>13399</v>
      </c>
      <c r="W2263" t="s">
        <v>2509</v>
      </c>
      <c r="X2263" t="s">
        <v>13400</v>
      </c>
      <c r="Y2263" t="s">
        <v>13401</v>
      </c>
      <c r="Z2263" t="s">
        <v>2504</v>
      </c>
      <c r="AA2263" t="s">
        <v>13402</v>
      </c>
      <c r="AB2263" t="s">
        <v>13397</v>
      </c>
      <c r="AC2263">
        <v>99090</v>
      </c>
      <c r="AD2263" t="s">
        <v>2514</v>
      </c>
      <c r="AE2263">
        <v>-41.263543779999999</v>
      </c>
      <c r="AF2263">
        <v>174.94564702</v>
      </c>
      <c r="AG2263" s="175">
        <v>34</v>
      </c>
      <c r="AH2263" s="175">
        <v>10</v>
      </c>
      <c r="AI2263" s="175">
        <v>2</v>
      </c>
      <c r="AJ2263" s="175">
        <v>4</v>
      </c>
      <c r="AK2263" s="175">
        <v>5</v>
      </c>
      <c r="AL2263" s="175">
        <v>10</v>
      </c>
      <c r="AM2263" s="175">
        <v>9</v>
      </c>
      <c r="AN2263" s="175">
        <v>1</v>
      </c>
      <c r="AO2263" s="175">
        <v>31</v>
      </c>
      <c r="AP2263" s="175">
        <v>13</v>
      </c>
      <c r="AQ2263" s="175">
        <v>14</v>
      </c>
      <c r="AR2263" s="175">
        <v>9</v>
      </c>
      <c r="AS2263" s="175">
        <v>6</v>
      </c>
      <c r="AT2263" s="175">
        <v>0</v>
      </c>
    </row>
    <row r="2264" spans="1:46">
      <c r="A2264">
        <v>46196</v>
      </c>
      <c r="B2264" t="s">
        <v>13403</v>
      </c>
      <c r="C2264" t="s">
        <v>13404</v>
      </c>
      <c r="D2264" t="s">
        <v>13405</v>
      </c>
      <c r="E2264" t="s">
        <v>13406</v>
      </c>
      <c r="F2264" t="s">
        <v>13407</v>
      </c>
      <c r="G2264" t="s">
        <v>2368</v>
      </c>
      <c r="H2264" t="s">
        <v>449</v>
      </c>
      <c r="J2264" t="s">
        <v>4032</v>
      </c>
      <c r="K2264" t="s">
        <v>606</v>
      </c>
      <c r="M2264" t="s">
        <v>2366</v>
      </c>
      <c r="N2264" t="s">
        <v>657</v>
      </c>
      <c r="O2264" t="s">
        <v>2614</v>
      </c>
      <c r="P2264" t="s">
        <v>739</v>
      </c>
      <c r="Q2264" t="s">
        <v>516</v>
      </c>
      <c r="R2264" t="s">
        <v>2368</v>
      </c>
      <c r="S2264" t="s">
        <v>2623</v>
      </c>
      <c r="T2264" t="s">
        <v>2526</v>
      </c>
      <c r="U2264">
        <v>250700</v>
      </c>
      <c r="V2264" t="s">
        <v>12227</v>
      </c>
      <c r="W2264" t="s">
        <v>2639</v>
      </c>
      <c r="X2264" t="s">
        <v>13408</v>
      </c>
      <c r="Y2264" t="s">
        <v>4725</v>
      </c>
      <c r="Z2264" t="s">
        <v>1043</v>
      </c>
      <c r="AA2264" t="s">
        <v>4726</v>
      </c>
      <c r="AB2264" t="s">
        <v>13409</v>
      </c>
      <c r="AE2264">
        <v>-41.257087409999997</v>
      </c>
      <c r="AF2264">
        <v>174.79440550000001</v>
      </c>
      <c r="AG2264" s="175">
        <v>65</v>
      </c>
      <c r="AH2264" s="175">
        <v>25</v>
      </c>
      <c r="AI2264" s="175">
        <v>2</v>
      </c>
      <c r="AJ2264" s="175">
        <v>6</v>
      </c>
      <c r="AK2264" s="175">
        <v>9</v>
      </c>
      <c r="AL2264" s="175">
        <v>4</v>
      </c>
      <c r="AM2264" s="175">
        <v>6</v>
      </c>
      <c r="AN2264" s="175">
        <v>0</v>
      </c>
      <c r="AO2264" s="175">
        <v>27</v>
      </c>
      <c r="AP2264" s="175">
        <v>15</v>
      </c>
      <c r="AQ2264" s="175">
        <v>1</v>
      </c>
      <c r="AR2264" s="175">
        <v>4</v>
      </c>
      <c r="AS2264" s="175">
        <v>11</v>
      </c>
      <c r="AT2264" s="175">
        <v>1</v>
      </c>
    </row>
    <row r="2265" spans="1:46">
      <c r="A2265">
        <v>46197</v>
      </c>
      <c r="B2265" t="s">
        <v>13410</v>
      </c>
      <c r="C2265" t="s">
        <v>13411</v>
      </c>
      <c r="D2265" t="s">
        <v>13412</v>
      </c>
      <c r="E2265" t="s">
        <v>13413</v>
      </c>
      <c r="G2265" t="s">
        <v>13414</v>
      </c>
      <c r="H2265" t="s">
        <v>449</v>
      </c>
      <c r="I2265" t="s">
        <v>5017</v>
      </c>
      <c r="J2265" t="s">
        <v>605</v>
      </c>
      <c r="K2265" t="s">
        <v>606</v>
      </c>
      <c r="M2265" t="s">
        <v>1382</v>
      </c>
      <c r="N2265" t="s">
        <v>608</v>
      </c>
      <c r="O2265" t="s">
        <v>2163</v>
      </c>
      <c r="P2265" t="s">
        <v>626</v>
      </c>
      <c r="Q2265" t="s">
        <v>512</v>
      </c>
      <c r="R2265" t="s">
        <v>2164</v>
      </c>
      <c r="S2265" t="s">
        <v>1556</v>
      </c>
      <c r="T2265" t="s">
        <v>2165</v>
      </c>
      <c r="U2265">
        <v>204900</v>
      </c>
      <c r="V2265" t="s">
        <v>13415</v>
      </c>
      <c r="W2265" t="s">
        <v>2167</v>
      </c>
      <c r="X2265" t="s">
        <v>13416</v>
      </c>
      <c r="Y2265" t="s">
        <v>13417</v>
      </c>
      <c r="AA2265" t="s">
        <v>13418</v>
      </c>
      <c r="AB2265" t="s">
        <v>13411</v>
      </c>
      <c r="AC2265">
        <v>99162</v>
      </c>
      <c r="AD2265" t="s">
        <v>13419</v>
      </c>
      <c r="AE2265">
        <v>-37.890115100000003</v>
      </c>
      <c r="AF2265">
        <v>178.32088239999999</v>
      </c>
      <c r="AG2265" s="175">
        <v>35</v>
      </c>
      <c r="AH2265" s="175">
        <v>5</v>
      </c>
      <c r="AI2265" s="175">
        <v>0</v>
      </c>
      <c r="AJ2265" s="175">
        <v>4</v>
      </c>
      <c r="AK2265" s="175">
        <v>8</v>
      </c>
      <c r="AL2265" s="175">
        <v>12</v>
      </c>
      <c r="AM2265" s="175">
        <v>7</v>
      </c>
      <c r="AN2265" s="175">
        <v>0</v>
      </c>
      <c r="AO2265" s="175">
        <v>31</v>
      </c>
      <c r="AP2265" s="175">
        <v>2</v>
      </c>
      <c r="AQ2265" s="175">
        <v>30</v>
      </c>
      <c r="AR2265" s="175">
        <v>0</v>
      </c>
      <c r="AS2265" s="175">
        <v>1</v>
      </c>
      <c r="AT2265" s="175">
        <v>0</v>
      </c>
    </row>
    <row r="2266" spans="1:46">
      <c r="A2266">
        <v>46199</v>
      </c>
      <c r="B2266" t="s">
        <v>13420</v>
      </c>
      <c r="C2266" t="s">
        <v>13421</v>
      </c>
      <c r="D2266" t="s">
        <v>13422</v>
      </c>
      <c r="E2266" t="s">
        <v>13423</v>
      </c>
      <c r="F2266" t="s">
        <v>1450</v>
      </c>
      <c r="G2266" t="s">
        <v>1381</v>
      </c>
      <c r="H2266" t="s">
        <v>449</v>
      </c>
      <c r="J2266" t="s">
        <v>4032</v>
      </c>
      <c r="K2266" t="s">
        <v>606</v>
      </c>
      <c r="M2266" t="s">
        <v>1382</v>
      </c>
      <c r="N2266" t="s">
        <v>657</v>
      </c>
      <c r="O2266" t="s">
        <v>1383</v>
      </c>
      <c r="P2266" t="s">
        <v>739</v>
      </c>
      <c r="Q2266" t="s">
        <v>510</v>
      </c>
      <c r="R2266" t="s">
        <v>1384</v>
      </c>
      <c r="S2266" t="s">
        <v>1396</v>
      </c>
      <c r="T2266" t="s">
        <v>1320</v>
      </c>
      <c r="U2266">
        <v>180700</v>
      </c>
      <c r="V2266" t="s">
        <v>1451</v>
      </c>
      <c r="W2266" t="s">
        <v>1398</v>
      </c>
      <c r="X2266" t="s">
        <v>13424</v>
      </c>
      <c r="Y2266" t="s">
        <v>13423</v>
      </c>
      <c r="Z2266" t="s">
        <v>1450</v>
      </c>
      <c r="AA2266" t="s">
        <v>9631</v>
      </c>
      <c r="AB2266" t="s">
        <v>13421</v>
      </c>
      <c r="AE2266">
        <v>-37.798311470000002</v>
      </c>
      <c r="AF2266">
        <v>175.31559109</v>
      </c>
      <c r="AG2266" s="175">
        <v>44</v>
      </c>
      <c r="AH2266" s="175">
        <v>10</v>
      </c>
      <c r="AI2266" s="175">
        <v>2</v>
      </c>
      <c r="AJ2266" s="175">
        <v>5</v>
      </c>
      <c r="AK2266" s="175">
        <v>11</v>
      </c>
      <c r="AL2266" s="175">
        <v>12</v>
      </c>
      <c r="AM2266" s="175">
        <v>10</v>
      </c>
      <c r="AN2266" s="175">
        <v>0</v>
      </c>
      <c r="AO2266" s="175">
        <v>40</v>
      </c>
      <c r="AP2266" s="175">
        <v>21</v>
      </c>
      <c r="AQ2266" s="175">
        <v>7</v>
      </c>
      <c r="AR2266" s="175">
        <v>3</v>
      </c>
      <c r="AS2266" s="175">
        <v>14</v>
      </c>
      <c r="AT2266" s="175">
        <v>0</v>
      </c>
    </row>
    <row r="2267" spans="1:46">
      <c r="A2267">
        <v>46200</v>
      </c>
      <c r="B2267" t="s">
        <v>13425</v>
      </c>
      <c r="C2267" t="s">
        <v>13426</v>
      </c>
      <c r="E2267" t="s">
        <v>13427</v>
      </c>
      <c r="G2267" t="s">
        <v>1938</v>
      </c>
      <c r="H2267" t="s">
        <v>449</v>
      </c>
      <c r="J2267" t="s">
        <v>4032</v>
      </c>
      <c r="K2267" t="s">
        <v>606</v>
      </c>
      <c r="M2267" t="s">
        <v>1382</v>
      </c>
      <c r="N2267" t="s">
        <v>657</v>
      </c>
      <c r="O2267" t="s">
        <v>1932</v>
      </c>
      <c r="P2267" t="s">
        <v>610</v>
      </c>
      <c r="Q2267" t="s">
        <v>514</v>
      </c>
      <c r="R2267" t="s">
        <v>1841</v>
      </c>
      <c r="S2267" t="s">
        <v>1923</v>
      </c>
      <c r="T2267" t="s">
        <v>1568</v>
      </c>
      <c r="U2267">
        <v>221800</v>
      </c>
      <c r="V2267" t="s">
        <v>1939</v>
      </c>
      <c r="W2267" t="s">
        <v>1940</v>
      </c>
      <c r="X2267" t="s">
        <v>13428</v>
      </c>
      <c r="Y2267" t="s">
        <v>13429</v>
      </c>
      <c r="AA2267" t="s">
        <v>11043</v>
      </c>
      <c r="AB2267" t="s">
        <v>13430</v>
      </c>
      <c r="AC2267">
        <v>99167</v>
      </c>
      <c r="AD2267" t="s">
        <v>1941</v>
      </c>
      <c r="AE2267">
        <v>-39.601671600000003</v>
      </c>
      <c r="AF2267">
        <v>174.27752039999999</v>
      </c>
      <c r="AG2267" s="175">
        <v>62</v>
      </c>
      <c r="AH2267" s="175">
        <v>12</v>
      </c>
      <c r="AI2267" s="175">
        <v>3</v>
      </c>
      <c r="AJ2267" s="175">
        <v>9</v>
      </c>
      <c r="AK2267" s="175">
        <v>4</v>
      </c>
      <c r="AL2267" s="175">
        <v>15</v>
      </c>
      <c r="AM2267" s="175">
        <v>14</v>
      </c>
      <c r="AN2267" s="175">
        <v>0</v>
      </c>
      <c r="AO2267" s="175">
        <v>45</v>
      </c>
      <c r="AP2267" s="175">
        <v>39</v>
      </c>
      <c r="AQ2267" s="175">
        <v>13</v>
      </c>
      <c r="AR2267" s="175">
        <v>1</v>
      </c>
      <c r="AS2267" s="175">
        <v>2</v>
      </c>
      <c r="AT2267" s="175">
        <v>1</v>
      </c>
    </row>
    <row r="2268" spans="1:46">
      <c r="A2268">
        <v>46201</v>
      </c>
      <c r="B2268" t="s">
        <v>13431</v>
      </c>
      <c r="C2268" t="s">
        <v>13432</v>
      </c>
      <c r="E2268" t="s">
        <v>13433</v>
      </c>
      <c r="F2268" t="s">
        <v>11317</v>
      </c>
      <c r="G2268" t="s">
        <v>737</v>
      </c>
      <c r="H2268" t="s">
        <v>449</v>
      </c>
      <c r="J2268" t="s">
        <v>4032</v>
      </c>
      <c r="K2268" t="s">
        <v>606</v>
      </c>
      <c r="M2268" t="s">
        <v>607</v>
      </c>
      <c r="N2268" t="s">
        <v>657</v>
      </c>
      <c r="O2268" t="s">
        <v>997</v>
      </c>
      <c r="P2268" t="s">
        <v>739</v>
      </c>
      <c r="Q2268" t="s">
        <v>467</v>
      </c>
      <c r="R2268" t="s">
        <v>793</v>
      </c>
      <c r="S2268" t="s">
        <v>998</v>
      </c>
      <c r="T2268" t="s">
        <v>794</v>
      </c>
      <c r="U2268">
        <v>142001</v>
      </c>
      <c r="V2268" t="s">
        <v>13434</v>
      </c>
      <c r="W2268" t="s">
        <v>945</v>
      </c>
      <c r="X2268" t="s">
        <v>13435</v>
      </c>
      <c r="Y2268" t="s">
        <v>13436</v>
      </c>
      <c r="Z2268" t="s">
        <v>5170</v>
      </c>
      <c r="AA2268" t="s">
        <v>4061</v>
      </c>
      <c r="AE2268">
        <v>-36.913615550000003</v>
      </c>
      <c r="AF2268">
        <v>174.75194028999999</v>
      </c>
      <c r="AG2268" s="175">
        <v>68</v>
      </c>
      <c r="AH2268" s="175">
        <v>20</v>
      </c>
      <c r="AI2268" s="175">
        <v>1</v>
      </c>
      <c r="AJ2268" s="175">
        <v>12</v>
      </c>
      <c r="AK2268" s="175">
        <v>17</v>
      </c>
      <c r="AL2268" s="175">
        <v>11</v>
      </c>
      <c r="AM2268" s="175">
        <v>19</v>
      </c>
      <c r="AN2268" s="175">
        <v>0</v>
      </c>
      <c r="AO2268" s="175">
        <v>60</v>
      </c>
      <c r="AP2268" s="175">
        <v>5</v>
      </c>
      <c r="AQ2268" s="175">
        <v>3</v>
      </c>
      <c r="AR2268" s="175">
        <v>13</v>
      </c>
      <c r="AS2268" s="175">
        <v>49</v>
      </c>
      <c r="AT2268" s="175">
        <v>1</v>
      </c>
    </row>
    <row r="2269" spans="1:46">
      <c r="A2269">
        <v>46202</v>
      </c>
      <c r="B2269" t="s">
        <v>13437</v>
      </c>
      <c r="C2269" t="s">
        <v>13438</v>
      </c>
      <c r="D2269" t="s">
        <v>13439</v>
      </c>
      <c r="E2269" t="s">
        <v>13440</v>
      </c>
      <c r="G2269" t="s">
        <v>2943</v>
      </c>
      <c r="H2269" t="s">
        <v>449</v>
      </c>
      <c r="I2269" t="s">
        <v>4041</v>
      </c>
      <c r="J2269" t="s">
        <v>4032</v>
      </c>
      <c r="K2269" t="s">
        <v>606</v>
      </c>
      <c r="M2269" t="s">
        <v>2366</v>
      </c>
      <c r="N2269" t="s">
        <v>643</v>
      </c>
      <c r="O2269" t="s">
        <v>2944</v>
      </c>
      <c r="P2269" t="s">
        <v>610</v>
      </c>
      <c r="Q2269" t="s">
        <v>517</v>
      </c>
      <c r="R2269" t="s">
        <v>2901</v>
      </c>
      <c r="S2269" t="s">
        <v>2945</v>
      </c>
      <c r="T2269" t="s">
        <v>2526</v>
      </c>
      <c r="U2269">
        <v>301200</v>
      </c>
      <c r="V2269" t="s">
        <v>2965</v>
      </c>
      <c r="W2269" t="s">
        <v>2947</v>
      </c>
      <c r="X2269" t="s">
        <v>13441</v>
      </c>
      <c r="Y2269" t="s">
        <v>13442</v>
      </c>
      <c r="AA2269" t="s">
        <v>13443</v>
      </c>
      <c r="AB2269" t="s">
        <v>13438</v>
      </c>
      <c r="AC2269">
        <v>99115</v>
      </c>
      <c r="AD2269" t="s">
        <v>2948</v>
      </c>
      <c r="AE2269">
        <v>-41.112561370000002</v>
      </c>
      <c r="AF2269">
        <v>172.99519215000001</v>
      </c>
      <c r="AG2269" s="175">
        <v>29</v>
      </c>
      <c r="AH2269" s="175">
        <v>0</v>
      </c>
      <c r="AI2269" s="175">
        <v>0</v>
      </c>
      <c r="AJ2269" s="175">
        <v>0</v>
      </c>
      <c r="AK2269" s="175">
        <v>4</v>
      </c>
      <c r="AL2269" s="175">
        <v>5</v>
      </c>
      <c r="AM2269" s="175">
        <v>3</v>
      </c>
      <c r="AN2269" s="175">
        <v>5</v>
      </c>
      <c r="AO2269" s="175">
        <v>17</v>
      </c>
      <c r="AP2269" s="175">
        <v>13</v>
      </c>
      <c r="AQ2269" s="175">
        <v>4</v>
      </c>
      <c r="AR2269" s="175">
        <v>2</v>
      </c>
      <c r="AS2269" s="175">
        <v>2</v>
      </c>
      <c r="AT2269" s="175">
        <v>0</v>
      </c>
    </row>
    <row r="2270" spans="1:46">
      <c r="A2270">
        <v>46203</v>
      </c>
      <c r="B2270" t="s">
        <v>13444</v>
      </c>
      <c r="C2270" t="s">
        <v>13445</v>
      </c>
      <c r="D2270" t="s">
        <v>13446</v>
      </c>
      <c r="E2270" t="s">
        <v>13447</v>
      </c>
      <c r="G2270" t="s">
        <v>2435</v>
      </c>
      <c r="H2270" t="s">
        <v>449</v>
      </c>
      <c r="J2270" t="s">
        <v>4032</v>
      </c>
      <c r="K2270" t="s">
        <v>606</v>
      </c>
      <c r="M2270" t="s">
        <v>2366</v>
      </c>
      <c r="N2270" t="s">
        <v>657</v>
      </c>
      <c r="O2270" t="s">
        <v>2436</v>
      </c>
      <c r="P2270" t="s">
        <v>610</v>
      </c>
      <c r="Q2270" t="s">
        <v>516</v>
      </c>
      <c r="R2270" t="s">
        <v>2368</v>
      </c>
      <c r="S2270" t="s">
        <v>2348</v>
      </c>
      <c r="T2270" t="s">
        <v>2165</v>
      </c>
      <c r="U2270">
        <v>256900</v>
      </c>
      <c r="V2270" t="s">
        <v>13448</v>
      </c>
      <c r="W2270" t="s">
        <v>1734</v>
      </c>
      <c r="X2270" t="s">
        <v>13449</v>
      </c>
      <c r="Y2270" t="s">
        <v>13450</v>
      </c>
      <c r="Z2270" t="s">
        <v>2435</v>
      </c>
      <c r="AA2270" t="s">
        <v>13451</v>
      </c>
      <c r="AB2270" t="s">
        <v>13452</v>
      </c>
      <c r="AE2270">
        <v>-41.021187240000003</v>
      </c>
      <c r="AF2270">
        <v>175.52050754999999</v>
      </c>
      <c r="AG2270" s="175">
        <v>30</v>
      </c>
      <c r="AH2270" s="175">
        <v>20</v>
      </c>
      <c r="AI2270" s="175">
        <v>3</v>
      </c>
      <c r="AJ2270" s="175">
        <v>15</v>
      </c>
      <c r="AK2270" s="175">
        <v>17</v>
      </c>
      <c r="AL2270" s="175">
        <v>0</v>
      </c>
      <c r="AM2270" s="175">
        <v>0</v>
      </c>
      <c r="AN2270" s="175">
        <v>0</v>
      </c>
      <c r="AO2270" s="175">
        <v>35</v>
      </c>
      <c r="AP2270" s="175">
        <v>33</v>
      </c>
      <c r="AQ2270" s="175">
        <v>3</v>
      </c>
      <c r="AR2270" s="175">
        <v>3</v>
      </c>
      <c r="AS2270" s="175">
        <v>0</v>
      </c>
      <c r="AT2270" s="175">
        <v>1</v>
      </c>
    </row>
    <row r="2271" spans="1:46">
      <c r="A2271">
        <v>46204</v>
      </c>
      <c r="B2271" t="s">
        <v>13453</v>
      </c>
      <c r="C2271" t="s">
        <v>13454</v>
      </c>
      <c r="E2271" t="s">
        <v>13455</v>
      </c>
      <c r="F2271" t="s">
        <v>1429</v>
      </c>
      <c r="G2271" t="s">
        <v>3905</v>
      </c>
      <c r="H2271" t="s">
        <v>449</v>
      </c>
      <c r="J2271" t="s">
        <v>4032</v>
      </c>
      <c r="K2271" t="s">
        <v>606</v>
      </c>
      <c r="M2271" t="s">
        <v>2366</v>
      </c>
      <c r="N2271" t="s">
        <v>657</v>
      </c>
      <c r="O2271" t="s">
        <v>3906</v>
      </c>
      <c r="P2271" t="s">
        <v>1347</v>
      </c>
      <c r="Q2271" t="s">
        <v>522</v>
      </c>
      <c r="R2271" t="s">
        <v>3410</v>
      </c>
      <c r="S2271" t="s">
        <v>3433</v>
      </c>
      <c r="T2271" t="s">
        <v>2526</v>
      </c>
      <c r="U2271">
        <v>348400</v>
      </c>
      <c r="V2271" t="s">
        <v>1429</v>
      </c>
      <c r="W2271" t="s">
        <v>3908</v>
      </c>
      <c r="X2271" t="s">
        <v>11873</v>
      </c>
      <c r="Y2271" t="s">
        <v>7728</v>
      </c>
      <c r="Z2271" t="s">
        <v>729</v>
      </c>
      <c r="AA2271" t="s">
        <v>730</v>
      </c>
      <c r="AB2271" t="s">
        <v>11874</v>
      </c>
      <c r="AE2271">
        <v>-45.028489550000003</v>
      </c>
      <c r="AF2271">
        <v>168.7449034</v>
      </c>
      <c r="AG2271" s="175">
        <v>80</v>
      </c>
      <c r="AH2271" s="175">
        <v>25</v>
      </c>
      <c r="AI2271" s="175">
        <v>7</v>
      </c>
      <c r="AJ2271" s="175">
        <v>18</v>
      </c>
      <c r="AK2271" s="175">
        <v>22</v>
      </c>
      <c r="AL2271" s="175">
        <v>23</v>
      </c>
      <c r="AM2271" s="175">
        <v>19</v>
      </c>
      <c r="AN2271" s="175">
        <v>0</v>
      </c>
      <c r="AO2271" s="175">
        <v>89</v>
      </c>
      <c r="AP2271" s="175">
        <v>69</v>
      </c>
      <c r="AQ2271" s="175">
        <v>4</v>
      </c>
      <c r="AR2271" s="175">
        <v>3</v>
      </c>
      <c r="AS2271" s="175">
        <v>12</v>
      </c>
      <c r="AT2271" s="175">
        <v>15</v>
      </c>
    </row>
    <row r="2272" spans="1:46">
      <c r="A2272">
        <v>46205</v>
      </c>
      <c r="B2272" t="s">
        <v>13456</v>
      </c>
      <c r="C2272" t="s">
        <v>13457</v>
      </c>
      <c r="D2272" t="s">
        <v>8291</v>
      </c>
      <c r="E2272" t="s">
        <v>13458</v>
      </c>
      <c r="G2272" t="s">
        <v>1346</v>
      </c>
      <c r="H2272" t="s">
        <v>449</v>
      </c>
      <c r="J2272" t="s">
        <v>4032</v>
      </c>
      <c r="K2272" t="s">
        <v>606</v>
      </c>
      <c r="M2272" t="s">
        <v>607</v>
      </c>
      <c r="N2272" t="s">
        <v>657</v>
      </c>
      <c r="O2272" t="s">
        <v>1318</v>
      </c>
      <c r="P2272" t="s">
        <v>1347</v>
      </c>
      <c r="Q2272" t="s">
        <v>467</v>
      </c>
      <c r="R2272" t="s">
        <v>814</v>
      </c>
      <c r="S2272" t="s">
        <v>1331</v>
      </c>
      <c r="T2272" t="s">
        <v>1320</v>
      </c>
      <c r="U2272">
        <v>165400</v>
      </c>
      <c r="V2272" t="s">
        <v>7992</v>
      </c>
      <c r="W2272" t="s">
        <v>1322</v>
      </c>
      <c r="X2272" t="s">
        <v>8293</v>
      </c>
      <c r="Y2272" t="s">
        <v>8292</v>
      </c>
      <c r="AA2272" t="s">
        <v>5144</v>
      </c>
      <c r="AC2272">
        <v>99075</v>
      </c>
      <c r="AD2272" t="s">
        <v>1349</v>
      </c>
      <c r="AE2272">
        <v>-37.18689998</v>
      </c>
      <c r="AF2272">
        <v>174.92204497</v>
      </c>
      <c r="AG2272" s="175">
        <v>48</v>
      </c>
      <c r="AH2272" s="175">
        <v>15</v>
      </c>
      <c r="AI2272" s="175">
        <v>0</v>
      </c>
      <c r="AJ2272" s="175">
        <v>1</v>
      </c>
      <c r="AK2272" s="175">
        <v>2</v>
      </c>
      <c r="AL2272" s="175">
        <v>9</v>
      </c>
      <c r="AM2272" s="175">
        <v>4</v>
      </c>
      <c r="AN2272" s="175">
        <v>0</v>
      </c>
      <c r="AO2272" s="175">
        <v>16</v>
      </c>
      <c r="AP2272" s="175">
        <v>10</v>
      </c>
      <c r="AQ2272" s="175">
        <v>2</v>
      </c>
      <c r="AR2272" s="175">
        <v>0</v>
      </c>
      <c r="AS2272" s="175">
        <v>5</v>
      </c>
      <c r="AT2272" s="175">
        <v>0</v>
      </c>
    </row>
    <row r="2273" spans="1:46">
      <c r="A2273">
        <v>46206</v>
      </c>
      <c r="B2273" t="s">
        <v>13459</v>
      </c>
      <c r="C2273" t="s">
        <v>13460</v>
      </c>
      <c r="D2273" t="s">
        <v>13461</v>
      </c>
      <c r="E2273" t="s">
        <v>13462</v>
      </c>
      <c r="F2273" t="s">
        <v>802</v>
      </c>
      <c r="G2273" t="s">
        <v>737</v>
      </c>
      <c r="H2273" t="s">
        <v>449</v>
      </c>
      <c r="I2273" t="s">
        <v>4134</v>
      </c>
      <c r="J2273" t="s">
        <v>4032</v>
      </c>
      <c r="K2273" t="s">
        <v>606</v>
      </c>
      <c r="M2273" t="s">
        <v>607</v>
      </c>
      <c r="N2273" t="s">
        <v>657</v>
      </c>
      <c r="O2273" t="s">
        <v>803</v>
      </c>
      <c r="P2273" t="s">
        <v>739</v>
      </c>
      <c r="Q2273" t="s">
        <v>467</v>
      </c>
      <c r="R2273" t="s">
        <v>793</v>
      </c>
      <c r="S2273" t="s">
        <v>855</v>
      </c>
      <c r="T2273" t="s">
        <v>794</v>
      </c>
      <c r="U2273">
        <v>135000</v>
      </c>
      <c r="V2273" t="s">
        <v>5799</v>
      </c>
      <c r="W2273" t="s">
        <v>806</v>
      </c>
      <c r="X2273" t="s">
        <v>13463</v>
      </c>
      <c r="Y2273" t="s">
        <v>13464</v>
      </c>
      <c r="Z2273" t="s">
        <v>4167</v>
      </c>
      <c r="AA2273" t="s">
        <v>4168</v>
      </c>
      <c r="AE2273">
        <v>-36.900159369999997</v>
      </c>
      <c r="AF2273">
        <v>174.69456676999999</v>
      </c>
      <c r="AG2273" s="175">
        <v>36</v>
      </c>
      <c r="AH2273" s="175">
        <v>0</v>
      </c>
      <c r="AI2273" s="175">
        <v>0</v>
      </c>
      <c r="AJ2273" s="175">
        <v>0</v>
      </c>
      <c r="AK2273" s="175">
        <v>12</v>
      </c>
      <c r="AL2273" s="175">
        <v>9</v>
      </c>
      <c r="AM2273" s="175">
        <v>13</v>
      </c>
      <c r="AN2273" s="175">
        <v>1</v>
      </c>
      <c r="AO2273" s="175">
        <v>35</v>
      </c>
      <c r="AP2273" s="175">
        <v>5</v>
      </c>
      <c r="AQ2273" s="175">
        <v>0</v>
      </c>
      <c r="AR2273" s="175">
        <v>2</v>
      </c>
      <c r="AS2273" s="175">
        <v>29</v>
      </c>
      <c r="AT2273" s="175">
        <v>3</v>
      </c>
    </row>
    <row r="2274" spans="1:46">
      <c r="A2274">
        <v>46209</v>
      </c>
      <c r="B2274" t="s">
        <v>13465</v>
      </c>
      <c r="C2274" t="s">
        <v>13466</v>
      </c>
      <c r="D2274" t="s">
        <v>13467</v>
      </c>
      <c r="E2274" t="s">
        <v>13468</v>
      </c>
      <c r="G2274" t="s">
        <v>2146</v>
      </c>
      <c r="H2274" t="s">
        <v>470</v>
      </c>
      <c r="I2274" t="s">
        <v>5017</v>
      </c>
      <c r="J2274" t="s">
        <v>605</v>
      </c>
      <c r="K2274" t="s">
        <v>606</v>
      </c>
      <c r="M2274" t="s">
        <v>2366</v>
      </c>
      <c r="N2274" t="s">
        <v>812</v>
      </c>
      <c r="O2274" t="s">
        <v>2147</v>
      </c>
      <c r="P2274" t="s">
        <v>610</v>
      </c>
      <c r="Q2274" t="s">
        <v>553</v>
      </c>
      <c r="R2274" t="s">
        <v>2368</v>
      </c>
      <c r="S2274" t="s">
        <v>2148</v>
      </c>
      <c r="T2274" t="s">
        <v>1568</v>
      </c>
      <c r="U2274">
        <v>234301</v>
      </c>
      <c r="V2274" t="s">
        <v>2149</v>
      </c>
      <c r="W2274" t="s">
        <v>2150</v>
      </c>
      <c r="X2274" t="s">
        <v>13469</v>
      </c>
      <c r="Y2274" t="s">
        <v>13468</v>
      </c>
      <c r="AA2274" t="s">
        <v>13470</v>
      </c>
      <c r="AE2274">
        <v>-40.469772370000001</v>
      </c>
      <c r="AF2274">
        <v>175.28181563000001</v>
      </c>
      <c r="AG2274" s="175">
        <v>30</v>
      </c>
      <c r="AH2274" s="175">
        <v>10</v>
      </c>
      <c r="AI2274" s="175">
        <v>1</v>
      </c>
      <c r="AJ2274" s="175">
        <v>2</v>
      </c>
      <c r="AK2274" s="175">
        <v>4</v>
      </c>
      <c r="AL2274" s="175">
        <v>7</v>
      </c>
      <c r="AM2274" s="175">
        <v>6</v>
      </c>
      <c r="AN2274" s="175">
        <v>0</v>
      </c>
      <c r="AO2274" s="175">
        <v>20</v>
      </c>
      <c r="AP2274" s="175">
        <v>7</v>
      </c>
      <c r="AQ2274" s="175">
        <v>19</v>
      </c>
      <c r="AR2274" s="175">
        <v>5</v>
      </c>
      <c r="AS2274" s="175">
        <v>0</v>
      </c>
      <c r="AT2274" s="175">
        <v>0</v>
      </c>
    </row>
    <row r="2275" spans="1:46">
      <c r="A2275">
        <v>46210</v>
      </c>
      <c r="B2275" t="s">
        <v>13471</v>
      </c>
      <c r="C2275" t="s">
        <v>13472</v>
      </c>
      <c r="D2275" t="s">
        <v>13473</v>
      </c>
      <c r="E2275" t="s">
        <v>13474</v>
      </c>
      <c r="G2275" t="s">
        <v>3431</v>
      </c>
      <c r="H2275" t="s">
        <v>449</v>
      </c>
      <c r="J2275" t="s">
        <v>4032</v>
      </c>
      <c r="K2275" t="s">
        <v>606</v>
      </c>
      <c r="M2275" t="s">
        <v>2366</v>
      </c>
      <c r="N2275" t="s">
        <v>657</v>
      </c>
      <c r="O2275" t="s">
        <v>3432</v>
      </c>
      <c r="P2275" t="s">
        <v>610</v>
      </c>
      <c r="Q2275" t="s">
        <v>522</v>
      </c>
      <c r="R2275" t="s">
        <v>3410</v>
      </c>
      <c r="S2275" t="s">
        <v>3433</v>
      </c>
      <c r="T2275" t="s">
        <v>2526</v>
      </c>
      <c r="U2275">
        <v>345500</v>
      </c>
      <c r="V2275" t="s">
        <v>3449</v>
      </c>
      <c r="W2275" t="s">
        <v>3435</v>
      </c>
      <c r="X2275" t="s">
        <v>13475</v>
      </c>
      <c r="Y2275" t="s">
        <v>13476</v>
      </c>
      <c r="AA2275" t="s">
        <v>13477</v>
      </c>
      <c r="AB2275" t="s">
        <v>13478</v>
      </c>
      <c r="AC2275">
        <v>99049</v>
      </c>
      <c r="AD2275" t="s">
        <v>3436</v>
      </c>
      <c r="AE2275">
        <v>-45.245820039999998</v>
      </c>
      <c r="AF2275">
        <v>169.39659996</v>
      </c>
      <c r="AG2275" s="175">
        <v>43</v>
      </c>
      <c r="AH2275" s="175">
        <v>20</v>
      </c>
      <c r="AI2275" s="175">
        <v>3</v>
      </c>
      <c r="AJ2275" s="175">
        <v>11</v>
      </c>
      <c r="AK2275" s="175">
        <v>13</v>
      </c>
      <c r="AL2275" s="175">
        <v>14</v>
      </c>
      <c r="AM2275" s="175">
        <v>13</v>
      </c>
      <c r="AN2275" s="175">
        <v>0</v>
      </c>
      <c r="AO2275" s="175">
        <v>54</v>
      </c>
      <c r="AP2275" s="175">
        <v>51</v>
      </c>
      <c r="AQ2275" s="175">
        <v>8</v>
      </c>
      <c r="AR2275" s="175">
        <v>2</v>
      </c>
      <c r="AS2275" s="175">
        <v>1</v>
      </c>
      <c r="AT2275" s="175">
        <v>1</v>
      </c>
    </row>
    <row r="2276" spans="1:46">
      <c r="A2276">
        <v>46211</v>
      </c>
      <c r="B2276" t="s">
        <v>13479</v>
      </c>
      <c r="C2276" t="s">
        <v>13480</v>
      </c>
      <c r="E2276" t="s">
        <v>13481</v>
      </c>
      <c r="G2276" t="s">
        <v>8700</v>
      </c>
      <c r="H2276" t="s">
        <v>449</v>
      </c>
      <c r="J2276" t="s">
        <v>605</v>
      </c>
      <c r="K2276" t="s">
        <v>606</v>
      </c>
      <c r="M2276" t="s">
        <v>1382</v>
      </c>
      <c r="N2276" t="s">
        <v>625</v>
      </c>
      <c r="O2276" t="s">
        <v>8701</v>
      </c>
      <c r="P2276" t="s">
        <v>610</v>
      </c>
      <c r="Q2276" t="s">
        <v>510</v>
      </c>
      <c r="R2276" t="s">
        <v>1384</v>
      </c>
      <c r="S2276" t="s">
        <v>1501</v>
      </c>
      <c r="T2276" t="s">
        <v>1568</v>
      </c>
      <c r="U2276">
        <v>187400</v>
      </c>
      <c r="V2276" t="s">
        <v>8702</v>
      </c>
      <c r="W2276" t="s">
        <v>8703</v>
      </c>
      <c r="X2276" t="s">
        <v>13482</v>
      </c>
      <c r="Y2276" t="s">
        <v>11689</v>
      </c>
      <c r="AA2276" t="s">
        <v>8706</v>
      </c>
      <c r="AB2276" t="s">
        <v>13483</v>
      </c>
      <c r="AC2276">
        <v>99106</v>
      </c>
      <c r="AD2276" t="s">
        <v>8708</v>
      </c>
      <c r="AE2276">
        <v>-38.333829969999996</v>
      </c>
      <c r="AF2276">
        <v>175.16625995999999</v>
      </c>
      <c r="AG2276" s="175">
        <v>50</v>
      </c>
      <c r="AH2276" s="175">
        <v>10</v>
      </c>
      <c r="AI2276" s="175">
        <v>3</v>
      </c>
      <c r="AJ2276" s="175">
        <v>5</v>
      </c>
      <c r="AK2276" s="175">
        <v>6</v>
      </c>
      <c r="AL2276" s="175">
        <v>16</v>
      </c>
      <c r="AM2276" s="175">
        <v>7</v>
      </c>
      <c r="AN2276" s="175">
        <v>0</v>
      </c>
      <c r="AO2276" s="175">
        <v>37</v>
      </c>
      <c r="AP2276" s="175">
        <v>17</v>
      </c>
      <c r="AQ2276" s="175">
        <v>31</v>
      </c>
      <c r="AR2276" s="175">
        <v>5</v>
      </c>
      <c r="AS2276" s="175">
        <v>1</v>
      </c>
      <c r="AT2276" s="175">
        <v>1</v>
      </c>
    </row>
    <row r="2277" spans="1:46">
      <c r="A2277">
        <v>46217</v>
      </c>
      <c r="B2277" t="s">
        <v>13484</v>
      </c>
      <c r="C2277" t="s">
        <v>13485</v>
      </c>
      <c r="D2277" t="s">
        <v>13486</v>
      </c>
      <c r="E2277" t="s">
        <v>13487</v>
      </c>
      <c r="F2277" t="s">
        <v>811</v>
      </c>
      <c r="G2277" t="s">
        <v>737</v>
      </c>
      <c r="H2277" t="s">
        <v>449</v>
      </c>
      <c r="J2277" t="s">
        <v>605</v>
      </c>
      <c r="K2277" t="s">
        <v>606</v>
      </c>
      <c r="M2277" t="s">
        <v>607</v>
      </c>
      <c r="N2277" t="s">
        <v>812</v>
      </c>
      <c r="O2277" t="s">
        <v>813</v>
      </c>
      <c r="P2277" t="s">
        <v>739</v>
      </c>
      <c r="Q2277" t="s">
        <v>467</v>
      </c>
      <c r="R2277" t="s">
        <v>814</v>
      </c>
      <c r="S2277" t="s">
        <v>815</v>
      </c>
      <c r="T2277" t="s">
        <v>794</v>
      </c>
      <c r="U2277">
        <v>155100</v>
      </c>
      <c r="V2277" t="s">
        <v>1075</v>
      </c>
      <c r="W2277" t="s">
        <v>817</v>
      </c>
      <c r="X2277" t="s">
        <v>4013</v>
      </c>
      <c r="Y2277" t="s">
        <v>4014</v>
      </c>
      <c r="Z2277" t="s">
        <v>4015</v>
      </c>
      <c r="AA2277" t="s">
        <v>4016</v>
      </c>
      <c r="AB2277" t="s">
        <v>4017</v>
      </c>
      <c r="AE2277">
        <v>-36.953287539999998</v>
      </c>
      <c r="AF2277">
        <v>174.88622598000001</v>
      </c>
      <c r="AG2277" s="175">
        <v>80</v>
      </c>
      <c r="AH2277" s="175">
        <v>0</v>
      </c>
      <c r="AI2277" s="175">
        <v>0</v>
      </c>
      <c r="AJ2277" s="175">
        <v>0</v>
      </c>
      <c r="AK2277" s="175">
        <v>14</v>
      </c>
      <c r="AL2277" s="175">
        <v>22</v>
      </c>
      <c r="AM2277" s="175">
        <v>23</v>
      </c>
      <c r="AN2277" s="175">
        <v>1</v>
      </c>
      <c r="AO2277" s="175">
        <v>60</v>
      </c>
      <c r="AP2277" s="175">
        <v>1</v>
      </c>
      <c r="AQ2277" s="175">
        <v>8</v>
      </c>
      <c r="AR2277" s="175">
        <v>48</v>
      </c>
      <c r="AS2277" s="175">
        <v>6</v>
      </c>
      <c r="AT2277" s="175">
        <v>3</v>
      </c>
    </row>
    <row r="2278" spans="1:46">
      <c r="A2278">
        <v>46219</v>
      </c>
      <c r="B2278" t="s">
        <v>13488</v>
      </c>
      <c r="C2278" t="s">
        <v>13489</v>
      </c>
      <c r="D2278" t="s">
        <v>13490</v>
      </c>
      <c r="E2278" t="s">
        <v>13491</v>
      </c>
      <c r="G2278" t="s">
        <v>2198</v>
      </c>
      <c r="H2278" t="s">
        <v>450</v>
      </c>
      <c r="J2278" t="s">
        <v>4032</v>
      </c>
      <c r="K2278" t="s">
        <v>606</v>
      </c>
      <c r="M2278" t="s">
        <v>1382</v>
      </c>
      <c r="N2278" t="s">
        <v>657</v>
      </c>
      <c r="O2278" t="s">
        <v>2210</v>
      </c>
      <c r="P2278" t="s">
        <v>670</v>
      </c>
      <c r="Q2278" t="s">
        <v>513</v>
      </c>
      <c r="R2278" t="s">
        <v>2164</v>
      </c>
      <c r="S2278" t="s">
        <v>2198</v>
      </c>
      <c r="T2278" t="s">
        <v>2165</v>
      </c>
      <c r="U2278">
        <v>215401</v>
      </c>
      <c r="V2278" t="s">
        <v>8927</v>
      </c>
      <c r="W2278" t="s">
        <v>2219</v>
      </c>
      <c r="X2278" t="s">
        <v>13492</v>
      </c>
      <c r="Y2278" t="s">
        <v>13493</v>
      </c>
      <c r="Z2278" t="s">
        <v>2235</v>
      </c>
      <c r="AA2278" t="s">
        <v>12183</v>
      </c>
      <c r="AB2278" t="s">
        <v>13494</v>
      </c>
      <c r="AE2278">
        <v>-39.526132029999999</v>
      </c>
      <c r="AF2278">
        <v>176.91594617999999</v>
      </c>
      <c r="AG2278" s="175">
        <v>80</v>
      </c>
      <c r="AH2278" s="175">
        <v>80</v>
      </c>
      <c r="AI2278" s="175">
        <v>2</v>
      </c>
      <c r="AJ2278" s="175">
        <v>5</v>
      </c>
      <c r="AK2278" s="175">
        <v>6</v>
      </c>
      <c r="AL2278" s="175">
        <v>9</v>
      </c>
      <c r="AM2278" s="175">
        <v>2</v>
      </c>
      <c r="AN2278" s="175">
        <v>0</v>
      </c>
      <c r="AO2278" s="175">
        <v>24</v>
      </c>
      <c r="AP2278" s="175">
        <v>22</v>
      </c>
      <c r="AQ2278" s="175">
        <v>6</v>
      </c>
      <c r="AR2278" s="175">
        <v>1</v>
      </c>
      <c r="AS2278" s="175">
        <v>0</v>
      </c>
      <c r="AT2278" s="175">
        <v>0</v>
      </c>
    </row>
    <row r="2279" spans="1:46">
      <c r="A2279">
        <v>46222</v>
      </c>
      <c r="B2279" t="s">
        <v>13495</v>
      </c>
      <c r="C2279" t="s">
        <v>13496</v>
      </c>
      <c r="D2279" t="s">
        <v>13497</v>
      </c>
      <c r="E2279" t="s">
        <v>13498</v>
      </c>
      <c r="F2279" t="s">
        <v>932</v>
      </c>
      <c r="G2279" t="s">
        <v>737</v>
      </c>
      <c r="H2279" t="s">
        <v>347</v>
      </c>
      <c r="J2279" t="s">
        <v>605</v>
      </c>
      <c r="K2279" t="s">
        <v>606</v>
      </c>
      <c r="L2279" t="s">
        <v>4273</v>
      </c>
      <c r="M2279" t="s">
        <v>1382</v>
      </c>
      <c r="N2279" t="s">
        <v>608</v>
      </c>
      <c r="O2279" t="s">
        <v>933</v>
      </c>
      <c r="P2279" t="s">
        <v>739</v>
      </c>
      <c r="Q2279" t="s">
        <v>467</v>
      </c>
      <c r="R2279" t="s">
        <v>1384</v>
      </c>
      <c r="S2279" t="s">
        <v>934</v>
      </c>
      <c r="T2279" t="s">
        <v>794</v>
      </c>
      <c r="U2279">
        <v>147900</v>
      </c>
      <c r="V2279" t="s">
        <v>4805</v>
      </c>
      <c r="W2279" t="s">
        <v>817</v>
      </c>
      <c r="X2279" t="s">
        <v>7695</v>
      </c>
      <c r="Y2279" t="s">
        <v>4276</v>
      </c>
      <c r="Z2279" t="s">
        <v>4277</v>
      </c>
      <c r="AA2279" t="s">
        <v>4278</v>
      </c>
      <c r="AB2279" t="s">
        <v>7696</v>
      </c>
      <c r="AE2279">
        <v>-36.98346557</v>
      </c>
      <c r="AF2279">
        <v>174.76507462999999</v>
      </c>
      <c r="AG2279" s="175">
        <v>20</v>
      </c>
      <c r="AH2279" s="175">
        <v>8</v>
      </c>
      <c r="AI2279" s="175">
        <v>0</v>
      </c>
      <c r="AJ2279" s="175">
        <v>2</v>
      </c>
      <c r="AK2279" s="175">
        <v>4</v>
      </c>
      <c r="AL2279" s="175">
        <v>2</v>
      </c>
      <c r="AM2279" s="175">
        <v>5</v>
      </c>
      <c r="AN2279" s="175">
        <v>0</v>
      </c>
      <c r="AO2279" s="175">
        <v>13</v>
      </c>
      <c r="AP2279" s="175">
        <v>0</v>
      </c>
      <c r="AQ2279" s="175">
        <v>12</v>
      </c>
      <c r="AR2279" s="175">
        <v>1</v>
      </c>
      <c r="AS2279" s="175">
        <v>0</v>
      </c>
      <c r="AT2279" s="175">
        <v>0</v>
      </c>
    </row>
    <row r="2280" spans="1:46">
      <c r="A2280">
        <v>46223</v>
      </c>
      <c r="B2280" t="s">
        <v>13499</v>
      </c>
      <c r="C2280" t="s">
        <v>13500</v>
      </c>
      <c r="D2280" t="s">
        <v>13501</v>
      </c>
      <c r="E2280" t="s">
        <v>13502</v>
      </c>
      <c r="G2280" t="s">
        <v>3882</v>
      </c>
      <c r="H2280" t="s">
        <v>449</v>
      </c>
      <c r="J2280" t="s">
        <v>4032</v>
      </c>
      <c r="K2280" t="s">
        <v>606</v>
      </c>
      <c r="M2280" t="s">
        <v>607</v>
      </c>
      <c r="N2280" t="s">
        <v>625</v>
      </c>
      <c r="O2280" t="s">
        <v>1435</v>
      </c>
      <c r="P2280" t="s">
        <v>610</v>
      </c>
      <c r="Q2280" t="s">
        <v>510</v>
      </c>
      <c r="R2280" t="s">
        <v>814</v>
      </c>
      <c r="S2280" t="s">
        <v>1331</v>
      </c>
      <c r="T2280" t="s">
        <v>1320</v>
      </c>
      <c r="U2280">
        <v>170001</v>
      </c>
      <c r="V2280" t="s">
        <v>4609</v>
      </c>
      <c r="W2280" t="s">
        <v>3884</v>
      </c>
      <c r="X2280" t="s">
        <v>12728</v>
      </c>
      <c r="Y2280" t="s">
        <v>12729</v>
      </c>
      <c r="AA2280" t="s">
        <v>7805</v>
      </c>
      <c r="AE2280">
        <v>-37.258049990000004</v>
      </c>
      <c r="AF2280">
        <v>174.94536998000001</v>
      </c>
      <c r="AG2280" s="175">
        <v>118</v>
      </c>
      <c r="AH2280" s="175">
        <v>30</v>
      </c>
      <c r="AI2280" s="175">
        <v>3</v>
      </c>
      <c r="AJ2280" s="175">
        <v>23</v>
      </c>
      <c r="AK2280" s="175">
        <v>28</v>
      </c>
      <c r="AL2280" s="175">
        <v>27</v>
      </c>
      <c r="AM2280" s="175">
        <v>25</v>
      </c>
      <c r="AN2280" s="175">
        <v>2</v>
      </c>
      <c r="AO2280" s="175">
        <v>108</v>
      </c>
      <c r="AP2280" s="175">
        <v>76</v>
      </c>
      <c r="AQ2280" s="175">
        <v>46</v>
      </c>
      <c r="AR2280" s="175">
        <v>12</v>
      </c>
      <c r="AS2280" s="175">
        <v>11</v>
      </c>
      <c r="AT2280" s="175">
        <v>11</v>
      </c>
    </row>
    <row r="2281" spans="1:46">
      <c r="A2281">
        <v>46224</v>
      </c>
      <c r="B2281" t="s">
        <v>13503</v>
      </c>
      <c r="C2281" t="s">
        <v>13504</v>
      </c>
      <c r="D2281" t="s">
        <v>13505</v>
      </c>
      <c r="E2281" t="s">
        <v>13506</v>
      </c>
      <c r="F2281" t="s">
        <v>983</v>
      </c>
      <c r="G2281" t="s">
        <v>737</v>
      </c>
      <c r="H2281" t="s">
        <v>449</v>
      </c>
      <c r="J2281" t="s">
        <v>4032</v>
      </c>
      <c r="K2281" t="s">
        <v>606</v>
      </c>
      <c r="M2281" t="s">
        <v>607</v>
      </c>
      <c r="N2281" t="s">
        <v>657</v>
      </c>
      <c r="O2281" t="s">
        <v>898</v>
      </c>
      <c r="P2281" t="s">
        <v>739</v>
      </c>
      <c r="Q2281" t="s">
        <v>467</v>
      </c>
      <c r="R2281" t="s">
        <v>724</v>
      </c>
      <c r="S2281" t="s">
        <v>984</v>
      </c>
      <c r="T2281" t="s">
        <v>613</v>
      </c>
      <c r="U2281">
        <v>125100</v>
      </c>
      <c r="V2281" t="s">
        <v>4372</v>
      </c>
      <c r="W2281" t="s">
        <v>900</v>
      </c>
      <c r="X2281" t="s">
        <v>13507</v>
      </c>
      <c r="Y2281" t="s">
        <v>13508</v>
      </c>
      <c r="Z2281" t="s">
        <v>983</v>
      </c>
      <c r="AA2281" t="s">
        <v>4374</v>
      </c>
      <c r="AB2281" t="s">
        <v>13509</v>
      </c>
      <c r="AE2281">
        <v>-36.864176530000002</v>
      </c>
      <c r="AF2281">
        <v>174.63342474000001</v>
      </c>
      <c r="AG2281" s="175">
        <v>80</v>
      </c>
      <c r="AH2281" s="175">
        <v>10</v>
      </c>
      <c r="AI2281" s="175">
        <v>0</v>
      </c>
      <c r="AJ2281" s="175">
        <v>8</v>
      </c>
      <c r="AK2281" s="175">
        <v>10</v>
      </c>
      <c r="AL2281" s="175">
        <v>19</v>
      </c>
      <c r="AM2281" s="175">
        <v>20</v>
      </c>
      <c r="AN2281" s="175">
        <v>2</v>
      </c>
      <c r="AO2281" s="175">
        <v>59</v>
      </c>
      <c r="AP2281" s="175">
        <v>9</v>
      </c>
      <c r="AQ2281" s="175">
        <v>4</v>
      </c>
      <c r="AR2281" s="175">
        <v>5</v>
      </c>
      <c r="AS2281" s="175">
        <v>41</v>
      </c>
      <c r="AT2281" s="175">
        <v>6</v>
      </c>
    </row>
    <row r="2282" spans="1:46">
      <c r="A2282">
        <v>46226</v>
      </c>
      <c r="B2282" t="s">
        <v>13510</v>
      </c>
      <c r="C2282" t="s">
        <v>13511</v>
      </c>
      <c r="D2282" t="s">
        <v>13512</v>
      </c>
      <c r="E2282" t="s">
        <v>8465</v>
      </c>
      <c r="G2282" t="s">
        <v>1681</v>
      </c>
      <c r="H2282" t="s">
        <v>450</v>
      </c>
      <c r="J2282" t="s">
        <v>4032</v>
      </c>
      <c r="K2282" t="s">
        <v>606</v>
      </c>
      <c r="M2282" t="s">
        <v>607</v>
      </c>
      <c r="N2282" t="s">
        <v>4586</v>
      </c>
      <c r="O2282" t="s">
        <v>1780</v>
      </c>
      <c r="P2282" t="s">
        <v>739</v>
      </c>
      <c r="Q2282" t="s">
        <v>511</v>
      </c>
      <c r="R2282" t="s">
        <v>793</v>
      </c>
      <c r="S2282" t="s">
        <v>1681</v>
      </c>
      <c r="T2282" t="s">
        <v>1557</v>
      </c>
      <c r="U2282">
        <v>193800</v>
      </c>
      <c r="V2282" t="s">
        <v>8466</v>
      </c>
      <c r="W2282" t="s">
        <v>3795</v>
      </c>
      <c r="X2282" t="s">
        <v>8922</v>
      </c>
      <c r="Y2282" t="s">
        <v>8465</v>
      </c>
      <c r="AA2282" t="s">
        <v>8468</v>
      </c>
      <c r="AB2282" t="s">
        <v>8920</v>
      </c>
      <c r="AE2282">
        <v>-37.684258890000002</v>
      </c>
      <c r="AF2282">
        <v>176.16818183000001</v>
      </c>
      <c r="AG2282" s="175">
        <v>50</v>
      </c>
      <c r="AH2282" s="175">
        <v>50</v>
      </c>
      <c r="AI2282" s="175">
        <v>3</v>
      </c>
      <c r="AJ2282" s="175">
        <v>12</v>
      </c>
      <c r="AK2282" s="175">
        <v>9</v>
      </c>
      <c r="AL2282" s="175">
        <v>6</v>
      </c>
      <c r="AM2282" s="175">
        <v>3</v>
      </c>
      <c r="AN2282" s="175">
        <v>1</v>
      </c>
      <c r="AO2282" s="175">
        <v>34</v>
      </c>
      <c r="AP2282" s="175">
        <v>16</v>
      </c>
      <c r="AQ2282" s="175">
        <v>1</v>
      </c>
      <c r="AR2282" s="175">
        <v>9</v>
      </c>
      <c r="AS2282" s="175">
        <v>8</v>
      </c>
      <c r="AT2282" s="175">
        <v>7</v>
      </c>
    </row>
    <row r="2283" spans="1:46">
      <c r="A2283">
        <v>46235</v>
      </c>
      <c r="B2283" t="s">
        <v>13513</v>
      </c>
      <c r="C2283" t="s">
        <v>13514</v>
      </c>
      <c r="D2283" t="s">
        <v>13515</v>
      </c>
      <c r="E2283" t="s">
        <v>13516</v>
      </c>
      <c r="F2283" t="s">
        <v>11711</v>
      </c>
      <c r="G2283" t="s">
        <v>2276</v>
      </c>
      <c r="H2283" t="s">
        <v>449</v>
      </c>
      <c r="I2283" t="s">
        <v>4298</v>
      </c>
      <c r="J2283" t="s">
        <v>605</v>
      </c>
      <c r="K2283" t="s">
        <v>606</v>
      </c>
      <c r="M2283" t="s">
        <v>1382</v>
      </c>
      <c r="N2283" t="s">
        <v>657</v>
      </c>
      <c r="O2283" t="s">
        <v>2277</v>
      </c>
      <c r="P2283" t="s">
        <v>670</v>
      </c>
      <c r="Q2283" t="s">
        <v>513</v>
      </c>
      <c r="R2283" t="s">
        <v>2164</v>
      </c>
      <c r="S2283" t="s">
        <v>2278</v>
      </c>
      <c r="T2283" t="s">
        <v>2165</v>
      </c>
      <c r="U2283">
        <v>210500</v>
      </c>
      <c r="V2283" t="s">
        <v>11711</v>
      </c>
      <c r="W2283" t="s">
        <v>2279</v>
      </c>
      <c r="X2283" t="s">
        <v>13517</v>
      </c>
      <c r="Y2283" t="s">
        <v>13518</v>
      </c>
      <c r="AA2283" t="s">
        <v>13519</v>
      </c>
      <c r="AC2283">
        <v>99110</v>
      </c>
      <c r="AD2283" t="s">
        <v>4304</v>
      </c>
      <c r="AE2283">
        <v>-39.635414509999997</v>
      </c>
      <c r="AF2283">
        <v>176.84620362999999</v>
      </c>
      <c r="AG2283" s="175">
        <v>40</v>
      </c>
      <c r="AH2283" s="175">
        <v>0</v>
      </c>
      <c r="AI2283" s="175">
        <v>0</v>
      </c>
      <c r="AJ2283" s="175">
        <v>0</v>
      </c>
      <c r="AK2283" s="175">
        <v>0</v>
      </c>
      <c r="AL2283" s="175">
        <v>3</v>
      </c>
      <c r="AM2283" s="175">
        <v>9</v>
      </c>
      <c r="AN2283" s="175">
        <v>17</v>
      </c>
      <c r="AO2283" s="175">
        <v>29</v>
      </c>
      <c r="AP2283" s="175">
        <v>26</v>
      </c>
      <c r="AQ2283" s="175">
        <v>8</v>
      </c>
      <c r="AR2283" s="175">
        <v>1</v>
      </c>
      <c r="AS2283" s="175">
        <v>1</v>
      </c>
      <c r="AT2283" s="175">
        <v>3</v>
      </c>
    </row>
    <row r="2284" spans="1:46">
      <c r="A2284">
        <v>46238</v>
      </c>
      <c r="B2284" t="s">
        <v>13520</v>
      </c>
      <c r="C2284" t="s">
        <v>13521</v>
      </c>
      <c r="E2284" t="s">
        <v>13522</v>
      </c>
      <c r="F2284" t="s">
        <v>1711</v>
      </c>
      <c r="G2284" t="s">
        <v>1604</v>
      </c>
      <c r="H2284" t="s">
        <v>449</v>
      </c>
      <c r="J2284" t="s">
        <v>4032</v>
      </c>
      <c r="K2284" t="s">
        <v>606</v>
      </c>
      <c r="M2284" t="s">
        <v>1382</v>
      </c>
      <c r="N2284" t="s">
        <v>625</v>
      </c>
      <c r="O2284" t="s">
        <v>1605</v>
      </c>
      <c r="P2284" t="s">
        <v>670</v>
      </c>
      <c r="Q2284" t="s">
        <v>511</v>
      </c>
      <c r="R2284" t="s">
        <v>1555</v>
      </c>
      <c r="S2284" t="s">
        <v>1604</v>
      </c>
      <c r="T2284" t="s">
        <v>1557</v>
      </c>
      <c r="U2284">
        <v>201401</v>
      </c>
      <c r="V2284" t="s">
        <v>1712</v>
      </c>
      <c r="W2284" t="s">
        <v>1606</v>
      </c>
      <c r="X2284" t="s">
        <v>13523</v>
      </c>
      <c r="Y2284" t="s">
        <v>13524</v>
      </c>
      <c r="Z2284" t="s">
        <v>1711</v>
      </c>
      <c r="AA2284" t="s">
        <v>8584</v>
      </c>
      <c r="AB2284" t="s">
        <v>13525</v>
      </c>
      <c r="AC2284">
        <v>99017</v>
      </c>
      <c r="AD2284" t="s">
        <v>1713</v>
      </c>
      <c r="AE2284">
        <v>-38.138241100000002</v>
      </c>
      <c r="AF2284">
        <v>176.29882449999999</v>
      </c>
      <c r="AG2284" s="175">
        <v>25</v>
      </c>
      <c r="AH2284" s="175">
        <v>0</v>
      </c>
      <c r="AI2284" s="175">
        <v>0</v>
      </c>
      <c r="AJ2284" s="175">
        <v>0</v>
      </c>
      <c r="AK2284" s="175">
        <v>3</v>
      </c>
      <c r="AL2284" s="175">
        <v>1</v>
      </c>
      <c r="AM2284" s="175">
        <v>5</v>
      </c>
      <c r="AN2284" s="175">
        <v>0</v>
      </c>
      <c r="AO2284" s="175">
        <v>9</v>
      </c>
      <c r="AP2284" s="175">
        <v>3</v>
      </c>
      <c r="AQ2284" s="175">
        <v>9</v>
      </c>
      <c r="AR2284" s="175">
        <v>2</v>
      </c>
      <c r="AS2284" s="175">
        <v>0</v>
      </c>
      <c r="AT2284" s="175">
        <v>0</v>
      </c>
    </row>
    <row r="2285" spans="1:46">
      <c r="A2285">
        <v>46240</v>
      </c>
      <c r="B2285" t="s">
        <v>13526</v>
      </c>
      <c r="C2285" t="s">
        <v>13527</v>
      </c>
      <c r="D2285" t="s">
        <v>13528</v>
      </c>
      <c r="E2285" t="s">
        <v>13529</v>
      </c>
      <c r="F2285" t="s">
        <v>7220</v>
      </c>
      <c r="G2285" t="s">
        <v>737</v>
      </c>
      <c r="H2285" t="s">
        <v>450</v>
      </c>
      <c r="J2285" t="s">
        <v>4032</v>
      </c>
      <c r="K2285" t="s">
        <v>606</v>
      </c>
      <c r="M2285" t="s">
        <v>607</v>
      </c>
      <c r="N2285" t="s">
        <v>657</v>
      </c>
      <c r="O2285" t="s">
        <v>942</v>
      </c>
      <c r="P2285" t="s">
        <v>739</v>
      </c>
      <c r="Q2285" t="s">
        <v>467</v>
      </c>
      <c r="R2285" t="s">
        <v>793</v>
      </c>
      <c r="S2285" t="s">
        <v>943</v>
      </c>
      <c r="T2285" t="s">
        <v>794</v>
      </c>
      <c r="U2285">
        <v>133600</v>
      </c>
      <c r="V2285" t="s">
        <v>1097</v>
      </c>
      <c r="W2285" t="s">
        <v>945</v>
      </c>
      <c r="X2285" t="s">
        <v>13530</v>
      </c>
      <c r="Y2285" t="s">
        <v>8787</v>
      </c>
      <c r="Z2285" t="s">
        <v>2295</v>
      </c>
      <c r="AA2285" t="s">
        <v>8788</v>
      </c>
      <c r="AE2285">
        <v>-36.869231489999997</v>
      </c>
      <c r="AF2285">
        <v>174.73003892</v>
      </c>
      <c r="AG2285" s="175">
        <v>80</v>
      </c>
      <c r="AH2285" s="175">
        <v>80</v>
      </c>
      <c r="AI2285" s="175">
        <v>5</v>
      </c>
      <c r="AJ2285" s="175">
        <v>2</v>
      </c>
      <c r="AK2285" s="175">
        <v>8</v>
      </c>
      <c r="AL2285" s="175">
        <v>5</v>
      </c>
      <c r="AM2285" s="175">
        <v>1</v>
      </c>
      <c r="AN2285" s="175">
        <v>0</v>
      </c>
      <c r="AO2285" s="175">
        <v>21</v>
      </c>
      <c r="AP2285" s="175">
        <v>21</v>
      </c>
      <c r="AQ2285" s="175">
        <v>4</v>
      </c>
      <c r="AR2285" s="175">
        <v>0</v>
      </c>
      <c r="AS2285" s="175">
        <v>3</v>
      </c>
      <c r="AT2285" s="175">
        <v>0</v>
      </c>
    </row>
    <row r="2286" spans="1:46">
      <c r="A2286">
        <v>46252</v>
      </c>
      <c r="B2286" t="s">
        <v>13531</v>
      </c>
      <c r="E2286" t="s">
        <v>13532</v>
      </c>
      <c r="F2286" t="s">
        <v>13533</v>
      </c>
      <c r="G2286" t="s">
        <v>3454</v>
      </c>
      <c r="H2286" t="s">
        <v>452</v>
      </c>
      <c r="J2286" t="s">
        <v>605</v>
      </c>
      <c r="K2286" t="s">
        <v>606</v>
      </c>
      <c r="M2286" t="s">
        <v>2366</v>
      </c>
      <c r="N2286" t="s">
        <v>657</v>
      </c>
      <c r="O2286" t="s">
        <v>3455</v>
      </c>
      <c r="P2286" t="s">
        <v>739</v>
      </c>
      <c r="Q2286" t="s">
        <v>522</v>
      </c>
      <c r="R2286" t="s">
        <v>3410</v>
      </c>
      <c r="S2286" t="s">
        <v>3454</v>
      </c>
      <c r="T2286" t="s">
        <v>2526</v>
      </c>
      <c r="U2286">
        <v>355100</v>
      </c>
      <c r="V2286" t="s">
        <v>13534</v>
      </c>
      <c r="W2286" t="s">
        <v>1734</v>
      </c>
      <c r="X2286" t="s">
        <v>3457</v>
      </c>
      <c r="Y2286" t="s">
        <v>3458</v>
      </c>
      <c r="Z2286" t="s">
        <v>3459</v>
      </c>
      <c r="AA2286" t="s">
        <v>3460</v>
      </c>
      <c r="AB2286" t="s">
        <v>3461</v>
      </c>
      <c r="AE2286">
        <v>-45.839091330000002</v>
      </c>
      <c r="AF2286">
        <v>170.65513910000001</v>
      </c>
      <c r="AG2286" s="175">
        <v>32</v>
      </c>
      <c r="AH2286" s="175">
        <v>0</v>
      </c>
      <c r="AI2286" s="175">
        <v>0</v>
      </c>
      <c r="AJ2286" s="175">
        <v>0</v>
      </c>
      <c r="AK2286" s="175">
        <v>6</v>
      </c>
      <c r="AL2286" s="175">
        <v>7</v>
      </c>
      <c r="AM2286" s="175">
        <v>10</v>
      </c>
      <c r="AN2286" s="175">
        <v>0</v>
      </c>
      <c r="AO2286" s="175">
        <v>23</v>
      </c>
      <c r="AP2286" s="175">
        <v>22</v>
      </c>
      <c r="AQ2286" s="175">
        <v>5</v>
      </c>
      <c r="AR2286" s="175">
        <v>0</v>
      </c>
      <c r="AS2286" s="175">
        <v>0</v>
      </c>
      <c r="AT2286" s="175">
        <v>0</v>
      </c>
    </row>
    <row r="2287" spans="1:46">
      <c r="A2287">
        <v>46253</v>
      </c>
      <c r="B2287" t="s">
        <v>13535</v>
      </c>
      <c r="C2287" t="s">
        <v>13536</v>
      </c>
      <c r="D2287" t="s">
        <v>13537</v>
      </c>
      <c r="E2287" t="s">
        <v>13538</v>
      </c>
      <c r="G2287" t="s">
        <v>5645</v>
      </c>
      <c r="H2287" t="s">
        <v>450</v>
      </c>
      <c r="J2287" t="s">
        <v>4032</v>
      </c>
      <c r="K2287" t="s">
        <v>606</v>
      </c>
      <c r="M2287" t="s">
        <v>607</v>
      </c>
      <c r="N2287" t="s">
        <v>657</v>
      </c>
      <c r="O2287" t="s">
        <v>723</v>
      </c>
      <c r="P2287" t="s">
        <v>658</v>
      </c>
      <c r="Q2287" t="s">
        <v>467</v>
      </c>
      <c r="R2287" t="s">
        <v>724</v>
      </c>
      <c r="S2287" t="s">
        <v>725</v>
      </c>
      <c r="T2287" t="s">
        <v>613</v>
      </c>
      <c r="U2287">
        <v>113201</v>
      </c>
      <c r="V2287" t="s">
        <v>4384</v>
      </c>
      <c r="W2287" t="s">
        <v>726</v>
      </c>
      <c r="X2287" t="s">
        <v>13539</v>
      </c>
      <c r="Y2287" t="s">
        <v>13538</v>
      </c>
      <c r="AA2287" t="s">
        <v>6278</v>
      </c>
      <c r="AB2287" t="s">
        <v>13540</v>
      </c>
      <c r="AE2287">
        <v>-36.794480270000001</v>
      </c>
      <c r="AF2287">
        <v>174.48642727999999</v>
      </c>
      <c r="AG2287" s="175">
        <v>20</v>
      </c>
      <c r="AH2287" s="175">
        <v>20</v>
      </c>
      <c r="AI2287" s="175">
        <v>0</v>
      </c>
      <c r="AJ2287" s="175">
        <v>1</v>
      </c>
      <c r="AK2287" s="175">
        <v>1</v>
      </c>
      <c r="AL2287" s="175">
        <v>0</v>
      </c>
      <c r="AM2287" s="175">
        <v>0</v>
      </c>
      <c r="AN2287" s="175">
        <v>0</v>
      </c>
      <c r="AO2287" s="175">
        <v>2</v>
      </c>
      <c r="AP2287" s="175">
        <v>2</v>
      </c>
      <c r="AQ2287" s="175">
        <v>0</v>
      </c>
      <c r="AR2287" s="175">
        <v>0</v>
      </c>
      <c r="AS2287" s="175">
        <v>0</v>
      </c>
      <c r="AT2287" s="175">
        <v>0</v>
      </c>
    </row>
    <row r="2288" spans="1:46">
      <c r="A2288">
        <v>46255</v>
      </c>
      <c r="B2288" t="s">
        <v>13541</v>
      </c>
      <c r="C2288" t="s">
        <v>13542</v>
      </c>
      <c r="E2288" t="s">
        <v>13543</v>
      </c>
      <c r="G2288" t="s">
        <v>13544</v>
      </c>
      <c r="H2288" t="s">
        <v>449</v>
      </c>
      <c r="J2288" t="s">
        <v>605</v>
      </c>
      <c r="K2288" t="s">
        <v>606</v>
      </c>
      <c r="M2288" t="s">
        <v>2366</v>
      </c>
      <c r="N2288" t="s">
        <v>4586</v>
      </c>
      <c r="O2288" t="s">
        <v>13545</v>
      </c>
      <c r="P2288" t="s">
        <v>610</v>
      </c>
      <c r="Q2288" t="s">
        <v>521</v>
      </c>
      <c r="R2288" t="s">
        <v>3017</v>
      </c>
      <c r="S2288" t="s">
        <v>2902</v>
      </c>
      <c r="T2288" t="s">
        <v>2526</v>
      </c>
      <c r="U2288">
        <v>312901</v>
      </c>
      <c r="V2288" t="s">
        <v>13544</v>
      </c>
      <c r="W2288" t="s">
        <v>13546</v>
      </c>
      <c r="X2288" t="s">
        <v>13547</v>
      </c>
      <c r="Y2288" t="s">
        <v>13548</v>
      </c>
      <c r="AA2288" t="s">
        <v>13549</v>
      </c>
      <c r="AB2288" t="s">
        <v>13550</v>
      </c>
      <c r="AC2288">
        <v>99077</v>
      </c>
      <c r="AD2288" t="s">
        <v>3041</v>
      </c>
      <c r="AE2288">
        <v>-43.152116489999997</v>
      </c>
      <c r="AF2288">
        <v>172.72393094</v>
      </c>
      <c r="AG2288" s="175">
        <v>26</v>
      </c>
      <c r="AH2288" s="175">
        <v>0</v>
      </c>
      <c r="AI2288" s="175">
        <v>0</v>
      </c>
      <c r="AJ2288" s="175">
        <v>0</v>
      </c>
      <c r="AK2288" s="175">
        <v>0</v>
      </c>
      <c r="AL2288" s="175">
        <v>7</v>
      </c>
      <c r="AM2288" s="175">
        <v>14</v>
      </c>
      <c r="AN2288" s="175">
        <v>3</v>
      </c>
      <c r="AO2288" s="175">
        <v>24</v>
      </c>
      <c r="AP2288" s="175">
        <v>19</v>
      </c>
      <c r="AQ2288" s="175">
        <v>3</v>
      </c>
      <c r="AR2288" s="175">
        <v>0</v>
      </c>
      <c r="AS2288" s="175">
        <v>2</v>
      </c>
      <c r="AT2288" s="175">
        <v>2</v>
      </c>
    </row>
    <row r="2289" spans="1:46">
      <c r="A2289">
        <v>46256</v>
      </c>
      <c r="B2289" t="s">
        <v>13551</v>
      </c>
      <c r="C2289" t="s">
        <v>13552</v>
      </c>
      <c r="D2289" t="s">
        <v>13553</v>
      </c>
      <c r="E2289" t="s">
        <v>13554</v>
      </c>
      <c r="F2289" t="s">
        <v>913</v>
      </c>
      <c r="G2289" t="s">
        <v>737</v>
      </c>
      <c r="H2289" t="s">
        <v>449</v>
      </c>
      <c r="J2289" t="s">
        <v>4032</v>
      </c>
      <c r="K2289" t="s">
        <v>606</v>
      </c>
      <c r="M2289" t="s">
        <v>607</v>
      </c>
      <c r="N2289" t="s">
        <v>4586</v>
      </c>
      <c r="O2289" t="s">
        <v>914</v>
      </c>
      <c r="P2289" t="s">
        <v>739</v>
      </c>
      <c r="Q2289" t="s">
        <v>467</v>
      </c>
      <c r="R2289" t="s">
        <v>793</v>
      </c>
      <c r="S2289" t="s">
        <v>890</v>
      </c>
      <c r="T2289" t="s">
        <v>794</v>
      </c>
      <c r="U2289">
        <v>145600</v>
      </c>
      <c r="V2289" t="s">
        <v>13555</v>
      </c>
      <c r="W2289" t="s">
        <v>892</v>
      </c>
      <c r="X2289" t="s">
        <v>13556</v>
      </c>
      <c r="Y2289" t="s">
        <v>13557</v>
      </c>
      <c r="Z2289" t="s">
        <v>834</v>
      </c>
      <c r="AA2289" t="s">
        <v>4356</v>
      </c>
      <c r="AE2289">
        <v>-36.917870010000001</v>
      </c>
      <c r="AF2289">
        <v>174.80088705</v>
      </c>
      <c r="AG2289" s="175">
        <v>95</v>
      </c>
      <c r="AH2289" s="175">
        <v>35</v>
      </c>
      <c r="AI2289" s="175">
        <v>1</v>
      </c>
      <c r="AJ2289" s="175">
        <v>27</v>
      </c>
      <c r="AK2289" s="175">
        <v>24</v>
      </c>
      <c r="AL2289" s="175">
        <v>16</v>
      </c>
      <c r="AM2289" s="175">
        <v>22</v>
      </c>
      <c r="AN2289" s="175">
        <v>0</v>
      </c>
      <c r="AO2289" s="175">
        <v>90</v>
      </c>
      <c r="AP2289" s="175">
        <v>76</v>
      </c>
      <c r="AQ2289" s="175">
        <v>11</v>
      </c>
      <c r="AR2289" s="175">
        <v>3</v>
      </c>
      <c r="AS2289" s="175">
        <v>17</v>
      </c>
      <c r="AT2289" s="175">
        <v>4</v>
      </c>
    </row>
    <row r="2290" spans="1:46">
      <c r="A2290">
        <v>46263</v>
      </c>
      <c r="B2290" t="s">
        <v>13558</v>
      </c>
      <c r="C2290" t="s">
        <v>13559</v>
      </c>
      <c r="E2290" t="s">
        <v>13560</v>
      </c>
      <c r="G2290" t="s">
        <v>3408</v>
      </c>
      <c r="H2290" t="s">
        <v>452</v>
      </c>
      <c r="J2290" t="s">
        <v>605</v>
      </c>
      <c r="K2290" t="s">
        <v>606</v>
      </c>
      <c r="M2290" t="s">
        <v>2366</v>
      </c>
      <c r="N2290" t="s">
        <v>625</v>
      </c>
      <c r="O2290" t="s">
        <v>3409</v>
      </c>
      <c r="P2290" t="s">
        <v>1347</v>
      </c>
      <c r="Q2290" t="s">
        <v>522</v>
      </c>
      <c r="R2290" t="s">
        <v>3410</v>
      </c>
      <c r="S2290" t="s">
        <v>3323</v>
      </c>
      <c r="T2290" t="s">
        <v>2526</v>
      </c>
      <c r="U2290">
        <v>344200</v>
      </c>
      <c r="V2290" t="s">
        <v>13561</v>
      </c>
      <c r="W2290" t="s">
        <v>3412</v>
      </c>
      <c r="X2290" t="s">
        <v>3413</v>
      </c>
      <c r="Y2290" t="s">
        <v>3414</v>
      </c>
      <c r="AA2290" t="s">
        <v>3415</v>
      </c>
      <c r="AB2290" t="s">
        <v>3416</v>
      </c>
      <c r="AE2290">
        <v>-45.091676229999997</v>
      </c>
      <c r="AF2290">
        <v>170.97095103999999</v>
      </c>
      <c r="AG2290" s="175">
        <v>40</v>
      </c>
      <c r="AH2290" s="175">
        <v>0</v>
      </c>
      <c r="AI2290" s="175">
        <v>0</v>
      </c>
      <c r="AJ2290" s="175">
        <v>0</v>
      </c>
      <c r="AK2290" s="175">
        <v>5</v>
      </c>
      <c r="AL2290" s="175">
        <v>16</v>
      </c>
      <c r="AM2290" s="175">
        <v>24</v>
      </c>
      <c r="AN2290" s="175">
        <v>0</v>
      </c>
      <c r="AO2290" s="175">
        <v>45</v>
      </c>
      <c r="AP2290" s="175">
        <v>33</v>
      </c>
      <c r="AQ2290" s="175">
        <v>9</v>
      </c>
      <c r="AR2290" s="175">
        <v>11</v>
      </c>
      <c r="AS2290" s="175">
        <v>9</v>
      </c>
      <c r="AT2290" s="175">
        <v>1</v>
      </c>
    </row>
    <row r="2291" spans="1:46">
      <c r="A2291">
        <v>46264</v>
      </c>
      <c r="B2291" t="s">
        <v>13562</v>
      </c>
      <c r="C2291" t="s">
        <v>13563</v>
      </c>
      <c r="D2291" t="s">
        <v>13564</v>
      </c>
      <c r="E2291" t="s">
        <v>13565</v>
      </c>
      <c r="G2291" t="s">
        <v>1702</v>
      </c>
      <c r="H2291" t="s">
        <v>449</v>
      </c>
      <c r="J2291" t="s">
        <v>4032</v>
      </c>
      <c r="K2291" t="s">
        <v>606</v>
      </c>
      <c r="M2291" t="s">
        <v>1382</v>
      </c>
      <c r="N2291" t="s">
        <v>643</v>
      </c>
      <c r="O2291" t="s">
        <v>1703</v>
      </c>
      <c r="P2291" t="s">
        <v>610</v>
      </c>
      <c r="Q2291" t="s">
        <v>510</v>
      </c>
      <c r="R2291" t="s">
        <v>1384</v>
      </c>
      <c r="S2291" t="s">
        <v>1501</v>
      </c>
      <c r="T2291" t="s">
        <v>1568</v>
      </c>
      <c r="U2291">
        <v>185500</v>
      </c>
      <c r="V2291" t="s">
        <v>1704</v>
      </c>
      <c r="W2291" t="s">
        <v>1705</v>
      </c>
      <c r="X2291" t="s">
        <v>13566</v>
      </c>
      <c r="Y2291" t="s">
        <v>13567</v>
      </c>
      <c r="AA2291" t="s">
        <v>7805</v>
      </c>
      <c r="AB2291" t="s">
        <v>13568</v>
      </c>
      <c r="AE2291">
        <v>-38.190544170000003</v>
      </c>
      <c r="AF2291">
        <v>175.20833388</v>
      </c>
      <c r="AG2291" s="175">
        <v>35</v>
      </c>
      <c r="AH2291" s="175">
        <v>14</v>
      </c>
      <c r="AI2291" s="175">
        <v>3</v>
      </c>
      <c r="AJ2291" s="175">
        <v>9</v>
      </c>
      <c r="AK2291" s="175">
        <v>9</v>
      </c>
      <c r="AL2291" s="175">
        <v>16</v>
      </c>
      <c r="AM2291" s="175">
        <v>8</v>
      </c>
      <c r="AN2291" s="175">
        <v>0</v>
      </c>
      <c r="AO2291" s="175">
        <v>45</v>
      </c>
      <c r="AP2291" s="175">
        <v>42</v>
      </c>
      <c r="AQ2291" s="175">
        <v>18</v>
      </c>
      <c r="AR2291" s="175">
        <v>0</v>
      </c>
      <c r="AS2291" s="175">
        <v>1</v>
      </c>
      <c r="AT2291" s="175">
        <v>0</v>
      </c>
    </row>
    <row r="2292" spans="1:46">
      <c r="A2292">
        <v>46267</v>
      </c>
      <c r="B2292" t="s">
        <v>13569</v>
      </c>
      <c r="C2292" t="s">
        <v>13570</v>
      </c>
      <c r="D2292" t="s">
        <v>13571</v>
      </c>
      <c r="E2292" t="s">
        <v>13572</v>
      </c>
      <c r="F2292" t="s">
        <v>1120</v>
      </c>
      <c r="G2292" t="s">
        <v>737</v>
      </c>
      <c r="H2292" t="s">
        <v>449</v>
      </c>
      <c r="J2292" t="s">
        <v>4032</v>
      </c>
      <c r="K2292" t="s">
        <v>606</v>
      </c>
      <c r="M2292" t="s">
        <v>607</v>
      </c>
      <c r="N2292" t="s">
        <v>625</v>
      </c>
      <c r="O2292" t="s">
        <v>813</v>
      </c>
      <c r="P2292" t="s">
        <v>739</v>
      </c>
      <c r="Q2292" t="s">
        <v>467</v>
      </c>
      <c r="R2292" t="s">
        <v>814</v>
      </c>
      <c r="S2292" t="s">
        <v>815</v>
      </c>
      <c r="T2292" t="s">
        <v>794</v>
      </c>
      <c r="U2292">
        <v>155601</v>
      </c>
      <c r="V2292" t="s">
        <v>13573</v>
      </c>
      <c r="W2292" t="s">
        <v>817</v>
      </c>
      <c r="X2292" t="s">
        <v>13574</v>
      </c>
      <c r="Y2292" t="s">
        <v>13575</v>
      </c>
      <c r="Z2292" t="s">
        <v>5224</v>
      </c>
      <c r="AA2292" t="s">
        <v>4449</v>
      </c>
      <c r="AB2292" t="s">
        <v>13576</v>
      </c>
      <c r="AE2292">
        <v>-36.969468810000002</v>
      </c>
      <c r="AF2292">
        <v>174.86601277</v>
      </c>
      <c r="AG2292" s="175">
        <v>42</v>
      </c>
      <c r="AH2292" s="175">
        <v>10</v>
      </c>
      <c r="AI2292" s="175">
        <v>1</v>
      </c>
      <c r="AJ2292" s="175">
        <v>1</v>
      </c>
      <c r="AK2292" s="175">
        <v>12</v>
      </c>
      <c r="AL2292" s="175">
        <v>10</v>
      </c>
      <c r="AM2292" s="175">
        <v>9</v>
      </c>
      <c r="AN2292" s="175">
        <v>1</v>
      </c>
      <c r="AO2292" s="175">
        <v>34</v>
      </c>
      <c r="AP2292" s="175">
        <v>0</v>
      </c>
      <c r="AQ2292" s="175">
        <v>1</v>
      </c>
      <c r="AR2292" s="175">
        <v>0</v>
      </c>
      <c r="AS2292" s="175">
        <v>33</v>
      </c>
      <c r="AT2292" s="175">
        <v>0</v>
      </c>
    </row>
    <row r="2293" spans="1:46">
      <c r="A2293">
        <v>46270</v>
      </c>
      <c r="B2293" t="s">
        <v>13577</v>
      </c>
      <c r="C2293" t="s">
        <v>13578</v>
      </c>
      <c r="E2293" t="s">
        <v>13579</v>
      </c>
      <c r="F2293" t="s">
        <v>1688</v>
      </c>
      <c r="G2293" t="s">
        <v>1604</v>
      </c>
      <c r="H2293" t="s">
        <v>449</v>
      </c>
      <c r="J2293" t="s">
        <v>4032</v>
      </c>
      <c r="K2293" t="s">
        <v>606</v>
      </c>
      <c r="M2293" t="s">
        <v>1382</v>
      </c>
      <c r="N2293" t="s">
        <v>657</v>
      </c>
      <c r="O2293" t="s">
        <v>1605</v>
      </c>
      <c r="P2293" t="s">
        <v>658</v>
      </c>
      <c r="Q2293" t="s">
        <v>511</v>
      </c>
      <c r="R2293" t="s">
        <v>1555</v>
      </c>
      <c r="S2293" t="s">
        <v>1604</v>
      </c>
      <c r="T2293" t="s">
        <v>1557</v>
      </c>
      <c r="U2293">
        <v>197700</v>
      </c>
      <c r="V2293" t="s">
        <v>13580</v>
      </c>
      <c r="W2293" t="s">
        <v>9890</v>
      </c>
      <c r="X2293" t="s">
        <v>13581</v>
      </c>
      <c r="Y2293" t="s">
        <v>13582</v>
      </c>
      <c r="Z2293" t="s">
        <v>1688</v>
      </c>
      <c r="AA2293" t="s">
        <v>13583</v>
      </c>
      <c r="AB2293" t="s">
        <v>13584</v>
      </c>
      <c r="AC2293">
        <v>99107</v>
      </c>
      <c r="AD2293" t="s">
        <v>1609</v>
      </c>
      <c r="AE2293">
        <v>-38.058057099999999</v>
      </c>
      <c r="AF2293">
        <v>176.20684800000001</v>
      </c>
      <c r="AG2293" s="175">
        <v>50</v>
      </c>
      <c r="AH2293" s="175">
        <v>10</v>
      </c>
      <c r="AI2293" s="175">
        <v>0</v>
      </c>
      <c r="AJ2293" s="175">
        <v>9</v>
      </c>
      <c r="AK2293" s="175">
        <v>15</v>
      </c>
      <c r="AL2293" s="175">
        <v>20</v>
      </c>
      <c r="AM2293" s="175">
        <v>16</v>
      </c>
      <c r="AN2293" s="175">
        <v>0</v>
      </c>
      <c r="AO2293" s="175">
        <v>60</v>
      </c>
      <c r="AP2293" s="175">
        <v>56</v>
      </c>
      <c r="AQ2293" s="175">
        <v>12</v>
      </c>
      <c r="AR2293" s="175">
        <v>1</v>
      </c>
      <c r="AS2293" s="175">
        <v>0</v>
      </c>
      <c r="AT2293" s="175">
        <v>4</v>
      </c>
    </row>
    <row r="2294" spans="1:46">
      <c r="A2294">
        <v>46272</v>
      </c>
      <c r="B2294" t="s">
        <v>13585</v>
      </c>
      <c r="C2294" t="s">
        <v>13586</v>
      </c>
      <c r="D2294" t="s">
        <v>13587</v>
      </c>
      <c r="E2294" t="s">
        <v>13588</v>
      </c>
      <c r="G2294" t="s">
        <v>4576</v>
      </c>
      <c r="H2294" t="s">
        <v>449</v>
      </c>
      <c r="I2294" t="s">
        <v>4134</v>
      </c>
      <c r="J2294" t="s">
        <v>4032</v>
      </c>
      <c r="K2294" t="s">
        <v>606</v>
      </c>
      <c r="M2294" t="s">
        <v>607</v>
      </c>
      <c r="N2294" t="s">
        <v>657</v>
      </c>
      <c r="O2294" t="s">
        <v>738</v>
      </c>
      <c r="P2294" t="s">
        <v>670</v>
      </c>
      <c r="Q2294" t="s">
        <v>467</v>
      </c>
      <c r="R2294" t="s">
        <v>724</v>
      </c>
      <c r="S2294" t="s">
        <v>753</v>
      </c>
      <c r="T2294" t="s">
        <v>613</v>
      </c>
      <c r="U2294">
        <v>113800</v>
      </c>
      <c r="V2294" t="s">
        <v>7285</v>
      </c>
      <c r="W2294" t="s">
        <v>742</v>
      </c>
      <c r="X2294" t="s">
        <v>13589</v>
      </c>
      <c r="Y2294" t="s">
        <v>13590</v>
      </c>
      <c r="AA2294" t="s">
        <v>13591</v>
      </c>
      <c r="AB2294" t="s">
        <v>13592</v>
      </c>
      <c r="AE2294">
        <v>-36.616214650000003</v>
      </c>
      <c r="AF2294">
        <v>174.67696040000001</v>
      </c>
      <c r="AG2294" s="175">
        <v>45</v>
      </c>
      <c r="AH2294" s="175">
        <v>0</v>
      </c>
      <c r="AI2294" s="175">
        <v>0</v>
      </c>
      <c r="AJ2294" s="175">
        <v>0</v>
      </c>
      <c r="AK2294" s="175">
        <v>11</v>
      </c>
      <c r="AL2294" s="175">
        <v>12</v>
      </c>
      <c r="AM2294" s="175">
        <v>18</v>
      </c>
      <c r="AN2294" s="175">
        <v>2</v>
      </c>
      <c r="AO2294" s="175">
        <v>43</v>
      </c>
      <c r="AP2294" s="175">
        <v>29</v>
      </c>
      <c r="AQ2294" s="175">
        <v>3</v>
      </c>
      <c r="AR2294" s="175">
        <v>0</v>
      </c>
      <c r="AS2294" s="175">
        <v>14</v>
      </c>
      <c r="AT2294" s="175">
        <v>4</v>
      </c>
    </row>
    <row r="2295" spans="1:46">
      <c r="A2295">
        <v>46273</v>
      </c>
      <c r="B2295" t="s">
        <v>13593</v>
      </c>
      <c r="C2295" t="s">
        <v>13594</v>
      </c>
      <c r="D2295" t="s">
        <v>13128</v>
      </c>
      <c r="E2295" t="s">
        <v>13595</v>
      </c>
      <c r="F2295" t="s">
        <v>811</v>
      </c>
      <c r="G2295" t="s">
        <v>737</v>
      </c>
      <c r="H2295" t="s">
        <v>450</v>
      </c>
      <c r="I2295" t="s">
        <v>4320</v>
      </c>
      <c r="J2295" t="s">
        <v>4032</v>
      </c>
      <c r="K2295" t="s">
        <v>606</v>
      </c>
      <c r="M2295" t="s">
        <v>607</v>
      </c>
      <c r="N2295" t="s">
        <v>608</v>
      </c>
      <c r="O2295" t="s">
        <v>813</v>
      </c>
      <c r="P2295" t="s">
        <v>739</v>
      </c>
      <c r="Q2295" t="s">
        <v>467</v>
      </c>
      <c r="R2295" t="s">
        <v>814</v>
      </c>
      <c r="S2295" t="s">
        <v>815</v>
      </c>
      <c r="T2295" t="s">
        <v>794</v>
      </c>
      <c r="U2295">
        <v>154400</v>
      </c>
      <c r="V2295" t="s">
        <v>7416</v>
      </c>
      <c r="W2295" t="s">
        <v>817</v>
      </c>
      <c r="X2295" t="s">
        <v>13130</v>
      </c>
      <c r="Y2295" t="s">
        <v>13131</v>
      </c>
      <c r="Z2295" t="s">
        <v>1157</v>
      </c>
      <c r="AA2295" t="s">
        <v>4952</v>
      </c>
      <c r="AB2295" t="s">
        <v>13132</v>
      </c>
      <c r="AE2295">
        <v>-36.96103085</v>
      </c>
      <c r="AF2295">
        <v>174.8755405</v>
      </c>
      <c r="AG2295" s="175">
        <v>60</v>
      </c>
      <c r="AH2295" s="175">
        <v>60</v>
      </c>
      <c r="AI2295" s="175">
        <v>8</v>
      </c>
      <c r="AJ2295" s="175">
        <v>11</v>
      </c>
      <c r="AK2295" s="175">
        <v>12</v>
      </c>
      <c r="AL2295" s="175">
        <v>12</v>
      </c>
      <c r="AM2295" s="175">
        <v>5</v>
      </c>
      <c r="AN2295" s="175">
        <v>0</v>
      </c>
      <c r="AO2295" s="175">
        <v>48</v>
      </c>
      <c r="AP2295" s="175">
        <v>0</v>
      </c>
      <c r="AQ2295" s="175">
        <v>0</v>
      </c>
      <c r="AR2295" s="175">
        <v>48</v>
      </c>
      <c r="AS2295" s="175">
        <v>0</v>
      </c>
      <c r="AT2295" s="175">
        <v>0</v>
      </c>
    </row>
    <row r="2296" spans="1:46">
      <c r="A2296">
        <v>46275</v>
      </c>
      <c r="B2296" t="s">
        <v>13596</v>
      </c>
      <c r="C2296" t="s">
        <v>13597</v>
      </c>
      <c r="D2296" t="s">
        <v>12112</v>
      </c>
      <c r="E2296" t="s">
        <v>13598</v>
      </c>
      <c r="F2296" t="s">
        <v>13599</v>
      </c>
      <c r="G2296" t="s">
        <v>3334</v>
      </c>
      <c r="H2296" t="s">
        <v>449</v>
      </c>
      <c r="J2296" t="s">
        <v>4032</v>
      </c>
      <c r="K2296" t="s">
        <v>606</v>
      </c>
      <c r="M2296" t="s">
        <v>2366</v>
      </c>
      <c r="N2296" t="s">
        <v>657</v>
      </c>
      <c r="O2296" t="s">
        <v>3322</v>
      </c>
      <c r="P2296" t="s">
        <v>1347</v>
      </c>
      <c r="Q2296" t="s">
        <v>521</v>
      </c>
      <c r="R2296" t="s">
        <v>3017</v>
      </c>
      <c r="S2296" t="s">
        <v>3292</v>
      </c>
      <c r="T2296" t="s">
        <v>2526</v>
      </c>
      <c r="U2296">
        <v>340100</v>
      </c>
      <c r="V2296" t="s">
        <v>13599</v>
      </c>
      <c r="W2296" t="s">
        <v>3336</v>
      </c>
      <c r="X2296" t="s">
        <v>13600</v>
      </c>
      <c r="Y2296" t="s">
        <v>4725</v>
      </c>
      <c r="Z2296" t="s">
        <v>1043</v>
      </c>
      <c r="AA2296" t="s">
        <v>4726</v>
      </c>
      <c r="AB2296" t="s">
        <v>13601</v>
      </c>
      <c r="AC2296">
        <v>99174</v>
      </c>
      <c r="AD2296" t="s">
        <v>3341</v>
      </c>
      <c r="AE2296">
        <v>-44.388629399999999</v>
      </c>
      <c r="AF2296">
        <v>171.2100422</v>
      </c>
      <c r="AG2296" s="175">
        <v>80</v>
      </c>
      <c r="AH2296" s="175">
        <v>20</v>
      </c>
      <c r="AI2296" s="175">
        <v>6</v>
      </c>
      <c r="AJ2296" s="175">
        <v>15</v>
      </c>
      <c r="AK2296" s="175">
        <v>18</v>
      </c>
      <c r="AL2296" s="175">
        <v>16</v>
      </c>
      <c r="AM2296" s="175">
        <v>12</v>
      </c>
      <c r="AN2296" s="175">
        <v>0</v>
      </c>
      <c r="AO2296" s="175">
        <v>67</v>
      </c>
      <c r="AP2296" s="175">
        <v>50</v>
      </c>
      <c r="AQ2296" s="175">
        <v>5</v>
      </c>
      <c r="AR2296" s="175">
        <v>2</v>
      </c>
      <c r="AS2296" s="175">
        <v>17</v>
      </c>
      <c r="AT2296" s="175">
        <v>2</v>
      </c>
    </row>
    <row r="2297" spans="1:46">
      <c r="A2297">
        <v>46277</v>
      </c>
      <c r="B2297" t="s">
        <v>13602</v>
      </c>
      <c r="C2297" t="s">
        <v>13603</v>
      </c>
      <c r="D2297" t="s">
        <v>13604</v>
      </c>
      <c r="E2297" t="s">
        <v>13605</v>
      </c>
      <c r="G2297" t="s">
        <v>9127</v>
      </c>
      <c r="H2297" t="s">
        <v>449</v>
      </c>
      <c r="J2297" t="s">
        <v>4032</v>
      </c>
      <c r="K2297" t="s">
        <v>606</v>
      </c>
      <c r="M2297" t="s">
        <v>1382</v>
      </c>
      <c r="N2297" t="s">
        <v>643</v>
      </c>
      <c r="O2297" t="s">
        <v>1435</v>
      </c>
      <c r="P2297" t="s">
        <v>626</v>
      </c>
      <c r="Q2297" t="s">
        <v>510</v>
      </c>
      <c r="R2297" t="s">
        <v>1384</v>
      </c>
      <c r="S2297" t="s">
        <v>1384</v>
      </c>
      <c r="T2297" t="s">
        <v>1320</v>
      </c>
      <c r="U2297">
        <v>171901</v>
      </c>
      <c r="V2297" t="s">
        <v>9128</v>
      </c>
      <c r="W2297" t="s">
        <v>1437</v>
      </c>
      <c r="X2297" t="s">
        <v>13606</v>
      </c>
      <c r="Y2297" t="s">
        <v>13607</v>
      </c>
      <c r="AA2297" t="s">
        <v>13608</v>
      </c>
      <c r="AC2297">
        <v>99130</v>
      </c>
      <c r="AD2297" t="s">
        <v>1641</v>
      </c>
      <c r="AE2297">
        <v>-37.61367491</v>
      </c>
      <c r="AF2297">
        <v>175.19051277</v>
      </c>
      <c r="AG2297" s="175">
        <v>75</v>
      </c>
      <c r="AH2297" s="175">
        <v>20</v>
      </c>
      <c r="AI2297" s="175">
        <v>1</v>
      </c>
      <c r="AJ2297" s="175">
        <v>10</v>
      </c>
      <c r="AK2297" s="175">
        <v>6</v>
      </c>
      <c r="AL2297" s="175">
        <v>19</v>
      </c>
      <c r="AM2297" s="175">
        <v>22</v>
      </c>
      <c r="AN2297" s="175">
        <v>0</v>
      </c>
      <c r="AO2297" s="175">
        <v>58</v>
      </c>
      <c r="AP2297" s="175">
        <v>42</v>
      </c>
      <c r="AQ2297" s="175">
        <v>22</v>
      </c>
      <c r="AR2297" s="175">
        <v>5</v>
      </c>
      <c r="AS2297" s="175">
        <v>6</v>
      </c>
      <c r="AT2297" s="175">
        <v>1</v>
      </c>
    </row>
    <row r="2298" spans="1:46">
      <c r="A2298">
        <v>46282</v>
      </c>
      <c r="B2298" t="s">
        <v>13609</v>
      </c>
      <c r="C2298" t="s">
        <v>13610</v>
      </c>
      <c r="D2298" t="s">
        <v>13611</v>
      </c>
      <c r="E2298" t="s">
        <v>13612</v>
      </c>
      <c r="F2298" t="s">
        <v>2637</v>
      </c>
      <c r="G2298" t="s">
        <v>2368</v>
      </c>
      <c r="H2298" t="s">
        <v>449</v>
      </c>
      <c r="J2298" t="s">
        <v>4032</v>
      </c>
      <c r="K2298" t="s">
        <v>606</v>
      </c>
      <c r="M2298" t="s">
        <v>2366</v>
      </c>
      <c r="N2298" t="s">
        <v>657</v>
      </c>
      <c r="O2298" t="s">
        <v>2614</v>
      </c>
      <c r="P2298" t="s">
        <v>739</v>
      </c>
      <c r="Q2298" t="s">
        <v>516</v>
      </c>
      <c r="R2298" t="s">
        <v>2368</v>
      </c>
      <c r="S2298" t="s">
        <v>2631</v>
      </c>
      <c r="T2298" t="s">
        <v>2526</v>
      </c>
      <c r="U2298">
        <v>250600</v>
      </c>
      <c r="V2298" t="s">
        <v>2638</v>
      </c>
      <c r="W2298" t="s">
        <v>2639</v>
      </c>
      <c r="X2298" t="s">
        <v>12404</v>
      </c>
      <c r="Y2298" t="s">
        <v>4166</v>
      </c>
      <c r="Z2298" t="s">
        <v>4167</v>
      </c>
      <c r="AA2298" t="s">
        <v>4168</v>
      </c>
      <c r="AE2298">
        <v>-41.282852800000001</v>
      </c>
      <c r="AF2298">
        <v>174.753016</v>
      </c>
      <c r="AG2298" s="175">
        <v>100</v>
      </c>
      <c r="AH2298" s="175">
        <v>37</v>
      </c>
      <c r="AI2298" s="175">
        <v>4</v>
      </c>
      <c r="AJ2298" s="175">
        <v>23</v>
      </c>
      <c r="AK2298" s="175">
        <v>27</v>
      </c>
      <c r="AL2298" s="175">
        <v>22</v>
      </c>
      <c r="AM2298" s="175">
        <v>18</v>
      </c>
      <c r="AN2298" s="175">
        <v>1</v>
      </c>
      <c r="AO2298" s="175">
        <v>95</v>
      </c>
      <c r="AP2298" s="175">
        <v>70</v>
      </c>
      <c r="AQ2298" s="175">
        <v>5</v>
      </c>
      <c r="AR2298" s="175">
        <v>3</v>
      </c>
      <c r="AS2298" s="175">
        <v>24</v>
      </c>
      <c r="AT2298" s="175">
        <v>13</v>
      </c>
    </row>
    <row r="2299" spans="1:46">
      <c r="A2299">
        <v>46284</v>
      </c>
      <c r="B2299" t="s">
        <v>13613</v>
      </c>
      <c r="C2299" t="s">
        <v>13614</v>
      </c>
      <c r="D2299" t="s">
        <v>13615</v>
      </c>
      <c r="E2299" t="s">
        <v>13616</v>
      </c>
      <c r="F2299" t="s">
        <v>913</v>
      </c>
      <c r="G2299" t="s">
        <v>737</v>
      </c>
      <c r="H2299" t="s">
        <v>449</v>
      </c>
      <c r="J2299" t="s">
        <v>4032</v>
      </c>
      <c r="K2299" t="s">
        <v>606</v>
      </c>
      <c r="M2299" t="s">
        <v>607</v>
      </c>
      <c r="N2299" t="s">
        <v>4586</v>
      </c>
      <c r="O2299" t="s">
        <v>914</v>
      </c>
      <c r="P2299" t="s">
        <v>739</v>
      </c>
      <c r="Q2299" t="s">
        <v>467</v>
      </c>
      <c r="R2299" t="s">
        <v>793</v>
      </c>
      <c r="S2299" t="s">
        <v>890</v>
      </c>
      <c r="T2299" t="s">
        <v>794</v>
      </c>
      <c r="U2299">
        <v>145000</v>
      </c>
      <c r="V2299" t="s">
        <v>915</v>
      </c>
      <c r="W2299" t="s">
        <v>892</v>
      </c>
      <c r="X2299" t="s">
        <v>13617</v>
      </c>
      <c r="Y2299" t="s">
        <v>4176</v>
      </c>
      <c r="AA2299" t="s">
        <v>4052</v>
      </c>
      <c r="AB2299" t="s">
        <v>13618</v>
      </c>
      <c r="AC2299">
        <v>99190</v>
      </c>
      <c r="AD2299" t="s">
        <v>916</v>
      </c>
      <c r="AE2299">
        <v>-36.918246340000003</v>
      </c>
      <c r="AF2299">
        <v>174.78592049</v>
      </c>
      <c r="AG2299" s="175">
        <v>80</v>
      </c>
      <c r="AH2299" s="175">
        <v>16</v>
      </c>
      <c r="AI2299" s="175">
        <v>2</v>
      </c>
      <c r="AJ2299" s="175">
        <v>20</v>
      </c>
      <c r="AK2299" s="175">
        <v>17</v>
      </c>
      <c r="AL2299" s="175">
        <v>19</v>
      </c>
      <c r="AM2299" s="175">
        <v>19</v>
      </c>
      <c r="AN2299" s="175">
        <v>2</v>
      </c>
      <c r="AO2299" s="175">
        <v>79</v>
      </c>
      <c r="AP2299" s="175">
        <v>69</v>
      </c>
      <c r="AQ2299" s="175">
        <v>4</v>
      </c>
      <c r="AR2299" s="175">
        <v>7</v>
      </c>
      <c r="AS2299" s="175">
        <v>12</v>
      </c>
      <c r="AT2299" s="175">
        <v>1</v>
      </c>
    </row>
    <row r="2300" spans="1:46">
      <c r="A2300">
        <v>46285</v>
      </c>
      <c r="B2300" t="s">
        <v>13619</v>
      </c>
      <c r="C2300" t="s">
        <v>13620</v>
      </c>
      <c r="D2300" t="s">
        <v>13621</v>
      </c>
      <c r="E2300" t="s">
        <v>13622</v>
      </c>
      <c r="F2300" t="s">
        <v>1114</v>
      </c>
      <c r="G2300" t="s">
        <v>737</v>
      </c>
      <c r="H2300" t="s">
        <v>449</v>
      </c>
      <c r="J2300" t="s">
        <v>4032</v>
      </c>
      <c r="K2300" t="s">
        <v>606</v>
      </c>
      <c r="M2300" t="s">
        <v>607</v>
      </c>
      <c r="N2300" t="s">
        <v>643</v>
      </c>
      <c r="O2300" t="s">
        <v>914</v>
      </c>
      <c r="P2300" t="s">
        <v>739</v>
      </c>
      <c r="Q2300" t="s">
        <v>467</v>
      </c>
      <c r="R2300" t="s">
        <v>793</v>
      </c>
      <c r="S2300" t="s">
        <v>890</v>
      </c>
      <c r="T2300" t="s">
        <v>794</v>
      </c>
      <c r="U2300">
        <v>147202</v>
      </c>
      <c r="V2300" t="s">
        <v>1115</v>
      </c>
      <c r="W2300" t="s">
        <v>892</v>
      </c>
      <c r="X2300" t="s">
        <v>13623</v>
      </c>
      <c r="Y2300" t="s">
        <v>13624</v>
      </c>
      <c r="Z2300" t="s">
        <v>1114</v>
      </c>
      <c r="AA2300" t="s">
        <v>13625</v>
      </c>
      <c r="AB2300" t="s">
        <v>13620</v>
      </c>
      <c r="AE2300">
        <v>-36.913322770000001</v>
      </c>
      <c r="AF2300">
        <v>174.83818729000001</v>
      </c>
      <c r="AG2300" s="175">
        <v>70</v>
      </c>
      <c r="AH2300" s="175">
        <v>12</v>
      </c>
      <c r="AI2300" s="175">
        <v>1</v>
      </c>
      <c r="AJ2300" s="175">
        <v>12</v>
      </c>
      <c r="AK2300" s="175">
        <v>9</v>
      </c>
      <c r="AL2300" s="175">
        <v>21</v>
      </c>
      <c r="AM2300" s="175">
        <v>6</v>
      </c>
      <c r="AN2300" s="175">
        <v>0</v>
      </c>
      <c r="AO2300" s="175">
        <v>49</v>
      </c>
      <c r="AP2300" s="175">
        <v>20</v>
      </c>
      <c r="AQ2300" s="175">
        <v>9</v>
      </c>
      <c r="AR2300" s="175">
        <v>10</v>
      </c>
      <c r="AS2300" s="175">
        <v>23</v>
      </c>
      <c r="AT2300" s="175">
        <v>6</v>
      </c>
    </row>
    <row r="2301" spans="1:46">
      <c r="A2301">
        <v>46293</v>
      </c>
      <c r="B2301" t="s">
        <v>13626</v>
      </c>
      <c r="C2301" t="s">
        <v>13627</v>
      </c>
      <c r="D2301" t="s">
        <v>13628</v>
      </c>
      <c r="E2301" t="s">
        <v>13629</v>
      </c>
      <c r="G2301" t="s">
        <v>4576</v>
      </c>
      <c r="H2301" t="s">
        <v>449</v>
      </c>
      <c r="J2301" t="s">
        <v>4032</v>
      </c>
      <c r="K2301" t="s">
        <v>606</v>
      </c>
      <c r="M2301" t="s">
        <v>607</v>
      </c>
      <c r="N2301" t="s">
        <v>4586</v>
      </c>
      <c r="O2301" t="s">
        <v>738</v>
      </c>
      <c r="P2301" t="s">
        <v>670</v>
      </c>
      <c r="Q2301" t="s">
        <v>467</v>
      </c>
      <c r="R2301" t="s">
        <v>724</v>
      </c>
      <c r="S2301" t="s">
        <v>753</v>
      </c>
      <c r="T2301" t="s">
        <v>613</v>
      </c>
      <c r="U2301">
        <v>113300</v>
      </c>
      <c r="V2301" t="s">
        <v>6148</v>
      </c>
      <c r="W2301" t="s">
        <v>742</v>
      </c>
      <c r="X2301" t="s">
        <v>4578</v>
      </c>
      <c r="Y2301" t="s">
        <v>4579</v>
      </c>
      <c r="Z2301" t="s">
        <v>4576</v>
      </c>
      <c r="AA2301" t="s">
        <v>13630</v>
      </c>
      <c r="AB2301" t="s">
        <v>4581</v>
      </c>
      <c r="AC2301">
        <v>99069</v>
      </c>
      <c r="AD2301" t="s">
        <v>755</v>
      </c>
      <c r="AE2301">
        <v>-36.612141020000003</v>
      </c>
      <c r="AF2301">
        <v>174.68085454999999</v>
      </c>
      <c r="AG2301" s="175">
        <v>110</v>
      </c>
      <c r="AH2301" s="175">
        <v>25</v>
      </c>
      <c r="AI2301" s="175">
        <v>1</v>
      </c>
      <c r="AJ2301" s="175">
        <v>7</v>
      </c>
      <c r="AK2301" s="175">
        <v>18</v>
      </c>
      <c r="AL2301" s="175">
        <v>27</v>
      </c>
      <c r="AM2301" s="175">
        <v>37</v>
      </c>
      <c r="AN2301" s="175">
        <v>2</v>
      </c>
      <c r="AO2301" s="175">
        <v>92</v>
      </c>
      <c r="AP2301" s="175">
        <v>54</v>
      </c>
      <c r="AQ2301" s="175">
        <v>2</v>
      </c>
      <c r="AR2301" s="175">
        <v>0</v>
      </c>
      <c r="AS2301" s="175">
        <v>41</v>
      </c>
      <c r="AT2301" s="175">
        <v>7</v>
      </c>
    </row>
    <row r="2302" spans="1:46">
      <c r="A2302">
        <v>46297</v>
      </c>
      <c r="B2302" t="s">
        <v>13631</v>
      </c>
      <c r="C2302" t="s">
        <v>13632</v>
      </c>
      <c r="E2302" t="s">
        <v>13633</v>
      </c>
      <c r="G2302" t="s">
        <v>3897</v>
      </c>
      <c r="H2302" t="s">
        <v>449</v>
      </c>
      <c r="J2302" t="s">
        <v>4032</v>
      </c>
      <c r="K2302" t="s">
        <v>606</v>
      </c>
      <c r="M2302" t="s">
        <v>1382</v>
      </c>
      <c r="N2302" t="s">
        <v>657</v>
      </c>
      <c r="O2302" t="s">
        <v>1545</v>
      </c>
      <c r="P2302" t="s">
        <v>658</v>
      </c>
      <c r="Q2302" t="s">
        <v>510</v>
      </c>
      <c r="R2302" t="s">
        <v>1384</v>
      </c>
      <c r="S2302" t="s">
        <v>1522</v>
      </c>
      <c r="T2302" t="s">
        <v>1320</v>
      </c>
      <c r="U2302">
        <v>166900</v>
      </c>
      <c r="V2302" t="s">
        <v>9543</v>
      </c>
      <c r="W2302" t="s">
        <v>3899</v>
      </c>
      <c r="X2302" t="s">
        <v>13634</v>
      </c>
      <c r="Y2302" t="s">
        <v>13635</v>
      </c>
      <c r="AA2302" t="s">
        <v>9085</v>
      </c>
      <c r="AB2302" t="s">
        <v>13632</v>
      </c>
      <c r="AC2302">
        <v>99155</v>
      </c>
      <c r="AD2302" t="s">
        <v>3900</v>
      </c>
      <c r="AE2302">
        <v>-36.855113459999998</v>
      </c>
      <c r="AF2302">
        <v>175.61297748000001</v>
      </c>
      <c r="AG2302" s="175">
        <v>40</v>
      </c>
      <c r="AH2302" s="175">
        <v>12</v>
      </c>
      <c r="AI2302" s="175">
        <v>3</v>
      </c>
      <c r="AJ2302" s="175">
        <v>9</v>
      </c>
      <c r="AK2302" s="175">
        <v>13</v>
      </c>
      <c r="AL2302" s="175">
        <v>13</v>
      </c>
      <c r="AM2302" s="175">
        <v>11</v>
      </c>
      <c r="AN2302" s="175">
        <v>5</v>
      </c>
      <c r="AO2302" s="175">
        <v>54</v>
      </c>
      <c r="AP2302" s="175">
        <v>52</v>
      </c>
      <c r="AQ2302" s="175">
        <v>14</v>
      </c>
      <c r="AR2302" s="175">
        <v>1</v>
      </c>
      <c r="AS2302" s="175">
        <v>0</v>
      </c>
      <c r="AT2302" s="175">
        <v>1</v>
      </c>
    </row>
    <row r="2303" spans="1:46">
      <c r="A2303">
        <v>46298</v>
      </c>
      <c r="B2303" t="s">
        <v>13636</v>
      </c>
      <c r="C2303" t="s">
        <v>13637</v>
      </c>
      <c r="D2303" t="s">
        <v>8100</v>
      </c>
      <c r="E2303" t="s">
        <v>13638</v>
      </c>
      <c r="G2303" t="s">
        <v>1319</v>
      </c>
      <c r="H2303" t="s">
        <v>449</v>
      </c>
      <c r="J2303" t="s">
        <v>4032</v>
      </c>
      <c r="K2303" t="s">
        <v>606</v>
      </c>
      <c r="M2303" t="s">
        <v>607</v>
      </c>
      <c r="N2303" t="s">
        <v>625</v>
      </c>
      <c r="O2303" t="s">
        <v>1353</v>
      </c>
      <c r="P2303" t="s">
        <v>739</v>
      </c>
      <c r="Q2303" t="s">
        <v>467</v>
      </c>
      <c r="R2303" t="s">
        <v>814</v>
      </c>
      <c r="S2303" t="s">
        <v>1319</v>
      </c>
      <c r="T2303" t="s">
        <v>1320</v>
      </c>
      <c r="U2303">
        <v>163301</v>
      </c>
      <c r="V2303" t="s">
        <v>13639</v>
      </c>
      <c r="W2303" t="s">
        <v>1304</v>
      </c>
      <c r="X2303" t="s">
        <v>8102</v>
      </c>
      <c r="Y2303" t="s">
        <v>8103</v>
      </c>
      <c r="AA2303" t="s">
        <v>8104</v>
      </c>
      <c r="AB2303" t="s">
        <v>8105</v>
      </c>
      <c r="AC2303">
        <v>99152</v>
      </c>
      <c r="AD2303" t="s">
        <v>1355</v>
      </c>
      <c r="AE2303">
        <v>-37.056462959999998</v>
      </c>
      <c r="AF2303">
        <v>174.95615015000001</v>
      </c>
      <c r="AG2303" s="175">
        <v>70</v>
      </c>
      <c r="AH2303" s="175">
        <v>20</v>
      </c>
      <c r="AI2303" s="175">
        <v>5</v>
      </c>
      <c r="AJ2303" s="175">
        <v>11</v>
      </c>
      <c r="AK2303" s="175">
        <v>19</v>
      </c>
      <c r="AL2303" s="175">
        <v>21</v>
      </c>
      <c r="AM2303" s="175">
        <v>21</v>
      </c>
      <c r="AN2303" s="175">
        <v>0</v>
      </c>
      <c r="AO2303" s="175">
        <v>77</v>
      </c>
      <c r="AP2303" s="175">
        <v>8</v>
      </c>
      <c r="AQ2303" s="175">
        <v>22</v>
      </c>
      <c r="AR2303" s="175">
        <v>18</v>
      </c>
      <c r="AS2303" s="175">
        <v>41</v>
      </c>
      <c r="AT2303" s="175">
        <v>4</v>
      </c>
    </row>
    <row r="2304" spans="1:46">
      <c r="A2304">
        <v>46301</v>
      </c>
      <c r="B2304" t="s">
        <v>13640</v>
      </c>
      <c r="C2304" t="s">
        <v>11842</v>
      </c>
      <c r="D2304" t="s">
        <v>11843</v>
      </c>
      <c r="E2304" t="s">
        <v>11844</v>
      </c>
      <c r="F2304" t="s">
        <v>2235</v>
      </c>
      <c r="G2304" t="s">
        <v>2198</v>
      </c>
      <c r="H2304" t="s">
        <v>450</v>
      </c>
      <c r="J2304" t="s">
        <v>4032</v>
      </c>
      <c r="K2304" t="s">
        <v>606</v>
      </c>
      <c r="M2304" t="s">
        <v>1382</v>
      </c>
      <c r="N2304" t="s">
        <v>657</v>
      </c>
      <c r="O2304" t="s">
        <v>2210</v>
      </c>
      <c r="P2304" t="s">
        <v>670</v>
      </c>
      <c r="Q2304" t="s">
        <v>513</v>
      </c>
      <c r="R2304" t="s">
        <v>2164</v>
      </c>
      <c r="S2304" t="s">
        <v>2198</v>
      </c>
      <c r="T2304" t="s">
        <v>2165</v>
      </c>
      <c r="U2304">
        <v>212800</v>
      </c>
      <c r="V2304" t="s">
        <v>11845</v>
      </c>
      <c r="W2304" t="s">
        <v>2242</v>
      </c>
      <c r="X2304" t="s">
        <v>11846</v>
      </c>
      <c r="Y2304" t="s">
        <v>11847</v>
      </c>
      <c r="AA2304" t="s">
        <v>8855</v>
      </c>
      <c r="AB2304" t="s">
        <v>11848</v>
      </c>
      <c r="AE2304">
        <v>-39.504769529999997</v>
      </c>
      <c r="AF2304">
        <v>176.88131951</v>
      </c>
      <c r="AG2304" s="175">
        <v>80</v>
      </c>
      <c r="AH2304" s="175">
        <v>80</v>
      </c>
      <c r="AI2304" s="175">
        <v>4</v>
      </c>
      <c r="AJ2304" s="175">
        <v>11</v>
      </c>
      <c r="AK2304" s="175">
        <v>15</v>
      </c>
      <c r="AL2304" s="175">
        <v>14</v>
      </c>
      <c r="AM2304" s="175">
        <v>9</v>
      </c>
      <c r="AN2304" s="175">
        <v>0</v>
      </c>
      <c r="AO2304" s="175">
        <v>53</v>
      </c>
      <c r="AP2304" s="175">
        <v>51</v>
      </c>
      <c r="AQ2304" s="175">
        <v>7</v>
      </c>
      <c r="AR2304" s="175">
        <v>2</v>
      </c>
      <c r="AS2304" s="175">
        <v>1</v>
      </c>
      <c r="AT2304" s="175">
        <v>0</v>
      </c>
    </row>
    <row r="2305" spans="1:46">
      <c r="A2305">
        <v>46303</v>
      </c>
      <c r="B2305" t="s">
        <v>13641</v>
      </c>
      <c r="C2305" t="s">
        <v>13642</v>
      </c>
      <c r="D2305" t="s">
        <v>11091</v>
      </c>
      <c r="E2305" t="s">
        <v>13643</v>
      </c>
      <c r="F2305" t="s">
        <v>5084</v>
      </c>
      <c r="G2305" t="s">
        <v>737</v>
      </c>
      <c r="H2305" t="s">
        <v>449</v>
      </c>
      <c r="J2305" t="s">
        <v>4032</v>
      </c>
      <c r="K2305" t="s">
        <v>606</v>
      </c>
      <c r="M2305" t="s">
        <v>607</v>
      </c>
      <c r="N2305" t="s">
        <v>657</v>
      </c>
      <c r="O2305" t="s">
        <v>1318</v>
      </c>
      <c r="P2305" t="s">
        <v>658</v>
      </c>
      <c r="Q2305" t="s">
        <v>467</v>
      </c>
      <c r="R2305" t="s">
        <v>814</v>
      </c>
      <c r="S2305" t="s">
        <v>1319</v>
      </c>
      <c r="T2305" t="s">
        <v>1320</v>
      </c>
      <c r="U2305">
        <v>161400</v>
      </c>
      <c r="V2305" t="s">
        <v>7829</v>
      </c>
      <c r="W2305" t="s">
        <v>1322</v>
      </c>
      <c r="X2305" t="s">
        <v>11093</v>
      </c>
      <c r="Y2305" t="s">
        <v>11094</v>
      </c>
      <c r="AA2305" t="s">
        <v>11095</v>
      </c>
      <c r="AC2305">
        <v>99075</v>
      </c>
      <c r="AD2305" t="s">
        <v>1349</v>
      </c>
      <c r="AE2305">
        <v>-37.122293999999997</v>
      </c>
      <c r="AF2305">
        <v>174.90262172999999</v>
      </c>
      <c r="AG2305" s="175">
        <v>30</v>
      </c>
      <c r="AH2305" s="175">
        <v>0</v>
      </c>
      <c r="AI2305" s="175">
        <v>0</v>
      </c>
      <c r="AJ2305" s="175">
        <v>0</v>
      </c>
      <c r="AK2305" s="175">
        <v>3</v>
      </c>
      <c r="AL2305" s="175">
        <v>11</v>
      </c>
      <c r="AM2305" s="175">
        <v>16</v>
      </c>
      <c r="AN2305" s="175">
        <v>0</v>
      </c>
      <c r="AO2305" s="175">
        <v>30</v>
      </c>
      <c r="AP2305" s="175">
        <v>29</v>
      </c>
      <c r="AQ2305" s="175">
        <v>3</v>
      </c>
      <c r="AR2305" s="175">
        <v>1</v>
      </c>
      <c r="AS2305" s="175">
        <v>4</v>
      </c>
      <c r="AT2305" s="175">
        <v>0</v>
      </c>
    </row>
    <row r="2306" spans="1:46">
      <c r="A2306">
        <v>46304</v>
      </c>
      <c r="B2306" t="s">
        <v>13644</v>
      </c>
      <c r="C2306" t="s">
        <v>13645</v>
      </c>
      <c r="E2306" t="s">
        <v>13646</v>
      </c>
      <c r="G2306" t="s">
        <v>3334</v>
      </c>
      <c r="H2306" t="s">
        <v>452</v>
      </c>
      <c r="J2306" t="s">
        <v>605</v>
      </c>
      <c r="K2306" t="s">
        <v>606</v>
      </c>
      <c r="M2306" t="s">
        <v>2366</v>
      </c>
      <c r="N2306" t="s">
        <v>657</v>
      </c>
      <c r="O2306" t="s">
        <v>3322</v>
      </c>
      <c r="P2306" t="s">
        <v>1347</v>
      </c>
      <c r="Q2306" t="s">
        <v>521</v>
      </c>
      <c r="R2306" t="s">
        <v>3017</v>
      </c>
      <c r="S2306" t="s">
        <v>3292</v>
      </c>
      <c r="T2306" t="s">
        <v>2526</v>
      </c>
      <c r="U2306">
        <v>340801</v>
      </c>
      <c r="V2306" t="s">
        <v>13647</v>
      </c>
      <c r="W2306" t="s">
        <v>3336</v>
      </c>
      <c r="X2306" t="s">
        <v>3337</v>
      </c>
      <c r="Y2306" t="s">
        <v>3338</v>
      </c>
      <c r="AA2306" t="s">
        <v>3339</v>
      </c>
      <c r="AB2306" t="s">
        <v>3340</v>
      </c>
      <c r="AC2306">
        <v>99178</v>
      </c>
      <c r="AD2306" t="s">
        <v>3346</v>
      </c>
      <c r="AE2306">
        <v>-44.39972496</v>
      </c>
      <c r="AF2306">
        <v>171.24487133</v>
      </c>
      <c r="AG2306" s="175">
        <v>44</v>
      </c>
      <c r="AH2306" s="175">
        <v>12</v>
      </c>
      <c r="AI2306" s="175">
        <v>2</v>
      </c>
      <c r="AJ2306" s="175">
        <v>10</v>
      </c>
      <c r="AK2306" s="175">
        <v>14</v>
      </c>
      <c r="AL2306" s="175">
        <v>18</v>
      </c>
      <c r="AM2306" s="175">
        <v>10</v>
      </c>
      <c r="AN2306" s="175">
        <v>0</v>
      </c>
      <c r="AO2306" s="175">
        <v>54</v>
      </c>
      <c r="AP2306" s="175">
        <v>50</v>
      </c>
      <c r="AQ2306" s="175">
        <v>9</v>
      </c>
      <c r="AR2306" s="175">
        <v>2</v>
      </c>
      <c r="AS2306" s="175">
        <v>4</v>
      </c>
      <c r="AT2306" s="175">
        <v>2</v>
      </c>
    </row>
    <row r="2307" spans="1:46">
      <c r="A2307">
        <v>46306</v>
      </c>
      <c r="B2307" t="s">
        <v>13648</v>
      </c>
      <c r="C2307" t="s">
        <v>13649</v>
      </c>
      <c r="E2307" t="s">
        <v>13650</v>
      </c>
      <c r="F2307" t="s">
        <v>4508</v>
      </c>
      <c r="G2307" t="s">
        <v>737</v>
      </c>
      <c r="H2307" t="s">
        <v>449</v>
      </c>
      <c r="I2307" t="s">
        <v>13651</v>
      </c>
      <c r="J2307" t="s">
        <v>4032</v>
      </c>
      <c r="K2307" t="s">
        <v>606</v>
      </c>
      <c r="M2307" t="s">
        <v>607</v>
      </c>
      <c r="N2307" t="s">
        <v>812</v>
      </c>
      <c r="O2307" t="s">
        <v>914</v>
      </c>
      <c r="P2307" t="s">
        <v>739</v>
      </c>
      <c r="Q2307" t="s">
        <v>467</v>
      </c>
      <c r="R2307" t="s">
        <v>793</v>
      </c>
      <c r="S2307" t="s">
        <v>815</v>
      </c>
      <c r="T2307" t="s">
        <v>794</v>
      </c>
      <c r="U2307">
        <v>146700</v>
      </c>
      <c r="V2307" t="s">
        <v>13652</v>
      </c>
      <c r="W2307" t="s">
        <v>892</v>
      </c>
      <c r="X2307" t="s">
        <v>13653</v>
      </c>
      <c r="Y2307" t="s">
        <v>13654</v>
      </c>
      <c r="Z2307" t="s">
        <v>4508</v>
      </c>
      <c r="AA2307" t="s">
        <v>4423</v>
      </c>
      <c r="AB2307" t="s">
        <v>11165</v>
      </c>
      <c r="AE2307">
        <v>-36.899646580000002</v>
      </c>
      <c r="AF2307">
        <v>174.85630488999999</v>
      </c>
      <c r="AG2307" s="175">
        <v>57</v>
      </c>
      <c r="AH2307" s="175">
        <v>12</v>
      </c>
      <c r="AI2307" s="175">
        <v>1</v>
      </c>
      <c r="AJ2307" s="175">
        <v>1</v>
      </c>
      <c r="AK2307" s="175">
        <v>6</v>
      </c>
      <c r="AL2307" s="175">
        <v>5</v>
      </c>
      <c r="AM2307" s="175">
        <v>12</v>
      </c>
      <c r="AN2307" s="175">
        <v>1</v>
      </c>
      <c r="AO2307" s="175">
        <v>26</v>
      </c>
      <c r="AP2307" s="175">
        <v>3</v>
      </c>
      <c r="AQ2307" s="175">
        <v>7</v>
      </c>
      <c r="AR2307" s="175">
        <v>12</v>
      </c>
      <c r="AS2307" s="175">
        <v>8</v>
      </c>
      <c r="AT2307" s="175">
        <v>1</v>
      </c>
    </row>
    <row r="2308" spans="1:46">
      <c r="A2308">
        <v>46308</v>
      </c>
      <c r="B2308" t="s">
        <v>13655</v>
      </c>
      <c r="C2308" t="s">
        <v>13656</v>
      </c>
      <c r="D2308" t="s">
        <v>13657</v>
      </c>
      <c r="E2308" t="s">
        <v>13658</v>
      </c>
      <c r="F2308" t="s">
        <v>2235</v>
      </c>
      <c r="G2308" t="s">
        <v>2198</v>
      </c>
      <c r="H2308" t="s">
        <v>450</v>
      </c>
      <c r="J2308" t="s">
        <v>605</v>
      </c>
      <c r="K2308" t="s">
        <v>606</v>
      </c>
      <c r="M2308" t="s">
        <v>1382</v>
      </c>
      <c r="N2308" t="s">
        <v>812</v>
      </c>
      <c r="O2308" t="s">
        <v>2210</v>
      </c>
      <c r="P2308" t="s">
        <v>670</v>
      </c>
      <c r="Q2308" t="s">
        <v>513</v>
      </c>
      <c r="R2308" t="s">
        <v>2164</v>
      </c>
      <c r="S2308" t="s">
        <v>2198</v>
      </c>
      <c r="T2308" t="s">
        <v>2165</v>
      </c>
      <c r="U2308">
        <v>214800</v>
      </c>
      <c r="V2308" t="s">
        <v>2236</v>
      </c>
      <c r="W2308" t="s">
        <v>2211</v>
      </c>
      <c r="X2308" t="s">
        <v>13659</v>
      </c>
      <c r="Y2308" t="s">
        <v>13660</v>
      </c>
      <c r="Z2308" t="s">
        <v>2235</v>
      </c>
      <c r="AA2308" t="s">
        <v>13661</v>
      </c>
      <c r="AB2308" t="s">
        <v>13662</v>
      </c>
      <c r="AE2308">
        <v>-39.511139450000002</v>
      </c>
      <c r="AF2308">
        <v>176.89240103</v>
      </c>
      <c r="AG2308" s="175">
        <v>80</v>
      </c>
      <c r="AH2308" s="175">
        <v>80</v>
      </c>
      <c r="AI2308" s="175">
        <v>3</v>
      </c>
      <c r="AJ2308" s="175">
        <v>8</v>
      </c>
      <c r="AK2308" s="175">
        <v>19</v>
      </c>
      <c r="AL2308" s="175">
        <v>15</v>
      </c>
      <c r="AM2308" s="175">
        <v>7</v>
      </c>
      <c r="AN2308" s="175">
        <v>0</v>
      </c>
      <c r="AO2308" s="175">
        <v>52</v>
      </c>
      <c r="AP2308" s="175">
        <v>40</v>
      </c>
      <c r="AQ2308" s="175">
        <v>21</v>
      </c>
      <c r="AR2308" s="175">
        <v>0</v>
      </c>
      <c r="AS2308" s="175">
        <v>2</v>
      </c>
      <c r="AT2308" s="175">
        <v>2</v>
      </c>
    </row>
    <row r="2309" spans="1:46">
      <c r="A2309">
        <v>46309</v>
      </c>
      <c r="B2309" t="s">
        <v>13663</v>
      </c>
      <c r="C2309" t="s">
        <v>13664</v>
      </c>
      <c r="D2309" t="s">
        <v>13665</v>
      </c>
      <c r="E2309" t="s">
        <v>13666</v>
      </c>
      <c r="F2309" t="s">
        <v>3267</v>
      </c>
      <c r="G2309" t="s">
        <v>3015</v>
      </c>
      <c r="H2309" t="s">
        <v>449</v>
      </c>
      <c r="J2309" t="s">
        <v>4032</v>
      </c>
      <c r="K2309" t="s">
        <v>606</v>
      </c>
      <c r="M2309" t="s">
        <v>2366</v>
      </c>
      <c r="N2309" t="s">
        <v>657</v>
      </c>
      <c r="O2309" t="s">
        <v>3016</v>
      </c>
      <c r="P2309" t="s">
        <v>739</v>
      </c>
      <c r="Q2309" t="s">
        <v>521</v>
      </c>
      <c r="R2309" t="s">
        <v>3017</v>
      </c>
      <c r="S2309" t="s">
        <v>3092</v>
      </c>
      <c r="T2309" t="s">
        <v>2526</v>
      </c>
      <c r="U2309">
        <v>324501</v>
      </c>
      <c r="V2309" t="s">
        <v>13667</v>
      </c>
      <c r="W2309" t="s">
        <v>3269</v>
      </c>
      <c r="X2309" t="s">
        <v>13668</v>
      </c>
      <c r="Y2309" t="s">
        <v>13669</v>
      </c>
      <c r="Z2309" t="s">
        <v>3267</v>
      </c>
      <c r="AA2309" t="s">
        <v>13670</v>
      </c>
      <c r="AB2309" t="s">
        <v>13671</v>
      </c>
      <c r="AE2309">
        <v>-43.577997750000002</v>
      </c>
      <c r="AF2309">
        <v>172.54785355999999</v>
      </c>
      <c r="AG2309" s="175">
        <v>75</v>
      </c>
      <c r="AH2309" s="175">
        <v>25</v>
      </c>
      <c r="AI2309" s="175">
        <v>5</v>
      </c>
      <c r="AJ2309" s="175">
        <v>19</v>
      </c>
      <c r="AK2309" s="175">
        <v>27</v>
      </c>
      <c r="AL2309" s="175">
        <v>22</v>
      </c>
      <c r="AM2309" s="175">
        <v>20</v>
      </c>
      <c r="AN2309" s="175">
        <v>3</v>
      </c>
      <c r="AO2309" s="175">
        <v>96</v>
      </c>
      <c r="AP2309" s="175">
        <v>79</v>
      </c>
      <c r="AQ2309" s="175">
        <v>6</v>
      </c>
      <c r="AR2309" s="175">
        <v>2</v>
      </c>
      <c r="AS2309" s="175">
        <v>17</v>
      </c>
      <c r="AT2309" s="175">
        <v>2</v>
      </c>
    </row>
    <row r="2310" spans="1:46">
      <c r="A2310">
        <v>46310</v>
      </c>
      <c r="B2310" t="s">
        <v>13672</v>
      </c>
      <c r="C2310" t="s">
        <v>13673</v>
      </c>
      <c r="D2310" t="s">
        <v>13674</v>
      </c>
      <c r="E2310" t="s">
        <v>13675</v>
      </c>
      <c r="F2310" t="s">
        <v>4987</v>
      </c>
      <c r="G2310" t="s">
        <v>737</v>
      </c>
      <c r="H2310" t="s">
        <v>449</v>
      </c>
      <c r="J2310" t="s">
        <v>4032</v>
      </c>
      <c r="K2310" t="s">
        <v>606</v>
      </c>
      <c r="M2310" t="s">
        <v>607</v>
      </c>
      <c r="N2310" t="s">
        <v>657</v>
      </c>
      <c r="O2310" t="s">
        <v>1042</v>
      </c>
      <c r="P2310" t="s">
        <v>739</v>
      </c>
      <c r="Q2310" t="s">
        <v>467</v>
      </c>
      <c r="R2310" t="s">
        <v>793</v>
      </c>
      <c r="S2310" t="s">
        <v>1043</v>
      </c>
      <c r="T2310" t="s">
        <v>794</v>
      </c>
      <c r="U2310">
        <v>133400</v>
      </c>
      <c r="V2310" t="s">
        <v>13676</v>
      </c>
      <c r="W2310" t="s">
        <v>1044</v>
      </c>
      <c r="X2310" t="s">
        <v>13677</v>
      </c>
      <c r="Y2310" t="s">
        <v>13678</v>
      </c>
      <c r="AA2310" t="s">
        <v>5380</v>
      </c>
      <c r="AB2310" t="s">
        <v>13673</v>
      </c>
      <c r="AE2310">
        <v>-36.850251610000001</v>
      </c>
      <c r="AF2310">
        <v>174.76038381999999</v>
      </c>
      <c r="AG2310" s="175">
        <v>50</v>
      </c>
      <c r="AH2310" s="175">
        <v>0</v>
      </c>
      <c r="AI2310" s="175">
        <v>0</v>
      </c>
      <c r="AJ2310" s="175">
        <v>0</v>
      </c>
      <c r="AK2310" s="175">
        <v>11</v>
      </c>
      <c r="AL2310" s="175">
        <v>13</v>
      </c>
      <c r="AM2310" s="175">
        <v>23</v>
      </c>
      <c r="AN2310" s="175">
        <v>1</v>
      </c>
      <c r="AO2310" s="175">
        <v>48</v>
      </c>
      <c r="AP2310" s="175">
        <v>16</v>
      </c>
      <c r="AQ2310" s="175">
        <v>1</v>
      </c>
      <c r="AR2310" s="175">
        <v>2</v>
      </c>
      <c r="AS2310" s="175">
        <v>40</v>
      </c>
      <c r="AT2310" s="175">
        <v>1</v>
      </c>
    </row>
    <row r="2311" spans="1:46">
      <c r="A2311">
        <v>46316</v>
      </c>
      <c r="B2311" t="s">
        <v>13679</v>
      </c>
      <c r="C2311" t="s">
        <v>13680</v>
      </c>
      <c r="D2311" t="s">
        <v>13681</v>
      </c>
      <c r="E2311" t="s">
        <v>13682</v>
      </c>
      <c r="F2311" t="s">
        <v>11012</v>
      </c>
      <c r="G2311" t="s">
        <v>3015</v>
      </c>
      <c r="H2311" t="s">
        <v>449</v>
      </c>
      <c r="J2311" t="s">
        <v>4032</v>
      </c>
      <c r="K2311" t="s">
        <v>606</v>
      </c>
      <c r="M2311" t="s">
        <v>2366</v>
      </c>
      <c r="N2311" t="s">
        <v>657</v>
      </c>
      <c r="O2311" t="s">
        <v>3016</v>
      </c>
      <c r="P2311" t="s">
        <v>739</v>
      </c>
      <c r="Q2311" t="s">
        <v>521</v>
      </c>
      <c r="R2311" t="s">
        <v>3017</v>
      </c>
      <c r="S2311" t="s">
        <v>3052</v>
      </c>
      <c r="T2311" t="s">
        <v>2526</v>
      </c>
      <c r="U2311">
        <v>329100</v>
      </c>
      <c r="V2311" t="s">
        <v>13683</v>
      </c>
      <c r="W2311" t="s">
        <v>3031</v>
      </c>
      <c r="X2311" t="s">
        <v>11134</v>
      </c>
      <c r="Y2311" t="s">
        <v>11135</v>
      </c>
      <c r="AA2311" t="s">
        <v>11136</v>
      </c>
      <c r="AC2311">
        <v>99177</v>
      </c>
      <c r="AD2311" t="s">
        <v>3032</v>
      </c>
      <c r="AE2311">
        <v>-43.56189706</v>
      </c>
      <c r="AF2311">
        <v>172.62817150999999</v>
      </c>
      <c r="AG2311" s="175">
        <v>100</v>
      </c>
      <c r="AH2311" s="175">
        <v>24</v>
      </c>
      <c r="AI2311" s="175">
        <v>4</v>
      </c>
      <c r="AJ2311" s="175">
        <v>18</v>
      </c>
      <c r="AK2311" s="175">
        <v>30</v>
      </c>
      <c r="AL2311" s="175">
        <v>31</v>
      </c>
      <c r="AM2311" s="175">
        <v>24</v>
      </c>
      <c r="AN2311" s="175">
        <v>5</v>
      </c>
      <c r="AO2311" s="175">
        <v>112</v>
      </c>
      <c r="AP2311" s="175">
        <v>106</v>
      </c>
      <c r="AQ2311" s="175">
        <v>13</v>
      </c>
      <c r="AR2311" s="175">
        <v>6</v>
      </c>
      <c r="AS2311" s="175">
        <v>7</v>
      </c>
      <c r="AT2311" s="175">
        <v>2</v>
      </c>
    </row>
    <row r="2312" spans="1:46">
      <c r="A2312">
        <v>46318</v>
      </c>
      <c r="B2312" t="s">
        <v>13684</v>
      </c>
      <c r="C2312" t="s">
        <v>13685</v>
      </c>
      <c r="D2312" t="s">
        <v>13686</v>
      </c>
      <c r="E2312" t="s">
        <v>13687</v>
      </c>
      <c r="G2312" t="s">
        <v>7817</v>
      </c>
      <c r="H2312" t="s">
        <v>449</v>
      </c>
      <c r="J2312" t="s">
        <v>4032</v>
      </c>
      <c r="K2312" t="s">
        <v>606</v>
      </c>
      <c r="M2312" t="s">
        <v>607</v>
      </c>
      <c r="N2312" t="s">
        <v>4586</v>
      </c>
      <c r="O2312" t="s">
        <v>1318</v>
      </c>
      <c r="P2312" t="s">
        <v>626</v>
      </c>
      <c r="Q2312" t="s">
        <v>467</v>
      </c>
      <c r="R2312" t="s">
        <v>814</v>
      </c>
      <c r="S2312" t="s">
        <v>1319</v>
      </c>
      <c r="T2312" t="s">
        <v>1320</v>
      </c>
      <c r="U2312">
        <v>166301</v>
      </c>
      <c r="V2312" t="s">
        <v>7818</v>
      </c>
      <c r="W2312" t="s">
        <v>1322</v>
      </c>
      <c r="X2312" t="s">
        <v>13688</v>
      </c>
      <c r="Y2312" t="s">
        <v>13689</v>
      </c>
      <c r="Z2312" t="s">
        <v>7817</v>
      </c>
      <c r="AA2312" t="s">
        <v>13690</v>
      </c>
      <c r="AB2312" t="s">
        <v>13691</v>
      </c>
      <c r="AC2312">
        <v>99075</v>
      </c>
      <c r="AD2312" t="s">
        <v>1349</v>
      </c>
      <c r="AE2312">
        <v>-37.186643150000002</v>
      </c>
      <c r="AF2312">
        <v>174.99460239999999</v>
      </c>
      <c r="AG2312" s="175">
        <v>42</v>
      </c>
      <c r="AH2312" s="175">
        <v>0</v>
      </c>
      <c r="AI2312" s="175">
        <v>0</v>
      </c>
      <c r="AJ2312" s="175">
        <v>0</v>
      </c>
      <c r="AK2312" s="175">
        <v>0</v>
      </c>
      <c r="AL2312" s="175">
        <v>14</v>
      </c>
      <c r="AM2312" s="175">
        <v>33</v>
      </c>
      <c r="AN2312" s="175">
        <v>1</v>
      </c>
      <c r="AO2312" s="175">
        <v>48</v>
      </c>
      <c r="AP2312" s="175">
        <v>46</v>
      </c>
      <c r="AQ2312" s="175">
        <v>3</v>
      </c>
      <c r="AR2312" s="175">
        <v>1</v>
      </c>
      <c r="AS2312" s="175">
        <v>1</v>
      </c>
      <c r="AT2312" s="175">
        <v>0</v>
      </c>
    </row>
    <row r="2313" spans="1:46">
      <c r="A2313">
        <v>46320</v>
      </c>
      <c r="B2313" t="s">
        <v>13692</v>
      </c>
      <c r="C2313" t="s">
        <v>13693</v>
      </c>
      <c r="E2313" t="s">
        <v>13694</v>
      </c>
      <c r="G2313" t="s">
        <v>1839</v>
      </c>
      <c r="H2313" t="s">
        <v>449</v>
      </c>
      <c r="J2313" t="s">
        <v>4032</v>
      </c>
      <c r="K2313" t="s">
        <v>606</v>
      </c>
      <c r="M2313" t="s">
        <v>1382</v>
      </c>
      <c r="N2313" t="s">
        <v>657</v>
      </c>
      <c r="O2313" t="s">
        <v>1840</v>
      </c>
      <c r="P2313" t="s">
        <v>670</v>
      </c>
      <c r="Q2313" t="s">
        <v>514</v>
      </c>
      <c r="R2313" t="s">
        <v>1841</v>
      </c>
      <c r="S2313" t="s">
        <v>1839</v>
      </c>
      <c r="T2313" t="s">
        <v>1568</v>
      </c>
      <c r="U2313">
        <v>217000</v>
      </c>
      <c r="V2313" t="s">
        <v>13695</v>
      </c>
      <c r="W2313" t="s">
        <v>1843</v>
      </c>
      <c r="X2313" t="s">
        <v>13696</v>
      </c>
      <c r="Y2313" t="s">
        <v>4176</v>
      </c>
      <c r="AA2313" t="s">
        <v>4052</v>
      </c>
      <c r="AB2313" t="s">
        <v>13697</v>
      </c>
      <c r="AE2313">
        <v>-39.05322134</v>
      </c>
      <c r="AF2313">
        <v>174.08012033</v>
      </c>
      <c r="AG2313" s="175">
        <v>110</v>
      </c>
      <c r="AH2313" s="175">
        <v>40</v>
      </c>
      <c r="AI2313" s="175">
        <v>5</v>
      </c>
      <c r="AJ2313" s="175">
        <v>28</v>
      </c>
      <c r="AK2313" s="175">
        <v>25</v>
      </c>
      <c r="AL2313" s="175">
        <v>30</v>
      </c>
      <c r="AM2313" s="175">
        <v>21</v>
      </c>
      <c r="AN2313" s="175">
        <v>1</v>
      </c>
      <c r="AO2313" s="175">
        <v>110</v>
      </c>
      <c r="AP2313" s="175">
        <v>94</v>
      </c>
      <c r="AQ2313" s="175">
        <v>25</v>
      </c>
      <c r="AR2313" s="175">
        <v>4</v>
      </c>
      <c r="AS2313" s="175">
        <v>8</v>
      </c>
      <c r="AT2313" s="175">
        <v>9</v>
      </c>
    </row>
    <row r="2314" spans="1:46">
      <c r="A2314">
        <v>46324</v>
      </c>
      <c r="B2314" t="s">
        <v>13698</v>
      </c>
      <c r="C2314" t="s">
        <v>13699</v>
      </c>
      <c r="D2314" t="s">
        <v>13700</v>
      </c>
      <c r="E2314" t="s">
        <v>13701</v>
      </c>
      <c r="F2314" t="s">
        <v>932</v>
      </c>
      <c r="G2314" t="s">
        <v>737</v>
      </c>
      <c r="H2314" t="s">
        <v>449</v>
      </c>
      <c r="J2314" t="s">
        <v>4032</v>
      </c>
      <c r="K2314" t="s">
        <v>606</v>
      </c>
      <c r="M2314" t="s">
        <v>607</v>
      </c>
      <c r="N2314" t="s">
        <v>608</v>
      </c>
      <c r="O2314" t="s">
        <v>933</v>
      </c>
      <c r="P2314" t="s">
        <v>739</v>
      </c>
      <c r="Q2314" t="s">
        <v>467</v>
      </c>
      <c r="R2314" t="s">
        <v>814</v>
      </c>
      <c r="S2314" t="s">
        <v>934</v>
      </c>
      <c r="T2314" t="s">
        <v>794</v>
      </c>
      <c r="U2314">
        <v>151000</v>
      </c>
      <c r="V2314" t="s">
        <v>4290</v>
      </c>
      <c r="W2314" t="s">
        <v>817</v>
      </c>
      <c r="X2314" t="s">
        <v>13702</v>
      </c>
      <c r="Y2314" t="s">
        <v>13703</v>
      </c>
      <c r="Z2314" t="s">
        <v>932</v>
      </c>
      <c r="AA2314" t="s">
        <v>13704</v>
      </c>
      <c r="AE2314">
        <v>-36.97806448</v>
      </c>
      <c r="AF2314">
        <v>174.7907912</v>
      </c>
      <c r="AG2314" s="175">
        <v>72</v>
      </c>
      <c r="AH2314" s="175">
        <v>5</v>
      </c>
      <c r="AI2314" s="175">
        <v>1</v>
      </c>
      <c r="AJ2314" s="175">
        <v>1</v>
      </c>
      <c r="AK2314" s="175">
        <v>11</v>
      </c>
      <c r="AL2314" s="175">
        <v>24</v>
      </c>
      <c r="AM2314" s="175">
        <v>18</v>
      </c>
      <c r="AN2314" s="175">
        <v>4</v>
      </c>
      <c r="AO2314" s="175">
        <v>59</v>
      </c>
      <c r="AP2314" s="175">
        <v>4</v>
      </c>
      <c r="AQ2314" s="175">
        <v>5</v>
      </c>
      <c r="AR2314" s="175">
        <v>10</v>
      </c>
      <c r="AS2314" s="175">
        <v>48</v>
      </c>
      <c r="AT2314" s="175">
        <v>4</v>
      </c>
    </row>
    <row r="2315" spans="1:46">
      <c r="A2315">
        <v>46325</v>
      </c>
      <c r="B2315" t="s">
        <v>13705</v>
      </c>
      <c r="C2315" t="s">
        <v>13706</v>
      </c>
      <c r="D2315" t="s">
        <v>13707</v>
      </c>
      <c r="E2315" t="s">
        <v>13708</v>
      </c>
      <c r="F2315" t="s">
        <v>2323</v>
      </c>
      <c r="G2315" t="s">
        <v>2276</v>
      </c>
      <c r="H2315" t="s">
        <v>449</v>
      </c>
      <c r="J2315" t="s">
        <v>4032</v>
      </c>
      <c r="K2315" t="s">
        <v>606</v>
      </c>
      <c r="M2315" t="s">
        <v>1382</v>
      </c>
      <c r="N2315" t="s">
        <v>643</v>
      </c>
      <c r="O2315" t="s">
        <v>2277</v>
      </c>
      <c r="P2315" t="s">
        <v>670</v>
      </c>
      <c r="Q2315" t="s">
        <v>513</v>
      </c>
      <c r="R2315" t="s">
        <v>2164</v>
      </c>
      <c r="S2315" t="s">
        <v>2278</v>
      </c>
      <c r="T2315" t="s">
        <v>2165</v>
      </c>
      <c r="U2315">
        <v>209800</v>
      </c>
      <c r="V2315" t="s">
        <v>2323</v>
      </c>
      <c r="W2315" t="s">
        <v>2279</v>
      </c>
      <c r="X2315" t="s">
        <v>13709</v>
      </c>
      <c r="Y2315" t="s">
        <v>13710</v>
      </c>
      <c r="AA2315" t="s">
        <v>13711</v>
      </c>
      <c r="AB2315" t="s">
        <v>13712</v>
      </c>
      <c r="AE2315">
        <v>-39.624560529999997</v>
      </c>
      <c r="AF2315">
        <v>176.84654137999999</v>
      </c>
      <c r="AG2315" s="175">
        <v>25</v>
      </c>
      <c r="AH2315" s="175">
        <v>14</v>
      </c>
      <c r="AI2315" s="175">
        <v>0</v>
      </c>
      <c r="AJ2315" s="175">
        <v>8</v>
      </c>
      <c r="AK2315" s="175">
        <v>10</v>
      </c>
      <c r="AL2315" s="175">
        <v>2</v>
      </c>
      <c r="AM2315" s="175">
        <v>0</v>
      </c>
      <c r="AN2315" s="175">
        <v>0</v>
      </c>
      <c r="AO2315" s="175">
        <v>20</v>
      </c>
      <c r="AP2315" s="175">
        <v>13</v>
      </c>
      <c r="AQ2315" s="175">
        <v>3</v>
      </c>
      <c r="AR2315" s="175">
        <v>1</v>
      </c>
      <c r="AS2315" s="175">
        <v>3</v>
      </c>
      <c r="AT2315" s="175">
        <v>3</v>
      </c>
    </row>
    <row r="2316" spans="1:46">
      <c r="A2316">
        <v>46326</v>
      </c>
      <c r="B2316" t="s">
        <v>13713</v>
      </c>
      <c r="C2316" t="s">
        <v>13714</v>
      </c>
      <c r="D2316" t="s">
        <v>13715</v>
      </c>
      <c r="E2316" t="s">
        <v>13716</v>
      </c>
      <c r="F2316" t="s">
        <v>3864</v>
      </c>
      <c r="G2316" t="s">
        <v>737</v>
      </c>
      <c r="H2316" t="s">
        <v>449</v>
      </c>
      <c r="I2316" t="s">
        <v>5017</v>
      </c>
      <c r="J2316" t="s">
        <v>4032</v>
      </c>
      <c r="K2316" t="s">
        <v>606</v>
      </c>
      <c r="M2316" t="s">
        <v>607</v>
      </c>
      <c r="N2316" t="s">
        <v>643</v>
      </c>
      <c r="O2316" t="s">
        <v>1301</v>
      </c>
      <c r="P2316" t="s">
        <v>739</v>
      </c>
      <c r="Q2316" t="s">
        <v>467</v>
      </c>
      <c r="R2316" t="s">
        <v>814</v>
      </c>
      <c r="S2316" t="s">
        <v>1121</v>
      </c>
      <c r="T2316" t="s">
        <v>794</v>
      </c>
      <c r="U2316">
        <v>157600</v>
      </c>
      <c r="V2316" t="s">
        <v>1341</v>
      </c>
      <c r="W2316" t="s">
        <v>1304</v>
      </c>
      <c r="X2316" t="s">
        <v>13717</v>
      </c>
      <c r="Y2316" t="s">
        <v>13718</v>
      </c>
      <c r="Z2316" t="s">
        <v>4015</v>
      </c>
      <c r="AA2316" t="s">
        <v>4652</v>
      </c>
      <c r="AB2316" t="s">
        <v>13714</v>
      </c>
      <c r="AE2316">
        <v>-37.000927009999998</v>
      </c>
      <c r="AF2316">
        <v>174.8778489</v>
      </c>
      <c r="AG2316" s="175">
        <v>50</v>
      </c>
      <c r="AH2316" s="175">
        <v>10</v>
      </c>
      <c r="AI2316" s="175">
        <v>1</v>
      </c>
      <c r="AJ2316" s="175">
        <v>6</v>
      </c>
      <c r="AK2316" s="175">
        <v>16</v>
      </c>
      <c r="AL2316" s="175">
        <v>13</v>
      </c>
      <c r="AM2316" s="175">
        <v>14</v>
      </c>
      <c r="AN2316" s="175">
        <v>2</v>
      </c>
      <c r="AO2316" s="175">
        <v>52</v>
      </c>
      <c r="AP2316" s="175">
        <v>11</v>
      </c>
      <c r="AQ2316" s="175">
        <v>43</v>
      </c>
      <c r="AR2316" s="175">
        <v>25</v>
      </c>
      <c r="AS2316" s="175">
        <v>5</v>
      </c>
      <c r="AT2316" s="175">
        <v>1</v>
      </c>
    </row>
    <row r="2317" spans="1:46">
      <c r="A2317">
        <v>46327</v>
      </c>
      <c r="B2317" t="s">
        <v>13719</v>
      </c>
      <c r="C2317" t="s">
        <v>13720</v>
      </c>
      <c r="D2317" t="s">
        <v>13721</v>
      </c>
      <c r="E2317" t="s">
        <v>13722</v>
      </c>
      <c r="F2317" t="s">
        <v>7614</v>
      </c>
      <c r="G2317" t="s">
        <v>737</v>
      </c>
      <c r="H2317" t="s">
        <v>449</v>
      </c>
      <c r="I2317" t="s">
        <v>4023</v>
      </c>
      <c r="J2317" t="s">
        <v>605</v>
      </c>
      <c r="K2317" t="s">
        <v>606</v>
      </c>
      <c r="M2317" t="s">
        <v>607</v>
      </c>
      <c r="N2317" t="s">
        <v>812</v>
      </c>
      <c r="O2317" t="s">
        <v>1301</v>
      </c>
      <c r="P2317" t="s">
        <v>739</v>
      </c>
      <c r="Q2317" t="s">
        <v>467</v>
      </c>
      <c r="R2317" t="s">
        <v>814</v>
      </c>
      <c r="S2317" t="s">
        <v>1121</v>
      </c>
      <c r="T2317" t="s">
        <v>794</v>
      </c>
      <c r="U2317">
        <v>159700</v>
      </c>
      <c r="V2317" t="s">
        <v>8183</v>
      </c>
      <c r="W2317" t="s">
        <v>1304</v>
      </c>
      <c r="X2317" t="s">
        <v>5168</v>
      </c>
      <c r="Y2317" t="s">
        <v>5169</v>
      </c>
      <c r="Z2317" t="s">
        <v>5170</v>
      </c>
      <c r="AA2317" t="s">
        <v>5171</v>
      </c>
      <c r="AB2317" t="s">
        <v>5172</v>
      </c>
      <c r="AE2317">
        <v>-37.029966279999996</v>
      </c>
      <c r="AF2317">
        <v>174.86505725000001</v>
      </c>
      <c r="AG2317" s="175">
        <v>80</v>
      </c>
      <c r="AH2317" s="175">
        <v>10</v>
      </c>
      <c r="AI2317" s="175">
        <v>0</v>
      </c>
      <c r="AJ2317" s="175">
        <v>3</v>
      </c>
      <c r="AK2317" s="175">
        <v>17</v>
      </c>
      <c r="AL2317" s="175">
        <v>15</v>
      </c>
      <c r="AM2317" s="175">
        <v>27</v>
      </c>
      <c r="AN2317" s="175">
        <v>1</v>
      </c>
      <c r="AO2317" s="175">
        <v>63</v>
      </c>
      <c r="AP2317" s="175">
        <v>8</v>
      </c>
      <c r="AQ2317" s="175">
        <v>19</v>
      </c>
      <c r="AR2317" s="175">
        <v>49</v>
      </c>
      <c r="AS2317" s="175">
        <v>4</v>
      </c>
      <c r="AT2317" s="175">
        <v>0</v>
      </c>
    </row>
    <row r="2318" spans="1:46">
      <c r="A2318">
        <v>46332</v>
      </c>
      <c r="B2318" t="s">
        <v>13723</v>
      </c>
      <c r="C2318" t="s">
        <v>13724</v>
      </c>
      <c r="E2318" t="s">
        <v>13725</v>
      </c>
      <c r="F2318" t="s">
        <v>5044</v>
      </c>
      <c r="G2318" t="s">
        <v>737</v>
      </c>
      <c r="H2318" t="s">
        <v>449</v>
      </c>
      <c r="J2318" t="s">
        <v>4032</v>
      </c>
      <c r="K2318" t="s">
        <v>606</v>
      </c>
      <c r="M2318" t="s">
        <v>607</v>
      </c>
      <c r="N2318" t="s">
        <v>657</v>
      </c>
      <c r="O2318" t="s">
        <v>1042</v>
      </c>
      <c r="P2318" t="s">
        <v>739</v>
      </c>
      <c r="Q2318" t="s">
        <v>467</v>
      </c>
      <c r="R2318" t="s">
        <v>793</v>
      </c>
      <c r="S2318" t="s">
        <v>1043</v>
      </c>
      <c r="T2318" t="s">
        <v>794</v>
      </c>
      <c r="U2318">
        <v>136001</v>
      </c>
      <c r="V2318" t="s">
        <v>5044</v>
      </c>
      <c r="W2318" t="s">
        <v>945</v>
      </c>
      <c r="X2318" t="s">
        <v>13726</v>
      </c>
      <c r="Y2318" t="s">
        <v>4725</v>
      </c>
      <c r="Z2318" t="s">
        <v>1043</v>
      </c>
      <c r="AA2318" t="s">
        <v>4726</v>
      </c>
      <c r="AB2318" t="s">
        <v>13727</v>
      </c>
      <c r="AE2318">
        <v>-36.865278799999999</v>
      </c>
      <c r="AF2318">
        <v>174.7593785</v>
      </c>
      <c r="AG2318" s="175">
        <v>50</v>
      </c>
      <c r="AH2318" s="175">
        <v>20</v>
      </c>
      <c r="AI2318" s="175">
        <v>1</v>
      </c>
      <c r="AJ2318" s="175">
        <v>4</v>
      </c>
      <c r="AK2318" s="175">
        <v>8</v>
      </c>
      <c r="AL2318" s="175">
        <v>4</v>
      </c>
      <c r="AM2318" s="175">
        <v>6</v>
      </c>
      <c r="AN2318" s="175">
        <v>0</v>
      </c>
      <c r="AO2318" s="175">
        <v>23</v>
      </c>
      <c r="AP2318" s="175">
        <v>9</v>
      </c>
      <c r="AQ2318" s="175">
        <v>0</v>
      </c>
      <c r="AR2318" s="175">
        <v>2</v>
      </c>
      <c r="AS2318" s="175">
        <v>13</v>
      </c>
      <c r="AT2318" s="175">
        <v>2</v>
      </c>
    </row>
    <row r="2319" spans="1:46">
      <c r="A2319">
        <v>46337</v>
      </c>
      <c r="B2319" t="s">
        <v>13728</v>
      </c>
      <c r="C2319" t="s">
        <v>13729</v>
      </c>
      <c r="E2319" t="s">
        <v>13730</v>
      </c>
      <c r="F2319" t="s">
        <v>1120</v>
      </c>
      <c r="G2319" t="s">
        <v>737</v>
      </c>
      <c r="H2319" t="s">
        <v>449</v>
      </c>
      <c r="J2319" t="s">
        <v>4032</v>
      </c>
      <c r="K2319" t="s">
        <v>606</v>
      </c>
      <c r="M2319" t="s">
        <v>607</v>
      </c>
      <c r="N2319" t="s">
        <v>625</v>
      </c>
      <c r="O2319" t="s">
        <v>813</v>
      </c>
      <c r="P2319" t="s">
        <v>739</v>
      </c>
      <c r="Q2319" t="s">
        <v>467</v>
      </c>
      <c r="R2319" t="s">
        <v>814</v>
      </c>
      <c r="S2319" t="s">
        <v>815</v>
      </c>
      <c r="T2319" t="s">
        <v>794</v>
      </c>
      <c r="U2319">
        <v>155601</v>
      </c>
      <c r="V2319" t="s">
        <v>13573</v>
      </c>
      <c r="W2319" t="s">
        <v>817</v>
      </c>
      <c r="X2319" t="s">
        <v>13731</v>
      </c>
      <c r="Y2319" t="s">
        <v>13732</v>
      </c>
      <c r="Z2319" t="s">
        <v>4060</v>
      </c>
      <c r="AA2319" t="s">
        <v>4061</v>
      </c>
      <c r="AB2319" t="s">
        <v>13733</v>
      </c>
      <c r="AE2319">
        <v>-36.969227080000003</v>
      </c>
      <c r="AF2319">
        <v>174.86790621</v>
      </c>
      <c r="AG2319" s="175">
        <v>70</v>
      </c>
      <c r="AH2319" s="175">
        <v>10</v>
      </c>
      <c r="AI2319" s="175">
        <v>0</v>
      </c>
      <c r="AJ2319" s="175">
        <v>7</v>
      </c>
      <c r="AK2319" s="175">
        <v>10</v>
      </c>
      <c r="AL2319" s="175">
        <v>29</v>
      </c>
      <c r="AM2319" s="175">
        <v>19</v>
      </c>
      <c r="AN2319" s="175">
        <v>4</v>
      </c>
      <c r="AO2319" s="175">
        <v>69</v>
      </c>
      <c r="AP2319" s="175">
        <v>1</v>
      </c>
      <c r="AQ2319" s="175">
        <v>6</v>
      </c>
      <c r="AR2319" s="175">
        <v>6</v>
      </c>
      <c r="AS2319" s="175">
        <v>55</v>
      </c>
      <c r="AT2319" s="175">
        <v>2</v>
      </c>
    </row>
    <row r="2320" spans="1:46">
      <c r="A2320">
        <v>46338</v>
      </c>
      <c r="B2320" t="s">
        <v>13734</v>
      </c>
      <c r="C2320" t="s">
        <v>13735</v>
      </c>
      <c r="E2320" t="s">
        <v>13736</v>
      </c>
      <c r="G2320" t="s">
        <v>1434</v>
      </c>
      <c r="H2320" t="s">
        <v>449</v>
      </c>
      <c r="J2320" t="s">
        <v>4032</v>
      </c>
      <c r="K2320" t="s">
        <v>606</v>
      </c>
      <c r="M2320" t="s">
        <v>1382</v>
      </c>
      <c r="N2320" t="s">
        <v>625</v>
      </c>
      <c r="O2320" t="s">
        <v>1435</v>
      </c>
      <c r="P2320" t="s">
        <v>610</v>
      </c>
      <c r="Q2320" t="s">
        <v>510</v>
      </c>
      <c r="R2320" t="s">
        <v>1384</v>
      </c>
      <c r="S2320" t="s">
        <v>1501</v>
      </c>
      <c r="T2320" t="s">
        <v>1320</v>
      </c>
      <c r="U2320">
        <v>172100</v>
      </c>
      <c r="V2320" t="s">
        <v>1436</v>
      </c>
      <c r="W2320" t="s">
        <v>1437</v>
      </c>
      <c r="X2320" t="s">
        <v>13737</v>
      </c>
      <c r="Y2320" t="s">
        <v>13738</v>
      </c>
      <c r="Z2320" t="s">
        <v>9558</v>
      </c>
      <c r="AA2320" t="s">
        <v>8575</v>
      </c>
      <c r="AB2320" t="s">
        <v>13739</v>
      </c>
      <c r="AE2320">
        <v>-37.663294399999998</v>
      </c>
      <c r="AF2320">
        <v>175.14240691000001</v>
      </c>
      <c r="AG2320" s="175">
        <v>45</v>
      </c>
      <c r="AH2320" s="175">
        <v>10</v>
      </c>
      <c r="AI2320" s="175">
        <v>2</v>
      </c>
      <c r="AJ2320" s="175">
        <v>10</v>
      </c>
      <c r="AK2320" s="175">
        <v>11</v>
      </c>
      <c r="AL2320" s="175">
        <v>5</v>
      </c>
      <c r="AM2320" s="175">
        <v>5</v>
      </c>
      <c r="AN2320" s="175">
        <v>2</v>
      </c>
      <c r="AO2320" s="175">
        <v>35</v>
      </c>
      <c r="AP2320" s="175">
        <v>12</v>
      </c>
      <c r="AQ2320" s="175">
        <v>22</v>
      </c>
      <c r="AR2320" s="175">
        <v>3</v>
      </c>
      <c r="AS2320" s="175">
        <v>5</v>
      </c>
      <c r="AT2320" s="175">
        <v>0</v>
      </c>
    </row>
    <row r="2321" spans="1:46">
      <c r="A2321">
        <v>46342</v>
      </c>
      <c r="B2321" t="s">
        <v>13740</v>
      </c>
      <c r="D2321" t="s">
        <v>13741</v>
      </c>
      <c r="E2321" t="s">
        <v>13742</v>
      </c>
      <c r="F2321" t="s">
        <v>13743</v>
      </c>
      <c r="G2321" t="s">
        <v>3015</v>
      </c>
      <c r="H2321" t="s">
        <v>449</v>
      </c>
      <c r="J2321" t="s">
        <v>4032</v>
      </c>
      <c r="K2321" t="s">
        <v>606</v>
      </c>
      <c r="M2321" t="s">
        <v>2366</v>
      </c>
      <c r="N2321" t="s">
        <v>657</v>
      </c>
      <c r="O2321" t="s">
        <v>3016</v>
      </c>
      <c r="P2321" t="s">
        <v>739</v>
      </c>
      <c r="Q2321" t="s">
        <v>521</v>
      </c>
      <c r="R2321" t="s">
        <v>3017</v>
      </c>
      <c r="S2321" t="s">
        <v>3052</v>
      </c>
      <c r="T2321" t="s">
        <v>2526</v>
      </c>
      <c r="U2321">
        <v>331200</v>
      </c>
      <c r="V2321" t="s">
        <v>13743</v>
      </c>
      <c r="W2321" t="s">
        <v>3031</v>
      </c>
      <c r="X2321" t="s">
        <v>13744</v>
      </c>
      <c r="Y2321" t="s">
        <v>13745</v>
      </c>
      <c r="AA2321" t="s">
        <v>13746</v>
      </c>
      <c r="AB2321" t="s">
        <v>13747</v>
      </c>
      <c r="AC2321">
        <v>99177</v>
      </c>
      <c r="AD2321" t="s">
        <v>3032</v>
      </c>
      <c r="AE2321">
        <v>-43.565834989999999</v>
      </c>
      <c r="AF2321">
        <v>172.64747603000001</v>
      </c>
      <c r="AG2321" s="175">
        <v>30</v>
      </c>
      <c r="AH2321" s="175">
        <v>0</v>
      </c>
      <c r="AI2321" s="175">
        <v>0</v>
      </c>
      <c r="AJ2321" s="175">
        <v>0</v>
      </c>
      <c r="AK2321" s="175">
        <v>8</v>
      </c>
      <c r="AL2321" s="175">
        <v>9</v>
      </c>
      <c r="AM2321" s="175">
        <v>13</v>
      </c>
      <c r="AN2321" s="175">
        <v>2</v>
      </c>
      <c r="AO2321" s="175">
        <v>32</v>
      </c>
      <c r="AP2321" s="175">
        <v>29</v>
      </c>
      <c r="AQ2321" s="175">
        <v>2</v>
      </c>
      <c r="AR2321" s="175">
        <v>0</v>
      </c>
      <c r="AS2321" s="175">
        <v>3</v>
      </c>
      <c r="AT2321" s="175">
        <v>1</v>
      </c>
    </row>
    <row r="2322" spans="1:46">
      <c r="A2322">
        <v>46343</v>
      </c>
      <c r="B2322" t="s">
        <v>13748</v>
      </c>
      <c r="C2322" t="s">
        <v>13749</v>
      </c>
      <c r="E2322" t="s">
        <v>13750</v>
      </c>
      <c r="F2322" t="s">
        <v>13046</v>
      </c>
      <c r="G2322" t="s">
        <v>1381</v>
      </c>
      <c r="H2322" t="s">
        <v>449</v>
      </c>
      <c r="J2322" t="s">
        <v>4032</v>
      </c>
      <c r="K2322" t="s">
        <v>606</v>
      </c>
      <c r="M2322" t="s">
        <v>1382</v>
      </c>
      <c r="N2322" t="s">
        <v>657</v>
      </c>
      <c r="O2322" t="s">
        <v>1383</v>
      </c>
      <c r="P2322" t="s">
        <v>739</v>
      </c>
      <c r="Q2322" t="s">
        <v>510</v>
      </c>
      <c r="R2322" t="s">
        <v>1384</v>
      </c>
      <c r="S2322" t="s">
        <v>1396</v>
      </c>
      <c r="T2322" t="s">
        <v>1320</v>
      </c>
      <c r="U2322">
        <v>179600</v>
      </c>
      <c r="V2322" t="s">
        <v>8874</v>
      </c>
      <c r="W2322" t="s">
        <v>1398</v>
      </c>
      <c r="X2322" t="s">
        <v>13751</v>
      </c>
      <c r="Y2322" t="s">
        <v>13752</v>
      </c>
      <c r="Z2322" t="s">
        <v>1429</v>
      </c>
      <c r="AA2322" t="s">
        <v>8714</v>
      </c>
      <c r="AB2322" t="s">
        <v>13753</v>
      </c>
      <c r="AE2322">
        <v>-37.775161750000002</v>
      </c>
      <c r="AF2322">
        <v>175.30022412</v>
      </c>
      <c r="AG2322" s="175">
        <v>30</v>
      </c>
      <c r="AH2322" s="175">
        <v>10</v>
      </c>
      <c r="AI2322" s="175">
        <v>3</v>
      </c>
      <c r="AJ2322" s="175">
        <v>2</v>
      </c>
      <c r="AK2322" s="175">
        <v>9</v>
      </c>
      <c r="AL2322" s="175">
        <v>9</v>
      </c>
      <c r="AM2322" s="175">
        <v>9</v>
      </c>
      <c r="AN2322" s="175">
        <v>0</v>
      </c>
      <c r="AO2322" s="175">
        <v>32</v>
      </c>
      <c r="AP2322" s="175">
        <v>27</v>
      </c>
      <c r="AQ2322" s="175">
        <v>6</v>
      </c>
      <c r="AR2322" s="175">
        <v>0</v>
      </c>
      <c r="AS2322" s="175">
        <v>5</v>
      </c>
      <c r="AT2322" s="175">
        <v>2</v>
      </c>
    </row>
    <row r="2323" spans="1:46">
      <c r="A2323">
        <v>46346</v>
      </c>
      <c r="B2323" t="s">
        <v>13754</v>
      </c>
      <c r="C2323" t="s">
        <v>13755</v>
      </c>
      <c r="D2323" t="s">
        <v>13756</v>
      </c>
      <c r="E2323" t="s">
        <v>13757</v>
      </c>
      <c r="F2323" t="s">
        <v>2217</v>
      </c>
      <c r="G2323" t="s">
        <v>2198</v>
      </c>
      <c r="H2323" t="s">
        <v>449</v>
      </c>
      <c r="J2323" t="s">
        <v>4032</v>
      </c>
      <c r="K2323" t="s">
        <v>606</v>
      </c>
      <c r="M2323" t="s">
        <v>1382</v>
      </c>
      <c r="N2323" t="s">
        <v>657</v>
      </c>
      <c r="O2323" t="s">
        <v>2210</v>
      </c>
      <c r="P2323" t="s">
        <v>670</v>
      </c>
      <c r="Q2323" t="s">
        <v>513</v>
      </c>
      <c r="R2323" t="s">
        <v>2164</v>
      </c>
      <c r="S2323" t="s">
        <v>2198</v>
      </c>
      <c r="T2323" t="s">
        <v>2165</v>
      </c>
      <c r="U2323">
        <v>214400</v>
      </c>
      <c r="V2323" t="s">
        <v>8961</v>
      </c>
      <c r="W2323" t="s">
        <v>2219</v>
      </c>
      <c r="X2323" t="s">
        <v>13758</v>
      </c>
      <c r="Y2323" t="s">
        <v>4725</v>
      </c>
      <c r="Z2323" t="s">
        <v>1043</v>
      </c>
      <c r="AA2323" t="s">
        <v>4726</v>
      </c>
      <c r="AB2323" t="s">
        <v>13759</v>
      </c>
      <c r="AC2323">
        <v>99217</v>
      </c>
      <c r="AD2323" t="s">
        <v>2220</v>
      </c>
      <c r="AE2323">
        <v>-39.522990700000001</v>
      </c>
      <c r="AF2323">
        <v>176.86931150000001</v>
      </c>
      <c r="AG2323" s="175">
        <v>89</v>
      </c>
      <c r="AH2323" s="175">
        <v>30</v>
      </c>
      <c r="AI2323" s="175">
        <v>7</v>
      </c>
      <c r="AJ2323" s="175">
        <v>11</v>
      </c>
      <c r="AK2323" s="175">
        <v>17</v>
      </c>
      <c r="AL2323" s="175">
        <v>13</v>
      </c>
      <c r="AM2323" s="175">
        <v>15</v>
      </c>
      <c r="AN2323" s="175">
        <v>0</v>
      </c>
      <c r="AO2323" s="175">
        <v>63</v>
      </c>
      <c r="AP2323" s="175">
        <v>49</v>
      </c>
      <c r="AQ2323" s="175">
        <v>20</v>
      </c>
      <c r="AR2323" s="175">
        <v>1</v>
      </c>
      <c r="AS2323" s="175">
        <v>9</v>
      </c>
      <c r="AT2323" s="175">
        <v>7</v>
      </c>
    </row>
    <row r="2324" spans="1:46">
      <c r="A2324">
        <v>46350</v>
      </c>
      <c r="B2324" t="s">
        <v>13760</v>
      </c>
      <c r="D2324" t="s">
        <v>8826</v>
      </c>
      <c r="E2324" t="s">
        <v>13761</v>
      </c>
      <c r="F2324" t="s">
        <v>1397</v>
      </c>
      <c r="G2324" t="s">
        <v>1381</v>
      </c>
      <c r="H2324" t="s">
        <v>450</v>
      </c>
      <c r="J2324" t="s">
        <v>4032</v>
      </c>
      <c r="K2324" t="s">
        <v>606</v>
      </c>
      <c r="M2324" t="s">
        <v>1382</v>
      </c>
      <c r="N2324" t="s">
        <v>625</v>
      </c>
      <c r="O2324" t="s">
        <v>1383</v>
      </c>
      <c r="P2324" t="s">
        <v>739</v>
      </c>
      <c r="Q2324" t="s">
        <v>510</v>
      </c>
      <c r="R2324" t="s">
        <v>1384</v>
      </c>
      <c r="S2324" t="s">
        <v>1396</v>
      </c>
      <c r="T2324" t="s">
        <v>1320</v>
      </c>
      <c r="U2324">
        <v>177300</v>
      </c>
      <c r="V2324" t="s">
        <v>1397</v>
      </c>
      <c r="W2324" t="s">
        <v>1398</v>
      </c>
      <c r="X2324" t="s">
        <v>13762</v>
      </c>
      <c r="Y2324" t="s">
        <v>8827</v>
      </c>
      <c r="Z2324" t="s">
        <v>1397</v>
      </c>
      <c r="AA2324" t="s">
        <v>8575</v>
      </c>
      <c r="AE2324">
        <v>-37.749599439999997</v>
      </c>
      <c r="AF2324">
        <v>175.27368326000001</v>
      </c>
      <c r="AG2324" s="175">
        <v>80</v>
      </c>
      <c r="AH2324" s="175">
        <v>40</v>
      </c>
      <c r="AI2324" s="175">
        <v>5</v>
      </c>
      <c r="AJ2324" s="175">
        <v>7</v>
      </c>
      <c r="AK2324" s="175">
        <v>3</v>
      </c>
      <c r="AL2324" s="175">
        <v>10</v>
      </c>
      <c r="AM2324" s="175">
        <v>8</v>
      </c>
      <c r="AN2324" s="175">
        <v>10</v>
      </c>
      <c r="AO2324" s="175">
        <v>43</v>
      </c>
      <c r="AP2324" s="175">
        <v>0</v>
      </c>
      <c r="AQ2324" s="175">
        <v>2</v>
      </c>
      <c r="AR2324" s="175">
        <v>1</v>
      </c>
      <c r="AS2324" s="175">
        <v>0</v>
      </c>
      <c r="AT2324" s="175">
        <v>41</v>
      </c>
    </row>
    <row r="2325" spans="1:46">
      <c r="A2325">
        <v>46351</v>
      </c>
      <c r="B2325" t="s">
        <v>13763</v>
      </c>
      <c r="C2325" t="s">
        <v>13764</v>
      </c>
      <c r="D2325" t="s">
        <v>13765</v>
      </c>
      <c r="E2325" t="s">
        <v>13766</v>
      </c>
      <c r="G2325" t="s">
        <v>1621</v>
      </c>
      <c r="H2325" t="s">
        <v>449</v>
      </c>
      <c r="J2325" t="s">
        <v>4032</v>
      </c>
      <c r="K2325" t="s">
        <v>606</v>
      </c>
      <c r="M2325" t="s">
        <v>1382</v>
      </c>
      <c r="N2325" t="s">
        <v>657</v>
      </c>
      <c r="O2325" t="s">
        <v>1403</v>
      </c>
      <c r="P2325" t="s">
        <v>1347</v>
      </c>
      <c r="Q2325" t="s">
        <v>510</v>
      </c>
      <c r="R2325" t="s">
        <v>1384</v>
      </c>
      <c r="S2325" t="s">
        <v>1501</v>
      </c>
      <c r="T2325" t="s">
        <v>1320</v>
      </c>
      <c r="U2325">
        <v>184201</v>
      </c>
      <c r="V2325" t="s">
        <v>13767</v>
      </c>
      <c r="W2325" t="s">
        <v>1623</v>
      </c>
      <c r="X2325" t="s">
        <v>13768</v>
      </c>
      <c r="Y2325" t="s">
        <v>13769</v>
      </c>
      <c r="AA2325" t="s">
        <v>9344</v>
      </c>
      <c r="AB2325" t="s">
        <v>13770</v>
      </c>
      <c r="AE2325">
        <v>-38.002969499999999</v>
      </c>
      <c r="AF2325">
        <v>175.33810333</v>
      </c>
      <c r="AG2325" s="175">
        <v>50</v>
      </c>
      <c r="AH2325" s="175">
        <v>12</v>
      </c>
      <c r="AI2325" s="175">
        <v>5</v>
      </c>
      <c r="AJ2325" s="175">
        <v>10</v>
      </c>
      <c r="AK2325" s="175">
        <v>9</v>
      </c>
      <c r="AL2325" s="175">
        <v>13</v>
      </c>
      <c r="AM2325" s="175">
        <v>14</v>
      </c>
      <c r="AN2325" s="175">
        <v>0</v>
      </c>
      <c r="AO2325" s="175">
        <v>51</v>
      </c>
      <c r="AP2325" s="175">
        <v>43</v>
      </c>
      <c r="AQ2325" s="175">
        <v>17</v>
      </c>
      <c r="AR2325" s="175">
        <v>4</v>
      </c>
      <c r="AS2325" s="175">
        <v>4</v>
      </c>
      <c r="AT2325" s="175">
        <v>2</v>
      </c>
    </row>
    <row r="2326" spans="1:46">
      <c r="A2326">
        <v>46352</v>
      </c>
      <c r="B2326" t="s">
        <v>13771</v>
      </c>
      <c r="C2326" t="s">
        <v>13772</v>
      </c>
      <c r="E2326" t="s">
        <v>13773</v>
      </c>
      <c r="F2326" t="s">
        <v>983</v>
      </c>
      <c r="G2326" t="s">
        <v>737</v>
      </c>
      <c r="H2326" t="s">
        <v>449</v>
      </c>
      <c r="J2326" t="s">
        <v>4032</v>
      </c>
      <c r="K2326" t="s">
        <v>606</v>
      </c>
      <c r="M2326" t="s">
        <v>607</v>
      </c>
      <c r="N2326" t="s">
        <v>4586</v>
      </c>
      <c r="O2326" t="s">
        <v>898</v>
      </c>
      <c r="P2326" t="s">
        <v>739</v>
      </c>
      <c r="Q2326" t="s">
        <v>467</v>
      </c>
      <c r="R2326" t="s">
        <v>724</v>
      </c>
      <c r="S2326" t="s">
        <v>984</v>
      </c>
      <c r="T2326" t="s">
        <v>613</v>
      </c>
      <c r="U2326">
        <v>126100</v>
      </c>
      <c r="V2326" t="s">
        <v>5079</v>
      </c>
      <c r="W2326" t="s">
        <v>900</v>
      </c>
      <c r="X2326" t="s">
        <v>13774</v>
      </c>
      <c r="Y2326" t="s">
        <v>12920</v>
      </c>
      <c r="Z2326" t="s">
        <v>6269</v>
      </c>
      <c r="AA2326" t="s">
        <v>4423</v>
      </c>
      <c r="AE2326">
        <v>-36.882470169999998</v>
      </c>
      <c r="AF2326">
        <v>174.61516259999999</v>
      </c>
      <c r="AG2326" s="175">
        <v>90</v>
      </c>
      <c r="AH2326" s="175">
        <v>20</v>
      </c>
      <c r="AI2326" s="175">
        <v>2</v>
      </c>
      <c r="AJ2326" s="175">
        <v>14</v>
      </c>
      <c r="AK2326" s="175">
        <v>13</v>
      </c>
      <c r="AL2326" s="175">
        <v>21</v>
      </c>
      <c r="AM2326" s="175">
        <v>21</v>
      </c>
      <c r="AN2326" s="175">
        <v>0</v>
      </c>
      <c r="AO2326" s="175">
        <v>71</v>
      </c>
      <c r="AP2326" s="175">
        <v>10</v>
      </c>
      <c r="AQ2326" s="175">
        <v>5</v>
      </c>
      <c r="AR2326" s="175">
        <v>13</v>
      </c>
      <c r="AS2326" s="175">
        <v>42</v>
      </c>
      <c r="AT2326" s="175">
        <v>7</v>
      </c>
    </row>
    <row r="2327" spans="1:46">
      <c r="A2327">
        <v>46354</v>
      </c>
      <c r="B2327" t="s">
        <v>13775</v>
      </c>
      <c r="C2327" t="s">
        <v>13776</v>
      </c>
      <c r="D2327" t="s">
        <v>13777</v>
      </c>
      <c r="E2327" t="s">
        <v>13778</v>
      </c>
      <c r="G2327" t="s">
        <v>3926</v>
      </c>
      <c r="H2327" t="s">
        <v>449</v>
      </c>
      <c r="J2327" t="s">
        <v>4032</v>
      </c>
      <c r="K2327" t="s">
        <v>606</v>
      </c>
      <c r="M2327" t="s">
        <v>1382</v>
      </c>
      <c r="N2327" t="s">
        <v>4586</v>
      </c>
      <c r="O2327" t="s">
        <v>1521</v>
      </c>
      <c r="P2327" t="s">
        <v>610</v>
      </c>
      <c r="Q2327" t="s">
        <v>510</v>
      </c>
      <c r="R2327" t="s">
        <v>1384</v>
      </c>
      <c r="S2327" t="s">
        <v>1522</v>
      </c>
      <c r="T2327" t="s">
        <v>1320</v>
      </c>
      <c r="U2327">
        <v>168901</v>
      </c>
      <c r="V2327" t="s">
        <v>3926</v>
      </c>
      <c r="W2327" t="s">
        <v>3927</v>
      </c>
      <c r="X2327" t="s">
        <v>9409</v>
      </c>
      <c r="Y2327" t="s">
        <v>9408</v>
      </c>
      <c r="AA2327" t="s">
        <v>9410</v>
      </c>
      <c r="AB2327" t="s">
        <v>9411</v>
      </c>
      <c r="AE2327">
        <v>-37.278882199999998</v>
      </c>
      <c r="AF2327">
        <v>175.4921105</v>
      </c>
      <c r="AG2327" s="175">
        <v>27</v>
      </c>
      <c r="AH2327" s="175">
        <v>5</v>
      </c>
      <c r="AI2327" s="175">
        <v>0</v>
      </c>
      <c r="AJ2327" s="175">
        <v>3</v>
      </c>
      <c r="AK2327" s="175">
        <v>6</v>
      </c>
      <c r="AL2327" s="175">
        <v>5</v>
      </c>
      <c r="AM2327" s="175">
        <v>10</v>
      </c>
      <c r="AN2327" s="175">
        <v>0</v>
      </c>
      <c r="AO2327" s="175">
        <v>24</v>
      </c>
      <c r="AP2327" s="175">
        <v>20</v>
      </c>
      <c r="AQ2327" s="175">
        <v>7</v>
      </c>
      <c r="AR2327" s="175">
        <v>0</v>
      </c>
      <c r="AS2327" s="175">
        <v>5</v>
      </c>
      <c r="AT2327" s="175">
        <v>0</v>
      </c>
    </row>
    <row r="2328" spans="1:46">
      <c r="A2328">
        <v>46356</v>
      </c>
      <c r="B2328" t="s">
        <v>13779</v>
      </c>
      <c r="C2328" t="s">
        <v>1308</v>
      </c>
      <c r="E2328" t="s">
        <v>13780</v>
      </c>
      <c r="F2328" t="s">
        <v>1302</v>
      </c>
      <c r="G2328" t="s">
        <v>737</v>
      </c>
      <c r="H2328" t="s">
        <v>452</v>
      </c>
      <c r="J2328" t="s">
        <v>605</v>
      </c>
      <c r="K2328" t="s">
        <v>606</v>
      </c>
      <c r="M2328" t="s">
        <v>607</v>
      </c>
      <c r="N2328" t="s">
        <v>608</v>
      </c>
      <c r="O2328" t="s">
        <v>1353</v>
      </c>
      <c r="P2328" t="s">
        <v>739</v>
      </c>
      <c r="Q2328" t="s">
        <v>467</v>
      </c>
      <c r="R2328" t="s">
        <v>814</v>
      </c>
      <c r="S2328" t="s">
        <v>1302</v>
      </c>
      <c r="T2328" t="s">
        <v>794</v>
      </c>
      <c r="U2328">
        <v>162000</v>
      </c>
      <c r="V2328" t="s">
        <v>4118</v>
      </c>
      <c r="W2328" t="s">
        <v>1304</v>
      </c>
      <c r="X2328" t="s">
        <v>1305</v>
      </c>
      <c r="Y2328" t="s">
        <v>1306</v>
      </c>
      <c r="Z2328" t="s">
        <v>1302</v>
      </c>
      <c r="AA2328" t="s">
        <v>1307</v>
      </c>
      <c r="AB2328" t="s">
        <v>1308</v>
      </c>
      <c r="AE2328">
        <v>-37.038338000000003</v>
      </c>
      <c r="AF2328">
        <v>174.91751103999999</v>
      </c>
      <c r="AG2328" s="175">
        <v>96</v>
      </c>
      <c r="AH2328" s="175">
        <v>12</v>
      </c>
      <c r="AI2328" s="175">
        <v>4</v>
      </c>
      <c r="AJ2328" s="175">
        <v>8</v>
      </c>
      <c r="AK2328" s="175">
        <v>26</v>
      </c>
      <c r="AL2328" s="175">
        <v>23</v>
      </c>
      <c r="AM2328" s="175">
        <v>36</v>
      </c>
      <c r="AN2328" s="175">
        <v>2</v>
      </c>
      <c r="AO2328" s="175">
        <v>99</v>
      </c>
      <c r="AP2328" s="175">
        <v>42</v>
      </c>
      <c r="AQ2328" s="175">
        <v>13</v>
      </c>
      <c r="AR2328" s="175">
        <v>12</v>
      </c>
      <c r="AS2328" s="175">
        <v>53</v>
      </c>
      <c r="AT2328" s="175">
        <v>6</v>
      </c>
    </row>
    <row r="2329" spans="1:46">
      <c r="A2329">
        <v>46359</v>
      </c>
      <c r="B2329" t="s">
        <v>13781</v>
      </c>
      <c r="C2329" t="s">
        <v>13782</v>
      </c>
      <c r="D2329" t="s">
        <v>13783</v>
      </c>
      <c r="E2329" t="s">
        <v>13784</v>
      </c>
      <c r="F2329" t="s">
        <v>2691</v>
      </c>
      <c r="G2329" t="s">
        <v>2604</v>
      </c>
      <c r="H2329" t="s">
        <v>449</v>
      </c>
      <c r="J2329" t="s">
        <v>4032</v>
      </c>
      <c r="K2329" t="s">
        <v>606</v>
      </c>
      <c r="M2329" t="s">
        <v>2366</v>
      </c>
      <c r="N2329" t="s">
        <v>643</v>
      </c>
      <c r="O2329" t="s">
        <v>2605</v>
      </c>
      <c r="P2329" t="s">
        <v>670</v>
      </c>
      <c r="Q2329" t="s">
        <v>516</v>
      </c>
      <c r="R2329" t="s">
        <v>2368</v>
      </c>
      <c r="S2329" t="s">
        <v>2606</v>
      </c>
      <c r="T2329" t="s">
        <v>1568</v>
      </c>
      <c r="U2329">
        <v>239300</v>
      </c>
      <c r="V2329" t="s">
        <v>2692</v>
      </c>
      <c r="W2329" t="s">
        <v>2607</v>
      </c>
      <c r="X2329" t="s">
        <v>13785</v>
      </c>
      <c r="Y2329" t="s">
        <v>13784</v>
      </c>
      <c r="Z2329" t="s">
        <v>2691</v>
      </c>
      <c r="AA2329" t="s">
        <v>13786</v>
      </c>
      <c r="AC2329">
        <v>99094</v>
      </c>
      <c r="AD2329" t="s">
        <v>2693</v>
      </c>
      <c r="AE2329">
        <v>-41.128879380000001</v>
      </c>
      <c r="AF2329">
        <v>174.83252435</v>
      </c>
      <c r="AG2329" s="175">
        <v>44</v>
      </c>
      <c r="AH2329" s="175">
        <v>10</v>
      </c>
      <c r="AI2329" s="175">
        <v>1</v>
      </c>
      <c r="AJ2329" s="175">
        <v>7</v>
      </c>
      <c r="AK2329" s="175">
        <v>9</v>
      </c>
      <c r="AL2329" s="175">
        <v>14</v>
      </c>
      <c r="AM2329" s="175">
        <v>11</v>
      </c>
      <c r="AN2329" s="175">
        <v>0</v>
      </c>
      <c r="AO2329" s="175">
        <v>42</v>
      </c>
      <c r="AP2329" s="175">
        <v>18</v>
      </c>
      <c r="AQ2329" s="175">
        <v>24</v>
      </c>
      <c r="AR2329" s="175">
        <v>18</v>
      </c>
      <c r="AS2329" s="175">
        <v>5</v>
      </c>
      <c r="AT2329" s="175">
        <v>5</v>
      </c>
    </row>
    <row r="2330" spans="1:46">
      <c r="A2330">
        <v>46361</v>
      </c>
      <c r="B2330" t="s">
        <v>13787</v>
      </c>
      <c r="C2330" t="s">
        <v>13788</v>
      </c>
      <c r="D2330" t="s">
        <v>13789</v>
      </c>
      <c r="E2330" t="s">
        <v>13790</v>
      </c>
      <c r="F2330" t="s">
        <v>13170</v>
      </c>
      <c r="G2330" t="s">
        <v>737</v>
      </c>
      <c r="H2330" t="s">
        <v>449</v>
      </c>
      <c r="J2330" t="s">
        <v>4032</v>
      </c>
      <c r="K2330" t="s">
        <v>606</v>
      </c>
      <c r="M2330" t="s">
        <v>607</v>
      </c>
      <c r="N2330" t="s">
        <v>657</v>
      </c>
      <c r="O2330" t="s">
        <v>914</v>
      </c>
      <c r="P2330" t="s">
        <v>739</v>
      </c>
      <c r="Q2330" t="s">
        <v>467</v>
      </c>
      <c r="R2330" t="s">
        <v>793</v>
      </c>
      <c r="S2330" t="s">
        <v>890</v>
      </c>
      <c r="T2330" t="s">
        <v>794</v>
      </c>
      <c r="U2330">
        <v>145300</v>
      </c>
      <c r="V2330" t="s">
        <v>8340</v>
      </c>
      <c r="W2330" t="s">
        <v>892</v>
      </c>
      <c r="X2330" t="s">
        <v>13791</v>
      </c>
      <c r="Y2330" t="s">
        <v>13792</v>
      </c>
      <c r="Z2330" t="s">
        <v>907</v>
      </c>
      <c r="AA2330" t="s">
        <v>5260</v>
      </c>
      <c r="AB2330" t="s">
        <v>13793</v>
      </c>
      <c r="AC2330">
        <v>99100</v>
      </c>
      <c r="AD2330" t="s">
        <v>1146</v>
      </c>
      <c r="AE2330">
        <v>-36.888916889999997</v>
      </c>
      <c r="AF2330">
        <v>174.83109880000001</v>
      </c>
      <c r="AG2330" s="175">
        <v>100</v>
      </c>
      <c r="AH2330" s="175">
        <v>30</v>
      </c>
      <c r="AI2330" s="175">
        <v>4</v>
      </c>
      <c r="AJ2330" s="175">
        <v>12</v>
      </c>
      <c r="AK2330" s="175">
        <v>19</v>
      </c>
      <c r="AL2330" s="175">
        <v>8</v>
      </c>
      <c r="AM2330" s="175">
        <v>17</v>
      </c>
      <c r="AN2330" s="175">
        <v>1</v>
      </c>
      <c r="AO2330" s="175">
        <v>61</v>
      </c>
      <c r="AP2330" s="175">
        <v>27</v>
      </c>
      <c r="AQ2330" s="175">
        <v>7</v>
      </c>
      <c r="AR2330" s="175">
        <v>5</v>
      </c>
      <c r="AS2330" s="175">
        <v>29</v>
      </c>
      <c r="AT2330" s="175">
        <v>7</v>
      </c>
    </row>
    <row r="2331" spans="1:46">
      <c r="A2331">
        <v>46362</v>
      </c>
      <c r="B2331" t="s">
        <v>13794</v>
      </c>
      <c r="C2331" t="s">
        <v>13795</v>
      </c>
      <c r="E2331" t="s">
        <v>13796</v>
      </c>
      <c r="F2331" t="s">
        <v>10446</v>
      </c>
      <c r="G2331" t="s">
        <v>2803</v>
      </c>
      <c r="H2331" t="s">
        <v>452</v>
      </c>
      <c r="I2331" t="s">
        <v>13797</v>
      </c>
      <c r="J2331" t="s">
        <v>605</v>
      </c>
      <c r="K2331" t="s">
        <v>606</v>
      </c>
      <c r="M2331" t="s">
        <v>2366</v>
      </c>
      <c r="N2331" t="s">
        <v>625</v>
      </c>
      <c r="O2331" t="s">
        <v>2147</v>
      </c>
      <c r="P2331" t="s">
        <v>1347</v>
      </c>
      <c r="Q2331" t="s">
        <v>553</v>
      </c>
      <c r="R2331" t="s">
        <v>2368</v>
      </c>
      <c r="S2331" t="s">
        <v>2148</v>
      </c>
      <c r="T2331" t="s">
        <v>1568</v>
      </c>
      <c r="U2331">
        <v>235900</v>
      </c>
      <c r="V2331" t="s">
        <v>2804</v>
      </c>
      <c r="W2331" t="s">
        <v>2805</v>
      </c>
      <c r="X2331" t="s">
        <v>1970</v>
      </c>
      <c r="Y2331" t="s">
        <v>1971</v>
      </c>
      <c r="AA2331" t="s">
        <v>1972</v>
      </c>
      <c r="AB2331" t="s">
        <v>1973</v>
      </c>
      <c r="AC2331">
        <v>99058</v>
      </c>
      <c r="AD2331" t="s">
        <v>2806</v>
      </c>
      <c r="AE2331">
        <v>-40.629272729999997</v>
      </c>
      <c r="AF2331">
        <v>175.29637013000001</v>
      </c>
      <c r="AG2331" s="175">
        <v>31</v>
      </c>
      <c r="AH2331" s="175">
        <v>20</v>
      </c>
      <c r="AI2331" s="175">
        <v>2</v>
      </c>
      <c r="AJ2331" s="175">
        <v>3</v>
      </c>
      <c r="AK2331" s="175">
        <v>9</v>
      </c>
      <c r="AL2331" s="175">
        <v>6</v>
      </c>
      <c r="AM2331" s="175">
        <v>10</v>
      </c>
      <c r="AN2331" s="175">
        <v>0</v>
      </c>
      <c r="AO2331" s="175">
        <v>30</v>
      </c>
      <c r="AP2331" s="175">
        <v>17</v>
      </c>
      <c r="AQ2331" s="175">
        <v>22</v>
      </c>
      <c r="AR2331" s="175">
        <v>6</v>
      </c>
      <c r="AS2331" s="175">
        <v>1</v>
      </c>
      <c r="AT2331" s="175">
        <v>1</v>
      </c>
    </row>
    <row r="2332" spans="1:46">
      <c r="A2332">
        <v>46363</v>
      </c>
      <c r="B2332" t="s">
        <v>13798</v>
      </c>
      <c r="C2332" t="s">
        <v>13799</v>
      </c>
      <c r="D2332" t="s">
        <v>13800</v>
      </c>
      <c r="E2332" t="s">
        <v>13801</v>
      </c>
      <c r="G2332" t="s">
        <v>9143</v>
      </c>
      <c r="H2332" t="s">
        <v>449</v>
      </c>
      <c r="J2332" t="s">
        <v>4032</v>
      </c>
      <c r="K2332" t="s">
        <v>606</v>
      </c>
      <c r="M2332" t="s">
        <v>1382</v>
      </c>
      <c r="N2332" t="s">
        <v>657</v>
      </c>
      <c r="O2332" t="s">
        <v>1435</v>
      </c>
      <c r="P2332" t="s">
        <v>626</v>
      </c>
      <c r="Q2332" t="s">
        <v>510</v>
      </c>
      <c r="R2332" t="s">
        <v>1384</v>
      </c>
      <c r="S2332" t="s">
        <v>1501</v>
      </c>
      <c r="T2332" t="s">
        <v>1320</v>
      </c>
      <c r="U2332">
        <v>172800</v>
      </c>
      <c r="V2332" t="s">
        <v>9144</v>
      </c>
      <c r="W2332" t="s">
        <v>1437</v>
      </c>
      <c r="X2332" t="s">
        <v>13802</v>
      </c>
      <c r="Y2332" t="s">
        <v>13801</v>
      </c>
      <c r="Z2332" t="s">
        <v>9143</v>
      </c>
      <c r="AA2332" t="s">
        <v>13803</v>
      </c>
      <c r="AB2332" t="s">
        <v>13804</v>
      </c>
      <c r="AE2332">
        <v>-37.796561109999999</v>
      </c>
      <c r="AF2332">
        <v>175.15424107999999</v>
      </c>
      <c r="AG2332" s="175">
        <v>60</v>
      </c>
      <c r="AH2332" s="175">
        <v>15</v>
      </c>
      <c r="AI2332" s="175">
        <v>3</v>
      </c>
      <c r="AJ2332" s="175">
        <v>14</v>
      </c>
      <c r="AK2332" s="175">
        <v>17</v>
      </c>
      <c r="AL2332" s="175">
        <v>21</v>
      </c>
      <c r="AM2332" s="175">
        <v>19</v>
      </c>
      <c r="AN2332" s="175">
        <v>0</v>
      </c>
      <c r="AO2332" s="175">
        <v>74</v>
      </c>
      <c r="AP2332" s="175">
        <v>65</v>
      </c>
      <c r="AQ2332" s="175">
        <v>16</v>
      </c>
      <c r="AR2332" s="175">
        <v>5</v>
      </c>
      <c r="AS2332" s="175">
        <v>2</v>
      </c>
      <c r="AT2332" s="175">
        <v>3</v>
      </c>
    </row>
    <row r="2333" spans="1:46">
      <c r="A2333">
        <v>46364</v>
      </c>
      <c r="B2333" t="s">
        <v>13805</v>
      </c>
      <c r="C2333" t="s">
        <v>13806</v>
      </c>
      <c r="D2333" t="s">
        <v>13807</v>
      </c>
      <c r="E2333" t="s">
        <v>13808</v>
      </c>
      <c r="F2333" t="s">
        <v>3793</v>
      </c>
      <c r="G2333" t="s">
        <v>1681</v>
      </c>
      <c r="H2333" t="s">
        <v>449</v>
      </c>
      <c r="J2333" t="s">
        <v>4032</v>
      </c>
      <c r="K2333" t="s">
        <v>606</v>
      </c>
      <c r="M2333" t="s">
        <v>1382</v>
      </c>
      <c r="N2333" t="s">
        <v>657</v>
      </c>
      <c r="O2333" t="s">
        <v>1780</v>
      </c>
      <c r="P2333" t="s">
        <v>739</v>
      </c>
      <c r="Q2333" t="s">
        <v>511</v>
      </c>
      <c r="R2333" t="s">
        <v>1555</v>
      </c>
      <c r="S2333" t="s">
        <v>1681</v>
      </c>
      <c r="T2333" t="s">
        <v>1557</v>
      </c>
      <c r="U2333">
        <v>194802</v>
      </c>
      <c r="V2333" t="s">
        <v>3794</v>
      </c>
      <c r="W2333" t="s">
        <v>3795</v>
      </c>
      <c r="X2333" t="s">
        <v>12253</v>
      </c>
      <c r="Y2333" t="s">
        <v>12254</v>
      </c>
      <c r="Z2333" t="s">
        <v>12255</v>
      </c>
      <c r="AA2333" t="s">
        <v>12256</v>
      </c>
      <c r="AB2333" t="s">
        <v>12250</v>
      </c>
      <c r="AC2333">
        <v>99085</v>
      </c>
      <c r="AD2333" t="s">
        <v>1800</v>
      </c>
      <c r="AE2333">
        <v>-37.708577390000002</v>
      </c>
      <c r="AF2333">
        <v>176.14917033</v>
      </c>
      <c r="AG2333" s="175">
        <v>124</v>
      </c>
      <c r="AH2333" s="175">
        <v>40</v>
      </c>
      <c r="AI2333" s="175">
        <v>6</v>
      </c>
      <c r="AJ2333" s="175">
        <v>31</v>
      </c>
      <c r="AK2333" s="175">
        <v>33</v>
      </c>
      <c r="AL2333" s="175">
        <v>28</v>
      </c>
      <c r="AM2333" s="175">
        <v>22</v>
      </c>
      <c r="AN2333" s="175">
        <v>1</v>
      </c>
      <c r="AO2333" s="175">
        <v>121</v>
      </c>
      <c r="AP2333" s="175">
        <v>84</v>
      </c>
      <c r="AQ2333" s="175">
        <v>22</v>
      </c>
      <c r="AR2333" s="175">
        <v>5</v>
      </c>
      <c r="AS2333" s="175">
        <v>28</v>
      </c>
      <c r="AT2333" s="175">
        <v>6</v>
      </c>
    </row>
    <row r="2334" spans="1:46">
      <c r="A2334">
        <v>46365</v>
      </c>
      <c r="B2334" t="s">
        <v>13809</v>
      </c>
      <c r="C2334" t="s">
        <v>13810</v>
      </c>
      <c r="D2334" t="s">
        <v>13811</v>
      </c>
      <c r="E2334" t="s">
        <v>13812</v>
      </c>
      <c r="F2334" t="s">
        <v>940</v>
      </c>
      <c r="G2334" t="s">
        <v>737</v>
      </c>
      <c r="H2334" t="s">
        <v>449</v>
      </c>
      <c r="J2334" t="s">
        <v>605</v>
      </c>
      <c r="K2334" t="s">
        <v>606</v>
      </c>
      <c r="M2334" t="s">
        <v>607</v>
      </c>
      <c r="N2334" t="s">
        <v>643</v>
      </c>
      <c r="O2334" t="s">
        <v>942</v>
      </c>
      <c r="P2334" t="s">
        <v>739</v>
      </c>
      <c r="Q2334" t="s">
        <v>467</v>
      </c>
      <c r="R2334" t="s">
        <v>793</v>
      </c>
      <c r="S2334" t="s">
        <v>998</v>
      </c>
      <c r="T2334" t="s">
        <v>794</v>
      </c>
      <c r="U2334">
        <v>136801</v>
      </c>
      <c r="V2334" t="s">
        <v>5192</v>
      </c>
      <c r="W2334" t="s">
        <v>945</v>
      </c>
      <c r="X2334" t="s">
        <v>13813</v>
      </c>
      <c r="Y2334" t="s">
        <v>13814</v>
      </c>
      <c r="Z2334" t="s">
        <v>4757</v>
      </c>
      <c r="AA2334" t="s">
        <v>4758</v>
      </c>
      <c r="AB2334" t="s">
        <v>13810</v>
      </c>
      <c r="AE2334">
        <v>-36.895236109999999</v>
      </c>
      <c r="AF2334">
        <v>174.72372948</v>
      </c>
      <c r="AG2334" s="175">
        <v>65</v>
      </c>
      <c r="AH2334" s="175">
        <v>18</v>
      </c>
      <c r="AI2334" s="175">
        <v>1</v>
      </c>
      <c r="AJ2334" s="175">
        <v>19</v>
      </c>
      <c r="AK2334" s="175">
        <v>12</v>
      </c>
      <c r="AL2334" s="175">
        <v>22</v>
      </c>
      <c r="AM2334" s="175">
        <v>22</v>
      </c>
      <c r="AN2334" s="175">
        <v>0</v>
      </c>
      <c r="AO2334" s="175">
        <v>76</v>
      </c>
      <c r="AP2334" s="175">
        <v>45</v>
      </c>
      <c r="AQ2334" s="175">
        <v>9</v>
      </c>
      <c r="AR2334" s="175">
        <v>14</v>
      </c>
      <c r="AS2334" s="175">
        <v>21</v>
      </c>
      <c r="AT2334" s="175">
        <v>5</v>
      </c>
    </row>
    <row r="2335" spans="1:46">
      <c r="A2335">
        <v>46366</v>
      </c>
      <c r="B2335" t="s">
        <v>13815</v>
      </c>
      <c r="C2335" t="s">
        <v>13816</v>
      </c>
      <c r="E2335" t="s">
        <v>13817</v>
      </c>
      <c r="F2335" t="s">
        <v>1419</v>
      </c>
      <c r="G2335" t="s">
        <v>1381</v>
      </c>
      <c r="H2335" t="s">
        <v>449</v>
      </c>
      <c r="J2335" t="s">
        <v>605</v>
      </c>
      <c r="K2335" t="s">
        <v>606</v>
      </c>
      <c r="M2335" t="s">
        <v>1382</v>
      </c>
      <c r="N2335" t="s">
        <v>657</v>
      </c>
      <c r="O2335" t="s">
        <v>1383</v>
      </c>
      <c r="P2335" t="s">
        <v>739</v>
      </c>
      <c r="Q2335" t="s">
        <v>510</v>
      </c>
      <c r="R2335" t="s">
        <v>1384</v>
      </c>
      <c r="S2335" t="s">
        <v>1385</v>
      </c>
      <c r="T2335" t="s">
        <v>1320</v>
      </c>
      <c r="U2335">
        <v>177901</v>
      </c>
      <c r="V2335" t="s">
        <v>1386</v>
      </c>
      <c r="W2335" t="s">
        <v>1387</v>
      </c>
      <c r="X2335" t="s">
        <v>13818</v>
      </c>
      <c r="Y2335" t="s">
        <v>8802</v>
      </c>
      <c r="Z2335" t="s">
        <v>1396</v>
      </c>
      <c r="AA2335" t="s">
        <v>1390</v>
      </c>
      <c r="AB2335" t="s">
        <v>13819</v>
      </c>
      <c r="AC2335">
        <v>99103</v>
      </c>
      <c r="AD2335" t="s">
        <v>8803</v>
      </c>
      <c r="AE2335">
        <v>-37.785396499999997</v>
      </c>
      <c r="AF2335">
        <v>175.250598</v>
      </c>
      <c r="AG2335" s="175">
        <v>40</v>
      </c>
      <c r="AH2335" s="175">
        <v>10</v>
      </c>
      <c r="AI2335" s="175">
        <v>4</v>
      </c>
      <c r="AJ2335" s="175">
        <v>4</v>
      </c>
      <c r="AK2335" s="175">
        <v>8</v>
      </c>
      <c r="AL2335" s="175">
        <v>17</v>
      </c>
      <c r="AM2335" s="175">
        <v>11</v>
      </c>
      <c r="AN2335" s="175">
        <v>1</v>
      </c>
      <c r="AO2335" s="175">
        <v>45</v>
      </c>
      <c r="AP2335" s="175">
        <v>32</v>
      </c>
      <c r="AQ2335" s="175">
        <v>7</v>
      </c>
      <c r="AR2335" s="175">
        <v>2</v>
      </c>
      <c r="AS2335" s="175">
        <v>9</v>
      </c>
      <c r="AT2335" s="175">
        <v>1</v>
      </c>
    </row>
    <row r="2336" spans="1:46">
      <c r="A2336">
        <v>46370</v>
      </c>
      <c r="B2336" t="s">
        <v>13820</v>
      </c>
      <c r="C2336" t="s">
        <v>13821</v>
      </c>
      <c r="D2336" t="s">
        <v>5069</v>
      </c>
      <c r="E2336" t="s">
        <v>13822</v>
      </c>
      <c r="F2336" t="s">
        <v>1120</v>
      </c>
      <c r="G2336" t="s">
        <v>737</v>
      </c>
      <c r="H2336" t="s">
        <v>449</v>
      </c>
      <c r="J2336" t="s">
        <v>4032</v>
      </c>
      <c r="K2336" t="s">
        <v>606</v>
      </c>
      <c r="M2336" t="s">
        <v>607</v>
      </c>
      <c r="N2336" t="s">
        <v>643</v>
      </c>
      <c r="O2336" t="s">
        <v>813</v>
      </c>
      <c r="P2336" t="s">
        <v>739</v>
      </c>
      <c r="Q2336" t="s">
        <v>467</v>
      </c>
      <c r="R2336" t="s">
        <v>814</v>
      </c>
      <c r="S2336" t="s">
        <v>934</v>
      </c>
      <c r="T2336" t="s">
        <v>794</v>
      </c>
      <c r="U2336">
        <v>154201</v>
      </c>
      <c r="V2336" t="s">
        <v>13823</v>
      </c>
      <c r="W2336" t="s">
        <v>817</v>
      </c>
      <c r="X2336" t="s">
        <v>5072</v>
      </c>
      <c r="Y2336" t="s">
        <v>5073</v>
      </c>
      <c r="Z2336" t="s">
        <v>854</v>
      </c>
      <c r="AA2336" t="s">
        <v>4400</v>
      </c>
      <c r="AB2336" t="s">
        <v>5074</v>
      </c>
      <c r="AE2336">
        <v>-36.976436210000003</v>
      </c>
      <c r="AF2336">
        <v>174.83549239999999</v>
      </c>
      <c r="AG2336" s="175">
        <v>35</v>
      </c>
      <c r="AH2336" s="175">
        <v>10</v>
      </c>
      <c r="AI2336" s="175">
        <v>0</v>
      </c>
      <c r="AJ2336" s="175">
        <v>5</v>
      </c>
      <c r="AK2336" s="175">
        <v>8</v>
      </c>
      <c r="AL2336" s="175">
        <v>6</v>
      </c>
      <c r="AM2336" s="175">
        <v>15</v>
      </c>
      <c r="AN2336" s="175">
        <v>0</v>
      </c>
      <c r="AO2336" s="175">
        <v>34</v>
      </c>
      <c r="AP2336" s="175">
        <v>1</v>
      </c>
      <c r="AQ2336" s="175">
        <v>1</v>
      </c>
      <c r="AR2336" s="175">
        <v>8</v>
      </c>
      <c r="AS2336" s="175">
        <v>27</v>
      </c>
      <c r="AT2336" s="175">
        <v>0</v>
      </c>
    </row>
    <row r="2337" spans="1:46">
      <c r="A2337">
        <v>46371</v>
      </c>
      <c r="B2337" t="s">
        <v>13824</v>
      </c>
      <c r="C2337" t="s">
        <v>13825</v>
      </c>
      <c r="D2337" t="s">
        <v>13826</v>
      </c>
      <c r="E2337" t="s">
        <v>13827</v>
      </c>
      <c r="G2337" t="s">
        <v>1500</v>
      </c>
      <c r="H2337" t="s">
        <v>449</v>
      </c>
      <c r="J2337" t="s">
        <v>4032</v>
      </c>
      <c r="K2337" t="s">
        <v>606</v>
      </c>
      <c r="M2337" t="s">
        <v>1382</v>
      </c>
      <c r="N2337" t="s">
        <v>643</v>
      </c>
      <c r="O2337" t="s">
        <v>1435</v>
      </c>
      <c r="P2337" t="s">
        <v>610</v>
      </c>
      <c r="Q2337" t="s">
        <v>510</v>
      </c>
      <c r="R2337" t="s">
        <v>1384</v>
      </c>
      <c r="S2337" t="s">
        <v>1501</v>
      </c>
      <c r="T2337" t="s">
        <v>1320</v>
      </c>
      <c r="U2337">
        <v>171601</v>
      </c>
      <c r="V2337" t="s">
        <v>1500</v>
      </c>
      <c r="W2337" t="s">
        <v>1502</v>
      </c>
      <c r="X2337" t="s">
        <v>13828</v>
      </c>
      <c r="Y2337" t="s">
        <v>4764</v>
      </c>
      <c r="AA2337" t="s">
        <v>13829</v>
      </c>
      <c r="AB2337" t="s">
        <v>13825</v>
      </c>
      <c r="AE2337">
        <v>-37.811664669999999</v>
      </c>
      <c r="AF2337">
        <v>174.84447080000001</v>
      </c>
      <c r="AG2337" s="175">
        <v>80</v>
      </c>
      <c r="AH2337" s="175">
        <v>14</v>
      </c>
      <c r="AI2337" s="175">
        <v>1</v>
      </c>
      <c r="AJ2337" s="175">
        <v>16</v>
      </c>
      <c r="AK2337" s="175">
        <v>29</v>
      </c>
      <c r="AL2337" s="175">
        <v>21</v>
      </c>
      <c r="AM2337" s="175">
        <v>14</v>
      </c>
      <c r="AN2337" s="175">
        <v>1</v>
      </c>
      <c r="AO2337" s="175">
        <v>82</v>
      </c>
      <c r="AP2337" s="175">
        <v>79</v>
      </c>
      <c r="AQ2337" s="175">
        <v>9</v>
      </c>
      <c r="AR2337" s="175">
        <v>0</v>
      </c>
      <c r="AS2337" s="175">
        <v>2</v>
      </c>
      <c r="AT2337" s="175">
        <v>7</v>
      </c>
    </row>
    <row r="2338" spans="1:46">
      <c r="A2338">
        <v>46375</v>
      </c>
      <c r="B2338" t="s">
        <v>13830</v>
      </c>
      <c r="C2338" t="s">
        <v>13831</v>
      </c>
      <c r="D2338" t="s">
        <v>13832</v>
      </c>
      <c r="E2338" t="s">
        <v>13833</v>
      </c>
      <c r="F2338" t="s">
        <v>13834</v>
      </c>
      <c r="G2338" t="s">
        <v>2604</v>
      </c>
      <c r="H2338" t="s">
        <v>470</v>
      </c>
      <c r="I2338" t="s">
        <v>5017</v>
      </c>
      <c r="J2338" t="s">
        <v>605</v>
      </c>
      <c r="K2338" t="s">
        <v>606</v>
      </c>
      <c r="M2338" t="s">
        <v>2366</v>
      </c>
      <c r="N2338" t="s">
        <v>643</v>
      </c>
      <c r="O2338" t="s">
        <v>2605</v>
      </c>
      <c r="P2338" t="s">
        <v>670</v>
      </c>
      <c r="Q2338" t="s">
        <v>516</v>
      </c>
      <c r="R2338" t="s">
        <v>2368</v>
      </c>
      <c r="S2338" t="s">
        <v>2606</v>
      </c>
      <c r="T2338" t="s">
        <v>1568</v>
      </c>
      <c r="U2338">
        <v>239300</v>
      </c>
      <c r="V2338" t="s">
        <v>2692</v>
      </c>
      <c r="W2338" t="s">
        <v>2607</v>
      </c>
      <c r="X2338" t="s">
        <v>13835</v>
      </c>
      <c r="Y2338" t="s">
        <v>13836</v>
      </c>
      <c r="Z2338" t="s">
        <v>2691</v>
      </c>
      <c r="AA2338" t="s">
        <v>13786</v>
      </c>
      <c r="AE2338">
        <v>-41.126179129999997</v>
      </c>
      <c r="AF2338">
        <v>174.83556791000001</v>
      </c>
      <c r="AG2338" s="175">
        <v>50</v>
      </c>
      <c r="AH2338" s="175">
        <v>20</v>
      </c>
      <c r="AI2338" s="175">
        <v>0</v>
      </c>
      <c r="AJ2338" s="175">
        <v>13</v>
      </c>
      <c r="AK2338" s="175">
        <v>11</v>
      </c>
      <c r="AL2338" s="175">
        <v>9</v>
      </c>
      <c r="AM2338" s="175">
        <v>9</v>
      </c>
      <c r="AN2338" s="175">
        <v>0</v>
      </c>
      <c r="AO2338" s="175">
        <v>42</v>
      </c>
      <c r="AP2338" s="175">
        <v>14</v>
      </c>
      <c r="AQ2338" s="175">
        <v>41</v>
      </c>
      <c r="AR2338" s="175">
        <v>13</v>
      </c>
      <c r="AS2338" s="175">
        <v>3</v>
      </c>
      <c r="AT2338" s="175">
        <v>0</v>
      </c>
    </row>
    <row r="2339" spans="1:46">
      <c r="A2339">
        <v>46377</v>
      </c>
      <c r="B2339" t="s">
        <v>13837</v>
      </c>
      <c r="C2339" t="s">
        <v>13838</v>
      </c>
      <c r="D2339" t="s">
        <v>13839</v>
      </c>
      <c r="E2339" t="s">
        <v>13840</v>
      </c>
      <c r="F2339" t="s">
        <v>12010</v>
      </c>
      <c r="G2339" t="s">
        <v>3015</v>
      </c>
      <c r="H2339" t="s">
        <v>449</v>
      </c>
      <c r="I2339" t="s">
        <v>4023</v>
      </c>
      <c r="J2339" t="s">
        <v>4032</v>
      </c>
      <c r="K2339" t="s">
        <v>606</v>
      </c>
      <c r="M2339" t="s">
        <v>2366</v>
      </c>
      <c r="N2339" t="s">
        <v>657</v>
      </c>
      <c r="O2339" t="s">
        <v>3016</v>
      </c>
      <c r="P2339" t="s">
        <v>739</v>
      </c>
      <c r="Q2339" t="s">
        <v>521</v>
      </c>
      <c r="R2339" t="s">
        <v>3017</v>
      </c>
      <c r="S2339" t="s">
        <v>3046</v>
      </c>
      <c r="T2339" t="s">
        <v>2526</v>
      </c>
      <c r="U2339">
        <v>318401</v>
      </c>
      <c r="V2339" t="s">
        <v>12010</v>
      </c>
      <c r="W2339" t="s">
        <v>3143</v>
      </c>
      <c r="X2339" t="s">
        <v>13058</v>
      </c>
      <c r="Y2339" t="s">
        <v>13059</v>
      </c>
      <c r="Z2339" t="s">
        <v>13060</v>
      </c>
      <c r="AA2339" t="s">
        <v>4186</v>
      </c>
      <c r="AB2339" t="s">
        <v>13061</v>
      </c>
      <c r="AE2339">
        <v>-43.474576829999997</v>
      </c>
      <c r="AF2339">
        <v>172.6591717</v>
      </c>
      <c r="AG2339" s="175">
        <v>40</v>
      </c>
      <c r="AH2339" s="175">
        <v>5</v>
      </c>
      <c r="AI2339" s="175">
        <v>3</v>
      </c>
      <c r="AJ2339" s="175">
        <v>7</v>
      </c>
      <c r="AK2339" s="175">
        <v>11</v>
      </c>
      <c r="AL2339" s="175">
        <v>21</v>
      </c>
      <c r="AM2339" s="175">
        <v>10</v>
      </c>
      <c r="AN2339" s="175">
        <v>0</v>
      </c>
      <c r="AO2339" s="175">
        <v>52</v>
      </c>
      <c r="AP2339" s="175">
        <v>44</v>
      </c>
      <c r="AQ2339" s="175">
        <v>4</v>
      </c>
      <c r="AR2339" s="175">
        <v>6</v>
      </c>
      <c r="AS2339" s="175">
        <v>5</v>
      </c>
      <c r="AT2339" s="175">
        <v>1</v>
      </c>
    </row>
    <row r="2340" spans="1:46">
      <c r="A2340">
        <v>46378</v>
      </c>
      <c r="B2340" t="s">
        <v>13841</v>
      </c>
      <c r="C2340" t="s">
        <v>13842</v>
      </c>
      <c r="D2340" t="s">
        <v>13843</v>
      </c>
      <c r="E2340" t="s">
        <v>13844</v>
      </c>
      <c r="F2340" t="s">
        <v>3242</v>
      </c>
      <c r="G2340" t="s">
        <v>3015</v>
      </c>
      <c r="H2340" t="s">
        <v>449</v>
      </c>
      <c r="I2340" t="s">
        <v>4134</v>
      </c>
      <c r="J2340" t="s">
        <v>4032</v>
      </c>
      <c r="K2340" t="s">
        <v>606</v>
      </c>
      <c r="M2340" t="s">
        <v>2366</v>
      </c>
      <c r="N2340" t="s">
        <v>657</v>
      </c>
      <c r="O2340" t="s">
        <v>3016</v>
      </c>
      <c r="P2340" t="s">
        <v>739</v>
      </c>
      <c r="Q2340" t="s">
        <v>521</v>
      </c>
      <c r="R2340" t="s">
        <v>3017</v>
      </c>
      <c r="S2340" t="s">
        <v>3052</v>
      </c>
      <c r="T2340" t="s">
        <v>2526</v>
      </c>
      <c r="U2340">
        <v>332700</v>
      </c>
      <c r="V2340" t="s">
        <v>3242</v>
      </c>
      <c r="W2340" t="s">
        <v>3087</v>
      </c>
      <c r="X2340" t="s">
        <v>13845</v>
      </c>
      <c r="Y2340" t="s">
        <v>11472</v>
      </c>
      <c r="Z2340" t="s">
        <v>3029</v>
      </c>
      <c r="AA2340" t="s">
        <v>11473</v>
      </c>
      <c r="AB2340" t="s">
        <v>13846</v>
      </c>
      <c r="AC2340">
        <v>99196</v>
      </c>
      <c r="AD2340" t="s">
        <v>3137</v>
      </c>
      <c r="AE2340">
        <v>-43.57676498</v>
      </c>
      <c r="AF2340">
        <v>172.75746935999999</v>
      </c>
      <c r="AG2340" s="175">
        <v>31</v>
      </c>
      <c r="AH2340" s="175">
        <v>0</v>
      </c>
      <c r="AI2340" s="175">
        <v>0</v>
      </c>
      <c r="AJ2340" s="175">
        <v>0</v>
      </c>
      <c r="AK2340" s="175">
        <v>0</v>
      </c>
      <c r="AL2340" s="175">
        <v>16</v>
      </c>
      <c r="AM2340" s="175">
        <v>23</v>
      </c>
      <c r="AN2340" s="175">
        <v>3</v>
      </c>
      <c r="AO2340" s="175">
        <v>42</v>
      </c>
      <c r="AP2340" s="175">
        <v>41</v>
      </c>
      <c r="AQ2340" s="175">
        <v>1</v>
      </c>
      <c r="AR2340" s="175">
        <v>0</v>
      </c>
      <c r="AS2340" s="175">
        <v>2</v>
      </c>
      <c r="AT2340" s="175">
        <v>0</v>
      </c>
    </row>
    <row r="2341" spans="1:46">
      <c r="A2341">
        <v>46379</v>
      </c>
      <c r="B2341" t="s">
        <v>13847</v>
      </c>
      <c r="C2341" t="s">
        <v>13848</v>
      </c>
      <c r="D2341" t="s">
        <v>13849</v>
      </c>
      <c r="E2341" t="s">
        <v>13850</v>
      </c>
      <c r="F2341" t="s">
        <v>1838</v>
      </c>
      <c r="G2341" t="s">
        <v>1839</v>
      </c>
      <c r="H2341" t="s">
        <v>449</v>
      </c>
      <c r="J2341" t="s">
        <v>4032</v>
      </c>
      <c r="K2341" t="s">
        <v>606</v>
      </c>
      <c r="M2341" t="s">
        <v>1382</v>
      </c>
      <c r="N2341" t="s">
        <v>4586</v>
      </c>
      <c r="O2341" t="s">
        <v>1840</v>
      </c>
      <c r="P2341" t="s">
        <v>670</v>
      </c>
      <c r="Q2341" t="s">
        <v>514</v>
      </c>
      <c r="R2341" t="s">
        <v>1841</v>
      </c>
      <c r="S2341" t="s">
        <v>1839</v>
      </c>
      <c r="T2341" t="s">
        <v>1568</v>
      </c>
      <c r="U2341">
        <v>217701</v>
      </c>
      <c r="V2341" t="s">
        <v>12632</v>
      </c>
      <c r="W2341" t="s">
        <v>1843</v>
      </c>
      <c r="X2341" t="s">
        <v>13851</v>
      </c>
      <c r="Y2341" t="s">
        <v>13850</v>
      </c>
      <c r="AA2341" t="s">
        <v>13852</v>
      </c>
      <c r="AB2341" t="s">
        <v>13848</v>
      </c>
      <c r="AE2341">
        <v>-39.042960059999999</v>
      </c>
      <c r="AF2341">
        <v>174.13122530000001</v>
      </c>
      <c r="AG2341" s="175">
        <v>105</v>
      </c>
      <c r="AH2341" s="175">
        <v>30</v>
      </c>
      <c r="AI2341" s="175">
        <v>6</v>
      </c>
      <c r="AJ2341" s="175">
        <v>21</v>
      </c>
      <c r="AK2341" s="175">
        <v>26</v>
      </c>
      <c r="AL2341" s="175">
        <v>26</v>
      </c>
      <c r="AM2341" s="175">
        <v>27</v>
      </c>
      <c r="AN2341" s="175">
        <v>0</v>
      </c>
      <c r="AO2341" s="175">
        <v>106</v>
      </c>
      <c r="AP2341" s="175">
        <v>96</v>
      </c>
      <c r="AQ2341" s="175">
        <v>31</v>
      </c>
      <c r="AR2341" s="175">
        <v>8</v>
      </c>
      <c r="AS2341" s="175">
        <v>8</v>
      </c>
      <c r="AT2341" s="175">
        <v>1</v>
      </c>
    </row>
    <row r="2342" spans="1:46">
      <c r="A2342">
        <v>46380</v>
      </c>
      <c r="B2342" t="s">
        <v>13853</v>
      </c>
      <c r="C2342" t="s">
        <v>13854</v>
      </c>
      <c r="E2342" t="s">
        <v>13855</v>
      </c>
      <c r="G2342" t="s">
        <v>13856</v>
      </c>
      <c r="H2342" t="s">
        <v>301</v>
      </c>
      <c r="I2342" t="s">
        <v>4023</v>
      </c>
      <c r="J2342" t="s">
        <v>605</v>
      </c>
      <c r="K2342" t="s">
        <v>606</v>
      </c>
      <c r="M2342" t="s">
        <v>2366</v>
      </c>
      <c r="N2342" t="s">
        <v>657</v>
      </c>
      <c r="O2342" t="s">
        <v>13545</v>
      </c>
      <c r="P2342" t="s">
        <v>610</v>
      </c>
      <c r="Q2342" t="s">
        <v>521</v>
      </c>
      <c r="R2342" t="s">
        <v>3017</v>
      </c>
      <c r="S2342" t="s">
        <v>2902</v>
      </c>
      <c r="T2342" t="s">
        <v>2526</v>
      </c>
      <c r="U2342">
        <v>312300</v>
      </c>
      <c r="V2342" t="s">
        <v>13856</v>
      </c>
      <c r="W2342" t="s">
        <v>13857</v>
      </c>
      <c r="X2342" t="s">
        <v>13858</v>
      </c>
      <c r="Y2342" t="s">
        <v>5253</v>
      </c>
      <c r="AA2342" t="s">
        <v>5254</v>
      </c>
      <c r="AB2342" t="s">
        <v>13859</v>
      </c>
      <c r="AE2342">
        <v>-42.522153500000002</v>
      </c>
      <c r="AF2342">
        <v>172.83154490000001</v>
      </c>
      <c r="AG2342" s="175">
        <v>25</v>
      </c>
      <c r="AH2342" s="175">
        <v>10</v>
      </c>
      <c r="AI2342" s="175">
        <v>1</v>
      </c>
      <c r="AJ2342" s="175">
        <v>2</v>
      </c>
      <c r="AK2342" s="175">
        <v>1</v>
      </c>
      <c r="AL2342" s="175">
        <v>3</v>
      </c>
      <c r="AM2342" s="175">
        <v>4</v>
      </c>
      <c r="AN2342" s="175">
        <v>0</v>
      </c>
      <c r="AO2342" s="175">
        <v>11</v>
      </c>
      <c r="AP2342" s="175">
        <v>8</v>
      </c>
      <c r="AQ2342" s="175">
        <v>3</v>
      </c>
      <c r="AR2342" s="175">
        <v>0</v>
      </c>
      <c r="AS2342" s="175">
        <v>0</v>
      </c>
      <c r="AT2342" s="175">
        <v>3</v>
      </c>
    </row>
    <row r="2343" spans="1:46">
      <c r="A2343">
        <v>46381</v>
      </c>
      <c r="B2343" t="s">
        <v>13860</v>
      </c>
      <c r="C2343" t="s">
        <v>13861</v>
      </c>
      <c r="D2343" t="s">
        <v>13862</v>
      </c>
      <c r="E2343" t="s">
        <v>13863</v>
      </c>
      <c r="F2343" t="s">
        <v>4272</v>
      </c>
      <c r="G2343" t="s">
        <v>737</v>
      </c>
      <c r="H2343" t="s">
        <v>450</v>
      </c>
      <c r="J2343" t="s">
        <v>4032</v>
      </c>
      <c r="K2343" t="s">
        <v>606</v>
      </c>
      <c r="M2343" t="s">
        <v>607</v>
      </c>
      <c r="N2343" t="s">
        <v>625</v>
      </c>
      <c r="O2343" t="s">
        <v>813</v>
      </c>
      <c r="P2343" t="s">
        <v>739</v>
      </c>
      <c r="Q2343" t="s">
        <v>467</v>
      </c>
      <c r="R2343" t="s">
        <v>814</v>
      </c>
      <c r="S2343" t="s">
        <v>1121</v>
      </c>
      <c r="T2343" t="s">
        <v>794</v>
      </c>
      <c r="U2343">
        <v>155500</v>
      </c>
      <c r="V2343" t="s">
        <v>4405</v>
      </c>
      <c r="W2343" t="s">
        <v>817</v>
      </c>
      <c r="X2343" t="s">
        <v>13864</v>
      </c>
      <c r="Y2343" t="s">
        <v>13865</v>
      </c>
      <c r="Z2343" t="s">
        <v>5170</v>
      </c>
      <c r="AA2343" t="s">
        <v>11816</v>
      </c>
      <c r="AE2343">
        <v>-36.987755300000003</v>
      </c>
      <c r="AF2343">
        <v>174.87587450000001</v>
      </c>
      <c r="AG2343" s="175">
        <v>50</v>
      </c>
      <c r="AH2343" s="175">
        <v>50</v>
      </c>
      <c r="AI2343" s="175">
        <v>4</v>
      </c>
      <c r="AJ2343" s="175">
        <v>7</v>
      </c>
      <c r="AK2343" s="175">
        <v>8</v>
      </c>
      <c r="AL2343" s="175">
        <v>9</v>
      </c>
      <c r="AM2343" s="175">
        <v>8</v>
      </c>
      <c r="AN2343" s="175">
        <v>2</v>
      </c>
      <c r="AO2343" s="175">
        <v>38</v>
      </c>
      <c r="AP2343" s="175">
        <v>0</v>
      </c>
      <c r="AQ2343" s="175">
        <v>0</v>
      </c>
      <c r="AR2343" s="175">
        <v>33</v>
      </c>
      <c r="AS2343" s="175">
        <v>5</v>
      </c>
      <c r="AT2343" s="175">
        <v>0</v>
      </c>
    </row>
    <row r="2344" spans="1:46">
      <c r="A2344">
        <v>46382</v>
      </c>
      <c r="B2344" t="s">
        <v>13866</v>
      </c>
      <c r="C2344" t="s">
        <v>13867</v>
      </c>
      <c r="D2344" t="s">
        <v>13868</v>
      </c>
      <c r="E2344" t="s">
        <v>13869</v>
      </c>
      <c r="F2344" t="s">
        <v>13870</v>
      </c>
      <c r="G2344" t="s">
        <v>737</v>
      </c>
      <c r="H2344" t="s">
        <v>450</v>
      </c>
      <c r="J2344" t="s">
        <v>4032</v>
      </c>
      <c r="K2344" t="s">
        <v>606</v>
      </c>
      <c r="M2344" t="s">
        <v>607</v>
      </c>
      <c r="N2344" t="s">
        <v>608</v>
      </c>
      <c r="O2344" t="s">
        <v>914</v>
      </c>
      <c r="P2344" t="s">
        <v>739</v>
      </c>
      <c r="Q2344" t="s">
        <v>467</v>
      </c>
      <c r="R2344" t="s">
        <v>793</v>
      </c>
      <c r="S2344" t="s">
        <v>890</v>
      </c>
      <c r="T2344" t="s">
        <v>794</v>
      </c>
      <c r="U2344">
        <v>145900</v>
      </c>
      <c r="V2344" t="s">
        <v>13870</v>
      </c>
      <c r="W2344" t="s">
        <v>892</v>
      </c>
      <c r="X2344" t="s">
        <v>13871</v>
      </c>
      <c r="Y2344" t="s">
        <v>8827</v>
      </c>
      <c r="Z2344" t="s">
        <v>1397</v>
      </c>
      <c r="AA2344" t="s">
        <v>8575</v>
      </c>
      <c r="AE2344">
        <v>-36.90733942</v>
      </c>
      <c r="AF2344">
        <v>174.81478519999999</v>
      </c>
      <c r="AG2344" s="175">
        <v>80</v>
      </c>
      <c r="AH2344" s="175">
        <v>80</v>
      </c>
      <c r="AI2344" s="175">
        <v>2</v>
      </c>
      <c r="AJ2344" s="175">
        <v>11</v>
      </c>
      <c r="AK2344" s="175">
        <v>16</v>
      </c>
      <c r="AL2344" s="175">
        <v>8</v>
      </c>
      <c r="AM2344" s="175">
        <v>5</v>
      </c>
      <c r="AN2344" s="175">
        <v>0</v>
      </c>
      <c r="AO2344" s="175">
        <v>42</v>
      </c>
      <c r="AP2344" s="175">
        <v>26</v>
      </c>
      <c r="AQ2344" s="175">
        <v>4</v>
      </c>
      <c r="AR2344" s="175">
        <v>6</v>
      </c>
      <c r="AS2344" s="175">
        <v>13</v>
      </c>
      <c r="AT2344" s="175">
        <v>3</v>
      </c>
    </row>
    <row r="2345" spans="1:46">
      <c r="A2345">
        <v>46383</v>
      </c>
      <c r="B2345" t="s">
        <v>13872</v>
      </c>
      <c r="C2345" t="s">
        <v>13873</v>
      </c>
      <c r="D2345" t="s">
        <v>13874</v>
      </c>
      <c r="E2345" t="s">
        <v>13875</v>
      </c>
      <c r="F2345" t="s">
        <v>1120</v>
      </c>
      <c r="G2345" t="s">
        <v>737</v>
      </c>
      <c r="H2345" t="s">
        <v>449</v>
      </c>
      <c r="J2345" t="s">
        <v>4032</v>
      </c>
      <c r="K2345" t="s">
        <v>606</v>
      </c>
      <c r="M2345" t="s">
        <v>607</v>
      </c>
      <c r="N2345" t="s">
        <v>643</v>
      </c>
      <c r="O2345" t="s">
        <v>813</v>
      </c>
      <c r="P2345" t="s">
        <v>739</v>
      </c>
      <c r="Q2345" t="s">
        <v>467</v>
      </c>
      <c r="R2345" t="s">
        <v>814</v>
      </c>
      <c r="S2345" t="s">
        <v>1121</v>
      </c>
      <c r="T2345" t="s">
        <v>794</v>
      </c>
      <c r="U2345">
        <v>156201</v>
      </c>
      <c r="V2345" t="s">
        <v>4159</v>
      </c>
      <c r="W2345" t="s">
        <v>817</v>
      </c>
      <c r="X2345" t="s">
        <v>13876</v>
      </c>
      <c r="Y2345" t="s">
        <v>13877</v>
      </c>
      <c r="Z2345" t="s">
        <v>5170</v>
      </c>
      <c r="AA2345" t="s">
        <v>5066</v>
      </c>
      <c r="AB2345" t="s">
        <v>13878</v>
      </c>
      <c r="AE2345">
        <v>-36.976367379999999</v>
      </c>
      <c r="AF2345">
        <v>174.86736083</v>
      </c>
      <c r="AG2345" s="175">
        <v>42</v>
      </c>
      <c r="AH2345" s="175">
        <v>13</v>
      </c>
      <c r="AI2345" s="175">
        <v>0</v>
      </c>
      <c r="AJ2345" s="175">
        <v>4</v>
      </c>
      <c r="AK2345" s="175">
        <v>13</v>
      </c>
      <c r="AL2345" s="175">
        <v>14</v>
      </c>
      <c r="AM2345" s="175">
        <v>12</v>
      </c>
      <c r="AN2345" s="175">
        <v>0</v>
      </c>
      <c r="AO2345" s="175">
        <v>43</v>
      </c>
      <c r="AP2345" s="175">
        <v>3</v>
      </c>
      <c r="AQ2345" s="175">
        <v>0</v>
      </c>
      <c r="AR2345" s="175">
        <v>6</v>
      </c>
      <c r="AS2345" s="175">
        <v>36</v>
      </c>
      <c r="AT2345" s="175">
        <v>0</v>
      </c>
    </row>
    <row r="2346" spans="1:46">
      <c r="A2346">
        <v>46387</v>
      </c>
      <c r="B2346" t="s">
        <v>13879</v>
      </c>
      <c r="C2346" t="s">
        <v>13880</v>
      </c>
      <c r="D2346" t="s">
        <v>13881</v>
      </c>
      <c r="E2346" t="s">
        <v>13882</v>
      </c>
      <c r="F2346" t="s">
        <v>3267</v>
      </c>
      <c r="G2346" t="s">
        <v>3015</v>
      </c>
      <c r="H2346" t="s">
        <v>449</v>
      </c>
      <c r="J2346" t="s">
        <v>4032</v>
      </c>
      <c r="K2346" t="s">
        <v>606</v>
      </c>
      <c r="M2346" t="s">
        <v>2366</v>
      </c>
      <c r="N2346" t="s">
        <v>657</v>
      </c>
      <c r="O2346" t="s">
        <v>3016</v>
      </c>
      <c r="P2346" t="s">
        <v>739</v>
      </c>
      <c r="Q2346" t="s">
        <v>521</v>
      </c>
      <c r="R2346" t="s">
        <v>3017</v>
      </c>
      <c r="S2346" t="s">
        <v>3052</v>
      </c>
      <c r="T2346" t="s">
        <v>2526</v>
      </c>
      <c r="U2346">
        <v>327301</v>
      </c>
      <c r="V2346" t="s">
        <v>3720</v>
      </c>
      <c r="W2346" t="s">
        <v>3269</v>
      </c>
      <c r="X2346" t="s">
        <v>13883</v>
      </c>
      <c r="Y2346" t="s">
        <v>13882</v>
      </c>
      <c r="AA2346" t="s">
        <v>13017</v>
      </c>
      <c r="AB2346" t="s">
        <v>13880</v>
      </c>
      <c r="AE2346">
        <v>-43.58298224</v>
      </c>
      <c r="AF2346">
        <v>172.56963801000001</v>
      </c>
      <c r="AG2346" s="175">
        <v>80</v>
      </c>
      <c r="AH2346" s="175">
        <v>16</v>
      </c>
      <c r="AI2346" s="175">
        <v>1</v>
      </c>
      <c r="AJ2346" s="175">
        <v>10</v>
      </c>
      <c r="AK2346" s="175">
        <v>17</v>
      </c>
      <c r="AL2346" s="175">
        <v>14</v>
      </c>
      <c r="AM2346" s="175">
        <v>14</v>
      </c>
      <c r="AN2346" s="175">
        <v>0</v>
      </c>
      <c r="AO2346" s="175">
        <v>56</v>
      </c>
      <c r="AP2346" s="175">
        <v>50</v>
      </c>
      <c r="AQ2346" s="175">
        <v>5</v>
      </c>
      <c r="AR2346" s="175">
        <v>0</v>
      </c>
      <c r="AS2346" s="175">
        <v>9</v>
      </c>
      <c r="AT2346" s="175">
        <v>1</v>
      </c>
    </row>
    <row r="2347" spans="1:46">
      <c r="A2347">
        <v>46391</v>
      </c>
      <c r="B2347" t="s">
        <v>13884</v>
      </c>
      <c r="C2347" t="s">
        <v>13885</v>
      </c>
      <c r="D2347" t="s">
        <v>13886</v>
      </c>
      <c r="E2347" t="s">
        <v>13887</v>
      </c>
      <c r="F2347" t="s">
        <v>913</v>
      </c>
      <c r="G2347" t="s">
        <v>737</v>
      </c>
      <c r="H2347" t="s">
        <v>449</v>
      </c>
      <c r="J2347" t="s">
        <v>605</v>
      </c>
      <c r="K2347" t="s">
        <v>606</v>
      </c>
      <c r="M2347" t="s">
        <v>607</v>
      </c>
      <c r="N2347" t="s">
        <v>625</v>
      </c>
      <c r="O2347" t="s">
        <v>914</v>
      </c>
      <c r="P2347" t="s">
        <v>739</v>
      </c>
      <c r="Q2347" t="s">
        <v>467</v>
      </c>
      <c r="R2347" t="s">
        <v>793</v>
      </c>
      <c r="S2347" t="s">
        <v>890</v>
      </c>
      <c r="T2347" t="s">
        <v>794</v>
      </c>
      <c r="U2347">
        <v>145600</v>
      </c>
      <c r="V2347" t="s">
        <v>13555</v>
      </c>
      <c r="W2347" t="s">
        <v>892</v>
      </c>
      <c r="X2347" t="s">
        <v>13888</v>
      </c>
      <c r="Y2347" t="s">
        <v>13889</v>
      </c>
      <c r="Z2347" t="s">
        <v>4101</v>
      </c>
      <c r="AA2347" t="s">
        <v>4726</v>
      </c>
      <c r="AB2347" t="s">
        <v>13890</v>
      </c>
      <c r="AE2347">
        <v>-36.91509525</v>
      </c>
      <c r="AF2347">
        <v>174.79980789999999</v>
      </c>
      <c r="AG2347" s="175">
        <v>40</v>
      </c>
      <c r="AH2347" s="175">
        <v>6</v>
      </c>
      <c r="AI2347" s="175">
        <v>1</v>
      </c>
      <c r="AJ2347" s="175">
        <v>5</v>
      </c>
      <c r="AK2347" s="175">
        <v>8</v>
      </c>
      <c r="AL2347" s="175">
        <v>8</v>
      </c>
      <c r="AM2347" s="175">
        <v>8</v>
      </c>
      <c r="AN2347" s="175">
        <v>0</v>
      </c>
      <c r="AO2347" s="175">
        <v>30</v>
      </c>
      <c r="AP2347" s="175">
        <v>6</v>
      </c>
      <c r="AQ2347" s="175">
        <v>14</v>
      </c>
      <c r="AR2347" s="175">
        <v>23</v>
      </c>
      <c r="AS2347" s="175">
        <v>4</v>
      </c>
      <c r="AT2347" s="175">
        <v>0</v>
      </c>
    </row>
    <row r="2348" spans="1:46">
      <c r="A2348">
        <v>46393</v>
      </c>
      <c r="B2348" t="s">
        <v>13891</v>
      </c>
      <c r="C2348" t="s">
        <v>13892</v>
      </c>
      <c r="E2348" t="s">
        <v>13893</v>
      </c>
      <c r="F2348" t="s">
        <v>1429</v>
      </c>
      <c r="G2348" t="s">
        <v>1381</v>
      </c>
      <c r="H2348" t="s">
        <v>449</v>
      </c>
      <c r="J2348" t="s">
        <v>605</v>
      </c>
      <c r="K2348" t="s">
        <v>606</v>
      </c>
      <c r="M2348" t="s">
        <v>1382</v>
      </c>
      <c r="N2348" t="s">
        <v>625</v>
      </c>
      <c r="O2348" t="s">
        <v>1383</v>
      </c>
      <c r="P2348" t="s">
        <v>739</v>
      </c>
      <c r="Q2348" t="s">
        <v>510</v>
      </c>
      <c r="R2348" t="s">
        <v>1384</v>
      </c>
      <c r="S2348" t="s">
        <v>1385</v>
      </c>
      <c r="T2348" t="s">
        <v>1320</v>
      </c>
      <c r="U2348">
        <v>178901</v>
      </c>
      <c r="V2348" t="s">
        <v>8416</v>
      </c>
      <c r="W2348" t="s">
        <v>1387</v>
      </c>
      <c r="X2348" t="s">
        <v>8441</v>
      </c>
      <c r="Y2348" t="s">
        <v>4014</v>
      </c>
      <c r="Z2348" t="s">
        <v>4015</v>
      </c>
      <c r="AA2348" t="s">
        <v>4016</v>
      </c>
      <c r="AB2348" t="s">
        <v>8442</v>
      </c>
      <c r="AE2348">
        <v>-37.790034519999999</v>
      </c>
      <c r="AF2348">
        <v>175.25894843</v>
      </c>
      <c r="AG2348" s="175">
        <v>80</v>
      </c>
      <c r="AH2348" s="175">
        <v>20</v>
      </c>
      <c r="AI2348" s="175">
        <v>2</v>
      </c>
      <c r="AJ2348" s="175">
        <v>8</v>
      </c>
      <c r="AK2348" s="175">
        <v>18</v>
      </c>
      <c r="AL2348" s="175">
        <v>16</v>
      </c>
      <c r="AM2348" s="175">
        <v>24</v>
      </c>
      <c r="AN2348" s="175">
        <v>0</v>
      </c>
      <c r="AO2348" s="175">
        <v>68</v>
      </c>
      <c r="AP2348" s="175">
        <v>18</v>
      </c>
      <c r="AQ2348" s="175">
        <v>49</v>
      </c>
      <c r="AR2348" s="175">
        <v>10</v>
      </c>
      <c r="AS2348" s="175">
        <v>10</v>
      </c>
      <c r="AT2348" s="175">
        <v>2</v>
      </c>
    </row>
    <row r="2349" spans="1:46">
      <c r="A2349">
        <v>46395</v>
      </c>
      <c r="B2349" t="s">
        <v>13894</v>
      </c>
      <c r="C2349" t="s">
        <v>13895</v>
      </c>
      <c r="E2349" t="s">
        <v>13896</v>
      </c>
      <c r="F2349" t="s">
        <v>1862</v>
      </c>
      <c r="G2349" t="s">
        <v>1839</v>
      </c>
      <c r="H2349" t="s">
        <v>449</v>
      </c>
      <c r="J2349" t="s">
        <v>4032</v>
      </c>
      <c r="K2349" t="s">
        <v>606</v>
      </c>
      <c r="M2349" t="s">
        <v>1382</v>
      </c>
      <c r="N2349" t="s">
        <v>4586</v>
      </c>
      <c r="O2349" t="s">
        <v>1840</v>
      </c>
      <c r="P2349" t="s">
        <v>670</v>
      </c>
      <c r="Q2349" t="s">
        <v>514</v>
      </c>
      <c r="R2349" t="s">
        <v>1841</v>
      </c>
      <c r="S2349" t="s">
        <v>1839</v>
      </c>
      <c r="T2349" t="s">
        <v>1568</v>
      </c>
      <c r="U2349">
        <v>218401</v>
      </c>
      <c r="V2349" t="s">
        <v>1863</v>
      </c>
      <c r="W2349" t="s">
        <v>1843</v>
      </c>
      <c r="X2349" t="s">
        <v>13897</v>
      </c>
      <c r="Y2349" t="s">
        <v>13898</v>
      </c>
      <c r="Z2349" t="s">
        <v>1862</v>
      </c>
      <c r="AA2349" t="s">
        <v>13852</v>
      </c>
      <c r="AB2349" t="s">
        <v>13899</v>
      </c>
      <c r="AE2349">
        <v>-39.050414979999999</v>
      </c>
      <c r="AF2349">
        <v>174.10502908000001</v>
      </c>
      <c r="AG2349" s="175">
        <v>38</v>
      </c>
      <c r="AH2349" s="175">
        <v>8</v>
      </c>
      <c r="AI2349" s="175">
        <v>2</v>
      </c>
      <c r="AJ2349" s="175">
        <v>10</v>
      </c>
      <c r="AK2349" s="175">
        <v>7</v>
      </c>
      <c r="AL2349" s="175">
        <v>15</v>
      </c>
      <c r="AM2349" s="175">
        <v>14</v>
      </c>
      <c r="AN2349" s="175">
        <v>0</v>
      </c>
      <c r="AO2349" s="175">
        <v>48</v>
      </c>
      <c r="AP2349" s="175">
        <v>41</v>
      </c>
      <c r="AQ2349" s="175">
        <v>7</v>
      </c>
      <c r="AR2349" s="175">
        <v>2</v>
      </c>
      <c r="AS2349" s="175">
        <v>0</v>
      </c>
      <c r="AT2349" s="175">
        <v>0</v>
      </c>
    </row>
    <row r="2350" spans="1:46">
      <c r="A2350">
        <v>46399</v>
      </c>
      <c r="B2350" t="s">
        <v>13900</v>
      </c>
      <c r="C2350" t="s">
        <v>13901</v>
      </c>
      <c r="D2350" t="s">
        <v>13902</v>
      </c>
      <c r="E2350" t="s">
        <v>13903</v>
      </c>
      <c r="F2350" t="s">
        <v>1979</v>
      </c>
      <c r="G2350" t="s">
        <v>1923</v>
      </c>
      <c r="H2350" t="s">
        <v>470</v>
      </c>
      <c r="I2350" t="s">
        <v>5017</v>
      </c>
      <c r="J2350" t="s">
        <v>605</v>
      </c>
      <c r="K2350" t="s">
        <v>606</v>
      </c>
      <c r="M2350" t="s">
        <v>1382</v>
      </c>
      <c r="N2350" t="s">
        <v>812</v>
      </c>
      <c r="O2350" t="s">
        <v>1968</v>
      </c>
      <c r="P2350" t="s">
        <v>670</v>
      </c>
      <c r="Q2350" t="s">
        <v>553</v>
      </c>
      <c r="R2350" t="s">
        <v>1841</v>
      </c>
      <c r="S2350" t="s">
        <v>1923</v>
      </c>
      <c r="T2350" t="s">
        <v>1568</v>
      </c>
      <c r="U2350">
        <v>223800</v>
      </c>
      <c r="V2350" t="s">
        <v>2002</v>
      </c>
      <c r="W2350" t="s">
        <v>1734</v>
      </c>
      <c r="X2350" t="s">
        <v>13904</v>
      </c>
      <c r="Y2350" t="s">
        <v>13903</v>
      </c>
      <c r="Z2350" t="s">
        <v>1979</v>
      </c>
      <c r="AA2350" t="s">
        <v>13905</v>
      </c>
      <c r="AB2350" t="s">
        <v>13906</v>
      </c>
      <c r="AE2350">
        <v>-39.941806939999999</v>
      </c>
      <c r="AF2350">
        <v>174.99551031999999</v>
      </c>
      <c r="AG2350" s="175">
        <v>30</v>
      </c>
      <c r="AH2350" s="175">
        <v>10</v>
      </c>
      <c r="AI2350" s="175">
        <v>1</v>
      </c>
      <c r="AJ2350" s="175">
        <v>5</v>
      </c>
      <c r="AK2350" s="175">
        <v>2</v>
      </c>
      <c r="AL2350" s="175">
        <v>6</v>
      </c>
      <c r="AM2350" s="175">
        <v>4</v>
      </c>
      <c r="AN2350" s="175">
        <v>0</v>
      </c>
      <c r="AO2350" s="175">
        <v>18</v>
      </c>
      <c r="AP2350" s="175">
        <v>4</v>
      </c>
      <c r="AQ2350" s="175">
        <v>18</v>
      </c>
      <c r="AR2350" s="175">
        <v>8</v>
      </c>
      <c r="AS2350" s="175">
        <v>0</v>
      </c>
      <c r="AT2350" s="175">
        <v>0</v>
      </c>
    </row>
    <row r="2351" spans="1:46">
      <c r="A2351">
        <v>46400</v>
      </c>
      <c r="B2351" t="s">
        <v>13907</v>
      </c>
      <c r="C2351" t="s">
        <v>13908</v>
      </c>
      <c r="D2351" t="s">
        <v>13909</v>
      </c>
      <c r="E2351" t="s">
        <v>13910</v>
      </c>
      <c r="F2351" t="s">
        <v>3777</v>
      </c>
      <c r="G2351" t="s">
        <v>737</v>
      </c>
      <c r="H2351" t="s">
        <v>449</v>
      </c>
      <c r="I2351" t="s">
        <v>4134</v>
      </c>
      <c r="J2351" t="s">
        <v>4032</v>
      </c>
      <c r="K2351" t="s">
        <v>606</v>
      </c>
      <c r="M2351" t="s">
        <v>607</v>
      </c>
      <c r="N2351" t="s">
        <v>657</v>
      </c>
      <c r="O2351" t="s">
        <v>1253</v>
      </c>
      <c r="P2351" t="s">
        <v>739</v>
      </c>
      <c r="Q2351" t="s">
        <v>467</v>
      </c>
      <c r="R2351" t="s">
        <v>724</v>
      </c>
      <c r="S2351" t="s">
        <v>740</v>
      </c>
      <c r="T2351" t="s">
        <v>613</v>
      </c>
      <c r="U2351">
        <v>118600</v>
      </c>
      <c r="V2351" t="s">
        <v>4082</v>
      </c>
      <c r="W2351" t="s">
        <v>742</v>
      </c>
      <c r="X2351" t="s">
        <v>13911</v>
      </c>
      <c r="Y2351" t="s">
        <v>13912</v>
      </c>
      <c r="Z2351" t="s">
        <v>3777</v>
      </c>
      <c r="AA2351" t="s">
        <v>13913</v>
      </c>
      <c r="AB2351" t="s">
        <v>13908</v>
      </c>
      <c r="AE2351">
        <v>-36.752562599999997</v>
      </c>
      <c r="AF2351">
        <v>174.7110198</v>
      </c>
      <c r="AG2351" s="175">
        <v>30</v>
      </c>
      <c r="AH2351" s="175">
        <v>0</v>
      </c>
      <c r="AI2351" s="175">
        <v>0</v>
      </c>
      <c r="AJ2351" s="175">
        <v>0</v>
      </c>
      <c r="AK2351" s="175">
        <v>4</v>
      </c>
      <c r="AL2351" s="175">
        <v>5</v>
      </c>
      <c r="AM2351" s="175">
        <v>5</v>
      </c>
      <c r="AN2351" s="175">
        <v>2</v>
      </c>
      <c r="AO2351" s="175">
        <v>16</v>
      </c>
      <c r="AP2351" s="175">
        <v>4</v>
      </c>
      <c r="AQ2351" s="175">
        <v>2</v>
      </c>
      <c r="AR2351" s="175">
        <v>0</v>
      </c>
      <c r="AS2351" s="175">
        <v>14</v>
      </c>
      <c r="AT2351" s="175">
        <v>1</v>
      </c>
    </row>
    <row r="2352" spans="1:46">
      <c r="A2352">
        <v>46403</v>
      </c>
      <c r="B2352" t="s">
        <v>13914</v>
      </c>
      <c r="C2352" t="s">
        <v>13915</v>
      </c>
      <c r="D2352" t="s">
        <v>13916</v>
      </c>
      <c r="E2352" t="s">
        <v>13917</v>
      </c>
      <c r="G2352" t="s">
        <v>13918</v>
      </c>
      <c r="H2352" t="s">
        <v>449</v>
      </c>
      <c r="J2352" t="s">
        <v>4032</v>
      </c>
      <c r="K2352" t="s">
        <v>606</v>
      </c>
      <c r="M2352" t="s">
        <v>607</v>
      </c>
      <c r="N2352" t="s">
        <v>643</v>
      </c>
      <c r="O2352" t="s">
        <v>609</v>
      </c>
      <c r="P2352" t="s">
        <v>626</v>
      </c>
      <c r="Q2352" t="s">
        <v>509</v>
      </c>
      <c r="R2352" t="s">
        <v>611</v>
      </c>
      <c r="S2352" t="s">
        <v>612</v>
      </c>
      <c r="T2352" t="s">
        <v>613</v>
      </c>
      <c r="U2352">
        <v>101101</v>
      </c>
      <c r="V2352" t="s">
        <v>627</v>
      </c>
      <c r="W2352" t="s">
        <v>615</v>
      </c>
      <c r="X2352" t="s">
        <v>4050</v>
      </c>
      <c r="Y2352" t="s">
        <v>4051</v>
      </c>
      <c r="AA2352" t="s">
        <v>4052</v>
      </c>
      <c r="AE2352">
        <v>-34.991644800000003</v>
      </c>
      <c r="AF2352">
        <v>173.50890870000001</v>
      </c>
      <c r="AG2352" s="175">
        <v>56</v>
      </c>
      <c r="AH2352" s="175">
        <v>16</v>
      </c>
      <c r="AI2352" s="175">
        <v>1</v>
      </c>
      <c r="AJ2352" s="175">
        <v>3</v>
      </c>
      <c r="AK2352" s="175">
        <v>14</v>
      </c>
      <c r="AL2352" s="175">
        <v>12</v>
      </c>
      <c r="AM2352" s="175">
        <v>16</v>
      </c>
      <c r="AN2352" s="175">
        <v>0</v>
      </c>
      <c r="AO2352" s="175">
        <v>46</v>
      </c>
      <c r="AP2352" s="175">
        <v>34</v>
      </c>
      <c r="AQ2352" s="175">
        <v>28</v>
      </c>
      <c r="AR2352" s="175">
        <v>4</v>
      </c>
      <c r="AS2352" s="175">
        <v>1</v>
      </c>
      <c r="AT2352" s="175">
        <v>3</v>
      </c>
    </row>
    <row r="2353" spans="1:46">
      <c r="A2353">
        <v>46408</v>
      </c>
      <c r="B2353" t="s">
        <v>13431</v>
      </c>
      <c r="C2353" t="s">
        <v>13919</v>
      </c>
      <c r="D2353" t="s">
        <v>13920</v>
      </c>
      <c r="E2353" t="s">
        <v>13921</v>
      </c>
      <c r="F2353" t="s">
        <v>5170</v>
      </c>
      <c r="G2353" t="s">
        <v>737</v>
      </c>
      <c r="H2353" t="s">
        <v>449</v>
      </c>
      <c r="J2353" t="s">
        <v>4032</v>
      </c>
      <c r="K2353" t="s">
        <v>606</v>
      </c>
      <c r="M2353" t="s">
        <v>607</v>
      </c>
      <c r="N2353" t="s">
        <v>657</v>
      </c>
      <c r="O2353" t="s">
        <v>792</v>
      </c>
      <c r="P2353" t="s">
        <v>739</v>
      </c>
      <c r="Q2353" t="s">
        <v>467</v>
      </c>
      <c r="R2353" t="s">
        <v>814</v>
      </c>
      <c r="S2353" t="s">
        <v>863</v>
      </c>
      <c r="T2353" t="s">
        <v>794</v>
      </c>
      <c r="U2353">
        <v>158001</v>
      </c>
      <c r="V2353" t="s">
        <v>13922</v>
      </c>
      <c r="W2353" t="s">
        <v>796</v>
      </c>
      <c r="X2353" t="s">
        <v>13435</v>
      </c>
      <c r="Y2353" t="s">
        <v>13436</v>
      </c>
      <c r="Z2353" t="s">
        <v>5170</v>
      </c>
      <c r="AA2353" t="s">
        <v>5066</v>
      </c>
      <c r="AE2353">
        <v>-36.97691141</v>
      </c>
      <c r="AF2353">
        <v>174.90445376</v>
      </c>
      <c r="AG2353" s="175">
        <v>39</v>
      </c>
      <c r="AH2353" s="175">
        <v>10</v>
      </c>
      <c r="AI2353" s="175">
        <v>1</v>
      </c>
      <c r="AJ2353" s="175">
        <v>3</v>
      </c>
      <c r="AK2353" s="175">
        <v>13</v>
      </c>
      <c r="AL2353" s="175">
        <v>9</v>
      </c>
      <c r="AM2353" s="175">
        <v>14</v>
      </c>
      <c r="AN2353" s="175">
        <v>0</v>
      </c>
      <c r="AO2353" s="175">
        <v>40</v>
      </c>
      <c r="AP2353" s="175">
        <v>0</v>
      </c>
      <c r="AQ2353" s="175">
        <v>4</v>
      </c>
      <c r="AR2353" s="175">
        <v>8</v>
      </c>
      <c r="AS2353" s="175">
        <v>31</v>
      </c>
      <c r="AT2353" s="175">
        <v>0</v>
      </c>
    </row>
    <row r="2354" spans="1:46">
      <c r="A2354">
        <v>46411</v>
      </c>
      <c r="B2354" t="s">
        <v>13923</v>
      </c>
      <c r="C2354" t="s">
        <v>13924</v>
      </c>
      <c r="D2354" t="s">
        <v>13925</v>
      </c>
      <c r="E2354" t="s">
        <v>13926</v>
      </c>
      <c r="F2354" t="s">
        <v>2845</v>
      </c>
      <c r="G2354" t="s">
        <v>2604</v>
      </c>
      <c r="H2354" t="s">
        <v>449</v>
      </c>
      <c r="J2354" t="s">
        <v>605</v>
      </c>
      <c r="K2354" t="s">
        <v>606</v>
      </c>
      <c r="M2354" t="s">
        <v>2366</v>
      </c>
      <c r="N2354" t="s">
        <v>608</v>
      </c>
      <c r="O2354" t="s">
        <v>2605</v>
      </c>
      <c r="P2354" t="s">
        <v>670</v>
      </c>
      <c r="Q2354" t="s">
        <v>516</v>
      </c>
      <c r="R2354" t="s">
        <v>2368</v>
      </c>
      <c r="S2354" t="s">
        <v>2606</v>
      </c>
      <c r="T2354" t="s">
        <v>1568</v>
      </c>
      <c r="U2354">
        <v>240801</v>
      </c>
      <c r="V2354" t="s">
        <v>2846</v>
      </c>
      <c r="W2354" t="s">
        <v>2607</v>
      </c>
      <c r="X2354" t="s">
        <v>10497</v>
      </c>
      <c r="Y2354" t="s">
        <v>4014</v>
      </c>
      <c r="Z2354" t="s">
        <v>4015</v>
      </c>
      <c r="AA2354" t="s">
        <v>4016</v>
      </c>
      <c r="AC2354">
        <v>99074</v>
      </c>
      <c r="AD2354" t="s">
        <v>2710</v>
      </c>
      <c r="AE2354">
        <v>-41.127047939999997</v>
      </c>
      <c r="AF2354">
        <v>174.88068688999999</v>
      </c>
      <c r="AG2354" s="175">
        <v>90</v>
      </c>
      <c r="AH2354" s="175">
        <v>20</v>
      </c>
      <c r="AI2354" s="175">
        <v>6</v>
      </c>
      <c r="AJ2354" s="175">
        <v>16</v>
      </c>
      <c r="AK2354" s="175">
        <v>26</v>
      </c>
      <c r="AL2354" s="175">
        <v>30</v>
      </c>
      <c r="AM2354" s="175">
        <v>17</v>
      </c>
      <c r="AN2354" s="175">
        <v>0</v>
      </c>
      <c r="AO2354" s="175">
        <v>95</v>
      </c>
      <c r="AP2354" s="175">
        <v>33</v>
      </c>
      <c r="AQ2354" s="175">
        <v>22</v>
      </c>
      <c r="AR2354" s="175">
        <v>55</v>
      </c>
      <c r="AS2354" s="175">
        <v>13</v>
      </c>
      <c r="AT2354" s="175">
        <v>4</v>
      </c>
    </row>
    <row r="2355" spans="1:46">
      <c r="A2355">
        <v>46421</v>
      </c>
      <c r="B2355" t="s">
        <v>13927</v>
      </c>
      <c r="C2355" t="s">
        <v>13928</v>
      </c>
      <c r="D2355" t="s">
        <v>13929</v>
      </c>
      <c r="E2355" t="s">
        <v>13930</v>
      </c>
      <c r="G2355" t="s">
        <v>13931</v>
      </c>
      <c r="H2355" t="s">
        <v>449</v>
      </c>
      <c r="J2355" t="s">
        <v>605</v>
      </c>
      <c r="K2355" t="s">
        <v>606</v>
      </c>
      <c r="M2355" t="s">
        <v>2366</v>
      </c>
      <c r="N2355" t="s">
        <v>625</v>
      </c>
      <c r="O2355" t="s">
        <v>3585</v>
      </c>
      <c r="P2355" t="s">
        <v>610</v>
      </c>
      <c r="Q2355" t="s">
        <v>523</v>
      </c>
      <c r="R2355" t="s">
        <v>3410</v>
      </c>
      <c r="S2355" t="s">
        <v>3433</v>
      </c>
      <c r="T2355" t="s">
        <v>2526</v>
      </c>
      <c r="U2355">
        <v>360400</v>
      </c>
      <c r="V2355" t="s">
        <v>13931</v>
      </c>
      <c r="W2355" t="s">
        <v>13932</v>
      </c>
      <c r="X2355" t="s">
        <v>13933</v>
      </c>
      <c r="Y2355" t="s">
        <v>9599</v>
      </c>
      <c r="AA2355" t="s">
        <v>13934</v>
      </c>
      <c r="AB2355" t="s">
        <v>13928</v>
      </c>
      <c r="AC2355">
        <v>99055</v>
      </c>
      <c r="AD2355" t="s">
        <v>3588</v>
      </c>
      <c r="AE2355">
        <v>-46.194206559999998</v>
      </c>
      <c r="AF2355">
        <v>168.86384039000001</v>
      </c>
      <c r="AG2355" s="175">
        <v>45</v>
      </c>
      <c r="AH2355" s="175">
        <v>15</v>
      </c>
      <c r="AI2355" s="175">
        <v>1</v>
      </c>
      <c r="AJ2355" s="175">
        <v>12</v>
      </c>
      <c r="AK2355" s="175">
        <v>13</v>
      </c>
      <c r="AL2355" s="175">
        <v>18</v>
      </c>
      <c r="AM2355" s="175">
        <v>19</v>
      </c>
      <c r="AN2355" s="175">
        <v>0</v>
      </c>
      <c r="AO2355" s="175">
        <v>63</v>
      </c>
      <c r="AP2355" s="175">
        <v>44</v>
      </c>
      <c r="AQ2355" s="175">
        <v>15</v>
      </c>
      <c r="AR2355" s="175">
        <v>4</v>
      </c>
      <c r="AS2355" s="175">
        <v>5</v>
      </c>
      <c r="AT2355" s="175">
        <v>3</v>
      </c>
    </row>
    <row r="2356" spans="1:46">
      <c r="A2356">
        <v>46426</v>
      </c>
      <c r="B2356" t="s">
        <v>13935</v>
      </c>
      <c r="C2356" t="s">
        <v>13594</v>
      </c>
      <c r="D2356" t="s">
        <v>13936</v>
      </c>
      <c r="E2356" t="s">
        <v>13129</v>
      </c>
      <c r="F2356" t="s">
        <v>811</v>
      </c>
      <c r="G2356" t="s">
        <v>737</v>
      </c>
      <c r="H2356" t="s">
        <v>450</v>
      </c>
      <c r="I2356" t="s">
        <v>4320</v>
      </c>
      <c r="J2356" t="s">
        <v>4032</v>
      </c>
      <c r="K2356" t="s">
        <v>606</v>
      </c>
      <c r="M2356" t="s">
        <v>607</v>
      </c>
      <c r="N2356" t="s">
        <v>608</v>
      </c>
      <c r="O2356" t="s">
        <v>813</v>
      </c>
      <c r="P2356" t="s">
        <v>739</v>
      </c>
      <c r="Q2356" t="s">
        <v>467</v>
      </c>
      <c r="R2356" t="s">
        <v>814</v>
      </c>
      <c r="S2356" t="s">
        <v>815</v>
      </c>
      <c r="T2356" t="s">
        <v>794</v>
      </c>
      <c r="U2356">
        <v>154400</v>
      </c>
      <c r="V2356" t="s">
        <v>7416</v>
      </c>
      <c r="W2356" t="s">
        <v>817</v>
      </c>
      <c r="X2356" t="s">
        <v>13130</v>
      </c>
      <c r="Y2356" t="s">
        <v>13131</v>
      </c>
      <c r="Z2356" t="s">
        <v>1157</v>
      </c>
      <c r="AA2356" t="s">
        <v>4952</v>
      </c>
      <c r="AB2356" t="s">
        <v>13132</v>
      </c>
      <c r="AE2356">
        <v>-36.961009539999999</v>
      </c>
      <c r="AF2356">
        <v>174.87556599999999</v>
      </c>
      <c r="AG2356" s="175">
        <v>60</v>
      </c>
      <c r="AH2356" s="175">
        <v>60</v>
      </c>
      <c r="AI2356" s="175">
        <v>5</v>
      </c>
      <c r="AJ2356" s="175">
        <v>7</v>
      </c>
      <c r="AK2356" s="175">
        <v>11</v>
      </c>
      <c r="AL2356" s="175">
        <v>10</v>
      </c>
      <c r="AM2356" s="175">
        <v>7</v>
      </c>
      <c r="AN2356" s="175">
        <v>0</v>
      </c>
      <c r="AO2356" s="175">
        <v>40</v>
      </c>
      <c r="AP2356" s="175">
        <v>0</v>
      </c>
      <c r="AQ2356" s="175">
        <v>1</v>
      </c>
      <c r="AR2356" s="175">
        <v>40</v>
      </c>
      <c r="AS2356" s="175">
        <v>0</v>
      </c>
      <c r="AT2356" s="175">
        <v>0</v>
      </c>
    </row>
    <row r="2357" spans="1:46">
      <c r="A2357">
        <v>46427</v>
      </c>
      <c r="B2357" t="s">
        <v>13937</v>
      </c>
      <c r="C2357" t="s">
        <v>13938</v>
      </c>
      <c r="D2357" t="s">
        <v>13939</v>
      </c>
      <c r="E2357" t="s">
        <v>13129</v>
      </c>
      <c r="F2357" t="s">
        <v>811</v>
      </c>
      <c r="G2357" t="s">
        <v>737</v>
      </c>
      <c r="H2357" t="s">
        <v>450</v>
      </c>
      <c r="I2357" t="s">
        <v>4320</v>
      </c>
      <c r="J2357" t="s">
        <v>4032</v>
      </c>
      <c r="K2357" t="s">
        <v>606</v>
      </c>
      <c r="M2357" t="s">
        <v>607</v>
      </c>
      <c r="N2357" t="s">
        <v>608</v>
      </c>
      <c r="O2357" t="s">
        <v>813</v>
      </c>
      <c r="P2357" t="s">
        <v>739</v>
      </c>
      <c r="Q2357" t="s">
        <v>467</v>
      </c>
      <c r="R2357" t="s">
        <v>814</v>
      </c>
      <c r="S2357" t="s">
        <v>815</v>
      </c>
      <c r="T2357" t="s">
        <v>794</v>
      </c>
      <c r="U2357">
        <v>154400</v>
      </c>
      <c r="V2357" t="s">
        <v>7416</v>
      </c>
      <c r="W2357" t="s">
        <v>817</v>
      </c>
      <c r="X2357" t="s">
        <v>13130</v>
      </c>
      <c r="Y2357" t="s">
        <v>13131</v>
      </c>
      <c r="Z2357" t="s">
        <v>1157</v>
      </c>
      <c r="AA2357" t="s">
        <v>4952</v>
      </c>
      <c r="AB2357" t="s">
        <v>13132</v>
      </c>
      <c r="AE2357">
        <v>-36.960949380000002</v>
      </c>
      <c r="AF2357">
        <v>174.87565549999999</v>
      </c>
      <c r="AG2357" s="175">
        <v>60</v>
      </c>
      <c r="AH2357" s="175">
        <v>60</v>
      </c>
      <c r="AI2357" s="175">
        <v>7</v>
      </c>
      <c r="AJ2357" s="175">
        <v>7</v>
      </c>
      <c r="AK2357" s="175">
        <v>6</v>
      </c>
      <c r="AL2357" s="175">
        <v>9</v>
      </c>
      <c r="AM2357" s="175">
        <v>6</v>
      </c>
      <c r="AN2357" s="175">
        <v>1</v>
      </c>
      <c r="AO2357" s="175">
        <v>36</v>
      </c>
      <c r="AP2357" s="175">
        <v>0</v>
      </c>
      <c r="AQ2357" s="175">
        <v>1</v>
      </c>
      <c r="AR2357" s="175">
        <v>36</v>
      </c>
      <c r="AS2357" s="175">
        <v>0</v>
      </c>
      <c r="AT2357" s="175">
        <v>0</v>
      </c>
    </row>
    <row r="2358" spans="1:46">
      <c r="A2358">
        <v>46429</v>
      </c>
      <c r="B2358" t="s">
        <v>13940</v>
      </c>
      <c r="C2358" t="s">
        <v>13941</v>
      </c>
      <c r="D2358" t="s">
        <v>13942</v>
      </c>
      <c r="E2358" t="s">
        <v>13943</v>
      </c>
      <c r="F2358" t="s">
        <v>6042</v>
      </c>
      <c r="G2358" t="s">
        <v>737</v>
      </c>
      <c r="H2358" t="s">
        <v>450</v>
      </c>
      <c r="J2358" t="s">
        <v>4032</v>
      </c>
      <c r="K2358" t="s">
        <v>606</v>
      </c>
      <c r="M2358" t="s">
        <v>607</v>
      </c>
      <c r="N2358" t="s">
        <v>657</v>
      </c>
      <c r="O2358" t="s">
        <v>942</v>
      </c>
      <c r="P2358" t="s">
        <v>739</v>
      </c>
      <c r="Q2358" t="s">
        <v>467</v>
      </c>
      <c r="R2358" t="s">
        <v>793</v>
      </c>
      <c r="S2358" t="s">
        <v>943</v>
      </c>
      <c r="T2358" t="s">
        <v>794</v>
      </c>
      <c r="U2358">
        <v>129902</v>
      </c>
      <c r="V2358" t="s">
        <v>6585</v>
      </c>
      <c r="W2358" t="s">
        <v>945</v>
      </c>
      <c r="X2358" t="s">
        <v>13944</v>
      </c>
      <c r="Y2358" t="s">
        <v>13945</v>
      </c>
      <c r="AA2358" t="s">
        <v>6587</v>
      </c>
      <c r="AE2358">
        <v>-36.86544344</v>
      </c>
      <c r="AF2358">
        <v>174.70685338000001</v>
      </c>
      <c r="AG2358" s="175">
        <v>80</v>
      </c>
      <c r="AH2358" s="175">
        <v>80</v>
      </c>
      <c r="AI2358" s="175">
        <v>4</v>
      </c>
      <c r="AJ2358" s="175">
        <v>16</v>
      </c>
      <c r="AK2358" s="175">
        <v>10</v>
      </c>
      <c r="AL2358" s="175">
        <v>6</v>
      </c>
      <c r="AM2358" s="175">
        <v>2</v>
      </c>
      <c r="AN2358" s="175">
        <v>0</v>
      </c>
      <c r="AO2358" s="175">
        <v>38</v>
      </c>
      <c r="AP2358" s="175">
        <v>37</v>
      </c>
      <c r="AQ2358" s="175">
        <v>7</v>
      </c>
      <c r="AR2358" s="175">
        <v>1</v>
      </c>
      <c r="AS2358" s="175">
        <v>7</v>
      </c>
      <c r="AT2358" s="175">
        <v>0</v>
      </c>
    </row>
    <row r="2359" spans="1:46">
      <c r="A2359">
        <v>46430</v>
      </c>
      <c r="B2359" t="s">
        <v>13946</v>
      </c>
      <c r="D2359" t="s">
        <v>13947</v>
      </c>
      <c r="E2359" t="s">
        <v>13948</v>
      </c>
      <c r="G2359" t="s">
        <v>2196</v>
      </c>
      <c r="H2359" t="s">
        <v>452</v>
      </c>
      <c r="J2359" t="s">
        <v>605</v>
      </c>
      <c r="K2359" t="s">
        <v>606</v>
      </c>
      <c r="M2359" t="s">
        <v>1382</v>
      </c>
      <c r="N2359" t="s">
        <v>625</v>
      </c>
      <c r="O2359" t="s">
        <v>2197</v>
      </c>
      <c r="P2359" t="s">
        <v>610</v>
      </c>
      <c r="Q2359" t="s">
        <v>513</v>
      </c>
      <c r="R2359" t="s">
        <v>2164</v>
      </c>
      <c r="S2359" t="s">
        <v>2198</v>
      </c>
      <c r="T2359" t="s">
        <v>2165</v>
      </c>
      <c r="U2359">
        <v>207800</v>
      </c>
      <c r="V2359" t="s">
        <v>2196</v>
      </c>
      <c r="W2359" t="s">
        <v>651</v>
      </c>
      <c r="X2359" t="s">
        <v>2199</v>
      </c>
      <c r="Y2359" t="s">
        <v>2200</v>
      </c>
      <c r="Z2359" t="s">
        <v>2201</v>
      </c>
      <c r="AA2359" t="s">
        <v>2202</v>
      </c>
      <c r="AB2359" t="s">
        <v>2203</v>
      </c>
      <c r="AC2359">
        <v>99091</v>
      </c>
      <c r="AD2359" t="s">
        <v>2204</v>
      </c>
      <c r="AE2359">
        <v>-39.025027219999998</v>
      </c>
      <c r="AF2359">
        <v>177.42061129000001</v>
      </c>
      <c r="AG2359" s="175">
        <v>45</v>
      </c>
      <c r="AH2359" s="175">
        <v>0</v>
      </c>
      <c r="AI2359" s="175">
        <v>0</v>
      </c>
      <c r="AJ2359" s="175">
        <v>0</v>
      </c>
      <c r="AK2359" s="175">
        <v>5</v>
      </c>
      <c r="AL2359" s="175">
        <v>11</v>
      </c>
      <c r="AM2359" s="175">
        <v>11</v>
      </c>
      <c r="AN2359" s="175">
        <v>2</v>
      </c>
      <c r="AO2359" s="175">
        <v>29</v>
      </c>
      <c r="AP2359" s="175">
        <v>10</v>
      </c>
      <c r="AQ2359" s="175">
        <v>23</v>
      </c>
      <c r="AR2359" s="175">
        <v>3</v>
      </c>
      <c r="AS2359" s="175">
        <v>1</v>
      </c>
      <c r="AT2359" s="175">
        <v>0</v>
      </c>
    </row>
    <row r="2360" spans="1:46">
      <c r="A2360">
        <v>46436</v>
      </c>
      <c r="B2360" t="s">
        <v>13949</v>
      </c>
      <c r="C2360" t="s">
        <v>13950</v>
      </c>
      <c r="E2360" t="s">
        <v>13951</v>
      </c>
      <c r="F2360" t="s">
        <v>9813</v>
      </c>
      <c r="G2360" t="s">
        <v>1681</v>
      </c>
      <c r="H2360" t="s">
        <v>449</v>
      </c>
      <c r="J2360" t="s">
        <v>4032</v>
      </c>
      <c r="K2360" t="s">
        <v>606</v>
      </c>
      <c r="M2360" t="s">
        <v>1382</v>
      </c>
      <c r="N2360" t="s">
        <v>657</v>
      </c>
      <c r="O2360" t="s">
        <v>1825</v>
      </c>
      <c r="P2360" t="s">
        <v>658</v>
      </c>
      <c r="Q2360" t="s">
        <v>511</v>
      </c>
      <c r="R2360" t="s">
        <v>1555</v>
      </c>
      <c r="S2360" t="s">
        <v>1781</v>
      </c>
      <c r="T2360" t="s">
        <v>1557</v>
      </c>
      <c r="U2360">
        <v>191201</v>
      </c>
      <c r="V2360" t="s">
        <v>9801</v>
      </c>
      <c r="W2360" t="s">
        <v>8823</v>
      </c>
      <c r="X2360" t="s">
        <v>13952</v>
      </c>
      <c r="Y2360" t="s">
        <v>13953</v>
      </c>
      <c r="Z2360" t="s">
        <v>13213</v>
      </c>
      <c r="AA2360" t="s">
        <v>13954</v>
      </c>
      <c r="AE2360">
        <v>-37.6953435</v>
      </c>
      <c r="AF2360">
        <v>176.07334130000001</v>
      </c>
      <c r="AG2360" s="175">
        <v>78</v>
      </c>
      <c r="AH2360" s="175">
        <v>20</v>
      </c>
      <c r="AI2360" s="175">
        <v>1</v>
      </c>
      <c r="AJ2360" s="175">
        <v>21</v>
      </c>
      <c r="AK2360" s="175">
        <v>16</v>
      </c>
      <c r="AL2360" s="175">
        <v>23</v>
      </c>
      <c r="AM2360" s="175">
        <v>20</v>
      </c>
      <c r="AN2360" s="175">
        <v>0</v>
      </c>
      <c r="AO2360" s="175">
        <v>81</v>
      </c>
      <c r="AP2360" s="175">
        <v>62</v>
      </c>
      <c r="AQ2360" s="175">
        <v>24</v>
      </c>
      <c r="AR2360" s="175">
        <v>5</v>
      </c>
      <c r="AS2360" s="175">
        <v>5</v>
      </c>
      <c r="AT2360" s="175">
        <v>1</v>
      </c>
    </row>
    <row r="2361" spans="1:46">
      <c r="A2361">
        <v>46441</v>
      </c>
      <c r="B2361" t="s">
        <v>13955</v>
      </c>
      <c r="D2361" t="s">
        <v>12423</v>
      </c>
      <c r="E2361" t="s">
        <v>13956</v>
      </c>
      <c r="F2361" t="s">
        <v>13870</v>
      </c>
      <c r="G2361" t="s">
        <v>737</v>
      </c>
      <c r="H2361" t="s">
        <v>449</v>
      </c>
      <c r="J2361" t="s">
        <v>4032</v>
      </c>
      <c r="K2361" t="s">
        <v>606</v>
      </c>
      <c r="M2361" t="s">
        <v>607</v>
      </c>
      <c r="N2361" t="s">
        <v>657</v>
      </c>
      <c r="O2361" t="s">
        <v>914</v>
      </c>
      <c r="P2361" t="s">
        <v>739</v>
      </c>
      <c r="Q2361" t="s">
        <v>467</v>
      </c>
      <c r="R2361" t="s">
        <v>793</v>
      </c>
      <c r="S2361" t="s">
        <v>890</v>
      </c>
      <c r="T2361" t="s">
        <v>794</v>
      </c>
      <c r="U2361">
        <v>143800</v>
      </c>
      <c r="V2361" t="s">
        <v>6212</v>
      </c>
      <c r="W2361" t="s">
        <v>892</v>
      </c>
      <c r="X2361" t="s">
        <v>12425</v>
      </c>
      <c r="Y2361" t="s">
        <v>12426</v>
      </c>
      <c r="Z2361" t="s">
        <v>906</v>
      </c>
      <c r="AA2361" t="s">
        <v>4138</v>
      </c>
      <c r="AB2361" t="s">
        <v>12427</v>
      </c>
      <c r="AE2361">
        <v>-36.904682719999997</v>
      </c>
      <c r="AF2361">
        <v>174.80421118000001</v>
      </c>
      <c r="AG2361" s="175">
        <v>86</v>
      </c>
      <c r="AH2361" s="175">
        <v>26</v>
      </c>
      <c r="AI2361" s="175">
        <v>3</v>
      </c>
      <c r="AJ2361" s="175">
        <v>12</v>
      </c>
      <c r="AK2361" s="175">
        <v>21</v>
      </c>
      <c r="AL2361" s="175">
        <v>11</v>
      </c>
      <c r="AM2361" s="175">
        <v>13</v>
      </c>
      <c r="AN2361" s="175">
        <v>1</v>
      </c>
      <c r="AO2361" s="175">
        <v>61</v>
      </c>
      <c r="AP2361" s="175">
        <v>31</v>
      </c>
      <c r="AQ2361" s="175">
        <v>3</v>
      </c>
      <c r="AR2361" s="175">
        <v>6</v>
      </c>
      <c r="AS2361" s="175">
        <v>27</v>
      </c>
      <c r="AT2361" s="175">
        <v>9</v>
      </c>
    </row>
    <row r="2362" spans="1:46">
      <c r="A2362">
        <v>46443</v>
      </c>
      <c r="B2362" t="s">
        <v>13957</v>
      </c>
      <c r="C2362" t="s">
        <v>13018</v>
      </c>
      <c r="D2362" t="s">
        <v>13014</v>
      </c>
      <c r="E2362" t="s">
        <v>13958</v>
      </c>
      <c r="F2362" t="s">
        <v>13273</v>
      </c>
      <c r="G2362" t="s">
        <v>3015</v>
      </c>
      <c r="H2362" t="s">
        <v>449</v>
      </c>
      <c r="J2362" t="s">
        <v>4032</v>
      </c>
      <c r="K2362" t="s">
        <v>606</v>
      </c>
      <c r="M2362" t="s">
        <v>2366</v>
      </c>
      <c r="N2362" t="s">
        <v>4586</v>
      </c>
      <c r="O2362" t="s">
        <v>3016</v>
      </c>
      <c r="P2362" t="s">
        <v>739</v>
      </c>
      <c r="Q2362" t="s">
        <v>521</v>
      </c>
      <c r="R2362" t="s">
        <v>3017</v>
      </c>
      <c r="S2362" t="s">
        <v>3092</v>
      </c>
      <c r="T2362" t="s">
        <v>2526</v>
      </c>
      <c r="U2362">
        <v>322000</v>
      </c>
      <c r="V2362" t="s">
        <v>13270</v>
      </c>
      <c r="W2362" t="s">
        <v>3149</v>
      </c>
      <c r="X2362" t="s">
        <v>13016</v>
      </c>
      <c r="Y2362" t="s">
        <v>13959</v>
      </c>
      <c r="Z2362" t="s">
        <v>3267</v>
      </c>
      <c r="AA2362" t="s">
        <v>13017</v>
      </c>
      <c r="AB2362" t="s">
        <v>13018</v>
      </c>
      <c r="AE2362">
        <v>-43.533813960000003</v>
      </c>
      <c r="AF2362">
        <v>172.56483514000001</v>
      </c>
      <c r="AG2362" s="175">
        <v>30</v>
      </c>
      <c r="AH2362" s="175">
        <v>10</v>
      </c>
      <c r="AI2362" s="175">
        <v>0</v>
      </c>
      <c r="AJ2362" s="175">
        <v>5</v>
      </c>
      <c r="AK2362" s="175">
        <v>8</v>
      </c>
      <c r="AL2362" s="175">
        <v>10</v>
      </c>
      <c r="AM2362" s="175">
        <v>10</v>
      </c>
      <c r="AN2362" s="175">
        <v>0</v>
      </c>
      <c r="AO2362" s="175">
        <v>33</v>
      </c>
      <c r="AP2362" s="175">
        <v>20</v>
      </c>
      <c r="AQ2362" s="175">
        <v>5</v>
      </c>
      <c r="AR2362" s="175">
        <v>2</v>
      </c>
      <c r="AS2362" s="175">
        <v>11</v>
      </c>
      <c r="AT2362" s="175">
        <v>0</v>
      </c>
    </row>
    <row r="2363" spans="1:46">
      <c r="A2363">
        <v>46444</v>
      </c>
      <c r="B2363" t="s">
        <v>13960</v>
      </c>
      <c r="C2363" t="s">
        <v>13961</v>
      </c>
      <c r="D2363" t="s">
        <v>11212</v>
      </c>
      <c r="E2363" t="s">
        <v>11213</v>
      </c>
      <c r="F2363" t="s">
        <v>4060</v>
      </c>
      <c r="G2363" t="s">
        <v>737</v>
      </c>
      <c r="H2363" t="s">
        <v>450</v>
      </c>
      <c r="J2363" t="s">
        <v>4032</v>
      </c>
      <c r="K2363" t="s">
        <v>606</v>
      </c>
      <c r="M2363" t="s">
        <v>607</v>
      </c>
      <c r="N2363" t="s">
        <v>643</v>
      </c>
      <c r="O2363" t="s">
        <v>813</v>
      </c>
      <c r="P2363" t="s">
        <v>739</v>
      </c>
      <c r="Q2363" t="s">
        <v>467</v>
      </c>
      <c r="R2363" t="s">
        <v>814</v>
      </c>
      <c r="S2363" t="s">
        <v>815</v>
      </c>
      <c r="T2363" t="s">
        <v>794</v>
      </c>
      <c r="U2363">
        <v>155100</v>
      </c>
      <c r="V2363" t="s">
        <v>1075</v>
      </c>
      <c r="W2363" t="s">
        <v>817</v>
      </c>
      <c r="X2363" t="s">
        <v>11214</v>
      </c>
      <c r="Y2363" t="s">
        <v>11215</v>
      </c>
      <c r="Z2363" t="s">
        <v>6473</v>
      </c>
      <c r="AA2363" t="s">
        <v>6474</v>
      </c>
      <c r="AB2363" t="s">
        <v>11211</v>
      </c>
      <c r="AE2363">
        <v>-36.952231140000002</v>
      </c>
      <c r="AF2363">
        <v>174.89058864</v>
      </c>
      <c r="AG2363" s="175">
        <v>80</v>
      </c>
      <c r="AH2363" s="175">
        <v>80</v>
      </c>
      <c r="AI2363" s="175">
        <v>3</v>
      </c>
      <c r="AJ2363" s="175">
        <v>7</v>
      </c>
      <c r="AK2363" s="175">
        <v>10</v>
      </c>
      <c r="AL2363" s="175">
        <v>11</v>
      </c>
      <c r="AM2363" s="175">
        <v>9</v>
      </c>
      <c r="AN2363" s="175">
        <v>0</v>
      </c>
      <c r="AO2363" s="175">
        <v>40</v>
      </c>
      <c r="AP2363" s="175">
        <v>4</v>
      </c>
      <c r="AQ2363" s="175">
        <v>0</v>
      </c>
      <c r="AR2363" s="175">
        <v>8</v>
      </c>
      <c r="AS2363" s="175">
        <v>27</v>
      </c>
      <c r="AT2363" s="175">
        <v>2</v>
      </c>
    </row>
    <row r="2364" spans="1:46">
      <c r="A2364">
        <v>46446</v>
      </c>
      <c r="B2364" t="s">
        <v>13962</v>
      </c>
      <c r="C2364" t="s">
        <v>13963</v>
      </c>
      <c r="D2364" t="s">
        <v>13964</v>
      </c>
      <c r="E2364" t="s">
        <v>13965</v>
      </c>
      <c r="F2364" t="s">
        <v>1121</v>
      </c>
      <c r="G2364" t="s">
        <v>737</v>
      </c>
      <c r="H2364" t="s">
        <v>449</v>
      </c>
      <c r="J2364" t="s">
        <v>4032</v>
      </c>
      <c r="K2364" t="s">
        <v>606</v>
      </c>
      <c r="M2364" t="s">
        <v>607</v>
      </c>
      <c r="N2364" t="s">
        <v>608</v>
      </c>
      <c r="O2364" t="s">
        <v>1301</v>
      </c>
      <c r="P2364" t="s">
        <v>739</v>
      </c>
      <c r="Q2364" t="s">
        <v>467</v>
      </c>
      <c r="R2364" t="s">
        <v>814</v>
      </c>
      <c r="S2364" t="s">
        <v>1121</v>
      </c>
      <c r="T2364" t="s">
        <v>794</v>
      </c>
      <c r="U2364">
        <v>159700</v>
      </c>
      <c r="V2364" t="s">
        <v>8183</v>
      </c>
      <c r="W2364" t="s">
        <v>1304</v>
      </c>
      <c r="X2364" t="s">
        <v>13966</v>
      </c>
      <c r="Y2364" t="s">
        <v>4051</v>
      </c>
      <c r="AA2364" t="s">
        <v>4052</v>
      </c>
      <c r="AB2364" t="s">
        <v>13967</v>
      </c>
      <c r="AE2364">
        <v>-37.029737789999999</v>
      </c>
      <c r="AF2364">
        <v>174.86759268</v>
      </c>
      <c r="AG2364" s="175">
        <v>90</v>
      </c>
      <c r="AH2364" s="175">
        <v>20</v>
      </c>
      <c r="AI2364" s="175">
        <v>6</v>
      </c>
      <c r="AJ2364" s="175">
        <v>11</v>
      </c>
      <c r="AK2364" s="175">
        <v>17</v>
      </c>
      <c r="AL2364" s="175">
        <v>25</v>
      </c>
      <c r="AM2364" s="175">
        <v>27</v>
      </c>
      <c r="AN2364" s="175">
        <v>2</v>
      </c>
      <c r="AO2364" s="175">
        <v>88</v>
      </c>
      <c r="AP2364" s="175">
        <v>10</v>
      </c>
      <c r="AQ2364" s="175">
        <v>28</v>
      </c>
      <c r="AR2364" s="175">
        <v>50</v>
      </c>
      <c r="AS2364" s="175">
        <v>25</v>
      </c>
      <c r="AT2364" s="175">
        <v>3</v>
      </c>
    </row>
    <row r="2365" spans="1:46">
      <c r="A2365">
        <v>46448</v>
      </c>
      <c r="B2365" t="s">
        <v>13968</v>
      </c>
      <c r="C2365" t="s">
        <v>13969</v>
      </c>
      <c r="D2365" t="s">
        <v>13970</v>
      </c>
      <c r="E2365" t="s">
        <v>13971</v>
      </c>
      <c r="F2365" t="s">
        <v>11370</v>
      </c>
      <c r="G2365" t="s">
        <v>1839</v>
      </c>
      <c r="H2365" t="s">
        <v>449</v>
      </c>
      <c r="J2365" t="s">
        <v>4032</v>
      </c>
      <c r="K2365" t="s">
        <v>606</v>
      </c>
      <c r="M2365" t="s">
        <v>1382</v>
      </c>
      <c r="N2365" t="s">
        <v>4586</v>
      </c>
      <c r="O2365" t="s">
        <v>1840</v>
      </c>
      <c r="P2365" t="s">
        <v>670</v>
      </c>
      <c r="Q2365" t="s">
        <v>514</v>
      </c>
      <c r="R2365" t="s">
        <v>1841</v>
      </c>
      <c r="S2365" t="s">
        <v>1839</v>
      </c>
      <c r="T2365" t="s">
        <v>1568</v>
      </c>
      <c r="U2365">
        <v>217300</v>
      </c>
      <c r="V2365" t="s">
        <v>11370</v>
      </c>
      <c r="W2365" t="s">
        <v>1843</v>
      </c>
      <c r="X2365" t="s">
        <v>13972</v>
      </c>
      <c r="Y2365" t="s">
        <v>13973</v>
      </c>
      <c r="AA2365" t="s">
        <v>12635</v>
      </c>
      <c r="AB2365" t="s">
        <v>13974</v>
      </c>
      <c r="AE2365">
        <v>-39.056557509999998</v>
      </c>
      <c r="AF2365">
        <v>174.10362595999999</v>
      </c>
      <c r="AG2365" s="175">
        <v>60</v>
      </c>
      <c r="AH2365" s="175">
        <v>0</v>
      </c>
      <c r="AI2365" s="175">
        <v>0</v>
      </c>
      <c r="AJ2365" s="175">
        <v>0</v>
      </c>
      <c r="AK2365" s="175">
        <v>0</v>
      </c>
      <c r="AL2365" s="175">
        <v>10</v>
      </c>
      <c r="AM2365" s="175">
        <v>35</v>
      </c>
      <c r="AN2365" s="175">
        <v>1</v>
      </c>
      <c r="AO2365" s="175">
        <v>46</v>
      </c>
      <c r="AP2365" s="175">
        <v>43</v>
      </c>
      <c r="AQ2365" s="175">
        <v>3</v>
      </c>
      <c r="AR2365" s="175">
        <v>0</v>
      </c>
      <c r="AS2365" s="175">
        <v>5</v>
      </c>
      <c r="AT2365" s="175">
        <v>0</v>
      </c>
    </row>
    <row r="2366" spans="1:46">
      <c r="A2366">
        <v>46449</v>
      </c>
      <c r="B2366" t="s">
        <v>13975</v>
      </c>
      <c r="C2366" t="s">
        <v>13976</v>
      </c>
      <c r="D2366" t="s">
        <v>13977</v>
      </c>
      <c r="E2366" t="s">
        <v>13978</v>
      </c>
      <c r="F2366" t="s">
        <v>4533</v>
      </c>
      <c r="G2366" t="s">
        <v>737</v>
      </c>
      <c r="H2366" t="s">
        <v>450</v>
      </c>
      <c r="I2366" t="s">
        <v>4134</v>
      </c>
      <c r="J2366" t="s">
        <v>4032</v>
      </c>
      <c r="K2366" t="s">
        <v>606</v>
      </c>
      <c r="M2366" t="s">
        <v>607</v>
      </c>
      <c r="N2366" t="s">
        <v>625</v>
      </c>
      <c r="O2366" t="s">
        <v>898</v>
      </c>
      <c r="P2366" t="s">
        <v>739</v>
      </c>
      <c r="Q2366" t="s">
        <v>467</v>
      </c>
      <c r="R2366" t="s">
        <v>724</v>
      </c>
      <c r="S2366" t="s">
        <v>804</v>
      </c>
      <c r="T2366" t="s">
        <v>794</v>
      </c>
      <c r="U2366">
        <v>128901</v>
      </c>
      <c r="V2366" t="s">
        <v>13979</v>
      </c>
      <c r="W2366" t="s">
        <v>900</v>
      </c>
      <c r="X2366" t="s">
        <v>13980</v>
      </c>
      <c r="Y2366" t="s">
        <v>13978</v>
      </c>
      <c r="Z2366" t="s">
        <v>4533</v>
      </c>
      <c r="AA2366" t="s">
        <v>5051</v>
      </c>
      <c r="AB2366" t="s">
        <v>13976</v>
      </c>
      <c r="AE2366">
        <v>-36.891020849999997</v>
      </c>
      <c r="AF2366">
        <v>174.64922598999999</v>
      </c>
      <c r="AG2366" s="175">
        <v>80</v>
      </c>
      <c r="AH2366" s="175">
        <v>80</v>
      </c>
      <c r="AI2366" s="175">
        <v>5</v>
      </c>
      <c r="AJ2366" s="175">
        <v>5</v>
      </c>
      <c r="AK2366" s="175">
        <v>9</v>
      </c>
      <c r="AL2366" s="175">
        <v>8</v>
      </c>
      <c r="AM2366" s="175">
        <v>8</v>
      </c>
      <c r="AN2366" s="175">
        <v>3</v>
      </c>
      <c r="AO2366" s="175">
        <v>38</v>
      </c>
      <c r="AP2366" s="175">
        <v>0</v>
      </c>
      <c r="AQ2366" s="175">
        <v>0</v>
      </c>
      <c r="AR2366" s="175">
        <v>9</v>
      </c>
      <c r="AS2366" s="175">
        <v>27</v>
      </c>
      <c r="AT2366" s="175">
        <v>2</v>
      </c>
    </row>
    <row r="2367" spans="1:46">
      <c r="A2367">
        <v>46450</v>
      </c>
      <c r="B2367" t="s">
        <v>13981</v>
      </c>
      <c r="C2367" t="s">
        <v>13982</v>
      </c>
      <c r="D2367" t="s">
        <v>13983</v>
      </c>
      <c r="E2367" t="s">
        <v>13984</v>
      </c>
      <c r="G2367" t="s">
        <v>1319</v>
      </c>
      <c r="H2367" t="s">
        <v>449</v>
      </c>
      <c r="J2367" t="s">
        <v>4032</v>
      </c>
      <c r="K2367" t="s">
        <v>606</v>
      </c>
      <c r="M2367" t="s">
        <v>607</v>
      </c>
      <c r="N2367" t="s">
        <v>812</v>
      </c>
      <c r="O2367" t="s">
        <v>1353</v>
      </c>
      <c r="P2367" t="s">
        <v>739</v>
      </c>
      <c r="Q2367" t="s">
        <v>467</v>
      </c>
      <c r="R2367" t="s">
        <v>814</v>
      </c>
      <c r="S2367" t="s">
        <v>1319</v>
      </c>
      <c r="T2367" t="s">
        <v>1320</v>
      </c>
      <c r="U2367">
        <v>163501</v>
      </c>
      <c r="V2367" t="s">
        <v>1354</v>
      </c>
      <c r="W2367" t="s">
        <v>1304</v>
      </c>
      <c r="X2367" t="s">
        <v>12709</v>
      </c>
      <c r="Y2367" t="s">
        <v>12710</v>
      </c>
      <c r="Z2367" t="s">
        <v>921</v>
      </c>
      <c r="AA2367" t="s">
        <v>4349</v>
      </c>
      <c r="AB2367" t="s">
        <v>12711</v>
      </c>
      <c r="AC2367">
        <v>99152</v>
      </c>
      <c r="AD2367" t="s">
        <v>1355</v>
      </c>
      <c r="AE2367">
        <v>-37.058975590000003</v>
      </c>
      <c r="AF2367">
        <v>174.95744513</v>
      </c>
      <c r="AG2367" s="175">
        <v>100</v>
      </c>
      <c r="AH2367" s="175">
        <v>20</v>
      </c>
      <c r="AI2367" s="175">
        <v>0</v>
      </c>
      <c r="AJ2367" s="175">
        <v>0</v>
      </c>
      <c r="AK2367" s="175">
        <v>34</v>
      </c>
      <c r="AL2367" s="175">
        <v>44</v>
      </c>
      <c r="AM2367" s="175">
        <v>47</v>
      </c>
      <c r="AN2367" s="175">
        <v>7</v>
      </c>
      <c r="AO2367" s="175">
        <v>132</v>
      </c>
      <c r="AP2367" s="175">
        <v>20</v>
      </c>
      <c r="AQ2367" s="175">
        <v>81</v>
      </c>
      <c r="AR2367" s="175">
        <v>52</v>
      </c>
      <c r="AS2367" s="175">
        <v>20</v>
      </c>
      <c r="AT2367" s="175">
        <v>2</v>
      </c>
    </row>
    <row r="2368" spans="1:46">
      <c r="A2368">
        <v>46453</v>
      </c>
      <c r="B2368" t="s">
        <v>13985</v>
      </c>
      <c r="C2368" t="s">
        <v>13986</v>
      </c>
      <c r="E2368" t="s">
        <v>13987</v>
      </c>
      <c r="F2368" t="s">
        <v>13988</v>
      </c>
      <c r="G2368" t="s">
        <v>3569</v>
      </c>
      <c r="H2368" t="s">
        <v>450</v>
      </c>
      <c r="J2368" t="s">
        <v>4032</v>
      </c>
      <c r="K2368" t="s">
        <v>606</v>
      </c>
      <c r="M2368" t="s">
        <v>2366</v>
      </c>
      <c r="N2368" t="s">
        <v>657</v>
      </c>
      <c r="O2368" t="s">
        <v>3568</v>
      </c>
      <c r="P2368" t="s">
        <v>670</v>
      </c>
      <c r="Q2368" t="s">
        <v>523</v>
      </c>
      <c r="R2368" t="s">
        <v>3410</v>
      </c>
      <c r="S2368" t="s">
        <v>3569</v>
      </c>
      <c r="T2368" t="s">
        <v>2526</v>
      </c>
      <c r="U2368">
        <v>361300</v>
      </c>
      <c r="V2368" t="s">
        <v>13988</v>
      </c>
      <c r="W2368" t="s">
        <v>1734</v>
      </c>
      <c r="X2368" t="s">
        <v>13989</v>
      </c>
      <c r="Y2368" t="s">
        <v>13990</v>
      </c>
      <c r="Z2368" t="s">
        <v>3656</v>
      </c>
      <c r="AA2368" t="s">
        <v>11966</v>
      </c>
      <c r="AB2368" t="s">
        <v>13991</v>
      </c>
      <c r="AE2368">
        <v>-46.400440260000003</v>
      </c>
      <c r="AF2368">
        <v>168.34700050000001</v>
      </c>
      <c r="AG2368" s="175">
        <v>100</v>
      </c>
      <c r="AH2368" s="175">
        <v>100</v>
      </c>
      <c r="AI2368" s="175">
        <v>3</v>
      </c>
      <c r="AJ2368" s="175">
        <v>14</v>
      </c>
      <c r="AK2368" s="175">
        <v>15</v>
      </c>
      <c r="AL2368" s="175">
        <v>15</v>
      </c>
      <c r="AM2368" s="175">
        <v>8</v>
      </c>
      <c r="AN2368" s="175">
        <v>2</v>
      </c>
      <c r="AO2368" s="175">
        <v>57</v>
      </c>
      <c r="AP2368" s="175">
        <v>42</v>
      </c>
      <c r="AQ2368" s="175">
        <v>18</v>
      </c>
      <c r="AR2368" s="175">
        <v>2</v>
      </c>
      <c r="AS2368" s="175">
        <v>0</v>
      </c>
      <c r="AT2368" s="175">
        <v>3</v>
      </c>
    </row>
    <row r="2369" spans="1:46">
      <c r="A2369">
        <v>46455</v>
      </c>
      <c r="B2369" t="s">
        <v>13992</v>
      </c>
      <c r="C2369" t="s">
        <v>13993</v>
      </c>
      <c r="D2369" t="s">
        <v>13994</v>
      </c>
      <c r="E2369" t="s">
        <v>13995</v>
      </c>
      <c r="F2369" t="s">
        <v>1482</v>
      </c>
      <c r="G2369" t="s">
        <v>1381</v>
      </c>
      <c r="H2369" t="s">
        <v>449</v>
      </c>
      <c r="I2369" t="s">
        <v>13996</v>
      </c>
      <c r="J2369" t="s">
        <v>605</v>
      </c>
      <c r="K2369" t="s">
        <v>606</v>
      </c>
      <c r="M2369" t="s">
        <v>1382</v>
      </c>
      <c r="N2369" t="s">
        <v>625</v>
      </c>
      <c r="O2369" t="s">
        <v>1383</v>
      </c>
      <c r="P2369" t="s">
        <v>739</v>
      </c>
      <c r="Q2369" t="s">
        <v>510</v>
      </c>
      <c r="R2369" t="s">
        <v>1384</v>
      </c>
      <c r="S2369" t="s">
        <v>1396</v>
      </c>
      <c r="T2369" t="s">
        <v>1320</v>
      </c>
      <c r="U2369">
        <v>179300</v>
      </c>
      <c r="V2369" t="s">
        <v>1482</v>
      </c>
      <c r="W2369" t="s">
        <v>1398</v>
      </c>
      <c r="X2369" t="s">
        <v>13997</v>
      </c>
      <c r="Y2369" t="s">
        <v>13998</v>
      </c>
      <c r="Z2369" t="s">
        <v>13999</v>
      </c>
      <c r="AA2369" t="s">
        <v>9364</v>
      </c>
      <c r="AE2369">
        <v>-37.775048679999998</v>
      </c>
      <c r="AF2369">
        <v>175.28458345999999</v>
      </c>
      <c r="AG2369" s="175">
        <v>30</v>
      </c>
      <c r="AH2369" s="175">
        <v>0</v>
      </c>
      <c r="AI2369" s="175">
        <v>0</v>
      </c>
      <c r="AJ2369" s="175">
        <v>0</v>
      </c>
      <c r="AK2369" s="175">
        <v>2</v>
      </c>
      <c r="AL2369" s="175">
        <v>10</v>
      </c>
      <c r="AM2369" s="175">
        <v>15</v>
      </c>
      <c r="AN2369" s="175">
        <v>1</v>
      </c>
      <c r="AO2369" s="175">
        <v>28</v>
      </c>
      <c r="AP2369" s="175">
        <v>2</v>
      </c>
      <c r="AQ2369" s="175">
        <v>0</v>
      </c>
      <c r="AR2369" s="175">
        <v>2</v>
      </c>
      <c r="AS2369" s="175">
        <v>8</v>
      </c>
      <c r="AT2369" s="175">
        <v>19</v>
      </c>
    </row>
    <row r="2370" spans="1:46">
      <c r="A2370">
        <v>46457</v>
      </c>
      <c r="B2370" t="s">
        <v>14000</v>
      </c>
      <c r="C2370" t="s">
        <v>8359</v>
      </c>
      <c r="D2370" t="s">
        <v>14001</v>
      </c>
      <c r="E2370" t="s">
        <v>14002</v>
      </c>
      <c r="F2370" t="s">
        <v>3956</v>
      </c>
      <c r="G2370" t="s">
        <v>737</v>
      </c>
      <c r="H2370" t="s">
        <v>449</v>
      </c>
      <c r="J2370" t="s">
        <v>4032</v>
      </c>
      <c r="K2370" t="s">
        <v>606</v>
      </c>
      <c r="M2370" t="s">
        <v>607</v>
      </c>
      <c r="N2370" t="s">
        <v>657</v>
      </c>
      <c r="O2370" t="s">
        <v>1353</v>
      </c>
      <c r="P2370" t="s">
        <v>739</v>
      </c>
      <c r="Q2370" t="s">
        <v>467</v>
      </c>
      <c r="R2370" t="s">
        <v>814</v>
      </c>
      <c r="S2370" t="s">
        <v>1302</v>
      </c>
      <c r="T2370" t="s">
        <v>794</v>
      </c>
      <c r="U2370">
        <v>161800</v>
      </c>
      <c r="V2370" t="s">
        <v>3957</v>
      </c>
      <c r="W2370" t="s">
        <v>1304</v>
      </c>
      <c r="X2370" t="s">
        <v>8358</v>
      </c>
      <c r="Y2370" t="s">
        <v>4725</v>
      </c>
      <c r="Z2370" t="s">
        <v>1043</v>
      </c>
      <c r="AA2370" t="s">
        <v>4726</v>
      </c>
      <c r="AB2370" t="s">
        <v>8359</v>
      </c>
      <c r="AE2370">
        <v>-37.047056310000002</v>
      </c>
      <c r="AF2370">
        <v>174.91074774000001</v>
      </c>
      <c r="AG2370" s="175">
        <v>75</v>
      </c>
      <c r="AH2370" s="175">
        <v>25</v>
      </c>
      <c r="AI2370" s="175">
        <v>5</v>
      </c>
      <c r="AJ2370" s="175">
        <v>15</v>
      </c>
      <c r="AK2370" s="175">
        <v>16</v>
      </c>
      <c r="AL2370" s="175">
        <v>18</v>
      </c>
      <c r="AM2370" s="175">
        <v>22</v>
      </c>
      <c r="AN2370" s="175">
        <v>0</v>
      </c>
      <c r="AO2370" s="175">
        <v>76</v>
      </c>
      <c r="AP2370" s="175">
        <v>31</v>
      </c>
      <c r="AQ2370" s="175">
        <v>10</v>
      </c>
      <c r="AR2370" s="175">
        <v>10</v>
      </c>
      <c r="AS2370" s="175">
        <v>39</v>
      </c>
      <c r="AT2370" s="175">
        <v>8</v>
      </c>
    </row>
    <row r="2371" spans="1:46">
      <c r="A2371">
        <v>46460</v>
      </c>
      <c r="B2371" t="s">
        <v>14003</v>
      </c>
      <c r="C2371" t="s">
        <v>14004</v>
      </c>
      <c r="D2371" t="s">
        <v>14005</v>
      </c>
      <c r="E2371" t="s">
        <v>14006</v>
      </c>
      <c r="F2371" t="s">
        <v>4851</v>
      </c>
      <c r="G2371" t="s">
        <v>737</v>
      </c>
      <c r="H2371" t="s">
        <v>449</v>
      </c>
      <c r="J2371" t="s">
        <v>605</v>
      </c>
      <c r="K2371" t="s">
        <v>606</v>
      </c>
      <c r="M2371" t="s">
        <v>607</v>
      </c>
      <c r="N2371" t="s">
        <v>643</v>
      </c>
      <c r="O2371" t="s">
        <v>1301</v>
      </c>
      <c r="P2371" t="s">
        <v>739</v>
      </c>
      <c r="Q2371" t="s">
        <v>467</v>
      </c>
      <c r="R2371" t="s">
        <v>814</v>
      </c>
      <c r="S2371" t="s">
        <v>1302</v>
      </c>
      <c r="T2371" t="s">
        <v>794</v>
      </c>
      <c r="U2371">
        <v>161000</v>
      </c>
      <c r="V2371" t="s">
        <v>4852</v>
      </c>
      <c r="W2371" t="s">
        <v>1304</v>
      </c>
      <c r="X2371" t="s">
        <v>4013</v>
      </c>
      <c r="Y2371" t="s">
        <v>4014</v>
      </c>
      <c r="Z2371" t="s">
        <v>4015</v>
      </c>
      <c r="AA2371" t="s">
        <v>4016</v>
      </c>
      <c r="AB2371" t="s">
        <v>4017</v>
      </c>
      <c r="AC2371">
        <v>99186</v>
      </c>
      <c r="AD2371" t="s">
        <v>1309</v>
      </c>
      <c r="AE2371">
        <v>-37.020781970000002</v>
      </c>
      <c r="AF2371">
        <v>174.92144668</v>
      </c>
      <c r="AG2371" s="175">
        <v>110</v>
      </c>
      <c r="AH2371" s="175">
        <v>20</v>
      </c>
      <c r="AI2371" s="175">
        <v>3</v>
      </c>
      <c r="AJ2371" s="175">
        <v>10</v>
      </c>
      <c r="AK2371" s="175">
        <v>26</v>
      </c>
      <c r="AL2371" s="175">
        <v>30</v>
      </c>
      <c r="AM2371" s="175">
        <v>25</v>
      </c>
      <c r="AN2371" s="175">
        <v>1</v>
      </c>
      <c r="AO2371" s="175">
        <v>95</v>
      </c>
      <c r="AP2371" s="175">
        <v>13</v>
      </c>
      <c r="AQ2371" s="175">
        <v>7</v>
      </c>
      <c r="AR2371" s="175">
        <v>23</v>
      </c>
      <c r="AS2371" s="175">
        <v>62</v>
      </c>
      <c r="AT2371" s="175">
        <v>6</v>
      </c>
    </row>
    <row r="2372" spans="1:46">
      <c r="A2372">
        <v>46462</v>
      </c>
      <c r="B2372" t="s">
        <v>14007</v>
      </c>
      <c r="C2372" t="s">
        <v>14008</v>
      </c>
      <c r="E2372" t="s">
        <v>14009</v>
      </c>
      <c r="F2372" t="s">
        <v>3188</v>
      </c>
      <c r="G2372" t="s">
        <v>3015</v>
      </c>
      <c r="H2372" t="s">
        <v>449</v>
      </c>
      <c r="I2372" t="s">
        <v>4134</v>
      </c>
      <c r="J2372" t="s">
        <v>4032</v>
      </c>
      <c r="K2372" t="s">
        <v>606</v>
      </c>
      <c r="M2372" t="s">
        <v>2366</v>
      </c>
      <c r="N2372" t="s">
        <v>4586</v>
      </c>
      <c r="O2372" t="s">
        <v>3016</v>
      </c>
      <c r="P2372" t="s">
        <v>739</v>
      </c>
      <c r="Q2372" t="s">
        <v>521</v>
      </c>
      <c r="R2372" t="s">
        <v>3017</v>
      </c>
      <c r="S2372" t="s">
        <v>3018</v>
      </c>
      <c r="T2372" t="s">
        <v>2526</v>
      </c>
      <c r="U2372">
        <v>320100</v>
      </c>
      <c r="V2372" t="s">
        <v>14010</v>
      </c>
      <c r="W2372" t="s">
        <v>3171</v>
      </c>
      <c r="X2372" t="s">
        <v>14011</v>
      </c>
      <c r="Y2372" t="s">
        <v>4176</v>
      </c>
      <c r="AA2372" t="s">
        <v>4052</v>
      </c>
      <c r="AE2372">
        <v>-43.49522451</v>
      </c>
      <c r="AF2372">
        <v>172.60379042</v>
      </c>
      <c r="AG2372" s="175">
        <v>90</v>
      </c>
      <c r="AH2372" s="175">
        <v>25</v>
      </c>
      <c r="AI2372" s="175">
        <v>1</v>
      </c>
      <c r="AJ2372" s="175">
        <v>20</v>
      </c>
      <c r="AK2372" s="175">
        <v>21</v>
      </c>
      <c r="AL2372" s="175">
        <v>33</v>
      </c>
      <c r="AM2372" s="175">
        <v>36</v>
      </c>
      <c r="AN2372" s="175">
        <v>2</v>
      </c>
      <c r="AO2372" s="175">
        <v>113</v>
      </c>
      <c r="AP2372" s="175">
        <v>65</v>
      </c>
      <c r="AQ2372" s="175">
        <v>12</v>
      </c>
      <c r="AR2372" s="175">
        <v>4</v>
      </c>
      <c r="AS2372" s="175">
        <v>51</v>
      </c>
      <c r="AT2372" s="175">
        <v>4</v>
      </c>
    </row>
    <row r="2373" spans="1:46">
      <c r="A2373">
        <v>46466</v>
      </c>
      <c r="B2373" t="s">
        <v>14012</v>
      </c>
      <c r="C2373" t="s">
        <v>14013</v>
      </c>
      <c r="D2373" t="s">
        <v>14014</v>
      </c>
      <c r="E2373" t="s">
        <v>14015</v>
      </c>
      <c r="F2373" t="s">
        <v>1397</v>
      </c>
      <c r="G2373" t="s">
        <v>1381</v>
      </c>
      <c r="H2373" t="s">
        <v>449</v>
      </c>
      <c r="I2373" t="s">
        <v>4134</v>
      </c>
      <c r="J2373" t="s">
        <v>4032</v>
      </c>
      <c r="K2373" t="s">
        <v>606</v>
      </c>
      <c r="M2373" t="s">
        <v>1382</v>
      </c>
      <c r="N2373" t="s">
        <v>657</v>
      </c>
      <c r="O2373" t="s">
        <v>1383</v>
      </c>
      <c r="P2373" t="s">
        <v>739</v>
      </c>
      <c r="Q2373" t="s">
        <v>510</v>
      </c>
      <c r="R2373" t="s">
        <v>1384</v>
      </c>
      <c r="S2373" t="s">
        <v>1396</v>
      </c>
      <c r="T2373" t="s">
        <v>1320</v>
      </c>
      <c r="U2373">
        <v>178500</v>
      </c>
      <c r="V2373" t="s">
        <v>14016</v>
      </c>
      <c r="W2373" t="s">
        <v>1398</v>
      </c>
      <c r="X2373" t="s">
        <v>14017</v>
      </c>
      <c r="Y2373" t="s">
        <v>14015</v>
      </c>
      <c r="Z2373" t="s">
        <v>1397</v>
      </c>
      <c r="AA2373" t="s">
        <v>8575</v>
      </c>
      <c r="AE2373">
        <v>-37.750606410000003</v>
      </c>
      <c r="AF2373">
        <v>175.29443756000001</v>
      </c>
      <c r="AG2373" s="175">
        <v>50</v>
      </c>
      <c r="AH2373" s="175">
        <v>10</v>
      </c>
      <c r="AI2373" s="175">
        <v>0</v>
      </c>
      <c r="AJ2373" s="175">
        <v>6</v>
      </c>
      <c r="AK2373" s="175">
        <v>5</v>
      </c>
      <c r="AL2373" s="175">
        <v>6</v>
      </c>
      <c r="AM2373" s="175">
        <v>7</v>
      </c>
      <c r="AN2373" s="175">
        <v>1</v>
      </c>
      <c r="AO2373" s="175">
        <v>25</v>
      </c>
      <c r="AP2373" s="175">
        <v>11</v>
      </c>
      <c r="AQ2373" s="175">
        <v>2</v>
      </c>
      <c r="AR2373" s="175">
        <v>0</v>
      </c>
      <c r="AS2373" s="175">
        <v>20</v>
      </c>
      <c r="AT2373" s="175">
        <v>5</v>
      </c>
    </row>
    <row r="2374" spans="1:46">
      <c r="A2374">
        <v>46470</v>
      </c>
      <c r="B2374" t="s">
        <v>14018</v>
      </c>
      <c r="C2374" t="s">
        <v>14019</v>
      </c>
      <c r="E2374" t="s">
        <v>14020</v>
      </c>
      <c r="G2374" t="s">
        <v>636</v>
      </c>
      <c r="H2374" t="s">
        <v>449</v>
      </c>
      <c r="I2374" t="s">
        <v>5017</v>
      </c>
      <c r="J2374" t="s">
        <v>4032</v>
      </c>
      <c r="K2374" t="s">
        <v>606</v>
      </c>
      <c r="M2374" t="s">
        <v>607</v>
      </c>
      <c r="N2374" t="s">
        <v>812</v>
      </c>
      <c r="O2374" t="s">
        <v>609</v>
      </c>
      <c r="P2374" t="s">
        <v>610</v>
      </c>
      <c r="Q2374" t="s">
        <v>509</v>
      </c>
      <c r="R2374" t="s">
        <v>611</v>
      </c>
      <c r="S2374" t="s">
        <v>612</v>
      </c>
      <c r="T2374" t="s">
        <v>613</v>
      </c>
      <c r="U2374">
        <v>103501</v>
      </c>
      <c r="V2374" t="s">
        <v>636</v>
      </c>
      <c r="W2374" t="s">
        <v>637</v>
      </c>
      <c r="X2374" t="s">
        <v>14021</v>
      </c>
      <c r="Y2374" t="s">
        <v>14022</v>
      </c>
      <c r="Z2374" t="s">
        <v>1121</v>
      </c>
      <c r="AA2374" t="s">
        <v>7401</v>
      </c>
      <c r="AB2374" t="s">
        <v>14019</v>
      </c>
      <c r="AC2374">
        <v>99060</v>
      </c>
      <c r="AD2374" t="s">
        <v>638</v>
      </c>
      <c r="AE2374">
        <v>-35.407705620000002</v>
      </c>
      <c r="AF2374">
        <v>173.79341582000001</v>
      </c>
      <c r="AG2374" s="175">
        <v>60</v>
      </c>
      <c r="AH2374" s="175">
        <v>15</v>
      </c>
      <c r="AI2374" s="175">
        <v>1</v>
      </c>
      <c r="AJ2374" s="175">
        <v>5</v>
      </c>
      <c r="AK2374" s="175">
        <v>10</v>
      </c>
      <c r="AL2374" s="175">
        <v>17</v>
      </c>
      <c r="AM2374" s="175">
        <v>12</v>
      </c>
      <c r="AN2374" s="175">
        <v>0</v>
      </c>
      <c r="AO2374" s="175">
        <v>45</v>
      </c>
      <c r="AP2374" s="175">
        <v>10</v>
      </c>
      <c r="AQ2374" s="175">
        <v>42</v>
      </c>
      <c r="AR2374" s="175">
        <v>4</v>
      </c>
      <c r="AS2374" s="175">
        <v>2</v>
      </c>
      <c r="AT2374" s="175">
        <v>0</v>
      </c>
    </row>
    <row r="2375" spans="1:46">
      <c r="A2375">
        <v>46474</v>
      </c>
      <c r="B2375" t="s">
        <v>14023</v>
      </c>
      <c r="C2375" t="s">
        <v>14024</v>
      </c>
      <c r="D2375" t="s">
        <v>14025</v>
      </c>
      <c r="E2375" t="s">
        <v>14026</v>
      </c>
      <c r="G2375" t="s">
        <v>14027</v>
      </c>
      <c r="H2375" t="s">
        <v>449</v>
      </c>
      <c r="J2375" t="s">
        <v>605</v>
      </c>
      <c r="K2375" t="s">
        <v>606</v>
      </c>
      <c r="L2375" t="s">
        <v>4273</v>
      </c>
      <c r="M2375" t="s">
        <v>1382</v>
      </c>
      <c r="N2375" t="s">
        <v>608</v>
      </c>
      <c r="O2375" t="s">
        <v>2163</v>
      </c>
      <c r="P2375" t="s">
        <v>626</v>
      </c>
      <c r="Q2375" t="s">
        <v>512</v>
      </c>
      <c r="R2375" t="s">
        <v>2164</v>
      </c>
      <c r="S2375" t="s">
        <v>1556</v>
      </c>
      <c r="T2375" t="s">
        <v>2165</v>
      </c>
      <c r="U2375">
        <v>204700</v>
      </c>
      <c r="V2375" t="s">
        <v>14028</v>
      </c>
      <c r="W2375" t="s">
        <v>2167</v>
      </c>
      <c r="X2375" t="s">
        <v>14029</v>
      </c>
      <c r="Y2375" t="s">
        <v>4276</v>
      </c>
      <c r="Z2375" t="s">
        <v>4277</v>
      </c>
      <c r="AA2375" t="s">
        <v>4278</v>
      </c>
      <c r="AB2375" t="s">
        <v>14030</v>
      </c>
      <c r="AC2375">
        <v>99162</v>
      </c>
      <c r="AD2375" t="s">
        <v>13419</v>
      </c>
      <c r="AE2375">
        <v>-37.591199099999997</v>
      </c>
      <c r="AF2375">
        <v>178.29182025</v>
      </c>
      <c r="AG2375" s="175">
        <v>20</v>
      </c>
      <c r="AH2375" s="175">
        <v>0</v>
      </c>
      <c r="AI2375" s="175">
        <v>0</v>
      </c>
      <c r="AJ2375" s="175">
        <v>0</v>
      </c>
      <c r="AK2375" s="175">
        <v>0</v>
      </c>
      <c r="AL2375" s="175">
        <v>4</v>
      </c>
      <c r="AM2375" s="175">
        <v>5</v>
      </c>
      <c r="AN2375" s="175">
        <v>0</v>
      </c>
      <c r="AO2375" s="175">
        <v>9</v>
      </c>
      <c r="AP2375" s="175">
        <v>0</v>
      </c>
      <c r="AQ2375" s="175">
        <v>9</v>
      </c>
      <c r="AR2375" s="175">
        <v>0</v>
      </c>
      <c r="AS2375" s="175">
        <v>0</v>
      </c>
      <c r="AT2375" s="175">
        <v>0</v>
      </c>
    </row>
    <row r="2376" spans="1:46">
      <c r="A2376">
        <v>46476</v>
      </c>
      <c r="B2376" t="s">
        <v>14031</v>
      </c>
      <c r="C2376" t="s">
        <v>14032</v>
      </c>
      <c r="D2376" t="s">
        <v>14033</v>
      </c>
      <c r="E2376" t="s">
        <v>14034</v>
      </c>
      <c r="F2376" t="s">
        <v>1511</v>
      </c>
      <c r="G2376" t="s">
        <v>1381</v>
      </c>
      <c r="H2376" t="s">
        <v>449</v>
      </c>
      <c r="J2376" t="s">
        <v>4032</v>
      </c>
      <c r="K2376" t="s">
        <v>606</v>
      </c>
      <c r="M2376" t="s">
        <v>1382</v>
      </c>
      <c r="N2376" t="s">
        <v>657</v>
      </c>
      <c r="O2376" t="s">
        <v>1383</v>
      </c>
      <c r="P2376" t="s">
        <v>739</v>
      </c>
      <c r="Q2376" t="s">
        <v>510</v>
      </c>
      <c r="R2376" t="s">
        <v>1384</v>
      </c>
      <c r="S2376" t="s">
        <v>1385</v>
      </c>
      <c r="T2376" t="s">
        <v>1320</v>
      </c>
      <c r="U2376">
        <v>180900</v>
      </c>
      <c r="V2376" t="s">
        <v>1511</v>
      </c>
      <c r="W2376" t="s">
        <v>1387</v>
      </c>
      <c r="X2376" t="s">
        <v>14035</v>
      </c>
      <c r="Y2376" t="s">
        <v>14036</v>
      </c>
      <c r="AA2376" t="s">
        <v>8575</v>
      </c>
      <c r="AB2376" t="s">
        <v>14037</v>
      </c>
      <c r="AE2376">
        <v>-37.819608379999998</v>
      </c>
      <c r="AF2376">
        <v>175.2859139</v>
      </c>
      <c r="AG2376" s="175">
        <v>37</v>
      </c>
      <c r="AH2376" s="175">
        <v>0</v>
      </c>
      <c r="AI2376" s="175">
        <v>0</v>
      </c>
      <c r="AJ2376" s="175">
        <v>0</v>
      </c>
      <c r="AK2376" s="175">
        <v>9</v>
      </c>
      <c r="AL2376" s="175">
        <v>12</v>
      </c>
      <c r="AM2376" s="175">
        <v>16</v>
      </c>
      <c r="AN2376" s="175">
        <v>0</v>
      </c>
      <c r="AO2376" s="175">
        <v>37</v>
      </c>
      <c r="AP2376" s="175">
        <v>18</v>
      </c>
      <c r="AQ2376" s="175">
        <v>17</v>
      </c>
      <c r="AR2376" s="175">
        <v>1</v>
      </c>
      <c r="AS2376" s="175">
        <v>9</v>
      </c>
      <c r="AT2376" s="175">
        <v>2</v>
      </c>
    </row>
    <row r="2377" spans="1:46">
      <c r="A2377">
        <v>46477</v>
      </c>
      <c r="B2377" t="s">
        <v>14038</v>
      </c>
      <c r="C2377" t="s">
        <v>14039</v>
      </c>
      <c r="D2377" t="s">
        <v>14040</v>
      </c>
      <c r="E2377" t="s">
        <v>14041</v>
      </c>
      <c r="G2377" t="s">
        <v>1520</v>
      </c>
      <c r="H2377" t="s">
        <v>449</v>
      </c>
      <c r="J2377" t="s">
        <v>4032</v>
      </c>
      <c r="K2377" t="s">
        <v>606</v>
      </c>
      <c r="M2377" t="s">
        <v>1382</v>
      </c>
      <c r="N2377" t="s">
        <v>625</v>
      </c>
      <c r="O2377" t="s">
        <v>1521</v>
      </c>
      <c r="P2377" t="s">
        <v>610</v>
      </c>
      <c r="Q2377" t="s">
        <v>510</v>
      </c>
      <c r="R2377" t="s">
        <v>1384</v>
      </c>
      <c r="S2377" t="s">
        <v>1522</v>
      </c>
      <c r="T2377" t="s">
        <v>1320</v>
      </c>
      <c r="U2377">
        <v>169200</v>
      </c>
      <c r="V2377" t="s">
        <v>1520</v>
      </c>
      <c r="W2377" t="s">
        <v>1523</v>
      </c>
      <c r="X2377" t="s">
        <v>14042</v>
      </c>
      <c r="Y2377" t="s">
        <v>14041</v>
      </c>
      <c r="AA2377" t="s">
        <v>9410</v>
      </c>
      <c r="AB2377" t="s">
        <v>14039</v>
      </c>
      <c r="AE2377">
        <v>-37.376452389999997</v>
      </c>
      <c r="AF2377">
        <v>175.67149216999999</v>
      </c>
      <c r="AG2377" s="175">
        <v>40</v>
      </c>
      <c r="AH2377" s="175">
        <v>10</v>
      </c>
      <c r="AI2377" s="175">
        <v>3</v>
      </c>
      <c r="AJ2377" s="175">
        <v>5</v>
      </c>
      <c r="AK2377" s="175">
        <v>11</v>
      </c>
      <c r="AL2377" s="175">
        <v>11</v>
      </c>
      <c r="AM2377" s="175">
        <v>13</v>
      </c>
      <c r="AN2377" s="175">
        <v>1</v>
      </c>
      <c r="AO2377" s="175">
        <v>44</v>
      </c>
      <c r="AP2377" s="175">
        <v>31</v>
      </c>
      <c r="AQ2377" s="175">
        <v>20</v>
      </c>
      <c r="AR2377" s="175">
        <v>4</v>
      </c>
      <c r="AS2377" s="175">
        <v>3</v>
      </c>
      <c r="AT2377" s="175">
        <v>4</v>
      </c>
    </row>
    <row r="2378" spans="1:46">
      <c r="A2378">
        <v>46480</v>
      </c>
      <c r="B2378" t="s">
        <v>14043</v>
      </c>
      <c r="D2378" t="s">
        <v>14044</v>
      </c>
      <c r="E2378" t="s">
        <v>14045</v>
      </c>
      <c r="G2378" t="s">
        <v>1638</v>
      </c>
      <c r="H2378" t="s">
        <v>449</v>
      </c>
      <c r="J2378" t="s">
        <v>4032</v>
      </c>
      <c r="K2378" t="s">
        <v>606</v>
      </c>
      <c r="M2378" t="s">
        <v>1382</v>
      </c>
      <c r="N2378" t="s">
        <v>608</v>
      </c>
      <c r="O2378" t="s">
        <v>1435</v>
      </c>
      <c r="P2378" t="s">
        <v>610</v>
      </c>
      <c r="Q2378" t="s">
        <v>510</v>
      </c>
      <c r="R2378" t="s">
        <v>1384</v>
      </c>
      <c r="S2378" t="s">
        <v>1384</v>
      </c>
      <c r="T2378" t="s">
        <v>1320</v>
      </c>
      <c r="U2378">
        <v>171400</v>
      </c>
      <c r="V2378" t="s">
        <v>9588</v>
      </c>
      <c r="W2378" t="s">
        <v>1640</v>
      </c>
      <c r="X2378" t="s">
        <v>14046</v>
      </c>
      <c r="Y2378" t="s">
        <v>10621</v>
      </c>
      <c r="Z2378" t="s">
        <v>9432</v>
      </c>
      <c r="AA2378" t="s">
        <v>10622</v>
      </c>
      <c r="AB2378" t="s">
        <v>14047</v>
      </c>
      <c r="AE2378">
        <v>-37.558675989999998</v>
      </c>
      <c r="AF2378">
        <v>175.15034997000001</v>
      </c>
      <c r="AG2378" s="175">
        <v>35</v>
      </c>
      <c r="AH2378" s="175">
        <v>5</v>
      </c>
      <c r="AI2378" s="175">
        <v>0</v>
      </c>
      <c r="AJ2378" s="175">
        <v>0</v>
      </c>
      <c r="AK2378" s="175">
        <v>4</v>
      </c>
      <c r="AL2378" s="175">
        <v>14</v>
      </c>
      <c r="AM2378" s="175">
        <v>15</v>
      </c>
      <c r="AN2378" s="175">
        <v>0</v>
      </c>
      <c r="AO2378" s="175">
        <v>33</v>
      </c>
      <c r="AP2378" s="175">
        <v>6</v>
      </c>
      <c r="AQ2378" s="175">
        <v>30</v>
      </c>
      <c r="AR2378" s="175">
        <v>2</v>
      </c>
      <c r="AS2378" s="175">
        <v>1</v>
      </c>
      <c r="AT2378" s="175">
        <v>0</v>
      </c>
    </row>
    <row r="2379" spans="1:46">
      <c r="A2379">
        <v>46481</v>
      </c>
      <c r="B2379" t="s">
        <v>14048</v>
      </c>
      <c r="C2379" t="s">
        <v>8825</v>
      </c>
      <c r="D2379" t="s">
        <v>13868</v>
      </c>
      <c r="E2379" t="s">
        <v>14049</v>
      </c>
      <c r="F2379" t="s">
        <v>13870</v>
      </c>
      <c r="G2379" t="s">
        <v>737</v>
      </c>
      <c r="H2379" t="s">
        <v>450</v>
      </c>
      <c r="J2379" t="s">
        <v>4032</v>
      </c>
      <c r="K2379" t="s">
        <v>606</v>
      </c>
      <c r="M2379" t="s">
        <v>607</v>
      </c>
      <c r="N2379" t="s">
        <v>625</v>
      </c>
      <c r="O2379" t="s">
        <v>914</v>
      </c>
      <c r="P2379" t="s">
        <v>739</v>
      </c>
      <c r="Q2379" t="s">
        <v>467</v>
      </c>
      <c r="R2379" t="s">
        <v>793</v>
      </c>
      <c r="S2379" t="s">
        <v>890</v>
      </c>
      <c r="T2379" t="s">
        <v>794</v>
      </c>
      <c r="U2379">
        <v>145900</v>
      </c>
      <c r="V2379" t="s">
        <v>13870</v>
      </c>
      <c r="W2379" t="s">
        <v>892</v>
      </c>
      <c r="X2379" t="s">
        <v>13871</v>
      </c>
      <c r="Y2379" t="s">
        <v>8827</v>
      </c>
      <c r="Z2379" t="s">
        <v>1397</v>
      </c>
      <c r="AA2379" t="s">
        <v>8575</v>
      </c>
      <c r="AE2379">
        <v>-36.907367010000002</v>
      </c>
      <c r="AF2379">
        <v>174.8147429</v>
      </c>
      <c r="AG2379" s="175">
        <v>80</v>
      </c>
      <c r="AH2379" s="175">
        <v>80</v>
      </c>
      <c r="AI2379" s="175">
        <v>3</v>
      </c>
      <c r="AJ2379" s="175">
        <v>3</v>
      </c>
      <c r="AK2379" s="175">
        <v>4</v>
      </c>
      <c r="AL2379" s="175">
        <v>4</v>
      </c>
      <c r="AM2379" s="175">
        <v>2</v>
      </c>
      <c r="AN2379" s="175">
        <v>0</v>
      </c>
      <c r="AO2379" s="175">
        <v>16</v>
      </c>
      <c r="AP2379" s="175">
        <v>7</v>
      </c>
      <c r="AQ2379" s="175">
        <v>4</v>
      </c>
      <c r="AR2379" s="175">
        <v>2</v>
      </c>
      <c r="AS2379" s="175">
        <v>5</v>
      </c>
      <c r="AT2379" s="175">
        <v>5</v>
      </c>
    </row>
    <row r="2380" spans="1:46">
      <c r="A2380">
        <v>46482</v>
      </c>
      <c r="B2380" t="s">
        <v>14050</v>
      </c>
      <c r="C2380" t="s">
        <v>14051</v>
      </c>
      <c r="E2380" t="s">
        <v>14052</v>
      </c>
      <c r="F2380" t="s">
        <v>822</v>
      </c>
      <c r="G2380" t="s">
        <v>737</v>
      </c>
      <c r="H2380" t="s">
        <v>449</v>
      </c>
      <c r="J2380" t="s">
        <v>4032</v>
      </c>
      <c r="K2380" t="s">
        <v>606</v>
      </c>
      <c r="M2380" t="s">
        <v>607</v>
      </c>
      <c r="N2380" t="s">
        <v>657</v>
      </c>
      <c r="O2380" t="s">
        <v>823</v>
      </c>
      <c r="P2380" t="s">
        <v>739</v>
      </c>
      <c r="Q2380" t="s">
        <v>467</v>
      </c>
      <c r="R2380" t="s">
        <v>724</v>
      </c>
      <c r="S2380" t="s">
        <v>824</v>
      </c>
      <c r="T2380" t="s">
        <v>613</v>
      </c>
      <c r="U2380">
        <v>123100</v>
      </c>
      <c r="V2380" t="s">
        <v>971</v>
      </c>
      <c r="W2380" t="s">
        <v>826</v>
      </c>
      <c r="X2380" t="s">
        <v>12165</v>
      </c>
      <c r="Y2380" t="s">
        <v>4725</v>
      </c>
      <c r="Z2380" t="s">
        <v>1043</v>
      </c>
      <c r="AA2380" t="s">
        <v>4726</v>
      </c>
      <c r="AB2380" t="s">
        <v>12166</v>
      </c>
      <c r="AE2380">
        <v>-36.775521990000001</v>
      </c>
      <c r="AF2380">
        <v>174.72135667000001</v>
      </c>
      <c r="AG2380" s="175">
        <v>60</v>
      </c>
      <c r="AH2380" s="175">
        <v>12</v>
      </c>
      <c r="AI2380" s="175">
        <v>3</v>
      </c>
      <c r="AJ2380" s="175">
        <v>11</v>
      </c>
      <c r="AK2380" s="175">
        <v>11</v>
      </c>
      <c r="AL2380" s="175">
        <v>9</v>
      </c>
      <c r="AM2380" s="175">
        <v>7</v>
      </c>
      <c r="AN2380" s="175">
        <v>1</v>
      </c>
      <c r="AO2380" s="175">
        <v>42</v>
      </c>
      <c r="AP2380" s="175">
        <v>23</v>
      </c>
      <c r="AQ2380" s="175">
        <v>4</v>
      </c>
      <c r="AR2380" s="175">
        <v>3</v>
      </c>
      <c r="AS2380" s="175">
        <v>19</v>
      </c>
      <c r="AT2380" s="175">
        <v>3</v>
      </c>
    </row>
    <row r="2381" spans="1:46">
      <c r="A2381">
        <v>46491</v>
      </c>
      <c r="B2381" t="s">
        <v>14053</v>
      </c>
      <c r="C2381" t="s">
        <v>14054</v>
      </c>
      <c r="D2381" t="s">
        <v>14055</v>
      </c>
      <c r="E2381" t="s">
        <v>14056</v>
      </c>
      <c r="F2381" t="s">
        <v>1060</v>
      </c>
      <c r="G2381" t="s">
        <v>737</v>
      </c>
      <c r="H2381" t="s">
        <v>449</v>
      </c>
      <c r="J2381" t="s">
        <v>4032</v>
      </c>
      <c r="K2381" t="s">
        <v>606</v>
      </c>
      <c r="M2381" t="s">
        <v>607</v>
      </c>
      <c r="N2381" t="s">
        <v>643</v>
      </c>
      <c r="O2381" t="s">
        <v>933</v>
      </c>
      <c r="P2381" t="s">
        <v>739</v>
      </c>
      <c r="Q2381" t="s">
        <v>467</v>
      </c>
      <c r="R2381" t="s">
        <v>814</v>
      </c>
      <c r="S2381" t="s">
        <v>934</v>
      </c>
      <c r="T2381" t="s">
        <v>794</v>
      </c>
      <c r="U2381">
        <v>146800</v>
      </c>
      <c r="V2381" t="s">
        <v>5009</v>
      </c>
      <c r="W2381" t="s">
        <v>817</v>
      </c>
      <c r="X2381" t="s">
        <v>14057</v>
      </c>
      <c r="Y2381" t="s">
        <v>14058</v>
      </c>
      <c r="Z2381" t="s">
        <v>1231</v>
      </c>
      <c r="AA2381" t="s">
        <v>4481</v>
      </c>
      <c r="AE2381">
        <v>-36.94443691</v>
      </c>
      <c r="AF2381">
        <v>174.79514126999999</v>
      </c>
      <c r="AG2381" s="175">
        <v>80</v>
      </c>
      <c r="AH2381" s="175">
        <v>30</v>
      </c>
      <c r="AI2381" s="175">
        <v>3</v>
      </c>
      <c r="AJ2381" s="175">
        <v>9</v>
      </c>
      <c r="AK2381" s="175">
        <v>14</v>
      </c>
      <c r="AL2381" s="175">
        <v>17</v>
      </c>
      <c r="AM2381" s="175">
        <v>12</v>
      </c>
      <c r="AN2381" s="175">
        <v>1</v>
      </c>
      <c r="AO2381" s="175">
        <v>56</v>
      </c>
      <c r="AP2381" s="175">
        <v>12</v>
      </c>
      <c r="AQ2381" s="175">
        <v>16</v>
      </c>
      <c r="AR2381" s="175">
        <v>40</v>
      </c>
      <c r="AS2381" s="175">
        <v>12</v>
      </c>
      <c r="AT2381" s="175">
        <v>0</v>
      </c>
    </row>
    <row r="2382" spans="1:46">
      <c r="A2382">
        <v>46498</v>
      </c>
      <c r="B2382" t="s">
        <v>14059</v>
      </c>
      <c r="C2382" t="s">
        <v>14060</v>
      </c>
      <c r="D2382" t="s">
        <v>8100</v>
      </c>
      <c r="E2382" t="s">
        <v>14061</v>
      </c>
      <c r="F2382" t="s">
        <v>1157</v>
      </c>
      <c r="G2382" t="s">
        <v>737</v>
      </c>
      <c r="H2382" t="s">
        <v>449</v>
      </c>
      <c r="J2382" t="s">
        <v>4032</v>
      </c>
      <c r="K2382" t="s">
        <v>606</v>
      </c>
      <c r="M2382" t="s">
        <v>607</v>
      </c>
      <c r="N2382" t="s">
        <v>812</v>
      </c>
      <c r="O2382" t="s">
        <v>933</v>
      </c>
      <c r="P2382" t="s">
        <v>739</v>
      </c>
      <c r="Q2382" t="s">
        <v>467</v>
      </c>
      <c r="R2382" t="s">
        <v>814</v>
      </c>
      <c r="S2382" t="s">
        <v>815</v>
      </c>
      <c r="T2382" t="s">
        <v>794</v>
      </c>
      <c r="U2382">
        <v>151900</v>
      </c>
      <c r="V2382" t="s">
        <v>1158</v>
      </c>
      <c r="W2382" t="s">
        <v>817</v>
      </c>
      <c r="X2382" t="s">
        <v>8102</v>
      </c>
      <c r="Y2382" t="s">
        <v>8103</v>
      </c>
      <c r="AA2382" t="s">
        <v>8104</v>
      </c>
      <c r="AB2382" t="s">
        <v>8105</v>
      </c>
      <c r="AE2382">
        <v>-36.954537190000003</v>
      </c>
      <c r="AF2382">
        <v>174.84903244</v>
      </c>
      <c r="AG2382" s="175">
        <v>64</v>
      </c>
      <c r="AH2382" s="175">
        <v>15</v>
      </c>
      <c r="AI2382" s="175">
        <v>4</v>
      </c>
      <c r="AJ2382" s="175">
        <v>6</v>
      </c>
      <c r="AK2382" s="175">
        <v>16</v>
      </c>
      <c r="AL2382" s="175">
        <v>14</v>
      </c>
      <c r="AM2382" s="175">
        <v>22</v>
      </c>
      <c r="AN2382" s="175">
        <v>1</v>
      </c>
      <c r="AO2382" s="175">
        <v>63</v>
      </c>
      <c r="AP2382" s="175">
        <v>5</v>
      </c>
      <c r="AQ2382" s="175">
        <v>5</v>
      </c>
      <c r="AR2382" s="175">
        <v>19</v>
      </c>
      <c r="AS2382" s="175">
        <v>40</v>
      </c>
      <c r="AT2382" s="175">
        <v>1</v>
      </c>
    </row>
    <row r="2383" spans="1:46">
      <c r="A2383">
        <v>46502</v>
      </c>
      <c r="B2383" t="s">
        <v>14062</v>
      </c>
      <c r="D2383" t="s">
        <v>14063</v>
      </c>
      <c r="E2383" t="s">
        <v>14064</v>
      </c>
      <c r="F2383" t="s">
        <v>1477</v>
      </c>
      <c r="G2383" t="s">
        <v>1381</v>
      </c>
      <c r="H2383" t="s">
        <v>449</v>
      </c>
      <c r="J2383" t="s">
        <v>4032</v>
      </c>
      <c r="K2383" t="s">
        <v>606</v>
      </c>
      <c r="M2383" t="s">
        <v>1382</v>
      </c>
      <c r="N2383" t="s">
        <v>657</v>
      </c>
      <c r="O2383" t="s">
        <v>1383</v>
      </c>
      <c r="P2383" t="s">
        <v>739</v>
      </c>
      <c r="Q2383" t="s">
        <v>510</v>
      </c>
      <c r="R2383" t="s">
        <v>1384</v>
      </c>
      <c r="S2383" t="s">
        <v>1385</v>
      </c>
      <c r="T2383" t="s">
        <v>1320</v>
      </c>
      <c r="U2383">
        <v>179502</v>
      </c>
      <c r="V2383" t="s">
        <v>1447</v>
      </c>
      <c r="W2383" t="s">
        <v>1387</v>
      </c>
      <c r="X2383" t="s">
        <v>14065</v>
      </c>
      <c r="Y2383" t="s">
        <v>14064</v>
      </c>
      <c r="Z2383" t="s">
        <v>1477</v>
      </c>
      <c r="AA2383" t="s">
        <v>9061</v>
      </c>
      <c r="AB2383" t="s">
        <v>14066</v>
      </c>
      <c r="AE2383">
        <v>-37.803148729999997</v>
      </c>
      <c r="AF2383">
        <v>175.28174730000001</v>
      </c>
      <c r="AG2383" s="175">
        <v>42</v>
      </c>
      <c r="AH2383" s="175">
        <v>12</v>
      </c>
      <c r="AI2383" s="175">
        <v>0</v>
      </c>
      <c r="AJ2383" s="175">
        <v>3</v>
      </c>
      <c r="AK2383" s="175">
        <v>13</v>
      </c>
      <c r="AL2383" s="175">
        <v>13</v>
      </c>
      <c r="AM2383" s="175">
        <v>14</v>
      </c>
      <c r="AN2383" s="175">
        <v>1</v>
      </c>
      <c r="AO2383" s="175">
        <v>44</v>
      </c>
      <c r="AP2383" s="175">
        <v>13</v>
      </c>
      <c r="AQ2383" s="175">
        <v>2</v>
      </c>
      <c r="AR2383" s="175">
        <v>2</v>
      </c>
      <c r="AS2383" s="175">
        <v>30</v>
      </c>
      <c r="AT2383" s="175">
        <v>1</v>
      </c>
    </row>
    <row r="2384" spans="1:46">
      <c r="A2384">
        <v>46507</v>
      </c>
      <c r="B2384" t="s">
        <v>14067</v>
      </c>
      <c r="C2384" t="s">
        <v>14068</v>
      </c>
      <c r="D2384" t="s">
        <v>9176</v>
      </c>
      <c r="E2384" t="s">
        <v>14069</v>
      </c>
      <c r="F2384" t="s">
        <v>1429</v>
      </c>
      <c r="G2384" t="s">
        <v>1381</v>
      </c>
      <c r="H2384" t="s">
        <v>449</v>
      </c>
      <c r="J2384" t="s">
        <v>4032</v>
      </c>
      <c r="K2384" t="s">
        <v>606</v>
      </c>
      <c r="M2384" t="s">
        <v>1382</v>
      </c>
      <c r="N2384" t="s">
        <v>643</v>
      </c>
      <c r="O2384" t="s">
        <v>1383</v>
      </c>
      <c r="P2384" t="s">
        <v>739</v>
      </c>
      <c r="Q2384" t="s">
        <v>510</v>
      </c>
      <c r="R2384" t="s">
        <v>1384</v>
      </c>
      <c r="S2384" t="s">
        <v>1385</v>
      </c>
      <c r="T2384" t="s">
        <v>1320</v>
      </c>
      <c r="U2384">
        <v>178901</v>
      </c>
      <c r="V2384" t="s">
        <v>8416</v>
      </c>
      <c r="W2384" t="s">
        <v>1387</v>
      </c>
      <c r="X2384" t="s">
        <v>9178</v>
      </c>
      <c r="Y2384" t="s">
        <v>9179</v>
      </c>
      <c r="Z2384" t="s">
        <v>4194</v>
      </c>
      <c r="AA2384" t="s">
        <v>4631</v>
      </c>
      <c r="AB2384" t="s">
        <v>9180</v>
      </c>
      <c r="AE2384">
        <v>-37.78520322</v>
      </c>
      <c r="AF2384">
        <v>175.26526061000001</v>
      </c>
      <c r="AG2384" s="175">
        <v>100</v>
      </c>
      <c r="AH2384" s="175">
        <v>25</v>
      </c>
      <c r="AI2384" s="175">
        <v>5</v>
      </c>
      <c r="AJ2384" s="175">
        <v>9</v>
      </c>
      <c r="AK2384" s="175">
        <v>18</v>
      </c>
      <c r="AL2384" s="175">
        <v>23</v>
      </c>
      <c r="AM2384" s="175">
        <v>17</v>
      </c>
      <c r="AN2384" s="175">
        <v>0</v>
      </c>
      <c r="AO2384" s="175">
        <v>72</v>
      </c>
      <c r="AP2384" s="175">
        <v>11</v>
      </c>
      <c r="AQ2384" s="175">
        <v>13</v>
      </c>
      <c r="AR2384" s="175">
        <v>9</v>
      </c>
      <c r="AS2384" s="175">
        <v>47</v>
      </c>
      <c r="AT2384" s="175">
        <v>3</v>
      </c>
    </row>
    <row r="2385" spans="1:46">
      <c r="A2385">
        <v>46510</v>
      </c>
      <c r="B2385" t="s">
        <v>14070</v>
      </c>
      <c r="C2385" t="s">
        <v>14071</v>
      </c>
      <c r="E2385" t="s">
        <v>14072</v>
      </c>
      <c r="G2385" t="s">
        <v>3882</v>
      </c>
      <c r="H2385" t="s">
        <v>449</v>
      </c>
      <c r="J2385" t="s">
        <v>4032</v>
      </c>
      <c r="K2385" t="s">
        <v>606</v>
      </c>
      <c r="M2385" t="s">
        <v>607</v>
      </c>
      <c r="N2385" t="s">
        <v>608</v>
      </c>
      <c r="O2385" t="s">
        <v>1435</v>
      </c>
      <c r="P2385" t="s">
        <v>610</v>
      </c>
      <c r="Q2385" t="s">
        <v>510</v>
      </c>
      <c r="R2385" t="s">
        <v>814</v>
      </c>
      <c r="S2385" t="s">
        <v>1331</v>
      </c>
      <c r="T2385" t="s">
        <v>1320</v>
      </c>
      <c r="U2385">
        <v>170300</v>
      </c>
      <c r="V2385" t="s">
        <v>3883</v>
      </c>
      <c r="W2385" t="s">
        <v>3884</v>
      </c>
      <c r="X2385" t="s">
        <v>14073</v>
      </c>
      <c r="Y2385" t="s">
        <v>14074</v>
      </c>
      <c r="Z2385" t="s">
        <v>921</v>
      </c>
      <c r="AA2385" t="s">
        <v>4061</v>
      </c>
      <c r="AE2385">
        <v>-37.265233629999997</v>
      </c>
      <c r="AF2385">
        <v>174.94345281</v>
      </c>
      <c r="AG2385" s="175">
        <v>45</v>
      </c>
      <c r="AH2385" s="175">
        <v>0</v>
      </c>
      <c r="AI2385" s="175">
        <v>0</v>
      </c>
      <c r="AJ2385" s="175">
        <v>0</v>
      </c>
      <c r="AK2385" s="175">
        <v>4</v>
      </c>
      <c r="AL2385" s="175">
        <v>12</v>
      </c>
      <c r="AM2385" s="175">
        <v>13</v>
      </c>
      <c r="AN2385" s="175">
        <v>2</v>
      </c>
      <c r="AO2385" s="175">
        <v>31</v>
      </c>
      <c r="AP2385" s="175">
        <v>5</v>
      </c>
      <c r="AQ2385" s="175">
        <v>10</v>
      </c>
      <c r="AR2385" s="175">
        <v>10</v>
      </c>
      <c r="AS2385" s="175">
        <v>10</v>
      </c>
      <c r="AT2385" s="175">
        <v>1</v>
      </c>
    </row>
    <row r="2386" spans="1:46">
      <c r="A2386">
        <v>46515</v>
      </c>
      <c r="B2386" t="s">
        <v>14075</v>
      </c>
      <c r="C2386" t="s">
        <v>8825</v>
      </c>
      <c r="E2386" t="s">
        <v>14076</v>
      </c>
      <c r="G2386" t="s">
        <v>1681</v>
      </c>
      <c r="H2386" t="s">
        <v>450</v>
      </c>
      <c r="J2386" t="s">
        <v>4032</v>
      </c>
      <c r="K2386" t="s">
        <v>606</v>
      </c>
      <c r="M2386" t="s">
        <v>1382</v>
      </c>
      <c r="N2386" t="s">
        <v>643</v>
      </c>
      <c r="O2386" t="s">
        <v>1780</v>
      </c>
      <c r="P2386" t="s">
        <v>739</v>
      </c>
      <c r="Q2386" t="s">
        <v>511</v>
      </c>
      <c r="R2386" t="s">
        <v>1555</v>
      </c>
      <c r="S2386" t="s">
        <v>1681</v>
      </c>
      <c r="T2386" t="s">
        <v>1557</v>
      </c>
      <c r="U2386">
        <v>194801</v>
      </c>
      <c r="V2386" t="s">
        <v>3793</v>
      </c>
      <c r="W2386" t="s">
        <v>3795</v>
      </c>
      <c r="X2386" t="s">
        <v>14077</v>
      </c>
      <c r="Y2386" t="s">
        <v>8827</v>
      </c>
      <c r="Z2386" t="s">
        <v>1397</v>
      </c>
      <c r="AA2386" t="s">
        <v>8575</v>
      </c>
      <c r="AB2386" t="s">
        <v>8825</v>
      </c>
      <c r="AE2386">
        <v>-37.707339310000002</v>
      </c>
      <c r="AF2386">
        <v>176.16025662999999</v>
      </c>
      <c r="AG2386" s="175">
        <v>80</v>
      </c>
      <c r="AH2386" s="175">
        <v>80</v>
      </c>
      <c r="AI2386" s="175">
        <v>3</v>
      </c>
      <c r="AJ2386" s="175">
        <v>10</v>
      </c>
      <c r="AK2386" s="175">
        <v>12</v>
      </c>
      <c r="AL2386" s="175">
        <v>10</v>
      </c>
      <c r="AM2386" s="175">
        <v>9</v>
      </c>
      <c r="AN2386" s="175">
        <v>2</v>
      </c>
      <c r="AO2386" s="175">
        <v>46</v>
      </c>
      <c r="AP2386" s="175">
        <v>38</v>
      </c>
      <c r="AQ2386" s="175">
        <v>15</v>
      </c>
      <c r="AR2386" s="175">
        <v>3</v>
      </c>
      <c r="AS2386" s="175">
        <v>3</v>
      </c>
      <c r="AT2386" s="175">
        <v>1</v>
      </c>
    </row>
    <row r="2387" spans="1:46">
      <c r="A2387">
        <v>46521</v>
      </c>
      <c r="B2387" t="s">
        <v>14078</v>
      </c>
      <c r="C2387" t="s">
        <v>14079</v>
      </c>
      <c r="E2387" t="s">
        <v>14080</v>
      </c>
      <c r="G2387" t="s">
        <v>3321</v>
      </c>
      <c r="H2387" t="s">
        <v>449</v>
      </c>
      <c r="I2387" t="s">
        <v>4134</v>
      </c>
      <c r="J2387" t="s">
        <v>4032</v>
      </c>
      <c r="K2387" t="s">
        <v>606</v>
      </c>
      <c r="M2387" t="s">
        <v>2366</v>
      </c>
      <c r="N2387" t="s">
        <v>4586</v>
      </c>
      <c r="O2387" t="s">
        <v>3322</v>
      </c>
      <c r="P2387" t="s">
        <v>610</v>
      </c>
      <c r="Q2387" t="s">
        <v>521</v>
      </c>
      <c r="R2387" t="s">
        <v>3017</v>
      </c>
      <c r="S2387" t="s">
        <v>3323</v>
      </c>
      <c r="T2387" t="s">
        <v>2526</v>
      </c>
      <c r="U2387">
        <v>338901</v>
      </c>
      <c r="V2387" t="s">
        <v>3321</v>
      </c>
      <c r="W2387" t="s">
        <v>3324</v>
      </c>
      <c r="X2387" t="s">
        <v>14081</v>
      </c>
      <c r="Y2387" t="s">
        <v>14080</v>
      </c>
      <c r="AA2387" t="s">
        <v>14082</v>
      </c>
      <c r="AB2387" t="s">
        <v>14083</v>
      </c>
      <c r="AC2387">
        <v>99053</v>
      </c>
      <c r="AD2387" t="s">
        <v>3329</v>
      </c>
      <c r="AE2387">
        <v>-44.097902619999999</v>
      </c>
      <c r="AF2387">
        <v>171.23838161</v>
      </c>
      <c r="AG2387" s="175">
        <v>30</v>
      </c>
      <c r="AH2387" s="175">
        <v>0</v>
      </c>
      <c r="AI2387" s="175">
        <v>0</v>
      </c>
      <c r="AJ2387" s="175">
        <v>0</v>
      </c>
      <c r="AK2387" s="175">
        <v>6</v>
      </c>
      <c r="AL2387" s="175">
        <v>7</v>
      </c>
      <c r="AM2387" s="175">
        <v>6</v>
      </c>
      <c r="AN2387" s="175">
        <v>1</v>
      </c>
      <c r="AO2387" s="175">
        <v>20</v>
      </c>
      <c r="AP2387" s="175">
        <v>13</v>
      </c>
      <c r="AQ2387" s="175">
        <v>1</v>
      </c>
      <c r="AR2387" s="175">
        <v>0</v>
      </c>
      <c r="AS2387" s="175">
        <v>0</v>
      </c>
      <c r="AT2387" s="175">
        <v>9</v>
      </c>
    </row>
    <row r="2388" spans="1:46">
      <c r="A2388">
        <v>46522</v>
      </c>
      <c r="B2388" t="s">
        <v>14084</v>
      </c>
      <c r="C2388" t="s">
        <v>14085</v>
      </c>
      <c r="D2388" t="s">
        <v>14086</v>
      </c>
      <c r="E2388" t="s">
        <v>14087</v>
      </c>
      <c r="F2388" t="s">
        <v>1004</v>
      </c>
      <c r="G2388" t="s">
        <v>737</v>
      </c>
      <c r="H2388" t="s">
        <v>452</v>
      </c>
      <c r="J2388" t="s">
        <v>605</v>
      </c>
      <c r="K2388" t="s">
        <v>606</v>
      </c>
      <c r="M2388" t="s">
        <v>607</v>
      </c>
      <c r="N2388" t="s">
        <v>657</v>
      </c>
      <c r="O2388" t="s">
        <v>1253</v>
      </c>
      <c r="P2388" t="s">
        <v>739</v>
      </c>
      <c r="Q2388" t="s">
        <v>467</v>
      </c>
      <c r="R2388" t="s">
        <v>724</v>
      </c>
      <c r="S2388" t="s">
        <v>824</v>
      </c>
      <c r="T2388" t="s">
        <v>613</v>
      </c>
      <c r="U2388">
        <v>120201</v>
      </c>
      <c r="V2388" t="s">
        <v>14088</v>
      </c>
      <c r="W2388" t="s">
        <v>742</v>
      </c>
      <c r="X2388" t="s">
        <v>743</v>
      </c>
      <c r="Y2388" t="s">
        <v>744</v>
      </c>
      <c r="Z2388" t="s">
        <v>745</v>
      </c>
      <c r="AA2388" t="s">
        <v>746</v>
      </c>
      <c r="AC2388">
        <v>99129</v>
      </c>
      <c r="AD2388" t="s">
        <v>1006</v>
      </c>
      <c r="AE2388">
        <v>-36.792324620000002</v>
      </c>
      <c r="AF2388">
        <v>174.6606974</v>
      </c>
      <c r="AG2388" s="175">
        <v>80</v>
      </c>
      <c r="AH2388" s="175">
        <v>20</v>
      </c>
      <c r="AI2388" s="175">
        <v>1</v>
      </c>
      <c r="AJ2388" s="175">
        <v>13</v>
      </c>
      <c r="AK2388" s="175">
        <v>14</v>
      </c>
      <c r="AL2388" s="175">
        <v>29</v>
      </c>
      <c r="AM2388" s="175">
        <v>25</v>
      </c>
      <c r="AN2388" s="175">
        <v>1</v>
      </c>
      <c r="AO2388" s="175">
        <v>83</v>
      </c>
      <c r="AP2388" s="175">
        <v>54</v>
      </c>
      <c r="AQ2388" s="175">
        <v>1</v>
      </c>
      <c r="AR2388" s="175">
        <v>3</v>
      </c>
      <c r="AS2388" s="175">
        <v>36</v>
      </c>
      <c r="AT2388" s="175">
        <v>5</v>
      </c>
    </row>
    <row r="2389" spans="1:46">
      <c r="A2389">
        <v>46525</v>
      </c>
      <c r="B2389" t="s">
        <v>14089</v>
      </c>
      <c r="C2389" t="s">
        <v>14090</v>
      </c>
      <c r="D2389" t="s">
        <v>14091</v>
      </c>
      <c r="E2389" t="s">
        <v>14092</v>
      </c>
      <c r="F2389" t="s">
        <v>7220</v>
      </c>
      <c r="G2389" t="s">
        <v>737</v>
      </c>
      <c r="H2389" t="s">
        <v>449</v>
      </c>
      <c r="J2389" t="s">
        <v>4032</v>
      </c>
      <c r="K2389" t="s">
        <v>606</v>
      </c>
      <c r="M2389" t="s">
        <v>607</v>
      </c>
      <c r="N2389" t="s">
        <v>657</v>
      </c>
      <c r="O2389" t="s">
        <v>942</v>
      </c>
      <c r="P2389" t="s">
        <v>739</v>
      </c>
      <c r="Q2389" t="s">
        <v>467</v>
      </c>
      <c r="R2389" t="s">
        <v>793</v>
      </c>
      <c r="S2389" t="s">
        <v>943</v>
      </c>
      <c r="T2389" t="s">
        <v>794</v>
      </c>
      <c r="U2389">
        <v>133600</v>
      </c>
      <c r="V2389" t="s">
        <v>1097</v>
      </c>
      <c r="W2389" t="s">
        <v>945</v>
      </c>
      <c r="X2389" t="s">
        <v>14093</v>
      </c>
      <c r="Y2389" t="s">
        <v>14094</v>
      </c>
      <c r="Z2389" t="s">
        <v>854</v>
      </c>
      <c r="AA2389" t="s">
        <v>4400</v>
      </c>
      <c r="AB2389" t="s">
        <v>14095</v>
      </c>
      <c r="AE2389">
        <v>-36.869007570000001</v>
      </c>
      <c r="AF2389">
        <v>174.73124437999999</v>
      </c>
      <c r="AG2389" s="175">
        <v>30</v>
      </c>
      <c r="AH2389" s="175">
        <v>0</v>
      </c>
      <c r="AI2389" s="175">
        <v>0</v>
      </c>
      <c r="AJ2389" s="175">
        <v>0</v>
      </c>
      <c r="AK2389" s="175">
        <v>10</v>
      </c>
      <c r="AL2389" s="175">
        <v>11</v>
      </c>
      <c r="AM2389" s="175">
        <v>10</v>
      </c>
      <c r="AN2389" s="175">
        <v>1</v>
      </c>
      <c r="AO2389" s="175">
        <v>32</v>
      </c>
      <c r="AP2389" s="175">
        <v>30</v>
      </c>
      <c r="AQ2389" s="175">
        <v>4</v>
      </c>
      <c r="AR2389" s="175">
        <v>2</v>
      </c>
      <c r="AS2389" s="175">
        <v>1</v>
      </c>
      <c r="AT2389" s="175">
        <v>1</v>
      </c>
    </row>
    <row r="2390" spans="1:46">
      <c r="A2390">
        <v>46531</v>
      </c>
      <c r="B2390" t="s">
        <v>14096</v>
      </c>
      <c r="C2390" t="s">
        <v>14097</v>
      </c>
      <c r="D2390" t="s">
        <v>6878</v>
      </c>
      <c r="E2390" t="s">
        <v>14098</v>
      </c>
      <c r="F2390" t="s">
        <v>906</v>
      </c>
      <c r="G2390" t="s">
        <v>737</v>
      </c>
      <c r="H2390" t="s">
        <v>301</v>
      </c>
      <c r="J2390" t="s">
        <v>605</v>
      </c>
      <c r="K2390" t="s">
        <v>606</v>
      </c>
      <c r="M2390" t="s">
        <v>607</v>
      </c>
      <c r="N2390" t="s">
        <v>657</v>
      </c>
      <c r="O2390" t="s">
        <v>889</v>
      </c>
      <c r="P2390" t="s">
        <v>739</v>
      </c>
      <c r="Q2390" t="s">
        <v>467</v>
      </c>
      <c r="R2390" t="s">
        <v>793</v>
      </c>
      <c r="S2390" t="s">
        <v>965</v>
      </c>
      <c r="T2390" t="s">
        <v>794</v>
      </c>
      <c r="U2390">
        <v>143100</v>
      </c>
      <c r="V2390" t="s">
        <v>6262</v>
      </c>
      <c r="W2390" t="s">
        <v>909</v>
      </c>
      <c r="X2390" t="s">
        <v>6881</v>
      </c>
      <c r="Y2390" t="s">
        <v>5253</v>
      </c>
      <c r="AA2390" t="s">
        <v>5254</v>
      </c>
      <c r="AB2390" t="s">
        <v>6882</v>
      </c>
      <c r="AE2390">
        <v>-36.880928240000003</v>
      </c>
      <c r="AF2390">
        <v>174.81239855000001</v>
      </c>
      <c r="AG2390" s="175">
        <v>25</v>
      </c>
      <c r="AH2390" s="175">
        <v>15</v>
      </c>
      <c r="AI2390" s="175">
        <v>24</v>
      </c>
      <c r="AJ2390" s="175">
        <v>7</v>
      </c>
      <c r="AK2390" s="175">
        <v>11</v>
      </c>
      <c r="AL2390" s="175">
        <v>9</v>
      </c>
      <c r="AM2390" s="175">
        <v>2</v>
      </c>
      <c r="AN2390" s="175">
        <v>0</v>
      </c>
      <c r="AO2390" s="175">
        <v>53</v>
      </c>
      <c r="AP2390" s="175">
        <v>41</v>
      </c>
      <c r="AQ2390" s="175">
        <v>4</v>
      </c>
      <c r="AR2390" s="175">
        <v>3</v>
      </c>
      <c r="AS2390" s="175">
        <v>15</v>
      </c>
      <c r="AT2390" s="175">
        <v>6</v>
      </c>
    </row>
    <row r="2391" spans="1:46">
      <c r="A2391">
        <v>46534</v>
      </c>
      <c r="B2391" t="s">
        <v>14099</v>
      </c>
      <c r="C2391" t="s">
        <v>14100</v>
      </c>
      <c r="E2391" t="s">
        <v>14101</v>
      </c>
      <c r="G2391" t="s">
        <v>1621</v>
      </c>
      <c r="H2391" t="s">
        <v>449</v>
      </c>
      <c r="J2391" t="s">
        <v>605</v>
      </c>
      <c r="K2391" t="s">
        <v>606</v>
      </c>
      <c r="M2391" t="s">
        <v>1382</v>
      </c>
      <c r="N2391" t="s">
        <v>657</v>
      </c>
      <c r="O2391" t="s">
        <v>1403</v>
      </c>
      <c r="P2391" t="s">
        <v>1347</v>
      </c>
      <c r="Q2391" t="s">
        <v>510</v>
      </c>
      <c r="R2391" t="s">
        <v>1384</v>
      </c>
      <c r="S2391" t="s">
        <v>1501</v>
      </c>
      <c r="T2391" t="s">
        <v>1320</v>
      </c>
      <c r="U2391">
        <v>184400</v>
      </c>
      <c r="V2391" t="s">
        <v>1622</v>
      </c>
      <c r="W2391" t="s">
        <v>1623</v>
      </c>
      <c r="X2391" t="s">
        <v>14102</v>
      </c>
      <c r="Y2391" t="s">
        <v>14103</v>
      </c>
      <c r="Z2391" t="s">
        <v>1506</v>
      </c>
      <c r="AA2391" t="s">
        <v>14104</v>
      </c>
      <c r="AB2391" t="s">
        <v>14105</v>
      </c>
      <c r="AE2391">
        <v>-38.020834809999997</v>
      </c>
      <c r="AF2391">
        <v>175.33080858</v>
      </c>
      <c r="AG2391" s="175">
        <v>40</v>
      </c>
      <c r="AH2391" s="175">
        <v>0</v>
      </c>
      <c r="AI2391" s="175">
        <v>0</v>
      </c>
      <c r="AJ2391" s="175">
        <v>0</v>
      </c>
      <c r="AK2391" s="175">
        <v>3</v>
      </c>
      <c r="AL2391" s="175">
        <v>16</v>
      </c>
      <c r="AM2391" s="175">
        <v>10</v>
      </c>
      <c r="AN2391" s="175">
        <v>4</v>
      </c>
      <c r="AO2391" s="175">
        <v>33</v>
      </c>
      <c r="AP2391" s="175">
        <v>27</v>
      </c>
      <c r="AQ2391" s="175">
        <v>2</v>
      </c>
      <c r="AR2391" s="175">
        <v>1</v>
      </c>
      <c r="AS2391" s="175">
        <v>2</v>
      </c>
      <c r="AT2391" s="175">
        <v>3</v>
      </c>
    </row>
    <row r="2392" spans="1:46">
      <c r="A2392">
        <v>46535</v>
      </c>
      <c r="B2392" t="s">
        <v>14106</v>
      </c>
      <c r="E2392" t="s">
        <v>14107</v>
      </c>
      <c r="F2392" t="s">
        <v>3793</v>
      </c>
      <c r="G2392" t="s">
        <v>1681</v>
      </c>
      <c r="H2392" t="s">
        <v>449</v>
      </c>
      <c r="I2392" t="s">
        <v>4134</v>
      </c>
      <c r="J2392" t="s">
        <v>4032</v>
      </c>
      <c r="K2392" t="s">
        <v>606</v>
      </c>
      <c r="M2392" t="s">
        <v>1382</v>
      </c>
      <c r="N2392" t="s">
        <v>657</v>
      </c>
      <c r="O2392" t="s">
        <v>1780</v>
      </c>
      <c r="P2392" t="s">
        <v>739</v>
      </c>
      <c r="Q2392" t="s">
        <v>511</v>
      </c>
      <c r="R2392" t="s">
        <v>1555</v>
      </c>
      <c r="S2392" t="s">
        <v>1681</v>
      </c>
      <c r="T2392" t="s">
        <v>1557</v>
      </c>
      <c r="U2392">
        <v>194801</v>
      </c>
      <c r="V2392" t="s">
        <v>3793</v>
      </c>
      <c r="W2392" t="s">
        <v>3795</v>
      </c>
      <c r="X2392" t="s">
        <v>12696</v>
      </c>
      <c r="Y2392" t="s">
        <v>12695</v>
      </c>
      <c r="AA2392" t="s">
        <v>8947</v>
      </c>
      <c r="AB2392" t="s">
        <v>12697</v>
      </c>
      <c r="AC2392">
        <v>99085</v>
      </c>
      <c r="AD2392" t="s">
        <v>1800</v>
      </c>
      <c r="AE2392">
        <v>-37.704994509999999</v>
      </c>
      <c r="AF2392">
        <v>176.15524323</v>
      </c>
      <c r="AG2392" s="175">
        <v>50</v>
      </c>
      <c r="AH2392" s="175">
        <v>10</v>
      </c>
      <c r="AI2392" s="175">
        <v>0</v>
      </c>
      <c r="AJ2392" s="175">
        <v>5</v>
      </c>
      <c r="AK2392" s="175">
        <v>11</v>
      </c>
      <c r="AL2392" s="175">
        <v>9</v>
      </c>
      <c r="AM2392" s="175">
        <v>16</v>
      </c>
      <c r="AN2392" s="175">
        <v>0</v>
      </c>
      <c r="AO2392" s="175">
        <v>41</v>
      </c>
      <c r="AP2392" s="175">
        <v>14</v>
      </c>
      <c r="AQ2392" s="175">
        <v>6</v>
      </c>
      <c r="AR2392" s="175">
        <v>1</v>
      </c>
      <c r="AS2392" s="175">
        <v>21</v>
      </c>
      <c r="AT2392" s="175">
        <v>2</v>
      </c>
    </row>
    <row r="2393" spans="1:46">
      <c r="A2393">
        <v>46536</v>
      </c>
      <c r="B2393" t="s">
        <v>14108</v>
      </c>
      <c r="C2393" t="s">
        <v>14109</v>
      </c>
      <c r="D2393" t="s">
        <v>14110</v>
      </c>
      <c r="E2393" t="s">
        <v>14111</v>
      </c>
      <c r="F2393" t="s">
        <v>1157</v>
      </c>
      <c r="G2393" t="s">
        <v>737</v>
      </c>
      <c r="H2393" t="s">
        <v>450</v>
      </c>
      <c r="I2393" t="s">
        <v>4320</v>
      </c>
      <c r="J2393" t="s">
        <v>4032</v>
      </c>
      <c r="K2393" t="s">
        <v>606</v>
      </c>
      <c r="M2393" t="s">
        <v>607</v>
      </c>
      <c r="N2393" t="s">
        <v>812</v>
      </c>
      <c r="O2393" t="s">
        <v>933</v>
      </c>
      <c r="P2393" t="s">
        <v>739</v>
      </c>
      <c r="Q2393" t="s">
        <v>467</v>
      </c>
      <c r="R2393" t="s">
        <v>814</v>
      </c>
      <c r="S2393" t="s">
        <v>815</v>
      </c>
      <c r="T2393" t="s">
        <v>794</v>
      </c>
      <c r="U2393">
        <v>150101</v>
      </c>
      <c r="V2393" t="s">
        <v>4174</v>
      </c>
      <c r="W2393" t="s">
        <v>817</v>
      </c>
      <c r="X2393" t="s">
        <v>14112</v>
      </c>
      <c r="Y2393" t="s">
        <v>14113</v>
      </c>
      <c r="Z2393" t="s">
        <v>1157</v>
      </c>
      <c r="AA2393" t="s">
        <v>4952</v>
      </c>
      <c r="AB2393" t="s">
        <v>14114</v>
      </c>
      <c r="AE2393">
        <v>-36.941197299999999</v>
      </c>
      <c r="AF2393">
        <v>174.84170259999999</v>
      </c>
      <c r="AG2393" s="175">
        <v>40</v>
      </c>
      <c r="AH2393" s="175">
        <v>40</v>
      </c>
      <c r="AI2393" s="175">
        <v>0</v>
      </c>
      <c r="AJ2393" s="175">
        <v>4</v>
      </c>
      <c r="AK2393" s="175">
        <v>6</v>
      </c>
      <c r="AL2393" s="175">
        <v>8</v>
      </c>
      <c r="AM2393" s="175">
        <v>8</v>
      </c>
      <c r="AN2393" s="175">
        <v>1</v>
      </c>
      <c r="AO2393" s="175">
        <v>27</v>
      </c>
      <c r="AP2393" s="175">
        <v>1</v>
      </c>
      <c r="AQ2393" s="175">
        <v>3</v>
      </c>
      <c r="AR2393" s="175">
        <v>27</v>
      </c>
      <c r="AS2393" s="175">
        <v>0</v>
      </c>
      <c r="AT2393" s="175">
        <v>0</v>
      </c>
    </row>
    <row r="2394" spans="1:46">
      <c r="A2394">
        <v>46539</v>
      </c>
      <c r="B2394" t="s">
        <v>14115</v>
      </c>
      <c r="C2394" t="s">
        <v>14116</v>
      </c>
      <c r="D2394" t="s">
        <v>14117</v>
      </c>
      <c r="E2394" t="s">
        <v>14118</v>
      </c>
      <c r="F2394" t="s">
        <v>2302</v>
      </c>
      <c r="G2394" t="s">
        <v>2276</v>
      </c>
      <c r="H2394" t="s">
        <v>449</v>
      </c>
      <c r="I2394" t="s">
        <v>13797</v>
      </c>
      <c r="J2394" t="s">
        <v>605</v>
      </c>
      <c r="K2394" t="s">
        <v>606</v>
      </c>
      <c r="M2394" t="s">
        <v>1382</v>
      </c>
      <c r="N2394" t="s">
        <v>812</v>
      </c>
      <c r="O2394" t="s">
        <v>2277</v>
      </c>
      <c r="P2394" t="s">
        <v>670</v>
      </c>
      <c r="Q2394" t="s">
        <v>513</v>
      </c>
      <c r="R2394" t="s">
        <v>2164</v>
      </c>
      <c r="S2394" t="s">
        <v>2278</v>
      </c>
      <c r="T2394" t="s">
        <v>2165</v>
      </c>
      <c r="U2394">
        <v>209100</v>
      </c>
      <c r="V2394" t="s">
        <v>2314</v>
      </c>
      <c r="W2394" t="s">
        <v>2304</v>
      </c>
      <c r="X2394" t="s">
        <v>14119</v>
      </c>
      <c r="Y2394" t="s">
        <v>14120</v>
      </c>
      <c r="Z2394" t="s">
        <v>2217</v>
      </c>
      <c r="AA2394" t="s">
        <v>14121</v>
      </c>
      <c r="AB2394" t="s">
        <v>14122</v>
      </c>
      <c r="AC2394">
        <v>99135</v>
      </c>
      <c r="AD2394" t="s">
        <v>2305</v>
      </c>
      <c r="AE2394">
        <v>-39.621660489999996</v>
      </c>
      <c r="AF2394">
        <v>176.78876572999999</v>
      </c>
      <c r="AG2394" s="175">
        <v>30</v>
      </c>
      <c r="AH2394" s="175">
        <v>20</v>
      </c>
      <c r="AI2394" s="175">
        <v>3</v>
      </c>
      <c r="AJ2394" s="175">
        <v>6</v>
      </c>
      <c r="AK2394" s="175">
        <v>4</v>
      </c>
      <c r="AL2394" s="175">
        <v>2</v>
      </c>
      <c r="AM2394" s="175">
        <v>0</v>
      </c>
      <c r="AN2394" s="175">
        <v>0</v>
      </c>
      <c r="AO2394" s="175">
        <v>15</v>
      </c>
      <c r="AP2394" s="175">
        <v>5</v>
      </c>
      <c r="AQ2394" s="175">
        <v>15</v>
      </c>
      <c r="AR2394" s="175">
        <v>0</v>
      </c>
      <c r="AS2394" s="175">
        <v>0</v>
      </c>
      <c r="AT2394" s="175">
        <v>0</v>
      </c>
    </row>
    <row r="2395" spans="1:46">
      <c r="A2395">
        <v>46540</v>
      </c>
      <c r="B2395" t="s">
        <v>14123</v>
      </c>
      <c r="D2395" t="s">
        <v>12200</v>
      </c>
      <c r="E2395" t="s">
        <v>12201</v>
      </c>
      <c r="F2395" t="s">
        <v>2929</v>
      </c>
      <c r="G2395" t="s">
        <v>2930</v>
      </c>
      <c r="H2395" t="s">
        <v>450</v>
      </c>
      <c r="J2395" t="s">
        <v>4032</v>
      </c>
      <c r="K2395" t="s">
        <v>606</v>
      </c>
      <c r="M2395" t="s">
        <v>2366</v>
      </c>
      <c r="N2395" t="s">
        <v>657</v>
      </c>
      <c r="O2395" t="s">
        <v>2931</v>
      </c>
      <c r="P2395" t="s">
        <v>670</v>
      </c>
      <c r="Q2395" t="s">
        <v>518</v>
      </c>
      <c r="R2395" t="s">
        <v>2901</v>
      </c>
      <c r="S2395" t="s">
        <v>2930</v>
      </c>
      <c r="T2395" t="s">
        <v>2526</v>
      </c>
      <c r="U2395">
        <v>304400</v>
      </c>
      <c r="V2395" t="s">
        <v>2932</v>
      </c>
      <c r="W2395" t="s">
        <v>2933</v>
      </c>
      <c r="X2395" t="s">
        <v>14124</v>
      </c>
      <c r="Y2395" t="s">
        <v>12201</v>
      </c>
      <c r="Z2395" t="s">
        <v>2929</v>
      </c>
      <c r="AA2395" t="s">
        <v>11591</v>
      </c>
      <c r="AB2395" t="s">
        <v>14125</v>
      </c>
      <c r="AE2395">
        <v>-41.307479800000003</v>
      </c>
      <c r="AF2395">
        <v>173.22948880000001</v>
      </c>
      <c r="AG2395" s="175">
        <v>80</v>
      </c>
      <c r="AH2395" s="175">
        <v>80</v>
      </c>
      <c r="AI2395" s="175">
        <v>4</v>
      </c>
      <c r="AJ2395" s="175">
        <v>14</v>
      </c>
      <c r="AK2395" s="175">
        <v>20</v>
      </c>
      <c r="AL2395" s="175">
        <v>18</v>
      </c>
      <c r="AM2395" s="175">
        <v>7</v>
      </c>
      <c r="AN2395" s="175">
        <v>0</v>
      </c>
      <c r="AO2395" s="175">
        <v>63</v>
      </c>
      <c r="AP2395" s="175">
        <v>62</v>
      </c>
      <c r="AQ2395" s="175">
        <v>10</v>
      </c>
      <c r="AR2395" s="175">
        <v>0</v>
      </c>
      <c r="AS2395" s="175">
        <v>4</v>
      </c>
      <c r="AT2395" s="175">
        <v>3</v>
      </c>
    </row>
    <row r="2396" spans="1:46">
      <c r="A2396">
        <v>46543</v>
      </c>
      <c r="B2396" t="s">
        <v>14126</v>
      </c>
      <c r="C2396" t="s">
        <v>14127</v>
      </c>
      <c r="E2396" t="s">
        <v>14128</v>
      </c>
      <c r="G2396" t="s">
        <v>1621</v>
      </c>
      <c r="H2396" t="s">
        <v>449</v>
      </c>
      <c r="I2396" t="s">
        <v>4134</v>
      </c>
      <c r="J2396" t="s">
        <v>4032</v>
      </c>
      <c r="K2396" t="s">
        <v>606</v>
      </c>
      <c r="M2396" t="s">
        <v>1382</v>
      </c>
      <c r="N2396" t="s">
        <v>657</v>
      </c>
      <c r="O2396" t="s">
        <v>1403</v>
      </c>
      <c r="P2396" t="s">
        <v>1347</v>
      </c>
      <c r="Q2396" t="s">
        <v>510</v>
      </c>
      <c r="R2396" t="s">
        <v>1384</v>
      </c>
      <c r="S2396" t="s">
        <v>1501</v>
      </c>
      <c r="T2396" t="s">
        <v>1320</v>
      </c>
      <c r="U2396">
        <v>184000</v>
      </c>
      <c r="V2396" t="s">
        <v>9342</v>
      </c>
      <c r="W2396" t="s">
        <v>1623</v>
      </c>
      <c r="X2396" t="s">
        <v>14129</v>
      </c>
      <c r="Y2396" t="s">
        <v>14128</v>
      </c>
      <c r="AA2396" t="s">
        <v>9344</v>
      </c>
      <c r="AB2396" t="s">
        <v>14130</v>
      </c>
      <c r="AE2396">
        <v>-38.018441959999997</v>
      </c>
      <c r="AF2396">
        <v>175.31783081</v>
      </c>
      <c r="AG2396" s="175">
        <v>35</v>
      </c>
      <c r="AH2396" s="175">
        <v>8</v>
      </c>
      <c r="AI2396" s="175">
        <v>0</v>
      </c>
      <c r="AJ2396" s="175">
        <v>1</v>
      </c>
      <c r="AK2396" s="175">
        <v>7</v>
      </c>
      <c r="AL2396" s="175">
        <v>3</v>
      </c>
      <c r="AM2396" s="175">
        <v>10</v>
      </c>
      <c r="AN2396" s="175">
        <v>1</v>
      </c>
      <c r="AO2396" s="175">
        <v>22</v>
      </c>
      <c r="AP2396" s="175">
        <v>16</v>
      </c>
      <c r="AQ2396" s="175">
        <v>8</v>
      </c>
      <c r="AR2396" s="175">
        <v>4</v>
      </c>
      <c r="AS2396" s="175">
        <v>5</v>
      </c>
      <c r="AT2396" s="175">
        <v>1</v>
      </c>
    </row>
    <row r="2397" spans="1:46">
      <c r="A2397">
        <v>46549</v>
      </c>
      <c r="B2397" t="s">
        <v>14131</v>
      </c>
      <c r="D2397" t="s">
        <v>14132</v>
      </c>
      <c r="E2397" t="s">
        <v>14133</v>
      </c>
      <c r="F2397" t="s">
        <v>4271</v>
      </c>
      <c r="G2397" t="s">
        <v>737</v>
      </c>
      <c r="H2397" t="s">
        <v>449</v>
      </c>
      <c r="J2397" t="s">
        <v>4032</v>
      </c>
      <c r="K2397" t="s">
        <v>606</v>
      </c>
      <c r="M2397" t="s">
        <v>607</v>
      </c>
      <c r="N2397" t="s">
        <v>608</v>
      </c>
      <c r="O2397" t="s">
        <v>1301</v>
      </c>
      <c r="P2397" t="s">
        <v>739</v>
      </c>
      <c r="Q2397" t="s">
        <v>467</v>
      </c>
      <c r="R2397" t="s">
        <v>814</v>
      </c>
      <c r="S2397" t="s">
        <v>1121</v>
      </c>
      <c r="T2397" t="s">
        <v>794</v>
      </c>
      <c r="U2397">
        <v>160202</v>
      </c>
      <c r="V2397" t="s">
        <v>7615</v>
      </c>
      <c r="W2397" t="s">
        <v>1304</v>
      </c>
      <c r="X2397" t="s">
        <v>4700</v>
      </c>
      <c r="Y2397" t="s">
        <v>12058</v>
      </c>
      <c r="Z2397" t="s">
        <v>855</v>
      </c>
      <c r="AA2397" t="s">
        <v>12059</v>
      </c>
      <c r="AB2397" t="s">
        <v>4703</v>
      </c>
      <c r="AE2397">
        <v>-37.038936900000003</v>
      </c>
      <c r="AF2397">
        <v>174.86701020000001</v>
      </c>
      <c r="AG2397" s="175">
        <v>45</v>
      </c>
      <c r="AH2397" s="175">
        <v>0</v>
      </c>
      <c r="AI2397" s="175">
        <v>0</v>
      </c>
      <c r="AJ2397" s="175">
        <v>0</v>
      </c>
      <c r="AK2397" s="175">
        <v>7</v>
      </c>
      <c r="AL2397" s="175">
        <v>15</v>
      </c>
      <c r="AM2397" s="175">
        <v>14</v>
      </c>
      <c r="AN2397" s="175">
        <v>2</v>
      </c>
      <c r="AO2397" s="175">
        <v>38</v>
      </c>
      <c r="AP2397" s="175">
        <v>2</v>
      </c>
      <c r="AQ2397" s="175">
        <v>14</v>
      </c>
      <c r="AR2397" s="175">
        <v>22</v>
      </c>
      <c r="AS2397" s="175">
        <v>11</v>
      </c>
      <c r="AT2397" s="175">
        <v>2</v>
      </c>
    </row>
    <row r="2398" spans="1:46">
      <c r="A2398">
        <v>46557</v>
      </c>
      <c r="B2398" t="s">
        <v>14134</v>
      </c>
      <c r="C2398" t="s">
        <v>14135</v>
      </c>
      <c r="D2398" t="s">
        <v>14136</v>
      </c>
      <c r="E2398" t="s">
        <v>14137</v>
      </c>
      <c r="G2398" t="s">
        <v>14138</v>
      </c>
      <c r="H2398" t="s">
        <v>449</v>
      </c>
      <c r="J2398" t="s">
        <v>4032</v>
      </c>
      <c r="K2398" t="s">
        <v>606</v>
      </c>
      <c r="M2398" t="s">
        <v>2366</v>
      </c>
      <c r="N2398" t="s">
        <v>4586</v>
      </c>
      <c r="O2398" t="s">
        <v>2367</v>
      </c>
      <c r="P2398" t="s">
        <v>610</v>
      </c>
      <c r="Q2398" t="s">
        <v>553</v>
      </c>
      <c r="R2398" t="s">
        <v>2368</v>
      </c>
      <c r="S2398" t="s">
        <v>2348</v>
      </c>
      <c r="T2398" t="s">
        <v>2165</v>
      </c>
      <c r="U2398">
        <v>233100</v>
      </c>
      <c r="V2398" t="s">
        <v>14138</v>
      </c>
      <c r="W2398" t="s">
        <v>2386</v>
      </c>
      <c r="X2398" t="s">
        <v>14139</v>
      </c>
      <c r="Y2398" t="s">
        <v>14140</v>
      </c>
      <c r="AA2398" t="s">
        <v>14141</v>
      </c>
      <c r="AC2398">
        <v>99071</v>
      </c>
      <c r="AD2398" t="s">
        <v>2387</v>
      </c>
      <c r="AE2398">
        <v>-40.337688280000002</v>
      </c>
      <c r="AF2398">
        <v>175.86988195000001</v>
      </c>
      <c r="AG2398" s="175">
        <v>40</v>
      </c>
      <c r="AH2398" s="175">
        <v>10</v>
      </c>
      <c r="AI2398" s="175">
        <v>1</v>
      </c>
      <c r="AJ2398" s="175">
        <v>5</v>
      </c>
      <c r="AK2398" s="175">
        <v>13</v>
      </c>
      <c r="AL2398" s="175">
        <v>11</v>
      </c>
      <c r="AM2398" s="175">
        <v>13</v>
      </c>
      <c r="AN2398" s="175">
        <v>0</v>
      </c>
      <c r="AO2398" s="175">
        <v>43</v>
      </c>
      <c r="AP2398" s="175">
        <v>33</v>
      </c>
      <c r="AQ2398" s="175">
        <v>22</v>
      </c>
      <c r="AR2398" s="175">
        <v>2</v>
      </c>
      <c r="AS2398" s="175">
        <v>0</v>
      </c>
      <c r="AT2398" s="175">
        <v>1</v>
      </c>
    </row>
    <row r="2399" spans="1:46">
      <c r="A2399">
        <v>46559</v>
      </c>
      <c r="B2399" t="s">
        <v>14142</v>
      </c>
      <c r="C2399" t="s">
        <v>14143</v>
      </c>
      <c r="D2399" t="s">
        <v>14144</v>
      </c>
      <c r="E2399" t="s">
        <v>14145</v>
      </c>
      <c r="F2399" t="s">
        <v>4057</v>
      </c>
      <c r="G2399" t="s">
        <v>737</v>
      </c>
      <c r="H2399" t="s">
        <v>449</v>
      </c>
      <c r="J2399" t="s">
        <v>4032</v>
      </c>
      <c r="K2399" t="s">
        <v>606</v>
      </c>
      <c r="M2399" t="s">
        <v>607</v>
      </c>
      <c r="N2399" t="s">
        <v>657</v>
      </c>
      <c r="O2399" t="s">
        <v>1318</v>
      </c>
      <c r="P2399" t="s">
        <v>1347</v>
      </c>
      <c r="Q2399" t="s">
        <v>467</v>
      </c>
      <c r="R2399" t="s">
        <v>814</v>
      </c>
      <c r="S2399" t="s">
        <v>1331</v>
      </c>
      <c r="T2399" t="s">
        <v>1320</v>
      </c>
      <c r="U2399">
        <v>165301</v>
      </c>
      <c r="V2399" t="s">
        <v>7686</v>
      </c>
      <c r="W2399" t="s">
        <v>1322</v>
      </c>
      <c r="X2399" t="s">
        <v>14146</v>
      </c>
      <c r="Y2399" t="s">
        <v>14145</v>
      </c>
      <c r="AA2399" t="s">
        <v>5330</v>
      </c>
      <c r="AB2399" t="s">
        <v>14147</v>
      </c>
      <c r="AC2399">
        <v>99075</v>
      </c>
      <c r="AD2399" t="s">
        <v>1349</v>
      </c>
      <c r="AE2399">
        <v>-37.168951569999997</v>
      </c>
      <c r="AF2399">
        <v>174.89648688</v>
      </c>
      <c r="AG2399" s="175">
        <v>72</v>
      </c>
      <c r="AH2399" s="175">
        <v>20</v>
      </c>
      <c r="AI2399" s="175">
        <v>3</v>
      </c>
      <c r="AJ2399" s="175">
        <v>13</v>
      </c>
      <c r="AK2399" s="175">
        <v>15</v>
      </c>
      <c r="AL2399" s="175">
        <v>17</v>
      </c>
      <c r="AM2399" s="175">
        <v>17</v>
      </c>
      <c r="AN2399" s="175">
        <v>0</v>
      </c>
      <c r="AO2399" s="175">
        <v>65</v>
      </c>
      <c r="AP2399" s="175">
        <v>63</v>
      </c>
      <c r="AQ2399" s="175">
        <v>8</v>
      </c>
      <c r="AR2399" s="175">
        <v>2</v>
      </c>
      <c r="AS2399" s="175">
        <v>5</v>
      </c>
      <c r="AT2399" s="175">
        <v>2</v>
      </c>
    </row>
    <row r="2400" spans="1:46">
      <c r="A2400">
        <v>46561</v>
      </c>
      <c r="B2400" t="s">
        <v>14148</v>
      </c>
      <c r="C2400" t="s">
        <v>14149</v>
      </c>
      <c r="D2400" t="s">
        <v>14150</v>
      </c>
      <c r="E2400" t="s">
        <v>14151</v>
      </c>
      <c r="F2400" t="s">
        <v>1120</v>
      </c>
      <c r="G2400" t="s">
        <v>737</v>
      </c>
      <c r="H2400" t="s">
        <v>449</v>
      </c>
      <c r="J2400" t="s">
        <v>4032</v>
      </c>
      <c r="K2400" t="s">
        <v>606</v>
      </c>
      <c r="M2400" t="s">
        <v>607</v>
      </c>
      <c r="N2400" t="s">
        <v>608</v>
      </c>
      <c r="O2400" t="s">
        <v>813</v>
      </c>
      <c r="P2400" t="s">
        <v>739</v>
      </c>
      <c r="Q2400" t="s">
        <v>467</v>
      </c>
      <c r="R2400" t="s">
        <v>814</v>
      </c>
      <c r="S2400" t="s">
        <v>934</v>
      </c>
      <c r="T2400" t="s">
        <v>794</v>
      </c>
      <c r="U2400">
        <v>154801</v>
      </c>
      <c r="V2400" t="s">
        <v>14152</v>
      </c>
      <c r="W2400" t="s">
        <v>817</v>
      </c>
      <c r="X2400" t="s">
        <v>12505</v>
      </c>
      <c r="Y2400" t="s">
        <v>12506</v>
      </c>
      <c r="AA2400" t="s">
        <v>14153</v>
      </c>
      <c r="AC2400">
        <v>99102</v>
      </c>
      <c r="AD2400" t="s">
        <v>1123</v>
      </c>
      <c r="AE2400">
        <v>-36.973534469999997</v>
      </c>
      <c r="AF2400">
        <v>174.83900244</v>
      </c>
      <c r="AG2400" s="175">
        <v>55</v>
      </c>
      <c r="AH2400" s="175">
        <v>0</v>
      </c>
      <c r="AI2400" s="175">
        <v>0</v>
      </c>
      <c r="AJ2400" s="175">
        <v>0</v>
      </c>
      <c r="AK2400" s="175">
        <v>9</v>
      </c>
      <c r="AL2400" s="175">
        <v>17</v>
      </c>
      <c r="AM2400" s="175">
        <v>15</v>
      </c>
      <c r="AN2400" s="175">
        <v>4</v>
      </c>
      <c r="AO2400" s="175">
        <v>45</v>
      </c>
      <c r="AP2400" s="175">
        <v>0</v>
      </c>
      <c r="AQ2400" s="175">
        <v>6</v>
      </c>
      <c r="AR2400" s="175">
        <v>17</v>
      </c>
      <c r="AS2400" s="175">
        <v>27</v>
      </c>
      <c r="AT2400" s="175">
        <v>0</v>
      </c>
    </row>
    <row r="2401" spans="1:46">
      <c r="A2401">
        <v>46567</v>
      </c>
      <c r="B2401" t="s">
        <v>14154</v>
      </c>
      <c r="C2401" t="s">
        <v>14155</v>
      </c>
      <c r="D2401" t="s">
        <v>14156</v>
      </c>
      <c r="E2401" t="s">
        <v>14157</v>
      </c>
      <c r="F2401" t="s">
        <v>3256</v>
      </c>
      <c r="G2401" t="s">
        <v>3015</v>
      </c>
      <c r="H2401" t="s">
        <v>449</v>
      </c>
      <c r="J2401" t="s">
        <v>605</v>
      </c>
      <c r="K2401" t="s">
        <v>606</v>
      </c>
      <c r="M2401" t="s">
        <v>2366</v>
      </c>
      <c r="N2401" t="s">
        <v>657</v>
      </c>
      <c r="O2401" t="s">
        <v>3016</v>
      </c>
      <c r="P2401" t="s">
        <v>739</v>
      </c>
      <c r="Q2401" t="s">
        <v>521</v>
      </c>
      <c r="R2401" t="s">
        <v>3017</v>
      </c>
      <c r="S2401" t="s">
        <v>3018</v>
      </c>
      <c r="T2401" t="s">
        <v>2526</v>
      </c>
      <c r="U2401">
        <v>322600</v>
      </c>
      <c r="V2401" t="s">
        <v>14158</v>
      </c>
      <c r="W2401" t="s">
        <v>3072</v>
      </c>
      <c r="X2401" t="s">
        <v>10864</v>
      </c>
      <c r="Y2401" t="s">
        <v>4014</v>
      </c>
      <c r="Z2401" t="s">
        <v>4015</v>
      </c>
      <c r="AA2401" t="s">
        <v>4016</v>
      </c>
      <c r="AC2401">
        <v>99027</v>
      </c>
      <c r="AD2401" t="s">
        <v>3073</v>
      </c>
      <c r="AE2401">
        <v>-43.519841079999999</v>
      </c>
      <c r="AF2401">
        <v>172.60543580999999</v>
      </c>
      <c r="AG2401" s="175">
        <v>46</v>
      </c>
      <c r="AH2401" s="175">
        <v>15</v>
      </c>
      <c r="AI2401" s="175">
        <v>2</v>
      </c>
      <c r="AJ2401" s="175">
        <v>8</v>
      </c>
      <c r="AK2401" s="175">
        <v>8</v>
      </c>
      <c r="AL2401" s="175">
        <v>12</v>
      </c>
      <c r="AM2401" s="175">
        <v>7</v>
      </c>
      <c r="AN2401" s="175">
        <v>0</v>
      </c>
      <c r="AO2401" s="175">
        <v>37</v>
      </c>
      <c r="AP2401" s="175">
        <v>27</v>
      </c>
      <c r="AQ2401" s="175">
        <v>3</v>
      </c>
      <c r="AR2401" s="175">
        <v>1</v>
      </c>
      <c r="AS2401" s="175">
        <v>10</v>
      </c>
      <c r="AT2401" s="175">
        <v>0</v>
      </c>
    </row>
    <row r="2402" spans="1:46">
      <c r="A2402">
        <v>46568</v>
      </c>
      <c r="B2402" t="s">
        <v>14159</v>
      </c>
      <c r="C2402" t="s">
        <v>14160</v>
      </c>
      <c r="E2402" t="s">
        <v>14161</v>
      </c>
      <c r="G2402" t="s">
        <v>668</v>
      </c>
      <c r="H2402" t="s">
        <v>452</v>
      </c>
      <c r="J2402" t="s">
        <v>605</v>
      </c>
      <c r="K2402" t="s">
        <v>606</v>
      </c>
      <c r="M2402" t="s">
        <v>607</v>
      </c>
      <c r="N2402" t="s">
        <v>812</v>
      </c>
      <c r="O2402" t="s">
        <v>669</v>
      </c>
      <c r="P2402" t="s">
        <v>670</v>
      </c>
      <c r="Q2402" t="s">
        <v>509</v>
      </c>
      <c r="R2402" t="s">
        <v>611</v>
      </c>
      <c r="S2402" t="s">
        <v>671</v>
      </c>
      <c r="T2402" t="s">
        <v>613</v>
      </c>
      <c r="U2402">
        <v>107300</v>
      </c>
      <c r="V2402" t="s">
        <v>709</v>
      </c>
      <c r="W2402" t="s">
        <v>673</v>
      </c>
      <c r="X2402" t="s">
        <v>616</v>
      </c>
      <c r="Y2402" t="s">
        <v>617</v>
      </c>
      <c r="Z2402" t="s">
        <v>618</v>
      </c>
      <c r="AA2402" t="s">
        <v>619</v>
      </c>
      <c r="AB2402" t="s">
        <v>620</v>
      </c>
      <c r="AC2402">
        <v>99181</v>
      </c>
      <c r="AD2402" t="s">
        <v>680</v>
      </c>
      <c r="AE2402">
        <v>-35.745782230000003</v>
      </c>
      <c r="AF2402">
        <v>174.30263500000001</v>
      </c>
      <c r="AG2402" s="175">
        <v>30</v>
      </c>
      <c r="AH2402" s="175">
        <v>0</v>
      </c>
      <c r="AI2402" s="175">
        <v>0</v>
      </c>
      <c r="AJ2402" s="175">
        <v>0</v>
      </c>
      <c r="AK2402" s="175">
        <v>5</v>
      </c>
      <c r="AL2402" s="175">
        <v>11</v>
      </c>
      <c r="AM2402" s="175">
        <v>19</v>
      </c>
      <c r="AN2402" s="175">
        <v>0</v>
      </c>
      <c r="AO2402" s="175">
        <v>35</v>
      </c>
      <c r="AP2402" s="175">
        <v>15</v>
      </c>
      <c r="AQ2402" s="175">
        <v>27</v>
      </c>
      <c r="AR2402" s="175">
        <v>4</v>
      </c>
      <c r="AS2402" s="175">
        <v>0</v>
      </c>
      <c r="AT2402" s="175">
        <v>2</v>
      </c>
    </row>
    <row r="2403" spans="1:46">
      <c r="A2403">
        <v>46569</v>
      </c>
      <c r="B2403" t="s">
        <v>14162</v>
      </c>
      <c r="C2403" t="s">
        <v>14163</v>
      </c>
      <c r="E2403" t="s">
        <v>14164</v>
      </c>
      <c r="F2403" t="s">
        <v>1511</v>
      </c>
      <c r="G2403" t="s">
        <v>1381</v>
      </c>
      <c r="H2403" t="s">
        <v>449</v>
      </c>
      <c r="J2403" t="s">
        <v>4032</v>
      </c>
      <c r="K2403" t="s">
        <v>606</v>
      </c>
      <c r="M2403" t="s">
        <v>1382</v>
      </c>
      <c r="N2403" t="s">
        <v>643</v>
      </c>
      <c r="O2403" t="s">
        <v>1383</v>
      </c>
      <c r="P2403" t="s">
        <v>739</v>
      </c>
      <c r="Q2403" t="s">
        <v>510</v>
      </c>
      <c r="R2403" t="s">
        <v>1384</v>
      </c>
      <c r="S2403" t="s">
        <v>1385</v>
      </c>
      <c r="T2403" t="s">
        <v>1320</v>
      </c>
      <c r="U2403">
        <v>181000</v>
      </c>
      <c r="V2403" t="s">
        <v>12336</v>
      </c>
      <c r="W2403" t="s">
        <v>1387</v>
      </c>
      <c r="X2403" t="s">
        <v>14165</v>
      </c>
      <c r="Y2403" t="s">
        <v>14164</v>
      </c>
      <c r="Z2403" t="s">
        <v>1511</v>
      </c>
      <c r="AA2403" t="s">
        <v>14166</v>
      </c>
      <c r="AB2403" t="s">
        <v>14167</v>
      </c>
      <c r="AE2403">
        <v>-37.820174289999997</v>
      </c>
      <c r="AF2403">
        <v>175.28216499000001</v>
      </c>
      <c r="AG2403" s="175">
        <v>29</v>
      </c>
      <c r="AH2403" s="175">
        <v>10</v>
      </c>
      <c r="AI2403" s="175">
        <v>0</v>
      </c>
      <c r="AJ2403" s="175">
        <v>5</v>
      </c>
      <c r="AK2403" s="175">
        <v>9</v>
      </c>
      <c r="AL2403" s="175">
        <v>8</v>
      </c>
      <c r="AM2403" s="175">
        <v>6</v>
      </c>
      <c r="AN2403" s="175">
        <v>0</v>
      </c>
      <c r="AO2403" s="175">
        <v>28</v>
      </c>
      <c r="AP2403" s="175">
        <v>8</v>
      </c>
      <c r="AQ2403" s="175">
        <v>25</v>
      </c>
      <c r="AR2403" s="175">
        <v>9</v>
      </c>
      <c r="AS2403" s="175">
        <v>2</v>
      </c>
      <c r="AT2403" s="175">
        <v>0</v>
      </c>
    </row>
    <row r="2404" spans="1:46">
      <c r="A2404">
        <v>46570</v>
      </c>
      <c r="B2404" t="s">
        <v>14168</v>
      </c>
      <c r="C2404" t="s">
        <v>14169</v>
      </c>
      <c r="D2404" t="s">
        <v>14170</v>
      </c>
      <c r="E2404" t="s">
        <v>14171</v>
      </c>
      <c r="F2404" t="s">
        <v>2622</v>
      </c>
      <c r="G2404" t="s">
        <v>2368</v>
      </c>
      <c r="H2404" t="s">
        <v>449</v>
      </c>
      <c r="J2404" t="s">
        <v>4032</v>
      </c>
      <c r="K2404" t="s">
        <v>606</v>
      </c>
      <c r="M2404" t="s">
        <v>2366</v>
      </c>
      <c r="N2404" t="s">
        <v>657</v>
      </c>
      <c r="O2404" t="s">
        <v>2614</v>
      </c>
      <c r="P2404" t="s">
        <v>739</v>
      </c>
      <c r="Q2404" t="s">
        <v>516</v>
      </c>
      <c r="R2404" t="s">
        <v>2368</v>
      </c>
      <c r="S2404" t="s">
        <v>2623</v>
      </c>
      <c r="T2404" t="s">
        <v>1568</v>
      </c>
      <c r="U2404">
        <v>247900</v>
      </c>
      <c r="V2404" t="s">
        <v>2856</v>
      </c>
      <c r="W2404" t="s">
        <v>2625</v>
      </c>
      <c r="X2404" t="s">
        <v>14172</v>
      </c>
      <c r="Y2404" t="s">
        <v>14173</v>
      </c>
      <c r="AA2404" t="s">
        <v>14174</v>
      </c>
      <c r="AE2404">
        <v>-41.182854620000001</v>
      </c>
      <c r="AF2404">
        <v>174.8246815</v>
      </c>
      <c r="AG2404" s="175">
        <v>39</v>
      </c>
      <c r="AH2404" s="175">
        <v>16</v>
      </c>
      <c r="AI2404" s="175">
        <v>2</v>
      </c>
      <c r="AJ2404" s="175">
        <v>10</v>
      </c>
      <c r="AK2404" s="175">
        <v>15</v>
      </c>
      <c r="AL2404" s="175">
        <v>8</v>
      </c>
      <c r="AM2404" s="175">
        <v>5</v>
      </c>
      <c r="AN2404" s="175">
        <v>0</v>
      </c>
      <c r="AO2404" s="175">
        <v>40</v>
      </c>
      <c r="AP2404" s="175">
        <v>24</v>
      </c>
      <c r="AQ2404" s="175">
        <v>3</v>
      </c>
      <c r="AR2404" s="175">
        <v>2</v>
      </c>
      <c r="AS2404" s="175">
        <v>18</v>
      </c>
      <c r="AT2404" s="175">
        <v>2</v>
      </c>
    </row>
    <row r="2405" spans="1:46">
      <c r="A2405">
        <v>46572</v>
      </c>
      <c r="B2405" t="s">
        <v>14175</v>
      </c>
      <c r="D2405" t="s">
        <v>14176</v>
      </c>
      <c r="E2405" t="s">
        <v>14177</v>
      </c>
      <c r="F2405" t="s">
        <v>1268</v>
      </c>
      <c r="G2405" t="s">
        <v>737</v>
      </c>
      <c r="H2405" t="s">
        <v>449</v>
      </c>
      <c r="J2405" t="s">
        <v>4032</v>
      </c>
      <c r="K2405" t="s">
        <v>606</v>
      </c>
      <c r="M2405" t="s">
        <v>607</v>
      </c>
      <c r="N2405" t="s">
        <v>657</v>
      </c>
      <c r="O2405" t="s">
        <v>898</v>
      </c>
      <c r="P2405" t="s">
        <v>739</v>
      </c>
      <c r="Q2405" t="s">
        <v>467</v>
      </c>
      <c r="R2405" t="s">
        <v>724</v>
      </c>
      <c r="S2405" t="s">
        <v>984</v>
      </c>
      <c r="T2405" t="s">
        <v>613</v>
      </c>
      <c r="U2405">
        <v>124500</v>
      </c>
      <c r="V2405" t="s">
        <v>1269</v>
      </c>
      <c r="W2405" t="s">
        <v>900</v>
      </c>
      <c r="X2405" t="s">
        <v>6355</v>
      </c>
      <c r="Y2405" t="s">
        <v>14177</v>
      </c>
      <c r="Z2405" t="s">
        <v>6619</v>
      </c>
      <c r="AA2405" t="s">
        <v>4374</v>
      </c>
      <c r="AE2405">
        <v>-36.833676490000002</v>
      </c>
      <c r="AF2405">
        <v>174.64979008</v>
      </c>
      <c r="AG2405" s="175">
        <v>120</v>
      </c>
      <c r="AH2405" s="175">
        <v>32</v>
      </c>
      <c r="AI2405" s="175">
        <v>2</v>
      </c>
      <c r="AJ2405" s="175">
        <v>18</v>
      </c>
      <c r="AK2405" s="175">
        <v>27</v>
      </c>
      <c r="AL2405" s="175">
        <v>41</v>
      </c>
      <c r="AM2405" s="175">
        <v>42</v>
      </c>
      <c r="AN2405" s="175">
        <v>2</v>
      </c>
      <c r="AO2405" s="175">
        <v>132</v>
      </c>
      <c r="AP2405" s="175">
        <v>96</v>
      </c>
      <c r="AQ2405" s="175">
        <v>28</v>
      </c>
      <c r="AR2405" s="175">
        <v>15</v>
      </c>
      <c r="AS2405" s="175">
        <v>24</v>
      </c>
      <c r="AT2405" s="175">
        <v>11</v>
      </c>
    </row>
    <row r="2406" spans="1:46">
      <c r="A2406">
        <v>46576</v>
      </c>
      <c r="B2406" t="s">
        <v>14178</v>
      </c>
      <c r="C2406" t="s">
        <v>14179</v>
      </c>
      <c r="D2406" t="s">
        <v>14180</v>
      </c>
      <c r="E2406" t="s">
        <v>14181</v>
      </c>
      <c r="F2406" t="s">
        <v>2519</v>
      </c>
      <c r="G2406" t="s">
        <v>2505</v>
      </c>
      <c r="H2406" t="s">
        <v>449</v>
      </c>
      <c r="J2406" t="s">
        <v>4032</v>
      </c>
      <c r="K2406" t="s">
        <v>606</v>
      </c>
      <c r="M2406" t="s">
        <v>2366</v>
      </c>
      <c r="N2406" t="s">
        <v>657</v>
      </c>
      <c r="O2406" t="s">
        <v>2506</v>
      </c>
      <c r="P2406" t="s">
        <v>739</v>
      </c>
      <c r="Q2406" t="s">
        <v>516</v>
      </c>
      <c r="R2406" t="s">
        <v>2368</v>
      </c>
      <c r="S2406" t="s">
        <v>2507</v>
      </c>
      <c r="T2406" t="s">
        <v>2526</v>
      </c>
      <c r="U2406">
        <v>244300</v>
      </c>
      <c r="V2406" t="s">
        <v>9090</v>
      </c>
      <c r="W2406" t="s">
        <v>2521</v>
      </c>
      <c r="X2406" t="s">
        <v>11598</v>
      </c>
      <c r="Y2406" t="s">
        <v>14182</v>
      </c>
      <c r="Z2406" t="s">
        <v>906</v>
      </c>
      <c r="AA2406" t="s">
        <v>4138</v>
      </c>
      <c r="AB2406" t="s">
        <v>11600</v>
      </c>
      <c r="AE2406">
        <v>-41.209713450000002</v>
      </c>
      <c r="AF2406">
        <v>174.90066155</v>
      </c>
      <c r="AG2406" s="175">
        <v>100</v>
      </c>
      <c r="AH2406" s="175">
        <v>34</v>
      </c>
      <c r="AI2406" s="175">
        <v>9</v>
      </c>
      <c r="AJ2406" s="175">
        <v>19</v>
      </c>
      <c r="AK2406" s="175">
        <v>26</v>
      </c>
      <c r="AL2406" s="175">
        <v>26</v>
      </c>
      <c r="AM2406" s="175">
        <v>12</v>
      </c>
      <c r="AN2406" s="175">
        <v>2</v>
      </c>
      <c r="AO2406" s="175">
        <v>94</v>
      </c>
      <c r="AP2406" s="175">
        <v>78</v>
      </c>
      <c r="AQ2406" s="175">
        <v>22</v>
      </c>
      <c r="AR2406" s="175">
        <v>8</v>
      </c>
      <c r="AS2406" s="175">
        <v>11</v>
      </c>
      <c r="AT2406" s="175">
        <v>2</v>
      </c>
    </row>
    <row r="2407" spans="1:46">
      <c r="A2407">
        <v>46577</v>
      </c>
      <c r="B2407" t="s">
        <v>14183</v>
      </c>
      <c r="C2407" t="s">
        <v>14184</v>
      </c>
      <c r="D2407" t="s">
        <v>14185</v>
      </c>
      <c r="E2407" t="s">
        <v>14186</v>
      </c>
      <c r="G2407" t="s">
        <v>3356</v>
      </c>
      <c r="H2407" t="s">
        <v>449</v>
      </c>
      <c r="J2407" t="s">
        <v>4032</v>
      </c>
      <c r="K2407" t="s">
        <v>606</v>
      </c>
      <c r="M2407" t="s">
        <v>2366</v>
      </c>
      <c r="N2407" t="s">
        <v>657</v>
      </c>
      <c r="O2407" t="s">
        <v>3357</v>
      </c>
      <c r="P2407" t="s">
        <v>626</v>
      </c>
      <c r="Q2407" t="s">
        <v>521</v>
      </c>
      <c r="R2407" t="s">
        <v>3017</v>
      </c>
      <c r="S2407" t="s">
        <v>3323</v>
      </c>
      <c r="T2407" t="s">
        <v>2526</v>
      </c>
      <c r="U2407">
        <v>342000</v>
      </c>
      <c r="V2407" t="s">
        <v>3356</v>
      </c>
      <c r="W2407" t="s">
        <v>3358</v>
      </c>
      <c r="X2407" t="s">
        <v>14187</v>
      </c>
      <c r="Y2407" t="s">
        <v>14186</v>
      </c>
      <c r="AA2407" t="s">
        <v>14188</v>
      </c>
      <c r="AC2407">
        <v>99143</v>
      </c>
      <c r="AD2407" t="s">
        <v>3359</v>
      </c>
      <c r="AE2407">
        <v>-44.10360507</v>
      </c>
      <c r="AF2407">
        <v>170.82619682999999</v>
      </c>
      <c r="AG2407" s="175">
        <v>40</v>
      </c>
      <c r="AH2407" s="175">
        <v>10</v>
      </c>
      <c r="AI2407" s="175">
        <v>2</v>
      </c>
      <c r="AJ2407" s="175">
        <v>8</v>
      </c>
      <c r="AK2407" s="175">
        <v>10</v>
      </c>
      <c r="AL2407" s="175">
        <v>8</v>
      </c>
      <c r="AM2407" s="175">
        <v>16</v>
      </c>
      <c r="AN2407" s="175">
        <v>0</v>
      </c>
      <c r="AO2407" s="175">
        <v>44</v>
      </c>
      <c r="AP2407" s="175">
        <v>41</v>
      </c>
      <c r="AQ2407" s="175">
        <v>8</v>
      </c>
      <c r="AR2407" s="175">
        <v>1</v>
      </c>
      <c r="AS2407" s="175">
        <v>3</v>
      </c>
      <c r="AT2407" s="175">
        <v>1</v>
      </c>
    </row>
    <row r="2408" spans="1:46">
      <c r="A2408">
        <v>46579</v>
      </c>
      <c r="B2408" t="s">
        <v>14189</v>
      </c>
      <c r="C2408" t="s">
        <v>14190</v>
      </c>
      <c r="D2408" t="s">
        <v>14191</v>
      </c>
      <c r="E2408" t="s">
        <v>14192</v>
      </c>
      <c r="F2408" t="s">
        <v>3841</v>
      </c>
      <c r="G2408" t="s">
        <v>1681</v>
      </c>
      <c r="H2408" t="s">
        <v>449</v>
      </c>
      <c r="J2408" t="s">
        <v>4032</v>
      </c>
      <c r="K2408" t="s">
        <v>606</v>
      </c>
      <c r="M2408" t="s">
        <v>1382</v>
      </c>
      <c r="N2408" t="s">
        <v>657</v>
      </c>
      <c r="O2408" t="s">
        <v>1780</v>
      </c>
      <c r="P2408" t="s">
        <v>739</v>
      </c>
      <c r="Q2408" t="s">
        <v>511</v>
      </c>
      <c r="R2408" t="s">
        <v>1555</v>
      </c>
      <c r="S2408" t="s">
        <v>1781</v>
      </c>
      <c r="T2408" t="s">
        <v>1557</v>
      </c>
      <c r="U2408">
        <v>197500</v>
      </c>
      <c r="V2408" t="s">
        <v>11911</v>
      </c>
      <c r="W2408" t="s">
        <v>3843</v>
      </c>
      <c r="X2408" t="s">
        <v>14193</v>
      </c>
      <c r="Y2408" t="s">
        <v>4176</v>
      </c>
      <c r="AA2408" t="s">
        <v>4052</v>
      </c>
      <c r="AB2408" t="s">
        <v>14190</v>
      </c>
      <c r="AE2408">
        <v>-37.718711630000001</v>
      </c>
      <c r="AF2408">
        <v>176.34255478</v>
      </c>
      <c r="AG2408" s="175">
        <v>62</v>
      </c>
      <c r="AH2408" s="175">
        <v>19</v>
      </c>
      <c r="AI2408" s="175">
        <v>0</v>
      </c>
      <c r="AJ2408" s="175">
        <v>10</v>
      </c>
      <c r="AK2408" s="175">
        <v>13</v>
      </c>
      <c r="AL2408" s="175">
        <v>17</v>
      </c>
      <c r="AM2408" s="175">
        <v>16</v>
      </c>
      <c r="AN2408" s="175">
        <v>1</v>
      </c>
      <c r="AO2408" s="175">
        <v>57</v>
      </c>
      <c r="AP2408" s="175">
        <v>36</v>
      </c>
      <c r="AQ2408" s="175">
        <v>16</v>
      </c>
      <c r="AR2408" s="175">
        <v>3</v>
      </c>
      <c r="AS2408" s="175">
        <v>12</v>
      </c>
      <c r="AT2408" s="175">
        <v>2</v>
      </c>
    </row>
    <row r="2409" spans="1:46">
      <c r="A2409">
        <v>46580</v>
      </c>
      <c r="B2409" t="s">
        <v>14194</v>
      </c>
      <c r="C2409" t="s">
        <v>14195</v>
      </c>
      <c r="E2409" t="s">
        <v>14196</v>
      </c>
      <c r="G2409" t="s">
        <v>14197</v>
      </c>
      <c r="H2409" t="s">
        <v>449</v>
      </c>
      <c r="J2409" t="s">
        <v>4032</v>
      </c>
      <c r="K2409" t="s">
        <v>606</v>
      </c>
      <c r="M2409" t="s">
        <v>607</v>
      </c>
      <c r="N2409" t="s">
        <v>657</v>
      </c>
      <c r="O2409" t="s">
        <v>609</v>
      </c>
      <c r="P2409" t="s">
        <v>610</v>
      </c>
      <c r="Q2409" t="s">
        <v>509</v>
      </c>
      <c r="R2409" t="s">
        <v>611</v>
      </c>
      <c r="S2409" t="s">
        <v>612</v>
      </c>
      <c r="T2409" t="s">
        <v>613</v>
      </c>
      <c r="U2409">
        <v>104301</v>
      </c>
      <c r="V2409" t="s">
        <v>14198</v>
      </c>
      <c r="W2409" t="s">
        <v>644</v>
      </c>
      <c r="X2409" t="s">
        <v>14199</v>
      </c>
      <c r="Y2409" t="s">
        <v>14200</v>
      </c>
      <c r="AA2409" t="s">
        <v>14201</v>
      </c>
      <c r="AC2409">
        <v>99117</v>
      </c>
      <c r="AD2409" t="s">
        <v>645</v>
      </c>
      <c r="AE2409">
        <v>-35.311244680000001</v>
      </c>
      <c r="AF2409">
        <v>174.10215640999999</v>
      </c>
      <c r="AG2409" s="175">
        <v>30</v>
      </c>
      <c r="AH2409" s="175">
        <v>5</v>
      </c>
      <c r="AI2409" s="175">
        <v>0</v>
      </c>
      <c r="AJ2409" s="175">
        <v>0</v>
      </c>
      <c r="AK2409" s="175">
        <v>8</v>
      </c>
      <c r="AL2409" s="175">
        <v>9</v>
      </c>
      <c r="AM2409" s="175">
        <v>14</v>
      </c>
      <c r="AN2409" s="175">
        <v>0</v>
      </c>
      <c r="AO2409" s="175">
        <v>31</v>
      </c>
      <c r="AP2409" s="175">
        <v>23</v>
      </c>
      <c r="AQ2409" s="175">
        <v>12</v>
      </c>
      <c r="AR2409" s="175">
        <v>0</v>
      </c>
      <c r="AS2409" s="175">
        <v>4</v>
      </c>
      <c r="AT2409" s="175">
        <v>0</v>
      </c>
    </row>
    <row r="2410" spans="1:46">
      <c r="A2410">
        <v>46581</v>
      </c>
      <c r="B2410" t="s">
        <v>14202</v>
      </c>
      <c r="C2410" t="s">
        <v>14203</v>
      </c>
      <c r="D2410" t="s">
        <v>14204</v>
      </c>
      <c r="E2410" t="s">
        <v>14205</v>
      </c>
      <c r="G2410" t="s">
        <v>784</v>
      </c>
      <c r="H2410" t="s">
        <v>449</v>
      </c>
      <c r="J2410" t="s">
        <v>4032</v>
      </c>
      <c r="K2410" t="s">
        <v>606</v>
      </c>
      <c r="M2410" t="s">
        <v>607</v>
      </c>
      <c r="N2410" t="s">
        <v>657</v>
      </c>
      <c r="O2410" t="s">
        <v>738</v>
      </c>
      <c r="P2410" t="s">
        <v>670</v>
      </c>
      <c r="Q2410" t="s">
        <v>467</v>
      </c>
      <c r="R2410" t="s">
        <v>724</v>
      </c>
      <c r="S2410" t="s">
        <v>753</v>
      </c>
      <c r="T2410" t="s">
        <v>613</v>
      </c>
      <c r="U2410">
        <v>114901</v>
      </c>
      <c r="V2410" t="s">
        <v>5134</v>
      </c>
      <c r="W2410" t="s">
        <v>742</v>
      </c>
      <c r="X2410" t="s">
        <v>14206</v>
      </c>
      <c r="Y2410" t="s">
        <v>14205</v>
      </c>
      <c r="Z2410" t="s">
        <v>784</v>
      </c>
      <c r="AA2410" t="s">
        <v>6409</v>
      </c>
      <c r="AB2410" t="s">
        <v>14207</v>
      </c>
      <c r="AE2410">
        <v>-36.635448230000002</v>
      </c>
      <c r="AF2410">
        <v>174.73811079999999</v>
      </c>
      <c r="AG2410" s="175">
        <v>37</v>
      </c>
      <c r="AH2410" s="175">
        <v>12</v>
      </c>
      <c r="AI2410" s="175">
        <v>3</v>
      </c>
      <c r="AJ2410" s="175">
        <v>7</v>
      </c>
      <c r="AK2410" s="175">
        <v>5</v>
      </c>
      <c r="AL2410" s="175">
        <v>11</v>
      </c>
      <c r="AM2410" s="175">
        <v>7</v>
      </c>
      <c r="AN2410" s="175">
        <v>0</v>
      </c>
      <c r="AO2410" s="175">
        <v>33</v>
      </c>
      <c r="AP2410" s="175">
        <v>21</v>
      </c>
      <c r="AQ2410" s="175">
        <v>1</v>
      </c>
      <c r="AR2410" s="175">
        <v>0</v>
      </c>
      <c r="AS2410" s="175">
        <v>8</v>
      </c>
      <c r="AT2410" s="175">
        <v>5</v>
      </c>
    </row>
    <row r="2411" spans="1:46">
      <c r="A2411">
        <v>46583</v>
      </c>
      <c r="B2411" t="s">
        <v>14208</v>
      </c>
      <c r="C2411" t="s">
        <v>8825</v>
      </c>
      <c r="D2411" t="s">
        <v>13868</v>
      </c>
      <c r="E2411" t="s">
        <v>14049</v>
      </c>
      <c r="F2411" t="s">
        <v>13870</v>
      </c>
      <c r="G2411" t="s">
        <v>737</v>
      </c>
      <c r="H2411" t="s">
        <v>450</v>
      </c>
      <c r="J2411" t="s">
        <v>4032</v>
      </c>
      <c r="K2411" t="s">
        <v>606</v>
      </c>
      <c r="M2411" t="s">
        <v>607</v>
      </c>
      <c r="N2411" t="s">
        <v>3217</v>
      </c>
      <c r="O2411" t="s">
        <v>914</v>
      </c>
      <c r="P2411" t="s">
        <v>739</v>
      </c>
      <c r="Q2411" t="s">
        <v>467</v>
      </c>
      <c r="R2411" t="s">
        <v>793</v>
      </c>
      <c r="S2411" t="s">
        <v>890</v>
      </c>
      <c r="T2411" t="s">
        <v>794</v>
      </c>
      <c r="U2411">
        <v>145900</v>
      </c>
      <c r="V2411" t="s">
        <v>13870</v>
      </c>
      <c r="W2411" t="s">
        <v>892</v>
      </c>
      <c r="Y2411" t="s">
        <v>8827</v>
      </c>
      <c r="Z2411" t="s">
        <v>1397</v>
      </c>
      <c r="AA2411" t="s">
        <v>8575</v>
      </c>
      <c r="AE2411">
        <v>-36.907398389999997</v>
      </c>
      <c r="AF2411">
        <v>174.8147007</v>
      </c>
      <c r="AG2411" s="175">
        <v>0</v>
      </c>
      <c r="AH2411" s="175">
        <v>0</v>
      </c>
      <c r="AI2411" s="175">
        <v>3</v>
      </c>
      <c r="AJ2411" s="175">
        <v>4</v>
      </c>
      <c r="AK2411" s="175">
        <v>7</v>
      </c>
      <c r="AL2411" s="175">
        <v>4</v>
      </c>
      <c r="AM2411" s="175">
        <v>5</v>
      </c>
      <c r="AN2411" s="175">
        <v>2</v>
      </c>
      <c r="AO2411" s="175">
        <v>25</v>
      </c>
      <c r="AP2411" s="175">
        <v>7</v>
      </c>
      <c r="AQ2411" s="175">
        <v>1</v>
      </c>
      <c r="AR2411" s="175">
        <v>0</v>
      </c>
      <c r="AS2411" s="175">
        <v>9</v>
      </c>
      <c r="AT2411" s="175">
        <v>9</v>
      </c>
    </row>
    <row r="2412" spans="1:46">
      <c r="A2412">
        <v>46584</v>
      </c>
      <c r="B2412" t="s">
        <v>14209</v>
      </c>
      <c r="C2412" t="s">
        <v>14210</v>
      </c>
      <c r="D2412" t="s">
        <v>14211</v>
      </c>
      <c r="E2412" t="s">
        <v>14212</v>
      </c>
      <c r="F2412" t="s">
        <v>4272</v>
      </c>
      <c r="G2412" t="s">
        <v>737</v>
      </c>
      <c r="H2412" t="s">
        <v>449</v>
      </c>
      <c r="J2412" t="s">
        <v>4032</v>
      </c>
      <c r="K2412" t="s">
        <v>606</v>
      </c>
      <c r="M2412" t="s">
        <v>607</v>
      </c>
      <c r="N2412" t="s">
        <v>625</v>
      </c>
      <c r="O2412" t="s">
        <v>1301</v>
      </c>
      <c r="P2412" t="s">
        <v>739</v>
      </c>
      <c r="Q2412" t="s">
        <v>467</v>
      </c>
      <c r="R2412" t="s">
        <v>814</v>
      </c>
      <c r="S2412" t="s">
        <v>1121</v>
      </c>
      <c r="T2412" t="s">
        <v>794</v>
      </c>
      <c r="U2412">
        <v>157600</v>
      </c>
      <c r="V2412" t="s">
        <v>1341</v>
      </c>
      <c r="W2412" t="s">
        <v>1304</v>
      </c>
      <c r="X2412" t="s">
        <v>8064</v>
      </c>
      <c r="Y2412" t="s">
        <v>14212</v>
      </c>
      <c r="Z2412" t="s">
        <v>4272</v>
      </c>
      <c r="AA2412" t="s">
        <v>11816</v>
      </c>
      <c r="AB2412" t="s">
        <v>14213</v>
      </c>
      <c r="AC2412">
        <v>99187</v>
      </c>
      <c r="AD2412" t="s">
        <v>1342</v>
      </c>
      <c r="AE2412">
        <v>-37.002739439999999</v>
      </c>
      <c r="AF2412">
        <v>174.88915127999999</v>
      </c>
      <c r="AG2412" s="175">
        <v>120</v>
      </c>
      <c r="AH2412" s="175">
        <v>25</v>
      </c>
      <c r="AI2412" s="175">
        <v>7</v>
      </c>
      <c r="AJ2412" s="175">
        <v>18</v>
      </c>
      <c r="AK2412" s="175">
        <v>21</v>
      </c>
      <c r="AL2412" s="175">
        <v>27</v>
      </c>
      <c r="AM2412" s="175">
        <v>30</v>
      </c>
      <c r="AN2412" s="175">
        <v>0</v>
      </c>
      <c r="AO2412" s="175">
        <v>103</v>
      </c>
      <c r="AP2412" s="175">
        <v>20</v>
      </c>
      <c r="AQ2412" s="175">
        <v>17</v>
      </c>
      <c r="AR2412" s="175">
        <v>14</v>
      </c>
      <c r="AS2412" s="175">
        <v>80</v>
      </c>
      <c r="AT2412" s="175">
        <v>2</v>
      </c>
    </row>
    <row r="2413" spans="1:46">
      <c r="A2413">
        <v>46585</v>
      </c>
      <c r="B2413" t="s">
        <v>14214</v>
      </c>
      <c r="C2413" t="s">
        <v>14215</v>
      </c>
      <c r="E2413" t="s">
        <v>14216</v>
      </c>
      <c r="F2413" t="s">
        <v>14016</v>
      </c>
      <c r="G2413" t="s">
        <v>1381</v>
      </c>
      <c r="H2413" t="s">
        <v>449</v>
      </c>
      <c r="J2413" t="s">
        <v>605</v>
      </c>
      <c r="K2413" t="s">
        <v>606</v>
      </c>
      <c r="M2413" t="s">
        <v>1382</v>
      </c>
      <c r="N2413" t="s">
        <v>643</v>
      </c>
      <c r="O2413" t="s">
        <v>1383</v>
      </c>
      <c r="P2413" t="s">
        <v>739</v>
      </c>
      <c r="Q2413" t="s">
        <v>510</v>
      </c>
      <c r="R2413" t="s">
        <v>1384</v>
      </c>
      <c r="S2413" t="s">
        <v>1396</v>
      </c>
      <c r="T2413" t="s">
        <v>1320</v>
      </c>
      <c r="U2413">
        <v>178500</v>
      </c>
      <c r="V2413" t="s">
        <v>14016</v>
      </c>
      <c r="W2413" t="s">
        <v>1398</v>
      </c>
      <c r="X2413" t="s">
        <v>8441</v>
      </c>
      <c r="Y2413" t="s">
        <v>4014</v>
      </c>
      <c r="Z2413" t="s">
        <v>4015</v>
      </c>
      <c r="AA2413" t="s">
        <v>4016</v>
      </c>
      <c r="AB2413" t="s">
        <v>8442</v>
      </c>
      <c r="AE2413">
        <v>-37.765445049999997</v>
      </c>
      <c r="AF2413">
        <v>175.30440683</v>
      </c>
      <c r="AG2413" s="175">
        <v>50</v>
      </c>
      <c r="AH2413" s="175">
        <v>0</v>
      </c>
      <c r="AI2413" s="175">
        <v>0</v>
      </c>
      <c r="AJ2413" s="175">
        <v>0</v>
      </c>
      <c r="AK2413" s="175">
        <v>8</v>
      </c>
      <c r="AL2413" s="175">
        <v>17</v>
      </c>
      <c r="AM2413" s="175">
        <v>20</v>
      </c>
      <c r="AN2413" s="175">
        <v>3</v>
      </c>
      <c r="AO2413" s="175">
        <v>48</v>
      </c>
      <c r="AP2413" s="175">
        <v>12</v>
      </c>
      <c r="AQ2413" s="175">
        <v>28</v>
      </c>
      <c r="AR2413" s="175">
        <v>6</v>
      </c>
      <c r="AS2413" s="175">
        <v>5</v>
      </c>
      <c r="AT2413" s="175">
        <v>5</v>
      </c>
    </row>
    <row r="2414" spans="1:46">
      <c r="A2414">
        <v>46589</v>
      </c>
      <c r="B2414" t="s">
        <v>14217</v>
      </c>
      <c r="C2414" t="s">
        <v>14218</v>
      </c>
      <c r="D2414" t="s">
        <v>13528</v>
      </c>
      <c r="E2414" t="s">
        <v>14219</v>
      </c>
      <c r="G2414" t="s">
        <v>2295</v>
      </c>
      <c r="H2414" t="s">
        <v>450</v>
      </c>
      <c r="J2414" t="s">
        <v>4032</v>
      </c>
      <c r="K2414" t="s">
        <v>606</v>
      </c>
      <c r="M2414" t="s">
        <v>1382</v>
      </c>
      <c r="N2414" t="s">
        <v>657</v>
      </c>
      <c r="O2414" t="s">
        <v>2277</v>
      </c>
      <c r="P2414" t="s">
        <v>1347</v>
      </c>
      <c r="Q2414" t="s">
        <v>513</v>
      </c>
      <c r="R2414" t="s">
        <v>2164</v>
      </c>
      <c r="S2414" t="s">
        <v>2278</v>
      </c>
      <c r="T2414" t="s">
        <v>2165</v>
      </c>
      <c r="U2414">
        <v>211600</v>
      </c>
      <c r="V2414" t="s">
        <v>8785</v>
      </c>
      <c r="W2414" t="s">
        <v>2279</v>
      </c>
      <c r="X2414" t="s">
        <v>14220</v>
      </c>
      <c r="Y2414" t="s">
        <v>8787</v>
      </c>
      <c r="Z2414" t="s">
        <v>2295</v>
      </c>
      <c r="AA2414" t="s">
        <v>8788</v>
      </c>
      <c r="AB2414" t="s">
        <v>14221</v>
      </c>
      <c r="AC2414">
        <v>99022</v>
      </c>
      <c r="AD2414" t="s">
        <v>2297</v>
      </c>
      <c r="AE2414">
        <v>-39.668029300000001</v>
      </c>
      <c r="AF2414">
        <v>176.8779002</v>
      </c>
      <c r="AG2414" s="175">
        <v>80</v>
      </c>
      <c r="AH2414" s="175">
        <v>80</v>
      </c>
      <c r="AI2414" s="175">
        <v>2</v>
      </c>
      <c r="AJ2414" s="175">
        <v>5</v>
      </c>
      <c r="AK2414" s="175">
        <v>9</v>
      </c>
      <c r="AL2414" s="175">
        <v>7</v>
      </c>
      <c r="AM2414" s="175">
        <v>2</v>
      </c>
      <c r="AN2414" s="175">
        <v>0</v>
      </c>
      <c r="AO2414" s="175">
        <v>25</v>
      </c>
      <c r="AP2414" s="175">
        <v>19</v>
      </c>
      <c r="AQ2414" s="175">
        <v>7</v>
      </c>
      <c r="AR2414" s="175">
        <v>3</v>
      </c>
      <c r="AS2414" s="175">
        <v>3</v>
      </c>
      <c r="AT2414" s="175">
        <v>2</v>
      </c>
    </row>
    <row r="2415" spans="1:46">
      <c r="A2415">
        <v>46590</v>
      </c>
      <c r="B2415" t="s">
        <v>14222</v>
      </c>
      <c r="C2415" t="s">
        <v>14223</v>
      </c>
      <c r="D2415" t="s">
        <v>14224</v>
      </c>
      <c r="E2415" t="s">
        <v>14225</v>
      </c>
      <c r="G2415" t="s">
        <v>1669</v>
      </c>
      <c r="H2415" t="s">
        <v>449</v>
      </c>
      <c r="J2415" t="s">
        <v>4032</v>
      </c>
      <c r="K2415" t="s">
        <v>606</v>
      </c>
      <c r="M2415" t="s">
        <v>1382</v>
      </c>
      <c r="N2415" t="s">
        <v>657</v>
      </c>
      <c r="O2415" t="s">
        <v>1534</v>
      </c>
      <c r="P2415" t="s">
        <v>610</v>
      </c>
      <c r="Q2415" t="s">
        <v>510</v>
      </c>
      <c r="R2415" t="s">
        <v>1384</v>
      </c>
      <c r="S2415" t="s">
        <v>1384</v>
      </c>
      <c r="T2415" t="s">
        <v>1320</v>
      </c>
      <c r="U2415">
        <v>173902</v>
      </c>
      <c r="V2415" t="s">
        <v>1670</v>
      </c>
      <c r="W2415" t="s">
        <v>1671</v>
      </c>
      <c r="X2415" t="s">
        <v>14226</v>
      </c>
      <c r="Y2415" t="s">
        <v>14227</v>
      </c>
      <c r="AA2415" t="s">
        <v>14228</v>
      </c>
      <c r="AB2415" t="s">
        <v>14229</v>
      </c>
      <c r="AC2415">
        <v>99131</v>
      </c>
      <c r="AD2415" t="s">
        <v>1672</v>
      </c>
      <c r="AE2415">
        <v>-37.649948719999998</v>
      </c>
      <c r="AF2415">
        <v>175.54174592000001</v>
      </c>
      <c r="AG2415" s="175">
        <v>80</v>
      </c>
      <c r="AH2415" s="175">
        <v>25</v>
      </c>
      <c r="AI2415" s="175">
        <v>8</v>
      </c>
      <c r="AJ2415" s="175">
        <v>16</v>
      </c>
      <c r="AK2415" s="175">
        <v>26</v>
      </c>
      <c r="AL2415" s="175">
        <v>21</v>
      </c>
      <c r="AM2415" s="175">
        <v>28</v>
      </c>
      <c r="AN2415" s="175">
        <v>0</v>
      </c>
      <c r="AO2415" s="175">
        <v>99</v>
      </c>
      <c r="AP2415" s="175">
        <v>87</v>
      </c>
      <c r="AQ2415" s="175">
        <v>11</v>
      </c>
      <c r="AR2415" s="175">
        <v>3</v>
      </c>
      <c r="AS2415" s="175">
        <v>11</v>
      </c>
      <c r="AT2415" s="175">
        <v>1</v>
      </c>
    </row>
    <row r="2416" spans="1:46">
      <c r="A2416">
        <v>46594</v>
      </c>
      <c r="B2416" t="s">
        <v>14230</v>
      </c>
      <c r="C2416" t="s">
        <v>14231</v>
      </c>
      <c r="E2416" t="s">
        <v>14232</v>
      </c>
      <c r="F2416" t="s">
        <v>14233</v>
      </c>
      <c r="G2416" t="s">
        <v>737</v>
      </c>
      <c r="H2416" t="s">
        <v>449</v>
      </c>
      <c r="J2416" t="s">
        <v>4032</v>
      </c>
      <c r="K2416" t="s">
        <v>606</v>
      </c>
      <c r="M2416" t="s">
        <v>607</v>
      </c>
      <c r="N2416" t="s">
        <v>608</v>
      </c>
      <c r="O2416" t="s">
        <v>1301</v>
      </c>
      <c r="P2416" t="s">
        <v>739</v>
      </c>
      <c r="Q2416" t="s">
        <v>467</v>
      </c>
      <c r="R2416" t="s">
        <v>814</v>
      </c>
      <c r="S2416" t="s">
        <v>1121</v>
      </c>
      <c r="T2416" t="s">
        <v>794</v>
      </c>
      <c r="U2416">
        <v>158700</v>
      </c>
      <c r="V2416" t="s">
        <v>1372</v>
      </c>
      <c r="W2416" t="s">
        <v>1304</v>
      </c>
      <c r="X2416" t="s">
        <v>14234</v>
      </c>
      <c r="Y2416" t="s">
        <v>14235</v>
      </c>
      <c r="Z2416" t="s">
        <v>5170</v>
      </c>
      <c r="AA2416" t="s">
        <v>14236</v>
      </c>
      <c r="AB2416" t="s">
        <v>14237</v>
      </c>
      <c r="AE2416">
        <v>-37.024034409999999</v>
      </c>
      <c r="AF2416">
        <v>174.86419494</v>
      </c>
      <c r="AG2416" s="175">
        <v>31</v>
      </c>
      <c r="AH2416" s="175">
        <v>5</v>
      </c>
      <c r="AI2416" s="175">
        <v>0</v>
      </c>
      <c r="AJ2416" s="175">
        <v>3</v>
      </c>
      <c r="AK2416" s="175">
        <v>7</v>
      </c>
      <c r="AL2416" s="175">
        <v>5</v>
      </c>
      <c r="AM2416" s="175">
        <v>6</v>
      </c>
      <c r="AN2416" s="175">
        <v>3</v>
      </c>
      <c r="AO2416" s="175">
        <v>24</v>
      </c>
      <c r="AP2416" s="175">
        <v>1</v>
      </c>
      <c r="AQ2416" s="175">
        <v>6</v>
      </c>
      <c r="AR2416" s="175">
        <v>19</v>
      </c>
      <c r="AS2416" s="175">
        <v>3</v>
      </c>
      <c r="AT2416" s="175">
        <v>0</v>
      </c>
    </row>
    <row r="2417" spans="1:46">
      <c r="A2417">
        <v>46595</v>
      </c>
      <c r="B2417" t="s">
        <v>11707</v>
      </c>
      <c r="C2417" t="s">
        <v>14238</v>
      </c>
      <c r="D2417" t="s">
        <v>11709</v>
      </c>
      <c r="E2417" t="s">
        <v>14239</v>
      </c>
      <c r="G2417" t="s">
        <v>2276</v>
      </c>
      <c r="H2417" t="s">
        <v>450</v>
      </c>
      <c r="J2417" t="s">
        <v>4032</v>
      </c>
      <c r="K2417" t="s">
        <v>606</v>
      </c>
      <c r="M2417" t="s">
        <v>1382</v>
      </c>
      <c r="N2417" t="s">
        <v>657</v>
      </c>
      <c r="O2417" t="s">
        <v>2277</v>
      </c>
      <c r="P2417" t="s">
        <v>670</v>
      </c>
      <c r="Q2417" t="s">
        <v>513</v>
      </c>
      <c r="R2417" t="s">
        <v>1841</v>
      </c>
      <c r="S2417" t="s">
        <v>2278</v>
      </c>
      <c r="T2417" t="s">
        <v>2165</v>
      </c>
      <c r="U2417">
        <v>210500</v>
      </c>
      <c r="V2417" t="s">
        <v>11711</v>
      </c>
      <c r="W2417" t="s">
        <v>2279</v>
      </c>
      <c r="X2417" t="s">
        <v>14240</v>
      </c>
      <c r="Y2417" t="s">
        <v>11710</v>
      </c>
      <c r="AA2417" t="s">
        <v>11713</v>
      </c>
      <c r="AB2417" t="s">
        <v>14241</v>
      </c>
      <c r="AE2417">
        <v>-39.641322500000001</v>
      </c>
      <c r="AF2417">
        <v>176.8469455</v>
      </c>
      <c r="AG2417" s="175">
        <v>80</v>
      </c>
      <c r="AH2417" s="175">
        <v>80</v>
      </c>
      <c r="AI2417" s="175">
        <v>3</v>
      </c>
      <c r="AJ2417" s="175">
        <v>13</v>
      </c>
      <c r="AK2417" s="175">
        <v>12</v>
      </c>
      <c r="AL2417" s="175">
        <v>12</v>
      </c>
      <c r="AM2417" s="175">
        <v>5</v>
      </c>
      <c r="AN2417" s="175">
        <v>0</v>
      </c>
      <c r="AO2417" s="175">
        <v>45</v>
      </c>
      <c r="AP2417" s="175">
        <v>42</v>
      </c>
      <c r="AQ2417" s="175">
        <v>13</v>
      </c>
      <c r="AR2417" s="175">
        <v>2</v>
      </c>
      <c r="AS2417" s="175">
        <v>3</v>
      </c>
      <c r="AT2417" s="175">
        <v>0</v>
      </c>
    </row>
    <row r="2418" spans="1:46">
      <c r="A2418">
        <v>46598</v>
      </c>
      <c r="B2418" t="s">
        <v>14242</v>
      </c>
      <c r="C2418" t="s">
        <v>14243</v>
      </c>
      <c r="D2418" t="s">
        <v>9081</v>
      </c>
      <c r="E2418" t="s">
        <v>14244</v>
      </c>
      <c r="G2418" t="s">
        <v>3897</v>
      </c>
      <c r="H2418" t="s">
        <v>449</v>
      </c>
      <c r="J2418" t="s">
        <v>4032</v>
      </c>
      <c r="K2418" t="s">
        <v>606</v>
      </c>
      <c r="M2418" t="s">
        <v>1382</v>
      </c>
      <c r="N2418" t="s">
        <v>657</v>
      </c>
      <c r="O2418" t="s">
        <v>1545</v>
      </c>
      <c r="P2418" t="s">
        <v>610</v>
      </c>
      <c r="Q2418" t="s">
        <v>510</v>
      </c>
      <c r="R2418" t="s">
        <v>1384</v>
      </c>
      <c r="S2418" t="s">
        <v>1522</v>
      </c>
      <c r="T2418" t="s">
        <v>1320</v>
      </c>
      <c r="U2418">
        <v>167000</v>
      </c>
      <c r="V2418" t="s">
        <v>14245</v>
      </c>
      <c r="W2418" t="s">
        <v>3899</v>
      </c>
      <c r="X2418" t="s">
        <v>9084</v>
      </c>
      <c r="Y2418" t="s">
        <v>9082</v>
      </c>
      <c r="AA2418" t="s">
        <v>14246</v>
      </c>
      <c r="AB2418" t="s">
        <v>9080</v>
      </c>
      <c r="AC2418">
        <v>99155</v>
      </c>
      <c r="AD2418" t="s">
        <v>3900</v>
      </c>
      <c r="AE2418">
        <v>-36.822626900000003</v>
      </c>
      <c r="AF2418">
        <v>175.68818282999999</v>
      </c>
      <c r="AG2418" s="175">
        <v>40</v>
      </c>
      <c r="AH2418" s="175">
        <v>15</v>
      </c>
      <c r="AI2418" s="175">
        <v>0</v>
      </c>
      <c r="AJ2418" s="175">
        <v>8</v>
      </c>
      <c r="AK2418" s="175">
        <v>6</v>
      </c>
      <c r="AL2418" s="175">
        <v>9</v>
      </c>
      <c r="AM2418" s="175">
        <v>5</v>
      </c>
      <c r="AN2418" s="175">
        <v>2</v>
      </c>
      <c r="AO2418" s="175">
        <v>30</v>
      </c>
      <c r="AP2418" s="175">
        <v>29</v>
      </c>
      <c r="AQ2418" s="175">
        <v>11</v>
      </c>
      <c r="AR2418" s="175">
        <v>0</v>
      </c>
      <c r="AS2418" s="175">
        <v>0</v>
      </c>
      <c r="AT2418" s="175">
        <v>0</v>
      </c>
    </row>
    <row r="2419" spans="1:46">
      <c r="A2419">
        <v>46603</v>
      </c>
      <c r="B2419" t="s">
        <v>14247</v>
      </c>
      <c r="C2419" t="s">
        <v>14248</v>
      </c>
      <c r="D2419" t="s">
        <v>14249</v>
      </c>
      <c r="E2419" t="s">
        <v>14250</v>
      </c>
      <c r="F2419" t="s">
        <v>6042</v>
      </c>
      <c r="G2419" t="s">
        <v>737</v>
      </c>
      <c r="H2419" t="s">
        <v>449</v>
      </c>
      <c r="J2419" t="s">
        <v>4032</v>
      </c>
      <c r="K2419" t="s">
        <v>606</v>
      </c>
      <c r="M2419" t="s">
        <v>607</v>
      </c>
      <c r="N2419" t="s">
        <v>657</v>
      </c>
      <c r="O2419" t="s">
        <v>942</v>
      </c>
      <c r="P2419" t="s">
        <v>739</v>
      </c>
      <c r="Q2419" t="s">
        <v>467</v>
      </c>
      <c r="R2419" t="s">
        <v>793</v>
      </c>
      <c r="S2419" t="s">
        <v>943</v>
      </c>
      <c r="T2419" t="s">
        <v>794</v>
      </c>
      <c r="U2419">
        <v>129901</v>
      </c>
      <c r="V2419" t="s">
        <v>14251</v>
      </c>
      <c r="W2419" t="s">
        <v>945</v>
      </c>
      <c r="X2419" t="s">
        <v>6037</v>
      </c>
      <c r="Y2419" t="s">
        <v>4756</v>
      </c>
      <c r="Z2419" t="s">
        <v>4757</v>
      </c>
      <c r="AA2419" t="s">
        <v>4758</v>
      </c>
      <c r="AB2419" t="s">
        <v>6038</v>
      </c>
      <c r="AE2419">
        <v>-36.861233839999997</v>
      </c>
      <c r="AF2419">
        <v>174.70484321999999</v>
      </c>
      <c r="AG2419" s="175">
        <v>74</v>
      </c>
      <c r="AH2419" s="175">
        <v>25</v>
      </c>
      <c r="AI2419" s="175">
        <v>1</v>
      </c>
      <c r="AJ2419" s="175">
        <v>19</v>
      </c>
      <c r="AK2419" s="175">
        <v>27</v>
      </c>
      <c r="AL2419" s="175">
        <v>28</v>
      </c>
      <c r="AM2419" s="175">
        <v>18</v>
      </c>
      <c r="AN2419" s="175">
        <v>0</v>
      </c>
      <c r="AO2419" s="175">
        <v>93</v>
      </c>
      <c r="AP2419" s="175">
        <v>89</v>
      </c>
      <c r="AQ2419" s="175">
        <v>11</v>
      </c>
      <c r="AR2419" s="175">
        <v>2</v>
      </c>
      <c r="AS2419" s="175">
        <v>7</v>
      </c>
      <c r="AT2419" s="175">
        <v>1</v>
      </c>
    </row>
    <row r="2420" spans="1:46">
      <c r="A2420">
        <v>46604</v>
      </c>
      <c r="B2420" t="s">
        <v>14252</v>
      </c>
      <c r="C2420" t="s">
        <v>14253</v>
      </c>
      <c r="D2420" t="s">
        <v>14254</v>
      </c>
      <c r="E2420" t="s">
        <v>14255</v>
      </c>
      <c r="F2420" t="s">
        <v>745</v>
      </c>
      <c r="G2420" t="s">
        <v>737</v>
      </c>
      <c r="H2420" t="s">
        <v>449</v>
      </c>
      <c r="J2420" t="s">
        <v>4032</v>
      </c>
      <c r="K2420" t="s">
        <v>606</v>
      </c>
      <c r="M2420" t="s">
        <v>607</v>
      </c>
      <c r="N2420" t="s">
        <v>657</v>
      </c>
      <c r="O2420" t="s">
        <v>738</v>
      </c>
      <c r="P2420" t="s">
        <v>739</v>
      </c>
      <c r="Q2420" t="s">
        <v>467</v>
      </c>
      <c r="R2420" t="s">
        <v>724</v>
      </c>
      <c r="S2420" t="s">
        <v>740</v>
      </c>
      <c r="T2420" t="s">
        <v>613</v>
      </c>
      <c r="U2420">
        <v>118300</v>
      </c>
      <c r="V2420" t="s">
        <v>774</v>
      </c>
      <c r="W2420" t="s">
        <v>742</v>
      </c>
      <c r="X2420" t="s">
        <v>14256</v>
      </c>
      <c r="Y2420" t="s">
        <v>14257</v>
      </c>
      <c r="Z2420" t="s">
        <v>3777</v>
      </c>
      <c r="AA2420" t="s">
        <v>14258</v>
      </c>
      <c r="AB2420" t="s">
        <v>14259</v>
      </c>
      <c r="AE2420">
        <v>-36.717007479999999</v>
      </c>
      <c r="AF2420">
        <v>174.74665769999999</v>
      </c>
      <c r="AG2420" s="175">
        <v>97</v>
      </c>
      <c r="AH2420" s="175">
        <v>25</v>
      </c>
      <c r="AI2420" s="175">
        <v>1</v>
      </c>
      <c r="AJ2420" s="175">
        <v>8</v>
      </c>
      <c r="AK2420" s="175">
        <v>17</v>
      </c>
      <c r="AL2420" s="175">
        <v>12</v>
      </c>
      <c r="AM2420" s="175">
        <v>17</v>
      </c>
      <c r="AN2420" s="175">
        <v>1</v>
      </c>
      <c r="AO2420" s="175">
        <v>56</v>
      </c>
      <c r="AP2420" s="175">
        <v>29</v>
      </c>
      <c r="AQ2420" s="175">
        <v>6</v>
      </c>
      <c r="AR2420" s="175">
        <v>3</v>
      </c>
      <c r="AS2420" s="175">
        <v>30</v>
      </c>
      <c r="AT2420" s="175">
        <v>1</v>
      </c>
    </row>
    <row r="2421" spans="1:46">
      <c r="A2421">
        <v>46606</v>
      </c>
      <c r="B2421" t="s">
        <v>14260</v>
      </c>
      <c r="C2421" t="s">
        <v>14261</v>
      </c>
      <c r="D2421" t="s">
        <v>14262</v>
      </c>
      <c r="E2421" t="s">
        <v>14263</v>
      </c>
      <c r="G2421" t="s">
        <v>604</v>
      </c>
      <c r="H2421" t="s">
        <v>449</v>
      </c>
      <c r="I2421" t="s">
        <v>5017</v>
      </c>
      <c r="J2421" t="s">
        <v>4032</v>
      </c>
      <c r="K2421" t="s">
        <v>606</v>
      </c>
      <c r="M2421" t="s">
        <v>607</v>
      </c>
      <c r="N2421" t="s">
        <v>812</v>
      </c>
      <c r="O2421" t="s">
        <v>609</v>
      </c>
      <c r="P2421" t="s">
        <v>610</v>
      </c>
      <c r="Q2421" t="s">
        <v>509</v>
      </c>
      <c r="R2421" t="s">
        <v>611</v>
      </c>
      <c r="S2421" t="s">
        <v>612</v>
      </c>
      <c r="T2421" t="s">
        <v>613</v>
      </c>
      <c r="U2421">
        <v>100700</v>
      </c>
      <c r="V2421" t="s">
        <v>632</v>
      </c>
      <c r="W2421" t="s">
        <v>615</v>
      </c>
      <c r="X2421" t="s">
        <v>14264</v>
      </c>
      <c r="Y2421" t="s">
        <v>14265</v>
      </c>
      <c r="AA2421" t="s">
        <v>14266</v>
      </c>
      <c r="AB2421" t="s">
        <v>14267</v>
      </c>
      <c r="AE2421">
        <v>-35.109621939999997</v>
      </c>
      <c r="AF2421">
        <v>173.25891375</v>
      </c>
      <c r="AG2421" s="175">
        <v>25</v>
      </c>
      <c r="AH2421" s="175">
        <v>10</v>
      </c>
      <c r="AI2421" s="175">
        <v>1</v>
      </c>
      <c r="AJ2421" s="175">
        <v>2</v>
      </c>
      <c r="AK2421" s="175">
        <v>4</v>
      </c>
      <c r="AL2421" s="175">
        <v>6</v>
      </c>
      <c r="AM2421" s="175">
        <v>5</v>
      </c>
      <c r="AN2421" s="175">
        <v>2</v>
      </c>
      <c r="AO2421" s="175">
        <v>20</v>
      </c>
      <c r="AP2421" s="175">
        <v>7</v>
      </c>
      <c r="AQ2421" s="175">
        <v>15</v>
      </c>
      <c r="AR2421" s="175">
        <v>1</v>
      </c>
      <c r="AS2421" s="175">
        <v>1</v>
      </c>
      <c r="AT2421" s="175">
        <v>0</v>
      </c>
    </row>
    <row r="2422" spans="1:46">
      <c r="A2422">
        <v>46610</v>
      </c>
      <c r="B2422" t="s">
        <v>14268</v>
      </c>
      <c r="C2422" t="s">
        <v>14269</v>
      </c>
      <c r="D2422" t="s">
        <v>14270</v>
      </c>
      <c r="E2422" t="s">
        <v>14271</v>
      </c>
      <c r="G2422" t="s">
        <v>3260</v>
      </c>
      <c r="H2422" t="s">
        <v>449</v>
      </c>
      <c r="J2422" t="s">
        <v>4032</v>
      </c>
      <c r="K2422" t="s">
        <v>606</v>
      </c>
      <c r="M2422" t="s">
        <v>2366</v>
      </c>
      <c r="N2422" t="s">
        <v>657</v>
      </c>
      <c r="O2422" t="s">
        <v>3037</v>
      </c>
      <c r="P2422" t="s">
        <v>1347</v>
      </c>
      <c r="Q2422" t="s">
        <v>521</v>
      </c>
      <c r="R2422" t="s">
        <v>3017</v>
      </c>
      <c r="S2422" t="s">
        <v>3038</v>
      </c>
      <c r="T2422" t="s">
        <v>2526</v>
      </c>
      <c r="U2422">
        <v>315901</v>
      </c>
      <c r="V2422" t="s">
        <v>14272</v>
      </c>
      <c r="W2422" t="s">
        <v>3262</v>
      </c>
      <c r="X2422" t="s">
        <v>14273</v>
      </c>
      <c r="Y2422" t="s">
        <v>14271</v>
      </c>
      <c r="AA2422" t="s">
        <v>14274</v>
      </c>
      <c r="AB2422" t="s">
        <v>14275</v>
      </c>
      <c r="AC2422">
        <v>99061</v>
      </c>
      <c r="AD2422" t="s">
        <v>3263</v>
      </c>
      <c r="AE2422">
        <v>-43.367757240000003</v>
      </c>
      <c r="AF2422">
        <v>172.66438546000001</v>
      </c>
      <c r="AG2422" s="175">
        <v>75</v>
      </c>
      <c r="AH2422" s="175">
        <v>15</v>
      </c>
      <c r="AI2422" s="175">
        <v>3</v>
      </c>
      <c r="AJ2422" s="175">
        <v>6</v>
      </c>
      <c r="AK2422" s="175">
        <v>16</v>
      </c>
      <c r="AL2422" s="175">
        <v>12</v>
      </c>
      <c r="AM2422" s="175">
        <v>15</v>
      </c>
      <c r="AN2422" s="175">
        <v>0</v>
      </c>
      <c r="AO2422" s="175">
        <v>52</v>
      </c>
      <c r="AP2422" s="175">
        <v>43</v>
      </c>
      <c r="AQ2422" s="175">
        <v>17</v>
      </c>
      <c r="AR2422" s="175">
        <v>4</v>
      </c>
      <c r="AS2422" s="175">
        <v>6</v>
      </c>
      <c r="AT2422" s="175">
        <v>0</v>
      </c>
    </row>
    <row r="2423" spans="1:46">
      <c r="A2423">
        <v>46612</v>
      </c>
      <c r="B2423" t="s">
        <v>14276</v>
      </c>
      <c r="C2423" t="s">
        <v>14277</v>
      </c>
      <c r="E2423" t="s">
        <v>14278</v>
      </c>
      <c r="G2423" t="s">
        <v>1694</v>
      </c>
      <c r="H2423" t="s">
        <v>347</v>
      </c>
      <c r="J2423" t="s">
        <v>605</v>
      </c>
      <c r="K2423" t="s">
        <v>606</v>
      </c>
      <c r="L2423" t="s">
        <v>4273</v>
      </c>
      <c r="M2423" t="s">
        <v>1382</v>
      </c>
      <c r="N2423" t="s">
        <v>608</v>
      </c>
      <c r="O2423" t="s">
        <v>1695</v>
      </c>
      <c r="P2423" t="s">
        <v>658</v>
      </c>
      <c r="Q2423" t="s">
        <v>511</v>
      </c>
      <c r="R2423" t="s">
        <v>1555</v>
      </c>
      <c r="S2423" t="s">
        <v>1556</v>
      </c>
      <c r="T2423" t="s">
        <v>1557</v>
      </c>
      <c r="U2423">
        <v>204200</v>
      </c>
      <c r="V2423" t="s">
        <v>10287</v>
      </c>
      <c r="W2423" t="s">
        <v>10288</v>
      </c>
      <c r="X2423" t="s">
        <v>10188</v>
      </c>
      <c r="Y2423" t="s">
        <v>4276</v>
      </c>
      <c r="Z2423" t="s">
        <v>4277</v>
      </c>
      <c r="AA2423" t="s">
        <v>4278</v>
      </c>
      <c r="AB2423" t="s">
        <v>10189</v>
      </c>
      <c r="AE2423">
        <v>-37.648068649999999</v>
      </c>
      <c r="AF2423">
        <v>177.87533525000001</v>
      </c>
      <c r="AG2423" s="175">
        <v>25</v>
      </c>
      <c r="AH2423" s="175">
        <v>8</v>
      </c>
      <c r="AI2423" s="175">
        <v>0</v>
      </c>
      <c r="AJ2423" s="175">
        <v>0</v>
      </c>
      <c r="AK2423" s="175">
        <v>4</v>
      </c>
      <c r="AL2423" s="175">
        <v>4</v>
      </c>
      <c r="AM2423" s="175">
        <v>7</v>
      </c>
      <c r="AN2423" s="175">
        <v>0</v>
      </c>
      <c r="AO2423" s="175">
        <v>15</v>
      </c>
      <c r="AP2423" s="175">
        <v>0</v>
      </c>
      <c r="AQ2423" s="175">
        <v>15</v>
      </c>
      <c r="AR2423" s="175">
        <v>0</v>
      </c>
      <c r="AS2423" s="175">
        <v>0</v>
      </c>
      <c r="AT2423" s="175">
        <v>0</v>
      </c>
    </row>
    <row r="2424" spans="1:46">
      <c r="A2424">
        <v>46616</v>
      </c>
      <c r="B2424" t="s">
        <v>14279</v>
      </c>
      <c r="C2424" t="s">
        <v>14280</v>
      </c>
      <c r="D2424" t="s">
        <v>14281</v>
      </c>
      <c r="E2424" t="s">
        <v>14282</v>
      </c>
      <c r="F2424" t="s">
        <v>1114</v>
      </c>
      <c r="G2424" t="s">
        <v>737</v>
      </c>
      <c r="H2424" t="s">
        <v>449</v>
      </c>
      <c r="J2424" t="s">
        <v>4032</v>
      </c>
      <c r="K2424" t="s">
        <v>606</v>
      </c>
      <c r="M2424" t="s">
        <v>607</v>
      </c>
      <c r="N2424" t="s">
        <v>657</v>
      </c>
      <c r="O2424" t="s">
        <v>914</v>
      </c>
      <c r="P2424" t="s">
        <v>739</v>
      </c>
      <c r="Q2424" t="s">
        <v>467</v>
      </c>
      <c r="R2424" t="s">
        <v>793</v>
      </c>
      <c r="S2424" t="s">
        <v>890</v>
      </c>
      <c r="T2424" t="s">
        <v>794</v>
      </c>
      <c r="U2424">
        <v>146600</v>
      </c>
      <c r="V2424" t="s">
        <v>4337</v>
      </c>
      <c r="W2424" t="s">
        <v>892</v>
      </c>
      <c r="X2424" t="s">
        <v>14283</v>
      </c>
      <c r="Y2424" t="s">
        <v>14284</v>
      </c>
      <c r="Z2424" t="s">
        <v>3973</v>
      </c>
      <c r="AA2424" t="s">
        <v>4604</v>
      </c>
      <c r="AE2424">
        <v>-36.90791119</v>
      </c>
      <c r="AF2424">
        <v>174.82600952000001</v>
      </c>
      <c r="AG2424" s="175">
        <v>82</v>
      </c>
      <c r="AH2424" s="175">
        <v>30</v>
      </c>
      <c r="AI2424" s="175">
        <v>4</v>
      </c>
      <c r="AJ2424" s="175">
        <v>19</v>
      </c>
      <c r="AK2424" s="175">
        <v>21</v>
      </c>
      <c r="AL2424" s="175">
        <v>24</v>
      </c>
      <c r="AM2424" s="175">
        <v>15</v>
      </c>
      <c r="AN2424" s="175">
        <v>0</v>
      </c>
      <c r="AO2424" s="175">
        <v>83</v>
      </c>
      <c r="AP2424" s="175">
        <v>31</v>
      </c>
      <c r="AQ2424" s="175">
        <v>10</v>
      </c>
      <c r="AR2424" s="175">
        <v>14</v>
      </c>
      <c r="AS2424" s="175">
        <v>43</v>
      </c>
      <c r="AT2424" s="175">
        <v>1</v>
      </c>
    </row>
    <row r="2425" spans="1:46">
      <c r="A2425">
        <v>46617</v>
      </c>
      <c r="B2425" t="s">
        <v>14285</v>
      </c>
      <c r="C2425" t="s">
        <v>8825</v>
      </c>
      <c r="E2425" t="s">
        <v>14076</v>
      </c>
      <c r="G2425" t="s">
        <v>1681</v>
      </c>
      <c r="H2425" t="s">
        <v>450</v>
      </c>
      <c r="J2425" t="s">
        <v>4032</v>
      </c>
      <c r="K2425" t="s">
        <v>606</v>
      </c>
      <c r="M2425" t="s">
        <v>1382</v>
      </c>
      <c r="N2425" t="s">
        <v>625</v>
      </c>
      <c r="O2425" t="s">
        <v>1780</v>
      </c>
      <c r="P2425" t="s">
        <v>739</v>
      </c>
      <c r="Q2425" t="s">
        <v>511</v>
      </c>
      <c r="R2425" t="s">
        <v>1555</v>
      </c>
      <c r="S2425" t="s">
        <v>1681</v>
      </c>
      <c r="T2425" t="s">
        <v>1557</v>
      </c>
      <c r="U2425">
        <v>194801</v>
      </c>
      <c r="V2425" t="s">
        <v>3793</v>
      </c>
      <c r="W2425" t="s">
        <v>3795</v>
      </c>
      <c r="X2425" t="s">
        <v>14077</v>
      </c>
      <c r="Y2425" t="s">
        <v>8827</v>
      </c>
      <c r="Z2425" t="s">
        <v>1397</v>
      </c>
      <c r="AA2425" t="s">
        <v>8575</v>
      </c>
      <c r="AB2425" t="s">
        <v>8825</v>
      </c>
      <c r="AE2425">
        <v>-37.707355069999998</v>
      </c>
      <c r="AF2425">
        <v>176.16028030999999</v>
      </c>
      <c r="AG2425" s="175">
        <v>80</v>
      </c>
      <c r="AH2425" s="175">
        <v>80</v>
      </c>
      <c r="AI2425" s="175">
        <v>4</v>
      </c>
      <c r="AJ2425" s="175">
        <v>7</v>
      </c>
      <c r="AK2425" s="175">
        <v>4</v>
      </c>
      <c r="AL2425" s="175">
        <v>6</v>
      </c>
      <c r="AM2425" s="175">
        <v>7</v>
      </c>
      <c r="AN2425" s="175">
        <v>1</v>
      </c>
      <c r="AO2425" s="175">
        <v>29</v>
      </c>
      <c r="AP2425" s="175">
        <v>19</v>
      </c>
      <c r="AQ2425" s="175">
        <v>22</v>
      </c>
      <c r="AR2425" s="175">
        <v>3</v>
      </c>
      <c r="AS2425" s="175">
        <v>4</v>
      </c>
      <c r="AT2425" s="175">
        <v>1</v>
      </c>
    </row>
    <row r="2426" spans="1:46">
      <c r="A2426">
        <v>46618</v>
      </c>
      <c r="B2426" t="s">
        <v>14286</v>
      </c>
      <c r="C2426" t="s">
        <v>14287</v>
      </c>
      <c r="E2426" t="s">
        <v>14288</v>
      </c>
      <c r="F2426" t="s">
        <v>1789</v>
      </c>
      <c r="G2426" t="s">
        <v>1681</v>
      </c>
      <c r="H2426" t="s">
        <v>449</v>
      </c>
      <c r="J2426" t="s">
        <v>4032</v>
      </c>
      <c r="K2426" t="s">
        <v>606</v>
      </c>
      <c r="M2426" t="s">
        <v>1382</v>
      </c>
      <c r="N2426" t="s">
        <v>657</v>
      </c>
      <c r="O2426" t="s">
        <v>1780</v>
      </c>
      <c r="P2426" t="s">
        <v>739</v>
      </c>
      <c r="Q2426" t="s">
        <v>511</v>
      </c>
      <c r="R2426" t="s">
        <v>1555</v>
      </c>
      <c r="S2426" t="s">
        <v>1681</v>
      </c>
      <c r="T2426" t="s">
        <v>1557</v>
      </c>
      <c r="U2426">
        <v>193201</v>
      </c>
      <c r="V2426" t="s">
        <v>10847</v>
      </c>
      <c r="W2426" t="s">
        <v>1819</v>
      </c>
      <c r="X2426" t="s">
        <v>14289</v>
      </c>
      <c r="Y2426" t="s">
        <v>14290</v>
      </c>
      <c r="Z2426" t="s">
        <v>10100</v>
      </c>
      <c r="AA2426" t="s">
        <v>14291</v>
      </c>
      <c r="AB2426" t="s">
        <v>14292</v>
      </c>
      <c r="AC2426">
        <v>99036</v>
      </c>
      <c r="AD2426" t="s">
        <v>1792</v>
      </c>
      <c r="AE2426">
        <v>-37.666246440000002</v>
      </c>
      <c r="AF2426">
        <v>176.14604387</v>
      </c>
      <c r="AG2426" s="175">
        <v>28</v>
      </c>
      <c r="AH2426" s="175">
        <v>8</v>
      </c>
      <c r="AI2426" s="175">
        <v>0</v>
      </c>
      <c r="AJ2426" s="175">
        <v>3</v>
      </c>
      <c r="AK2426" s="175">
        <v>10</v>
      </c>
      <c r="AL2426" s="175">
        <v>8</v>
      </c>
      <c r="AM2426" s="175">
        <v>14</v>
      </c>
      <c r="AN2426" s="175">
        <v>0</v>
      </c>
      <c r="AO2426" s="175">
        <v>35</v>
      </c>
      <c r="AP2426" s="175">
        <v>32</v>
      </c>
      <c r="AQ2426" s="175">
        <v>2</v>
      </c>
      <c r="AR2426" s="175">
        <v>0</v>
      </c>
      <c r="AS2426" s="175">
        <v>2</v>
      </c>
      <c r="AT2426" s="175">
        <v>1</v>
      </c>
    </row>
    <row r="2427" spans="1:46">
      <c r="A2427">
        <v>46621</v>
      </c>
      <c r="B2427" t="s">
        <v>14293</v>
      </c>
      <c r="C2427" t="s">
        <v>14294</v>
      </c>
      <c r="E2427" t="s">
        <v>14295</v>
      </c>
      <c r="F2427" t="s">
        <v>802</v>
      </c>
      <c r="G2427" t="s">
        <v>737</v>
      </c>
      <c r="H2427" t="s">
        <v>449</v>
      </c>
      <c r="J2427" t="s">
        <v>4032</v>
      </c>
      <c r="K2427" t="s">
        <v>606</v>
      </c>
      <c r="M2427" t="s">
        <v>607</v>
      </c>
      <c r="N2427" t="s">
        <v>657</v>
      </c>
      <c r="O2427" t="s">
        <v>803</v>
      </c>
      <c r="P2427" t="s">
        <v>739</v>
      </c>
      <c r="Q2427" t="s">
        <v>467</v>
      </c>
      <c r="R2427" t="s">
        <v>793</v>
      </c>
      <c r="S2427" t="s">
        <v>804</v>
      </c>
      <c r="T2427" t="s">
        <v>794</v>
      </c>
      <c r="U2427">
        <v>128700</v>
      </c>
      <c r="V2427" t="s">
        <v>11784</v>
      </c>
      <c r="W2427" t="s">
        <v>806</v>
      </c>
      <c r="X2427" t="s">
        <v>12854</v>
      </c>
      <c r="Y2427" t="s">
        <v>10629</v>
      </c>
      <c r="Z2427" t="s">
        <v>976</v>
      </c>
      <c r="AA2427" t="s">
        <v>10630</v>
      </c>
      <c r="AB2427" t="s">
        <v>14294</v>
      </c>
      <c r="AE2427">
        <v>-36.883903490000002</v>
      </c>
      <c r="AF2427">
        <v>174.6828788</v>
      </c>
      <c r="AG2427" s="175">
        <v>150</v>
      </c>
      <c r="AH2427" s="175">
        <v>50</v>
      </c>
      <c r="AI2427" s="175">
        <v>9</v>
      </c>
      <c r="AJ2427" s="175">
        <v>36</v>
      </c>
      <c r="AK2427" s="175">
        <v>29</v>
      </c>
      <c r="AL2427" s="175">
        <v>30</v>
      </c>
      <c r="AM2427" s="175">
        <v>26</v>
      </c>
      <c r="AN2427" s="175">
        <v>0</v>
      </c>
      <c r="AO2427" s="175">
        <v>130</v>
      </c>
      <c r="AP2427" s="175">
        <v>68</v>
      </c>
      <c r="AQ2427" s="175">
        <v>17</v>
      </c>
      <c r="AR2427" s="175">
        <v>19</v>
      </c>
      <c r="AS2427" s="175">
        <v>47</v>
      </c>
      <c r="AT2427" s="175">
        <v>12</v>
      </c>
    </row>
    <row r="2428" spans="1:46">
      <c r="A2428">
        <v>46622</v>
      </c>
      <c r="B2428" t="s">
        <v>14296</v>
      </c>
      <c r="C2428" t="s">
        <v>14297</v>
      </c>
      <c r="E2428" t="s">
        <v>14298</v>
      </c>
      <c r="F2428" t="s">
        <v>983</v>
      </c>
      <c r="G2428" t="s">
        <v>737</v>
      </c>
      <c r="H2428" t="s">
        <v>449</v>
      </c>
      <c r="J2428" t="s">
        <v>4032</v>
      </c>
      <c r="K2428" t="s">
        <v>606</v>
      </c>
      <c r="M2428" t="s">
        <v>607</v>
      </c>
      <c r="N2428" t="s">
        <v>643</v>
      </c>
      <c r="O2428" t="s">
        <v>898</v>
      </c>
      <c r="P2428" t="s">
        <v>739</v>
      </c>
      <c r="Q2428" t="s">
        <v>467</v>
      </c>
      <c r="R2428" t="s">
        <v>724</v>
      </c>
      <c r="S2428" t="s">
        <v>984</v>
      </c>
      <c r="T2428" t="s">
        <v>613</v>
      </c>
      <c r="U2428">
        <v>125701</v>
      </c>
      <c r="V2428" t="s">
        <v>5858</v>
      </c>
      <c r="W2428" t="s">
        <v>900</v>
      </c>
      <c r="X2428" t="s">
        <v>14299</v>
      </c>
      <c r="Y2428" t="s">
        <v>4725</v>
      </c>
      <c r="Z2428" t="s">
        <v>1043</v>
      </c>
      <c r="AA2428" t="s">
        <v>4726</v>
      </c>
      <c r="AB2428" t="s">
        <v>14300</v>
      </c>
      <c r="AE2428">
        <v>-36.870007090000001</v>
      </c>
      <c r="AF2428">
        <v>174.61830660000001</v>
      </c>
      <c r="AG2428" s="175">
        <v>75</v>
      </c>
      <c r="AH2428" s="175">
        <v>20</v>
      </c>
      <c r="AI2428" s="175">
        <v>2</v>
      </c>
      <c r="AJ2428" s="175">
        <v>14</v>
      </c>
      <c r="AK2428" s="175">
        <v>15</v>
      </c>
      <c r="AL2428" s="175">
        <v>11</v>
      </c>
      <c r="AM2428" s="175">
        <v>16</v>
      </c>
      <c r="AN2428" s="175">
        <v>2</v>
      </c>
      <c r="AO2428" s="175">
        <v>60</v>
      </c>
      <c r="AP2428" s="175">
        <v>23</v>
      </c>
      <c r="AQ2428" s="175">
        <v>12</v>
      </c>
      <c r="AR2428" s="175">
        <v>14</v>
      </c>
      <c r="AS2428" s="175">
        <v>31</v>
      </c>
      <c r="AT2428" s="175">
        <v>6</v>
      </c>
    </row>
    <row r="2429" spans="1:46">
      <c r="A2429">
        <v>46625</v>
      </c>
      <c r="B2429" t="s">
        <v>14301</v>
      </c>
      <c r="C2429" t="s">
        <v>14302</v>
      </c>
      <c r="D2429" t="s">
        <v>14303</v>
      </c>
      <c r="E2429" t="s">
        <v>14304</v>
      </c>
      <c r="F2429" t="s">
        <v>13046</v>
      </c>
      <c r="G2429" t="s">
        <v>1381</v>
      </c>
      <c r="H2429" t="s">
        <v>470</v>
      </c>
      <c r="I2429" t="s">
        <v>4642</v>
      </c>
      <c r="J2429" t="s">
        <v>605</v>
      </c>
      <c r="K2429" t="s">
        <v>606</v>
      </c>
      <c r="M2429" t="s">
        <v>1382</v>
      </c>
      <c r="N2429" t="s">
        <v>608</v>
      </c>
      <c r="O2429" t="s">
        <v>1383</v>
      </c>
      <c r="P2429" t="s">
        <v>739</v>
      </c>
      <c r="Q2429" t="s">
        <v>510</v>
      </c>
      <c r="R2429" t="s">
        <v>1384</v>
      </c>
      <c r="S2429" t="s">
        <v>1396</v>
      </c>
      <c r="T2429" t="s">
        <v>1320</v>
      </c>
      <c r="U2429">
        <v>179100</v>
      </c>
      <c r="V2429" t="s">
        <v>9750</v>
      </c>
      <c r="W2429" t="s">
        <v>1398</v>
      </c>
      <c r="X2429" t="s">
        <v>14305</v>
      </c>
      <c r="Y2429" t="s">
        <v>14306</v>
      </c>
      <c r="AA2429" t="s">
        <v>1390</v>
      </c>
      <c r="AB2429" t="s">
        <v>14307</v>
      </c>
      <c r="AC2429">
        <v>99084</v>
      </c>
      <c r="AD2429" t="s">
        <v>14308</v>
      </c>
      <c r="AE2429">
        <v>-37.768311400000002</v>
      </c>
      <c r="AF2429">
        <v>175.29386289999999</v>
      </c>
      <c r="AG2429" s="175">
        <v>50</v>
      </c>
      <c r="AH2429" s="175">
        <v>25</v>
      </c>
      <c r="AI2429" s="175">
        <v>3</v>
      </c>
      <c r="AJ2429" s="175">
        <v>15</v>
      </c>
      <c r="AK2429" s="175">
        <v>23</v>
      </c>
      <c r="AL2429" s="175">
        <v>18</v>
      </c>
      <c r="AM2429" s="175">
        <v>21</v>
      </c>
      <c r="AN2429" s="175">
        <v>2</v>
      </c>
      <c r="AO2429" s="175">
        <v>82</v>
      </c>
      <c r="AP2429" s="175">
        <v>8</v>
      </c>
      <c r="AQ2429" s="175">
        <v>80</v>
      </c>
      <c r="AR2429" s="175">
        <v>8</v>
      </c>
      <c r="AS2429" s="175">
        <v>7</v>
      </c>
      <c r="AT2429" s="175">
        <v>1</v>
      </c>
    </row>
    <row r="2430" spans="1:46">
      <c r="A2430">
        <v>46627</v>
      </c>
      <c r="B2430" t="s">
        <v>14309</v>
      </c>
      <c r="C2430" t="s">
        <v>14310</v>
      </c>
      <c r="E2430" t="s">
        <v>8318</v>
      </c>
      <c r="F2430" t="s">
        <v>8319</v>
      </c>
      <c r="G2430" t="s">
        <v>737</v>
      </c>
      <c r="H2430" t="s">
        <v>450</v>
      </c>
      <c r="J2430" t="s">
        <v>4032</v>
      </c>
      <c r="K2430" t="s">
        <v>606</v>
      </c>
      <c r="M2430" t="s">
        <v>607</v>
      </c>
      <c r="N2430" t="s">
        <v>657</v>
      </c>
      <c r="O2430" t="s">
        <v>1253</v>
      </c>
      <c r="P2430" t="s">
        <v>739</v>
      </c>
      <c r="Q2430" t="s">
        <v>467</v>
      </c>
      <c r="R2430" t="s">
        <v>724</v>
      </c>
      <c r="S2430" t="s">
        <v>740</v>
      </c>
      <c r="T2430" t="s">
        <v>613</v>
      </c>
      <c r="U2430">
        <v>118600</v>
      </c>
      <c r="V2430" t="s">
        <v>4082</v>
      </c>
      <c r="W2430" t="s">
        <v>742</v>
      </c>
      <c r="X2430" t="s">
        <v>6333</v>
      </c>
      <c r="Y2430" t="s">
        <v>6334</v>
      </c>
      <c r="Z2430" t="s">
        <v>3777</v>
      </c>
      <c r="AA2430" t="s">
        <v>6335</v>
      </c>
      <c r="AE2430">
        <v>-36.74603741</v>
      </c>
      <c r="AF2430">
        <v>174.70432332999999</v>
      </c>
      <c r="AG2430" s="175">
        <v>80</v>
      </c>
      <c r="AH2430" s="175">
        <v>80</v>
      </c>
      <c r="AI2430" s="175">
        <v>4</v>
      </c>
      <c r="AJ2430" s="175">
        <v>12</v>
      </c>
      <c r="AK2430" s="175">
        <v>11</v>
      </c>
      <c r="AL2430" s="175">
        <v>11</v>
      </c>
      <c r="AM2430" s="175">
        <v>12</v>
      </c>
      <c r="AN2430" s="175">
        <v>0</v>
      </c>
      <c r="AO2430" s="175">
        <v>50</v>
      </c>
      <c r="AP2430" s="175">
        <v>1</v>
      </c>
      <c r="AQ2430" s="175">
        <v>0</v>
      </c>
      <c r="AR2430" s="175">
        <v>0</v>
      </c>
      <c r="AS2430" s="175">
        <v>50</v>
      </c>
      <c r="AT2430" s="175">
        <v>0</v>
      </c>
    </row>
    <row r="2431" spans="1:46">
      <c r="A2431">
        <v>46629</v>
      </c>
      <c r="B2431" t="s">
        <v>14311</v>
      </c>
      <c r="C2431" t="s">
        <v>14312</v>
      </c>
      <c r="D2431" t="s">
        <v>14313</v>
      </c>
      <c r="E2431" t="s">
        <v>14314</v>
      </c>
      <c r="G2431" t="s">
        <v>1520</v>
      </c>
      <c r="H2431" t="s">
        <v>449</v>
      </c>
      <c r="J2431" t="s">
        <v>4032</v>
      </c>
      <c r="K2431" t="s">
        <v>606</v>
      </c>
      <c r="M2431" t="s">
        <v>1382</v>
      </c>
      <c r="N2431" t="s">
        <v>608</v>
      </c>
      <c r="O2431" t="s">
        <v>1521</v>
      </c>
      <c r="P2431" t="s">
        <v>610</v>
      </c>
      <c r="Q2431" t="s">
        <v>510</v>
      </c>
      <c r="R2431" t="s">
        <v>1384</v>
      </c>
      <c r="S2431" t="s">
        <v>1522</v>
      </c>
      <c r="T2431" t="s">
        <v>1320</v>
      </c>
      <c r="U2431">
        <v>169200</v>
      </c>
      <c r="V2431" t="s">
        <v>1520</v>
      </c>
      <c r="W2431" t="s">
        <v>1523</v>
      </c>
      <c r="X2431" t="s">
        <v>9409</v>
      </c>
      <c r="Y2431" t="s">
        <v>9408</v>
      </c>
      <c r="AA2431" t="s">
        <v>9410</v>
      </c>
      <c r="AB2431" t="s">
        <v>9411</v>
      </c>
      <c r="AC2431">
        <v>99070</v>
      </c>
      <c r="AD2431" t="s">
        <v>1528</v>
      </c>
      <c r="AE2431">
        <v>-37.379973909999997</v>
      </c>
      <c r="AF2431">
        <v>175.66974959000001</v>
      </c>
      <c r="AG2431" s="175">
        <v>80</v>
      </c>
      <c r="AH2431" s="175">
        <v>30</v>
      </c>
      <c r="AI2431" s="175">
        <v>0</v>
      </c>
      <c r="AJ2431" s="175">
        <v>3</v>
      </c>
      <c r="AK2431" s="175">
        <v>7</v>
      </c>
      <c r="AL2431" s="175">
        <v>13</v>
      </c>
      <c r="AM2431" s="175">
        <v>9</v>
      </c>
      <c r="AN2431" s="175">
        <v>0</v>
      </c>
      <c r="AO2431" s="175">
        <v>32</v>
      </c>
      <c r="AP2431" s="175">
        <v>28</v>
      </c>
      <c r="AQ2431" s="175">
        <v>11</v>
      </c>
      <c r="AR2431" s="175">
        <v>2</v>
      </c>
      <c r="AS2431" s="175">
        <v>1</v>
      </c>
      <c r="AT2431" s="175">
        <v>0</v>
      </c>
    </row>
    <row r="2432" spans="1:46">
      <c r="A2432">
        <v>46630</v>
      </c>
      <c r="B2432" t="s">
        <v>14315</v>
      </c>
      <c r="C2432" t="s">
        <v>14316</v>
      </c>
      <c r="D2432" t="s">
        <v>14317</v>
      </c>
      <c r="E2432" t="s">
        <v>14318</v>
      </c>
      <c r="F2432" t="s">
        <v>14319</v>
      </c>
      <c r="G2432" t="s">
        <v>2803</v>
      </c>
      <c r="H2432" t="s">
        <v>449</v>
      </c>
      <c r="J2432" t="s">
        <v>4032</v>
      </c>
      <c r="K2432" t="s">
        <v>606</v>
      </c>
      <c r="M2432" t="s">
        <v>2366</v>
      </c>
      <c r="N2432" t="s">
        <v>625</v>
      </c>
      <c r="O2432" t="s">
        <v>2147</v>
      </c>
      <c r="P2432" t="s">
        <v>1347</v>
      </c>
      <c r="Q2432" t="s">
        <v>553</v>
      </c>
      <c r="R2432" t="s">
        <v>2368</v>
      </c>
      <c r="S2432" t="s">
        <v>2148</v>
      </c>
      <c r="T2432" t="s">
        <v>1568</v>
      </c>
      <c r="U2432">
        <v>235200</v>
      </c>
      <c r="V2432" t="s">
        <v>3716</v>
      </c>
      <c r="W2432" t="s">
        <v>2805</v>
      </c>
      <c r="X2432" t="s">
        <v>14320</v>
      </c>
      <c r="Y2432" t="s">
        <v>4725</v>
      </c>
      <c r="Z2432" t="s">
        <v>1043</v>
      </c>
      <c r="AA2432" t="s">
        <v>4726</v>
      </c>
      <c r="AE2432">
        <v>-40.624030429999998</v>
      </c>
      <c r="AF2432">
        <v>175.27893754999999</v>
      </c>
      <c r="AG2432" s="175">
        <v>64</v>
      </c>
      <c r="AH2432" s="175">
        <v>25</v>
      </c>
      <c r="AI2432" s="175">
        <v>1</v>
      </c>
      <c r="AJ2432" s="175">
        <v>14</v>
      </c>
      <c r="AK2432" s="175">
        <v>13</v>
      </c>
      <c r="AL2432" s="175">
        <v>18</v>
      </c>
      <c r="AM2432" s="175">
        <v>10</v>
      </c>
      <c r="AN2432" s="175">
        <v>0</v>
      </c>
      <c r="AO2432" s="175">
        <v>56</v>
      </c>
      <c r="AP2432" s="175">
        <v>34</v>
      </c>
      <c r="AQ2432" s="175">
        <v>31</v>
      </c>
      <c r="AR2432" s="175">
        <v>9</v>
      </c>
      <c r="AS2432" s="175">
        <v>10</v>
      </c>
      <c r="AT2432" s="175">
        <v>1</v>
      </c>
    </row>
    <row r="2433" spans="1:46">
      <c r="A2433">
        <v>46632</v>
      </c>
      <c r="B2433" t="s">
        <v>14321</v>
      </c>
      <c r="C2433" t="s">
        <v>14322</v>
      </c>
      <c r="E2433" t="s">
        <v>14323</v>
      </c>
      <c r="G2433" t="s">
        <v>14324</v>
      </c>
      <c r="H2433" t="s">
        <v>449</v>
      </c>
      <c r="J2433" t="s">
        <v>4032</v>
      </c>
      <c r="K2433" t="s">
        <v>606</v>
      </c>
      <c r="M2433" t="s">
        <v>2366</v>
      </c>
      <c r="N2433" t="s">
        <v>657</v>
      </c>
      <c r="O2433" t="s">
        <v>13545</v>
      </c>
      <c r="P2433" t="s">
        <v>626</v>
      </c>
      <c r="Q2433" t="s">
        <v>521</v>
      </c>
      <c r="R2433" t="s">
        <v>3017</v>
      </c>
      <c r="S2433" t="s">
        <v>2902</v>
      </c>
      <c r="T2433" t="s">
        <v>2526</v>
      </c>
      <c r="U2433">
        <v>312400</v>
      </c>
      <c r="V2433" t="s">
        <v>14325</v>
      </c>
      <c r="W2433" t="s">
        <v>13857</v>
      </c>
      <c r="X2433" t="s">
        <v>14326</v>
      </c>
      <c r="Y2433" t="s">
        <v>14327</v>
      </c>
      <c r="AA2433" t="s">
        <v>14328</v>
      </c>
      <c r="AB2433" t="s">
        <v>14322</v>
      </c>
      <c r="AE2433">
        <v>-42.925957510000003</v>
      </c>
      <c r="AF2433">
        <v>172.64902701</v>
      </c>
      <c r="AG2433" s="175">
        <v>27</v>
      </c>
      <c r="AH2433" s="175">
        <v>5</v>
      </c>
      <c r="AI2433" s="175">
        <v>0</v>
      </c>
      <c r="AJ2433" s="175">
        <v>3</v>
      </c>
      <c r="AK2433" s="175">
        <v>7</v>
      </c>
      <c r="AL2433" s="175">
        <v>11</v>
      </c>
      <c r="AM2433" s="175">
        <v>13</v>
      </c>
      <c r="AN2433" s="175">
        <v>0</v>
      </c>
      <c r="AO2433" s="175">
        <v>34</v>
      </c>
      <c r="AP2433" s="175">
        <v>31</v>
      </c>
      <c r="AQ2433" s="175">
        <v>8</v>
      </c>
      <c r="AR2433" s="175">
        <v>0</v>
      </c>
      <c r="AS2433" s="175">
        <v>0</v>
      </c>
      <c r="AT2433" s="175">
        <v>2</v>
      </c>
    </row>
    <row r="2434" spans="1:46">
      <c r="A2434">
        <v>46633</v>
      </c>
      <c r="B2434" t="s">
        <v>14329</v>
      </c>
      <c r="C2434" t="s">
        <v>14330</v>
      </c>
      <c r="E2434" t="s">
        <v>14331</v>
      </c>
      <c r="F2434" t="s">
        <v>8970</v>
      </c>
      <c r="G2434" t="s">
        <v>1604</v>
      </c>
      <c r="H2434" t="s">
        <v>449</v>
      </c>
      <c r="J2434" t="s">
        <v>4032</v>
      </c>
      <c r="K2434" t="s">
        <v>606</v>
      </c>
      <c r="M2434" t="s">
        <v>1382</v>
      </c>
      <c r="N2434" t="s">
        <v>608</v>
      </c>
      <c r="O2434" t="s">
        <v>1605</v>
      </c>
      <c r="P2434" t="s">
        <v>670</v>
      </c>
      <c r="Q2434" t="s">
        <v>511</v>
      </c>
      <c r="R2434" t="s">
        <v>1555</v>
      </c>
      <c r="S2434" t="s">
        <v>1604</v>
      </c>
      <c r="T2434" t="s">
        <v>1557</v>
      </c>
      <c r="U2434">
        <v>200500</v>
      </c>
      <c r="V2434" t="s">
        <v>8968</v>
      </c>
      <c r="W2434" t="s">
        <v>1606</v>
      </c>
      <c r="X2434" t="s">
        <v>13523</v>
      </c>
      <c r="Y2434" t="s">
        <v>13524</v>
      </c>
      <c r="Z2434" t="s">
        <v>1711</v>
      </c>
      <c r="AA2434" t="s">
        <v>8584</v>
      </c>
      <c r="AB2434" t="s">
        <v>13525</v>
      </c>
      <c r="AC2434">
        <v>99019</v>
      </c>
      <c r="AD2434" t="s">
        <v>1648</v>
      </c>
      <c r="AE2434">
        <v>-38.149185260000003</v>
      </c>
      <c r="AF2434">
        <v>176.24614105000001</v>
      </c>
      <c r="AG2434" s="175">
        <v>35</v>
      </c>
      <c r="AH2434" s="175">
        <v>8</v>
      </c>
      <c r="AI2434" s="175">
        <v>1</v>
      </c>
      <c r="AJ2434" s="175">
        <v>4</v>
      </c>
      <c r="AK2434" s="175">
        <v>3</v>
      </c>
      <c r="AL2434" s="175">
        <v>12</v>
      </c>
      <c r="AM2434" s="175">
        <v>3</v>
      </c>
      <c r="AN2434" s="175">
        <v>0</v>
      </c>
      <c r="AO2434" s="175">
        <v>23</v>
      </c>
      <c r="AP2434" s="175">
        <v>2</v>
      </c>
      <c r="AQ2434" s="175">
        <v>19</v>
      </c>
      <c r="AR2434" s="175">
        <v>5</v>
      </c>
      <c r="AS2434" s="175">
        <v>3</v>
      </c>
      <c r="AT2434" s="175">
        <v>1</v>
      </c>
    </row>
    <row r="2435" spans="1:46">
      <c r="A2435">
        <v>46634</v>
      </c>
      <c r="B2435" t="s">
        <v>14332</v>
      </c>
      <c r="C2435" t="s">
        <v>14333</v>
      </c>
      <c r="D2435" t="s">
        <v>14334</v>
      </c>
      <c r="E2435" t="s">
        <v>14335</v>
      </c>
      <c r="F2435" t="s">
        <v>14336</v>
      </c>
      <c r="G2435" t="s">
        <v>3015</v>
      </c>
      <c r="H2435" t="s">
        <v>449</v>
      </c>
      <c r="J2435" t="s">
        <v>4032</v>
      </c>
      <c r="K2435" t="s">
        <v>606</v>
      </c>
      <c r="M2435" t="s">
        <v>2366</v>
      </c>
      <c r="N2435" t="s">
        <v>657</v>
      </c>
      <c r="O2435" t="s">
        <v>3016</v>
      </c>
      <c r="P2435" t="s">
        <v>739</v>
      </c>
      <c r="Q2435" t="s">
        <v>521</v>
      </c>
      <c r="R2435" t="s">
        <v>3017</v>
      </c>
      <c r="S2435" t="s">
        <v>3038</v>
      </c>
      <c r="T2435" t="s">
        <v>2526</v>
      </c>
      <c r="U2435">
        <v>316800</v>
      </c>
      <c r="V2435" t="s">
        <v>14337</v>
      </c>
      <c r="W2435" t="s">
        <v>3059</v>
      </c>
      <c r="X2435" t="s">
        <v>14338</v>
      </c>
      <c r="Y2435" t="s">
        <v>14339</v>
      </c>
      <c r="AA2435" t="s">
        <v>14340</v>
      </c>
      <c r="AB2435" t="s">
        <v>14341</v>
      </c>
      <c r="AC2435">
        <v>99039</v>
      </c>
      <c r="AD2435" t="s">
        <v>3060</v>
      </c>
      <c r="AE2435">
        <v>-43.459793849999997</v>
      </c>
      <c r="AF2435">
        <v>172.5904535</v>
      </c>
      <c r="AG2435" s="175">
        <v>69</v>
      </c>
      <c r="AH2435" s="175">
        <v>16</v>
      </c>
      <c r="AI2435" s="175">
        <v>5</v>
      </c>
      <c r="AJ2435" s="175">
        <v>16</v>
      </c>
      <c r="AK2435" s="175">
        <v>15</v>
      </c>
      <c r="AL2435" s="175">
        <v>23</v>
      </c>
      <c r="AM2435" s="175">
        <v>20</v>
      </c>
      <c r="AN2435" s="175">
        <v>0</v>
      </c>
      <c r="AO2435" s="175">
        <v>79</v>
      </c>
      <c r="AP2435" s="175">
        <v>77</v>
      </c>
      <c r="AQ2435" s="175">
        <v>8</v>
      </c>
      <c r="AR2435" s="175">
        <v>2</v>
      </c>
      <c r="AS2435" s="175">
        <v>0</v>
      </c>
      <c r="AT2435" s="175">
        <v>2</v>
      </c>
    </row>
    <row r="2436" spans="1:46">
      <c r="A2436">
        <v>46636</v>
      </c>
      <c r="B2436" t="s">
        <v>14342</v>
      </c>
      <c r="C2436" t="s">
        <v>14343</v>
      </c>
      <c r="D2436" t="s">
        <v>14344</v>
      </c>
      <c r="E2436" t="s">
        <v>14345</v>
      </c>
      <c r="G2436" t="s">
        <v>14346</v>
      </c>
      <c r="H2436" t="s">
        <v>452</v>
      </c>
      <c r="J2436" t="s">
        <v>605</v>
      </c>
      <c r="K2436" t="s">
        <v>606</v>
      </c>
      <c r="M2436" t="s">
        <v>2366</v>
      </c>
      <c r="N2436" t="s">
        <v>657</v>
      </c>
      <c r="O2436" t="s">
        <v>3016</v>
      </c>
      <c r="P2436" t="s">
        <v>610</v>
      </c>
      <c r="Q2436" t="s">
        <v>521</v>
      </c>
      <c r="R2436" t="s">
        <v>3017</v>
      </c>
      <c r="S2436" t="s">
        <v>3052</v>
      </c>
      <c r="T2436" t="s">
        <v>2526</v>
      </c>
      <c r="U2436">
        <v>332901</v>
      </c>
      <c r="V2436" t="s">
        <v>14346</v>
      </c>
      <c r="W2436" t="s">
        <v>3136</v>
      </c>
      <c r="X2436" t="s">
        <v>3021</v>
      </c>
      <c r="Y2436" t="s">
        <v>3022</v>
      </c>
      <c r="Z2436" t="s">
        <v>3023</v>
      </c>
      <c r="AA2436" t="s">
        <v>3024</v>
      </c>
      <c r="AB2436" t="s">
        <v>3025</v>
      </c>
      <c r="AC2436">
        <v>99177</v>
      </c>
      <c r="AD2436" t="s">
        <v>3032</v>
      </c>
      <c r="AE2436">
        <v>-43.630123079999997</v>
      </c>
      <c r="AF2436">
        <v>172.72671564000001</v>
      </c>
      <c r="AG2436" s="175">
        <v>40</v>
      </c>
      <c r="AH2436" s="175">
        <v>8</v>
      </c>
      <c r="AI2436" s="175">
        <v>0</v>
      </c>
      <c r="AJ2436" s="175">
        <v>5</v>
      </c>
      <c r="AK2436" s="175">
        <v>6</v>
      </c>
      <c r="AL2436" s="175">
        <v>6</v>
      </c>
      <c r="AM2436" s="175">
        <v>10</v>
      </c>
      <c r="AN2436" s="175">
        <v>0</v>
      </c>
      <c r="AO2436" s="175">
        <v>27</v>
      </c>
      <c r="AP2436" s="175">
        <v>26</v>
      </c>
      <c r="AQ2436" s="175">
        <v>2</v>
      </c>
      <c r="AR2436" s="175">
        <v>2</v>
      </c>
      <c r="AS2436" s="175">
        <v>1</v>
      </c>
      <c r="AT2436" s="175">
        <v>0</v>
      </c>
    </row>
    <row r="2437" spans="1:46">
      <c r="A2437">
        <v>46637</v>
      </c>
      <c r="B2437" t="s">
        <v>14347</v>
      </c>
      <c r="C2437" t="s">
        <v>14348</v>
      </c>
      <c r="D2437" t="s">
        <v>14349</v>
      </c>
      <c r="E2437" t="s">
        <v>14350</v>
      </c>
      <c r="F2437" t="s">
        <v>2715</v>
      </c>
      <c r="G2437" t="s">
        <v>2368</v>
      </c>
      <c r="H2437" t="s">
        <v>449</v>
      </c>
      <c r="J2437" t="s">
        <v>4032</v>
      </c>
      <c r="K2437" t="s">
        <v>606</v>
      </c>
      <c r="M2437" t="s">
        <v>2366</v>
      </c>
      <c r="N2437" t="s">
        <v>657</v>
      </c>
      <c r="O2437" t="s">
        <v>2614</v>
      </c>
      <c r="P2437" t="s">
        <v>739</v>
      </c>
      <c r="Q2437" t="s">
        <v>516</v>
      </c>
      <c r="R2437" t="s">
        <v>2368</v>
      </c>
      <c r="S2437" t="s">
        <v>2615</v>
      </c>
      <c r="T2437" t="s">
        <v>2526</v>
      </c>
      <c r="U2437">
        <v>254900</v>
      </c>
      <c r="V2437" t="s">
        <v>14351</v>
      </c>
      <c r="W2437" t="s">
        <v>2669</v>
      </c>
      <c r="X2437" t="s">
        <v>12458</v>
      </c>
      <c r="Y2437" t="s">
        <v>12459</v>
      </c>
      <c r="Z2437" t="s">
        <v>12460</v>
      </c>
      <c r="AA2437" t="s">
        <v>12461</v>
      </c>
      <c r="AE2437">
        <v>-41.325533210000003</v>
      </c>
      <c r="AF2437">
        <v>174.81222794000001</v>
      </c>
      <c r="AG2437" s="175">
        <v>28</v>
      </c>
      <c r="AH2437" s="175">
        <v>5</v>
      </c>
      <c r="AI2437" s="175">
        <v>1</v>
      </c>
      <c r="AJ2437" s="175">
        <v>6</v>
      </c>
      <c r="AK2437" s="175">
        <v>8</v>
      </c>
      <c r="AL2437" s="175">
        <v>7</v>
      </c>
      <c r="AM2437" s="175">
        <v>8</v>
      </c>
      <c r="AN2437" s="175">
        <v>0</v>
      </c>
      <c r="AO2437" s="175">
        <v>30</v>
      </c>
      <c r="AP2437" s="175">
        <v>23</v>
      </c>
      <c r="AQ2437" s="175">
        <v>4</v>
      </c>
      <c r="AR2437" s="175">
        <v>1</v>
      </c>
      <c r="AS2437" s="175">
        <v>4</v>
      </c>
      <c r="AT2437" s="175">
        <v>4</v>
      </c>
    </row>
    <row r="2438" spans="1:46">
      <c r="A2438">
        <v>46638</v>
      </c>
      <c r="B2438" t="s">
        <v>14352</v>
      </c>
      <c r="C2438" t="s">
        <v>14353</v>
      </c>
      <c r="D2438" t="s">
        <v>8366</v>
      </c>
      <c r="E2438" t="s">
        <v>14354</v>
      </c>
      <c r="F2438" t="s">
        <v>1121</v>
      </c>
      <c r="G2438" t="s">
        <v>737</v>
      </c>
      <c r="H2438" t="s">
        <v>449</v>
      </c>
      <c r="J2438" t="s">
        <v>605</v>
      </c>
      <c r="K2438" t="s">
        <v>606</v>
      </c>
      <c r="M2438" t="s">
        <v>607</v>
      </c>
      <c r="N2438" t="s">
        <v>643</v>
      </c>
      <c r="O2438" t="s">
        <v>1301</v>
      </c>
      <c r="P2438" t="s">
        <v>739</v>
      </c>
      <c r="Q2438" t="s">
        <v>467</v>
      </c>
      <c r="R2438" t="s">
        <v>814</v>
      </c>
      <c r="S2438" t="s">
        <v>1121</v>
      </c>
      <c r="T2438" t="s">
        <v>794</v>
      </c>
      <c r="U2438">
        <v>159101</v>
      </c>
      <c r="V2438" t="s">
        <v>12057</v>
      </c>
      <c r="W2438" t="s">
        <v>1304</v>
      </c>
      <c r="X2438" t="s">
        <v>8368</v>
      </c>
      <c r="Y2438" t="s">
        <v>8369</v>
      </c>
      <c r="Z2438" t="s">
        <v>1121</v>
      </c>
      <c r="AA2438" t="s">
        <v>5268</v>
      </c>
      <c r="AB2438" t="s">
        <v>8370</v>
      </c>
      <c r="AE2438">
        <v>-37.014067599999997</v>
      </c>
      <c r="AF2438">
        <v>174.89199762999999</v>
      </c>
      <c r="AG2438" s="175">
        <v>49</v>
      </c>
      <c r="AH2438" s="175">
        <v>15</v>
      </c>
      <c r="AI2438" s="175">
        <v>0</v>
      </c>
      <c r="AJ2438" s="175">
        <v>3</v>
      </c>
      <c r="AK2438" s="175">
        <v>6</v>
      </c>
      <c r="AL2438" s="175">
        <v>11</v>
      </c>
      <c r="AM2438" s="175">
        <v>12</v>
      </c>
      <c r="AN2438" s="175">
        <v>1</v>
      </c>
      <c r="AO2438" s="175">
        <v>33</v>
      </c>
      <c r="AP2438" s="175">
        <v>0</v>
      </c>
      <c r="AQ2438" s="175">
        <v>0</v>
      </c>
      <c r="AR2438" s="175">
        <v>1</v>
      </c>
      <c r="AS2438" s="175">
        <v>33</v>
      </c>
      <c r="AT2438" s="175">
        <v>1</v>
      </c>
    </row>
    <row r="2439" spans="1:46">
      <c r="A2439">
        <v>46641</v>
      </c>
      <c r="B2439" t="s">
        <v>14355</v>
      </c>
      <c r="D2439" t="s">
        <v>14356</v>
      </c>
      <c r="E2439" t="s">
        <v>14357</v>
      </c>
      <c r="G2439" t="s">
        <v>3015</v>
      </c>
      <c r="H2439" t="s">
        <v>450</v>
      </c>
      <c r="J2439" t="s">
        <v>4032</v>
      </c>
      <c r="K2439" t="s">
        <v>606</v>
      </c>
      <c r="M2439" t="s">
        <v>2366</v>
      </c>
      <c r="N2439" t="s">
        <v>657</v>
      </c>
      <c r="O2439" t="s">
        <v>3016</v>
      </c>
      <c r="P2439" t="s">
        <v>626</v>
      </c>
      <c r="Q2439" t="s">
        <v>521</v>
      </c>
      <c r="R2439" t="s">
        <v>3017</v>
      </c>
      <c r="S2439" t="s">
        <v>3046</v>
      </c>
      <c r="T2439" t="s">
        <v>2526</v>
      </c>
      <c r="U2439">
        <v>317201</v>
      </c>
      <c r="V2439" t="s">
        <v>14358</v>
      </c>
      <c r="W2439" t="s">
        <v>3047</v>
      </c>
      <c r="X2439" t="s">
        <v>14359</v>
      </c>
      <c r="Y2439" t="s">
        <v>14357</v>
      </c>
      <c r="Z2439" t="s">
        <v>3015</v>
      </c>
      <c r="AA2439" t="s">
        <v>14360</v>
      </c>
      <c r="AC2439">
        <v>99039</v>
      </c>
      <c r="AD2439" t="s">
        <v>3060</v>
      </c>
      <c r="AE2439">
        <v>-43.414428350000001</v>
      </c>
      <c r="AF2439">
        <v>172.65741095000001</v>
      </c>
      <c r="AG2439" s="175">
        <v>80</v>
      </c>
      <c r="AH2439" s="175">
        <v>80</v>
      </c>
      <c r="AI2439" s="175">
        <v>2</v>
      </c>
      <c r="AJ2439" s="175">
        <v>19</v>
      </c>
      <c r="AK2439" s="175">
        <v>23</v>
      </c>
      <c r="AL2439" s="175">
        <v>17</v>
      </c>
      <c r="AM2439" s="175">
        <v>23</v>
      </c>
      <c r="AN2439" s="175">
        <v>1</v>
      </c>
      <c r="AO2439" s="175">
        <v>85</v>
      </c>
      <c r="AP2439" s="175">
        <v>82</v>
      </c>
      <c r="AQ2439" s="175">
        <v>9</v>
      </c>
      <c r="AR2439" s="175">
        <v>2</v>
      </c>
      <c r="AS2439" s="175">
        <v>7</v>
      </c>
      <c r="AT2439" s="175">
        <v>0</v>
      </c>
    </row>
    <row r="2440" spans="1:46">
      <c r="A2440">
        <v>46644</v>
      </c>
      <c r="B2440" t="s">
        <v>14361</v>
      </c>
      <c r="C2440" t="s">
        <v>14362</v>
      </c>
      <c r="E2440" t="s">
        <v>14363</v>
      </c>
      <c r="F2440" t="s">
        <v>14364</v>
      </c>
      <c r="G2440" t="s">
        <v>3454</v>
      </c>
      <c r="H2440" t="s">
        <v>449</v>
      </c>
      <c r="I2440" t="s">
        <v>4134</v>
      </c>
      <c r="J2440" t="s">
        <v>4032</v>
      </c>
      <c r="K2440" t="s">
        <v>606</v>
      </c>
      <c r="M2440" t="s">
        <v>2366</v>
      </c>
      <c r="N2440" t="s">
        <v>657</v>
      </c>
      <c r="O2440" t="s">
        <v>3455</v>
      </c>
      <c r="P2440" t="s">
        <v>739</v>
      </c>
      <c r="Q2440" t="s">
        <v>522</v>
      </c>
      <c r="R2440" t="s">
        <v>3410</v>
      </c>
      <c r="S2440" t="s">
        <v>3454</v>
      </c>
      <c r="T2440" t="s">
        <v>2526</v>
      </c>
      <c r="U2440">
        <v>353300</v>
      </c>
      <c r="V2440" t="s">
        <v>14364</v>
      </c>
      <c r="W2440" t="s">
        <v>1734</v>
      </c>
      <c r="X2440" t="s">
        <v>14365</v>
      </c>
      <c r="Y2440" t="s">
        <v>14366</v>
      </c>
      <c r="Z2440" t="s">
        <v>14367</v>
      </c>
      <c r="AA2440" t="s">
        <v>14368</v>
      </c>
      <c r="AE2440">
        <v>-45.88649238</v>
      </c>
      <c r="AF2440">
        <v>170.47618797999999</v>
      </c>
      <c r="AG2440" s="175">
        <v>24</v>
      </c>
      <c r="AH2440" s="175">
        <v>0</v>
      </c>
      <c r="AI2440" s="175">
        <v>0</v>
      </c>
      <c r="AJ2440" s="175">
        <v>0</v>
      </c>
      <c r="AK2440" s="175">
        <v>5</v>
      </c>
      <c r="AL2440" s="175">
        <v>8</v>
      </c>
      <c r="AM2440" s="175">
        <v>10</v>
      </c>
      <c r="AN2440" s="175">
        <v>1</v>
      </c>
      <c r="AO2440" s="175">
        <v>24</v>
      </c>
      <c r="AP2440" s="175">
        <v>9</v>
      </c>
      <c r="AQ2440" s="175">
        <v>2</v>
      </c>
      <c r="AR2440" s="175">
        <v>1</v>
      </c>
      <c r="AS2440" s="175">
        <v>14</v>
      </c>
      <c r="AT2440" s="175">
        <v>0</v>
      </c>
    </row>
    <row r="2441" spans="1:46">
      <c r="A2441">
        <v>46649</v>
      </c>
      <c r="B2441" t="s">
        <v>14369</v>
      </c>
      <c r="C2441" t="s">
        <v>14370</v>
      </c>
      <c r="D2441" t="s">
        <v>14371</v>
      </c>
      <c r="E2441" t="s">
        <v>14372</v>
      </c>
      <c r="F2441" t="s">
        <v>667</v>
      </c>
      <c r="G2441" t="s">
        <v>668</v>
      </c>
      <c r="H2441" t="s">
        <v>450</v>
      </c>
      <c r="J2441" t="s">
        <v>4032</v>
      </c>
      <c r="K2441" t="s">
        <v>606</v>
      </c>
      <c r="M2441" t="s">
        <v>607</v>
      </c>
      <c r="N2441" t="s">
        <v>657</v>
      </c>
      <c r="O2441" t="s">
        <v>669</v>
      </c>
      <c r="P2441" t="s">
        <v>670</v>
      </c>
      <c r="Q2441" t="s">
        <v>509</v>
      </c>
      <c r="R2441" t="s">
        <v>611</v>
      </c>
      <c r="S2441" t="s">
        <v>671</v>
      </c>
      <c r="T2441" t="s">
        <v>613</v>
      </c>
      <c r="U2441">
        <v>106201</v>
      </c>
      <c r="V2441" t="s">
        <v>672</v>
      </c>
      <c r="W2441" t="s">
        <v>673</v>
      </c>
      <c r="X2441" t="s">
        <v>14373</v>
      </c>
      <c r="Y2441" t="s">
        <v>14374</v>
      </c>
      <c r="AA2441" t="s">
        <v>4596</v>
      </c>
      <c r="AE2441">
        <v>-35.685092650000001</v>
      </c>
      <c r="AF2441">
        <v>174.32232662000001</v>
      </c>
      <c r="AG2441" s="175">
        <v>80</v>
      </c>
      <c r="AH2441" s="175">
        <v>80</v>
      </c>
      <c r="AI2441" s="175">
        <v>1</v>
      </c>
      <c r="AJ2441" s="175">
        <v>9</v>
      </c>
      <c r="AK2441" s="175">
        <v>14</v>
      </c>
      <c r="AL2441" s="175">
        <v>16</v>
      </c>
      <c r="AM2441" s="175">
        <v>12</v>
      </c>
      <c r="AN2441" s="175">
        <v>7</v>
      </c>
      <c r="AO2441" s="175">
        <v>59</v>
      </c>
      <c r="AP2441" s="175">
        <v>42</v>
      </c>
      <c r="AQ2441" s="175">
        <v>24</v>
      </c>
      <c r="AR2441" s="175">
        <v>6</v>
      </c>
      <c r="AS2441" s="175">
        <v>4</v>
      </c>
      <c r="AT2441" s="175">
        <v>3</v>
      </c>
    </row>
    <row r="2442" spans="1:46">
      <c r="A2442">
        <v>46650</v>
      </c>
      <c r="B2442" t="s">
        <v>14375</v>
      </c>
      <c r="C2442" t="s">
        <v>14376</v>
      </c>
      <c r="D2442" t="s">
        <v>14377</v>
      </c>
      <c r="E2442" t="s">
        <v>14378</v>
      </c>
      <c r="F2442" t="s">
        <v>932</v>
      </c>
      <c r="G2442" t="s">
        <v>737</v>
      </c>
      <c r="H2442" t="s">
        <v>449</v>
      </c>
      <c r="I2442" t="s">
        <v>5017</v>
      </c>
      <c r="J2442" t="s">
        <v>4032</v>
      </c>
      <c r="K2442" t="s">
        <v>606</v>
      </c>
      <c r="M2442" t="s">
        <v>607</v>
      </c>
      <c r="N2442" t="s">
        <v>608</v>
      </c>
      <c r="O2442" t="s">
        <v>933</v>
      </c>
      <c r="P2442" t="s">
        <v>739</v>
      </c>
      <c r="Q2442" t="s">
        <v>467</v>
      </c>
      <c r="R2442" t="s">
        <v>814</v>
      </c>
      <c r="S2442" t="s">
        <v>934</v>
      </c>
      <c r="T2442" t="s">
        <v>794</v>
      </c>
      <c r="U2442">
        <v>148600</v>
      </c>
      <c r="V2442" t="s">
        <v>14379</v>
      </c>
      <c r="W2442" t="s">
        <v>817</v>
      </c>
      <c r="X2442" t="s">
        <v>14380</v>
      </c>
      <c r="Y2442" t="s">
        <v>14381</v>
      </c>
      <c r="AA2442" t="s">
        <v>12278</v>
      </c>
      <c r="AB2442" t="s">
        <v>14382</v>
      </c>
      <c r="AE2442">
        <v>-36.960610010000003</v>
      </c>
      <c r="AF2442">
        <v>174.80199157999999</v>
      </c>
      <c r="AG2442" s="175">
        <v>50</v>
      </c>
      <c r="AH2442" s="175">
        <v>0</v>
      </c>
      <c r="AI2442" s="175">
        <v>0</v>
      </c>
      <c r="AJ2442" s="175">
        <v>0</v>
      </c>
      <c r="AK2442" s="175">
        <v>11</v>
      </c>
      <c r="AL2442" s="175">
        <v>10</v>
      </c>
      <c r="AM2442" s="175">
        <v>15</v>
      </c>
      <c r="AN2442" s="175">
        <v>0</v>
      </c>
      <c r="AO2442" s="175">
        <v>36</v>
      </c>
      <c r="AP2442" s="175">
        <v>13</v>
      </c>
      <c r="AQ2442" s="175">
        <v>29</v>
      </c>
      <c r="AR2442" s="175">
        <v>23</v>
      </c>
      <c r="AS2442" s="175">
        <v>2</v>
      </c>
      <c r="AT2442" s="175">
        <v>0</v>
      </c>
    </row>
    <row r="2443" spans="1:46">
      <c r="A2443">
        <v>46654</v>
      </c>
      <c r="B2443" t="s">
        <v>14383</v>
      </c>
      <c r="C2443" t="s">
        <v>14384</v>
      </c>
      <c r="E2443" t="s">
        <v>14385</v>
      </c>
      <c r="F2443" t="s">
        <v>10440</v>
      </c>
      <c r="G2443" t="s">
        <v>2055</v>
      </c>
      <c r="H2443" t="s">
        <v>449</v>
      </c>
      <c r="J2443" t="s">
        <v>4032</v>
      </c>
      <c r="K2443" t="s">
        <v>606</v>
      </c>
      <c r="M2443" t="s">
        <v>1382</v>
      </c>
      <c r="N2443" t="s">
        <v>657</v>
      </c>
      <c r="O2443" t="s">
        <v>2037</v>
      </c>
      <c r="P2443" t="s">
        <v>658</v>
      </c>
      <c r="Q2443" t="s">
        <v>553</v>
      </c>
      <c r="R2443" t="s">
        <v>1841</v>
      </c>
      <c r="S2443" t="s">
        <v>1719</v>
      </c>
      <c r="T2443" t="s">
        <v>1568</v>
      </c>
      <c r="U2443">
        <v>229400</v>
      </c>
      <c r="V2443" t="s">
        <v>14386</v>
      </c>
      <c r="W2443" t="s">
        <v>2038</v>
      </c>
      <c r="X2443" t="s">
        <v>14387</v>
      </c>
      <c r="Y2443" t="s">
        <v>14388</v>
      </c>
      <c r="Z2443" t="s">
        <v>2056</v>
      </c>
      <c r="AA2443" t="s">
        <v>14389</v>
      </c>
      <c r="AB2443" t="s">
        <v>14390</v>
      </c>
      <c r="AC2443">
        <v>99052</v>
      </c>
      <c r="AD2443" t="s">
        <v>2043</v>
      </c>
      <c r="AE2443">
        <v>-40.313218800000001</v>
      </c>
      <c r="AF2443">
        <v>175.65316383000001</v>
      </c>
      <c r="AG2443" s="175">
        <v>72</v>
      </c>
      <c r="AH2443" s="175">
        <v>27</v>
      </c>
      <c r="AI2443" s="175">
        <v>3</v>
      </c>
      <c r="AJ2443" s="175">
        <v>11</v>
      </c>
      <c r="AK2443" s="175">
        <v>20</v>
      </c>
      <c r="AL2443" s="175">
        <v>21</v>
      </c>
      <c r="AM2443" s="175">
        <v>22</v>
      </c>
      <c r="AN2443" s="175">
        <v>0</v>
      </c>
      <c r="AO2443" s="175">
        <v>77</v>
      </c>
      <c r="AP2443" s="175">
        <v>70</v>
      </c>
      <c r="AQ2443" s="175">
        <v>16</v>
      </c>
      <c r="AR2443" s="175">
        <v>0</v>
      </c>
      <c r="AS2443" s="175">
        <v>1</v>
      </c>
      <c r="AT2443" s="175">
        <v>1</v>
      </c>
    </row>
    <row r="2444" spans="1:46">
      <c r="A2444">
        <v>46656</v>
      </c>
      <c r="B2444" t="s">
        <v>14391</v>
      </c>
      <c r="C2444" t="s">
        <v>14392</v>
      </c>
      <c r="E2444" t="s">
        <v>14393</v>
      </c>
      <c r="G2444" t="s">
        <v>8953</v>
      </c>
      <c r="H2444" t="s">
        <v>449</v>
      </c>
      <c r="J2444" t="s">
        <v>4032</v>
      </c>
      <c r="K2444" t="s">
        <v>606</v>
      </c>
      <c r="M2444" t="s">
        <v>1382</v>
      </c>
      <c r="N2444" t="s">
        <v>657</v>
      </c>
      <c r="O2444" t="s">
        <v>1825</v>
      </c>
      <c r="P2444" t="s">
        <v>610</v>
      </c>
      <c r="Q2444" t="s">
        <v>511</v>
      </c>
      <c r="R2444" t="s">
        <v>1555</v>
      </c>
      <c r="S2444" t="s">
        <v>1522</v>
      </c>
      <c r="T2444" t="s">
        <v>1557</v>
      </c>
      <c r="U2444">
        <v>191001</v>
      </c>
      <c r="V2444" t="s">
        <v>8954</v>
      </c>
      <c r="W2444" t="s">
        <v>8823</v>
      </c>
      <c r="X2444" t="s">
        <v>14394</v>
      </c>
      <c r="Y2444" t="s">
        <v>14393</v>
      </c>
      <c r="AA2444" t="s">
        <v>8550</v>
      </c>
      <c r="AE2444">
        <v>-37.646190109999999</v>
      </c>
      <c r="AF2444">
        <v>176.03440843999999</v>
      </c>
      <c r="AG2444" s="175">
        <v>75</v>
      </c>
      <c r="AH2444" s="175">
        <v>18</v>
      </c>
      <c r="AI2444" s="175">
        <v>0</v>
      </c>
      <c r="AJ2444" s="175">
        <v>5</v>
      </c>
      <c r="AK2444" s="175">
        <v>10</v>
      </c>
      <c r="AL2444" s="175">
        <v>15</v>
      </c>
      <c r="AM2444" s="175">
        <v>13</v>
      </c>
      <c r="AN2444" s="175">
        <v>0</v>
      </c>
      <c r="AO2444" s="175">
        <v>43</v>
      </c>
      <c r="AP2444" s="175">
        <v>38</v>
      </c>
      <c r="AQ2444" s="175">
        <v>10</v>
      </c>
      <c r="AR2444" s="175">
        <v>1</v>
      </c>
      <c r="AS2444" s="175">
        <v>0</v>
      </c>
      <c r="AT2444" s="175">
        <v>5</v>
      </c>
    </row>
    <row r="2445" spans="1:46">
      <c r="A2445">
        <v>46657</v>
      </c>
      <c r="B2445" t="s">
        <v>14395</v>
      </c>
      <c r="C2445" t="s">
        <v>14396</v>
      </c>
      <c r="E2445" t="s">
        <v>14397</v>
      </c>
      <c r="G2445" t="s">
        <v>1839</v>
      </c>
      <c r="H2445" t="s">
        <v>449</v>
      </c>
      <c r="J2445" t="s">
        <v>4032</v>
      </c>
      <c r="K2445" t="s">
        <v>606</v>
      </c>
      <c r="M2445" t="s">
        <v>1382</v>
      </c>
      <c r="N2445" t="s">
        <v>657</v>
      </c>
      <c r="O2445" t="s">
        <v>1840</v>
      </c>
      <c r="P2445" t="s">
        <v>670</v>
      </c>
      <c r="Q2445" t="s">
        <v>514</v>
      </c>
      <c r="R2445" t="s">
        <v>1841</v>
      </c>
      <c r="S2445" t="s">
        <v>1839</v>
      </c>
      <c r="T2445" t="s">
        <v>1568</v>
      </c>
      <c r="U2445">
        <v>218001</v>
      </c>
      <c r="V2445" t="s">
        <v>3706</v>
      </c>
      <c r="W2445" t="s">
        <v>1843</v>
      </c>
      <c r="X2445" t="s">
        <v>14398</v>
      </c>
      <c r="Y2445" t="s">
        <v>14397</v>
      </c>
      <c r="AA2445" t="s">
        <v>14399</v>
      </c>
      <c r="AE2445">
        <v>-39.098919180000003</v>
      </c>
      <c r="AF2445">
        <v>174.07918233999999</v>
      </c>
      <c r="AG2445" s="175">
        <v>20</v>
      </c>
      <c r="AH2445" s="175">
        <v>0</v>
      </c>
      <c r="AI2445" s="175">
        <v>0</v>
      </c>
      <c r="AJ2445" s="175">
        <v>0</v>
      </c>
      <c r="AK2445" s="175">
        <v>3</v>
      </c>
      <c r="AL2445" s="175">
        <v>13</v>
      </c>
      <c r="AM2445" s="175">
        <v>9</v>
      </c>
      <c r="AN2445" s="175">
        <v>5</v>
      </c>
      <c r="AO2445" s="175">
        <v>30</v>
      </c>
      <c r="AP2445" s="175">
        <v>26</v>
      </c>
      <c r="AQ2445" s="175">
        <v>6</v>
      </c>
      <c r="AR2445" s="175">
        <v>0</v>
      </c>
      <c r="AS2445" s="175">
        <v>1</v>
      </c>
      <c r="AT2445" s="175">
        <v>1</v>
      </c>
    </row>
    <row r="2446" spans="1:46">
      <c r="A2446">
        <v>46661</v>
      </c>
      <c r="B2446" t="s">
        <v>14400</v>
      </c>
      <c r="C2446" t="s">
        <v>13637</v>
      </c>
      <c r="D2446" t="s">
        <v>8100</v>
      </c>
      <c r="E2446" t="s">
        <v>14401</v>
      </c>
      <c r="F2446" t="s">
        <v>1302</v>
      </c>
      <c r="G2446" t="s">
        <v>737</v>
      </c>
      <c r="H2446" t="s">
        <v>449</v>
      </c>
      <c r="J2446" t="s">
        <v>4032</v>
      </c>
      <c r="K2446" t="s">
        <v>606</v>
      </c>
      <c r="M2446" t="s">
        <v>607</v>
      </c>
      <c r="N2446" t="s">
        <v>625</v>
      </c>
      <c r="O2446" t="s">
        <v>1353</v>
      </c>
      <c r="P2446" t="s">
        <v>739</v>
      </c>
      <c r="Q2446" t="s">
        <v>467</v>
      </c>
      <c r="R2446" t="s">
        <v>814</v>
      </c>
      <c r="S2446" t="s">
        <v>1302</v>
      </c>
      <c r="T2446" t="s">
        <v>794</v>
      </c>
      <c r="U2446">
        <v>162102</v>
      </c>
      <c r="V2446" t="s">
        <v>14402</v>
      </c>
      <c r="W2446" t="s">
        <v>1304</v>
      </c>
      <c r="X2446" t="s">
        <v>8102</v>
      </c>
      <c r="Y2446" t="s">
        <v>8103</v>
      </c>
      <c r="AA2446" t="s">
        <v>8104</v>
      </c>
      <c r="AB2446" t="s">
        <v>8105</v>
      </c>
      <c r="AE2446">
        <v>-37.040194560000003</v>
      </c>
      <c r="AF2446">
        <v>174.93169478999999</v>
      </c>
      <c r="AG2446" s="175">
        <v>150</v>
      </c>
      <c r="AH2446" s="175">
        <v>20</v>
      </c>
      <c r="AI2446" s="175">
        <v>4</v>
      </c>
      <c r="AJ2446" s="175">
        <v>18</v>
      </c>
      <c r="AK2446" s="175">
        <v>33</v>
      </c>
      <c r="AL2446" s="175">
        <v>38</v>
      </c>
      <c r="AM2446" s="175">
        <v>46</v>
      </c>
      <c r="AN2446" s="175">
        <v>6</v>
      </c>
      <c r="AO2446" s="175">
        <v>145</v>
      </c>
      <c r="AP2446" s="175">
        <v>17</v>
      </c>
      <c r="AQ2446" s="175">
        <v>18</v>
      </c>
      <c r="AR2446" s="175">
        <v>22</v>
      </c>
      <c r="AS2446" s="175">
        <v>101</v>
      </c>
      <c r="AT2446" s="175">
        <v>7</v>
      </c>
    </row>
    <row r="2447" spans="1:46">
      <c r="A2447">
        <v>46662</v>
      </c>
      <c r="B2447" t="s">
        <v>14403</v>
      </c>
      <c r="C2447" t="s">
        <v>14404</v>
      </c>
      <c r="D2447" t="s">
        <v>14405</v>
      </c>
      <c r="E2447" t="s">
        <v>14406</v>
      </c>
      <c r="G2447" t="s">
        <v>1319</v>
      </c>
      <c r="H2447" t="s">
        <v>449</v>
      </c>
      <c r="J2447" t="s">
        <v>605</v>
      </c>
      <c r="K2447" t="s">
        <v>606</v>
      </c>
      <c r="M2447" t="s">
        <v>607</v>
      </c>
      <c r="N2447" t="s">
        <v>643</v>
      </c>
      <c r="O2447" t="s">
        <v>1353</v>
      </c>
      <c r="P2447" t="s">
        <v>739</v>
      </c>
      <c r="Q2447" t="s">
        <v>467</v>
      </c>
      <c r="R2447" t="s">
        <v>814</v>
      </c>
      <c r="S2447" t="s">
        <v>1319</v>
      </c>
      <c r="T2447" t="s">
        <v>1320</v>
      </c>
      <c r="U2447">
        <v>163001</v>
      </c>
      <c r="V2447" t="s">
        <v>1362</v>
      </c>
      <c r="W2447" t="s">
        <v>1304</v>
      </c>
      <c r="X2447" t="s">
        <v>4013</v>
      </c>
      <c r="Y2447" t="s">
        <v>4014</v>
      </c>
      <c r="Z2447" t="s">
        <v>4015</v>
      </c>
      <c r="AA2447" t="s">
        <v>4016</v>
      </c>
      <c r="AB2447" t="s">
        <v>4017</v>
      </c>
      <c r="AE2447">
        <v>-37.058149069999999</v>
      </c>
      <c r="AF2447">
        <v>174.94411954</v>
      </c>
      <c r="AG2447" s="175">
        <v>80</v>
      </c>
      <c r="AH2447" s="175">
        <v>19</v>
      </c>
      <c r="AI2447" s="175">
        <v>3</v>
      </c>
      <c r="AJ2447" s="175">
        <v>15</v>
      </c>
      <c r="AK2447" s="175">
        <v>19</v>
      </c>
      <c r="AL2447" s="175">
        <v>19</v>
      </c>
      <c r="AM2447" s="175">
        <v>19</v>
      </c>
      <c r="AN2447" s="175">
        <v>0</v>
      </c>
      <c r="AO2447" s="175">
        <v>75</v>
      </c>
      <c r="AP2447" s="175">
        <v>42</v>
      </c>
      <c r="AQ2447" s="175">
        <v>14</v>
      </c>
      <c r="AR2447" s="175">
        <v>10</v>
      </c>
      <c r="AS2447" s="175">
        <v>25</v>
      </c>
      <c r="AT2447" s="175">
        <v>5</v>
      </c>
    </row>
    <row r="2448" spans="1:46">
      <c r="A2448">
        <v>46669</v>
      </c>
      <c r="B2448" t="s">
        <v>14407</v>
      </c>
      <c r="C2448" t="s">
        <v>14408</v>
      </c>
      <c r="E2448" t="s">
        <v>14409</v>
      </c>
      <c r="F2448" t="s">
        <v>2077</v>
      </c>
      <c r="G2448" t="s">
        <v>2055</v>
      </c>
      <c r="H2448" t="s">
        <v>347</v>
      </c>
      <c r="J2448" t="s">
        <v>605</v>
      </c>
      <c r="K2448" t="s">
        <v>606</v>
      </c>
      <c r="L2448" t="s">
        <v>4273</v>
      </c>
      <c r="M2448" t="s">
        <v>2366</v>
      </c>
      <c r="N2448" t="s">
        <v>608</v>
      </c>
      <c r="O2448" t="s">
        <v>2037</v>
      </c>
      <c r="P2448" t="s">
        <v>670</v>
      </c>
      <c r="Q2448" t="s">
        <v>553</v>
      </c>
      <c r="R2448" t="s">
        <v>2368</v>
      </c>
      <c r="S2448" t="s">
        <v>2055</v>
      </c>
      <c r="T2448" t="s">
        <v>1568</v>
      </c>
      <c r="U2448">
        <v>229900</v>
      </c>
      <c r="V2448" t="s">
        <v>2135</v>
      </c>
      <c r="W2448" t="s">
        <v>2038</v>
      </c>
      <c r="X2448" t="s">
        <v>10392</v>
      </c>
      <c r="Y2448" t="s">
        <v>4276</v>
      </c>
      <c r="Z2448" t="s">
        <v>4277</v>
      </c>
      <c r="AA2448" t="s">
        <v>4278</v>
      </c>
      <c r="AB2448" t="s">
        <v>10393</v>
      </c>
      <c r="AE2448">
        <v>-40.360314090000003</v>
      </c>
      <c r="AF2448">
        <v>175.58684063999999</v>
      </c>
      <c r="AG2448" s="175">
        <v>18</v>
      </c>
      <c r="AH2448" s="175">
        <v>8</v>
      </c>
      <c r="AI2448" s="175">
        <v>1</v>
      </c>
      <c r="AJ2448" s="175">
        <v>1</v>
      </c>
      <c r="AK2448" s="175">
        <v>3</v>
      </c>
      <c r="AL2448" s="175">
        <v>7</v>
      </c>
      <c r="AM2448" s="175">
        <v>5</v>
      </c>
      <c r="AN2448" s="175">
        <v>0</v>
      </c>
      <c r="AO2448" s="175">
        <v>17</v>
      </c>
      <c r="AP2448" s="175">
        <v>0</v>
      </c>
      <c r="AQ2448" s="175">
        <v>16</v>
      </c>
      <c r="AR2448" s="175">
        <v>1</v>
      </c>
      <c r="AS2448" s="175">
        <v>0</v>
      </c>
      <c r="AT2448" s="175">
        <v>0</v>
      </c>
    </row>
    <row r="2449" spans="1:46">
      <c r="A2449">
        <v>46671</v>
      </c>
      <c r="B2449" t="s">
        <v>14410</v>
      </c>
      <c r="C2449" t="s">
        <v>14411</v>
      </c>
      <c r="E2449" t="s">
        <v>14412</v>
      </c>
      <c r="F2449" t="s">
        <v>8439</v>
      </c>
      <c r="G2449" t="s">
        <v>1681</v>
      </c>
      <c r="H2449" t="s">
        <v>449</v>
      </c>
      <c r="I2449" t="s">
        <v>4134</v>
      </c>
      <c r="J2449" t="s">
        <v>4032</v>
      </c>
      <c r="K2449" t="s">
        <v>606</v>
      </c>
      <c r="M2449" t="s">
        <v>1382</v>
      </c>
      <c r="N2449" t="s">
        <v>657</v>
      </c>
      <c r="O2449" t="s">
        <v>1780</v>
      </c>
      <c r="P2449" t="s">
        <v>739</v>
      </c>
      <c r="Q2449" t="s">
        <v>511</v>
      </c>
      <c r="R2449" t="s">
        <v>1555</v>
      </c>
      <c r="S2449" t="s">
        <v>1681</v>
      </c>
      <c r="T2449" t="s">
        <v>1557</v>
      </c>
      <c r="U2449">
        <v>193900</v>
      </c>
      <c r="V2449" t="s">
        <v>8440</v>
      </c>
      <c r="W2449" t="s">
        <v>1806</v>
      </c>
      <c r="X2449" t="s">
        <v>14413</v>
      </c>
      <c r="Y2449" t="s">
        <v>14412</v>
      </c>
      <c r="AA2449" t="s">
        <v>14414</v>
      </c>
      <c r="AB2449" t="s">
        <v>14415</v>
      </c>
      <c r="AC2449">
        <v>99064</v>
      </c>
      <c r="AD2449" t="s">
        <v>1784</v>
      </c>
      <c r="AE2449">
        <v>-37.665987219999998</v>
      </c>
      <c r="AF2449">
        <v>176.20765370000001</v>
      </c>
      <c r="AG2449" s="175">
        <v>75</v>
      </c>
      <c r="AH2449" s="175">
        <v>15</v>
      </c>
      <c r="AI2449" s="175">
        <v>1</v>
      </c>
      <c r="AJ2449" s="175">
        <v>7</v>
      </c>
      <c r="AK2449" s="175">
        <v>13</v>
      </c>
      <c r="AL2449" s="175">
        <v>14</v>
      </c>
      <c r="AM2449" s="175">
        <v>5</v>
      </c>
      <c r="AN2449" s="175">
        <v>3</v>
      </c>
      <c r="AO2449" s="175">
        <v>43</v>
      </c>
      <c r="AP2449" s="175">
        <v>37</v>
      </c>
      <c r="AQ2449" s="175">
        <v>4</v>
      </c>
      <c r="AR2449" s="175">
        <v>2</v>
      </c>
      <c r="AS2449" s="175">
        <v>0</v>
      </c>
      <c r="AT2449" s="175">
        <v>9</v>
      </c>
    </row>
    <row r="2450" spans="1:46">
      <c r="A2450">
        <v>46674</v>
      </c>
      <c r="B2450" t="s">
        <v>14416</v>
      </c>
      <c r="E2450" t="s">
        <v>8318</v>
      </c>
      <c r="F2450" t="s">
        <v>8319</v>
      </c>
      <c r="G2450" t="s">
        <v>737</v>
      </c>
      <c r="H2450" t="s">
        <v>450</v>
      </c>
      <c r="J2450" t="s">
        <v>4032</v>
      </c>
      <c r="K2450" t="s">
        <v>606</v>
      </c>
      <c r="M2450" t="s">
        <v>607</v>
      </c>
      <c r="N2450" t="s">
        <v>657</v>
      </c>
      <c r="O2450" t="s">
        <v>1253</v>
      </c>
      <c r="P2450" t="s">
        <v>739</v>
      </c>
      <c r="Q2450" t="s">
        <v>467</v>
      </c>
      <c r="R2450" t="s">
        <v>724</v>
      </c>
      <c r="S2450" t="s">
        <v>740</v>
      </c>
      <c r="T2450" t="s">
        <v>613</v>
      </c>
      <c r="U2450">
        <v>118600</v>
      </c>
      <c r="V2450" t="s">
        <v>4082</v>
      </c>
      <c r="W2450" t="s">
        <v>742</v>
      </c>
      <c r="X2450" t="s">
        <v>6333</v>
      </c>
      <c r="Y2450" t="s">
        <v>6334</v>
      </c>
      <c r="Z2450" t="s">
        <v>3777</v>
      </c>
      <c r="AA2450" t="s">
        <v>6335</v>
      </c>
      <c r="AE2450">
        <v>-36.746005840000002</v>
      </c>
      <c r="AF2450">
        <v>174.70431893</v>
      </c>
      <c r="AG2450" s="175">
        <v>80</v>
      </c>
      <c r="AH2450" s="175">
        <v>80</v>
      </c>
      <c r="AI2450" s="175">
        <v>8</v>
      </c>
      <c r="AJ2450" s="175">
        <v>12</v>
      </c>
      <c r="AK2450" s="175">
        <v>5</v>
      </c>
      <c r="AL2450" s="175">
        <v>10</v>
      </c>
      <c r="AM2450" s="175">
        <v>15</v>
      </c>
      <c r="AN2450" s="175">
        <v>0</v>
      </c>
      <c r="AO2450" s="175">
        <v>50</v>
      </c>
      <c r="AP2450" s="175">
        <v>1</v>
      </c>
      <c r="AQ2450" s="175">
        <v>0</v>
      </c>
      <c r="AR2450" s="175">
        <v>0</v>
      </c>
      <c r="AS2450" s="175">
        <v>50</v>
      </c>
      <c r="AT2450" s="175">
        <v>0</v>
      </c>
    </row>
    <row r="2451" spans="1:46">
      <c r="A2451">
        <v>46676</v>
      </c>
      <c r="B2451" t="s">
        <v>14417</v>
      </c>
      <c r="C2451" t="s">
        <v>14418</v>
      </c>
      <c r="E2451" t="s">
        <v>14419</v>
      </c>
      <c r="F2451" t="s">
        <v>1120</v>
      </c>
      <c r="G2451" t="s">
        <v>737</v>
      </c>
      <c r="H2451" t="s">
        <v>449</v>
      </c>
      <c r="I2451" t="s">
        <v>4320</v>
      </c>
      <c r="J2451" t="s">
        <v>4032</v>
      </c>
      <c r="K2451" t="s">
        <v>606</v>
      </c>
      <c r="M2451" t="s">
        <v>607</v>
      </c>
      <c r="N2451" t="s">
        <v>608</v>
      </c>
      <c r="O2451" t="s">
        <v>813</v>
      </c>
      <c r="P2451" t="s">
        <v>739</v>
      </c>
      <c r="Q2451" t="s">
        <v>467</v>
      </c>
      <c r="R2451" t="s">
        <v>814</v>
      </c>
      <c r="S2451" t="s">
        <v>934</v>
      </c>
      <c r="T2451" t="s">
        <v>794</v>
      </c>
      <c r="U2451">
        <v>154201</v>
      </c>
      <c r="V2451" t="s">
        <v>13823</v>
      </c>
      <c r="W2451" t="s">
        <v>817</v>
      </c>
      <c r="X2451" t="s">
        <v>14420</v>
      </c>
      <c r="Y2451" t="s">
        <v>14421</v>
      </c>
      <c r="Z2451" t="s">
        <v>1120</v>
      </c>
      <c r="AA2451" t="s">
        <v>7439</v>
      </c>
      <c r="AE2451">
        <v>-36.979245370000001</v>
      </c>
      <c r="AF2451">
        <v>174.83390320000001</v>
      </c>
      <c r="AG2451" s="175">
        <v>40</v>
      </c>
      <c r="AH2451" s="175">
        <v>10</v>
      </c>
      <c r="AI2451" s="175">
        <v>1</v>
      </c>
      <c r="AJ2451" s="175">
        <v>0</v>
      </c>
      <c r="AK2451" s="175">
        <v>4</v>
      </c>
      <c r="AL2451" s="175">
        <v>4</v>
      </c>
      <c r="AM2451" s="175">
        <v>3</v>
      </c>
      <c r="AN2451" s="175">
        <v>1</v>
      </c>
      <c r="AO2451" s="175">
        <v>13</v>
      </c>
      <c r="AP2451" s="175">
        <v>2</v>
      </c>
      <c r="AQ2451" s="175">
        <v>0</v>
      </c>
      <c r="AR2451" s="175">
        <v>13</v>
      </c>
      <c r="AS2451" s="175">
        <v>0</v>
      </c>
      <c r="AT2451" s="175">
        <v>0</v>
      </c>
    </row>
    <row r="2452" spans="1:46">
      <c r="A2452">
        <v>46683</v>
      </c>
      <c r="B2452" t="s">
        <v>14422</v>
      </c>
      <c r="C2452" t="s">
        <v>14423</v>
      </c>
      <c r="D2452" t="s">
        <v>14110</v>
      </c>
      <c r="E2452" t="s">
        <v>14113</v>
      </c>
      <c r="F2452" t="s">
        <v>1157</v>
      </c>
      <c r="G2452" t="s">
        <v>737</v>
      </c>
      <c r="H2452" t="s">
        <v>450</v>
      </c>
      <c r="I2452" t="s">
        <v>4320</v>
      </c>
      <c r="J2452" t="s">
        <v>4032</v>
      </c>
      <c r="K2452" t="s">
        <v>606</v>
      </c>
      <c r="M2452" t="s">
        <v>607</v>
      </c>
      <c r="N2452" t="s">
        <v>812</v>
      </c>
      <c r="O2452" t="s">
        <v>933</v>
      </c>
      <c r="P2452" t="s">
        <v>739</v>
      </c>
      <c r="Q2452" t="s">
        <v>467</v>
      </c>
      <c r="R2452" t="s">
        <v>814</v>
      </c>
      <c r="S2452" t="s">
        <v>815</v>
      </c>
      <c r="T2452" t="s">
        <v>794</v>
      </c>
      <c r="U2452">
        <v>150101</v>
      </c>
      <c r="V2452" t="s">
        <v>4174</v>
      </c>
      <c r="W2452" t="s">
        <v>817</v>
      </c>
      <c r="X2452" t="s">
        <v>14112</v>
      </c>
      <c r="Y2452" t="s">
        <v>14113</v>
      </c>
      <c r="Z2452" t="s">
        <v>1157</v>
      </c>
      <c r="AA2452" t="s">
        <v>4952</v>
      </c>
      <c r="AB2452" t="s">
        <v>14114</v>
      </c>
      <c r="AE2452">
        <v>-36.941197600000002</v>
      </c>
      <c r="AF2452">
        <v>174.8416847</v>
      </c>
      <c r="AG2452" s="175">
        <v>40</v>
      </c>
      <c r="AH2452" s="175">
        <v>40</v>
      </c>
      <c r="AI2452" s="175">
        <v>2</v>
      </c>
      <c r="AJ2452" s="175">
        <v>9</v>
      </c>
      <c r="AK2452" s="175">
        <v>7</v>
      </c>
      <c r="AL2452" s="175">
        <v>6</v>
      </c>
      <c r="AM2452" s="175">
        <v>4</v>
      </c>
      <c r="AN2452" s="175">
        <v>2</v>
      </c>
      <c r="AO2452" s="175">
        <v>30</v>
      </c>
      <c r="AP2452" s="175">
        <v>1</v>
      </c>
      <c r="AQ2452" s="175">
        <v>3</v>
      </c>
      <c r="AR2452" s="175">
        <v>30</v>
      </c>
      <c r="AS2452" s="175">
        <v>0</v>
      </c>
      <c r="AT2452" s="175">
        <v>0</v>
      </c>
    </row>
    <row r="2453" spans="1:46">
      <c r="A2453">
        <v>46686</v>
      </c>
      <c r="B2453" t="s">
        <v>14424</v>
      </c>
      <c r="C2453" t="s">
        <v>14425</v>
      </c>
      <c r="D2453" t="s">
        <v>12748</v>
      </c>
      <c r="E2453" t="s">
        <v>14426</v>
      </c>
      <c r="G2453" t="s">
        <v>2752</v>
      </c>
      <c r="H2453" t="s">
        <v>449</v>
      </c>
      <c r="J2453" t="s">
        <v>4032</v>
      </c>
      <c r="K2453" t="s">
        <v>606</v>
      </c>
      <c r="M2453" t="s">
        <v>2366</v>
      </c>
      <c r="N2453" t="s">
        <v>657</v>
      </c>
      <c r="O2453" t="s">
        <v>2753</v>
      </c>
      <c r="P2453" t="s">
        <v>1347</v>
      </c>
      <c r="Q2453" t="s">
        <v>516</v>
      </c>
      <c r="R2453" t="s">
        <v>2368</v>
      </c>
      <c r="S2453" t="s">
        <v>2148</v>
      </c>
      <c r="T2453" t="s">
        <v>1568</v>
      </c>
      <c r="U2453">
        <v>237500</v>
      </c>
      <c r="V2453" t="s">
        <v>14427</v>
      </c>
      <c r="W2453" t="s">
        <v>2755</v>
      </c>
      <c r="X2453" t="s">
        <v>10355</v>
      </c>
      <c r="Y2453" t="s">
        <v>10356</v>
      </c>
      <c r="AA2453" t="s">
        <v>10357</v>
      </c>
      <c r="AB2453" t="s">
        <v>10358</v>
      </c>
      <c r="AE2453">
        <v>-40.890188620000004</v>
      </c>
      <c r="AF2453">
        <v>175.01271438000001</v>
      </c>
      <c r="AG2453" s="175">
        <v>100</v>
      </c>
      <c r="AH2453" s="175">
        <v>25</v>
      </c>
      <c r="AI2453" s="175">
        <v>1</v>
      </c>
      <c r="AJ2453" s="175">
        <v>18</v>
      </c>
      <c r="AK2453" s="175">
        <v>22</v>
      </c>
      <c r="AL2453" s="175">
        <v>30</v>
      </c>
      <c r="AM2453" s="175">
        <v>36</v>
      </c>
      <c r="AN2453" s="175">
        <v>1</v>
      </c>
      <c r="AO2453" s="175">
        <v>108</v>
      </c>
      <c r="AP2453" s="175">
        <v>92</v>
      </c>
      <c r="AQ2453" s="175">
        <v>29</v>
      </c>
      <c r="AR2453" s="175">
        <v>6</v>
      </c>
      <c r="AS2453" s="175">
        <v>8</v>
      </c>
      <c r="AT2453" s="175">
        <v>6</v>
      </c>
    </row>
    <row r="2454" spans="1:46">
      <c r="A2454">
        <v>46687</v>
      </c>
      <c r="B2454" t="s">
        <v>14428</v>
      </c>
      <c r="C2454" t="s">
        <v>13938</v>
      </c>
      <c r="D2454" t="s">
        <v>14429</v>
      </c>
      <c r="E2454" t="s">
        <v>13129</v>
      </c>
      <c r="F2454" t="s">
        <v>811</v>
      </c>
      <c r="G2454" t="s">
        <v>737</v>
      </c>
      <c r="H2454" t="s">
        <v>450</v>
      </c>
      <c r="I2454" t="s">
        <v>4320</v>
      </c>
      <c r="J2454" t="s">
        <v>4032</v>
      </c>
      <c r="K2454" t="s">
        <v>606</v>
      </c>
      <c r="M2454" t="s">
        <v>607</v>
      </c>
      <c r="N2454" t="s">
        <v>608</v>
      </c>
      <c r="O2454" t="s">
        <v>813</v>
      </c>
      <c r="P2454" t="s">
        <v>739</v>
      </c>
      <c r="Q2454" t="s">
        <v>467</v>
      </c>
      <c r="R2454" t="s">
        <v>814</v>
      </c>
      <c r="S2454" t="s">
        <v>815</v>
      </c>
      <c r="T2454" t="s">
        <v>794</v>
      </c>
      <c r="U2454">
        <v>154400</v>
      </c>
      <c r="V2454" t="s">
        <v>7416</v>
      </c>
      <c r="W2454" t="s">
        <v>817</v>
      </c>
      <c r="X2454" t="s">
        <v>13130</v>
      </c>
      <c r="Y2454" t="s">
        <v>13131</v>
      </c>
      <c r="Z2454" t="s">
        <v>1157</v>
      </c>
      <c r="AA2454" t="s">
        <v>4952</v>
      </c>
      <c r="AB2454" t="s">
        <v>13132</v>
      </c>
      <c r="AE2454">
        <v>-36.960968780000002</v>
      </c>
      <c r="AF2454">
        <v>174.8756248</v>
      </c>
      <c r="AG2454" s="175">
        <v>60</v>
      </c>
      <c r="AH2454" s="175">
        <v>60</v>
      </c>
      <c r="AI2454" s="175">
        <v>5</v>
      </c>
      <c r="AJ2454" s="175">
        <v>11</v>
      </c>
      <c r="AK2454" s="175">
        <v>10</v>
      </c>
      <c r="AL2454" s="175">
        <v>9</v>
      </c>
      <c r="AM2454" s="175">
        <v>7</v>
      </c>
      <c r="AN2454" s="175">
        <v>0</v>
      </c>
      <c r="AO2454" s="175">
        <v>42</v>
      </c>
      <c r="AP2454" s="175">
        <v>0</v>
      </c>
      <c r="AQ2454" s="175">
        <v>0</v>
      </c>
      <c r="AR2454" s="175">
        <v>42</v>
      </c>
      <c r="AS2454" s="175">
        <v>0</v>
      </c>
      <c r="AT2454" s="175">
        <v>0</v>
      </c>
    </row>
    <row r="2455" spans="1:46">
      <c r="A2455">
        <v>46692</v>
      </c>
      <c r="B2455" t="s">
        <v>14430</v>
      </c>
      <c r="C2455" t="s">
        <v>5319</v>
      </c>
      <c r="D2455" t="s">
        <v>14431</v>
      </c>
      <c r="E2455" t="s">
        <v>14432</v>
      </c>
      <c r="F2455" t="s">
        <v>791</v>
      </c>
      <c r="G2455" t="s">
        <v>737</v>
      </c>
      <c r="H2455" t="s">
        <v>449</v>
      </c>
      <c r="I2455" t="s">
        <v>4134</v>
      </c>
      <c r="J2455" t="s">
        <v>4032</v>
      </c>
      <c r="K2455" t="s">
        <v>606</v>
      </c>
      <c r="M2455" t="s">
        <v>607</v>
      </c>
      <c r="N2455" t="s">
        <v>657</v>
      </c>
      <c r="O2455" t="s">
        <v>792</v>
      </c>
      <c r="P2455" t="s">
        <v>739</v>
      </c>
      <c r="Q2455" t="s">
        <v>467</v>
      </c>
      <c r="R2455" t="s">
        <v>793</v>
      </c>
      <c r="S2455" t="s">
        <v>791</v>
      </c>
      <c r="T2455" t="s">
        <v>794</v>
      </c>
      <c r="U2455">
        <v>149800</v>
      </c>
      <c r="V2455" t="s">
        <v>5322</v>
      </c>
      <c r="W2455" t="s">
        <v>796</v>
      </c>
      <c r="X2455" t="s">
        <v>5323</v>
      </c>
      <c r="Y2455" t="s">
        <v>4176</v>
      </c>
      <c r="AA2455" t="s">
        <v>4052</v>
      </c>
      <c r="AB2455" t="s">
        <v>5319</v>
      </c>
      <c r="AC2455">
        <v>99149</v>
      </c>
      <c r="AD2455" t="s">
        <v>883</v>
      </c>
      <c r="AE2455">
        <v>-36.914293620000002</v>
      </c>
      <c r="AF2455">
        <v>174.87884883999999</v>
      </c>
      <c r="AG2455" s="175">
        <v>30</v>
      </c>
      <c r="AH2455" s="175">
        <v>0</v>
      </c>
      <c r="AI2455" s="175">
        <v>0</v>
      </c>
      <c r="AJ2455" s="175">
        <v>0</v>
      </c>
      <c r="AK2455" s="175">
        <v>0</v>
      </c>
      <c r="AL2455" s="175">
        <v>5</v>
      </c>
      <c r="AM2455" s="175">
        <v>21</v>
      </c>
      <c r="AN2455" s="175">
        <v>0</v>
      </c>
      <c r="AO2455" s="175">
        <v>26</v>
      </c>
      <c r="AP2455" s="175">
        <v>4</v>
      </c>
      <c r="AQ2455" s="175">
        <v>1</v>
      </c>
      <c r="AR2455" s="175">
        <v>1</v>
      </c>
      <c r="AS2455" s="175">
        <v>22</v>
      </c>
      <c r="AT2455" s="175">
        <v>2</v>
      </c>
    </row>
    <row r="2456" spans="1:46">
      <c r="A2456">
        <v>46694</v>
      </c>
      <c r="B2456" t="s">
        <v>14433</v>
      </c>
      <c r="C2456" t="s">
        <v>8825</v>
      </c>
      <c r="D2456" t="s">
        <v>11027</v>
      </c>
      <c r="E2456" t="s">
        <v>8827</v>
      </c>
      <c r="F2456" t="s">
        <v>1397</v>
      </c>
      <c r="G2456" t="s">
        <v>1381</v>
      </c>
      <c r="H2456" t="s">
        <v>450</v>
      </c>
      <c r="J2456" t="s">
        <v>4032</v>
      </c>
      <c r="K2456" t="s">
        <v>606</v>
      </c>
      <c r="M2456" t="s">
        <v>2366</v>
      </c>
      <c r="N2456" t="s">
        <v>812</v>
      </c>
      <c r="O2456" t="s">
        <v>1383</v>
      </c>
      <c r="P2456" t="s">
        <v>739</v>
      </c>
      <c r="Q2456" t="s">
        <v>510</v>
      </c>
      <c r="R2456" t="s">
        <v>2368</v>
      </c>
      <c r="S2456" t="s">
        <v>1396</v>
      </c>
      <c r="T2456" t="s">
        <v>1320</v>
      </c>
      <c r="U2456">
        <v>177300</v>
      </c>
      <c r="V2456" t="s">
        <v>1397</v>
      </c>
      <c r="W2456" t="s">
        <v>1398</v>
      </c>
      <c r="X2456" t="s">
        <v>11028</v>
      </c>
      <c r="Y2456" t="s">
        <v>8827</v>
      </c>
      <c r="Z2456" t="s">
        <v>1397</v>
      </c>
      <c r="AA2456" t="s">
        <v>8575</v>
      </c>
      <c r="AE2456">
        <v>-37.749390910000002</v>
      </c>
      <c r="AF2456">
        <v>175.27364802</v>
      </c>
      <c r="AG2456" s="175">
        <v>50</v>
      </c>
      <c r="AH2456" s="175">
        <v>50</v>
      </c>
      <c r="AI2456" s="175">
        <v>4</v>
      </c>
      <c r="AJ2456" s="175">
        <v>8</v>
      </c>
      <c r="AK2456" s="175">
        <v>13</v>
      </c>
      <c r="AL2456" s="175">
        <v>5</v>
      </c>
      <c r="AM2456" s="175">
        <v>4</v>
      </c>
      <c r="AN2456" s="175">
        <v>0</v>
      </c>
      <c r="AO2456" s="175">
        <v>34</v>
      </c>
      <c r="AP2456" s="175">
        <v>22</v>
      </c>
      <c r="AQ2456" s="175">
        <v>6</v>
      </c>
      <c r="AR2456" s="175">
        <v>3</v>
      </c>
      <c r="AS2456" s="175">
        <v>7</v>
      </c>
      <c r="AT2456" s="175">
        <v>6</v>
      </c>
    </row>
    <row r="2457" spans="1:46">
      <c r="A2457">
        <v>46696</v>
      </c>
      <c r="B2457" t="s">
        <v>14434</v>
      </c>
      <c r="C2457" t="s">
        <v>14435</v>
      </c>
      <c r="D2457" t="s">
        <v>14436</v>
      </c>
      <c r="E2457" t="s">
        <v>14437</v>
      </c>
      <c r="F2457" t="s">
        <v>964</v>
      </c>
      <c r="G2457" t="s">
        <v>737</v>
      </c>
      <c r="H2457" t="s">
        <v>449</v>
      </c>
      <c r="J2457" t="s">
        <v>4032</v>
      </c>
      <c r="K2457" t="s">
        <v>606</v>
      </c>
      <c r="M2457" t="s">
        <v>607</v>
      </c>
      <c r="N2457" t="s">
        <v>812</v>
      </c>
      <c r="O2457" t="s">
        <v>914</v>
      </c>
      <c r="P2457" t="s">
        <v>739</v>
      </c>
      <c r="Q2457" t="s">
        <v>467</v>
      </c>
      <c r="R2457" t="s">
        <v>793</v>
      </c>
      <c r="S2457" t="s">
        <v>965</v>
      </c>
      <c r="T2457" t="s">
        <v>794</v>
      </c>
      <c r="U2457">
        <v>145800</v>
      </c>
      <c r="V2457" t="s">
        <v>966</v>
      </c>
      <c r="W2457" t="s">
        <v>892</v>
      </c>
      <c r="X2457" t="s">
        <v>4838</v>
      </c>
      <c r="Y2457" t="s">
        <v>4839</v>
      </c>
      <c r="Z2457" t="s">
        <v>964</v>
      </c>
      <c r="AA2457" t="s">
        <v>4840</v>
      </c>
      <c r="AB2457" t="s">
        <v>4841</v>
      </c>
      <c r="AE2457">
        <v>-36.873421020000002</v>
      </c>
      <c r="AF2457">
        <v>174.86996614</v>
      </c>
      <c r="AG2457" s="175">
        <v>60</v>
      </c>
      <c r="AH2457" s="175">
        <v>10</v>
      </c>
      <c r="AI2457" s="175">
        <v>2</v>
      </c>
      <c r="AJ2457" s="175">
        <v>7</v>
      </c>
      <c r="AK2457" s="175">
        <v>10</v>
      </c>
      <c r="AL2457" s="175">
        <v>17</v>
      </c>
      <c r="AM2457" s="175">
        <v>13</v>
      </c>
      <c r="AN2457" s="175">
        <v>3</v>
      </c>
      <c r="AO2457" s="175">
        <v>52</v>
      </c>
      <c r="AP2457" s="175">
        <v>14</v>
      </c>
      <c r="AQ2457" s="175">
        <v>11</v>
      </c>
      <c r="AR2457" s="175">
        <v>38</v>
      </c>
      <c r="AS2457" s="175">
        <v>5</v>
      </c>
      <c r="AT2457" s="175">
        <v>7</v>
      </c>
    </row>
    <row r="2458" spans="1:46">
      <c r="A2458">
        <v>46697</v>
      </c>
      <c r="B2458" t="s">
        <v>14438</v>
      </c>
      <c r="C2458" t="s">
        <v>14439</v>
      </c>
      <c r="D2458" t="s">
        <v>14440</v>
      </c>
      <c r="E2458" t="s">
        <v>8318</v>
      </c>
      <c r="F2458" t="s">
        <v>8319</v>
      </c>
      <c r="G2458" t="s">
        <v>737</v>
      </c>
      <c r="H2458" t="s">
        <v>450</v>
      </c>
      <c r="J2458" t="s">
        <v>4032</v>
      </c>
      <c r="K2458" t="s">
        <v>606</v>
      </c>
      <c r="M2458" t="s">
        <v>607</v>
      </c>
      <c r="N2458" t="s">
        <v>657</v>
      </c>
      <c r="O2458" t="s">
        <v>1253</v>
      </c>
      <c r="P2458" t="s">
        <v>739</v>
      </c>
      <c r="Q2458" t="s">
        <v>467</v>
      </c>
      <c r="R2458" t="s">
        <v>724</v>
      </c>
      <c r="S2458" t="s">
        <v>740</v>
      </c>
      <c r="T2458" t="s">
        <v>613</v>
      </c>
      <c r="U2458">
        <v>118600</v>
      </c>
      <c r="V2458" t="s">
        <v>4082</v>
      </c>
      <c r="W2458" t="s">
        <v>742</v>
      </c>
      <c r="X2458" t="s">
        <v>6333</v>
      </c>
      <c r="Y2458" t="s">
        <v>6334</v>
      </c>
      <c r="Z2458" t="s">
        <v>3777</v>
      </c>
      <c r="AA2458" t="s">
        <v>6335</v>
      </c>
      <c r="AE2458">
        <v>-36.74597413</v>
      </c>
      <c r="AF2458">
        <v>174.70431814</v>
      </c>
      <c r="AG2458" s="175">
        <v>80</v>
      </c>
      <c r="AH2458" s="175">
        <v>80</v>
      </c>
      <c r="AI2458" s="175">
        <v>6</v>
      </c>
      <c r="AJ2458" s="175">
        <v>10</v>
      </c>
      <c r="AK2458" s="175">
        <v>13</v>
      </c>
      <c r="AL2458" s="175">
        <v>10</v>
      </c>
      <c r="AM2458" s="175">
        <v>12</v>
      </c>
      <c r="AN2458" s="175">
        <v>0</v>
      </c>
      <c r="AO2458" s="175">
        <v>51</v>
      </c>
      <c r="AP2458" s="175">
        <v>3</v>
      </c>
      <c r="AQ2458" s="175">
        <v>0</v>
      </c>
      <c r="AR2458" s="175">
        <v>0</v>
      </c>
      <c r="AS2458" s="175">
        <v>51</v>
      </c>
      <c r="AT2458" s="175">
        <v>0</v>
      </c>
    </row>
    <row r="2459" spans="1:46">
      <c r="A2459">
        <v>46698</v>
      </c>
      <c r="B2459" t="s">
        <v>14441</v>
      </c>
      <c r="C2459" t="s">
        <v>14442</v>
      </c>
      <c r="E2459" t="s">
        <v>14443</v>
      </c>
      <c r="F2459" t="s">
        <v>3841</v>
      </c>
      <c r="G2459" t="s">
        <v>1681</v>
      </c>
      <c r="H2459" t="s">
        <v>452</v>
      </c>
      <c r="J2459" t="s">
        <v>605</v>
      </c>
      <c r="K2459" t="s">
        <v>606</v>
      </c>
      <c r="M2459" t="s">
        <v>1382</v>
      </c>
      <c r="N2459" t="s">
        <v>657</v>
      </c>
      <c r="O2459" t="s">
        <v>1780</v>
      </c>
      <c r="P2459" t="s">
        <v>739</v>
      </c>
      <c r="Q2459" t="s">
        <v>511</v>
      </c>
      <c r="R2459" t="s">
        <v>1555</v>
      </c>
      <c r="S2459" t="s">
        <v>1781</v>
      </c>
      <c r="T2459" t="s">
        <v>1557</v>
      </c>
      <c r="U2459">
        <v>197500</v>
      </c>
      <c r="V2459" t="s">
        <v>11911</v>
      </c>
      <c r="W2459" t="s">
        <v>3843</v>
      </c>
      <c r="X2459" t="s">
        <v>1679</v>
      </c>
      <c r="Y2459" t="s">
        <v>1680</v>
      </c>
      <c r="Z2459" t="s">
        <v>1681</v>
      </c>
      <c r="AA2459" t="s">
        <v>1682</v>
      </c>
      <c r="AB2459" t="s">
        <v>1683</v>
      </c>
      <c r="AC2459">
        <v>99073</v>
      </c>
      <c r="AD2459" t="s">
        <v>3844</v>
      </c>
      <c r="AE2459">
        <v>-37.718417289999998</v>
      </c>
      <c r="AF2459">
        <v>176.34166178000001</v>
      </c>
      <c r="AG2459" s="175">
        <v>45</v>
      </c>
      <c r="AH2459" s="175">
        <v>0</v>
      </c>
      <c r="AI2459" s="175">
        <v>0</v>
      </c>
      <c r="AJ2459" s="175">
        <v>0</v>
      </c>
      <c r="AK2459" s="175">
        <v>8</v>
      </c>
      <c r="AL2459" s="175">
        <v>14</v>
      </c>
      <c r="AM2459" s="175">
        <v>32</v>
      </c>
      <c r="AN2459" s="175">
        <v>1</v>
      </c>
      <c r="AO2459" s="175">
        <v>55</v>
      </c>
      <c r="AP2459" s="175">
        <v>52</v>
      </c>
      <c r="AQ2459" s="175">
        <v>7</v>
      </c>
      <c r="AR2459" s="175">
        <v>1</v>
      </c>
      <c r="AS2459" s="175">
        <v>1</v>
      </c>
      <c r="AT2459" s="175">
        <v>0</v>
      </c>
    </row>
    <row r="2460" spans="1:46">
      <c r="A2460">
        <v>46702</v>
      </c>
      <c r="B2460" t="s">
        <v>14444</v>
      </c>
      <c r="C2460" t="s">
        <v>14445</v>
      </c>
      <c r="D2460" t="s">
        <v>14446</v>
      </c>
      <c r="E2460" t="s">
        <v>14447</v>
      </c>
      <c r="F2460" t="s">
        <v>1004</v>
      </c>
      <c r="G2460" t="s">
        <v>737</v>
      </c>
      <c r="H2460" t="s">
        <v>449</v>
      </c>
      <c r="J2460" t="s">
        <v>4032</v>
      </c>
      <c r="K2460" t="s">
        <v>606</v>
      </c>
      <c r="M2460" t="s">
        <v>607</v>
      </c>
      <c r="N2460" t="s">
        <v>657</v>
      </c>
      <c r="O2460" t="s">
        <v>1253</v>
      </c>
      <c r="P2460" t="s">
        <v>739</v>
      </c>
      <c r="Q2460" t="s">
        <v>467</v>
      </c>
      <c r="R2460" t="s">
        <v>724</v>
      </c>
      <c r="S2460" t="s">
        <v>824</v>
      </c>
      <c r="T2460" t="s">
        <v>613</v>
      </c>
      <c r="U2460">
        <v>119201</v>
      </c>
      <c r="V2460" t="s">
        <v>1004</v>
      </c>
      <c r="W2460" t="s">
        <v>742</v>
      </c>
      <c r="X2460" t="s">
        <v>14448</v>
      </c>
      <c r="Y2460" t="s">
        <v>14449</v>
      </c>
      <c r="Z2460" t="s">
        <v>3777</v>
      </c>
      <c r="AA2460" t="s">
        <v>13395</v>
      </c>
      <c r="AB2460" t="s">
        <v>14450</v>
      </c>
      <c r="AC2460">
        <v>99129</v>
      </c>
      <c r="AD2460" t="s">
        <v>1006</v>
      </c>
      <c r="AE2460">
        <v>-36.801462999999998</v>
      </c>
      <c r="AF2460">
        <v>174.6413154</v>
      </c>
      <c r="AG2460" s="175">
        <v>130</v>
      </c>
      <c r="AH2460" s="175">
        <v>40</v>
      </c>
      <c r="AI2460" s="175">
        <v>2</v>
      </c>
      <c r="AJ2460" s="175">
        <v>21</v>
      </c>
      <c r="AK2460" s="175">
        <v>31</v>
      </c>
      <c r="AL2460" s="175">
        <v>32</v>
      </c>
      <c r="AM2460" s="175">
        <v>41</v>
      </c>
      <c r="AN2460" s="175">
        <v>0</v>
      </c>
      <c r="AO2460" s="175">
        <v>127</v>
      </c>
      <c r="AP2460" s="175">
        <v>64</v>
      </c>
      <c r="AQ2460" s="175">
        <v>5</v>
      </c>
      <c r="AR2460" s="175">
        <v>5</v>
      </c>
      <c r="AS2460" s="175">
        <v>64</v>
      </c>
      <c r="AT2460" s="175">
        <v>6</v>
      </c>
    </row>
    <row r="2461" spans="1:46">
      <c r="A2461">
        <v>46703</v>
      </c>
      <c r="B2461" t="s">
        <v>14451</v>
      </c>
      <c r="C2461" t="s">
        <v>14452</v>
      </c>
      <c r="D2461" t="s">
        <v>14453</v>
      </c>
      <c r="E2461" t="s">
        <v>14454</v>
      </c>
      <c r="F2461" t="s">
        <v>913</v>
      </c>
      <c r="G2461" t="s">
        <v>737</v>
      </c>
      <c r="H2461" t="s">
        <v>449</v>
      </c>
      <c r="J2461" t="s">
        <v>4032</v>
      </c>
      <c r="K2461" t="s">
        <v>606</v>
      </c>
      <c r="M2461" t="s">
        <v>607</v>
      </c>
      <c r="N2461" t="s">
        <v>657</v>
      </c>
      <c r="O2461" t="s">
        <v>914</v>
      </c>
      <c r="P2461" t="s">
        <v>739</v>
      </c>
      <c r="Q2461" t="s">
        <v>467</v>
      </c>
      <c r="R2461" t="s">
        <v>793</v>
      </c>
      <c r="S2461" t="s">
        <v>890</v>
      </c>
      <c r="T2461" t="s">
        <v>794</v>
      </c>
      <c r="U2461">
        <v>145000</v>
      </c>
      <c r="V2461" t="s">
        <v>915</v>
      </c>
      <c r="W2461" t="s">
        <v>892</v>
      </c>
      <c r="X2461" t="s">
        <v>11785</v>
      </c>
      <c r="Y2461" t="s">
        <v>11786</v>
      </c>
      <c r="Z2461" t="s">
        <v>11787</v>
      </c>
      <c r="AA2461" t="s">
        <v>11788</v>
      </c>
      <c r="AE2461">
        <v>-36.91653075</v>
      </c>
      <c r="AF2461">
        <v>174.78425297000001</v>
      </c>
      <c r="AG2461" s="175">
        <v>75</v>
      </c>
      <c r="AH2461" s="175">
        <v>30</v>
      </c>
      <c r="AI2461" s="175">
        <v>4</v>
      </c>
      <c r="AJ2461" s="175">
        <v>19</v>
      </c>
      <c r="AK2461" s="175">
        <v>27</v>
      </c>
      <c r="AL2461" s="175">
        <v>22</v>
      </c>
      <c r="AM2461" s="175">
        <v>14</v>
      </c>
      <c r="AN2461" s="175">
        <v>1</v>
      </c>
      <c r="AO2461" s="175">
        <v>87</v>
      </c>
      <c r="AP2461" s="175">
        <v>61</v>
      </c>
      <c r="AQ2461" s="175">
        <v>10</v>
      </c>
      <c r="AR2461" s="175">
        <v>10</v>
      </c>
      <c r="AS2461" s="175">
        <v>22</v>
      </c>
      <c r="AT2461" s="175">
        <v>7</v>
      </c>
    </row>
    <row r="2462" spans="1:46">
      <c r="A2462">
        <v>46704</v>
      </c>
      <c r="B2462" t="s">
        <v>14455</v>
      </c>
      <c r="C2462" t="s">
        <v>14456</v>
      </c>
      <c r="E2462" t="s">
        <v>14457</v>
      </c>
      <c r="F2462" t="s">
        <v>8547</v>
      </c>
      <c r="G2462" t="s">
        <v>1681</v>
      </c>
      <c r="H2462" t="s">
        <v>449</v>
      </c>
      <c r="I2462" t="s">
        <v>470</v>
      </c>
      <c r="J2462" t="s">
        <v>605</v>
      </c>
      <c r="K2462" t="s">
        <v>606</v>
      </c>
      <c r="M2462" t="s">
        <v>1382</v>
      </c>
      <c r="N2462" t="s">
        <v>625</v>
      </c>
      <c r="O2462" t="s">
        <v>1780</v>
      </c>
      <c r="P2462" t="s">
        <v>739</v>
      </c>
      <c r="Q2462" t="s">
        <v>511</v>
      </c>
      <c r="R2462" t="s">
        <v>1555</v>
      </c>
      <c r="S2462" t="s">
        <v>1681</v>
      </c>
      <c r="T2462" t="s">
        <v>1557</v>
      </c>
      <c r="U2462">
        <v>194802</v>
      </c>
      <c r="V2462" t="s">
        <v>3794</v>
      </c>
      <c r="W2462" t="s">
        <v>3795</v>
      </c>
      <c r="X2462" t="s">
        <v>14458</v>
      </c>
      <c r="Y2462" t="s">
        <v>14459</v>
      </c>
      <c r="AA2462" t="s">
        <v>8947</v>
      </c>
      <c r="AC2462">
        <v>99085</v>
      </c>
      <c r="AD2462" t="s">
        <v>1800</v>
      </c>
      <c r="AE2462">
        <v>-37.71103463</v>
      </c>
      <c r="AF2462">
        <v>176.1460816</v>
      </c>
      <c r="AG2462" s="175">
        <v>30</v>
      </c>
      <c r="AH2462" s="175">
        <v>7</v>
      </c>
      <c r="AI2462" s="175">
        <v>0</v>
      </c>
      <c r="AJ2462" s="175">
        <v>4</v>
      </c>
      <c r="AK2462" s="175">
        <v>6</v>
      </c>
      <c r="AL2462" s="175">
        <v>6</v>
      </c>
      <c r="AM2462" s="175">
        <v>11</v>
      </c>
      <c r="AN2462" s="175">
        <v>0</v>
      </c>
      <c r="AO2462" s="175">
        <v>27</v>
      </c>
      <c r="AP2462" s="175">
        <v>10</v>
      </c>
      <c r="AQ2462" s="175">
        <v>23</v>
      </c>
      <c r="AR2462" s="175">
        <v>4</v>
      </c>
      <c r="AS2462" s="175">
        <v>0</v>
      </c>
      <c r="AT2462" s="175">
        <v>5</v>
      </c>
    </row>
    <row r="2463" spans="1:46">
      <c r="A2463">
        <v>46705</v>
      </c>
      <c r="B2463" t="s">
        <v>14460</v>
      </c>
      <c r="C2463" t="s">
        <v>14461</v>
      </c>
      <c r="E2463" t="s">
        <v>14462</v>
      </c>
      <c r="F2463" t="s">
        <v>1711</v>
      </c>
      <c r="G2463" t="s">
        <v>1604</v>
      </c>
      <c r="H2463" t="s">
        <v>449</v>
      </c>
      <c r="I2463" t="s">
        <v>470</v>
      </c>
      <c r="J2463" t="s">
        <v>605</v>
      </c>
      <c r="K2463" t="s">
        <v>606</v>
      </c>
      <c r="M2463" t="s">
        <v>1382</v>
      </c>
      <c r="N2463" t="s">
        <v>812</v>
      </c>
      <c r="O2463" t="s">
        <v>1605</v>
      </c>
      <c r="P2463" t="s">
        <v>670</v>
      </c>
      <c r="Q2463" t="s">
        <v>511</v>
      </c>
      <c r="R2463" t="s">
        <v>1555</v>
      </c>
      <c r="S2463" t="s">
        <v>1604</v>
      </c>
      <c r="T2463" t="s">
        <v>1557</v>
      </c>
      <c r="U2463">
        <v>200900</v>
      </c>
      <c r="V2463" t="s">
        <v>10091</v>
      </c>
      <c r="W2463" t="s">
        <v>1606</v>
      </c>
      <c r="X2463" t="s">
        <v>14463</v>
      </c>
      <c r="Y2463" t="s">
        <v>14464</v>
      </c>
      <c r="Z2463" t="s">
        <v>1747</v>
      </c>
      <c r="AA2463" t="s">
        <v>10094</v>
      </c>
      <c r="AB2463" t="s">
        <v>14461</v>
      </c>
      <c r="AE2463">
        <v>-38.122761599999997</v>
      </c>
      <c r="AF2463">
        <v>176.3016217</v>
      </c>
      <c r="AG2463" s="175">
        <v>40</v>
      </c>
      <c r="AH2463" s="175">
        <v>16</v>
      </c>
      <c r="AI2463" s="175">
        <v>4</v>
      </c>
      <c r="AJ2463" s="175">
        <v>6</v>
      </c>
      <c r="AK2463" s="175">
        <v>8</v>
      </c>
      <c r="AL2463" s="175">
        <v>10</v>
      </c>
      <c r="AM2463" s="175">
        <v>9</v>
      </c>
      <c r="AN2463" s="175">
        <v>0</v>
      </c>
      <c r="AO2463" s="175">
        <v>37</v>
      </c>
      <c r="AP2463" s="175">
        <v>3</v>
      </c>
      <c r="AQ2463" s="175">
        <v>36</v>
      </c>
      <c r="AR2463" s="175">
        <v>4</v>
      </c>
      <c r="AS2463" s="175">
        <v>1</v>
      </c>
      <c r="AT2463" s="175">
        <v>0</v>
      </c>
    </row>
    <row r="2464" spans="1:46">
      <c r="A2464">
        <v>46707</v>
      </c>
      <c r="B2464" t="s">
        <v>14465</v>
      </c>
      <c r="C2464" t="s">
        <v>14466</v>
      </c>
      <c r="D2464" t="s">
        <v>14467</v>
      </c>
      <c r="E2464" t="s">
        <v>14468</v>
      </c>
      <c r="G2464" t="s">
        <v>5669</v>
      </c>
      <c r="H2464" t="s">
        <v>449</v>
      </c>
      <c r="J2464" t="s">
        <v>4032</v>
      </c>
      <c r="K2464" t="s">
        <v>606</v>
      </c>
      <c r="M2464" t="s">
        <v>607</v>
      </c>
      <c r="N2464" t="s">
        <v>657</v>
      </c>
      <c r="O2464" t="s">
        <v>650</v>
      </c>
      <c r="P2464" t="s">
        <v>626</v>
      </c>
      <c r="Q2464" t="s">
        <v>509</v>
      </c>
      <c r="R2464" t="s">
        <v>611</v>
      </c>
      <c r="S2464" t="s">
        <v>612</v>
      </c>
      <c r="T2464" t="s">
        <v>613</v>
      </c>
      <c r="U2464">
        <v>109600</v>
      </c>
      <c r="V2464" t="s">
        <v>5670</v>
      </c>
      <c r="W2464" t="s">
        <v>660</v>
      </c>
      <c r="X2464" t="s">
        <v>14469</v>
      </c>
      <c r="Y2464" t="s">
        <v>14470</v>
      </c>
      <c r="AA2464" t="s">
        <v>14471</v>
      </c>
      <c r="AB2464" t="s">
        <v>14466</v>
      </c>
      <c r="AC2464">
        <v>99118</v>
      </c>
      <c r="AD2464" t="s">
        <v>5381</v>
      </c>
      <c r="AE2464">
        <v>-36.111565079999998</v>
      </c>
      <c r="AF2464">
        <v>174.35275652000001</v>
      </c>
      <c r="AG2464" s="175">
        <v>50</v>
      </c>
      <c r="AH2464" s="175">
        <v>13</v>
      </c>
      <c r="AI2464" s="175">
        <v>3</v>
      </c>
      <c r="AJ2464" s="175">
        <v>4</v>
      </c>
      <c r="AK2464" s="175">
        <v>10</v>
      </c>
      <c r="AL2464" s="175">
        <v>15</v>
      </c>
      <c r="AM2464" s="175">
        <v>15</v>
      </c>
      <c r="AN2464" s="175">
        <v>0</v>
      </c>
      <c r="AO2464" s="175">
        <v>47</v>
      </c>
      <c r="AP2464" s="175">
        <v>41</v>
      </c>
      <c r="AQ2464" s="175">
        <v>12</v>
      </c>
      <c r="AR2464" s="175">
        <v>1</v>
      </c>
      <c r="AS2464" s="175">
        <v>7</v>
      </c>
      <c r="AT2464" s="175">
        <v>0</v>
      </c>
    </row>
    <row r="2465" spans="1:46">
      <c r="A2465">
        <v>46708</v>
      </c>
      <c r="B2465" t="s">
        <v>14472</v>
      </c>
      <c r="C2465" t="s">
        <v>14473</v>
      </c>
      <c r="D2465" t="s">
        <v>8826</v>
      </c>
      <c r="E2465" t="s">
        <v>14474</v>
      </c>
      <c r="F2465" t="s">
        <v>1397</v>
      </c>
      <c r="G2465" t="s">
        <v>1381</v>
      </c>
      <c r="H2465" t="s">
        <v>450</v>
      </c>
      <c r="J2465" t="s">
        <v>4032</v>
      </c>
      <c r="K2465" t="s">
        <v>606</v>
      </c>
      <c r="M2465" t="s">
        <v>1382</v>
      </c>
      <c r="N2465" t="s">
        <v>608</v>
      </c>
      <c r="O2465" t="s">
        <v>1383</v>
      </c>
      <c r="P2465" t="s">
        <v>739</v>
      </c>
      <c r="Q2465" t="s">
        <v>510</v>
      </c>
      <c r="R2465" t="s">
        <v>2164</v>
      </c>
      <c r="S2465" t="s">
        <v>1396</v>
      </c>
      <c r="T2465" t="s">
        <v>1320</v>
      </c>
      <c r="U2465">
        <v>177300</v>
      </c>
      <c r="V2465" t="s">
        <v>1397</v>
      </c>
      <c r="W2465" t="s">
        <v>1398</v>
      </c>
      <c r="X2465" t="s">
        <v>14475</v>
      </c>
      <c r="Y2465" t="s">
        <v>8827</v>
      </c>
      <c r="Z2465" t="s">
        <v>1397</v>
      </c>
      <c r="AA2465" t="s">
        <v>8575</v>
      </c>
      <c r="AB2465" t="s">
        <v>14476</v>
      </c>
      <c r="AC2465">
        <v>99081</v>
      </c>
      <c r="AD2465" t="s">
        <v>13069</v>
      </c>
      <c r="AE2465">
        <v>-37.74893668</v>
      </c>
      <c r="AF2465">
        <v>175.27291349999999</v>
      </c>
      <c r="AG2465" s="175">
        <v>50</v>
      </c>
      <c r="AH2465" s="175">
        <v>50</v>
      </c>
      <c r="AI2465" s="175">
        <v>2</v>
      </c>
      <c r="AJ2465" s="175">
        <v>10</v>
      </c>
      <c r="AK2465" s="175">
        <v>18</v>
      </c>
      <c r="AL2465" s="175">
        <v>10</v>
      </c>
      <c r="AM2465" s="175">
        <v>5</v>
      </c>
      <c r="AN2465" s="175">
        <v>0</v>
      </c>
      <c r="AO2465" s="175">
        <v>45</v>
      </c>
      <c r="AP2465" s="175">
        <v>34</v>
      </c>
      <c r="AQ2465" s="175">
        <v>21</v>
      </c>
      <c r="AR2465" s="175">
        <v>1</v>
      </c>
      <c r="AS2465" s="175">
        <v>1</v>
      </c>
      <c r="AT2465" s="175">
        <v>2</v>
      </c>
    </row>
    <row r="2466" spans="1:46">
      <c r="A2466">
        <v>46710</v>
      </c>
      <c r="B2466" t="s">
        <v>14477</v>
      </c>
      <c r="C2466" t="s">
        <v>14478</v>
      </c>
      <c r="E2466" t="s">
        <v>14479</v>
      </c>
      <c r="G2466" t="s">
        <v>2396</v>
      </c>
      <c r="H2466" t="s">
        <v>449</v>
      </c>
      <c r="J2466" t="s">
        <v>4032</v>
      </c>
      <c r="K2466" t="s">
        <v>606</v>
      </c>
      <c r="M2466" t="s">
        <v>2366</v>
      </c>
      <c r="N2466" t="s">
        <v>657</v>
      </c>
      <c r="O2466" t="s">
        <v>2397</v>
      </c>
      <c r="P2466" t="s">
        <v>1347</v>
      </c>
      <c r="Q2466" t="s">
        <v>516</v>
      </c>
      <c r="R2466" t="s">
        <v>2368</v>
      </c>
      <c r="S2466" t="s">
        <v>2348</v>
      </c>
      <c r="T2466" t="s">
        <v>2165</v>
      </c>
      <c r="U2466">
        <v>256100</v>
      </c>
      <c r="V2466" t="s">
        <v>2405</v>
      </c>
      <c r="W2466" t="s">
        <v>2399</v>
      </c>
      <c r="X2466" t="s">
        <v>14480</v>
      </c>
      <c r="Y2466" t="s">
        <v>14479</v>
      </c>
      <c r="AA2466" t="s">
        <v>11995</v>
      </c>
      <c r="AB2466" t="s">
        <v>14478</v>
      </c>
      <c r="AC2466">
        <v>99204</v>
      </c>
      <c r="AD2466" t="s">
        <v>2400</v>
      </c>
      <c r="AE2466">
        <v>-40.948695409999999</v>
      </c>
      <c r="AF2466">
        <v>175.65837181000001</v>
      </c>
      <c r="AG2466" s="175">
        <v>30</v>
      </c>
      <c r="AH2466" s="175">
        <v>12</v>
      </c>
      <c r="AI2466" s="175">
        <v>3</v>
      </c>
      <c r="AJ2466" s="175">
        <v>12</v>
      </c>
      <c r="AK2466" s="175">
        <v>5</v>
      </c>
      <c r="AL2466" s="175">
        <v>9</v>
      </c>
      <c r="AM2466" s="175">
        <v>7</v>
      </c>
      <c r="AN2466" s="175">
        <v>0</v>
      </c>
      <c r="AO2466" s="175">
        <v>36</v>
      </c>
      <c r="AP2466" s="175">
        <v>24</v>
      </c>
      <c r="AQ2466" s="175">
        <v>26</v>
      </c>
      <c r="AR2466" s="175">
        <v>3</v>
      </c>
      <c r="AS2466" s="175">
        <v>3</v>
      </c>
      <c r="AT2466" s="175">
        <v>0</v>
      </c>
    </row>
    <row r="2467" spans="1:46">
      <c r="A2467">
        <v>46715</v>
      </c>
      <c r="B2467" t="s">
        <v>14481</v>
      </c>
      <c r="C2467" t="s">
        <v>14482</v>
      </c>
      <c r="D2467" t="s">
        <v>14483</v>
      </c>
      <c r="E2467" t="s">
        <v>14484</v>
      </c>
      <c r="F2467" t="s">
        <v>2557</v>
      </c>
      <c r="G2467" t="s">
        <v>2505</v>
      </c>
      <c r="H2467" t="s">
        <v>449</v>
      </c>
      <c r="J2467" t="s">
        <v>605</v>
      </c>
      <c r="K2467" t="s">
        <v>606</v>
      </c>
      <c r="M2467" t="s">
        <v>2366</v>
      </c>
      <c r="N2467" t="s">
        <v>625</v>
      </c>
      <c r="O2467" t="s">
        <v>2506</v>
      </c>
      <c r="P2467" t="s">
        <v>739</v>
      </c>
      <c r="Q2467" t="s">
        <v>516</v>
      </c>
      <c r="R2467" t="s">
        <v>2368</v>
      </c>
      <c r="S2467" t="s">
        <v>2451</v>
      </c>
      <c r="T2467" t="s">
        <v>2165</v>
      </c>
      <c r="U2467">
        <v>246200</v>
      </c>
      <c r="V2467" t="s">
        <v>14485</v>
      </c>
      <c r="W2467" t="s">
        <v>2533</v>
      </c>
      <c r="X2467" t="s">
        <v>10497</v>
      </c>
      <c r="Y2467" t="s">
        <v>4014</v>
      </c>
      <c r="Z2467" t="s">
        <v>4015</v>
      </c>
      <c r="AA2467" t="s">
        <v>4016</v>
      </c>
      <c r="AE2467">
        <v>-41.19852015</v>
      </c>
      <c r="AF2467">
        <v>174.95541248000001</v>
      </c>
      <c r="AG2467" s="175">
        <v>80</v>
      </c>
      <c r="AH2467" s="175">
        <v>12</v>
      </c>
      <c r="AI2467" s="175">
        <v>1</v>
      </c>
      <c r="AJ2467" s="175">
        <v>11</v>
      </c>
      <c r="AK2467" s="175">
        <v>24</v>
      </c>
      <c r="AL2467" s="175">
        <v>27</v>
      </c>
      <c r="AM2467" s="175">
        <v>33</v>
      </c>
      <c r="AN2467" s="175">
        <v>1</v>
      </c>
      <c r="AO2467" s="175">
        <v>97</v>
      </c>
      <c r="AP2467" s="175">
        <v>44</v>
      </c>
      <c r="AQ2467" s="175">
        <v>40</v>
      </c>
      <c r="AR2467" s="175">
        <v>17</v>
      </c>
      <c r="AS2467" s="175">
        <v>29</v>
      </c>
      <c r="AT2467" s="175">
        <v>5</v>
      </c>
    </row>
    <row r="2468" spans="1:46">
      <c r="A2468">
        <v>46717</v>
      </c>
      <c r="B2468" t="s">
        <v>14486</v>
      </c>
      <c r="C2468" t="s">
        <v>14487</v>
      </c>
      <c r="E2468" t="s">
        <v>14488</v>
      </c>
      <c r="F2468" t="s">
        <v>1506</v>
      </c>
      <c r="G2468" t="s">
        <v>1381</v>
      </c>
      <c r="H2468" t="s">
        <v>449</v>
      </c>
      <c r="J2468" t="s">
        <v>4032</v>
      </c>
      <c r="K2468" t="s">
        <v>606</v>
      </c>
      <c r="M2468" t="s">
        <v>1382</v>
      </c>
      <c r="N2468" t="s">
        <v>657</v>
      </c>
      <c r="O2468" t="s">
        <v>1383</v>
      </c>
      <c r="P2468" t="s">
        <v>739</v>
      </c>
      <c r="Q2468" t="s">
        <v>510</v>
      </c>
      <c r="R2468" t="s">
        <v>1384</v>
      </c>
      <c r="S2468" t="s">
        <v>1385</v>
      </c>
      <c r="T2468" t="s">
        <v>1320</v>
      </c>
      <c r="U2468">
        <v>175201</v>
      </c>
      <c r="V2468" t="s">
        <v>9123</v>
      </c>
      <c r="W2468" t="s">
        <v>1387</v>
      </c>
      <c r="X2468" t="s">
        <v>14489</v>
      </c>
      <c r="Y2468" t="s">
        <v>14490</v>
      </c>
      <c r="AA2468" t="s">
        <v>9639</v>
      </c>
      <c r="AB2468" t="s">
        <v>14491</v>
      </c>
      <c r="AE2468">
        <v>-37.742294299999998</v>
      </c>
      <c r="AF2468">
        <v>175.22493940000001</v>
      </c>
      <c r="AG2468" s="175">
        <v>75</v>
      </c>
      <c r="AH2468" s="175">
        <v>25</v>
      </c>
      <c r="AI2468" s="175">
        <v>3</v>
      </c>
      <c r="AJ2468" s="175">
        <v>9</v>
      </c>
      <c r="AK2468" s="175">
        <v>15</v>
      </c>
      <c r="AL2468" s="175">
        <v>14</v>
      </c>
      <c r="AM2468" s="175">
        <v>16</v>
      </c>
      <c r="AN2468" s="175">
        <v>0</v>
      </c>
      <c r="AO2468" s="175">
        <v>57</v>
      </c>
      <c r="AP2468" s="175">
        <v>28</v>
      </c>
      <c r="AQ2468" s="175">
        <v>15</v>
      </c>
      <c r="AR2468" s="175">
        <v>2</v>
      </c>
      <c r="AS2468" s="175">
        <v>17</v>
      </c>
      <c r="AT2468" s="175">
        <v>10</v>
      </c>
    </row>
    <row r="2469" spans="1:46">
      <c r="A2469">
        <v>46729</v>
      </c>
      <c r="B2469" t="s">
        <v>14492</v>
      </c>
      <c r="C2469" t="s">
        <v>14493</v>
      </c>
      <c r="E2469" t="s">
        <v>14494</v>
      </c>
      <c r="F2469" t="s">
        <v>13870</v>
      </c>
      <c r="G2469" t="s">
        <v>737</v>
      </c>
      <c r="H2469" t="s">
        <v>449</v>
      </c>
      <c r="J2469" t="s">
        <v>4032</v>
      </c>
      <c r="K2469" t="s">
        <v>606</v>
      </c>
      <c r="M2469" t="s">
        <v>607</v>
      </c>
      <c r="N2469" t="s">
        <v>657</v>
      </c>
      <c r="O2469" t="s">
        <v>914</v>
      </c>
      <c r="P2469" t="s">
        <v>739</v>
      </c>
      <c r="Q2469" t="s">
        <v>467</v>
      </c>
      <c r="R2469" t="s">
        <v>793</v>
      </c>
      <c r="S2469" t="s">
        <v>890</v>
      </c>
      <c r="T2469" t="s">
        <v>794</v>
      </c>
      <c r="U2469">
        <v>145900</v>
      </c>
      <c r="V2469" t="s">
        <v>13870</v>
      </c>
      <c r="W2469" t="s">
        <v>892</v>
      </c>
      <c r="X2469" t="s">
        <v>14495</v>
      </c>
      <c r="Y2469" t="s">
        <v>14496</v>
      </c>
      <c r="Z2469" t="s">
        <v>791</v>
      </c>
      <c r="AA2469" t="s">
        <v>4551</v>
      </c>
      <c r="AE2469">
        <v>-36.907585529999999</v>
      </c>
      <c r="AF2469">
        <v>174.81172122000001</v>
      </c>
      <c r="AG2469" s="175">
        <v>84</v>
      </c>
      <c r="AH2469" s="175">
        <v>20</v>
      </c>
      <c r="AI2469" s="175">
        <v>2</v>
      </c>
      <c r="AJ2469" s="175">
        <v>18</v>
      </c>
      <c r="AK2469" s="175">
        <v>10</v>
      </c>
      <c r="AL2469" s="175">
        <v>26</v>
      </c>
      <c r="AM2469" s="175">
        <v>14</v>
      </c>
      <c r="AN2469" s="175">
        <v>0</v>
      </c>
      <c r="AO2469" s="175">
        <v>70</v>
      </c>
      <c r="AP2469" s="175">
        <v>17</v>
      </c>
      <c r="AQ2469" s="175">
        <v>1</v>
      </c>
      <c r="AR2469" s="175">
        <v>7</v>
      </c>
      <c r="AS2469" s="175">
        <v>55</v>
      </c>
      <c r="AT2469" s="175">
        <v>1</v>
      </c>
    </row>
    <row r="2470" spans="1:46">
      <c r="A2470">
        <v>46730</v>
      </c>
      <c r="B2470" t="s">
        <v>14497</v>
      </c>
      <c r="C2470" t="s">
        <v>14498</v>
      </c>
      <c r="E2470" t="s">
        <v>14499</v>
      </c>
      <c r="F2470" t="s">
        <v>897</v>
      </c>
      <c r="G2470" t="s">
        <v>737</v>
      </c>
      <c r="H2470" t="s">
        <v>449</v>
      </c>
      <c r="J2470" t="s">
        <v>605</v>
      </c>
      <c r="K2470" t="s">
        <v>606</v>
      </c>
      <c r="M2470" t="s">
        <v>607</v>
      </c>
      <c r="N2470" t="s">
        <v>643</v>
      </c>
      <c r="O2470" t="s">
        <v>898</v>
      </c>
      <c r="P2470" t="s">
        <v>739</v>
      </c>
      <c r="Q2470" t="s">
        <v>467</v>
      </c>
      <c r="R2470" t="s">
        <v>724</v>
      </c>
      <c r="S2470" t="s">
        <v>824</v>
      </c>
      <c r="T2470" t="s">
        <v>613</v>
      </c>
      <c r="U2470">
        <v>122901</v>
      </c>
      <c r="V2470" t="s">
        <v>14500</v>
      </c>
      <c r="W2470" t="s">
        <v>900</v>
      </c>
      <c r="X2470" t="s">
        <v>7780</v>
      </c>
      <c r="Y2470" t="s">
        <v>7781</v>
      </c>
      <c r="Z2470" t="s">
        <v>729</v>
      </c>
      <c r="AA2470" t="s">
        <v>730</v>
      </c>
      <c r="AB2470" t="s">
        <v>7782</v>
      </c>
      <c r="AE2470">
        <v>-36.846476580000001</v>
      </c>
      <c r="AF2470">
        <v>174.61566354000001</v>
      </c>
      <c r="AG2470" s="175">
        <v>75</v>
      </c>
      <c r="AH2470" s="175">
        <v>18</v>
      </c>
      <c r="AI2470" s="175">
        <v>2</v>
      </c>
      <c r="AJ2470" s="175">
        <v>9</v>
      </c>
      <c r="AK2470" s="175">
        <v>11</v>
      </c>
      <c r="AL2470" s="175">
        <v>22</v>
      </c>
      <c r="AM2470" s="175">
        <v>17</v>
      </c>
      <c r="AN2470" s="175">
        <v>2</v>
      </c>
      <c r="AO2470" s="175">
        <v>63</v>
      </c>
      <c r="AP2470" s="175">
        <v>19</v>
      </c>
      <c r="AQ2470" s="175">
        <v>34</v>
      </c>
      <c r="AR2470" s="175">
        <v>19</v>
      </c>
      <c r="AS2470" s="175">
        <v>12</v>
      </c>
      <c r="AT2470" s="175">
        <v>1</v>
      </c>
    </row>
    <row r="2471" spans="1:46">
      <c r="A2471">
        <v>46731</v>
      </c>
      <c r="B2471" t="s">
        <v>14501</v>
      </c>
      <c r="C2471" t="s">
        <v>10883</v>
      </c>
      <c r="D2471" t="s">
        <v>14502</v>
      </c>
      <c r="E2471" t="s">
        <v>14503</v>
      </c>
      <c r="G2471" t="s">
        <v>14504</v>
      </c>
      <c r="H2471" t="s">
        <v>449</v>
      </c>
      <c r="J2471" t="s">
        <v>4032</v>
      </c>
      <c r="K2471" t="s">
        <v>606</v>
      </c>
      <c r="M2471" t="s">
        <v>2366</v>
      </c>
      <c r="N2471" t="s">
        <v>657</v>
      </c>
      <c r="O2471" t="s">
        <v>2411</v>
      </c>
      <c r="P2471" t="s">
        <v>610</v>
      </c>
      <c r="Q2471" t="s">
        <v>516</v>
      </c>
      <c r="R2471" t="s">
        <v>2368</v>
      </c>
      <c r="S2471" t="s">
        <v>2348</v>
      </c>
      <c r="T2471" t="s">
        <v>2165</v>
      </c>
      <c r="U2471">
        <v>257901</v>
      </c>
      <c r="V2471" t="s">
        <v>14504</v>
      </c>
      <c r="W2471" t="s">
        <v>14505</v>
      </c>
      <c r="X2471" t="s">
        <v>10881</v>
      </c>
      <c r="Y2471" t="s">
        <v>10880</v>
      </c>
      <c r="AA2471" t="s">
        <v>10882</v>
      </c>
      <c r="AB2471" t="s">
        <v>10883</v>
      </c>
      <c r="AC2471">
        <v>99109</v>
      </c>
      <c r="AD2471" t="s">
        <v>2413</v>
      </c>
      <c r="AE2471">
        <v>-41.216891179999998</v>
      </c>
      <c r="AF2471">
        <v>175.45824359</v>
      </c>
      <c r="AG2471" s="175">
        <v>22</v>
      </c>
      <c r="AH2471" s="175">
        <v>10</v>
      </c>
      <c r="AI2471" s="175">
        <v>0</v>
      </c>
      <c r="AJ2471" s="175">
        <v>3</v>
      </c>
      <c r="AK2471" s="175">
        <v>8</v>
      </c>
      <c r="AL2471" s="175">
        <v>6</v>
      </c>
      <c r="AM2471" s="175">
        <v>7</v>
      </c>
      <c r="AN2471" s="175">
        <v>0</v>
      </c>
      <c r="AO2471" s="175">
        <v>24</v>
      </c>
      <c r="AP2471" s="175">
        <v>21</v>
      </c>
      <c r="AQ2471" s="175">
        <v>10</v>
      </c>
      <c r="AR2471" s="175">
        <v>0</v>
      </c>
      <c r="AS2471" s="175">
        <v>0</v>
      </c>
      <c r="AT2471" s="175">
        <v>0</v>
      </c>
    </row>
    <row r="2472" spans="1:46">
      <c r="A2472">
        <v>46732</v>
      </c>
      <c r="B2472" t="s">
        <v>13619</v>
      </c>
      <c r="C2472" t="s">
        <v>14506</v>
      </c>
      <c r="D2472" t="s">
        <v>14507</v>
      </c>
      <c r="E2472" t="s">
        <v>14508</v>
      </c>
      <c r="F2472" t="s">
        <v>14509</v>
      </c>
      <c r="G2472" t="s">
        <v>737</v>
      </c>
      <c r="H2472" t="s">
        <v>449</v>
      </c>
      <c r="J2472" t="s">
        <v>4032</v>
      </c>
      <c r="K2472" t="s">
        <v>606</v>
      </c>
      <c r="M2472" t="s">
        <v>607</v>
      </c>
      <c r="N2472" t="s">
        <v>657</v>
      </c>
      <c r="O2472" t="s">
        <v>792</v>
      </c>
      <c r="P2472" t="s">
        <v>739</v>
      </c>
      <c r="Q2472" t="s">
        <v>467</v>
      </c>
      <c r="R2472" t="s">
        <v>793</v>
      </c>
      <c r="S2472" t="s">
        <v>863</v>
      </c>
      <c r="T2472" t="s">
        <v>794</v>
      </c>
      <c r="U2472">
        <v>154500</v>
      </c>
      <c r="V2472" t="s">
        <v>14509</v>
      </c>
      <c r="W2472" t="s">
        <v>796</v>
      </c>
      <c r="X2472" t="s">
        <v>13623</v>
      </c>
      <c r="Y2472" t="s">
        <v>13624</v>
      </c>
      <c r="AA2472" t="s">
        <v>13625</v>
      </c>
      <c r="AB2472" t="s">
        <v>14506</v>
      </c>
      <c r="AE2472">
        <v>-36.929541520000001</v>
      </c>
      <c r="AF2472">
        <v>174.90587267999999</v>
      </c>
      <c r="AG2472" s="175">
        <v>120</v>
      </c>
      <c r="AH2472" s="175">
        <v>20</v>
      </c>
      <c r="AI2472" s="175">
        <v>4</v>
      </c>
      <c r="AJ2472" s="175">
        <v>13</v>
      </c>
      <c r="AK2472" s="175">
        <v>22</v>
      </c>
      <c r="AL2472" s="175">
        <v>25</v>
      </c>
      <c r="AM2472" s="175">
        <v>23</v>
      </c>
      <c r="AN2472" s="175">
        <v>1</v>
      </c>
      <c r="AO2472" s="175">
        <v>88</v>
      </c>
      <c r="AP2472" s="175">
        <v>45</v>
      </c>
      <c r="AQ2472" s="175">
        <v>9</v>
      </c>
      <c r="AR2472" s="175">
        <v>4</v>
      </c>
      <c r="AS2472" s="175">
        <v>43</v>
      </c>
      <c r="AT2472" s="175">
        <v>6</v>
      </c>
    </row>
    <row r="2473" spans="1:46">
      <c r="A2473">
        <v>46733</v>
      </c>
      <c r="B2473" t="s">
        <v>14510</v>
      </c>
      <c r="C2473" t="s">
        <v>14511</v>
      </c>
      <c r="D2473" t="s">
        <v>14512</v>
      </c>
      <c r="E2473" t="s">
        <v>14513</v>
      </c>
      <c r="G2473" t="s">
        <v>3834</v>
      </c>
      <c r="H2473" t="s">
        <v>449</v>
      </c>
      <c r="J2473" t="s">
        <v>4032</v>
      </c>
      <c r="K2473" t="s">
        <v>606</v>
      </c>
      <c r="M2473" t="s">
        <v>607</v>
      </c>
      <c r="N2473" t="s">
        <v>657</v>
      </c>
      <c r="O2473" t="s">
        <v>3835</v>
      </c>
      <c r="P2473" t="s">
        <v>610</v>
      </c>
      <c r="Q2473" t="s">
        <v>467</v>
      </c>
      <c r="R2473" t="s">
        <v>793</v>
      </c>
      <c r="S2473" t="s">
        <v>1043</v>
      </c>
      <c r="T2473" t="s">
        <v>794</v>
      </c>
      <c r="U2473">
        <v>144600</v>
      </c>
      <c r="V2473" t="s">
        <v>6969</v>
      </c>
      <c r="W2473" t="s">
        <v>1044</v>
      </c>
      <c r="X2473" t="s">
        <v>14514</v>
      </c>
      <c r="Y2473" t="s">
        <v>14515</v>
      </c>
      <c r="AA2473" t="s">
        <v>14516</v>
      </c>
      <c r="AB2473" t="s">
        <v>14511</v>
      </c>
      <c r="AE2473">
        <v>-36.790086479999999</v>
      </c>
      <c r="AF2473">
        <v>175.00802236999999</v>
      </c>
      <c r="AG2473" s="175">
        <v>27</v>
      </c>
      <c r="AH2473" s="175">
        <v>0</v>
      </c>
      <c r="AI2473" s="175">
        <v>0</v>
      </c>
      <c r="AJ2473" s="175">
        <v>0</v>
      </c>
      <c r="AK2473" s="175">
        <v>8</v>
      </c>
      <c r="AL2473" s="175">
        <v>13</v>
      </c>
      <c r="AM2473" s="175">
        <v>13</v>
      </c>
      <c r="AN2473" s="175">
        <v>1</v>
      </c>
      <c r="AO2473" s="175">
        <v>35</v>
      </c>
      <c r="AP2473" s="175">
        <v>29</v>
      </c>
      <c r="AQ2473" s="175">
        <v>21</v>
      </c>
      <c r="AR2473" s="175">
        <v>4</v>
      </c>
      <c r="AS2473" s="175">
        <v>3</v>
      </c>
      <c r="AT2473" s="175">
        <v>0</v>
      </c>
    </row>
    <row r="2474" spans="1:46">
      <c r="A2474">
        <v>46735</v>
      </c>
      <c r="B2474" t="s">
        <v>14517</v>
      </c>
      <c r="C2474" t="s">
        <v>14518</v>
      </c>
      <c r="E2474" t="s">
        <v>14519</v>
      </c>
      <c r="F2474" t="s">
        <v>14520</v>
      </c>
      <c r="G2474" t="s">
        <v>1604</v>
      </c>
      <c r="H2474" t="s">
        <v>449</v>
      </c>
      <c r="J2474" t="s">
        <v>4032</v>
      </c>
      <c r="K2474" t="s">
        <v>606</v>
      </c>
      <c r="M2474" t="s">
        <v>1382</v>
      </c>
      <c r="N2474" t="s">
        <v>608</v>
      </c>
      <c r="O2474" t="s">
        <v>1605</v>
      </c>
      <c r="P2474" t="s">
        <v>670</v>
      </c>
      <c r="Q2474" t="s">
        <v>511</v>
      </c>
      <c r="R2474" t="s">
        <v>1555</v>
      </c>
      <c r="S2474" t="s">
        <v>1604</v>
      </c>
      <c r="T2474" t="s">
        <v>1557</v>
      </c>
      <c r="U2474">
        <v>201100</v>
      </c>
      <c r="V2474" t="s">
        <v>14520</v>
      </c>
      <c r="W2474" t="s">
        <v>1606</v>
      </c>
      <c r="X2474" t="s">
        <v>14521</v>
      </c>
      <c r="Y2474" t="s">
        <v>14522</v>
      </c>
      <c r="Z2474" t="s">
        <v>6269</v>
      </c>
      <c r="AA2474" t="s">
        <v>4423</v>
      </c>
      <c r="AE2474">
        <v>-38.146044930000002</v>
      </c>
      <c r="AF2474">
        <v>176.27104327999999</v>
      </c>
      <c r="AG2474" s="175">
        <v>30</v>
      </c>
      <c r="AH2474" s="175">
        <v>12</v>
      </c>
      <c r="AI2474" s="175">
        <v>1</v>
      </c>
      <c r="AJ2474" s="175">
        <v>2</v>
      </c>
      <c r="AK2474" s="175">
        <v>5</v>
      </c>
      <c r="AL2474" s="175">
        <v>4</v>
      </c>
      <c r="AM2474" s="175">
        <v>4</v>
      </c>
      <c r="AN2474" s="175">
        <v>2</v>
      </c>
      <c r="AO2474" s="175">
        <v>18</v>
      </c>
      <c r="AP2474" s="175">
        <v>7</v>
      </c>
      <c r="AQ2474" s="175">
        <v>18</v>
      </c>
      <c r="AR2474" s="175">
        <v>3</v>
      </c>
      <c r="AS2474" s="175">
        <v>0</v>
      </c>
      <c r="AT2474" s="175">
        <v>0</v>
      </c>
    </row>
    <row r="2475" spans="1:46">
      <c r="A2475">
        <v>46737</v>
      </c>
      <c r="B2475" t="s">
        <v>14523</v>
      </c>
      <c r="C2475" t="s">
        <v>14524</v>
      </c>
      <c r="D2475" t="s">
        <v>14525</v>
      </c>
      <c r="E2475" t="s">
        <v>14526</v>
      </c>
      <c r="F2475" t="s">
        <v>13170</v>
      </c>
      <c r="G2475" t="s">
        <v>737</v>
      </c>
      <c r="H2475" t="s">
        <v>449</v>
      </c>
      <c r="J2475" t="s">
        <v>605</v>
      </c>
      <c r="K2475" t="s">
        <v>606</v>
      </c>
      <c r="M2475" t="s">
        <v>607</v>
      </c>
      <c r="N2475" t="s">
        <v>608</v>
      </c>
      <c r="O2475" t="s">
        <v>914</v>
      </c>
      <c r="P2475" t="s">
        <v>739</v>
      </c>
      <c r="Q2475" t="s">
        <v>467</v>
      </c>
      <c r="R2475" t="s">
        <v>793</v>
      </c>
      <c r="S2475" t="s">
        <v>815</v>
      </c>
      <c r="T2475" t="s">
        <v>794</v>
      </c>
      <c r="U2475">
        <v>147700</v>
      </c>
      <c r="V2475" t="s">
        <v>14527</v>
      </c>
      <c r="W2475" t="s">
        <v>892</v>
      </c>
      <c r="X2475" t="s">
        <v>14528</v>
      </c>
      <c r="Y2475" t="s">
        <v>4621</v>
      </c>
      <c r="Z2475" t="s">
        <v>4622</v>
      </c>
      <c r="AA2475" t="s">
        <v>4623</v>
      </c>
      <c r="AE2475">
        <v>-36.911363850000001</v>
      </c>
      <c r="AF2475">
        <v>174.84840109000001</v>
      </c>
      <c r="AG2475" s="175">
        <v>45</v>
      </c>
      <c r="AH2475" s="175">
        <v>15</v>
      </c>
      <c r="AI2475" s="175">
        <v>1</v>
      </c>
      <c r="AJ2475" s="175">
        <v>6</v>
      </c>
      <c r="AK2475" s="175">
        <v>6</v>
      </c>
      <c r="AL2475" s="175">
        <v>9</v>
      </c>
      <c r="AM2475" s="175">
        <v>4</v>
      </c>
      <c r="AN2475" s="175">
        <v>1</v>
      </c>
      <c r="AO2475" s="175">
        <v>27</v>
      </c>
      <c r="AP2475" s="175">
        <v>8</v>
      </c>
      <c r="AQ2475" s="175">
        <v>8</v>
      </c>
      <c r="AR2475" s="175">
        <v>11</v>
      </c>
      <c r="AS2475" s="175">
        <v>12</v>
      </c>
      <c r="AT2475" s="175">
        <v>2</v>
      </c>
    </row>
    <row r="2476" spans="1:46">
      <c r="A2476">
        <v>46738</v>
      </c>
      <c r="B2476" t="s">
        <v>14529</v>
      </c>
      <c r="E2476" t="s">
        <v>8318</v>
      </c>
      <c r="F2476" t="s">
        <v>8319</v>
      </c>
      <c r="G2476" t="s">
        <v>737</v>
      </c>
      <c r="H2476" t="s">
        <v>450</v>
      </c>
      <c r="J2476" t="s">
        <v>4032</v>
      </c>
      <c r="K2476" t="s">
        <v>606</v>
      </c>
      <c r="M2476" t="s">
        <v>607</v>
      </c>
      <c r="N2476" t="s">
        <v>657</v>
      </c>
      <c r="O2476" t="s">
        <v>1253</v>
      </c>
      <c r="P2476" t="s">
        <v>739</v>
      </c>
      <c r="Q2476" t="s">
        <v>467</v>
      </c>
      <c r="R2476" t="s">
        <v>724</v>
      </c>
      <c r="S2476" t="s">
        <v>740</v>
      </c>
      <c r="T2476" t="s">
        <v>613</v>
      </c>
      <c r="U2476">
        <v>118600</v>
      </c>
      <c r="V2476" t="s">
        <v>4082</v>
      </c>
      <c r="W2476" t="s">
        <v>742</v>
      </c>
      <c r="X2476" t="s">
        <v>6333</v>
      </c>
      <c r="Y2476" t="s">
        <v>6334</v>
      </c>
      <c r="Z2476" t="s">
        <v>3777</v>
      </c>
      <c r="AA2476" t="s">
        <v>6335</v>
      </c>
      <c r="AB2476" t="s">
        <v>6336</v>
      </c>
      <c r="AE2476">
        <v>-36.745939630000002</v>
      </c>
      <c r="AF2476">
        <v>174.70431730000001</v>
      </c>
      <c r="AG2476" s="175">
        <v>80</v>
      </c>
      <c r="AH2476" s="175">
        <v>80</v>
      </c>
      <c r="AI2476" s="175">
        <v>10</v>
      </c>
      <c r="AJ2476" s="175">
        <v>5</v>
      </c>
      <c r="AK2476" s="175">
        <v>14</v>
      </c>
      <c r="AL2476" s="175">
        <v>10</v>
      </c>
      <c r="AM2476" s="175">
        <v>8</v>
      </c>
      <c r="AN2476" s="175">
        <v>1</v>
      </c>
      <c r="AO2476" s="175">
        <v>48</v>
      </c>
      <c r="AP2476" s="175">
        <v>4</v>
      </c>
      <c r="AQ2476" s="175">
        <v>0</v>
      </c>
      <c r="AR2476" s="175">
        <v>0</v>
      </c>
      <c r="AS2476" s="175">
        <v>48</v>
      </c>
      <c r="AT2476" s="175">
        <v>0</v>
      </c>
    </row>
    <row r="2477" spans="1:46">
      <c r="A2477">
        <v>46739</v>
      </c>
      <c r="B2477" t="s">
        <v>14530</v>
      </c>
      <c r="C2477" t="s">
        <v>14531</v>
      </c>
      <c r="D2477" t="s">
        <v>14532</v>
      </c>
      <c r="E2477" t="s">
        <v>14533</v>
      </c>
      <c r="F2477" t="s">
        <v>1121</v>
      </c>
      <c r="G2477" t="s">
        <v>737</v>
      </c>
      <c r="H2477" t="s">
        <v>449</v>
      </c>
      <c r="J2477" t="s">
        <v>4032</v>
      </c>
      <c r="K2477" t="s">
        <v>606</v>
      </c>
      <c r="M2477" t="s">
        <v>607</v>
      </c>
      <c r="N2477" t="s">
        <v>608</v>
      </c>
      <c r="O2477" t="s">
        <v>1301</v>
      </c>
      <c r="P2477" t="s">
        <v>739</v>
      </c>
      <c r="Q2477" t="s">
        <v>467</v>
      </c>
      <c r="R2477" t="s">
        <v>814</v>
      </c>
      <c r="S2477" t="s">
        <v>1121</v>
      </c>
      <c r="T2477" t="s">
        <v>794</v>
      </c>
      <c r="U2477">
        <v>159101</v>
      </c>
      <c r="V2477" t="s">
        <v>12057</v>
      </c>
      <c r="W2477" t="s">
        <v>1304</v>
      </c>
      <c r="X2477" t="s">
        <v>14534</v>
      </c>
      <c r="Y2477" t="s">
        <v>14535</v>
      </c>
      <c r="Z2477" t="s">
        <v>862</v>
      </c>
      <c r="AA2477" t="s">
        <v>4604</v>
      </c>
      <c r="AB2477" t="s">
        <v>14536</v>
      </c>
      <c r="AE2477">
        <v>-37.009791800000002</v>
      </c>
      <c r="AF2477">
        <v>174.8895526</v>
      </c>
      <c r="AG2477" s="175">
        <v>50</v>
      </c>
      <c r="AH2477" s="175">
        <v>20</v>
      </c>
      <c r="AI2477" s="175">
        <v>1</v>
      </c>
      <c r="AJ2477" s="175">
        <v>9</v>
      </c>
      <c r="AK2477" s="175">
        <v>9</v>
      </c>
      <c r="AL2477" s="175">
        <v>16</v>
      </c>
      <c r="AM2477" s="175">
        <v>6</v>
      </c>
      <c r="AN2477" s="175">
        <v>1</v>
      </c>
      <c r="AO2477" s="175">
        <v>42</v>
      </c>
      <c r="AP2477" s="175">
        <v>5</v>
      </c>
      <c r="AQ2477" s="175">
        <v>8</v>
      </c>
      <c r="AR2477" s="175">
        <v>12</v>
      </c>
      <c r="AS2477" s="175">
        <v>23</v>
      </c>
      <c r="AT2477" s="175">
        <v>0</v>
      </c>
    </row>
    <row r="2478" spans="1:46">
      <c r="A2478">
        <v>46740</v>
      </c>
      <c r="B2478" t="s">
        <v>14537</v>
      </c>
      <c r="C2478" t="s">
        <v>13938</v>
      </c>
      <c r="D2478" t="s">
        <v>14429</v>
      </c>
      <c r="E2478" t="s">
        <v>13129</v>
      </c>
      <c r="F2478" t="s">
        <v>811</v>
      </c>
      <c r="G2478" t="s">
        <v>737</v>
      </c>
      <c r="H2478" t="s">
        <v>450</v>
      </c>
      <c r="I2478" t="s">
        <v>4320</v>
      </c>
      <c r="J2478" t="s">
        <v>4032</v>
      </c>
      <c r="K2478" t="s">
        <v>606</v>
      </c>
      <c r="M2478" t="s">
        <v>607</v>
      </c>
      <c r="N2478" t="s">
        <v>812</v>
      </c>
      <c r="O2478" t="s">
        <v>813</v>
      </c>
      <c r="P2478" t="s">
        <v>739</v>
      </c>
      <c r="Q2478" t="s">
        <v>467</v>
      </c>
      <c r="R2478" t="s">
        <v>814</v>
      </c>
      <c r="S2478" t="s">
        <v>815</v>
      </c>
      <c r="T2478" t="s">
        <v>794</v>
      </c>
      <c r="U2478">
        <v>154400</v>
      </c>
      <c r="V2478" t="s">
        <v>7416</v>
      </c>
      <c r="W2478" t="s">
        <v>817</v>
      </c>
      <c r="X2478" t="s">
        <v>13130</v>
      </c>
      <c r="Y2478" t="s">
        <v>13131</v>
      </c>
      <c r="Z2478" t="s">
        <v>1157</v>
      </c>
      <c r="AA2478" t="s">
        <v>4952</v>
      </c>
      <c r="AB2478" t="s">
        <v>13132</v>
      </c>
      <c r="AE2478">
        <v>-36.96099014</v>
      </c>
      <c r="AF2478">
        <v>174.87559669999999</v>
      </c>
      <c r="AG2478" s="175">
        <v>60</v>
      </c>
      <c r="AH2478" s="175">
        <v>60</v>
      </c>
      <c r="AI2478" s="175">
        <v>8</v>
      </c>
      <c r="AJ2478" s="175">
        <v>9</v>
      </c>
      <c r="AK2478" s="175">
        <v>8</v>
      </c>
      <c r="AL2478" s="175">
        <v>8</v>
      </c>
      <c r="AM2478" s="175">
        <v>7</v>
      </c>
      <c r="AN2478" s="175">
        <v>2</v>
      </c>
      <c r="AO2478" s="175">
        <v>42</v>
      </c>
      <c r="AP2478" s="175">
        <v>0</v>
      </c>
      <c r="AQ2478" s="175">
        <v>0</v>
      </c>
      <c r="AR2478" s="175">
        <v>39</v>
      </c>
      <c r="AS2478" s="175">
        <v>1</v>
      </c>
      <c r="AT2478" s="175">
        <v>2</v>
      </c>
    </row>
    <row r="2479" spans="1:46">
      <c r="A2479">
        <v>46742</v>
      </c>
      <c r="B2479" t="s">
        <v>14538</v>
      </c>
      <c r="C2479" t="s">
        <v>14539</v>
      </c>
      <c r="D2479" t="s">
        <v>14540</v>
      </c>
      <c r="E2479" t="s">
        <v>14541</v>
      </c>
      <c r="F2479" t="s">
        <v>5170</v>
      </c>
      <c r="G2479" t="s">
        <v>737</v>
      </c>
      <c r="H2479" t="s">
        <v>449</v>
      </c>
      <c r="J2479" t="s">
        <v>4032</v>
      </c>
      <c r="K2479" t="s">
        <v>606</v>
      </c>
      <c r="M2479" t="s">
        <v>607</v>
      </c>
      <c r="N2479" t="s">
        <v>657</v>
      </c>
      <c r="O2479" t="s">
        <v>792</v>
      </c>
      <c r="P2479" t="s">
        <v>739</v>
      </c>
      <c r="Q2479" t="s">
        <v>467</v>
      </c>
      <c r="R2479" t="s">
        <v>814</v>
      </c>
      <c r="S2479" t="s">
        <v>1302</v>
      </c>
      <c r="T2479" t="s">
        <v>794</v>
      </c>
      <c r="U2479">
        <v>158200</v>
      </c>
      <c r="V2479" t="s">
        <v>11611</v>
      </c>
      <c r="W2479" t="s">
        <v>796</v>
      </c>
      <c r="X2479" t="s">
        <v>14542</v>
      </c>
      <c r="Y2479" t="s">
        <v>14543</v>
      </c>
      <c r="Z2479" t="s">
        <v>888</v>
      </c>
      <c r="AA2479" t="s">
        <v>4834</v>
      </c>
      <c r="AB2479" t="s">
        <v>14544</v>
      </c>
      <c r="AE2479">
        <v>-36.963761239999997</v>
      </c>
      <c r="AF2479">
        <v>174.92680236000001</v>
      </c>
      <c r="AG2479" s="175">
        <v>59</v>
      </c>
      <c r="AH2479" s="175">
        <v>10</v>
      </c>
      <c r="AI2479" s="175">
        <v>0</v>
      </c>
      <c r="AJ2479" s="175">
        <v>10</v>
      </c>
      <c r="AK2479" s="175">
        <v>15</v>
      </c>
      <c r="AL2479" s="175">
        <v>22</v>
      </c>
      <c r="AM2479" s="175">
        <v>24</v>
      </c>
      <c r="AN2479" s="175">
        <v>1</v>
      </c>
      <c r="AO2479" s="175">
        <v>72</v>
      </c>
      <c r="AP2479" s="175">
        <v>12</v>
      </c>
      <c r="AQ2479" s="175">
        <v>4</v>
      </c>
      <c r="AR2479" s="175">
        <v>8</v>
      </c>
      <c r="AS2479" s="175">
        <v>57</v>
      </c>
      <c r="AT2479" s="175">
        <v>2</v>
      </c>
    </row>
    <row r="2480" spans="1:46">
      <c r="A2480">
        <v>46744</v>
      </c>
      <c r="B2480" t="s">
        <v>14545</v>
      </c>
      <c r="C2480" t="s">
        <v>14546</v>
      </c>
      <c r="E2480" t="s">
        <v>14547</v>
      </c>
      <c r="G2480" t="s">
        <v>3542</v>
      </c>
      <c r="H2480" t="s">
        <v>449</v>
      </c>
      <c r="J2480" t="s">
        <v>4032</v>
      </c>
      <c r="K2480" t="s">
        <v>606</v>
      </c>
      <c r="M2480" t="s">
        <v>2366</v>
      </c>
      <c r="N2480" t="s">
        <v>657</v>
      </c>
      <c r="O2480" t="s">
        <v>3455</v>
      </c>
      <c r="P2480" t="s">
        <v>1347</v>
      </c>
      <c r="Q2480" t="s">
        <v>522</v>
      </c>
      <c r="R2480" t="s">
        <v>3410</v>
      </c>
      <c r="S2480" t="s">
        <v>3456</v>
      </c>
      <c r="T2480" t="s">
        <v>2526</v>
      </c>
      <c r="U2480">
        <v>349801</v>
      </c>
      <c r="V2480" t="s">
        <v>14548</v>
      </c>
      <c r="W2480" t="s">
        <v>1734</v>
      </c>
      <c r="X2480" t="s">
        <v>14549</v>
      </c>
      <c r="Y2480" t="s">
        <v>13025</v>
      </c>
      <c r="AA2480" t="s">
        <v>13026</v>
      </c>
      <c r="AB2480" t="s">
        <v>14550</v>
      </c>
      <c r="AE2480">
        <v>-45.868745050000001</v>
      </c>
      <c r="AF2480">
        <v>170.36657450000001</v>
      </c>
      <c r="AG2480" s="175">
        <v>90</v>
      </c>
      <c r="AH2480" s="175">
        <v>40</v>
      </c>
      <c r="AI2480" s="175">
        <v>4</v>
      </c>
      <c r="AJ2480" s="175">
        <v>8</v>
      </c>
      <c r="AK2480" s="175">
        <v>18</v>
      </c>
      <c r="AL2480" s="175">
        <v>28</v>
      </c>
      <c r="AM2480" s="175">
        <v>24</v>
      </c>
      <c r="AN2480" s="175">
        <v>0</v>
      </c>
      <c r="AO2480" s="175">
        <v>82</v>
      </c>
      <c r="AP2480" s="175">
        <v>77</v>
      </c>
      <c r="AQ2480" s="175">
        <v>8</v>
      </c>
      <c r="AR2480" s="175">
        <v>4</v>
      </c>
      <c r="AS2480" s="175">
        <v>3</v>
      </c>
      <c r="AT2480" s="175">
        <v>0</v>
      </c>
    </row>
    <row r="2481" spans="1:46">
      <c r="A2481">
        <v>46745</v>
      </c>
      <c r="B2481" t="s">
        <v>14551</v>
      </c>
      <c r="C2481" t="s">
        <v>14552</v>
      </c>
      <c r="D2481" t="s">
        <v>14553</v>
      </c>
      <c r="E2481" t="s">
        <v>14554</v>
      </c>
      <c r="G2481" t="s">
        <v>14555</v>
      </c>
      <c r="H2481" t="s">
        <v>449</v>
      </c>
      <c r="J2481" t="s">
        <v>4032</v>
      </c>
      <c r="K2481" t="s">
        <v>606</v>
      </c>
      <c r="M2481" t="s">
        <v>2366</v>
      </c>
      <c r="N2481" t="s">
        <v>657</v>
      </c>
      <c r="O2481" t="s">
        <v>3037</v>
      </c>
      <c r="P2481" t="s">
        <v>626</v>
      </c>
      <c r="Q2481" t="s">
        <v>521</v>
      </c>
      <c r="R2481" t="s">
        <v>3017</v>
      </c>
      <c r="S2481" t="s">
        <v>3038</v>
      </c>
      <c r="T2481" t="s">
        <v>2526</v>
      </c>
      <c r="U2481">
        <v>313300</v>
      </c>
      <c r="V2481" t="s">
        <v>14556</v>
      </c>
      <c r="W2481" t="s">
        <v>3040</v>
      </c>
      <c r="X2481" t="s">
        <v>14557</v>
      </c>
      <c r="Y2481" t="s">
        <v>14558</v>
      </c>
      <c r="AA2481" t="s">
        <v>14559</v>
      </c>
      <c r="AB2481" t="s">
        <v>14560</v>
      </c>
      <c r="AC2481">
        <v>99077</v>
      </c>
      <c r="AD2481" t="s">
        <v>3041</v>
      </c>
      <c r="AE2481">
        <v>-43.313582740000001</v>
      </c>
      <c r="AF2481">
        <v>172.38208291999999</v>
      </c>
      <c r="AG2481" s="175">
        <v>40</v>
      </c>
      <c r="AH2481" s="175">
        <v>12</v>
      </c>
      <c r="AI2481" s="175">
        <v>1</v>
      </c>
      <c r="AJ2481" s="175">
        <v>6</v>
      </c>
      <c r="AK2481" s="175">
        <v>15</v>
      </c>
      <c r="AL2481" s="175">
        <v>11</v>
      </c>
      <c r="AM2481" s="175">
        <v>11</v>
      </c>
      <c r="AN2481" s="175">
        <v>4</v>
      </c>
      <c r="AO2481" s="175">
        <v>48</v>
      </c>
      <c r="AP2481" s="175">
        <v>47</v>
      </c>
      <c r="AQ2481" s="175">
        <v>3</v>
      </c>
      <c r="AR2481" s="175">
        <v>0</v>
      </c>
      <c r="AS2481" s="175">
        <v>1</v>
      </c>
      <c r="AT2481" s="175">
        <v>2</v>
      </c>
    </row>
    <row r="2482" spans="1:46">
      <c r="A2482">
        <v>46752</v>
      </c>
      <c r="B2482" t="s">
        <v>14561</v>
      </c>
      <c r="C2482" t="s">
        <v>14562</v>
      </c>
      <c r="E2482" t="s">
        <v>14563</v>
      </c>
      <c r="F2482" t="s">
        <v>2134</v>
      </c>
      <c r="G2482" t="s">
        <v>2055</v>
      </c>
      <c r="H2482" t="s">
        <v>449</v>
      </c>
      <c r="I2482" t="s">
        <v>4134</v>
      </c>
      <c r="J2482" t="s">
        <v>4032</v>
      </c>
      <c r="K2482" t="s">
        <v>606</v>
      </c>
      <c r="M2482" t="s">
        <v>1382</v>
      </c>
      <c r="N2482" t="s">
        <v>657</v>
      </c>
      <c r="O2482" t="s">
        <v>2037</v>
      </c>
      <c r="P2482" t="s">
        <v>670</v>
      </c>
      <c r="Q2482" t="s">
        <v>553</v>
      </c>
      <c r="R2482" t="s">
        <v>1841</v>
      </c>
      <c r="S2482" t="s">
        <v>2055</v>
      </c>
      <c r="T2482" t="s">
        <v>1568</v>
      </c>
      <c r="U2482">
        <v>229600</v>
      </c>
      <c r="V2482" t="s">
        <v>14564</v>
      </c>
      <c r="W2482" t="s">
        <v>2038</v>
      </c>
      <c r="X2482" t="s">
        <v>14565</v>
      </c>
      <c r="Y2482" t="s">
        <v>14566</v>
      </c>
      <c r="Z2482" t="s">
        <v>2084</v>
      </c>
      <c r="AA2482" t="s">
        <v>2041</v>
      </c>
      <c r="AB2482" t="s">
        <v>14562</v>
      </c>
      <c r="AE2482">
        <v>-40.344770830000002</v>
      </c>
      <c r="AF2482">
        <v>175.60140064999999</v>
      </c>
      <c r="AG2482" s="175">
        <v>28</v>
      </c>
      <c r="AH2482" s="175">
        <v>0</v>
      </c>
      <c r="AI2482" s="175">
        <v>0</v>
      </c>
      <c r="AJ2482" s="175">
        <v>0</v>
      </c>
      <c r="AK2482" s="175">
        <v>3</v>
      </c>
      <c r="AL2482" s="175">
        <v>12</v>
      </c>
      <c r="AM2482" s="175">
        <v>20</v>
      </c>
      <c r="AN2482" s="175">
        <v>0</v>
      </c>
      <c r="AO2482" s="175">
        <v>35</v>
      </c>
      <c r="AP2482" s="175">
        <v>15</v>
      </c>
      <c r="AQ2482" s="175">
        <v>3</v>
      </c>
      <c r="AR2482" s="175">
        <v>6</v>
      </c>
      <c r="AS2482" s="175">
        <v>20</v>
      </c>
      <c r="AT2482" s="175">
        <v>5</v>
      </c>
    </row>
    <row r="2483" spans="1:46">
      <c r="A2483">
        <v>46755</v>
      </c>
      <c r="B2483" t="s">
        <v>14567</v>
      </c>
      <c r="C2483" t="s">
        <v>14568</v>
      </c>
      <c r="E2483" t="s">
        <v>14569</v>
      </c>
      <c r="F2483" t="s">
        <v>14570</v>
      </c>
      <c r="G2483" t="s">
        <v>1923</v>
      </c>
      <c r="H2483" t="s">
        <v>449</v>
      </c>
      <c r="J2483" t="s">
        <v>4032</v>
      </c>
      <c r="K2483" t="s">
        <v>606</v>
      </c>
      <c r="M2483" t="s">
        <v>1382</v>
      </c>
      <c r="N2483" t="s">
        <v>643</v>
      </c>
      <c r="O2483" t="s">
        <v>1968</v>
      </c>
      <c r="P2483" t="s">
        <v>670</v>
      </c>
      <c r="Q2483" t="s">
        <v>553</v>
      </c>
      <c r="R2483" t="s">
        <v>1841</v>
      </c>
      <c r="S2483" t="s">
        <v>1923</v>
      </c>
      <c r="T2483" t="s">
        <v>1568</v>
      </c>
      <c r="U2483">
        <v>225300</v>
      </c>
      <c r="V2483" t="s">
        <v>1993</v>
      </c>
      <c r="W2483" t="s">
        <v>1734</v>
      </c>
      <c r="X2483" t="s">
        <v>14571</v>
      </c>
      <c r="Y2483" t="s">
        <v>14569</v>
      </c>
      <c r="Z2483" t="s">
        <v>14570</v>
      </c>
      <c r="AA2483" t="s">
        <v>14572</v>
      </c>
      <c r="AB2483" t="s">
        <v>14573</v>
      </c>
      <c r="AC2483">
        <v>99219</v>
      </c>
      <c r="AD2483" t="s">
        <v>1981</v>
      </c>
      <c r="AE2483">
        <v>-39.936864100000001</v>
      </c>
      <c r="AF2483">
        <v>175.03065910999999</v>
      </c>
      <c r="AG2483" s="175">
        <v>30</v>
      </c>
      <c r="AH2483" s="175">
        <v>0</v>
      </c>
      <c r="AI2483" s="175">
        <v>0</v>
      </c>
      <c r="AJ2483" s="175">
        <v>0</v>
      </c>
      <c r="AK2483" s="175">
        <v>10</v>
      </c>
      <c r="AL2483" s="175">
        <v>11</v>
      </c>
      <c r="AM2483" s="175">
        <v>15</v>
      </c>
      <c r="AN2483" s="175">
        <v>0</v>
      </c>
      <c r="AO2483" s="175">
        <v>36</v>
      </c>
      <c r="AP2483" s="175">
        <v>31</v>
      </c>
      <c r="AQ2483" s="175">
        <v>6</v>
      </c>
      <c r="AR2483" s="175">
        <v>5</v>
      </c>
      <c r="AS2483" s="175">
        <v>0</v>
      </c>
      <c r="AT2483" s="175">
        <v>3</v>
      </c>
    </row>
    <row r="2484" spans="1:46">
      <c r="A2484">
        <v>46757</v>
      </c>
      <c r="B2484" t="s">
        <v>14574</v>
      </c>
      <c r="C2484" t="s">
        <v>14575</v>
      </c>
      <c r="D2484" t="s">
        <v>14576</v>
      </c>
      <c r="E2484" t="s">
        <v>14577</v>
      </c>
      <c r="F2484" t="s">
        <v>3092</v>
      </c>
      <c r="G2484" t="s">
        <v>3015</v>
      </c>
      <c r="H2484" t="s">
        <v>449</v>
      </c>
      <c r="J2484" t="s">
        <v>4032</v>
      </c>
      <c r="K2484" t="s">
        <v>606</v>
      </c>
      <c r="M2484" t="s">
        <v>2366</v>
      </c>
      <c r="N2484" t="s">
        <v>657</v>
      </c>
      <c r="O2484" t="s">
        <v>3016</v>
      </c>
      <c r="P2484" t="s">
        <v>739</v>
      </c>
      <c r="Q2484" t="s">
        <v>521</v>
      </c>
      <c r="R2484" t="s">
        <v>3017</v>
      </c>
      <c r="S2484" t="s">
        <v>3092</v>
      </c>
      <c r="T2484" t="s">
        <v>2526</v>
      </c>
      <c r="U2484">
        <v>322500</v>
      </c>
      <c r="V2484" t="s">
        <v>14578</v>
      </c>
      <c r="W2484" t="s">
        <v>3269</v>
      </c>
      <c r="X2484" t="s">
        <v>10869</v>
      </c>
      <c r="Y2484" t="s">
        <v>4166</v>
      </c>
      <c r="Z2484" t="s">
        <v>4167</v>
      </c>
      <c r="AA2484" t="s">
        <v>4168</v>
      </c>
      <c r="AB2484" t="s">
        <v>10870</v>
      </c>
      <c r="AC2484">
        <v>99045</v>
      </c>
      <c r="AD2484" t="s">
        <v>3094</v>
      </c>
      <c r="AE2484">
        <v>-43.553684160000003</v>
      </c>
      <c r="AF2484">
        <v>172.55743580000001</v>
      </c>
      <c r="AG2484" s="175">
        <v>80</v>
      </c>
      <c r="AH2484" s="175">
        <v>20</v>
      </c>
      <c r="AI2484" s="175">
        <v>5</v>
      </c>
      <c r="AJ2484" s="175">
        <v>13</v>
      </c>
      <c r="AK2484" s="175">
        <v>20</v>
      </c>
      <c r="AL2484" s="175">
        <v>25</v>
      </c>
      <c r="AM2484" s="175">
        <v>21</v>
      </c>
      <c r="AN2484" s="175">
        <v>0</v>
      </c>
      <c r="AO2484" s="175">
        <v>84</v>
      </c>
      <c r="AP2484" s="175">
        <v>48</v>
      </c>
      <c r="AQ2484" s="175">
        <v>12</v>
      </c>
      <c r="AR2484" s="175">
        <v>0</v>
      </c>
      <c r="AS2484" s="175">
        <v>44</v>
      </c>
      <c r="AT2484" s="175">
        <v>5</v>
      </c>
    </row>
    <row r="2485" spans="1:46">
      <c r="A2485">
        <v>46758</v>
      </c>
      <c r="B2485" t="s">
        <v>14579</v>
      </c>
      <c r="C2485" t="s">
        <v>14580</v>
      </c>
      <c r="D2485" t="s">
        <v>14581</v>
      </c>
      <c r="E2485" t="s">
        <v>14582</v>
      </c>
      <c r="F2485" t="s">
        <v>1424</v>
      </c>
      <c r="G2485" t="s">
        <v>1381</v>
      </c>
      <c r="H2485" t="s">
        <v>449</v>
      </c>
      <c r="J2485" t="s">
        <v>4032</v>
      </c>
      <c r="K2485" t="s">
        <v>606</v>
      </c>
      <c r="M2485" t="s">
        <v>1382</v>
      </c>
      <c r="N2485" t="s">
        <v>657</v>
      </c>
      <c r="O2485" t="s">
        <v>1383</v>
      </c>
      <c r="P2485" t="s">
        <v>739</v>
      </c>
      <c r="Q2485" t="s">
        <v>510</v>
      </c>
      <c r="R2485" t="s">
        <v>1384</v>
      </c>
      <c r="S2485" t="s">
        <v>1396</v>
      </c>
      <c r="T2485" t="s">
        <v>1320</v>
      </c>
      <c r="U2485">
        <v>178202</v>
      </c>
      <c r="V2485" t="s">
        <v>8616</v>
      </c>
      <c r="W2485" t="s">
        <v>1398</v>
      </c>
      <c r="X2485" t="s">
        <v>10900</v>
      </c>
      <c r="Y2485" t="s">
        <v>4166</v>
      </c>
      <c r="Z2485" t="s">
        <v>4167</v>
      </c>
      <c r="AA2485" t="s">
        <v>4168</v>
      </c>
      <c r="AE2485">
        <v>-37.766901570000002</v>
      </c>
      <c r="AF2485">
        <v>175.28991386000001</v>
      </c>
      <c r="AG2485" s="175">
        <v>82</v>
      </c>
      <c r="AH2485" s="175">
        <v>28</v>
      </c>
      <c r="AI2485" s="175">
        <v>5</v>
      </c>
      <c r="AJ2485" s="175">
        <v>16</v>
      </c>
      <c r="AK2485" s="175">
        <v>19</v>
      </c>
      <c r="AL2485" s="175">
        <v>23</v>
      </c>
      <c r="AM2485" s="175">
        <v>20</v>
      </c>
      <c r="AN2485" s="175">
        <v>1</v>
      </c>
      <c r="AO2485" s="175">
        <v>84</v>
      </c>
      <c r="AP2485" s="175">
        <v>27</v>
      </c>
      <c r="AQ2485" s="175">
        <v>32</v>
      </c>
      <c r="AR2485" s="175">
        <v>12</v>
      </c>
      <c r="AS2485" s="175">
        <v>27</v>
      </c>
      <c r="AT2485" s="175">
        <v>5</v>
      </c>
    </row>
    <row r="2486" spans="1:46">
      <c r="A2486">
        <v>46759</v>
      </c>
      <c r="B2486" t="s">
        <v>14583</v>
      </c>
      <c r="C2486" t="s">
        <v>14584</v>
      </c>
      <c r="E2486" t="s">
        <v>14585</v>
      </c>
      <c r="F2486" t="s">
        <v>2030</v>
      </c>
      <c r="G2486" t="s">
        <v>1923</v>
      </c>
      <c r="H2486" t="s">
        <v>449</v>
      </c>
      <c r="J2486" t="s">
        <v>4032</v>
      </c>
      <c r="K2486" t="s">
        <v>606</v>
      </c>
      <c r="M2486" t="s">
        <v>1382</v>
      </c>
      <c r="N2486" t="s">
        <v>643</v>
      </c>
      <c r="O2486" t="s">
        <v>1968</v>
      </c>
      <c r="P2486" t="s">
        <v>670</v>
      </c>
      <c r="Q2486" t="s">
        <v>553</v>
      </c>
      <c r="R2486" t="s">
        <v>1841</v>
      </c>
      <c r="S2486" t="s">
        <v>1923</v>
      </c>
      <c r="T2486" t="s">
        <v>1568</v>
      </c>
      <c r="U2486">
        <v>225100</v>
      </c>
      <c r="V2486" t="s">
        <v>14586</v>
      </c>
      <c r="W2486" t="s">
        <v>1734</v>
      </c>
      <c r="X2486" t="s">
        <v>14587</v>
      </c>
      <c r="Y2486" t="s">
        <v>14588</v>
      </c>
      <c r="AA2486" t="s">
        <v>14389</v>
      </c>
      <c r="AB2486" t="s">
        <v>14584</v>
      </c>
      <c r="AC2486">
        <v>99220</v>
      </c>
      <c r="AD2486" t="s">
        <v>1987</v>
      </c>
      <c r="AE2486">
        <v>-39.912344740000002</v>
      </c>
      <c r="AF2486">
        <v>175.06327275000001</v>
      </c>
      <c r="AG2486" s="175">
        <v>90</v>
      </c>
      <c r="AH2486" s="175">
        <v>20</v>
      </c>
      <c r="AI2486" s="175">
        <v>1</v>
      </c>
      <c r="AJ2486" s="175">
        <v>7</v>
      </c>
      <c r="AK2486" s="175">
        <v>11</v>
      </c>
      <c r="AL2486" s="175">
        <v>19</v>
      </c>
      <c r="AM2486" s="175">
        <v>16</v>
      </c>
      <c r="AN2486" s="175">
        <v>4</v>
      </c>
      <c r="AO2486" s="175">
        <v>58</v>
      </c>
      <c r="AP2486" s="175">
        <v>18</v>
      </c>
      <c r="AQ2486" s="175">
        <v>51</v>
      </c>
      <c r="AR2486" s="175">
        <v>2</v>
      </c>
      <c r="AS2486" s="175">
        <v>0</v>
      </c>
      <c r="AT2486" s="175">
        <v>0</v>
      </c>
    </row>
    <row r="2487" spans="1:46">
      <c r="A2487">
        <v>46761</v>
      </c>
      <c r="B2487" t="s">
        <v>14589</v>
      </c>
      <c r="C2487" t="s">
        <v>14590</v>
      </c>
      <c r="D2487" t="s">
        <v>14591</v>
      </c>
      <c r="E2487" t="s">
        <v>14592</v>
      </c>
      <c r="F2487" t="s">
        <v>13057</v>
      </c>
      <c r="G2487" t="s">
        <v>3015</v>
      </c>
      <c r="H2487" t="s">
        <v>449</v>
      </c>
      <c r="J2487" t="s">
        <v>605</v>
      </c>
      <c r="K2487" t="s">
        <v>606</v>
      </c>
      <c r="M2487" t="s">
        <v>2366</v>
      </c>
      <c r="N2487" t="s">
        <v>657</v>
      </c>
      <c r="O2487" t="s">
        <v>3016</v>
      </c>
      <c r="P2487" t="s">
        <v>739</v>
      </c>
      <c r="Q2487" t="s">
        <v>521</v>
      </c>
      <c r="R2487" t="s">
        <v>3017</v>
      </c>
      <c r="S2487" t="s">
        <v>3018</v>
      </c>
      <c r="T2487" t="s">
        <v>2526</v>
      </c>
      <c r="U2487">
        <v>323000</v>
      </c>
      <c r="V2487" t="s">
        <v>13057</v>
      </c>
      <c r="W2487" t="s">
        <v>3072</v>
      </c>
      <c r="X2487" t="s">
        <v>14593</v>
      </c>
      <c r="Y2487" t="s">
        <v>14594</v>
      </c>
      <c r="Z2487" t="s">
        <v>13057</v>
      </c>
      <c r="AA2487" t="s">
        <v>14595</v>
      </c>
      <c r="AE2487">
        <v>-43.519203300000001</v>
      </c>
      <c r="AF2487">
        <v>172.62191497000001</v>
      </c>
      <c r="AG2487" s="175">
        <v>50</v>
      </c>
      <c r="AH2487" s="175">
        <v>0</v>
      </c>
      <c r="AI2487" s="175">
        <v>0</v>
      </c>
      <c r="AJ2487" s="175">
        <v>0</v>
      </c>
      <c r="AK2487" s="175">
        <v>10</v>
      </c>
      <c r="AL2487" s="175">
        <v>14</v>
      </c>
      <c r="AM2487" s="175">
        <v>15</v>
      </c>
      <c r="AN2487" s="175">
        <v>1</v>
      </c>
      <c r="AO2487" s="175">
        <v>40</v>
      </c>
      <c r="AP2487" s="175">
        <v>23</v>
      </c>
      <c r="AQ2487" s="175">
        <v>1</v>
      </c>
      <c r="AR2487" s="175">
        <v>1</v>
      </c>
      <c r="AS2487" s="175">
        <v>18</v>
      </c>
      <c r="AT2487" s="175">
        <v>1</v>
      </c>
    </row>
    <row r="2488" spans="1:46">
      <c r="A2488">
        <v>46762</v>
      </c>
      <c r="B2488" t="s">
        <v>14596</v>
      </c>
      <c r="C2488" t="s">
        <v>14597</v>
      </c>
      <c r="E2488" t="s">
        <v>14598</v>
      </c>
      <c r="G2488" t="s">
        <v>2055</v>
      </c>
      <c r="H2488" t="s">
        <v>449</v>
      </c>
      <c r="J2488" t="s">
        <v>605</v>
      </c>
      <c r="K2488" t="s">
        <v>606</v>
      </c>
      <c r="M2488" t="s">
        <v>1382</v>
      </c>
      <c r="N2488" t="s">
        <v>657</v>
      </c>
      <c r="O2488" t="s">
        <v>2037</v>
      </c>
      <c r="P2488" t="s">
        <v>670</v>
      </c>
      <c r="Q2488" t="s">
        <v>553</v>
      </c>
      <c r="R2488" t="s">
        <v>1841</v>
      </c>
      <c r="S2488" t="s">
        <v>2055</v>
      </c>
      <c r="T2488" t="s">
        <v>1568</v>
      </c>
      <c r="U2488">
        <v>231400</v>
      </c>
      <c r="V2488" t="s">
        <v>3675</v>
      </c>
      <c r="W2488" t="s">
        <v>2038</v>
      </c>
      <c r="X2488" t="s">
        <v>10463</v>
      </c>
      <c r="Y2488" t="s">
        <v>4014</v>
      </c>
      <c r="Z2488" t="s">
        <v>4015</v>
      </c>
      <c r="AA2488" t="s">
        <v>4016</v>
      </c>
      <c r="AB2488" t="s">
        <v>10464</v>
      </c>
      <c r="AE2488">
        <v>-40.361974080000003</v>
      </c>
      <c r="AF2488">
        <v>175.61970571000001</v>
      </c>
      <c r="AG2488" s="175">
        <v>60</v>
      </c>
      <c r="AH2488" s="175">
        <v>17</v>
      </c>
      <c r="AI2488" s="175">
        <v>4</v>
      </c>
      <c r="AJ2488" s="175">
        <v>18</v>
      </c>
      <c r="AK2488" s="175">
        <v>17</v>
      </c>
      <c r="AL2488" s="175">
        <v>19</v>
      </c>
      <c r="AM2488" s="175">
        <v>14</v>
      </c>
      <c r="AN2488" s="175">
        <v>1</v>
      </c>
      <c r="AO2488" s="175">
        <v>73</v>
      </c>
      <c r="AP2488" s="175">
        <v>58</v>
      </c>
      <c r="AQ2488" s="175">
        <v>13</v>
      </c>
      <c r="AR2488" s="175">
        <v>6</v>
      </c>
      <c r="AS2488" s="175">
        <v>16</v>
      </c>
      <c r="AT2488" s="175">
        <v>4</v>
      </c>
    </row>
    <row r="2489" spans="1:46">
      <c r="A2489">
        <v>46763</v>
      </c>
      <c r="B2489" t="s">
        <v>14599</v>
      </c>
      <c r="C2489" t="s">
        <v>14600</v>
      </c>
      <c r="E2489" t="s">
        <v>14601</v>
      </c>
      <c r="G2489" t="s">
        <v>722</v>
      </c>
      <c r="H2489" t="s">
        <v>449</v>
      </c>
      <c r="J2489" t="s">
        <v>4032</v>
      </c>
      <c r="K2489" t="s">
        <v>606</v>
      </c>
      <c r="M2489" t="s">
        <v>607</v>
      </c>
      <c r="N2489" t="s">
        <v>643</v>
      </c>
      <c r="O2489" t="s">
        <v>723</v>
      </c>
      <c r="P2489" t="s">
        <v>610</v>
      </c>
      <c r="Q2489" t="s">
        <v>467</v>
      </c>
      <c r="R2489" t="s">
        <v>724</v>
      </c>
      <c r="S2489" t="s">
        <v>725</v>
      </c>
      <c r="T2489" t="s">
        <v>613</v>
      </c>
      <c r="U2489">
        <v>110501</v>
      </c>
      <c r="V2489" t="s">
        <v>722</v>
      </c>
      <c r="W2489" t="s">
        <v>726</v>
      </c>
      <c r="X2489" t="s">
        <v>14602</v>
      </c>
      <c r="Y2489" t="s">
        <v>14601</v>
      </c>
      <c r="AA2489" t="s">
        <v>14603</v>
      </c>
      <c r="AE2489">
        <v>-36.302210940000002</v>
      </c>
      <c r="AF2489">
        <v>174.52467390000001</v>
      </c>
      <c r="AG2489" s="175">
        <v>30</v>
      </c>
      <c r="AH2489" s="175">
        <v>12</v>
      </c>
      <c r="AI2489" s="175">
        <v>3</v>
      </c>
      <c r="AJ2489" s="175">
        <v>6</v>
      </c>
      <c r="AK2489" s="175">
        <v>8</v>
      </c>
      <c r="AL2489" s="175">
        <v>8</v>
      </c>
      <c r="AM2489" s="175">
        <v>13</v>
      </c>
      <c r="AN2489" s="175">
        <v>0</v>
      </c>
      <c r="AO2489" s="175">
        <v>38</v>
      </c>
      <c r="AP2489" s="175">
        <v>30</v>
      </c>
      <c r="AQ2489" s="175">
        <v>10</v>
      </c>
      <c r="AR2489" s="175">
        <v>3</v>
      </c>
      <c r="AS2489" s="175">
        <v>0</v>
      </c>
      <c r="AT2489" s="175">
        <v>2</v>
      </c>
    </row>
    <row r="2490" spans="1:46">
      <c r="A2490">
        <v>46764</v>
      </c>
      <c r="B2490" t="s">
        <v>14604</v>
      </c>
      <c r="C2490" t="s">
        <v>14605</v>
      </c>
      <c r="D2490" t="s">
        <v>14606</v>
      </c>
      <c r="E2490" t="s">
        <v>14607</v>
      </c>
      <c r="F2490" t="s">
        <v>667</v>
      </c>
      <c r="G2490" t="s">
        <v>668</v>
      </c>
      <c r="H2490" t="s">
        <v>449</v>
      </c>
      <c r="J2490" t="s">
        <v>4032</v>
      </c>
      <c r="K2490" t="s">
        <v>606</v>
      </c>
      <c r="M2490" t="s">
        <v>607</v>
      </c>
      <c r="N2490" t="s">
        <v>657</v>
      </c>
      <c r="O2490" t="s">
        <v>669</v>
      </c>
      <c r="P2490" t="s">
        <v>670</v>
      </c>
      <c r="Q2490" t="s">
        <v>509</v>
      </c>
      <c r="R2490" t="s">
        <v>611</v>
      </c>
      <c r="S2490" t="s">
        <v>671</v>
      </c>
      <c r="T2490" t="s">
        <v>613</v>
      </c>
      <c r="U2490">
        <v>106501</v>
      </c>
      <c r="V2490" t="s">
        <v>4636</v>
      </c>
      <c r="W2490" t="s">
        <v>673</v>
      </c>
      <c r="X2490" t="s">
        <v>14608</v>
      </c>
      <c r="Y2490" t="s">
        <v>14609</v>
      </c>
      <c r="Z2490" t="s">
        <v>667</v>
      </c>
      <c r="AA2490" t="s">
        <v>4596</v>
      </c>
      <c r="AB2490" t="s">
        <v>14610</v>
      </c>
      <c r="AE2490">
        <v>-35.699063700000004</v>
      </c>
      <c r="AF2490">
        <v>174.32764750999999</v>
      </c>
      <c r="AG2490" s="175">
        <v>38</v>
      </c>
      <c r="AH2490" s="175">
        <v>18</v>
      </c>
      <c r="AI2490" s="175">
        <v>1</v>
      </c>
      <c r="AJ2490" s="175">
        <v>8</v>
      </c>
      <c r="AK2490" s="175">
        <v>8</v>
      </c>
      <c r="AL2490" s="175">
        <v>9</v>
      </c>
      <c r="AM2490" s="175">
        <v>7</v>
      </c>
      <c r="AN2490" s="175">
        <v>1</v>
      </c>
      <c r="AO2490" s="175">
        <v>34</v>
      </c>
      <c r="AP2490" s="175">
        <v>32</v>
      </c>
      <c r="AQ2490" s="175">
        <v>17</v>
      </c>
      <c r="AR2490" s="175">
        <v>3</v>
      </c>
      <c r="AS2490" s="175">
        <v>1</v>
      </c>
      <c r="AT2490" s="175">
        <v>0</v>
      </c>
    </row>
    <row r="2491" spans="1:46">
      <c r="A2491">
        <v>46765</v>
      </c>
      <c r="B2491" t="s">
        <v>14611</v>
      </c>
      <c r="C2491" t="s">
        <v>14612</v>
      </c>
      <c r="D2491" t="s">
        <v>14613</v>
      </c>
      <c r="E2491" t="s">
        <v>14614</v>
      </c>
      <c r="G2491" t="s">
        <v>9235</v>
      </c>
      <c r="H2491" t="s">
        <v>449</v>
      </c>
      <c r="J2491" t="s">
        <v>4032</v>
      </c>
      <c r="K2491" t="s">
        <v>606</v>
      </c>
      <c r="M2491" t="s">
        <v>607</v>
      </c>
      <c r="N2491" t="s">
        <v>643</v>
      </c>
      <c r="O2491" t="s">
        <v>1435</v>
      </c>
      <c r="P2491" t="s">
        <v>610</v>
      </c>
      <c r="Q2491" t="s">
        <v>510</v>
      </c>
      <c r="R2491" t="s">
        <v>814</v>
      </c>
      <c r="S2491" t="s">
        <v>1331</v>
      </c>
      <c r="T2491" t="s">
        <v>1320</v>
      </c>
      <c r="U2491">
        <v>170501</v>
      </c>
      <c r="V2491" t="s">
        <v>14615</v>
      </c>
      <c r="W2491" t="s">
        <v>3884</v>
      </c>
      <c r="X2491" t="s">
        <v>14616</v>
      </c>
      <c r="Y2491" t="s">
        <v>14617</v>
      </c>
      <c r="Z2491" t="s">
        <v>1231</v>
      </c>
      <c r="AA2491" t="s">
        <v>4498</v>
      </c>
      <c r="AB2491" t="s">
        <v>14618</v>
      </c>
      <c r="AE2491">
        <v>-37.242523319999997</v>
      </c>
      <c r="AF2491">
        <v>175.01581374</v>
      </c>
      <c r="AG2491" s="175">
        <v>78</v>
      </c>
      <c r="AH2491" s="175">
        <v>15</v>
      </c>
      <c r="AI2491" s="175">
        <v>3</v>
      </c>
      <c r="AJ2491" s="175">
        <v>14</v>
      </c>
      <c r="AK2491" s="175">
        <v>21</v>
      </c>
      <c r="AL2491" s="175">
        <v>23</v>
      </c>
      <c r="AM2491" s="175">
        <v>27</v>
      </c>
      <c r="AN2491" s="175">
        <v>0</v>
      </c>
      <c r="AO2491" s="175">
        <v>88</v>
      </c>
      <c r="AP2491" s="175">
        <v>71</v>
      </c>
      <c r="AQ2491" s="175">
        <v>7</v>
      </c>
      <c r="AR2491" s="175">
        <v>6</v>
      </c>
      <c r="AS2491" s="175">
        <v>16</v>
      </c>
      <c r="AT2491" s="175">
        <v>4</v>
      </c>
    </row>
    <row r="2492" spans="1:46">
      <c r="A2492">
        <v>46766</v>
      </c>
      <c r="B2492" t="s">
        <v>14619</v>
      </c>
      <c r="C2492" t="s">
        <v>11562</v>
      </c>
      <c r="E2492" t="s">
        <v>14620</v>
      </c>
      <c r="G2492" t="s">
        <v>2346</v>
      </c>
      <c r="H2492" t="s">
        <v>449</v>
      </c>
      <c r="J2492" t="s">
        <v>4032</v>
      </c>
      <c r="K2492" t="s">
        <v>606</v>
      </c>
      <c r="M2492" t="s">
        <v>1382</v>
      </c>
      <c r="N2492" t="s">
        <v>625</v>
      </c>
      <c r="O2492" t="s">
        <v>2347</v>
      </c>
      <c r="P2492" t="s">
        <v>610</v>
      </c>
      <c r="Q2492" t="s">
        <v>513</v>
      </c>
      <c r="R2492" t="s">
        <v>2164</v>
      </c>
      <c r="S2492" t="s">
        <v>2348</v>
      </c>
      <c r="T2492" t="s">
        <v>2165</v>
      </c>
      <c r="U2492">
        <v>215801</v>
      </c>
      <c r="V2492" t="s">
        <v>2349</v>
      </c>
      <c r="W2492" t="s">
        <v>2350</v>
      </c>
      <c r="X2492" t="s">
        <v>8997</v>
      </c>
      <c r="Y2492" t="s">
        <v>8998</v>
      </c>
      <c r="Z2492" t="s">
        <v>2346</v>
      </c>
      <c r="AA2492" t="s">
        <v>8999</v>
      </c>
      <c r="AB2492" t="s">
        <v>9000</v>
      </c>
      <c r="AC2492">
        <v>99160</v>
      </c>
      <c r="AD2492" t="s">
        <v>2351</v>
      </c>
      <c r="AE2492">
        <v>-39.995122010000003</v>
      </c>
      <c r="AF2492">
        <v>176.55903857000001</v>
      </c>
      <c r="AG2492" s="175">
        <v>17</v>
      </c>
      <c r="AH2492" s="175">
        <v>17</v>
      </c>
      <c r="AI2492" s="175">
        <v>2</v>
      </c>
      <c r="AJ2492" s="175">
        <v>9</v>
      </c>
      <c r="AK2492" s="175">
        <v>8</v>
      </c>
      <c r="AL2492" s="175">
        <v>0</v>
      </c>
      <c r="AM2492" s="175">
        <v>0</v>
      </c>
      <c r="AN2492" s="175">
        <v>0</v>
      </c>
      <c r="AO2492" s="175">
        <v>19</v>
      </c>
      <c r="AP2492" s="175">
        <v>16</v>
      </c>
      <c r="AQ2492" s="175">
        <v>3</v>
      </c>
      <c r="AR2492" s="175">
        <v>1</v>
      </c>
      <c r="AS2492" s="175">
        <v>0</v>
      </c>
      <c r="AT2492" s="175">
        <v>1</v>
      </c>
    </row>
    <row r="2493" spans="1:46">
      <c r="A2493">
        <v>46767</v>
      </c>
      <c r="B2493" t="s">
        <v>14621</v>
      </c>
      <c r="C2493" t="s">
        <v>14622</v>
      </c>
      <c r="D2493" t="s">
        <v>13014</v>
      </c>
      <c r="E2493" t="s">
        <v>13959</v>
      </c>
      <c r="F2493" t="s">
        <v>3267</v>
      </c>
      <c r="G2493" t="s">
        <v>3015</v>
      </c>
      <c r="H2493" t="s">
        <v>449</v>
      </c>
      <c r="J2493" t="s">
        <v>4032</v>
      </c>
      <c r="K2493" t="s">
        <v>606</v>
      </c>
      <c r="M2493" t="s">
        <v>2366</v>
      </c>
      <c r="N2493" t="s">
        <v>657</v>
      </c>
      <c r="O2493" t="s">
        <v>3016</v>
      </c>
      <c r="P2493" t="s">
        <v>739</v>
      </c>
      <c r="Q2493" t="s">
        <v>521</v>
      </c>
      <c r="R2493" t="s">
        <v>3017</v>
      </c>
      <c r="S2493" t="s">
        <v>3052</v>
      </c>
      <c r="T2493" t="s">
        <v>2526</v>
      </c>
      <c r="U2493">
        <v>328001</v>
      </c>
      <c r="V2493" t="s">
        <v>14623</v>
      </c>
      <c r="W2493" t="s">
        <v>3269</v>
      </c>
      <c r="X2493" t="s">
        <v>13016</v>
      </c>
      <c r="Y2493" t="s">
        <v>13959</v>
      </c>
      <c r="Z2493" t="s">
        <v>3267</v>
      </c>
      <c r="AA2493" t="s">
        <v>13017</v>
      </c>
      <c r="AB2493" t="s">
        <v>13018</v>
      </c>
      <c r="AE2493">
        <v>-43.588515690000001</v>
      </c>
      <c r="AF2493">
        <v>172.56958847000001</v>
      </c>
      <c r="AG2493" s="175">
        <v>30</v>
      </c>
      <c r="AH2493" s="175">
        <v>10</v>
      </c>
      <c r="AI2493" s="175">
        <v>3</v>
      </c>
      <c r="AJ2493" s="175">
        <v>10</v>
      </c>
      <c r="AK2493" s="175">
        <v>11</v>
      </c>
      <c r="AL2493" s="175">
        <v>9</v>
      </c>
      <c r="AM2493" s="175">
        <v>11</v>
      </c>
      <c r="AN2493" s="175">
        <v>0</v>
      </c>
      <c r="AO2493" s="175">
        <v>44</v>
      </c>
      <c r="AP2493" s="175">
        <v>44</v>
      </c>
      <c r="AQ2493" s="175">
        <v>5</v>
      </c>
      <c r="AR2493" s="175">
        <v>0</v>
      </c>
      <c r="AS2493" s="175">
        <v>0</v>
      </c>
      <c r="AT2493" s="175">
        <v>0</v>
      </c>
    </row>
    <row r="2494" spans="1:46">
      <c r="A2494">
        <v>46769</v>
      </c>
      <c r="B2494" t="s">
        <v>14624</v>
      </c>
      <c r="C2494" t="s">
        <v>14625</v>
      </c>
      <c r="D2494" t="s">
        <v>14626</v>
      </c>
      <c r="E2494" t="s">
        <v>14627</v>
      </c>
      <c r="F2494" t="s">
        <v>3733</v>
      </c>
      <c r="G2494" t="s">
        <v>3015</v>
      </c>
      <c r="H2494" t="s">
        <v>449</v>
      </c>
      <c r="J2494" t="s">
        <v>4032</v>
      </c>
      <c r="K2494" t="s">
        <v>606</v>
      </c>
      <c r="M2494" t="s">
        <v>2366</v>
      </c>
      <c r="N2494" t="s">
        <v>657</v>
      </c>
      <c r="O2494" t="s">
        <v>3281</v>
      </c>
      <c r="P2494" t="s">
        <v>610</v>
      </c>
      <c r="Q2494" t="s">
        <v>521</v>
      </c>
      <c r="R2494" t="s">
        <v>3017</v>
      </c>
      <c r="S2494" t="s">
        <v>3252</v>
      </c>
      <c r="T2494" t="s">
        <v>2526</v>
      </c>
      <c r="U2494">
        <v>336101</v>
      </c>
      <c r="V2494" t="s">
        <v>4543</v>
      </c>
      <c r="W2494" t="s">
        <v>3735</v>
      </c>
      <c r="X2494" t="s">
        <v>12547</v>
      </c>
      <c r="Y2494" t="s">
        <v>14628</v>
      </c>
      <c r="Z2494" t="s">
        <v>3733</v>
      </c>
      <c r="AA2494" t="s">
        <v>14629</v>
      </c>
      <c r="AB2494" t="s">
        <v>12550</v>
      </c>
      <c r="AC2494">
        <v>99113</v>
      </c>
      <c r="AD2494" t="s">
        <v>3736</v>
      </c>
      <c r="AE2494">
        <v>-43.631881659999998</v>
      </c>
      <c r="AF2494">
        <v>172.49199078999999</v>
      </c>
      <c r="AG2494" s="175">
        <v>75</v>
      </c>
      <c r="AH2494" s="175">
        <v>20</v>
      </c>
      <c r="AI2494" s="175">
        <v>4</v>
      </c>
      <c r="AJ2494" s="175">
        <v>15</v>
      </c>
      <c r="AK2494" s="175">
        <v>14</v>
      </c>
      <c r="AL2494" s="175">
        <v>24</v>
      </c>
      <c r="AM2494" s="175">
        <v>27</v>
      </c>
      <c r="AN2494" s="175">
        <v>2</v>
      </c>
      <c r="AO2494" s="175">
        <v>86</v>
      </c>
      <c r="AP2494" s="175">
        <v>74</v>
      </c>
      <c r="AQ2494" s="175">
        <v>11</v>
      </c>
      <c r="AR2494" s="175">
        <v>4</v>
      </c>
      <c r="AS2494" s="175">
        <v>7</v>
      </c>
      <c r="AT2494" s="175">
        <v>7</v>
      </c>
    </row>
    <row r="2495" spans="1:46">
      <c r="A2495">
        <v>46770</v>
      </c>
      <c r="B2495" t="s">
        <v>14630</v>
      </c>
      <c r="C2495" t="s">
        <v>8825</v>
      </c>
      <c r="D2495" t="s">
        <v>13868</v>
      </c>
      <c r="E2495" t="s">
        <v>13869</v>
      </c>
      <c r="F2495" t="s">
        <v>13870</v>
      </c>
      <c r="G2495" t="s">
        <v>737</v>
      </c>
      <c r="H2495" t="s">
        <v>450</v>
      </c>
      <c r="J2495" t="s">
        <v>4032</v>
      </c>
      <c r="K2495" t="s">
        <v>606</v>
      </c>
      <c r="M2495" t="s">
        <v>607</v>
      </c>
      <c r="N2495" t="s">
        <v>812</v>
      </c>
      <c r="O2495" t="s">
        <v>914</v>
      </c>
      <c r="P2495" t="s">
        <v>739</v>
      </c>
      <c r="Q2495" t="s">
        <v>467</v>
      </c>
      <c r="R2495" t="s">
        <v>793</v>
      </c>
      <c r="S2495" t="s">
        <v>890</v>
      </c>
      <c r="T2495" t="s">
        <v>794</v>
      </c>
      <c r="U2495">
        <v>145900</v>
      </c>
      <c r="V2495" t="s">
        <v>13870</v>
      </c>
      <c r="W2495" t="s">
        <v>892</v>
      </c>
      <c r="X2495" t="s">
        <v>13871</v>
      </c>
      <c r="Y2495" t="s">
        <v>8827</v>
      </c>
      <c r="Z2495" t="s">
        <v>1397</v>
      </c>
      <c r="AA2495" t="s">
        <v>8575</v>
      </c>
      <c r="AE2495">
        <v>-36.907416240000003</v>
      </c>
      <c r="AF2495">
        <v>174.81478240000001</v>
      </c>
      <c r="AG2495" s="175">
        <v>50</v>
      </c>
      <c r="AH2495" s="175">
        <v>50</v>
      </c>
      <c r="AI2495" s="175">
        <v>4</v>
      </c>
      <c r="AJ2495" s="175">
        <v>4</v>
      </c>
      <c r="AK2495" s="175">
        <v>6</v>
      </c>
      <c r="AL2495" s="175">
        <v>6</v>
      </c>
      <c r="AM2495" s="175">
        <v>1</v>
      </c>
      <c r="AN2495" s="175">
        <v>0</v>
      </c>
      <c r="AO2495" s="175">
        <v>21</v>
      </c>
      <c r="AP2495" s="175">
        <v>1</v>
      </c>
      <c r="AQ2495" s="175">
        <v>0</v>
      </c>
      <c r="AR2495" s="175">
        <v>9</v>
      </c>
      <c r="AS2495" s="175">
        <v>8</v>
      </c>
      <c r="AT2495" s="175">
        <v>3</v>
      </c>
    </row>
    <row r="2496" spans="1:46">
      <c r="A2496">
        <v>46776</v>
      </c>
      <c r="B2496" t="s">
        <v>14631</v>
      </c>
      <c r="C2496" t="s">
        <v>14632</v>
      </c>
      <c r="D2496" t="s">
        <v>14633</v>
      </c>
      <c r="E2496" t="s">
        <v>14634</v>
      </c>
      <c r="F2496" t="s">
        <v>2754</v>
      </c>
      <c r="G2496" t="s">
        <v>2752</v>
      </c>
      <c r="H2496" t="s">
        <v>449</v>
      </c>
      <c r="J2496" t="s">
        <v>4032</v>
      </c>
      <c r="K2496" t="s">
        <v>606</v>
      </c>
      <c r="M2496" t="s">
        <v>2366</v>
      </c>
      <c r="N2496" t="s">
        <v>657</v>
      </c>
      <c r="O2496" t="s">
        <v>2753</v>
      </c>
      <c r="P2496" t="s">
        <v>1347</v>
      </c>
      <c r="Q2496" t="s">
        <v>516</v>
      </c>
      <c r="R2496" t="s">
        <v>2368</v>
      </c>
      <c r="S2496" t="s">
        <v>2606</v>
      </c>
      <c r="T2496" t="s">
        <v>1568</v>
      </c>
      <c r="U2496">
        <v>238400</v>
      </c>
      <c r="V2496" t="s">
        <v>10962</v>
      </c>
      <c r="W2496" t="s">
        <v>2755</v>
      </c>
      <c r="X2496" t="s">
        <v>14635</v>
      </c>
      <c r="Y2496" t="s">
        <v>14636</v>
      </c>
      <c r="Z2496" t="s">
        <v>667</v>
      </c>
      <c r="AA2496" t="s">
        <v>4596</v>
      </c>
      <c r="AB2496" t="s">
        <v>14632</v>
      </c>
      <c r="AE2496">
        <v>-40.91426637</v>
      </c>
      <c r="AF2496">
        <v>175.01143746</v>
      </c>
      <c r="AG2496" s="175">
        <v>70</v>
      </c>
      <c r="AH2496" s="175">
        <v>20</v>
      </c>
      <c r="AI2496" s="175">
        <v>7</v>
      </c>
      <c r="AJ2496" s="175">
        <v>14</v>
      </c>
      <c r="AK2496" s="175">
        <v>16</v>
      </c>
      <c r="AL2496" s="175">
        <v>15</v>
      </c>
      <c r="AM2496" s="175">
        <v>13</v>
      </c>
      <c r="AN2496" s="175">
        <v>1</v>
      </c>
      <c r="AO2496" s="175">
        <v>66</v>
      </c>
      <c r="AP2496" s="175">
        <v>60</v>
      </c>
      <c r="AQ2496" s="175">
        <v>16</v>
      </c>
      <c r="AR2496" s="175">
        <v>4</v>
      </c>
      <c r="AS2496" s="175">
        <v>4</v>
      </c>
      <c r="AT2496" s="175">
        <v>1</v>
      </c>
    </row>
    <row r="2497" spans="1:46">
      <c r="A2497">
        <v>46778</v>
      </c>
      <c r="B2497" t="s">
        <v>14637</v>
      </c>
      <c r="C2497" t="s">
        <v>14638</v>
      </c>
      <c r="E2497" t="s">
        <v>14639</v>
      </c>
      <c r="G2497" t="s">
        <v>737</v>
      </c>
      <c r="H2497" t="s">
        <v>449</v>
      </c>
      <c r="J2497" t="s">
        <v>4032</v>
      </c>
      <c r="K2497" t="s">
        <v>606</v>
      </c>
      <c r="M2497" t="s">
        <v>607</v>
      </c>
      <c r="N2497" t="s">
        <v>657</v>
      </c>
      <c r="O2497" t="s">
        <v>1253</v>
      </c>
      <c r="P2497" t="s">
        <v>739</v>
      </c>
      <c r="Q2497" t="s">
        <v>467</v>
      </c>
      <c r="R2497" t="s">
        <v>724</v>
      </c>
      <c r="S2497" t="s">
        <v>740</v>
      </c>
      <c r="T2497" t="s">
        <v>613</v>
      </c>
      <c r="U2497">
        <v>117300</v>
      </c>
      <c r="V2497" t="s">
        <v>5769</v>
      </c>
      <c r="W2497" t="s">
        <v>742</v>
      </c>
      <c r="X2497" t="s">
        <v>12754</v>
      </c>
      <c r="Y2497" t="s">
        <v>12755</v>
      </c>
      <c r="Z2497" t="s">
        <v>6227</v>
      </c>
      <c r="AA2497" t="s">
        <v>4498</v>
      </c>
      <c r="AB2497" t="s">
        <v>12756</v>
      </c>
      <c r="AE2497">
        <v>-36.732876930000003</v>
      </c>
      <c r="AF2497">
        <v>174.71086260000001</v>
      </c>
      <c r="AG2497" s="175">
        <v>125</v>
      </c>
      <c r="AH2497" s="175">
        <v>25</v>
      </c>
      <c r="AI2497" s="175">
        <v>0</v>
      </c>
      <c r="AJ2497" s="175">
        <v>0</v>
      </c>
      <c r="AK2497" s="175">
        <v>2</v>
      </c>
      <c r="AL2497" s="175">
        <v>30</v>
      </c>
      <c r="AM2497" s="175">
        <v>44</v>
      </c>
      <c r="AN2497" s="175">
        <v>0</v>
      </c>
      <c r="AO2497" s="175">
        <v>76</v>
      </c>
      <c r="AP2497" s="175">
        <v>39</v>
      </c>
      <c r="AQ2497" s="175">
        <v>6</v>
      </c>
      <c r="AR2497" s="175">
        <v>1</v>
      </c>
      <c r="AS2497" s="175">
        <v>35</v>
      </c>
      <c r="AT2497" s="175">
        <v>5</v>
      </c>
    </row>
    <row r="2498" spans="1:46">
      <c r="A2498">
        <v>46782</v>
      </c>
      <c r="B2498" t="s">
        <v>14640</v>
      </c>
      <c r="C2498" t="s">
        <v>14641</v>
      </c>
      <c r="E2498" t="s">
        <v>14642</v>
      </c>
      <c r="F2498" t="s">
        <v>3130</v>
      </c>
      <c r="G2498" t="s">
        <v>3015</v>
      </c>
      <c r="H2498" t="s">
        <v>471</v>
      </c>
      <c r="I2498" t="s">
        <v>5017</v>
      </c>
      <c r="J2498" t="s">
        <v>605</v>
      </c>
      <c r="K2498" t="s">
        <v>606</v>
      </c>
      <c r="M2498" t="s">
        <v>2366</v>
      </c>
      <c r="N2498" t="s">
        <v>657</v>
      </c>
      <c r="O2498" t="s">
        <v>3016</v>
      </c>
      <c r="P2498" t="s">
        <v>739</v>
      </c>
      <c r="Q2498" t="s">
        <v>521</v>
      </c>
      <c r="R2498" t="s">
        <v>3017</v>
      </c>
      <c r="S2498" t="s">
        <v>3046</v>
      </c>
      <c r="T2498" t="s">
        <v>2526</v>
      </c>
      <c r="U2498">
        <v>328500</v>
      </c>
      <c r="V2498" t="s">
        <v>3131</v>
      </c>
      <c r="W2498" t="s">
        <v>3066</v>
      </c>
      <c r="X2498" t="s">
        <v>14643</v>
      </c>
      <c r="Y2498" t="s">
        <v>14644</v>
      </c>
      <c r="Z2498" t="s">
        <v>3154</v>
      </c>
      <c r="AA2498" t="s">
        <v>11764</v>
      </c>
      <c r="AB2498" t="s">
        <v>14645</v>
      </c>
      <c r="AC2498">
        <v>99215</v>
      </c>
      <c r="AD2498" t="s">
        <v>11035</v>
      </c>
      <c r="AE2498">
        <v>-43.52962496</v>
      </c>
      <c r="AF2498">
        <v>172.67275907999999</v>
      </c>
      <c r="AG2498" s="175">
        <v>25</v>
      </c>
      <c r="AH2498" s="175">
        <v>0</v>
      </c>
      <c r="AI2498" s="175">
        <v>0</v>
      </c>
      <c r="AJ2498" s="175">
        <v>0</v>
      </c>
      <c r="AK2498" s="175">
        <v>2</v>
      </c>
      <c r="AL2498" s="175">
        <v>8</v>
      </c>
      <c r="AM2498" s="175">
        <v>11</v>
      </c>
      <c r="AN2498" s="175">
        <v>2</v>
      </c>
      <c r="AO2498" s="175">
        <v>23</v>
      </c>
      <c r="AP2498" s="175">
        <v>8</v>
      </c>
      <c r="AQ2498" s="175">
        <v>18</v>
      </c>
      <c r="AR2498" s="175">
        <v>10</v>
      </c>
      <c r="AS2498" s="175">
        <v>0</v>
      </c>
      <c r="AT2498" s="175">
        <v>1</v>
      </c>
    </row>
    <row r="2499" spans="1:46">
      <c r="A2499">
        <v>46784</v>
      </c>
      <c r="B2499" t="s">
        <v>14646</v>
      </c>
      <c r="C2499" t="s">
        <v>14647</v>
      </c>
      <c r="E2499" t="s">
        <v>14648</v>
      </c>
      <c r="F2499" t="s">
        <v>1030</v>
      </c>
      <c r="G2499" t="s">
        <v>737</v>
      </c>
      <c r="H2499" t="s">
        <v>449</v>
      </c>
      <c r="J2499" t="s">
        <v>4032</v>
      </c>
      <c r="K2499" t="s">
        <v>606</v>
      </c>
      <c r="M2499" t="s">
        <v>607</v>
      </c>
      <c r="N2499" t="s">
        <v>608</v>
      </c>
      <c r="O2499" t="s">
        <v>933</v>
      </c>
      <c r="P2499" t="s">
        <v>739</v>
      </c>
      <c r="Q2499" t="s">
        <v>467</v>
      </c>
      <c r="R2499" t="s">
        <v>814</v>
      </c>
      <c r="S2499" t="s">
        <v>934</v>
      </c>
      <c r="T2499" t="s">
        <v>794</v>
      </c>
      <c r="U2499">
        <v>152600</v>
      </c>
      <c r="V2499" t="s">
        <v>14649</v>
      </c>
      <c r="W2499" t="s">
        <v>817</v>
      </c>
      <c r="X2499" t="s">
        <v>14650</v>
      </c>
      <c r="Y2499" t="s">
        <v>14651</v>
      </c>
      <c r="Z2499" t="s">
        <v>5170</v>
      </c>
      <c r="AA2499" t="s">
        <v>4061</v>
      </c>
      <c r="AE2499">
        <v>-36.969329129999998</v>
      </c>
      <c r="AF2499">
        <v>174.82440495</v>
      </c>
      <c r="AG2499" s="175">
        <v>48</v>
      </c>
      <c r="AH2499" s="175">
        <v>15</v>
      </c>
      <c r="AI2499" s="175"/>
      <c r="AJ2499" s="175"/>
      <c r="AK2499" s="175"/>
      <c r="AL2499" s="175"/>
      <c r="AM2499" s="175"/>
      <c r="AN2499" s="175"/>
      <c r="AO2499" s="175"/>
      <c r="AP2499" s="175"/>
      <c r="AQ2499" s="175"/>
      <c r="AR2499" s="175"/>
      <c r="AS2499" s="175"/>
    </row>
    <row r="2500" spans="1:46">
      <c r="A2500">
        <v>46788</v>
      </c>
      <c r="B2500" t="s">
        <v>14652</v>
      </c>
      <c r="D2500" t="s">
        <v>14653</v>
      </c>
      <c r="E2500" t="s">
        <v>14654</v>
      </c>
      <c r="G2500" t="s">
        <v>14655</v>
      </c>
      <c r="H2500" t="s">
        <v>449</v>
      </c>
      <c r="J2500" t="s">
        <v>4032</v>
      </c>
      <c r="K2500" t="s">
        <v>606</v>
      </c>
      <c r="M2500" t="s">
        <v>2366</v>
      </c>
      <c r="N2500" t="s">
        <v>657</v>
      </c>
      <c r="O2500" t="s">
        <v>3455</v>
      </c>
      <c r="P2500" t="s">
        <v>610</v>
      </c>
      <c r="Q2500" t="s">
        <v>522</v>
      </c>
      <c r="R2500" t="s">
        <v>3410</v>
      </c>
      <c r="S2500" t="s">
        <v>3456</v>
      </c>
      <c r="T2500" t="s">
        <v>2526</v>
      </c>
      <c r="U2500">
        <v>351200</v>
      </c>
      <c r="V2500" t="s">
        <v>14655</v>
      </c>
      <c r="W2500" t="s">
        <v>1734</v>
      </c>
      <c r="X2500" t="s">
        <v>14656</v>
      </c>
      <c r="Y2500" t="s">
        <v>14657</v>
      </c>
      <c r="Z2500" t="s">
        <v>14658</v>
      </c>
      <c r="AA2500" t="s">
        <v>14659</v>
      </c>
      <c r="AE2500">
        <v>-45.94949012</v>
      </c>
      <c r="AF2500">
        <v>170.33059929999999</v>
      </c>
      <c r="AG2500" s="175">
        <v>30</v>
      </c>
      <c r="AH2500" s="175">
        <v>10</v>
      </c>
      <c r="AI2500" s="175">
        <v>1</v>
      </c>
      <c r="AJ2500" s="175">
        <v>4</v>
      </c>
      <c r="AK2500" s="175">
        <v>9</v>
      </c>
      <c r="AL2500" s="175">
        <v>11</v>
      </c>
      <c r="AM2500" s="175">
        <v>6</v>
      </c>
      <c r="AN2500" s="175">
        <v>0</v>
      </c>
      <c r="AO2500" s="175">
        <v>31</v>
      </c>
      <c r="AP2500" s="175">
        <v>29</v>
      </c>
      <c r="AQ2500" s="175">
        <v>8</v>
      </c>
      <c r="AR2500" s="175">
        <v>2</v>
      </c>
      <c r="AS2500" s="175">
        <v>1</v>
      </c>
      <c r="AT2500" s="175">
        <v>2</v>
      </c>
    </row>
    <row r="2501" spans="1:46">
      <c r="A2501">
        <v>46789</v>
      </c>
      <c r="B2501" t="s">
        <v>14660</v>
      </c>
      <c r="C2501" t="s">
        <v>14661</v>
      </c>
      <c r="D2501" t="s">
        <v>14662</v>
      </c>
      <c r="E2501" t="s">
        <v>14663</v>
      </c>
      <c r="G2501" t="s">
        <v>8288</v>
      </c>
      <c r="H2501" t="s">
        <v>449</v>
      </c>
      <c r="J2501" t="s">
        <v>4032</v>
      </c>
      <c r="K2501" t="s">
        <v>606</v>
      </c>
      <c r="M2501" t="s">
        <v>607</v>
      </c>
      <c r="N2501" t="s">
        <v>657</v>
      </c>
      <c r="O2501" t="s">
        <v>1318</v>
      </c>
      <c r="P2501" t="s">
        <v>658</v>
      </c>
      <c r="Q2501" t="s">
        <v>467</v>
      </c>
      <c r="R2501" t="s">
        <v>814</v>
      </c>
      <c r="S2501" t="s">
        <v>1319</v>
      </c>
      <c r="T2501" t="s">
        <v>1320</v>
      </c>
      <c r="U2501">
        <v>162300</v>
      </c>
      <c r="V2501" t="s">
        <v>14664</v>
      </c>
      <c r="W2501" t="s">
        <v>1322</v>
      </c>
      <c r="X2501" t="s">
        <v>5208</v>
      </c>
      <c r="Y2501" t="s">
        <v>14663</v>
      </c>
      <c r="Z2501" t="s">
        <v>1302</v>
      </c>
      <c r="AA2501" t="s">
        <v>14665</v>
      </c>
      <c r="AB2501" t="s">
        <v>5211</v>
      </c>
      <c r="AC2501">
        <v>99186</v>
      </c>
      <c r="AD2501" t="s">
        <v>1309</v>
      </c>
      <c r="AE2501">
        <v>-37.0180249</v>
      </c>
      <c r="AF2501">
        <v>174.94042590999999</v>
      </c>
      <c r="AG2501" s="175">
        <v>100</v>
      </c>
      <c r="AH2501" s="175">
        <v>35</v>
      </c>
      <c r="AI2501" s="175">
        <v>2</v>
      </c>
      <c r="AJ2501" s="175">
        <v>10</v>
      </c>
      <c r="AK2501" s="175">
        <v>18</v>
      </c>
      <c r="AL2501" s="175">
        <v>19</v>
      </c>
      <c r="AM2501" s="175">
        <v>17</v>
      </c>
      <c r="AN2501" s="175">
        <v>1</v>
      </c>
      <c r="AO2501" s="175">
        <v>67</v>
      </c>
      <c r="AP2501" s="175">
        <v>27</v>
      </c>
      <c r="AQ2501" s="175">
        <v>6</v>
      </c>
      <c r="AR2501" s="175">
        <v>4</v>
      </c>
      <c r="AS2501" s="175">
        <v>36</v>
      </c>
      <c r="AT2501" s="175">
        <v>3</v>
      </c>
    </row>
    <row r="2502" spans="1:46">
      <c r="A2502">
        <v>46791</v>
      </c>
      <c r="B2502" t="s">
        <v>14666</v>
      </c>
      <c r="C2502" t="s">
        <v>14667</v>
      </c>
      <c r="D2502" t="s">
        <v>14668</v>
      </c>
      <c r="E2502" t="s">
        <v>6332</v>
      </c>
      <c r="F2502" t="s">
        <v>3777</v>
      </c>
      <c r="G2502" t="s">
        <v>737</v>
      </c>
      <c r="H2502" t="s">
        <v>450</v>
      </c>
      <c r="J2502" t="s">
        <v>4032</v>
      </c>
      <c r="K2502" t="s">
        <v>606</v>
      </c>
      <c r="M2502" t="s">
        <v>607</v>
      </c>
      <c r="N2502" t="s">
        <v>657</v>
      </c>
      <c r="O2502" t="s">
        <v>1253</v>
      </c>
      <c r="P2502" t="s">
        <v>739</v>
      </c>
      <c r="Q2502" t="s">
        <v>467</v>
      </c>
      <c r="R2502" t="s">
        <v>724</v>
      </c>
      <c r="S2502" t="s">
        <v>740</v>
      </c>
      <c r="T2502" t="s">
        <v>613</v>
      </c>
      <c r="U2502">
        <v>117300</v>
      </c>
      <c r="V2502" t="s">
        <v>5769</v>
      </c>
      <c r="W2502" t="s">
        <v>742</v>
      </c>
      <c r="X2502" t="s">
        <v>6333</v>
      </c>
      <c r="Y2502" t="s">
        <v>6334</v>
      </c>
      <c r="Z2502" t="s">
        <v>3777</v>
      </c>
      <c r="AA2502" t="s">
        <v>6335</v>
      </c>
      <c r="AE2502">
        <v>-36.733572909999999</v>
      </c>
      <c r="AF2502">
        <v>174.71022909999999</v>
      </c>
      <c r="AG2502" s="175">
        <v>80</v>
      </c>
      <c r="AH2502" s="175">
        <v>80</v>
      </c>
      <c r="AI2502" s="175">
        <v>0</v>
      </c>
      <c r="AJ2502" s="175">
        <v>12</v>
      </c>
      <c r="AK2502" s="175">
        <v>7</v>
      </c>
      <c r="AL2502" s="175">
        <v>9</v>
      </c>
      <c r="AM2502" s="175">
        <v>2</v>
      </c>
      <c r="AN2502" s="175">
        <v>0</v>
      </c>
      <c r="AO2502" s="175">
        <v>30</v>
      </c>
      <c r="AP2502" s="175">
        <v>23</v>
      </c>
      <c r="AQ2502" s="175">
        <v>5</v>
      </c>
      <c r="AR2502" s="175">
        <v>0</v>
      </c>
      <c r="AS2502" s="175">
        <v>5</v>
      </c>
      <c r="AT2502" s="175">
        <v>1</v>
      </c>
    </row>
    <row r="2503" spans="1:46">
      <c r="A2503">
        <v>46797</v>
      </c>
      <c r="B2503" t="s">
        <v>14669</v>
      </c>
      <c r="C2503" t="s">
        <v>14670</v>
      </c>
      <c r="D2503" t="s">
        <v>14671</v>
      </c>
      <c r="E2503" t="s">
        <v>14672</v>
      </c>
      <c r="F2503" t="s">
        <v>1060</v>
      </c>
      <c r="G2503" t="s">
        <v>737</v>
      </c>
      <c r="H2503" t="s">
        <v>449</v>
      </c>
      <c r="J2503" t="s">
        <v>4032</v>
      </c>
      <c r="K2503" t="s">
        <v>606</v>
      </c>
      <c r="M2503" t="s">
        <v>607</v>
      </c>
      <c r="N2503" t="s">
        <v>657</v>
      </c>
      <c r="O2503" t="s">
        <v>933</v>
      </c>
      <c r="P2503" t="s">
        <v>739</v>
      </c>
      <c r="Q2503" t="s">
        <v>467</v>
      </c>
      <c r="R2503" t="s">
        <v>793</v>
      </c>
      <c r="S2503" t="s">
        <v>934</v>
      </c>
      <c r="T2503" t="s">
        <v>794</v>
      </c>
      <c r="U2503">
        <v>146800</v>
      </c>
      <c r="V2503" t="s">
        <v>5009</v>
      </c>
      <c r="W2503" t="s">
        <v>817</v>
      </c>
      <c r="X2503" t="s">
        <v>14673</v>
      </c>
      <c r="Y2503" t="s">
        <v>14674</v>
      </c>
      <c r="Z2503" t="s">
        <v>1060</v>
      </c>
      <c r="AA2503" t="s">
        <v>13704</v>
      </c>
      <c r="AB2503" t="s">
        <v>14675</v>
      </c>
      <c r="AC2503">
        <v>99190</v>
      </c>
      <c r="AD2503" t="s">
        <v>916</v>
      </c>
      <c r="AE2503">
        <v>-36.944163959999997</v>
      </c>
      <c r="AF2503">
        <v>174.78170431000001</v>
      </c>
      <c r="AG2503" s="175">
        <v>50</v>
      </c>
      <c r="AH2503" s="175">
        <v>0</v>
      </c>
      <c r="AI2503" s="175">
        <v>0</v>
      </c>
      <c r="AJ2503" s="175">
        <v>0</v>
      </c>
      <c r="AK2503" s="175">
        <v>17</v>
      </c>
      <c r="AL2503" s="175">
        <v>20</v>
      </c>
      <c r="AM2503" s="175">
        <v>31</v>
      </c>
      <c r="AN2503" s="175">
        <v>4</v>
      </c>
      <c r="AO2503" s="175">
        <v>72</v>
      </c>
      <c r="AP2503" s="175">
        <v>52</v>
      </c>
      <c r="AQ2503" s="175">
        <v>3</v>
      </c>
      <c r="AR2503" s="175">
        <v>7</v>
      </c>
      <c r="AS2503" s="175">
        <v>14</v>
      </c>
      <c r="AT2503" s="175">
        <v>11</v>
      </c>
    </row>
    <row r="2504" spans="1:46">
      <c r="A2504">
        <v>46798</v>
      </c>
      <c r="B2504" t="s">
        <v>14676</v>
      </c>
      <c r="C2504" t="s">
        <v>14677</v>
      </c>
      <c r="D2504" t="s">
        <v>14678</v>
      </c>
      <c r="E2504" t="s">
        <v>14679</v>
      </c>
      <c r="G2504" t="s">
        <v>8325</v>
      </c>
      <c r="H2504" t="s">
        <v>449</v>
      </c>
      <c r="J2504" t="s">
        <v>4032</v>
      </c>
      <c r="K2504" t="s">
        <v>606</v>
      </c>
      <c r="M2504" t="s">
        <v>607</v>
      </c>
      <c r="N2504" t="s">
        <v>657</v>
      </c>
      <c r="O2504" t="s">
        <v>723</v>
      </c>
      <c r="P2504" t="s">
        <v>610</v>
      </c>
      <c r="Q2504" t="s">
        <v>467</v>
      </c>
      <c r="R2504" t="s">
        <v>724</v>
      </c>
      <c r="S2504" t="s">
        <v>725</v>
      </c>
      <c r="T2504" t="s">
        <v>613</v>
      </c>
      <c r="U2504">
        <v>115002</v>
      </c>
      <c r="V2504" t="s">
        <v>7051</v>
      </c>
      <c r="W2504" t="s">
        <v>726</v>
      </c>
      <c r="X2504" t="s">
        <v>14680</v>
      </c>
      <c r="Y2504" t="s">
        <v>14681</v>
      </c>
      <c r="Z2504" t="s">
        <v>4383</v>
      </c>
      <c r="AA2504" t="s">
        <v>14682</v>
      </c>
      <c r="AB2504" t="s">
        <v>14677</v>
      </c>
      <c r="AC2504">
        <v>99129</v>
      </c>
      <c r="AD2504" t="s">
        <v>1006</v>
      </c>
      <c r="AE2504">
        <v>-36.771485749999997</v>
      </c>
      <c r="AF2504">
        <v>174.53590155000001</v>
      </c>
      <c r="AG2504" s="175">
        <v>30</v>
      </c>
      <c r="AH2504" s="175">
        <v>0</v>
      </c>
      <c r="AI2504" s="175">
        <v>0</v>
      </c>
      <c r="AJ2504" s="175">
        <v>0</v>
      </c>
      <c r="AK2504" s="175">
        <v>7</v>
      </c>
      <c r="AL2504" s="175">
        <v>20</v>
      </c>
      <c r="AM2504" s="175">
        <v>11</v>
      </c>
      <c r="AN2504" s="175">
        <v>3</v>
      </c>
      <c r="AO2504" s="175">
        <v>41</v>
      </c>
      <c r="AP2504" s="175">
        <v>39</v>
      </c>
      <c r="AQ2504" s="175">
        <v>0</v>
      </c>
      <c r="AR2504" s="175">
        <v>1</v>
      </c>
      <c r="AS2504" s="175">
        <v>4</v>
      </c>
      <c r="AT2504" s="175">
        <v>1</v>
      </c>
    </row>
    <row r="2505" spans="1:46">
      <c r="A2505">
        <v>46804</v>
      </c>
      <c r="B2505" t="s">
        <v>14683</v>
      </c>
      <c r="D2505" t="s">
        <v>8826</v>
      </c>
      <c r="E2505" t="s">
        <v>8827</v>
      </c>
      <c r="F2505" t="s">
        <v>1397</v>
      </c>
      <c r="G2505" t="s">
        <v>1381</v>
      </c>
      <c r="H2505" t="s">
        <v>450</v>
      </c>
      <c r="J2505" t="s">
        <v>4032</v>
      </c>
      <c r="K2505" t="s">
        <v>606</v>
      </c>
      <c r="M2505" t="s">
        <v>1382</v>
      </c>
      <c r="N2505" t="s">
        <v>643</v>
      </c>
      <c r="O2505" t="s">
        <v>1383</v>
      </c>
      <c r="P2505" t="s">
        <v>739</v>
      </c>
      <c r="Q2505" t="s">
        <v>510</v>
      </c>
      <c r="R2505" t="s">
        <v>1384</v>
      </c>
      <c r="S2505" t="s">
        <v>1396</v>
      </c>
      <c r="T2505" t="s">
        <v>1320</v>
      </c>
      <c r="U2505">
        <v>177300</v>
      </c>
      <c r="V2505" t="s">
        <v>1397</v>
      </c>
      <c r="W2505" t="s">
        <v>1398</v>
      </c>
      <c r="X2505" t="s">
        <v>13762</v>
      </c>
      <c r="Y2505" t="s">
        <v>8827</v>
      </c>
      <c r="Z2505" t="s">
        <v>1397</v>
      </c>
      <c r="AA2505" t="s">
        <v>8575</v>
      </c>
      <c r="AE2505">
        <v>-37.749585760000002</v>
      </c>
      <c r="AF2505">
        <v>175.27365915999999</v>
      </c>
      <c r="AG2505" s="175">
        <v>80</v>
      </c>
      <c r="AH2505" s="175">
        <v>80</v>
      </c>
      <c r="AI2505" s="175">
        <v>5</v>
      </c>
      <c r="AJ2505" s="175">
        <v>14</v>
      </c>
      <c r="AK2505" s="175">
        <v>13</v>
      </c>
      <c r="AL2505" s="175">
        <v>16</v>
      </c>
      <c r="AM2505" s="175">
        <v>6</v>
      </c>
      <c r="AN2505" s="175">
        <v>2</v>
      </c>
      <c r="AO2505" s="175">
        <v>56</v>
      </c>
      <c r="AP2505" s="175">
        <v>40</v>
      </c>
      <c r="AQ2505" s="175">
        <v>14</v>
      </c>
      <c r="AR2505" s="175">
        <v>4</v>
      </c>
      <c r="AS2505" s="175">
        <v>5</v>
      </c>
      <c r="AT2505" s="175">
        <v>8</v>
      </c>
    </row>
    <row r="2506" spans="1:46">
      <c r="A2506">
        <v>46806</v>
      </c>
      <c r="B2506" t="s">
        <v>14684</v>
      </c>
      <c r="C2506" t="s">
        <v>14685</v>
      </c>
      <c r="E2506" t="s">
        <v>14686</v>
      </c>
      <c r="F2506" t="s">
        <v>3092</v>
      </c>
      <c r="G2506" t="s">
        <v>3015</v>
      </c>
      <c r="H2506" t="s">
        <v>450</v>
      </c>
      <c r="J2506" t="s">
        <v>4032</v>
      </c>
      <c r="K2506" t="s">
        <v>606</v>
      </c>
      <c r="M2506" t="s">
        <v>2366</v>
      </c>
      <c r="N2506" t="s">
        <v>657</v>
      </c>
      <c r="O2506" t="s">
        <v>3016</v>
      </c>
      <c r="P2506" t="s">
        <v>739</v>
      </c>
      <c r="Q2506" t="s">
        <v>521</v>
      </c>
      <c r="R2506" t="s">
        <v>3017</v>
      </c>
      <c r="S2506" t="s">
        <v>3092</v>
      </c>
      <c r="T2506" t="s">
        <v>2526</v>
      </c>
      <c r="U2506">
        <v>321901</v>
      </c>
      <c r="V2506" t="s">
        <v>14687</v>
      </c>
      <c r="W2506" t="s">
        <v>3093</v>
      </c>
      <c r="X2506" t="s">
        <v>14688</v>
      </c>
      <c r="Y2506" t="s">
        <v>14686</v>
      </c>
      <c r="Z2506" t="s">
        <v>3092</v>
      </c>
      <c r="AA2506" t="s">
        <v>11482</v>
      </c>
      <c r="AB2506" t="s">
        <v>14685</v>
      </c>
      <c r="AE2506">
        <v>-43.551869050000001</v>
      </c>
      <c r="AF2506">
        <v>172.54136674</v>
      </c>
      <c r="AG2506" s="175">
        <v>80</v>
      </c>
      <c r="AH2506" s="175">
        <v>80</v>
      </c>
      <c r="AI2506" s="175">
        <v>7</v>
      </c>
      <c r="AJ2506" s="175">
        <v>12</v>
      </c>
      <c r="AK2506" s="175">
        <v>15</v>
      </c>
      <c r="AL2506" s="175">
        <v>11</v>
      </c>
      <c r="AM2506" s="175">
        <v>11</v>
      </c>
      <c r="AN2506" s="175">
        <v>0</v>
      </c>
      <c r="AO2506" s="175">
        <v>56</v>
      </c>
      <c r="AP2506" s="175">
        <v>11</v>
      </c>
      <c r="AQ2506" s="175">
        <v>6</v>
      </c>
      <c r="AR2506" s="175">
        <v>3</v>
      </c>
      <c r="AS2506" s="175">
        <v>45</v>
      </c>
      <c r="AT2506" s="175">
        <v>1</v>
      </c>
    </row>
    <row r="2507" spans="1:46">
      <c r="A2507">
        <v>46812</v>
      </c>
      <c r="B2507" t="s">
        <v>14689</v>
      </c>
      <c r="C2507" t="s">
        <v>14690</v>
      </c>
      <c r="E2507" t="s">
        <v>14691</v>
      </c>
      <c r="F2507" t="s">
        <v>841</v>
      </c>
      <c r="G2507" t="s">
        <v>737</v>
      </c>
      <c r="H2507" t="s">
        <v>449</v>
      </c>
      <c r="J2507" t="s">
        <v>4032</v>
      </c>
      <c r="K2507" t="s">
        <v>606</v>
      </c>
      <c r="M2507" t="s">
        <v>607</v>
      </c>
      <c r="N2507" t="s">
        <v>657</v>
      </c>
      <c r="O2507" t="s">
        <v>823</v>
      </c>
      <c r="P2507" t="s">
        <v>739</v>
      </c>
      <c r="Q2507" t="s">
        <v>467</v>
      </c>
      <c r="R2507" t="s">
        <v>724</v>
      </c>
      <c r="S2507" t="s">
        <v>841</v>
      </c>
      <c r="T2507" t="s">
        <v>613</v>
      </c>
      <c r="U2507">
        <v>127100</v>
      </c>
      <c r="V2507" t="s">
        <v>1129</v>
      </c>
      <c r="W2507" t="s">
        <v>826</v>
      </c>
      <c r="X2507" t="s">
        <v>14692</v>
      </c>
      <c r="Y2507" t="s">
        <v>14693</v>
      </c>
      <c r="Z2507" t="s">
        <v>848</v>
      </c>
      <c r="AA2507" t="s">
        <v>4432</v>
      </c>
      <c r="AB2507" t="s">
        <v>14694</v>
      </c>
      <c r="AE2507">
        <v>-36.796128840000002</v>
      </c>
      <c r="AF2507">
        <v>174.74477046999999</v>
      </c>
      <c r="AG2507" s="175">
        <v>35</v>
      </c>
      <c r="AH2507" s="175">
        <v>10</v>
      </c>
      <c r="AI2507" s="175">
        <v>1</v>
      </c>
      <c r="AJ2507" s="175">
        <v>10</v>
      </c>
      <c r="AK2507" s="175">
        <v>7</v>
      </c>
      <c r="AL2507" s="175">
        <v>7</v>
      </c>
      <c r="AM2507" s="175">
        <v>10</v>
      </c>
      <c r="AN2507" s="175">
        <v>1</v>
      </c>
      <c r="AO2507" s="175">
        <v>36</v>
      </c>
      <c r="AP2507" s="175">
        <v>36</v>
      </c>
      <c r="AQ2507" s="175">
        <v>6</v>
      </c>
      <c r="AR2507" s="175">
        <v>0</v>
      </c>
      <c r="AS2507" s="175">
        <v>0</v>
      </c>
      <c r="AT2507" s="175">
        <v>0</v>
      </c>
    </row>
    <row r="2508" spans="1:46">
      <c r="A2508">
        <v>46813</v>
      </c>
      <c r="B2508" t="s">
        <v>10029</v>
      </c>
      <c r="C2508" t="s">
        <v>14695</v>
      </c>
      <c r="D2508" t="s">
        <v>10031</v>
      </c>
      <c r="E2508" t="s">
        <v>14696</v>
      </c>
      <c r="F2508" t="s">
        <v>3944</v>
      </c>
      <c r="G2508" t="s">
        <v>1681</v>
      </c>
      <c r="H2508" t="s">
        <v>449</v>
      </c>
      <c r="J2508" t="s">
        <v>4032</v>
      </c>
      <c r="K2508" t="s">
        <v>606</v>
      </c>
      <c r="M2508" t="s">
        <v>1382</v>
      </c>
      <c r="N2508" t="s">
        <v>657</v>
      </c>
      <c r="O2508" t="s">
        <v>1780</v>
      </c>
      <c r="P2508" t="s">
        <v>739</v>
      </c>
      <c r="Q2508" t="s">
        <v>511</v>
      </c>
      <c r="R2508" t="s">
        <v>1555</v>
      </c>
      <c r="S2508" t="s">
        <v>1781</v>
      </c>
      <c r="T2508" t="s">
        <v>1557</v>
      </c>
      <c r="U2508">
        <v>196301</v>
      </c>
      <c r="V2508" t="s">
        <v>10860</v>
      </c>
      <c r="W2508" t="s">
        <v>1813</v>
      </c>
      <c r="X2508" t="s">
        <v>10033</v>
      </c>
      <c r="Y2508" t="s">
        <v>14697</v>
      </c>
      <c r="Z2508" t="s">
        <v>3944</v>
      </c>
      <c r="AA2508" t="s">
        <v>8947</v>
      </c>
      <c r="AE2508">
        <v>-37.7423815</v>
      </c>
      <c r="AF2508">
        <v>176.17393860000001</v>
      </c>
      <c r="AG2508" s="175">
        <v>35</v>
      </c>
      <c r="AH2508" s="175">
        <v>6</v>
      </c>
      <c r="AI2508" s="175">
        <v>0</v>
      </c>
      <c r="AJ2508" s="175">
        <v>5</v>
      </c>
      <c r="AK2508" s="175">
        <v>5</v>
      </c>
      <c r="AL2508" s="175">
        <v>6</v>
      </c>
      <c r="AM2508" s="175">
        <v>4</v>
      </c>
      <c r="AN2508" s="175">
        <v>0</v>
      </c>
      <c r="AO2508" s="175">
        <v>20</v>
      </c>
      <c r="AP2508" s="175">
        <v>19</v>
      </c>
      <c r="AQ2508" s="175">
        <v>4</v>
      </c>
      <c r="AR2508" s="175">
        <v>1</v>
      </c>
      <c r="AS2508" s="175">
        <v>3</v>
      </c>
      <c r="AT2508" s="175">
        <v>0</v>
      </c>
    </row>
    <row r="2509" spans="1:46">
      <c r="A2509">
        <v>46814</v>
      </c>
      <c r="B2509" t="s">
        <v>14698</v>
      </c>
      <c r="C2509" t="s">
        <v>14699</v>
      </c>
      <c r="E2509" t="s">
        <v>14700</v>
      </c>
      <c r="F2509" t="s">
        <v>14701</v>
      </c>
      <c r="G2509" t="s">
        <v>1553</v>
      </c>
      <c r="H2509" t="s">
        <v>449</v>
      </c>
      <c r="J2509" t="s">
        <v>4032</v>
      </c>
      <c r="K2509" t="s">
        <v>606</v>
      </c>
      <c r="M2509" t="s">
        <v>1382</v>
      </c>
      <c r="N2509" t="s">
        <v>643</v>
      </c>
      <c r="O2509" t="s">
        <v>1554</v>
      </c>
      <c r="P2509" t="s">
        <v>1347</v>
      </c>
      <c r="Q2509" t="s">
        <v>511</v>
      </c>
      <c r="R2509" t="s">
        <v>1555</v>
      </c>
      <c r="S2509" t="s">
        <v>1556</v>
      </c>
      <c r="T2509" t="s">
        <v>1557</v>
      </c>
      <c r="U2509">
        <v>202800</v>
      </c>
      <c r="V2509" t="s">
        <v>1614</v>
      </c>
      <c r="W2509" t="s">
        <v>1559</v>
      </c>
      <c r="X2509" t="s">
        <v>14702</v>
      </c>
      <c r="Y2509" t="s">
        <v>14703</v>
      </c>
      <c r="AA2509" t="s">
        <v>11730</v>
      </c>
      <c r="AC2509">
        <v>99016</v>
      </c>
      <c r="AD2509" t="s">
        <v>1562</v>
      </c>
      <c r="AE2509">
        <v>-37.961467749999997</v>
      </c>
      <c r="AF2509">
        <v>176.97591603000001</v>
      </c>
      <c r="AG2509" s="175">
        <v>75</v>
      </c>
      <c r="AH2509" s="175">
        <v>20</v>
      </c>
      <c r="AI2509" s="175">
        <v>2</v>
      </c>
      <c r="AJ2509" s="175">
        <v>15</v>
      </c>
      <c r="AK2509" s="175">
        <v>23</v>
      </c>
      <c r="AL2509" s="175">
        <v>22</v>
      </c>
      <c r="AM2509" s="175">
        <v>19</v>
      </c>
      <c r="AN2509" s="175">
        <v>0</v>
      </c>
      <c r="AO2509" s="175">
        <v>81</v>
      </c>
      <c r="AP2509" s="175">
        <v>48</v>
      </c>
      <c r="AQ2509" s="175">
        <v>44</v>
      </c>
      <c r="AR2509" s="175">
        <v>3</v>
      </c>
      <c r="AS2509" s="175">
        <v>12</v>
      </c>
      <c r="AT2509" s="175">
        <v>2</v>
      </c>
    </row>
    <row r="2510" spans="1:46">
      <c r="A2510">
        <v>46817</v>
      </c>
      <c r="B2510" t="s">
        <v>14704</v>
      </c>
      <c r="C2510" t="s">
        <v>14705</v>
      </c>
      <c r="D2510" t="s">
        <v>14706</v>
      </c>
      <c r="E2510" t="s">
        <v>14707</v>
      </c>
      <c r="F2510" t="s">
        <v>2544</v>
      </c>
      <c r="G2510" t="s">
        <v>2505</v>
      </c>
      <c r="H2510" t="s">
        <v>449</v>
      </c>
      <c r="J2510" t="s">
        <v>605</v>
      </c>
      <c r="K2510" t="s">
        <v>606</v>
      </c>
      <c r="M2510" t="s">
        <v>2366</v>
      </c>
      <c r="N2510" t="s">
        <v>643</v>
      </c>
      <c r="O2510" t="s">
        <v>2506</v>
      </c>
      <c r="P2510" t="s">
        <v>739</v>
      </c>
      <c r="Q2510" t="s">
        <v>516</v>
      </c>
      <c r="R2510" t="s">
        <v>2368</v>
      </c>
      <c r="S2510" t="s">
        <v>2451</v>
      </c>
      <c r="T2510" t="s">
        <v>2165</v>
      </c>
      <c r="U2510">
        <v>244500</v>
      </c>
      <c r="V2510" t="s">
        <v>2574</v>
      </c>
      <c r="W2510" t="s">
        <v>2546</v>
      </c>
      <c r="X2510" t="s">
        <v>14708</v>
      </c>
      <c r="Y2510" t="s">
        <v>14709</v>
      </c>
      <c r="Z2510" t="s">
        <v>2544</v>
      </c>
      <c r="AA2510" t="s">
        <v>14710</v>
      </c>
      <c r="AB2510" t="s">
        <v>14711</v>
      </c>
      <c r="AC2510">
        <v>99111</v>
      </c>
      <c r="AD2510" t="s">
        <v>2547</v>
      </c>
      <c r="AE2510">
        <v>-41.169430380000001</v>
      </c>
      <c r="AF2510">
        <v>174.98313659999999</v>
      </c>
      <c r="AG2510" s="175">
        <v>32</v>
      </c>
      <c r="AH2510" s="175">
        <v>9</v>
      </c>
      <c r="AI2510" s="175">
        <v>1</v>
      </c>
      <c r="AJ2510" s="175">
        <v>4</v>
      </c>
      <c r="AK2510" s="175">
        <v>9</v>
      </c>
      <c r="AL2510" s="175">
        <v>6</v>
      </c>
      <c r="AM2510" s="175">
        <v>8</v>
      </c>
      <c r="AN2510" s="175">
        <v>0</v>
      </c>
      <c r="AO2510" s="175">
        <v>28</v>
      </c>
      <c r="AP2510" s="175">
        <v>13</v>
      </c>
      <c r="AQ2510" s="175">
        <v>13</v>
      </c>
      <c r="AR2510" s="175">
        <v>10</v>
      </c>
      <c r="AS2510" s="175">
        <v>6</v>
      </c>
      <c r="AT2510" s="175">
        <v>1</v>
      </c>
    </row>
    <row r="2511" spans="1:46">
      <c r="A2511">
        <v>46819</v>
      </c>
      <c r="B2511" t="s">
        <v>14712</v>
      </c>
      <c r="C2511" t="s">
        <v>14713</v>
      </c>
      <c r="D2511" t="s">
        <v>14714</v>
      </c>
      <c r="E2511" t="s">
        <v>14715</v>
      </c>
      <c r="G2511" t="s">
        <v>6450</v>
      </c>
      <c r="H2511" t="s">
        <v>449</v>
      </c>
      <c r="J2511" t="s">
        <v>4032</v>
      </c>
      <c r="K2511" t="s">
        <v>606</v>
      </c>
      <c r="M2511" t="s">
        <v>607</v>
      </c>
      <c r="N2511" t="s">
        <v>657</v>
      </c>
      <c r="O2511" t="s">
        <v>723</v>
      </c>
      <c r="P2511" t="s">
        <v>610</v>
      </c>
      <c r="Q2511" t="s">
        <v>467</v>
      </c>
      <c r="R2511" t="s">
        <v>724</v>
      </c>
      <c r="S2511" t="s">
        <v>725</v>
      </c>
      <c r="T2511" t="s">
        <v>613</v>
      </c>
      <c r="U2511">
        <v>115901</v>
      </c>
      <c r="V2511" t="s">
        <v>6450</v>
      </c>
      <c r="W2511" t="s">
        <v>726</v>
      </c>
      <c r="X2511" t="s">
        <v>14716</v>
      </c>
      <c r="Y2511" t="s">
        <v>14715</v>
      </c>
      <c r="AA2511" t="s">
        <v>14717</v>
      </c>
      <c r="AE2511">
        <v>-36.757386519999997</v>
      </c>
      <c r="AF2511">
        <v>174.59224476</v>
      </c>
      <c r="AG2511" s="175">
        <v>82</v>
      </c>
      <c r="AH2511" s="175">
        <v>18</v>
      </c>
      <c r="AI2511" s="175">
        <v>5</v>
      </c>
      <c r="AJ2511" s="175">
        <v>17</v>
      </c>
      <c r="AK2511" s="175">
        <v>15</v>
      </c>
      <c r="AL2511" s="175">
        <v>26</v>
      </c>
      <c r="AM2511" s="175">
        <v>23</v>
      </c>
      <c r="AN2511" s="175">
        <v>1</v>
      </c>
      <c r="AO2511" s="175">
        <v>87</v>
      </c>
      <c r="AP2511" s="175">
        <v>80</v>
      </c>
      <c r="AQ2511" s="175">
        <v>12</v>
      </c>
      <c r="AR2511" s="175">
        <v>6</v>
      </c>
      <c r="AS2511" s="175">
        <v>11</v>
      </c>
      <c r="AT2511" s="175">
        <v>0</v>
      </c>
    </row>
    <row r="2512" spans="1:46">
      <c r="A2512">
        <v>46822</v>
      </c>
      <c r="B2512" t="s">
        <v>14718</v>
      </c>
      <c r="C2512" t="s">
        <v>14719</v>
      </c>
      <c r="D2512" t="s">
        <v>14720</v>
      </c>
      <c r="E2512" t="s">
        <v>14721</v>
      </c>
      <c r="F2512" t="s">
        <v>14722</v>
      </c>
      <c r="G2512" t="s">
        <v>3015</v>
      </c>
      <c r="H2512" t="s">
        <v>449</v>
      </c>
      <c r="J2512" t="s">
        <v>4032</v>
      </c>
      <c r="K2512" t="s">
        <v>606</v>
      </c>
      <c r="M2512" t="s">
        <v>2366</v>
      </c>
      <c r="N2512" t="s">
        <v>657</v>
      </c>
      <c r="O2512" t="s">
        <v>3016</v>
      </c>
      <c r="P2512" t="s">
        <v>739</v>
      </c>
      <c r="Q2512" t="s">
        <v>521</v>
      </c>
      <c r="R2512" t="s">
        <v>3017</v>
      </c>
      <c r="S2512" t="s">
        <v>3052</v>
      </c>
      <c r="T2512" t="s">
        <v>2526</v>
      </c>
      <c r="U2512">
        <v>331801</v>
      </c>
      <c r="V2512" t="s">
        <v>14723</v>
      </c>
      <c r="W2512" t="s">
        <v>3087</v>
      </c>
      <c r="X2512" t="s">
        <v>14724</v>
      </c>
      <c r="Y2512" t="s">
        <v>14721</v>
      </c>
      <c r="Z2512" t="s">
        <v>14722</v>
      </c>
      <c r="AA2512" t="s">
        <v>14725</v>
      </c>
      <c r="AB2512" t="s">
        <v>14726</v>
      </c>
      <c r="AC2512">
        <v>99196</v>
      </c>
      <c r="AD2512" t="s">
        <v>3137</v>
      </c>
      <c r="AE2512">
        <v>-43.559191400000003</v>
      </c>
      <c r="AF2512">
        <v>172.7041012</v>
      </c>
      <c r="AG2512" s="175">
        <v>50</v>
      </c>
      <c r="AH2512" s="175">
        <v>15</v>
      </c>
      <c r="AI2512" s="175">
        <v>4</v>
      </c>
      <c r="AJ2512" s="175">
        <v>13</v>
      </c>
      <c r="AK2512" s="175">
        <v>16</v>
      </c>
      <c r="AL2512" s="175">
        <v>16</v>
      </c>
      <c r="AM2512" s="175">
        <v>15</v>
      </c>
      <c r="AN2512" s="175">
        <v>1</v>
      </c>
      <c r="AO2512" s="175">
        <v>65</v>
      </c>
      <c r="AP2512" s="175">
        <v>61</v>
      </c>
      <c r="AQ2512" s="175">
        <v>9</v>
      </c>
      <c r="AR2512" s="175">
        <v>2</v>
      </c>
      <c r="AS2512" s="175">
        <v>2</v>
      </c>
      <c r="AT2512" s="175">
        <v>1</v>
      </c>
    </row>
    <row r="2513" spans="1:46">
      <c r="A2513">
        <v>46823</v>
      </c>
      <c r="B2513" t="s">
        <v>14727</v>
      </c>
      <c r="C2513" t="s">
        <v>14728</v>
      </c>
      <c r="E2513" t="s">
        <v>14729</v>
      </c>
      <c r="F2513" t="s">
        <v>4113</v>
      </c>
      <c r="G2513" t="s">
        <v>737</v>
      </c>
      <c r="H2513" t="s">
        <v>449</v>
      </c>
      <c r="J2513" t="s">
        <v>4032</v>
      </c>
      <c r="K2513" t="s">
        <v>606</v>
      </c>
      <c r="M2513" t="s">
        <v>607</v>
      </c>
      <c r="N2513" t="s">
        <v>643</v>
      </c>
      <c r="O2513" t="s">
        <v>1353</v>
      </c>
      <c r="P2513" t="s">
        <v>739</v>
      </c>
      <c r="Q2513" t="s">
        <v>467</v>
      </c>
      <c r="R2513" t="s">
        <v>814</v>
      </c>
      <c r="S2513" t="s">
        <v>1319</v>
      </c>
      <c r="T2513" t="s">
        <v>1320</v>
      </c>
      <c r="U2513">
        <v>163001</v>
      </c>
      <c r="V2513" t="s">
        <v>1362</v>
      </c>
      <c r="W2513" t="s">
        <v>1304</v>
      </c>
      <c r="X2513" t="s">
        <v>4650</v>
      </c>
      <c r="Y2513" t="s">
        <v>14730</v>
      </c>
      <c r="Z2513" t="s">
        <v>4015</v>
      </c>
      <c r="AA2513" t="s">
        <v>4652</v>
      </c>
      <c r="AE2513">
        <v>-37.061664389999997</v>
      </c>
      <c r="AF2513">
        <v>174.94733156999999</v>
      </c>
      <c r="AG2513" s="175">
        <v>100</v>
      </c>
      <c r="AH2513" s="175">
        <v>25</v>
      </c>
      <c r="AI2513" s="175">
        <v>0</v>
      </c>
      <c r="AJ2513" s="175">
        <v>3</v>
      </c>
      <c r="AK2513" s="175">
        <v>12</v>
      </c>
      <c r="AL2513" s="175">
        <v>19</v>
      </c>
      <c r="AM2513" s="175">
        <v>23</v>
      </c>
      <c r="AN2513" s="175">
        <v>1</v>
      </c>
      <c r="AO2513" s="175">
        <v>58</v>
      </c>
      <c r="AP2513" s="175">
        <v>8</v>
      </c>
      <c r="AQ2513" s="175">
        <v>16</v>
      </c>
      <c r="AR2513" s="175">
        <v>18</v>
      </c>
      <c r="AS2513" s="175">
        <v>23</v>
      </c>
      <c r="AT2513" s="175">
        <v>1</v>
      </c>
    </row>
    <row r="2514" spans="1:46">
      <c r="A2514">
        <v>46825</v>
      </c>
      <c r="B2514" t="s">
        <v>14731</v>
      </c>
      <c r="C2514" t="s">
        <v>14732</v>
      </c>
      <c r="D2514" t="s">
        <v>14733</v>
      </c>
      <c r="E2514" t="s">
        <v>14734</v>
      </c>
      <c r="F2514" t="s">
        <v>1157</v>
      </c>
      <c r="G2514" t="s">
        <v>737</v>
      </c>
      <c r="H2514" t="s">
        <v>449</v>
      </c>
      <c r="J2514" t="s">
        <v>4032</v>
      </c>
      <c r="K2514" t="s">
        <v>606</v>
      </c>
      <c r="M2514" t="s">
        <v>607</v>
      </c>
      <c r="N2514" t="s">
        <v>625</v>
      </c>
      <c r="O2514" t="s">
        <v>933</v>
      </c>
      <c r="P2514" t="s">
        <v>739</v>
      </c>
      <c r="Q2514" t="s">
        <v>467</v>
      </c>
      <c r="R2514" t="s">
        <v>814</v>
      </c>
      <c r="S2514" t="s">
        <v>815</v>
      </c>
      <c r="T2514" t="s">
        <v>794</v>
      </c>
      <c r="U2514">
        <v>150101</v>
      </c>
      <c r="V2514" t="s">
        <v>4174</v>
      </c>
      <c r="W2514" t="s">
        <v>817</v>
      </c>
      <c r="X2514" t="s">
        <v>14735</v>
      </c>
      <c r="Y2514" t="s">
        <v>14736</v>
      </c>
      <c r="Z2514" t="s">
        <v>863</v>
      </c>
      <c r="AA2514" t="s">
        <v>4340</v>
      </c>
      <c r="AE2514">
        <v>-36.9410819</v>
      </c>
      <c r="AF2514">
        <v>174.8402553</v>
      </c>
      <c r="AG2514" s="175">
        <v>88</v>
      </c>
      <c r="AH2514" s="175">
        <v>24</v>
      </c>
      <c r="AI2514" s="175">
        <v>3</v>
      </c>
      <c r="AJ2514" s="175">
        <v>9</v>
      </c>
      <c r="AK2514" s="175">
        <v>16</v>
      </c>
      <c r="AL2514" s="175">
        <v>20</v>
      </c>
      <c r="AM2514" s="175">
        <v>15</v>
      </c>
      <c r="AN2514" s="175">
        <v>1</v>
      </c>
      <c r="AO2514" s="175">
        <v>64</v>
      </c>
      <c r="AP2514" s="175">
        <v>13</v>
      </c>
      <c r="AQ2514" s="175">
        <v>16</v>
      </c>
      <c r="AR2514" s="175">
        <v>39</v>
      </c>
      <c r="AS2514" s="175">
        <v>18</v>
      </c>
      <c r="AT2514" s="175">
        <v>1</v>
      </c>
    </row>
    <row r="2515" spans="1:46">
      <c r="A2515">
        <v>46833</v>
      </c>
      <c r="B2515" t="s">
        <v>14737</v>
      </c>
      <c r="C2515" t="s">
        <v>14738</v>
      </c>
      <c r="D2515" t="s">
        <v>14739</v>
      </c>
      <c r="E2515" t="s">
        <v>14740</v>
      </c>
      <c r="F2515" t="s">
        <v>3051</v>
      </c>
      <c r="G2515" t="s">
        <v>3015</v>
      </c>
      <c r="H2515" t="s">
        <v>449</v>
      </c>
      <c r="I2515" t="s">
        <v>4134</v>
      </c>
      <c r="J2515" t="s">
        <v>4032</v>
      </c>
      <c r="K2515" t="s">
        <v>606</v>
      </c>
      <c r="M2515" t="s">
        <v>2366</v>
      </c>
      <c r="N2515" t="s">
        <v>657</v>
      </c>
      <c r="O2515" t="s">
        <v>3016</v>
      </c>
      <c r="P2515" t="s">
        <v>739</v>
      </c>
      <c r="Q2515" t="s">
        <v>521</v>
      </c>
      <c r="R2515" t="s">
        <v>3017</v>
      </c>
      <c r="S2515" t="s">
        <v>3052</v>
      </c>
      <c r="T2515" t="s">
        <v>2526</v>
      </c>
      <c r="U2515">
        <v>330300</v>
      </c>
      <c r="V2515" t="s">
        <v>3053</v>
      </c>
      <c r="W2515" t="s">
        <v>3031</v>
      </c>
      <c r="X2515" t="s">
        <v>14741</v>
      </c>
      <c r="Y2515" t="s">
        <v>11472</v>
      </c>
      <c r="Z2515" t="s">
        <v>3029</v>
      </c>
      <c r="AA2515" t="s">
        <v>11473</v>
      </c>
      <c r="AB2515" t="s">
        <v>14742</v>
      </c>
      <c r="AC2515">
        <v>99177</v>
      </c>
      <c r="AD2515" t="s">
        <v>3032</v>
      </c>
      <c r="AE2515">
        <v>-43.56561705</v>
      </c>
      <c r="AF2515">
        <v>172.63723462999999</v>
      </c>
      <c r="AG2515" s="175">
        <v>37</v>
      </c>
      <c r="AH2515" s="175">
        <v>15</v>
      </c>
      <c r="AI2515" s="175">
        <v>0</v>
      </c>
      <c r="AJ2515" s="175">
        <v>15</v>
      </c>
      <c r="AK2515" s="175">
        <v>14</v>
      </c>
      <c r="AL2515" s="175">
        <v>9</v>
      </c>
      <c r="AM2515" s="175">
        <v>12</v>
      </c>
      <c r="AN2515" s="175">
        <v>0</v>
      </c>
      <c r="AO2515" s="175">
        <v>50</v>
      </c>
      <c r="AP2515" s="175">
        <v>46</v>
      </c>
      <c r="AQ2515" s="175">
        <v>5</v>
      </c>
      <c r="AR2515" s="175">
        <v>0</v>
      </c>
      <c r="AS2515" s="175">
        <v>7</v>
      </c>
      <c r="AT2515" s="175">
        <v>1</v>
      </c>
    </row>
    <row r="2516" spans="1:46">
      <c r="A2516">
        <v>46836</v>
      </c>
      <c r="B2516" t="s">
        <v>14743</v>
      </c>
      <c r="C2516" t="s">
        <v>14744</v>
      </c>
      <c r="D2516" t="s">
        <v>14745</v>
      </c>
      <c r="E2516" t="s">
        <v>14746</v>
      </c>
      <c r="F2516" t="s">
        <v>4995</v>
      </c>
      <c r="G2516" t="s">
        <v>737</v>
      </c>
      <c r="H2516" t="s">
        <v>449</v>
      </c>
      <c r="J2516" t="s">
        <v>4032</v>
      </c>
      <c r="K2516" t="s">
        <v>606</v>
      </c>
      <c r="M2516" t="s">
        <v>607</v>
      </c>
      <c r="N2516" t="s">
        <v>657</v>
      </c>
      <c r="O2516" t="s">
        <v>898</v>
      </c>
      <c r="P2516" t="s">
        <v>739</v>
      </c>
      <c r="Q2516" t="s">
        <v>467</v>
      </c>
      <c r="R2516" t="s">
        <v>724</v>
      </c>
      <c r="S2516" t="s">
        <v>725</v>
      </c>
      <c r="T2516" t="s">
        <v>613</v>
      </c>
      <c r="U2516">
        <v>118800</v>
      </c>
      <c r="V2516" t="s">
        <v>14747</v>
      </c>
      <c r="W2516" t="s">
        <v>900</v>
      </c>
      <c r="X2516" t="s">
        <v>14748</v>
      </c>
      <c r="Y2516" t="s">
        <v>14749</v>
      </c>
      <c r="Z2516" t="s">
        <v>3777</v>
      </c>
      <c r="AA2516" t="s">
        <v>6335</v>
      </c>
      <c r="AE2516">
        <v>-36.822307479999999</v>
      </c>
      <c r="AF2516">
        <v>174.6104967</v>
      </c>
      <c r="AG2516" s="175">
        <v>100</v>
      </c>
      <c r="AH2516" s="175">
        <v>25</v>
      </c>
      <c r="AI2516" s="175">
        <v>3</v>
      </c>
      <c r="AJ2516" s="175">
        <v>18</v>
      </c>
      <c r="AK2516" s="175">
        <v>20</v>
      </c>
      <c r="AL2516" s="175">
        <v>30</v>
      </c>
      <c r="AM2516" s="175">
        <v>27</v>
      </c>
      <c r="AN2516" s="175">
        <v>0</v>
      </c>
      <c r="AO2516" s="175">
        <v>98</v>
      </c>
      <c r="AP2516" s="175">
        <v>27</v>
      </c>
      <c r="AQ2516" s="175">
        <v>6</v>
      </c>
      <c r="AR2516" s="175">
        <v>5</v>
      </c>
      <c r="AS2516" s="175">
        <v>71</v>
      </c>
      <c r="AT2516" s="175">
        <v>4</v>
      </c>
    </row>
    <row r="2517" spans="1:46">
      <c r="A2517">
        <v>46843</v>
      </c>
      <c r="B2517" t="s">
        <v>14750</v>
      </c>
      <c r="C2517" t="s">
        <v>14751</v>
      </c>
      <c r="D2517" t="s">
        <v>14752</v>
      </c>
      <c r="E2517" t="s">
        <v>14753</v>
      </c>
      <c r="F2517" t="s">
        <v>1442</v>
      </c>
      <c r="G2517" t="s">
        <v>1381</v>
      </c>
      <c r="H2517" t="s">
        <v>449</v>
      </c>
      <c r="J2517" t="s">
        <v>4032</v>
      </c>
      <c r="K2517" t="s">
        <v>606</v>
      </c>
      <c r="M2517" t="s">
        <v>1382</v>
      </c>
      <c r="N2517" t="s">
        <v>657</v>
      </c>
      <c r="O2517" t="s">
        <v>1383</v>
      </c>
      <c r="P2517" t="s">
        <v>739</v>
      </c>
      <c r="Q2517" t="s">
        <v>510</v>
      </c>
      <c r="R2517" t="s">
        <v>1384</v>
      </c>
      <c r="S2517" t="s">
        <v>1385</v>
      </c>
      <c r="T2517" t="s">
        <v>1320</v>
      </c>
      <c r="U2517">
        <v>177200</v>
      </c>
      <c r="V2517" t="s">
        <v>1443</v>
      </c>
      <c r="W2517" t="s">
        <v>1387</v>
      </c>
      <c r="X2517" t="s">
        <v>14754</v>
      </c>
      <c r="Y2517" t="s">
        <v>4176</v>
      </c>
      <c r="AA2517" t="s">
        <v>4052</v>
      </c>
      <c r="AB2517" t="s">
        <v>14755</v>
      </c>
      <c r="AE2517">
        <v>-37.782477700000001</v>
      </c>
      <c r="AF2517">
        <v>175.23321605000001</v>
      </c>
      <c r="AG2517" s="175">
        <v>60</v>
      </c>
      <c r="AH2517" s="175">
        <v>15</v>
      </c>
      <c r="AI2517" s="175">
        <v>5</v>
      </c>
      <c r="AJ2517" s="175">
        <v>6</v>
      </c>
      <c r="AK2517" s="175">
        <v>9</v>
      </c>
      <c r="AL2517" s="175">
        <v>10</v>
      </c>
      <c r="AM2517" s="175">
        <v>10</v>
      </c>
      <c r="AN2517" s="175">
        <v>4</v>
      </c>
      <c r="AO2517" s="175">
        <v>44</v>
      </c>
      <c r="AP2517" s="175">
        <v>23</v>
      </c>
      <c r="AQ2517" s="175">
        <v>21</v>
      </c>
      <c r="AR2517" s="175">
        <v>11</v>
      </c>
      <c r="AS2517" s="175">
        <v>8</v>
      </c>
      <c r="AT2517" s="175">
        <v>4</v>
      </c>
    </row>
    <row r="2518" spans="1:46">
      <c r="A2518">
        <v>46844</v>
      </c>
      <c r="B2518" t="s">
        <v>14756</v>
      </c>
      <c r="C2518" t="s">
        <v>14757</v>
      </c>
      <c r="D2518" t="s">
        <v>14758</v>
      </c>
      <c r="E2518" t="s">
        <v>14759</v>
      </c>
      <c r="G2518" t="s">
        <v>10974</v>
      </c>
      <c r="H2518" t="s">
        <v>449</v>
      </c>
      <c r="J2518" t="s">
        <v>605</v>
      </c>
      <c r="K2518" t="s">
        <v>606</v>
      </c>
      <c r="M2518" t="s">
        <v>2366</v>
      </c>
      <c r="N2518" t="s">
        <v>657</v>
      </c>
      <c r="O2518" t="s">
        <v>3281</v>
      </c>
      <c r="P2518" t="s">
        <v>1347</v>
      </c>
      <c r="Q2518" t="s">
        <v>521</v>
      </c>
      <c r="R2518" t="s">
        <v>3017</v>
      </c>
      <c r="S2518" t="s">
        <v>3252</v>
      </c>
      <c r="T2518" t="s">
        <v>2526</v>
      </c>
      <c r="U2518">
        <v>335501</v>
      </c>
      <c r="V2518" t="s">
        <v>14760</v>
      </c>
      <c r="W2518" t="s">
        <v>10977</v>
      </c>
      <c r="X2518" t="s">
        <v>10864</v>
      </c>
      <c r="Y2518" t="s">
        <v>4014</v>
      </c>
      <c r="Z2518" t="s">
        <v>4015</v>
      </c>
      <c r="AA2518" t="s">
        <v>4016</v>
      </c>
      <c r="AC2518">
        <v>99206</v>
      </c>
      <c r="AD2518" t="s">
        <v>3284</v>
      </c>
      <c r="AE2518">
        <v>-43.616431200000001</v>
      </c>
      <c r="AF2518">
        <v>172.39238649999999</v>
      </c>
      <c r="AG2518" s="175">
        <v>110</v>
      </c>
      <c r="AH2518" s="175">
        <v>25</v>
      </c>
      <c r="AI2518" s="175">
        <v>2</v>
      </c>
      <c r="AJ2518" s="175">
        <v>18</v>
      </c>
      <c r="AK2518" s="175">
        <v>23</v>
      </c>
      <c r="AL2518" s="175">
        <v>40</v>
      </c>
      <c r="AM2518" s="175">
        <v>28</v>
      </c>
      <c r="AN2518" s="175">
        <v>1</v>
      </c>
      <c r="AO2518" s="175">
        <v>112</v>
      </c>
      <c r="AP2518" s="175">
        <v>42</v>
      </c>
      <c r="AQ2518" s="175">
        <v>12</v>
      </c>
      <c r="AR2518" s="175">
        <v>2</v>
      </c>
      <c r="AS2518" s="175">
        <v>67</v>
      </c>
      <c r="AT2518" s="175">
        <v>9</v>
      </c>
    </row>
    <row r="2519" spans="1:46">
      <c r="A2519">
        <v>46847</v>
      </c>
      <c r="B2519" t="s">
        <v>14761</v>
      </c>
      <c r="C2519" t="s">
        <v>14762</v>
      </c>
      <c r="D2519" t="s">
        <v>14763</v>
      </c>
      <c r="E2519" t="s">
        <v>14764</v>
      </c>
      <c r="F2519" t="s">
        <v>1121</v>
      </c>
      <c r="G2519" t="s">
        <v>737</v>
      </c>
      <c r="H2519" t="s">
        <v>450</v>
      </c>
      <c r="J2519" t="s">
        <v>4032</v>
      </c>
      <c r="K2519" t="s">
        <v>606</v>
      </c>
      <c r="M2519" t="s">
        <v>607</v>
      </c>
      <c r="N2519" t="s">
        <v>812</v>
      </c>
      <c r="O2519" t="s">
        <v>1301</v>
      </c>
      <c r="P2519" t="s">
        <v>739</v>
      </c>
      <c r="Q2519" t="s">
        <v>467</v>
      </c>
      <c r="R2519" t="s">
        <v>814</v>
      </c>
      <c r="S2519" t="s">
        <v>1121</v>
      </c>
      <c r="T2519" t="s">
        <v>794</v>
      </c>
      <c r="U2519">
        <v>159201</v>
      </c>
      <c r="V2519" t="s">
        <v>12555</v>
      </c>
      <c r="W2519" t="s">
        <v>1304</v>
      </c>
      <c r="X2519" t="s">
        <v>14765</v>
      </c>
      <c r="Y2519" t="s">
        <v>14766</v>
      </c>
      <c r="Z2519" t="s">
        <v>4272</v>
      </c>
      <c r="AA2519" t="s">
        <v>4652</v>
      </c>
      <c r="AE2519">
        <v>-37.018962809999998</v>
      </c>
      <c r="AF2519">
        <v>174.8741282</v>
      </c>
      <c r="AG2519" s="175">
        <v>80</v>
      </c>
      <c r="AH2519" s="175">
        <v>80</v>
      </c>
      <c r="AI2519" s="175">
        <v>8</v>
      </c>
      <c r="AJ2519" s="175">
        <v>11</v>
      </c>
      <c r="AK2519" s="175">
        <v>11</v>
      </c>
      <c r="AL2519" s="175">
        <v>10</v>
      </c>
      <c r="AM2519" s="175">
        <v>6</v>
      </c>
      <c r="AN2519" s="175">
        <v>0</v>
      </c>
      <c r="AO2519" s="175">
        <v>46</v>
      </c>
      <c r="AP2519" s="175">
        <v>0</v>
      </c>
      <c r="AQ2519" s="175">
        <v>0</v>
      </c>
      <c r="AR2519" s="175">
        <v>24</v>
      </c>
      <c r="AS2519" s="175">
        <v>22</v>
      </c>
      <c r="AT2519" s="175">
        <v>0</v>
      </c>
    </row>
    <row r="2520" spans="1:46">
      <c r="A2520">
        <v>46848</v>
      </c>
      <c r="B2520" t="s">
        <v>14767</v>
      </c>
      <c r="C2520" t="s">
        <v>14768</v>
      </c>
      <c r="D2520" t="s">
        <v>14769</v>
      </c>
      <c r="E2520" t="s">
        <v>14770</v>
      </c>
      <c r="F2520" t="s">
        <v>12010</v>
      </c>
      <c r="G2520" t="s">
        <v>3015</v>
      </c>
      <c r="H2520" t="s">
        <v>449</v>
      </c>
      <c r="J2520" t="s">
        <v>605</v>
      </c>
      <c r="K2520" t="s">
        <v>606</v>
      </c>
      <c r="M2520" t="s">
        <v>2366</v>
      </c>
      <c r="N2520" t="s">
        <v>657</v>
      </c>
      <c r="O2520" t="s">
        <v>3016</v>
      </c>
      <c r="P2520" t="s">
        <v>739</v>
      </c>
      <c r="Q2520" t="s">
        <v>521</v>
      </c>
      <c r="R2520" t="s">
        <v>3017</v>
      </c>
      <c r="S2520" t="s">
        <v>3046</v>
      </c>
      <c r="T2520" t="s">
        <v>2526</v>
      </c>
      <c r="U2520">
        <v>321301</v>
      </c>
      <c r="V2520" t="s">
        <v>14771</v>
      </c>
      <c r="W2520" t="s">
        <v>3199</v>
      </c>
      <c r="X2520" t="s">
        <v>10864</v>
      </c>
      <c r="Y2520" t="s">
        <v>4014</v>
      </c>
      <c r="Z2520" t="s">
        <v>4015</v>
      </c>
      <c r="AA2520" t="s">
        <v>4016</v>
      </c>
      <c r="AE2520">
        <v>-43.467773540000003</v>
      </c>
      <c r="AF2520">
        <v>172.66557133000001</v>
      </c>
      <c r="AG2520" s="175">
        <v>115</v>
      </c>
      <c r="AH2520" s="175">
        <v>25</v>
      </c>
      <c r="AI2520" s="175">
        <v>3</v>
      </c>
      <c r="AJ2520" s="175">
        <v>21</v>
      </c>
      <c r="AK2520" s="175">
        <v>33</v>
      </c>
      <c r="AL2520" s="175">
        <v>30</v>
      </c>
      <c r="AM2520" s="175">
        <v>30</v>
      </c>
      <c r="AN2520" s="175">
        <v>3</v>
      </c>
      <c r="AO2520" s="175">
        <v>120</v>
      </c>
      <c r="AP2520" s="175">
        <v>105</v>
      </c>
      <c r="AQ2520" s="175">
        <v>13</v>
      </c>
      <c r="AR2520" s="175">
        <v>0</v>
      </c>
      <c r="AS2520" s="175">
        <v>16</v>
      </c>
      <c r="AT2520" s="175">
        <v>7</v>
      </c>
    </row>
    <row r="2521" spans="1:46">
      <c r="A2521">
        <v>46849</v>
      </c>
      <c r="B2521" t="s">
        <v>14772</v>
      </c>
      <c r="C2521" t="s">
        <v>14773</v>
      </c>
      <c r="E2521" t="s">
        <v>14774</v>
      </c>
      <c r="G2521" t="s">
        <v>1824</v>
      </c>
      <c r="H2521" t="s">
        <v>449</v>
      </c>
      <c r="J2521" t="s">
        <v>4032</v>
      </c>
      <c r="K2521" t="s">
        <v>606</v>
      </c>
      <c r="M2521" t="s">
        <v>1382</v>
      </c>
      <c r="N2521" t="s">
        <v>643</v>
      </c>
      <c r="O2521" t="s">
        <v>1825</v>
      </c>
      <c r="P2521" t="s">
        <v>610</v>
      </c>
      <c r="Q2521" t="s">
        <v>511</v>
      </c>
      <c r="R2521" t="s">
        <v>1555</v>
      </c>
      <c r="S2521" t="s">
        <v>1604</v>
      </c>
      <c r="T2521" t="s">
        <v>1557</v>
      </c>
      <c r="U2521">
        <v>191901</v>
      </c>
      <c r="V2521" t="s">
        <v>10262</v>
      </c>
      <c r="W2521" t="s">
        <v>1827</v>
      </c>
      <c r="X2521" t="s">
        <v>11233</v>
      </c>
      <c r="Y2521" t="s">
        <v>14775</v>
      </c>
      <c r="AA2521" t="s">
        <v>11234</v>
      </c>
      <c r="AE2521">
        <v>-37.792827729999999</v>
      </c>
      <c r="AF2521">
        <v>176.31673895</v>
      </c>
      <c r="AG2521" s="175">
        <v>46</v>
      </c>
      <c r="AH2521" s="175">
        <v>15</v>
      </c>
      <c r="AI2521" s="175">
        <v>2</v>
      </c>
      <c r="AJ2521" s="175">
        <v>16</v>
      </c>
      <c r="AK2521" s="175">
        <v>10</v>
      </c>
      <c r="AL2521" s="175">
        <v>19</v>
      </c>
      <c r="AM2521" s="175">
        <v>17</v>
      </c>
      <c r="AN2521" s="175">
        <v>0</v>
      </c>
      <c r="AO2521" s="175">
        <v>64</v>
      </c>
      <c r="AP2521" s="175">
        <v>47</v>
      </c>
      <c r="AQ2521" s="175">
        <v>15</v>
      </c>
      <c r="AR2521" s="175">
        <v>0</v>
      </c>
      <c r="AS2521" s="175">
        <v>14</v>
      </c>
      <c r="AT2521" s="175">
        <v>2</v>
      </c>
    </row>
    <row r="2522" spans="1:46">
      <c r="A2522">
        <v>46850</v>
      </c>
      <c r="B2522" t="s">
        <v>14776</v>
      </c>
      <c r="C2522" t="s">
        <v>14777</v>
      </c>
      <c r="E2522" t="s">
        <v>14778</v>
      </c>
      <c r="F2522" t="s">
        <v>1967</v>
      </c>
      <c r="G2522" t="s">
        <v>1923</v>
      </c>
      <c r="H2522" t="s">
        <v>347</v>
      </c>
      <c r="J2522" t="s">
        <v>605</v>
      </c>
      <c r="K2522" t="s">
        <v>606</v>
      </c>
      <c r="L2522" t="s">
        <v>4273</v>
      </c>
      <c r="M2522" t="s">
        <v>1382</v>
      </c>
      <c r="N2522" t="s">
        <v>608</v>
      </c>
      <c r="O2522" t="s">
        <v>1968</v>
      </c>
      <c r="P2522" t="s">
        <v>670</v>
      </c>
      <c r="Q2522" t="s">
        <v>553</v>
      </c>
      <c r="R2522" t="s">
        <v>1841</v>
      </c>
      <c r="S2522" t="s">
        <v>1923</v>
      </c>
      <c r="T2522" t="s">
        <v>1568</v>
      </c>
      <c r="U2522">
        <v>224000</v>
      </c>
      <c r="V2522" t="s">
        <v>1969</v>
      </c>
      <c r="W2522" t="s">
        <v>1734</v>
      </c>
      <c r="X2522" t="s">
        <v>9133</v>
      </c>
      <c r="Y2522" t="s">
        <v>4276</v>
      </c>
      <c r="Z2522" t="s">
        <v>4277</v>
      </c>
      <c r="AA2522" t="s">
        <v>4278</v>
      </c>
      <c r="AB2522" t="s">
        <v>9134</v>
      </c>
      <c r="AE2522">
        <v>-39.901579949999999</v>
      </c>
      <c r="AF2522">
        <v>175.05768277999999</v>
      </c>
      <c r="AG2522" s="175">
        <v>35</v>
      </c>
      <c r="AH2522" s="175">
        <v>10</v>
      </c>
      <c r="AI2522" s="175">
        <v>1</v>
      </c>
      <c r="AJ2522" s="175">
        <v>1</v>
      </c>
      <c r="AK2522" s="175">
        <v>4</v>
      </c>
      <c r="AL2522" s="175">
        <v>2</v>
      </c>
      <c r="AM2522" s="175">
        <v>5</v>
      </c>
      <c r="AN2522" s="175">
        <v>0</v>
      </c>
      <c r="AO2522" s="175">
        <v>13</v>
      </c>
      <c r="AP2522" s="175">
        <v>0</v>
      </c>
      <c r="AQ2522" s="175">
        <v>13</v>
      </c>
      <c r="AR2522" s="175">
        <v>0</v>
      </c>
      <c r="AS2522" s="175">
        <v>0</v>
      </c>
      <c r="AT2522" s="175">
        <v>0</v>
      </c>
    </row>
    <row r="2523" spans="1:46">
      <c r="A2523">
        <v>46853</v>
      </c>
      <c r="B2523" t="s">
        <v>14779</v>
      </c>
      <c r="C2523" t="s">
        <v>14780</v>
      </c>
      <c r="E2523" t="s">
        <v>14781</v>
      </c>
      <c r="G2523" t="s">
        <v>1923</v>
      </c>
      <c r="H2523" t="s">
        <v>449</v>
      </c>
      <c r="J2523" t="s">
        <v>605</v>
      </c>
      <c r="K2523" t="s">
        <v>606</v>
      </c>
      <c r="M2523" t="s">
        <v>1382</v>
      </c>
      <c r="N2523" t="s">
        <v>643</v>
      </c>
      <c r="O2523" t="s">
        <v>1968</v>
      </c>
      <c r="P2523" t="s">
        <v>670</v>
      </c>
      <c r="Q2523" t="s">
        <v>553</v>
      </c>
      <c r="R2523" t="s">
        <v>1841</v>
      </c>
      <c r="S2523" t="s">
        <v>1923</v>
      </c>
      <c r="T2523" t="s">
        <v>1568</v>
      </c>
      <c r="U2523">
        <v>225000</v>
      </c>
      <c r="V2523" t="s">
        <v>2025</v>
      </c>
      <c r="W2523" t="s">
        <v>1734</v>
      </c>
      <c r="X2523" t="s">
        <v>14782</v>
      </c>
      <c r="Y2523" t="s">
        <v>14783</v>
      </c>
      <c r="AA2523" t="s">
        <v>14572</v>
      </c>
      <c r="AB2523" t="s">
        <v>14784</v>
      </c>
      <c r="AC2523">
        <v>99219</v>
      </c>
      <c r="AD2523" t="s">
        <v>1981</v>
      </c>
      <c r="AE2523">
        <v>-39.928235649999998</v>
      </c>
      <c r="AF2523">
        <v>175.03192056</v>
      </c>
      <c r="AG2523" s="175">
        <v>59</v>
      </c>
      <c r="AH2523" s="175">
        <v>30</v>
      </c>
      <c r="AI2523" s="175">
        <v>1</v>
      </c>
      <c r="AJ2523" s="175">
        <v>9</v>
      </c>
      <c r="AK2523" s="175">
        <v>14</v>
      </c>
      <c r="AL2523" s="175">
        <v>11</v>
      </c>
      <c r="AM2523" s="175">
        <v>17</v>
      </c>
      <c r="AN2523" s="175">
        <v>0</v>
      </c>
      <c r="AO2523" s="175">
        <v>52</v>
      </c>
      <c r="AP2523" s="175">
        <v>36</v>
      </c>
      <c r="AQ2523" s="175">
        <v>17</v>
      </c>
      <c r="AR2523" s="175">
        <v>2</v>
      </c>
      <c r="AS2523" s="175">
        <v>7</v>
      </c>
      <c r="AT2523" s="175">
        <v>2</v>
      </c>
    </row>
    <row r="2524" spans="1:46">
      <c r="A2524">
        <v>46855</v>
      </c>
      <c r="B2524" t="s">
        <v>14785</v>
      </c>
      <c r="C2524" t="s">
        <v>13083</v>
      </c>
      <c r="E2524" t="s">
        <v>14786</v>
      </c>
      <c r="G2524" t="s">
        <v>14787</v>
      </c>
      <c r="H2524" t="s">
        <v>470</v>
      </c>
      <c r="I2524" t="s">
        <v>5017</v>
      </c>
      <c r="J2524" t="s">
        <v>4032</v>
      </c>
      <c r="K2524" t="s">
        <v>606</v>
      </c>
      <c r="M2524" t="s">
        <v>607</v>
      </c>
      <c r="N2524" t="s">
        <v>643</v>
      </c>
      <c r="O2524" t="s">
        <v>609</v>
      </c>
      <c r="P2524" t="s">
        <v>626</v>
      </c>
      <c r="Q2524" t="s">
        <v>509</v>
      </c>
      <c r="R2524" t="s">
        <v>611</v>
      </c>
      <c r="S2524" t="s">
        <v>612</v>
      </c>
      <c r="T2524" t="s">
        <v>613</v>
      </c>
      <c r="U2524">
        <v>101101</v>
      </c>
      <c r="V2524" t="s">
        <v>627</v>
      </c>
      <c r="W2524" t="s">
        <v>615</v>
      </c>
      <c r="X2524" t="s">
        <v>13080</v>
      </c>
      <c r="Y2524" t="s">
        <v>13081</v>
      </c>
      <c r="AA2524" t="s">
        <v>13082</v>
      </c>
      <c r="AB2524" t="s">
        <v>13083</v>
      </c>
      <c r="AC2524">
        <v>99051</v>
      </c>
      <c r="AD2524" t="s">
        <v>628</v>
      </c>
      <c r="AE2524">
        <v>-34.991444379999997</v>
      </c>
      <c r="AF2524">
        <v>173.50254709000001</v>
      </c>
      <c r="AG2524" s="175">
        <v>30</v>
      </c>
      <c r="AH2524" s="175">
        <v>10</v>
      </c>
      <c r="AI2524" s="175">
        <v>0</v>
      </c>
      <c r="AJ2524" s="175">
        <v>3</v>
      </c>
      <c r="AK2524" s="175">
        <v>6</v>
      </c>
      <c r="AL2524" s="175">
        <v>7</v>
      </c>
      <c r="AM2524" s="175">
        <v>8</v>
      </c>
      <c r="AN2524" s="175">
        <v>4</v>
      </c>
      <c r="AO2524" s="175">
        <v>28</v>
      </c>
      <c r="AP2524" s="175">
        <v>8</v>
      </c>
      <c r="AQ2524" s="175">
        <v>27</v>
      </c>
      <c r="AR2524" s="175">
        <v>5</v>
      </c>
      <c r="AS2524" s="175">
        <v>0</v>
      </c>
      <c r="AT2524" s="175">
        <v>0</v>
      </c>
    </row>
    <row r="2525" spans="1:46">
      <c r="A2525">
        <v>46856</v>
      </c>
      <c r="B2525" t="s">
        <v>14788</v>
      </c>
      <c r="C2525" t="s">
        <v>14789</v>
      </c>
      <c r="D2525" t="s">
        <v>14790</v>
      </c>
      <c r="E2525" t="s">
        <v>14791</v>
      </c>
      <c r="G2525" t="s">
        <v>4454</v>
      </c>
      <c r="H2525" t="s">
        <v>449</v>
      </c>
      <c r="I2525" t="s">
        <v>4134</v>
      </c>
      <c r="J2525" t="s">
        <v>4032</v>
      </c>
      <c r="K2525" t="s">
        <v>606</v>
      </c>
      <c r="M2525" t="s">
        <v>607</v>
      </c>
      <c r="N2525" t="s">
        <v>657</v>
      </c>
      <c r="O2525" t="s">
        <v>723</v>
      </c>
      <c r="P2525" t="s">
        <v>610</v>
      </c>
      <c r="Q2525" t="s">
        <v>467</v>
      </c>
      <c r="R2525" t="s">
        <v>724</v>
      </c>
      <c r="S2525" t="s">
        <v>725</v>
      </c>
      <c r="T2525" t="s">
        <v>613</v>
      </c>
      <c r="U2525">
        <v>115002</v>
      </c>
      <c r="V2525" t="s">
        <v>7051</v>
      </c>
      <c r="W2525" t="s">
        <v>726</v>
      </c>
      <c r="X2525" t="s">
        <v>14792</v>
      </c>
      <c r="Y2525" t="s">
        <v>14793</v>
      </c>
      <c r="Z2525" t="s">
        <v>4576</v>
      </c>
      <c r="AA2525" t="s">
        <v>14794</v>
      </c>
      <c r="AB2525" t="s">
        <v>14795</v>
      </c>
      <c r="AE2525">
        <v>-36.777765459999998</v>
      </c>
      <c r="AF2525">
        <v>174.5555425</v>
      </c>
      <c r="AG2525" s="175">
        <v>60</v>
      </c>
      <c r="AH2525" s="175">
        <v>8</v>
      </c>
      <c r="AI2525" s="175">
        <v>0</v>
      </c>
      <c r="AJ2525" s="175">
        <v>9</v>
      </c>
      <c r="AK2525" s="175">
        <v>21</v>
      </c>
      <c r="AL2525" s="175">
        <v>9</v>
      </c>
      <c r="AM2525" s="175">
        <v>16</v>
      </c>
      <c r="AN2525" s="175">
        <v>5</v>
      </c>
      <c r="AO2525" s="175">
        <v>60</v>
      </c>
      <c r="AP2525" s="175">
        <v>47</v>
      </c>
      <c r="AQ2525" s="175">
        <v>15</v>
      </c>
      <c r="AR2525" s="175">
        <v>3</v>
      </c>
      <c r="AS2525" s="175">
        <v>18</v>
      </c>
      <c r="AT2525" s="175">
        <v>5</v>
      </c>
    </row>
    <row r="2526" spans="1:46">
      <c r="A2526">
        <v>46861</v>
      </c>
      <c r="B2526" t="s">
        <v>14796</v>
      </c>
      <c r="C2526" t="s">
        <v>14797</v>
      </c>
      <c r="E2526" t="s">
        <v>14798</v>
      </c>
      <c r="F2526" t="s">
        <v>4926</v>
      </c>
      <c r="G2526" t="s">
        <v>737</v>
      </c>
      <c r="H2526" t="s">
        <v>450</v>
      </c>
      <c r="J2526" t="s">
        <v>4032</v>
      </c>
      <c r="K2526" t="s">
        <v>606</v>
      </c>
      <c r="M2526" t="s">
        <v>607</v>
      </c>
      <c r="N2526" t="s">
        <v>657</v>
      </c>
      <c r="O2526" t="s">
        <v>833</v>
      </c>
      <c r="P2526" t="s">
        <v>739</v>
      </c>
      <c r="Q2526" t="s">
        <v>467</v>
      </c>
      <c r="R2526" t="s">
        <v>724</v>
      </c>
      <c r="S2526" t="s">
        <v>767</v>
      </c>
      <c r="T2526" t="s">
        <v>613</v>
      </c>
      <c r="U2526">
        <v>121300</v>
      </c>
      <c r="V2526" t="s">
        <v>870</v>
      </c>
      <c r="W2526" t="s">
        <v>826</v>
      </c>
      <c r="X2526" t="s">
        <v>14799</v>
      </c>
      <c r="Y2526" t="s">
        <v>14798</v>
      </c>
      <c r="AA2526" t="s">
        <v>4168</v>
      </c>
      <c r="AE2526">
        <v>-36.74741023</v>
      </c>
      <c r="AF2526">
        <v>174.73811092</v>
      </c>
      <c r="AG2526" s="175">
        <v>80</v>
      </c>
      <c r="AH2526" s="175">
        <v>80</v>
      </c>
      <c r="AI2526" s="175">
        <v>0</v>
      </c>
      <c r="AJ2526" s="175">
        <v>9</v>
      </c>
      <c r="AK2526" s="175">
        <v>16</v>
      </c>
      <c r="AL2526" s="175">
        <v>20</v>
      </c>
      <c r="AM2526" s="175">
        <v>5</v>
      </c>
      <c r="AN2526" s="175">
        <v>1</v>
      </c>
      <c r="AO2526" s="175">
        <v>51</v>
      </c>
      <c r="AP2526" s="175">
        <v>49</v>
      </c>
      <c r="AQ2526" s="175">
        <v>1</v>
      </c>
      <c r="AR2526" s="175">
        <v>0</v>
      </c>
      <c r="AS2526" s="175">
        <v>5</v>
      </c>
      <c r="AT2526" s="175">
        <v>3</v>
      </c>
    </row>
    <row r="2527" spans="1:46">
      <c r="A2527">
        <v>46862</v>
      </c>
      <c r="B2527" t="s">
        <v>14800</v>
      </c>
      <c r="C2527" t="s">
        <v>4017</v>
      </c>
      <c r="D2527" t="s">
        <v>14801</v>
      </c>
      <c r="E2527" t="s">
        <v>14802</v>
      </c>
      <c r="F2527" t="s">
        <v>1157</v>
      </c>
      <c r="G2527" t="s">
        <v>737</v>
      </c>
      <c r="H2527" t="s">
        <v>449</v>
      </c>
      <c r="J2527" t="s">
        <v>605</v>
      </c>
      <c r="K2527" t="s">
        <v>606</v>
      </c>
      <c r="M2527" t="s">
        <v>607</v>
      </c>
      <c r="N2527" t="s">
        <v>608</v>
      </c>
      <c r="O2527" t="s">
        <v>914</v>
      </c>
      <c r="P2527" t="s">
        <v>739</v>
      </c>
      <c r="Q2527" t="s">
        <v>467</v>
      </c>
      <c r="R2527" t="s">
        <v>814</v>
      </c>
      <c r="S2527" t="s">
        <v>815</v>
      </c>
      <c r="T2527" t="s">
        <v>794</v>
      </c>
      <c r="U2527">
        <v>149100</v>
      </c>
      <c r="V2527" t="s">
        <v>14803</v>
      </c>
      <c r="W2527" t="s">
        <v>892</v>
      </c>
      <c r="X2527" t="s">
        <v>4013</v>
      </c>
      <c r="Y2527" t="s">
        <v>4014</v>
      </c>
      <c r="Z2527" t="s">
        <v>4015</v>
      </c>
      <c r="AA2527" t="s">
        <v>4016</v>
      </c>
      <c r="AB2527" t="s">
        <v>4017</v>
      </c>
      <c r="AC2527">
        <v>99151</v>
      </c>
      <c r="AD2527" t="s">
        <v>1159</v>
      </c>
      <c r="AE2527">
        <v>-36.93527959</v>
      </c>
      <c r="AF2527">
        <v>174.84095644999999</v>
      </c>
      <c r="AG2527" s="175">
        <v>80</v>
      </c>
      <c r="AH2527" s="175">
        <v>0</v>
      </c>
      <c r="AI2527" s="175">
        <v>0</v>
      </c>
      <c r="AJ2527" s="175">
        <v>0</v>
      </c>
      <c r="AK2527" s="175">
        <v>11</v>
      </c>
      <c r="AL2527" s="175">
        <v>30</v>
      </c>
      <c r="AM2527" s="175">
        <v>33</v>
      </c>
      <c r="AN2527" s="175">
        <v>1</v>
      </c>
      <c r="AO2527" s="175">
        <v>75</v>
      </c>
      <c r="AP2527" s="175">
        <v>13</v>
      </c>
      <c r="AQ2527" s="175">
        <v>13</v>
      </c>
      <c r="AR2527" s="175">
        <v>44</v>
      </c>
      <c r="AS2527" s="175">
        <v>26</v>
      </c>
      <c r="AT2527" s="175">
        <v>5</v>
      </c>
    </row>
    <row r="2528" spans="1:46">
      <c r="A2528">
        <v>46865</v>
      </c>
      <c r="B2528" t="s">
        <v>14804</v>
      </c>
      <c r="C2528" t="s">
        <v>14805</v>
      </c>
      <c r="D2528" t="s">
        <v>14806</v>
      </c>
      <c r="E2528" t="s">
        <v>14807</v>
      </c>
      <c r="G2528" t="s">
        <v>2295</v>
      </c>
      <c r="H2528" t="s">
        <v>449</v>
      </c>
      <c r="J2528" t="s">
        <v>4032</v>
      </c>
      <c r="K2528" t="s">
        <v>606</v>
      </c>
      <c r="M2528" t="s">
        <v>1382</v>
      </c>
      <c r="N2528" t="s">
        <v>657</v>
      </c>
      <c r="O2528" t="s">
        <v>2277</v>
      </c>
      <c r="P2528" t="s">
        <v>1347</v>
      </c>
      <c r="Q2528" t="s">
        <v>513</v>
      </c>
      <c r="R2528" t="s">
        <v>2164</v>
      </c>
      <c r="S2528" t="s">
        <v>2278</v>
      </c>
      <c r="T2528" t="s">
        <v>2165</v>
      </c>
      <c r="U2528">
        <v>211500</v>
      </c>
      <c r="V2528" t="s">
        <v>2296</v>
      </c>
      <c r="W2528" t="s">
        <v>2279</v>
      </c>
      <c r="X2528" t="s">
        <v>14808</v>
      </c>
      <c r="Y2528" t="s">
        <v>14809</v>
      </c>
      <c r="AA2528" t="s">
        <v>14810</v>
      </c>
      <c r="AB2528" t="s">
        <v>14811</v>
      </c>
      <c r="AC2528">
        <v>99022</v>
      </c>
      <c r="AD2528" t="s">
        <v>2297</v>
      </c>
      <c r="AE2528">
        <v>-39.663546689999997</v>
      </c>
      <c r="AF2528">
        <v>176.88300340999999</v>
      </c>
      <c r="AG2528" s="175">
        <v>110</v>
      </c>
      <c r="AH2528" s="175">
        <v>50</v>
      </c>
      <c r="AI2528" s="175">
        <v>3</v>
      </c>
      <c r="AJ2528" s="175">
        <v>12</v>
      </c>
      <c r="AK2528" s="175">
        <v>25</v>
      </c>
      <c r="AL2528" s="175">
        <v>26</v>
      </c>
      <c r="AM2528" s="175">
        <v>20</v>
      </c>
      <c r="AN2528" s="175">
        <v>0</v>
      </c>
      <c r="AO2528" s="175">
        <v>86</v>
      </c>
      <c r="AP2528" s="175">
        <v>73</v>
      </c>
      <c r="AQ2528" s="175">
        <v>16</v>
      </c>
      <c r="AR2528" s="175">
        <v>1</v>
      </c>
      <c r="AS2528" s="175">
        <v>9</v>
      </c>
      <c r="AT2528" s="175">
        <v>4</v>
      </c>
    </row>
    <row r="2529" spans="1:46">
      <c r="A2529">
        <v>46869</v>
      </c>
      <c r="B2529" t="s">
        <v>14812</v>
      </c>
      <c r="C2529" t="s">
        <v>14813</v>
      </c>
      <c r="D2529" t="s">
        <v>14814</v>
      </c>
      <c r="E2529" t="s">
        <v>14815</v>
      </c>
      <c r="G2529" t="s">
        <v>737</v>
      </c>
      <c r="H2529" t="s">
        <v>449</v>
      </c>
      <c r="J2529" t="s">
        <v>4032</v>
      </c>
      <c r="K2529" t="s">
        <v>606</v>
      </c>
      <c r="M2529" t="s">
        <v>607</v>
      </c>
      <c r="N2529" t="s">
        <v>657</v>
      </c>
      <c r="O2529" t="s">
        <v>792</v>
      </c>
      <c r="P2529" t="s">
        <v>739</v>
      </c>
      <c r="Q2529" t="s">
        <v>467</v>
      </c>
      <c r="R2529" t="s">
        <v>793</v>
      </c>
      <c r="S2529" t="s">
        <v>1302</v>
      </c>
      <c r="T2529" t="s">
        <v>794</v>
      </c>
      <c r="U2529">
        <v>158900</v>
      </c>
      <c r="V2529" t="s">
        <v>14816</v>
      </c>
      <c r="W2529" t="s">
        <v>796</v>
      </c>
      <c r="X2529" t="s">
        <v>14817</v>
      </c>
      <c r="Y2529" t="s">
        <v>14818</v>
      </c>
      <c r="Z2529" t="s">
        <v>5170</v>
      </c>
      <c r="AA2529" t="s">
        <v>5066</v>
      </c>
      <c r="AB2529" t="s">
        <v>13873</v>
      </c>
      <c r="AE2529">
        <v>-36.969275500000002</v>
      </c>
      <c r="AF2529">
        <v>174.93745709999999</v>
      </c>
      <c r="AG2529" s="175">
        <v>55</v>
      </c>
      <c r="AH2529" s="175">
        <v>5</v>
      </c>
      <c r="AI2529" s="175">
        <v>0</v>
      </c>
      <c r="AJ2529" s="175">
        <v>4</v>
      </c>
      <c r="AK2529" s="175">
        <v>11</v>
      </c>
      <c r="AL2529" s="175">
        <v>20</v>
      </c>
      <c r="AM2529" s="175">
        <v>22</v>
      </c>
      <c r="AN2529" s="175">
        <v>0</v>
      </c>
      <c r="AO2529" s="175">
        <v>57</v>
      </c>
      <c r="AP2529" s="175">
        <v>7</v>
      </c>
      <c r="AQ2529" s="175">
        <v>5</v>
      </c>
      <c r="AR2529" s="175">
        <v>4</v>
      </c>
      <c r="AS2529" s="175">
        <v>52</v>
      </c>
      <c r="AT2529" s="175">
        <v>5</v>
      </c>
    </row>
    <row r="2530" spans="1:46">
      <c r="A2530">
        <v>46875</v>
      </c>
      <c r="B2530" t="s">
        <v>14819</v>
      </c>
      <c r="D2530" t="s">
        <v>14820</v>
      </c>
      <c r="E2530" t="s">
        <v>14821</v>
      </c>
      <c r="G2530" t="s">
        <v>604</v>
      </c>
      <c r="H2530" t="s">
        <v>450</v>
      </c>
      <c r="I2530" t="s">
        <v>5017</v>
      </c>
      <c r="J2530" t="s">
        <v>4032</v>
      </c>
      <c r="K2530" t="s">
        <v>606</v>
      </c>
      <c r="M2530" t="s">
        <v>607</v>
      </c>
      <c r="N2530" t="s">
        <v>608</v>
      </c>
      <c r="O2530" t="s">
        <v>609</v>
      </c>
      <c r="P2530" t="s">
        <v>610</v>
      </c>
      <c r="Q2530" t="s">
        <v>509</v>
      </c>
      <c r="R2530" t="s">
        <v>611</v>
      </c>
      <c r="S2530" t="s">
        <v>612</v>
      </c>
      <c r="T2530" t="s">
        <v>613</v>
      </c>
      <c r="U2530">
        <v>100700</v>
      </c>
      <c r="V2530" t="s">
        <v>632</v>
      </c>
      <c r="W2530" t="s">
        <v>615</v>
      </c>
      <c r="X2530" t="s">
        <v>14822</v>
      </c>
      <c r="Y2530" t="s">
        <v>14821</v>
      </c>
      <c r="AA2530" t="s">
        <v>5449</v>
      </c>
      <c r="AE2530">
        <v>-35.112080689999999</v>
      </c>
      <c r="AF2530">
        <v>173.26144149999999</v>
      </c>
      <c r="AG2530" s="175">
        <v>80</v>
      </c>
      <c r="AH2530" s="175">
        <v>60</v>
      </c>
      <c r="AI2530" s="175">
        <v>1</v>
      </c>
      <c r="AJ2530" s="175">
        <v>7</v>
      </c>
      <c r="AK2530" s="175">
        <v>4</v>
      </c>
      <c r="AL2530" s="175">
        <v>9</v>
      </c>
      <c r="AM2530" s="175">
        <v>5</v>
      </c>
      <c r="AN2530" s="175">
        <v>1</v>
      </c>
      <c r="AO2530" s="175">
        <v>27</v>
      </c>
      <c r="AP2530" s="175">
        <v>3</v>
      </c>
      <c r="AQ2530" s="175">
        <v>26</v>
      </c>
      <c r="AR2530" s="175">
        <v>9</v>
      </c>
      <c r="AS2530" s="175">
        <v>0</v>
      </c>
      <c r="AT2530" s="175">
        <v>0</v>
      </c>
    </row>
    <row r="2531" spans="1:46">
      <c r="A2531">
        <v>46877</v>
      </c>
      <c r="B2531" t="s">
        <v>14823</v>
      </c>
      <c r="C2531" t="s">
        <v>14824</v>
      </c>
      <c r="E2531" t="s">
        <v>14825</v>
      </c>
      <c r="G2531" t="s">
        <v>604</v>
      </c>
      <c r="H2531" t="s">
        <v>450</v>
      </c>
      <c r="J2531" t="s">
        <v>605</v>
      </c>
      <c r="K2531" t="s">
        <v>606</v>
      </c>
      <c r="M2531" t="s">
        <v>607</v>
      </c>
      <c r="N2531" t="s">
        <v>608</v>
      </c>
      <c r="O2531" t="s">
        <v>609</v>
      </c>
      <c r="P2531" t="s">
        <v>658</v>
      </c>
      <c r="Q2531" t="s">
        <v>509</v>
      </c>
      <c r="R2531" t="s">
        <v>611</v>
      </c>
      <c r="S2531" t="s">
        <v>612</v>
      </c>
      <c r="T2531" t="s">
        <v>613</v>
      </c>
      <c r="U2531">
        <v>100200</v>
      </c>
      <c r="V2531" t="s">
        <v>4210</v>
      </c>
      <c r="W2531" t="s">
        <v>615</v>
      </c>
      <c r="X2531" t="s">
        <v>14826</v>
      </c>
      <c r="Y2531" t="s">
        <v>14827</v>
      </c>
      <c r="AA2531" t="s">
        <v>13082</v>
      </c>
      <c r="AB2531" t="s">
        <v>14824</v>
      </c>
      <c r="AE2531">
        <v>-35.014352539999997</v>
      </c>
      <c r="AF2531">
        <v>173.27264299000001</v>
      </c>
      <c r="AG2531" s="175">
        <v>80</v>
      </c>
      <c r="AH2531" s="175">
        <v>35</v>
      </c>
      <c r="AI2531" s="175">
        <v>0</v>
      </c>
      <c r="AJ2531" s="175">
        <v>9</v>
      </c>
      <c r="AK2531" s="175">
        <v>5</v>
      </c>
      <c r="AL2531" s="175">
        <v>13</v>
      </c>
      <c r="AM2531" s="175">
        <v>6</v>
      </c>
      <c r="AN2531" s="175">
        <v>0</v>
      </c>
      <c r="AO2531" s="175">
        <v>33</v>
      </c>
      <c r="AP2531" s="175">
        <v>25</v>
      </c>
      <c r="AQ2531" s="175">
        <v>15</v>
      </c>
      <c r="AR2531" s="175">
        <v>1</v>
      </c>
      <c r="AS2531" s="175">
        <v>2</v>
      </c>
      <c r="AT2531" s="175">
        <v>0</v>
      </c>
    </row>
    <row r="2532" spans="1:46">
      <c r="A2532">
        <v>46878</v>
      </c>
      <c r="B2532" t="s">
        <v>14828</v>
      </c>
      <c r="C2532" t="s">
        <v>14829</v>
      </c>
      <c r="D2532" t="s">
        <v>14830</v>
      </c>
      <c r="E2532" t="s">
        <v>14831</v>
      </c>
      <c r="F2532" t="s">
        <v>1030</v>
      </c>
      <c r="G2532" t="s">
        <v>737</v>
      </c>
      <c r="H2532" t="s">
        <v>450</v>
      </c>
      <c r="J2532" t="s">
        <v>4032</v>
      </c>
      <c r="K2532" t="s">
        <v>606</v>
      </c>
      <c r="M2532" t="s">
        <v>607</v>
      </c>
      <c r="N2532" t="s">
        <v>608</v>
      </c>
      <c r="O2532" t="s">
        <v>933</v>
      </c>
      <c r="P2532" t="s">
        <v>739</v>
      </c>
      <c r="Q2532" t="s">
        <v>467</v>
      </c>
      <c r="R2532" t="s">
        <v>793</v>
      </c>
      <c r="S2532" t="s">
        <v>934</v>
      </c>
      <c r="T2532" t="s">
        <v>794</v>
      </c>
      <c r="U2532">
        <v>152101</v>
      </c>
      <c r="V2532" t="s">
        <v>7373</v>
      </c>
      <c r="W2532" t="s">
        <v>817</v>
      </c>
      <c r="X2532" t="s">
        <v>14832</v>
      </c>
      <c r="Y2532" t="s">
        <v>14833</v>
      </c>
      <c r="Z2532" t="s">
        <v>1030</v>
      </c>
      <c r="AA2532" t="s">
        <v>4679</v>
      </c>
      <c r="AB2532" t="s">
        <v>14834</v>
      </c>
      <c r="AE2532">
        <v>-36.957927640000001</v>
      </c>
      <c r="AF2532">
        <v>174.83554599000001</v>
      </c>
      <c r="AG2532" s="175">
        <v>60</v>
      </c>
      <c r="AH2532" s="175">
        <v>60</v>
      </c>
      <c r="AI2532" s="175">
        <v>4</v>
      </c>
      <c r="AJ2532" s="175">
        <v>12</v>
      </c>
      <c r="AK2532" s="175">
        <v>13</v>
      </c>
      <c r="AL2532" s="175">
        <v>12</v>
      </c>
      <c r="AM2532" s="175">
        <v>11</v>
      </c>
      <c r="AN2532" s="175">
        <v>1</v>
      </c>
      <c r="AO2532" s="175">
        <v>53</v>
      </c>
      <c r="AP2532" s="175">
        <v>4</v>
      </c>
      <c r="AQ2532" s="175">
        <v>17</v>
      </c>
      <c r="AR2532" s="175">
        <v>46</v>
      </c>
      <c r="AS2532" s="175">
        <v>3</v>
      </c>
      <c r="AT2532" s="175">
        <v>1</v>
      </c>
    </row>
    <row r="2533" spans="1:46">
      <c r="A2533">
        <v>46879</v>
      </c>
      <c r="B2533" t="s">
        <v>14835</v>
      </c>
      <c r="C2533" t="s">
        <v>14836</v>
      </c>
      <c r="E2533" t="s">
        <v>14837</v>
      </c>
      <c r="F2533" t="s">
        <v>4508</v>
      </c>
      <c r="G2533" t="s">
        <v>737</v>
      </c>
      <c r="H2533" t="s">
        <v>449</v>
      </c>
      <c r="J2533" t="s">
        <v>4032</v>
      </c>
      <c r="K2533" t="s">
        <v>606</v>
      </c>
      <c r="M2533" t="s">
        <v>607</v>
      </c>
      <c r="N2533" t="s">
        <v>643</v>
      </c>
      <c r="O2533" t="s">
        <v>914</v>
      </c>
      <c r="P2533" t="s">
        <v>739</v>
      </c>
      <c r="Q2533" t="s">
        <v>467</v>
      </c>
      <c r="R2533" t="s">
        <v>793</v>
      </c>
      <c r="S2533" t="s">
        <v>815</v>
      </c>
      <c r="T2533" t="s">
        <v>794</v>
      </c>
      <c r="U2533">
        <v>147100</v>
      </c>
      <c r="V2533" t="s">
        <v>4509</v>
      </c>
      <c r="W2533" t="s">
        <v>892</v>
      </c>
      <c r="X2533" t="s">
        <v>14838</v>
      </c>
      <c r="Y2533" t="s">
        <v>14837</v>
      </c>
      <c r="Z2533" t="s">
        <v>4508</v>
      </c>
      <c r="AA2533" t="s">
        <v>4604</v>
      </c>
      <c r="AB2533" t="s">
        <v>14839</v>
      </c>
      <c r="AE2533">
        <v>-36.901182679999998</v>
      </c>
      <c r="AF2533">
        <v>174.85846529</v>
      </c>
      <c r="AG2533" s="175">
        <v>70</v>
      </c>
      <c r="AH2533" s="175">
        <v>15</v>
      </c>
      <c r="AI2533" s="175">
        <v>3</v>
      </c>
      <c r="AJ2533" s="175">
        <v>11</v>
      </c>
      <c r="AK2533" s="175">
        <v>15</v>
      </c>
      <c r="AL2533" s="175">
        <v>16</v>
      </c>
      <c r="AM2533" s="175">
        <v>16</v>
      </c>
      <c r="AN2533" s="175">
        <v>0</v>
      </c>
      <c r="AO2533" s="175">
        <v>61</v>
      </c>
      <c r="AP2533" s="175">
        <v>27</v>
      </c>
      <c r="AQ2533" s="175">
        <v>19</v>
      </c>
      <c r="AR2533" s="175">
        <v>16</v>
      </c>
      <c r="AS2533" s="175">
        <v>27</v>
      </c>
      <c r="AT2533" s="175">
        <v>5</v>
      </c>
    </row>
    <row r="2534" spans="1:46">
      <c r="A2534">
        <v>46882</v>
      </c>
      <c r="B2534" t="s">
        <v>14840</v>
      </c>
      <c r="C2534" t="s">
        <v>14841</v>
      </c>
      <c r="D2534" t="s">
        <v>14842</v>
      </c>
      <c r="E2534" t="s">
        <v>14843</v>
      </c>
      <c r="F2534" t="s">
        <v>8851</v>
      </c>
      <c r="G2534" t="s">
        <v>2276</v>
      </c>
      <c r="H2534" t="s">
        <v>449</v>
      </c>
      <c r="J2534" t="s">
        <v>4032</v>
      </c>
      <c r="K2534" t="s">
        <v>606</v>
      </c>
      <c r="M2534" t="s">
        <v>1382</v>
      </c>
      <c r="N2534" t="s">
        <v>657</v>
      </c>
      <c r="O2534" t="s">
        <v>2277</v>
      </c>
      <c r="P2534" t="s">
        <v>670</v>
      </c>
      <c r="Q2534" t="s">
        <v>513</v>
      </c>
      <c r="R2534" t="s">
        <v>2164</v>
      </c>
      <c r="S2534" t="s">
        <v>2278</v>
      </c>
      <c r="T2534" t="s">
        <v>2165</v>
      </c>
      <c r="U2534">
        <v>209700</v>
      </c>
      <c r="V2534" t="s">
        <v>8852</v>
      </c>
      <c r="W2534" t="s">
        <v>2279</v>
      </c>
      <c r="X2534" t="s">
        <v>14844</v>
      </c>
      <c r="Y2534" t="s">
        <v>4176</v>
      </c>
      <c r="AA2534" t="s">
        <v>4052</v>
      </c>
      <c r="AB2534" t="s">
        <v>14841</v>
      </c>
      <c r="AE2534">
        <v>-39.6335871</v>
      </c>
      <c r="AF2534">
        <v>176.82953950000001</v>
      </c>
      <c r="AG2534" s="175">
        <v>108</v>
      </c>
      <c r="AH2534" s="175">
        <v>40</v>
      </c>
      <c r="AI2534" s="175">
        <v>4</v>
      </c>
      <c r="AJ2534" s="175">
        <v>16</v>
      </c>
      <c r="AK2534" s="175">
        <v>16</v>
      </c>
      <c r="AL2534" s="175">
        <v>24</v>
      </c>
      <c r="AM2534" s="175">
        <v>32</v>
      </c>
      <c r="AN2534" s="175">
        <v>1</v>
      </c>
      <c r="AO2534" s="175">
        <v>93</v>
      </c>
      <c r="AP2534" s="175">
        <v>50</v>
      </c>
      <c r="AQ2534" s="175">
        <v>16</v>
      </c>
      <c r="AR2534" s="175">
        <v>7</v>
      </c>
      <c r="AS2534" s="175">
        <v>44</v>
      </c>
      <c r="AT2534" s="175">
        <v>2</v>
      </c>
    </row>
    <row r="2535" spans="1:46">
      <c r="A2535">
        <v>46883</v>
      </c>
      <c r="B2535" t="s">
        <v>14845</v>
      </c>
      <c r="D2535" t="s">
        <v>14846</v>
      </c>
      <c r="E2535" t="s">
        <v>14847</v>
      </c>
      <c r="F2535" t="s">
        <v>932</v>
      </c>
      <c r="G2535" t="s">
        <v>737</v>
      </c>
      <c r="H2535" t="s">
        <v>450</v>
      </c>
      <c r="J2535" t="s">
        <v>4032</v>
      </c>
      <c r="K2535" t="s">
        <v>606</v>
      </c>
      <c r="M2535" t="s">
        <v>607</v>
      </c>
      <c r="N2535" t="s">
        <v>608</v>
      </c>
      <c r="O2535" t="s">
        <v>933</v>
      </c>
      <c r="P2535" t="s">
        <v>739</v>
      </c>
      <c r="Q2535" t="s">
        <v>467</v>
      </c>
      <c r="R2535" t="s">
        <v>814</v>
      </c>
      <c r="S2535" t="s">
        <v>934</v>
      </c>
      <c r="T2535" t="s">
        <v>794</v>
      </c>
      <c r="U2535">
        <v>148901</v>
      </c>
      <c r="V2535" t="s">
        <v>1015</v>
      </c>
      <c r="W2535" t="s">
        <v>817</v>
      </c>
      <c r="X2535" t="s">
        <v>14848</v>
      </c>
      <c r="Y2535" t="s">
        <v>14111</v>
      </c>
      <c r="Z2535" t="s">
        <v>1157</v>
      </c>
      <c r="AA2535" t="s">
        <v>4952</v>
      </c>
      <c r="AE2535">
        <v>-36.964774200000001</v>
      </c>
      <c r="AF2535">
        <v>174.79081170000001</v>
      </c>
      <c r="AG2535" s="175">
        <v>35</v>
      </c>
      <c r="AH2535" s="175">
        <v>35</v>
      </c>
      <c r="AI2535" s="175">
        <v>4</v>
      </c>
      <c r="AJ2535" s="175">
        <v>5</v>
      </c>
      <c r="AK2535" s="175">
        <v>7</v>
      </c>
      <c r="AL2535" s="175">
        <v>2</v>
      </c>
      <c r="AM2535" s="175">
        <v>8</v>
      </c>
      <c r="AN2535" s="175">
        <v>1</v>
      </c>
      <c r="AO2535" s="175">
        <v>27</v>
      </c>
      <c r="AP2535" s="175">
        <v>0</v>
      </c>
      <c r="AQ2535" s="175">
        <v>2</v>
      </c>
      <c r="AR2535" s="175">
        <v>27</v>
      </c>
      <c r="AS2535" s="175">
        <v>0</v>
      </c>
      <c r="AT2535" s="175">
        <v>0</v>
      </c>
    </row>
    <row r="2536" spans="1:46">
      <c r="A2536">
        <v>46886</v>
      </c>
      <c r="B2536" t="s">
        <v>10430</v>
      </c>
      <c r="D2536" t="s">
        <v>14849</v>
      </c>
      <c r="E2536" t="s">
        <v>14850</v>
      </c>
      <c r="G2536" t="s">
        <v>604</v>
      </c>
      <c r="H2536" t="s">
        <v>450</v>
      </c>
      <c r="J2536" t="s">
        <v>4032</v>
      </c>
      <c r="K2536" t="s">
        <v>606</v>
      </c>
      <c r="M2536" t="s">
        <v>607</v>
      </c>
      <c r="N2536" t="s">
        <v>608</v>
      </c>
      <c r="O2536" t="s">
        <v>609</v>
      </c>
      <c r="P2536" t="s">
        <v>658</v>
      </c>
      <c r="Q2536" t="s">
        <v>509</v>
      </c>
      <c r="R2536" t="s">
        <v>611</v>
      </c>
      <c r="S2536" t="s">
        <v>612</v>
      </c>
      <c r="T2536" t="s">
        <v>613</v>
      </c>
      <c r="U2536">
        <v>100500</v>
      </c>
      <c r="V2536" t="s">
        <v>5512</v>
      </c>
      <c r="W2536" t="s">
        <v>615</v>
      </c>
      <c r="X2536" t="s">
        <v>14851</v>
      </c>
      <c r="Y2536" t="s">
        <v>14852</v>
      </c>
      <c r="Z2536" t="s">
        <v>1060</v>
      </c>
      <c r="AA2536" t="s">
        <v>13704</v>
      </c>
      <c r="AE2536">
        <v>-35.084757170000003</v>
      </c>
      <c r="AF2536">
        <v>173.24325586</v>
      </c>
      <c r="AG2536" s="175">
        <v>50</v>
      </c>
      <c r="AH2536" s="175">
        <v>50</v>
      </c>
      <c r="AI2536" s="175">
        <v>2</v>
      </c>
      <c r="AJ2536" s="175">
        <v>6</v>
      </c>
      <c r="AK2536" s="175">
        <v>6</v>
      </c>
      <c r="AL2536" s="175">
        <v>6</v>
      </c>
      <c r="AM2536" s="175">
        <v>3</v>
      </c>
      <c r="AN2536" s="175">
        <v>1</v>
      </c>
      <c r="AO2536" s="175">
        <v>24</v>
      </c>
      <c r="AP2536" s="175">
        <v>12</v>
      </c>
      <c r="AQ2536" s="175">
        <v>22</v>
      </c>
      <c r="AR2536" s="175">
        <v>4</v>
      </c>
      <c r="AS2536" s="175">
        <v>1</v>
      </c>
      <c r="AT2536" s="175">
        <v>2</v>
      </c>
    </row>
    <row r="2537" spans="1:46">
      <c r="A2537">
        <v>46887</v>
      </c>
      <c r="B2537" t="s">
        <v>14853</v>
      </c>
      <c r="C2537" t="s">
        <v>14854</v>
      </c>
      <c r="D2537" t="s">
        <v>14855</v>
      </c>
      <c r="E2537" t="s">
        <v>14856</v>
      </c>
      <c r="F2537" t="s">
        <v>5084</v>
      </c>
      <c r="G2537" t="s">
        <v>737</v>
      </c>
      <c r="H2537" t="s">
        <v>449</v>
      </c>
      <c r="J2537" t="s">
        <v>605</v>
      </c>
      <c r="K2537" t="s">
        <v>606</v>
      </c>
      <c r="M2537" t="s">
        <v>607</v>
      </c>
      <c r="N2537" t="s">
        <v>657</v>
      </c>
      <c r="O2537" t="s">
        <v>1353</v>
      </c>
      <c r="P2537" t="s">
        <v>739</v>
      </c>
      <c r="Q2537" t="s">
        <v>467</v>
      </c>
      <c r="R2537" t="s">
        <v>814</v>
      </c>
      <c r="S2537" t="s">
        <v>1319</v>
      </c>
      <c r="T2537" t="s">
        <v>1320</v>
      </c>
      <c r="U2537">
        <v>162500</v>
      </c>
      <c r="V2537" t="s">
        <v>5085</v>
      </c>
      <c r="W2537" t="s">
        <v>1304</v>
      </c>
      <c r="X2537" t="s">
        <v>4013</v>
      </c>
      <c r="Y2537" t="s">
        <v>4014</v>
      </c>
      <c r="Z2537" t="s">
        <v>4015</v>
      </c>
      <c r="AA2537" t="s">
        <v>4016</v>
      </c>
      <c r="AB2537" t="s">
        <v>4017</v>
      </c>
      <c r="AE2537">
        <v>-37.074325119999997</v>
      </c>
      <c r="AF2537">
        <v>174.92317130000001</v>
      </c>
      <c r="AG2537" s="175">
        <v>110</v>
      </c>
      <c r="AH2537" s="175">
        <v>25</v>
      </c>
      <c r="AI2537" s="175">
        <v>0</v>
      </c>
      <c r="AJ2537" s="175">
        <v>28</v>
      </c>
      <c r="AK2537" s="175">
        <v>22</v>
      </c>
      <c r="AL2537" s="175">
        <v>35</v>
      </c>
      <c r="AM2537" s="175">
        <v>27</v>
      </c>
      <c r="AN2537" s="175">
        <v>1</v>
      </c>
      <c r="AO2537" s="175">
        <v>113</v>
      </c>
      <c r="AP2537" s="175">
        <v>48</v>
      </c>
      <c r="AQ2537" s="175">
        <v>8</v>
      </c>
      <c r="AR2537" s="175">
        <v>10</v>
      </c>
      <c r="AS2537" s="175">
        <v>57</v>
      </c>
      <c r="AT2537" s="175">
        <v>5</v>
      </c>
    </row>
    <row r="2538" spans="1:46">
      <c r="A2538">
        <v>46889</v>
      </c>
      <c r="B2538" t="s">
        <v>14857</v>
      </c>
      <c r="C2538" t="s">
        <v>14858</v>
      </c>
      <c r="D2538" t="s">
        <v>14859</v>
      </c>
      <c r="E2538" t="s">
        <v>14860</v>
      </c>
      <c r="F2538" t="s">
        <v>8574</v>
      </c>
      <c r="G2538" t="s">
        <v>1381</v>
      </c>
      <c r="H2538" t="s">
        <v>449</v>
      </c>
      <c r="J2538" t="s">
        <v>4032</v>
      </c>
      <c r="K2538" t="s">
        <v>606</v>
      </c>
      <c r="M2538" t="s">
        <v>1382</v>
      </c>
      <c r="N2538" t="s">
        <v>657</v>
      </c>
      <c r="O2538" t="s">
        <v>1383</v>
      </c>
      <c r="P2538" t="s">
        <v>739</v>
      </c>
      <c r="Q2538" t="s">
        <v>510</v>
      </c>
      <c r="R2538" t="s">
        <v>1384</v>
      </c>
      <c r="S2538" t="s">
        <v>1396</v>
      </c>
      <c r="T2538" t="s">
        <v>1320</v>
      </c>
      <c r="U2538">
        <v>176700</v>
      </c>
      <c r="V2538" t="s">
        <v>10899</v>
      </c>
      <c r="W2538" t="s">
        <v>1398</v>
      </c>
      <c r="X2538" t="s">
        <v>14861</v>
      </c>
      <c r="Y2538" t="s">
        <v>14860</v>
      </c>
      <c r="Z2538" t="s">
        <v>11227</v>
      </c>
      <c r="AA2538" t="s">
        <v>8575</v>
      </c>
      <c r="AB2538" t="s">
        <v>14858</v>
      </c>
      <c r="AE2538">
        <v>-37.731068890000003</v>
      </c>
      <c r="AF2538">
        <v>175.2781378</v>
      </c>
      <c r="AG2538" s="175">
        <v>30</v>
      </c>
      <c r="AH2538" s="175">
        <v>0</v>
      </c>
      <c r="AI2538" s="175">
        <v>0</v>
      </c>
      <c r="AJ2538" s="175">
        <v>0</v>
      </c>
      <c r="AK2538" s="175">
        <v>8</v>
      </c>
      <c r="AL2538" s="175">
        <v>8</v>
      </c>
      <c r="AM2538" s="175">
        <v>6</v>
      </c>
      <c r="AN2538" s="175">
        <v>3</v>
      </c>
      <c r="AO2538" s="175">
        <v>25</v>
      </c>
      <c r="AP2538" s="175">
        <v>2</v>
      </c>
      <c r="AQ2538" s="175">
        <v>3</v>
      </c>
      <c r="AR2538" s="175">
        <v>0</v>
      </c>
      <c r="AS2538" s="175">
        <v>20</v>
      </c>
      <c r="AT2538" s="175">
        <v>1</v>
      </c>
    </row>
    <row r="2539" spans="1:46">
      <c r="A2539">
        <v>46891</v>
      </c>
      <c r="B2539" t="s">
        <v>14862</v>
      </c>
      <c r="C2539" t="s">
        <v>14863</v>
      </c>
      <c r="E2539" t="s">
        <v>14864</v>
      </c>
      <c r="G2539" t="s">
        <v>2055</v>
      </c>
      <c r="H2539" t="s">
        <v>449</v>
      </c>
      <c r="J2539" t="s">
        <v>4032</v>
      </c>
      <c r="K2539" t="s">
        <v>606</v>
      </c>
      <c r="M2539" t="s">
        <v>1382</v>
      </c>
      <c r="N2539" t="s">
        <v>657</v>
      </c>
      <c r="O2539" t="s">
        <v>2037</v>
      </c>
      <c r="P2539" t="s">
        <v>670</v>
      </c>
      <c r="Q2539" t="s">
        <v>553</v>
      </c>
      <c r="R2539" t="s">
        <v>1841</v>
      </c>
      <c r="S2539" t="s">
        <v>2055</v>
      </c>
      <c r="T2539" t="s">
        <v>1568</v>
      </c>
      <c r="U2539">
        <v>230100</v>
      </c>
      <c r="V2539" t="s">
        <v>11826</v>
      </c>
      <c r="W2539" t="s">
        <v>2038</v>
      </c>
      <c r="X2539" t="s">
        <v>14865</v>
      </c>
      <c r="Y2539" t="s">
        <v>14866</v>
      </c>
      <c r="AA2539" t="s">
        <v>14867</v>
      </c>
      <c r="AB2539" t="s">
        <v>14868</v>
      </c>
      <c r="AE2539">
        <v>-40.357499429999997</v>
      </c>
      <c r="AF2539">
        <v>175.59304754999999</v>
      </c>
      <c r="AG2539" s="175">
        <v>30</v>
      </c>
      <c r="AH2539" s="175">
        <v>10</v>
      </c>
      <c r="AI2539" s="175">
        <v>1</v>
      </c>
      <c r="AJ2539" s="175">
        <v>5</v>
      </c>
      <c r="AK2539" s="175">
        <v>8</v>
      </c>
      <c r="AL2539" s="175">
        <v>11</v>
      </c>
      <c r="AM2539" s="175">
        <v>11</v>
      </c>
      <c r="AN2539" s="175">
        <v>0</v>
      </c>
      <c r="AO2539" s="175">
        <v>36</v>
      </c>
      <c r="AP2539" s="175">
        <v>16</v>
      </c>
      <c r="AQ2539" s="175">
        <v>15</v>
      </c>
      <c r="AR2539" s="175">
        <v>2</v>
      </c>
      <c r="AS2539" s="175">
        <v>9</v>
      </c>
      <c r="AT2539" s="175">
        <v>4</v>
      </c>
    </row>
    <row r="2540" spans="1:46">
      <c r="A2540">
        <v>46892</v>
      </c>
      <c r="B2540" t="s">
        <v>14869</v>
      </c>
      <c r="C2540" t="s">
        <v>14870</v>
      </c>
      <c r="E2540" t="s">
        <v>14871</v>
      </c>
      <c r="G2540" t="s">
        <v>14872</v>
      </c>
      <c r="H2540" t="s">
        <v>449</v>
      </c>
      <c r="J2540" t="s">
        <v>4032</v>
      </c>
      <c r="K2540" t="s">
        <v>606</v>
      </c>
      <c r="M2540" t="s">
        <v>1382</v>
      </c>
      <c r="N2540" t="s">
        <v>657</v>
      </c>
      <c r="O2540" t="s">
        <v>1435</v>
      </c>
      <c r="P2540" t="s">
        <v>658</v>
      </c>
      <c r="Q2540" t="s">
        <v>510</v>
      </c>
      <c r="R2540" t="s">
        <v>1384</v>
      </c>
      <c r="S2540" t="s">
        <v>1384</v>
      </c>
      <c r="T2540" t="s">
        <v>1320</v>
      </c>
      <c r="U2540">
        <v>173000</v>
      </c>
      <c r="V2540" t="s">
        <v>8421</v>
      </c>
      <c r="W2540" t="s">
        <v>8422</v>
      </c>
      <c r="X2540" t="s">
        <v>14873</v>
      </c>
      <c r="Y2540" t="s">
        <v>14871</v>
      </c>
      <c r="AA2540" t="s">
        <v>14874</v>
      </c>
      <c r="AB2540" t="s">
        <v>14870</v>
      </c>
      <c r="AC2540">
        <v>99057</v>
      </c>
      <c r="AD2540" t="s">
        <v>9567</v>
      </c>
      <c r="AE2540">
        <v>-37.782368380000001</v>
      </c>
      <c r="AF2540">
        <v>175.34610294999999</v>
      </c>
      <c r="AG2540" s="175">
        <v>74</v>
      </c>
      <c r="AH2540" s="175">
        <v>20</v>
      </c>
      <c r="AI2540" s="175">
        <v>3</v>
      </c>
      <c r="AJ2540" s="175">
        <v>18</v>
      </c>
      <c r="AK2540" s="175">
        <v>27</v>
      </c>
      <c r="AL2540" s="175">
        <v>26</v>
      </c>
      <c r="AM2540" s="175">
        <v>24</v>
      </c>
      <c r="AN2540" s="175">
        <v>1</v>
      </c>
      <c r="AO2540" s="175">
        <v>99</v>
      </c>
      <c r="AP2540" s="175">
        <v>94</v>
      </c>
      <c r="AQ2540" s="175">
        <v>22</v>
      </c>
      <c r="AR2540" s="175">
        <v>4</v>
      </c>
      <c r="AS2540" s="175">
        <v>0</v>
      </c>
      <c r="AT2540" s="175">
        <v>5</v>
      </c>
    </row>
    <row r="2541" spans="1:46">
      <c r="A2541">
        <v>46894</v>
      </c>
      <c r="B2541" t="s">
        <v>14875</v>
      </c>
      <c r="C2541" t="s">
        <v>14876</v>
      </c>
      <c r="D2541" t="s">
        <v>14877</v>
      </c>
      <c r="E2541" t="s">
        <v>14878</v>
      </c>
      <c r="F2541" t="s">
        <v>2698</v>
      </c>
      <c r="G2541" t="s">
        <v>2368</v>
      </c>
      <c r="H2541" t="s">
        <v>449</v>
      </c>
      <c r="J2541" t="s">
        <v>4032</v>
      </c>
      <c r="K2541" t="s">
        <v>606</v>
      </c>
      <c r="M2541" t="s">
        <v>2366</v>
      </c>
      <c r="N2541" t="s">
        <v>657</v>
      </c>
      <c r="O2541" t="s">
        <v>2614</v>
      </c>
      <c r="P2541" t="s">
        <v>739</v>
      </c>
      <c r="Q2541" t="s">
        <v>516</v>
      </c>
      <c r="R2541" t="s">
        <v>2368</v>
      </c>
      <c r="S2541" t="s">
        <v>2623</v>
      </c>
      <c r="T2541" t="s">
        <v>2526</v>
      </c>
      <c r="U2541">
        <v>250000</v>
      </c>
      <c r="V2541" t="s">
        <v>2699</v>
      </c>
      <c r="W2541" t="s">
        <v>2639</v>
      </c>
      <c r="X2541" t="s">
        <v>14879</v>
      </c>
      <c r="Y2541" t="s">
        <v>12495</v>
      </c>
      <c r="Z2541" t="s">
        <v>14880</v>
      </c>
      <c r="AA2541" t="s">
        <v>12496</v>
      </c>
      <c r="AB2541" t="s">
        <v>14881</v>
      </c>
      <c r="AE2541">
        <v>-41.241993069999999</v>
      </c>
      <c r="AF2541">
        <v>174.79302272000001</v>
      </c>
      <c r="AG2541" s="175">
        <v>30</v>
      </c>
      <c r="AH2541" s="175">
        <v>24</v>
      </c>
      <c r="AI2541" s="175">
        <v>7</v>
      </c>
      <c r="AJ2541" s="175">
        <v>25</v>
      </c>
      <c r="AK2541" s="175">
        <v>1</v>
      </c>
      <c r="AL2541" s="175">
        <v>0</v>
      </c>
      <c r="AM2541" s="175">
        <v>0</v>
      </c>
      <c r="AN2541" s="175">
        <v>0</v>
      </c>
      <c r="AO2541" s="175">
        <v>33</v>
      </c>
      <c r="AP2541" s="175">
        <v>28</v>
      </c>
      <c r="AQ2541" s="175">
        <v>1</v>
      </c>
      <c r="AR2541" s="175">
        <v>1</v>
      </c>
      <c r="AS2541" s="175">
        <v>3</v>
      </c>
      <c r="AT2541" s="175">
        <v>4</v>
      </c>
    </row>
    <row r="2542" spans="1:46">
      <c r="A2542">
        <v>46895</v>
      </c>
      <c r="B2542" t="s">
        <v>14882</v>
      </c>
      <c r="C2542" t="s">
        <v>14221</v>
      </c>
      <c r="D2542" t="s">
        <v>14883</v>
      </c>
      <c r="E2542" t="s">
        <v>14219</v>
      </c>
      <c r="G2542" t="s">
        <v>2295</v>
      </c>
      <c r="H2542" t="s">
        <v>450</v>
      </c>
      <c r="J2542" t="s">
        <v>4032</v>
      </c>
      <c r="K2542" t="s">
        <v>606</v>
      </c>
      <c r="M2542" t="s">
        <v>1382</v>
      </c>
      <c r="N2542" t="s">
        <v>657</v>
      </c>
      <c r="O2542" t="s">
        <v>2277</v>
      </c>
      <c r="P2542" t="s">
        <v>1347</v>
      </c>
      <c r="Q2542" t="s">
        <v>513</v>
      </c>
      <c r="R2542" t="s">
        <v>2164</v>
      </c>
      <c r="S2542" t="s">
        <v>2278</v>
      </c>
      <c r="T2542" t="s">
        <v>2165</v>
      </c>
      <c r="U2542">
        <v>211600</v>
      </c>
      <c r="V2542" t="s">
        <v>8785</v>
      </c>
      <c r="W2542" t="s">
        <v>2279</v>
      </c>
      <c r="X2542" t="s">
        <v>14220</v>
      </c>
      <c r="Y2542" t="s">
        <v>8787</v>
      </c>
      <c r="Z2542" t="s">
        <v>2295</v>
      </c>
      <c r="AA2542" t="s">
        <v>8788</v>
      </c>
      <c r="AB2542" t="s">
        <v>14221</v>
      </c>
      <c r="AC2542">
        <v>99022</v>
      </c>
      <c r="AD2542" t="s">
        <v>2297</v>
      </c>
      <c r="AE2542">
        <v>-39.668046930000003</v>
      </c>
      <c r="AF2542">
        <v>176.8778748</v>
      </c>
      <c r="AG2542" s="175">
        <v>80</v>
      </c>
      <c r="AH2542" s="175">
        <v>80</v>
      </c>
      <c r="AI2542" s="175">
        <v>3</v>
      </c>
      <c r="AJ2542" s="175">
        <v>12</v>
      </c>
      <c r="AK2542" s="175">
        <v>13</v>
      </c>
      <c r="AL2542" s="175">
        <v>6</v>
      </c>
      <c r="AM2542" s="175">
        <v>7</v>
      </c>
      <c r="AN2542" s="175">
        <v>0</v>
      </c>
      <c r="AO2542" s="175">
        <v>41</v>
      </c>
      <c r="AP2542" s="175">
        <v>40</v>
      </c>
      <c r="AQ2542" s="175">
        <v>11</v>
      </c>
      <c r="AR2542" s="175">
        <v>0</v>
      </c>
      <c r="AS2542" s="175">
        <v>1</v>
      </c>
      <c r="AT2542" s="175">
        <v>2</v>
      </c>
    </row>
    <row r="2543" spans="1:46">
      <c r="A2543">
        <v>46896</v>
      </c>
      <c r="B2543" t="s">
        <v>14884</v>
      </c>
      <c r="C2543" t="s">
        <v>14885</v>
      </c>
      <c r="E2543" t="s">
        <v>14886</v>
      </c>
      <c r="F2543" t="s">
        <v>13213</v>
      </c>
      <c r="G2543" t="s">
        <v>1681</v>
      </c>
      <c r="H2543" t="s">
        <v>449</v>
      </c>
      <c r="J2543" t="s">
        <v>605</v>
      </c>
      <c r="K2543" t="s">
        <v>606</v>
      </c>
      <c r="M2543" t="s">
        <v>1382</v>
      </c>
      <c r="N2543" t="s">
        <v>657</v>
      </c>
      <c r="O2543" t="s">
        <v>1780</v>
      </c>
      <c r="P2543" t="s">
        <v>739</v>
      </c>
      <c r="Q2543" t="s">
        <v>511</v>
      </c>
      <c r="R2543" t="s">
        <v>1555</v>
      </c>
      <c r="S2543" t="s">
        <v>1681</v>
      </c>
      <c r="T2543" t="s">
        <v>1557</v>
      </c>
      <c r="U2543">
        <v>195401</v>
      </c>
      <c r="V2543" t="s">
        <v>14887</v>
      </c>
      <c r="W2543" t="s">
        <v>1799</v>
      </c>
      <c r="X2543" t="s">
        <v>8441</v>
      </c>
      <c r="Y2543" t="s">
        <v>4014</v>
      </c>
      <c r="Z2543" t="s">
        <v>4015</v>
      </c>
      <c r="AA2543" t="s">
        <v>4016</v>
      </c>
      <c r="AB2543" t="s">
        <v>8442</v>
      </c>
      <c r="AC2543">
        <v>99085</v>
      </c>
      <c r="AD2543" t="s">
        <v>1800</v>
      </c>
      <c r="AE2543">
        <v>-37.74248403</v>
      </c>
      <c r="AF2543">
        <v>176.12289505000001</v>
      </c>
      <c r="AG2543" s="175">
        <v>60</v>
      </c>
      <c r="AH2543" s="175">
        <v>20</v>
      </c>
      <c r="AI2543" s="175">
        <v>2</v>
      </c>
      <c r="AJ2543" s="175">
        <v>15</v>
      </c>
      <c r="AK2543" s="175">
        <v>18</v>
      </c>
      <c r="AL2543" s="175">
        <v>15</v>
      </c>
      <c r="AM2543" s="175">
        <v>18</v>
      </c>
      <c r="AN2543" s="175">
        <v>0</v>
      </c>
      <c r="AO2543" s="175">
        <v>68</v>
      </c>
      <c r="AP2543" s="175">
        <v>24</v>
      </c>
      <c r="AQ2543" s="175">
        <v>16</v>
      </c>
      <c r="AR2543" s="175">
        <v>0</v>
      </c>
      <c r="AS2543" s="175">
        <v>25</v>
      </c>
      <c r="AT2543" s="175">
        <v>16</v>
      </c>
    </row>
    <row r="2544" spans="1:46">
      <c r="A2544">
        <v>46903</v>
      </c>
      <c r="B2544" t="s">
        <v>14888</v>
      </c>
      <c r="C2544" t="s">
        <v>14889</v>
      </c>
      <c r="D2544" t="s">
        <v>14890</v>
      </c>
      <c r="E2544" t="s">
        <v>14891</v>
      </c>
      <c r="G2544" t="s">
        <v>3897</v>
      </c>
      <c r="H2544" t="s">
        <v>449</v>
      </c>
      <c r="J2544" t="s">
        <v>4032</v>
      </c>
      <c r="K2544" t="s">
        <v>606</v>
      </c>
      <c r="M2544" t="s">
        <v>1382</v>
      </c>
      <c r="N2544" t="s">
        <v>657</v>
      </c>
      <c r="O2544" t="s">
        <v>1545</v>
      </c>
      <c r="P2544" t="s">
        <v>610</v>
      </c>
      <c r="Q2544" t="s">
        <v>510</v>
      </c>
      <c r="R2544" t="s">
        <v>1384</v>
      </c>
      <c r="S2544" t="s">
        <v>1522</v>
      </c>
      <c r="T2544" t="s">
        <v>1320</v>
      </c>
      <c r="U2544">
        <v>167101</v>
      </c>
      <c r="V2544" t="s">
        <v>3898</v>
      </c>
      <c r="W2544" t="s">
        <v>3899</v>
      </c>
      <c r="X2544" t="s">
        <v>14892</v>
      </c>
      <c r="Y2544" t="s">
        <v>14893</v>
      </c>
      <c r="AA2544" t="s">
        <v>9085</v>
      </c>
      <c r="AB2544" t="s">
        <v>14894</v>
      </c>
      <c r="AC2544">
        <v>99155</v>
      </c>
      <c r="AD2544" t="s">
        <v>3900</v>
      </c>
      <c r="AE2544">
        <v>-36.841462370000002</v>
      </c>
      <c r="AF2544">
        <v>175.69903153999999</v>
      </c>
      <c r="AG2544" s="175">
        <v>59</v>
      </c>
      <c r="AH2544" s="175">
        <v>12</v>
      </c>
      <c r="AI2544" s="175">
        <v>0</v>
      </c>
      <c r="AJ2544" s="175">
        <v>6</v>
      </c>
      <c r="AK2544" s="175">
        <v>23</v>
      </c>
      <c r="AL2544" s="175">
        <v>17</v>
      </c>
      <c r="AM2544" s="175">
        <v>16</v>
      </c>
      <c r="AN2544" s="175">
        <v>0</v>
      </c>
      <c r="AO2544" s="175">
        <v>62</v>
      </c>
      <c r="AP2544" s="175">
        <v>51</v>
      </c>
      <c r="AQ2544" s="175">
        <v>20</v>
      </c>
      <c r="AR2544" s="175">
        <v>4</v>
      </c>
      <c r="AS2544" s="175">
        <v>1</v>
      </c>
      <c r="AT2544" s="175">
        <v>1</v>
      </c>
    </row>
    <row r="2545" spans="1:46">
      <c r="A2545">
        <v>46906</v>
      </c>
      <c r="B2545" t="s">
        <v>14895</v>
      </c>
      <c r="C2545" t="s">
        <v>14896</v>
      </c>
      <c r="E2545" t="s">
        <v>14897</v>
      </c>
      <c r="F2545" t="s">
        <v>1396</v>
      </c>
      <c r="G2545" t="s">
        <v>1381</v>
      </c>
      <c r="H2545" t="s">
        <v>449</v>
      </c>
      <c r="J2545" t="s">
        <v>4032</v>
      </c>
      <c r="K2545" t="s">
        <v>606</v>
      </c>
      <c r="M2545" t="s">
        <v>1382</v>
      </c>
      <c r="N2545" t="s">
        <v>657</v>
      </c>
      <c r="O2545" t="s">
        <v>1383</v>
      </c>
      <c r="P2545" t="s">
        <v>739</v>
      </c>
      <c r="Q2545" t="s">
        <v>510</v>
      </c>
      <c r="R2545" t="s">
        <v>1384</v>
      </c>
      <c r="S2545" t="s">
        <v>1396</v>
      </c>
      <c r="T2545" t="s">
        <v>1320</v>
      </c>
      <c r="U2545">
        <v>179300</v>
      </c>
      <c r="V2545" t="s">
        <v>1482</v>
      </c>
      <c r="W2545" t="s">
        <v>1398</v>
      </c>
      <c r="X2545" t="s">
        <v>14898</v>
      </c>
      <c r="Y2545" t="s">
        <v>4471</v>
      </c>
      <c r="Z2545" t="s">
        <v>4472</v>
      </c>
      <c r="AA2545" t="s">
        <v>4596</v>
      </c>
      <c r="AB2545" t="s">
        <v>14899</v>
      </c>
      <c r="AE2545">
        <v>-37.782901989999999</v>
      </c>
      <c r="AF2545">
        <v>175.29784196</v>
      </c>
      <c r="AG2545" s="175">
        <v>95</v>
      </c>
      <c r="AH2545" s="175">
        <v>18</v>
      </c>
      <c r="AI2545" s="175">
        <v>0</v>
      </c>
      <c r="AJ2545" s="175">
        <v>3</v>
      </c>
      <c r="AK2545" s="175">
        <v>11</v>
      </c>
      <c r="AL2545" s="175">
        <v>21</v>
      </c>
      <c r="AM2545" s="175">
        <v>20</v>
      </c>
      <c r="AN2545" s="175">
        <v>0</v>
      </c>
      <c r="AO2545" s="175">
        <v>55</v>
      </c>
      <c r="AP2545" s="175">
        <v>13</v>
      </c>
      <c r="AQ2545" s="175">
        <v>20</v>
      </c>
      <c r="AR2545" s="175">
        <v>10</v>
      </c>
      <c r="AS2545" s="175">
        <v>14</v>
      </c>
      <c r="AT2545" s="175">
        <v>10</v>
      </c>
    </row>
    <row r="2546" spans="1:46">
      <c r="A2546">
        <v>46910</v>
      </c>
      <c r="B2546" t="s">
        <v>14900</v>
      </c>
      <c r="C2546" t="s">
        <v>14901</v>
      </c>
      <c r="D2546" t="s">
        <v>14902</v>
      </c>
      <c r="E2546" t="s">
        <v>14903</v>
      </c>
      <c r="F2546" t="s">
        <v>811</v>
      </c>
      <c r="G2546" t="s">
        <v>737</v>
      </c>
      <c r="H2546" t="s">
        <v>449</v>
      </c>
      <c r="I2546" t="s">
        <v>4289</v>
      </c>
      <c r="J2546" t="s">
        <v>605</v>
      </c>
      <c r="K2546" t="s">
        <v>606</v>
      </c>
      <c r="M2546" t="s">
        <v>607</v>
      </c>
      <c r="N2546" t="s">
        <v>608</v>
      </c>
      <c r="O2546" t="s">
        <v>813</v>
      </c>
      <c r="P2546" t="s">
        <v>739</v>
      </c>
      <c r="Q2546" t="s">
        <v>467</v>
      </c>
      <c r="R2546" t="s">
        <v>814</v>
      </c>
      <c r="S2546" t="s">
        <v>815</v>
      </c>
      <c r="T2546" t="s">
        <v>794</v>
      </c>
      <c r="U2546">
        <v>153500</v>
      </c>
      <c r="V2546" t="s">
        <v>816</v>
      </c>
      <c r="W2546" t="s">
        <v>817</v>
      </c>
      <c r="X2546" t="s">
        <v>14904</v>
      </c>
      <c r="Y2546" t="s">
        <v>14905</v>
      </c>
      <c r="Z2546" t="s">
        <v>811</v>
      </c>
      <c r="AA2546" t="s">
        <v>4687</v>
      </c>
      <c r="AB2546" t="s">
        <v>14906</v>
      </c>
      <c r="AE2546">
        <v>-36.955723679999998</v>
      </c>
      <c r="AF2546">
        <v>174.8711582</v>
      </c>
      <c r="AG2546" s="175">
        <v>50</v>
      </c>
      <c r="AH2546" s="175">
        <v>10</v>
      </c>
      <c r="AI2546" s="175">
        <v>0</v>
      </c>
      <c r="AJ2546" s="175">
        <v>7</v>
      </c>
      <c r="AK2546" s="175">
        <v>9</v>
      </c>
      <c r="AL2546" s="175">
        <v>6</v>
      </c>
      <c r="AM2546" s="175">
        <v>12</v>
      </c>
      <c r="AN2546" s="175">
        <v>1</v>
      </c>
      <c r="AO2546" s="175">
        <v>35</v>
      </c>
      <c r="AP2546" s="175">
        <v>3</v>
      </c>
      <c r="AQ2546" s="175">
        <v>14</v>
      </c>
      <c r="AR2546" s="175">
        <v>34</v>
      </c>
      <c r="AS2546" s="175">
        <v>2</v>
      </c>
      <c r="AT2546" s="175">
        <v>0</v>
      </c>
    </row>
    <row r="2547" spans="1:46">
      <c r="A2547">
        <v>46911</v>
      </c>
      <c r="B2547" t="s">
        <v>14907</v>
      </c>
      <c r="C2547" t="s">
        <v>14908</v>
      </c>
      <c r="D2547" t="s">
        <v>14909</v>
      </c>
      <c r="E2547" t="s">
        <v>14910</v>
      </c>
      <c r="G2547" t="s">
        <v>1346</v>
      </c>
      <c r="H2547" t="s">
        <v>449</v>
      </c>
      <c r="J2547" t="s">
        <v>4032</v>
      </c>
      <c r="K2547" t="s">
        <v>606</v>
      </c>
      <c r="M2547" t="s">
        <v>607</v>
      </c>
      <c r="N2547" t="s">
        <v>643</v>
      </c>
      <c r="O2547" t="s">
        <v>1318</v>
      </c>
      <c r="P2547" t="s">
        <v>1347</v>
      </c>
      <c r="Q2547" t="s">
        <v>467</v>
      </c>
      <c r="R2547" t="s">
        <v>814</v>
      </c>
      <c r="S2547" t="s">
        <v>1331</v>
      </c>
      <c r="T2547" t="s">
        <v>1320</v>
      </c>
      <c r="U2547">
        <v>166000</v>
      </c>
      <c r="V2547" t="s">
        <v>1365</v>
      </c>
      <c r="W2547" t="s">
        <v>1322</v>
      </c>
      <c r="X2547" t="s">
        <v>14911</v>
      </c>
      <c r="Y2547" t="s">
        <v>14912</v>
      </c>
      <c r="Z2547" t="s">
        <v>888</v>
      </c>
      <c r="AA2547" t="s">
        <v>4834</v>
      </c>
      <c r="AE2547">
        <v>-37.200043829999998</v>
      </c>
      <c r="AF2547">
        <v>174.90032094</v>
      </c>
      <c r="AG2547" s="175">
        <v>97</v>
      </c>
      <c r="AH2547" s="175">
        <v>38</v>
      </c>
      <c r="AI2547" s="175">
        <v>1</v>
      </c>
      <c r="AJ2547" s="175">
        <v>20</v>
      </c>
      <c r="AK2547" s="175">
        <v>23</v>
      </c>
      <c r="AL2547" s="175">
        <v>22</v>
      </c>
      <c r="AM2547" s="175">
        <v>13</v>
      </c>
      <c r="AN2547" s="175">
        <v>0</v>
      </c>
      <c r="AO2547" s="175">
        <v>79</v>
      </c>
      <c r="AP2547" s="175">
        <v>59</v>
      </c>
      <c r="AQ2547" s="175">
        <v>8</v>
      </c>
      <c r="AR2547" s="175">
        <v>9</v>
      </c>
      <c r="AS2547" s="175">
        <v>12</v>
      </c>
      <c r="AT2547" s="175">
        <v>6</v>
      </c>
    </row>
    <row r="2548" spans="1:46">
      <c r="A2548">
        <v>46912</v>
      </c>
      <c r="B2548" t="s">
        <v>14913</v>
      </c>
      <c r="C2548" t="s">
        <v>14914</v>
      </c>
      <c r="E2548" t="s">
        <v>14915</v>
      </c>
      <c r="F2548" t="s">
        <v>1114</v>
      </c>
      <c r="G2548" t="s">
        <v>737</v>
      </c>
      <c r="H2548" t="s">
        <v>449</v>
      </c>
      <c r="J2548" t="s">
        <v>605</v>
      </c>
      <c r="K2548" t="s">
        <v>606</v>
      </c>
      <c r="M2548" t="s">
        <v>607</v>
      </c>
      <c r="N2548" t="s">
        <v>608</v>
      </c>
      <c r="O2548" t="s">
        <v>914</v>
      </c>
      <c r="P2548" t="s">
        <v>739</v>
      </c>
      <c r="Q2548" t="s">
        <v>467</v>
      </c>
      <c r="R2548" t="s">
        <v>814</v>
      </c>
      <c r="S2548" t="s">
        <v>815</v>
      </c>
      <c r="T2548" t="s">
        <v>794</v>
      </c>
      <c r="U2548">
        <v>149500</v>
      </c>
      <c r="V2548" t="s">
        <v>14916</v>
      </c>
      <c r="W2548" t="s">
        <v>892</v>
      </c>
      <c r="X2548" t="s">
        <v>7486</v>
      </c>
      <c r="Y2548" t="s">
        <v>7487</v>
      </c>
      <c r="Z2548" t="s">
        <v>1030</v>
      </c>
      <c r="AA2548" t="s">
        <v>4679</v>
      </c>
      <c r="AB2548" t="s">
        <v>7482</v>
      </c>
      <c r="AC2548">
        <v>99151</v>
      </c>
      <c r="AD2548" t="s">
        <v>1159</v>
      </c>
      <c r="AE2548">
        <v>-36.926488759999998</v>
      </c>
      <c r="AF2548">
        <v>174.85508110999999</v>
      </c>
      <c r="AG2548" s="175">
        <v>32</v>
      </c>
      <c r="AH2548" s="175">
        <v>0</v>
      </c>
      <c r="AI2548" s="175">
        <v>0</v>
      </c>
      <c r="AJ2548" s="175">
        <v>0</v>
      </c>
      <c r="AK2548" s="175">
        <v>9</v>
      </c>
      <c r="AL2548" s="175">
        <v>9</v>
      </c>
      <c r="AM2548" s="175">
        <v>19</v>
      </c>
      <c r="AN2548" s="175">
        <v>2</v>
      </c>
      <c r="AO2548" s="175">
        <v>39</v>
      </c>
      <c r="AP2548" s="175">
        <v>5</v>
      </c>
      <c r="AQ2548" s="175">
        <v>11</v>
      </c>
      <c r="AR2548" s="175">
        <v>25</v>
      </c>
      <c r="AS2548" s="175">
        <v>2</v>
      </c>
      <c r="AT2548" s="175">
        <v>3</v>
      </c>
    </row>
    <row r="2549" spans="1:46">
      <c r="A2549">
        <v>46913</v>
      </c>
      <c r="B2549" t="s">
        <v>14917</v>
      </c>
      <c r="C2549" t="s">
        <v>14918</v>
      </c>
      <c r="E2549" t="s">
        <v>14919</v>
      </c>
      <c r="F2549" t="s">
        <v>667</v>
      </c>
      <c r="G2549" t="s">
        <v>668</v>
      </c>
      <c r="H2549" t="s">
        <v>449</v>
      </c>
      <c r="J2549" t="s">
        <v>4032</v>
      </c>
      <c r="K2549" t="s">
        <v>606</v>
      </c>
      <c r="M2549" t="s">
        <v>607</v>
      </c>
      <c r="N2549" t="s">
        <v>643</v>
      </c>
      <c r="O2549" t="s">
        <v>669</v>
      </c>
      <c r="P2549" t="s">
        <v>670</v>
      </c>
      <c r="Q2549" t="s">
        <v>509</v>
      </c>
      <c r="R2549" t="s">
        <v>611</v>
      </c>
      <c r="S2549" t="s">
        <v>671</v>
      </c>
      <c r="T2549" t="s">
        <v>613</v>
      </c>
      <c r="U2549">
        <v>106201</v>
      </c>
      <c r="V2549" t="s">
        <v>672</v>
      </c>
      <c r="W2549" t="s">
        <v>673</v>
      </c>
      <c r="X2549" t="s">
        <v>4470</v>
      </c>
      <c r="Y2549" t="s">
        <v>4471</v>
      </c>
      <c r="Z2549" t="s">
        <v>4472</v>
      </c>
      <c r="AA2549" t="s">
        <v>4596</v>
      </c>
      <c r="AB2549" t="s">
        <v>4474</v>
      </c>
      <c r="AC2549">
        <v>99182</v>
      </c>
      <c r="AD2549" t="s">
        <v>674</v>
      </c>
      <c r="AE2549">
        <v>-35.678735269999997</v>
      </c>
      <c r="AF2549">
        <v>174.31677103999999</v>
      </c>
      <c r="AG2549" s="175">
        <v>84</v>
      </c>
      <c r="AH2549" s="175">
        <v>28</v>
      </c>
      <c r="AI2549" s="175">
        <v>3</v>
      </c>
      <c r="AJ2549" s="175">
        <v>15</v>
      </c>
      <c r="AK2549" s="175">
        <v>13</v>
      </c>
      <c r="AL2549" s="175">
        <v>27</v>
      </c>
      <c r="AM2549" s="175">
        <v>23</v>
      </c>
      <c r="AN2549" s="175">
        <v>1</v>
      </c>
      <c r="AO2549" s="175">
        <v>82</v>
      </c>
      <c r="AP2549" s="175">
        <v>32</v>
      </c>
      <c r="AQ2549" s="175">
        <v>46</v>
      </c>
      <c r="AR2549" s="175">
        <v>10</v>
      </c>
      <c r="AS2549" s="175">
        <v>14</v>
      </c>
      <c r="AT2549" s="175">
        <v>5</v>
      </c>
    </row>
    <row r="2550" spans="1:46">
      <c r="A2550">
        <v>46914</v>
      </c>
      <c r="B2550" t="s">
        <v>14920</v>
      </c>
      <c r="C2550" t="s">
        <v>14921</v>
      </c>
      <c r="D2550" t="s">
        <v>14922</v>
      </c>
      <c r="E2550" t="s">
        <v>14923</v>
      </c>
      <c r="F2550" t="s">
        <v>3312</v>
      </c>
      <c r="G2550" t="s">
        <v>3290</v>
      </c>
      <c r="H2550" t="s">
        <v>449</v>
      </c>
      <c r="J2550" t="s">
        <v>4032</v>
      </c>
      <c r="K2550" t="s">
        <v>606</v>
      </c>
      <c r="M2550" t="s">
        <v>2366</v>
      </c>
      <c r="N2550" t="s">
        <v>657</v>
      </c>
      <c r="O2550" t="s">
        <v>3291</v>
      </c>
      <c r="P2550" t="s">
        <v>1347</v>
      </c>
      <c r="Q2550" t="s">
        <v>521</v>
      </c>
      <c r="R2550" t="s">
        <v>3017</v>
      </c>
      <c r="S2550" t="s">
        <v>3292</v>
      </c>
      <c r="T2550" t="s">
        <v>2526</v>
      </c>
      <c r="U2550">
        <v>338401</v>
      </c>
      <c r="V2550" t="s">
        <v>3312</v>
      </c>
      <c r="W2550" t="s">
        <v>3294</v>
      </c>
      <c r="X2550" t="s">
        <v>14924</v>
      </c>
      <c r="Y2550" t="s">
        <v>14925</v>
      </c>
      <c r="Z2550" t="s">
        <v>3312</v>
      </c>
      <c r="AA2550" t="s">
        <v>3297</v>
      </c>
      <c r="AB2550" t="s">
        <v>14926</v>
      </c>
      <c r="AC2550">
        <v>99043</v>
      </c>
      <c r="AD2550" t="s">
        <v>3299</v>
      </c>
      <c r="AE2550">
        <v>-43.901459099999997</v>
      </c>
      <c r="AF2550">
        <v>171.77149199999999</v>
      </c>
      <c r="AG2550" s="175">
        <v>70</v>
      </c>
      <c r="AH2550" s="175">
        <v>19</v>
      </c>
      <c r="AI2550" s="175">
        <v>5</v>
      </c>
      <c r="AJ2550" s="175">
        <v>17</v>
      </c>
      <c r="AK2550" s="175">
        <v>23</v>
      </c>
      <c r="AL2550" s="175">
        <v>27</v>
      </c>
      <c r="AM2550" s="175">
        <v>23</v>
      </c>
      <c r="AN2550" s="175">
        <v>1</v>
      </c>
      <c r="AO2550" s="175">
        <v>96</v>
      </c>
      <c r="AP2550" s="175">
        <v>84</v>
      </c>
      <c r="AQ2550" s="175">
        <v>6</v>
      </c>
      <c r="AR2550" s="175">
        <v>6</v>
      </c>
      <c r="AS2550" s="175">
        <v>10</v>
      </c>
      <c r="AT2550" s="175">
        <v>2</v>
      </c>
    </row>
    <row r="2551" spans="1:46">
      <c r="A2551">
        <v>46915</v>
      </c>
      <c r="B2551" t="s">
        <v>14927</v>
      </c>
      <c r="C2551" t="s">
        <v>14928</v>
      </c>
      <c r="D2551" t="s">
        <v>14929</v>
      </c>
      <c r="E2551" t="s">
        <v>14930</v>
      </c>
      <c r="F2551" t="s">
        <v>1030</v>
      </c>
      <c r="G2551" t="s">
        <v>737</v>
      </c>
      <c r="H2551" t="s">
        <v>450</v>
      </c>
      <c r="I2551" t="s">
        <v>3715</v>
      </c>
      <c r="J2551" t="s">
        <v>4032</v>
      </c>
      <c r="K2551" t="s">
        <v>606</v>
      </c>
      <c r="M2551" t="s">
        <v>607</v>
      </c>
      <c r="N2551" t="s">
        <v>608</v>
      </c>
      <c r="O2551" t="s">
        <v>933</v>
      </c>
      <c r="P2551" t="s">
        <v>739</v>
      </c>
      <c r="Q2551" t="s">
        <v>467</v>
      </c>
      <c r="R2551" t="s">
        <v>814</v>
      </c>
      <c r="S2551" t="s">
        <v>934</v>
      </c>
      <c r="T2551" t="s">
        <v>794</v>
      </c>
      <c r="U2551">
        <v>150000</v>
      </c>
      <c r="V2551" t="s">
        <v>1055</v>
      </c>
      <c r="W2551" t="s">
        <v>817</v>
      </c>
      <c r="X2551" t="s">
        <v>14931</v>
      </c>
      <c r="Y2551" t="s">
        <v>14932</v>
      </c>
      <c r="Z2551" t="s">
        <v>1030</v>
      </c>
      <c r="AA2551" t="s">
        <v>4679</v>
      </c>
      <c r="AB2551" t="s">
        <v>14933</v>
      </c>
      <c r="AE2551">
        <v>-36.959664760000003</v>
      </c>
      <c r="AF2551">
        <v>174.81601481000001</v>
      </c>
      <c r="AG2551" s="175">
        <v>50</v>
      </c>
      <c r="AH2551" s="175">
        <v>50</v>
      </c>
      <c r="AI2551" s="175">
        <v>8</v>
      </c>
      <c r="AJ2551" s="175">
        <v>9</v>
      </c>
      <c r="AK2551" s="175">
        <v>14</v>
      </c>
      <c r="AL2551" s="175">
        <v>8</v>
      </c>
      <c r="AM2551" s="175">
        <v>10</v>
      </c>
      <c r="AN2551" s="175">
        <v>0</v>
      </c>
      <c r="AO2551" s="175">
        <v>49</v>
      </c>
      <c r="AP2551" s="175">
        <v>0</v>
      </c>
      <c r="AQ2551" s="175">
        <v>0</v>
      </c>
      <c r="AR2551" s="175">
        <v>49</v>
      </c>
      <c r="AS2551" s="175">
        <v>0</v>
      </c>
      <c r="AT2551" s="175">
        <v>0</v>
      </c>
    </row>
    <row r="2552" spans="1:46">
      <c r="A2552">
        <v>46916</v>
      </c>
      <c r="B2552" t="s">
        <v>14934</v>
      </c>
      <c r="C2552" t="s">
        <v>14935</v>
      </c>
      <c r="D2552" t="s">
        <v>14936</v>
      </c>
      <c r="E2552" t="s">
        <v>14937</v>
      </c>
      <c r="G2552" t="s">
        <v>7817</v>
      </c>
      <c r="H2552" t="s">
        <v>449</v>
      </c>
      <c r="J2552" t="s">
        <v>4032</v>
      </c>
      <c r="K2552" t="s">
        <v>606</v>
      </c>
      <c r="M2552" t="s">
        <v>607</v>
      </c>
      <c r="N2552" t="s">
        <v>657</v>
      </c>
      <c r="O2552" t="s">
        <v>1318</v>
      </c>
      <c r="P2552" t="s">
        <v>626</v>
      </c>
      <c r="Q2552" t="s">
        <v>467</v>
      </c>
      <c r="R2552" t="s">
        <v>814</v>
      </c>
      <c r="S2552" t="s">
        <v>1319</v>
      </c>
      <c r="T2552" t="s">
        <v>1320</v>
      </c>
      <c r="U2552">
        <v>166301</v>
      </c>
      <c r="V2552" t="s">
        <v>7818</v>
      </c>
      <c r="W2552" t="s">
        <v>1322</v>
      </c>
      <c r="X2552" t="s">
        <v>13688</v>
      </c>
      <c r="Y2552" t="s">
        <v>13689</v>
      </c>
      <c r="Z2552" t="s">
        <v>7817</v>
      </c>
      <c r="AA2552" t="s">
        <v>13690</v>
      </c>
      <c r="AB2552" t="s">
        <v>13691</v>
      </c>
      <c r="AE2552">
        <v>-37.185123169999997</v>
      </c>
      <c r="AF2552">
        <v>174.98981533</v>
      </c>
      <c r="AG2552" s="175">
        <v>60</v>
      </c>
      <c r="AH2552" s="175">
        <v>25</v>
      </c>
      <c r="AI2552" s="175">
        <v>6</v>
      </c>
      <c r="AJ2552" s="175">
        <v>17</v>
      </c>
      <c r="AK2552" s="175">
        <v>28</v>
      </c>
      <c r="AL2552" s="175">
        <v>22</v>
      </c>
      <c r="AM2552" s="175">
        <v>0</v>
      </c>
      <c r="AN2552" s="175">
        <v>0</v>
      </c>
      <c r="AO2552" s="175">
        <v>73</v>
      </c>
      <c r="AP2552" s="175">
        <v>70</v>
      </c>
      <c r="AQ2552" s="175">
        <v>10</v>
      </c>
      <c r="AR2552" s="175">
        <v>2</v>
      </c>
      <c r="AS2552" s="175">
        <v>3</v>
      </c>
      <c r="AT2552" s="175">
        <v>1</v>
      </c>
    </row>
    <row r="2553" spans="1:46">
      <c r="A2553">
        <v>46918</v>
      </c>
      <c r="B2553" t="s">
        <v>14938</v>
      </c>
      <c r="C2553" t="s">
        <v>14939</v>
      </c>
      <c r="D2553" t="s">
        <v>14940</v>
      </c>
      <c r="E2553" t="s">
        <v>14941</v>
      </c>
      <c r="F2553" t="s">
        <v>14942</v>
      </c>
      <c r="G2553" t="s">
        <v>3334</v>
      </c>
      <c r="H2553" t="s">
        <v>449</v>
      </c>
      <c r="J2553" t="s">
        <v>4032</v>
      </c>
      <c r="K2553" t="s">
        <v>606</v>
      </c>
      <c r="M2553" t="s">
        <v>2366</v>
      </c>
      <c r="N2553" t="s">
        <v>657</v>
      </c>
      <c r="O2553" t="s">
        <v>3322</v>
      </c>
      <c r="P2553" t="s">
        <v>1347</v>
      </c>
      <c r="Q2553" t="s">
        <v>521</v>
      </c>
      <c r="R2553" t="s">
        <v>3017</v>
      </c>
      <c r="S2553" t="s">
        <v>3292</v>
      </c>
      <c r="T2553" t="s">
        <v>2526</v>
      </c>
      <c r="U2553">
        <v>340300</v>
      </c>
      <c r="V2553" t="s">
        <v>3364</v>
      </c>
      <c r="W2553" t="s">
        <v>3336</v>
      </c>
      <c r="X2553" t="s">
        <v>14943</v>
      </c>
      <c r="Y2553" t="s">
        <v>14944</v>
      </c>
      <c r="AA2553" t="s">
        <v>14945</v>
      </c>
      <c r="AB2553" t="s">
        <v>14946</v>
      </c>
      <c r="AC2553">
        <v>99174</v>
      </c>
      <c r="AD2553" t="s">
        <v>3341</v>
      </c>
      <c r="AE2553">
        <v>-44.379861630000001</v>
      </c>
      <c r="AF2553">
        <v>171.23104099</v>
      </c>
      <c r="AG2553" s="175">
        <v>35</v>
      </c>
      <c r="AH2553" s="175">
        <v>5</v>
      </c>
      <c r="AI2553" s="175">
        <v>0</v>
      </c>
      <c r="AJ2553" s="175">
        <v>3</v>
      </c>
      <c r="AK2553" s="175">
        <v>5</v>
      </c>
      <c r="AL2553" s="175">
        <v>10</v>
      </c>
      <c r="AM2553" s="175">
        <v>8</v>
      </c>
      <c r="AN2553" s="175">
        <v>0</v>
      </c>
      <c r="AO2553" s="175">
        <v>26</v>
      </c>
      <c r="AP2553" s="175">
        <v>13</v>
      </c>
      <c r="AQ2553" s="175">
        <v>5</v>
      </c>
      <c r="AR2553" s="175">
        <v>3</v>
      </c>
      <c r="AS2553" s="175">
        <v>5</v>
      </c>
      <c r="AT2553" s="175">
        <v>6</v>
      </c>
    </row>
    <row r="2554" spans="1:46">
      <c r="A2554">
        <v>46921</v>
      </c>
      <c r="B2554" t="s">
        <v>14947</v>
      </c>
      <c r="C2554" t="s">
        <v>14933</v>
      </c>
      <c r="D2554" t="s">
        <v>14929</v>
      </c>
      <c r="E2554" t="s">
        <v>14948</v>
      </c>
      <c r="F2554" t="s">
        <v>1030</v>
      </c>
      <c r="G2554" t="s">
        <v>737</v>
      </c>
      <c r="H2554" t="s">
        <v>450</v>
      </c>
      <c r="I2554" t="s">
        <v>3715</v>
      </c>
      <c r="J2554" t="s">
        <v>4032</v>
      </c>
      <c r="K2554" t="s">
        <v>606</v>
      </c>
      <c r="M2554" t="s">
        <v>607</v>
      </c>
      <c r="N2554" t="s">
        <v>608</v>
      </c>
      <c r="O2554" t="s">
        <v>933</v>
      </c>
      <c r="P2554" t="s">
        <v>739</v>
      </c>
      <c r="Q2554" t="s">
        <v>467</v>
      </c>
      <c r="R2554" t="s">
        <v>814</v>
      </c>
      <c r="S2554" t="s">
        <v>934</v>
      </c>
      <c r="T2554" t="s">
        <v>794</v>
      </c>
      <c r="U2554">
        <v>150000</v>
      </c>
      <c r="V2554" t="s">
        <v>1055</v>
      </c>
      <c r="W2554" t="s">
        <v>817</v>
      </c>
      <c r="X2554" t="s">
        <v>14931</v>
      </c>
      <c r="Y2554" t="s">
        <v>14932</v>
      </c>
      <c r="Z2554" t="s">
        <v>1030</v>
      </c>
      <c r="AA2554" t="s">
        <v>4679</v>
      </c>
      <c r="AB2554" t="s">
        <v>14933</v>
      </c>
      <c r="AE2554">
        <v>-36.959685090000001</v>
      </c>
      <c r="AF2554">
        <v>174.81602298000001</v>
      </c>
      <c r="AG2554" s="175">
        <v>50</v>
      </c>
      <c r="AH2554" s="175">
        <v>50</v>
      </c>
      <c r="AI2554" s="175">
        <v>9</v>
      </c>
      <c r="AJ2554" s="175">
        <v>8</v>
      </c>
      <c r="AK2554" s="175">
        <v>11</v>
      </c>
      <c r="AL2554" s="175">
        <v>11</v>
      </c>
      <c r="AM2554" s="175">
        <v>11</v>
      </c>
      <c r="AN2554" s="175">
        <v>0</v>
      </c>
      <c r="AO2554" s="175">
        <v>50</v>
      </c>
      <c r="AP2554" s="175">
        <v>0</v>
      </c>
      <c r="AQ2554" s="175">
        <v>0</v>
      </c>
      <c r="AR2554" s="175">
        <v>48</v>
      </c>
      <c r="AS2554" s="175">
        <v>0</v>
      </c>
      <c r="AT2554" s="175">
        <v>2</v>
      </c>
    </row>
    <row r="2555" spans="1:46">
      <c r="A2555">
        <v>46922</v>
      </c>
      <c r="B2555" t="s">
        <v>14949</v>
      </c>
      <c r="C2555" t="s">
        <v>14950</v>
      </c>
      <c r="D2555" t="s">
        <v>14951</v>
      </c>
      <c r="E2555" t="s">
        <v>14952</v>
      </c>
      <c r="F2555" t="s">
        <v>964</v>
      </c>
      <c r="G2555" t="s">
        <v>737</v>
      </c>
      <c r="H2555" t="s">
        <v>449</v>
      </c>
      <c r="J2555" t="s">
        <v>4032</v>
      </c>
      <c r="K2555" t="s">
        <v>606</v>
      </c>
      <c r="M2555" t="s">
        <v>607</v>
      </c>
      <c r="N2555" t="s">
        <v>657</v>
      </c>
      <c r="O2555" t="s">
        <v>914</v>
      </c>
      <c r="P2555" t="s">
        <v>739</v>
      </c>
      <c r="Q2555" t="s">
        <v>467</v>
      </c>
      <c r="R2555" t="s">
        <v>793</v>
      </c>
      <c r="S2555" t="s">
        <v>965</v>
      </c>
      <c r="T2555" t="s">
        <v>794</v>
      </c>
      <c r="U2555">
        <v>145800</v>
      </c>
      <c r="V2555" t="s">
        <v>966</v>
      </c>
      <c r="W2555" t="s">
        <v>892</v>
      </c>
      <c r="X2555" t="s">
        <v>14953</v>
      </c>
      <c r="Y2555" t="s">
        <v>14954</v>
      </c>
      <c r="Z2555" t="s">
        <v>791</v>
      </c>
      <c r="AA2555" t="s">
        <v>4551</v>
      </c>
      <c r="AB2555" t="s">
        <v>14955</v>
      </c>
      <c r="AE2555">
        <v>-36.869916519999997</v>
      </c>
      <c r="AF2555">
        <v>174.87466386</v>
      </c>
      <c r="AG2555" s="175">
        <v>70</v>
      </c>
      <c r="AH2555" s="175">
        <v>19</v>
      </c>
      <c r="AI2555" s="175">
        <v>2</v>
      </c>
      <c r="AJ2555" s="175">
        <v>15</v>
      </c>
      <c r="AK2555" s="175">
        <v>18</v>
      </c>
      <c r="AL2555" s="175">
        <v>22</v>
      </c>
      <c r="AM2555" s="175">
        <v>14</v>
      </c>
      <c r="AN2555" s="175">
        <v>0</v>
      </c>
      <c r="AO2555" s="175">
        <v>71</v>
      </c>
      <c r="AP2555" s="175">
        <v>55</v>
      </c>
      <c r="AQ2555" s="175">
        <v>5</v>
      </c>
      <c r="AR2555" s="175">
        <v>2</v>
      </c>
      <c r="AS2555" s="175">
        <v>11</v>
      </c>
      <c r="AT2555" s="175">
        <v>11</v>
      </c>
    </row>
    <row r="2556" spans="1:46">
      <c r="A2556">
        <v>46924</v>
      </c>
      <c r="B2556" t="s">
        <v>14956</v>
      </c>
      <c r="C2556" t="s">
        <v>14957</v>
      </c>
      <c r="D2556" t="s">
        <v>14958</v>
      </c>
      <c r="E2556" t="s">
        <v>14959</v>
      </c>
      <c r="F2556" t="s">
        <v>1242</v>
      </c>
      <c r="G2556" t="s">
        <v>737</v>
      </c>
      <c r="H2556" t="s">
        <v>449</v>
      </c>
      <c r="J2556" t="s">
        <v>4032</v>
      </c>
      <c r="K2556" t="s">
        <v>606</v>
      </c>
      <c r="M2556" t="s">
        <v>607</v>
      </c>
      <c r="N2556" t="s">
        <v>657</v>
      </c>
      <c r="O2556" t="s">
        <v>942</v>
      </c>
      <c r="P2556" t="s">
        <v>739</v>
      </c>
      <c r="Q2556" t="s">
        <v>467</v>
      </c>
      <c r="R2556" t="s">
        <v>793</v>
      </c>
      <c r="S2556" t="s">
        <v>943</v>
      </c>
      <c r="T2556" t="s">
        <v>794</v>
      </c>
      <c r="U2556">
        <v>135800</v>
      </c>
      <c r="V2556" t="s">
        <v>8121</v>
      </c>
      <c r="W2556" t="s">
        <v>945</v>
      </c>
      <c r="X2556" t="s">
        <v>14960</v>
      </c>
      <c r="Y2556" t="s">
        <v>14959</v>
      </c>
      <c r="Z2556" t="s">
        <v>1242</v>
      </c>
      <c r="AA2556" t="s">
        <v>4942</v>
      </c>
      <c r="AE2556">
        <v>-36.884233729999998</v>
      </c>
      <c r="AF2556">
        <v>174.73255226000001</v>
      </c>
      <c r="AG2556" s="175">
        <v>40</v>
      </c>
      <c r="AH2556" s="175">
        <v>0</v>
      </c>
      <c r="AI2556" s="175">
        <v>0</v>
      </c>
      <c r="AJ2556" s="175">
        <v>0</v>
      </c>
      <c r="AK2556" s="175">
        <v>13</v>
      </c>
      <c r="AL2556" s="175">
        <v>10</v>
      </c>
      <c r="AM2556" s="175">
        <v>18</v>
      </c>
      <c r="AN2556" s="175">
        <v>0</v>
      </c>
      <c r="AO2556" s="175">
        <v>41</v>
      </c>
      <c r="AP2556" s="175">
        <v>4</v>
      </c>
      <c r="AQ2556" s="175">
        <v>1</v>
      </c>
      <c r="AR2556" s="175">
        <v>5</v>
      </c>
      <c r="AS2556" s="175">
        <v>35</v>
      </c>
      <c r="AT2556" s="175">
        <v>0</v>
      </c>
    </row>
    <row r="2557" spans="1:46">
      <c r="A2557">
        <v>46925</v>
      </c>
      <c r="B2557" t="s">
        <v>14961</v>
      </c>
      <c r="C2557" t="s">
        <v>14962</v>
      </c>
      <c r="D2557" t="s">
        <v>14963</v>
      </c>
      <c r="E2557" t="s">
        <v>14964</v>
      </c>
      <c r="F2557" t="s">
        <v>2494</v>
      </c>
      <c r="G2557" t="s">
        <v>2449</v>
      </c>
      <c r="H2557" t="s">
        <v>449</v>
      </c>
      <c r="J2557" t="s">
        <v>4032</v>
      </c>
      <c r="K2557" t="s">
        <v>606</v>
      </c>
      <c r="M2557" t="s">
        <v>2366</v>
      </c>
      <c r="N2557" t="s">
        <v>657</v>
      </c>
      <c r="O2557" t="s">
        <v>2450</v>
      </c>
      <c r="P2557" t="s">
        <v>670</v>
      </c>
      <c r="Q2557" t="s">
        <v>516</v>
      </c>
      <c r="R2557" t="s">
        <v>2368</v>
      </c>
      <c r="S2557" t="s">
        <v>2451</v>
      </c>
      <c r="T2557" t="s">
        <v>2165</v>
      </c>
      <c r="U2557">
        <v>242200</v>
      </c>
      <c r="V2557" t="s">
        <v>14965</v>
      </c>
      <c r="W2557" t="s">
        <v>1734</v>
      </c>
      <c r="X2557" t="s">
        <v>10355</v>
      </c>
      <c r="Y2557" t="s">
        <v>10356</v>
      </c>
      <c r="AA2557" t="s">
        <v>10357</v>
      </c>
      <c r="AB2557" t="s">
        <v>10358</v>
      </c>
      <c r="AE2557">
        <v>-41.141831860000003</v>
      </c>
      <c r="AF2557">
        <v>175.03286990000001</v>
      </c>
      <c r="AG2557" s="175">
        <v>77</v>
      </c>
      <c r="AH2557" s="175">
        <v>16</v>
      </c>
      <c r="AI2557" s="175">
        <v>2</v>
      </c>
      <c r="AJ2557" s="175">
        <v>14</v>
      </c>
      <c r="AK2557" s="175">
        <v>30</v>
      </c>
      <c r="AL2557" s="175">
        <v>21</v>
      </c>
      <c r="AM2557" s="175">
        <v>25</v>
      </c>
      <c r="AN2557" s="175">
        <v>0</v>
      </c>
      <c r="AO2557" s="175">
        <v>92</v>
      </c>
      <c r="AP2557" s="175">
        <v>74</v>
      </c>
      <c r="AQ2557" s="175">
        <v>17</v>
      </c>
      <c r="AR2557" s="175">
        <v>8</v>
      </c>
      <c r="AS2557" s="175">
        <v>11</v>
      </c>
      <c r="AT2557" s="175">
        <v>3</v>
      </c>
    </row>
    <row r="2558" spans="1:46">
      <c r="A2558">
        <v>46926</v>
      </c>
      <c r="B2558" t="s">
        <v>14966</v>
      </c>
      <c r="D2558" t="s">
        <v>14967</v>
      </c>
      <c r="E2558" t="s">
        <v>14968</v>
      </c>
      <c r="G2558" t="s">
        <v>11255</v>
      </c>
      <c r="H2558" t="s">
        <v>449</v>
      </c>
      <c r="J2558" t="s">
        <v>4032</v>
      </c>
      <c r="K2558" t="s">
        <v>606</v>
      </c>
      <c r="M2558" t="s">
        <v>2366</v>
      </c>
      <c r="N2558" t="s">
        <v>657</v>
      </c>
      <c r="O2558" t="s">
        <v>3906</v>
      </c>
      <c r="P2558" t="s">
        <v>1347</v>
      </c>
      <c r="Q2558" t="s">
        <v>522</v>
      </c>
      <c r="R2558" t="s">
        <v>3410</v>
      </c>
      <c r="S2558" t="s">
        <v>3323</v>
      </c>
      <c r="T2558" t="s">
        <v>2526</v>
      </c>
      <c r="U2558">
        <v>346901</v>
      </c>
      <c r="V2558" t="s">
        <v>11256</v>
      </c>
      <c r="W2558" t="s">
        <v>11257</v>
      </c>
      <c r="X2558" t="s">
        <v>14969</v>
      </c>
      <c r="Y2558" t="s">
        <v>14968</v>
      </c>
      <c r="AA2558" t="s">
        <v>11259</v>
      </c>
      <c r="AE2558">
        <v>-44.687527869999997</v>
      </c>
      <c r="AF2558">
        <v>169.17602915000001</v>
      </c>
      <c r="AG2558" s="175">
        <v>57</v>
      </c>
      <c r="AH2558" s="175">
        <v>17</v>
      </c>
      <c r="AI2558" s="175">
        <v>3</v>
      </c>
      <c r="AJ2558" s="175">
        <v>10</v>
      </c>
      <c r="AK2558" s="175">
        <v>12</v>
      </c>
      <c r="AL2558" s="175">
        <v>16</v>
      </c>
      <c r="AM2558" s="175">
        <v>20</v>
      </c>
      <c r="AN2558" s="175">
        <v>1</v>
      </c>
      <c r="AO2558" s="175">
        <v>62</v>
      </c>
      <c r="AP2558" s="175">
        <v>61</v>
      </c>
      <c r="AQ2558" s="175">
        <v>7</v>
      </c>
      <c r="AR2558" s="175">
        <v>2</v>
      </c>
      <c r="AS2558" s="175">
        <v>0</v>
      </c>
      <c r="AT2558" s="175">
        <v>1</v>
      </c>
    </row>
    <row r="2559" spans="1:46">
      <c r="A2559">
        <v>46927</v>
      </c>
      <c r="B2559" t="s">
        <v>14970</v>
      </c>
      <c r="C2559" t="s">
        <v>14971</v>
      </c>
      <c r="E2559" t="s">
        <v>14972</v>
      </c>
      <c r="G2559" t="s">
        <v>1434</v>
      </c>
      <c r="H2559" t="s">
        <v>449</v>
      </c>
      <c r="J2559" t="s">
        <v>4032</v>
      </c>
      <c r="K2559" t="s">
        <v>606</v>
      </c>
      <c r="M2559" t="s">
        <v>1382</v>
      </c>
      <c r="N2559" t="s">
        <v>608</v>
      </c>
      <c r="O2559" t="s">
        <v>1435</v>
      </c>
      <c r="P2559" t="s">
        <v>610</v>
      </c>
      <c r="Q2559" t="s">
        <v>510</v>
      </c>
      <c r="R2559" t="s">
        <v>1384</v>
      </c>
      <c r="S2559" t="s">
        <v>1384</v>
      </c>
      <c r="T2559" t="s">
        <v>1320</v>
      </c>
      <c r="U2559">
        <v>172001</v>
      </c>
      <c r="V2559" t="s">
        <v>1486</v>
      </c>
      <c r="W2559" t="s">
        <v>1437</v>
      </c>
      <c r="X2559" t="s">
        <v>14973</v>
      </c>
      <c r="Y2559" t="s">
        <v>14974</v>
      </c>
      <c r="AA2559" t="s">
        <v>14975</v>
      </c>
      <c r="AE2559">
        <v>-37.660407280000001</v>
      </c>
      <c r="AF2559">
        <v>175.15693873999999</v>
      </c>
      <c r="AG2559" s="175">
        <v>34</v>
      </c>
      <c r="AH2559" s="175">
        <v>9</v>
      </c>
      <c r="AI2559" s="175">
        <v>1</v>
      </c>
      <c r="AJ2559" s="175">
        <v>5</v>
      </c>
      <c r="AK2559" s="175">
        <v>9</v>
      </c>
      <c r="AL2559" s="175">
        <v>10</v>
      </c>
      <c r="AM2559" s="175">
        <v>10</v>
      </c>
      <c r="AN2559" s="175">
        <v>0</v>
      </c>
      <c r="AO2559" s="175">
        <v>35</v>
      </c>
      <c r="AP2559" s="175">
        <v>10</v>
      </c>
      <c r="AQ2559" s="175">
        <v>31</v>
      </c>
      <c r="AR2559" s="175">
        <v>1</v>
      </c>
      <c r="AS2559" s="175">
        <v>1</v>
      </c>
      <c r="AT2559" s="175">
        <v>0</v>
      </c>
    </row>
    <row r="2560" spans="1:46">
      <c r="A2560">
        <v>46928</v>
      </c>
      <c r="B2560" t="s">
        <v>14976</v>
      </c>
      <c r="C2560" t="s">
        <v>14977</v>
      </c>
      <c r="D2560" t="s">
        <v>14978</v>
      </c>
      <c r="E2560" t="s">
        <v>14979</v>
      </c>
      <c r="F2560" t="s">
        <v>1120</v>
      </c>
      <c r="G2560" t="s">
        <v>737</v>
      </c>
      <c r="H2560" t="s">
        <v>449</v>
      </c>
      <c r="J2560" t="s">
        <v>4032</v>
      </c>
      <c r="K2560" t="s">
        <v>606</v>
      </c>
      <c r="M2560" t="s">
        <v>607</v>
      </c>
      <c r="N2560" t="s">
        <v>625</v>
      </c>
      <c r="O2560" t="s">
        <v>813</v>
      </c>
      <c r="P2560" t="s">
        <v>739</v>
      </c>
      <c r="Q2560" t="s">
        <v>467</v>
      </c>
      <c r="R2560" t="s">
        <v>814</v>
      </c>
      <c r="S2560" t="s">
        <v>815</v>
      </c>
      <c r="T2560" t="s">
        <v>794</v>
      </c>
      <c r="U2560">
        <v>154001</v>
      </c>
      <c r="V2560" t="s">
        <v>1139</v>
      </c>
      <c r="W2560" t="s">
        <v>817</v>
      </c>
      <c r="X2560" t="s">
        <v>14980</v>
      </c>
      <c r="Y2560" t="s">
        <v>14981</v>
      </c>
      <c r="Z2560" t="s">
        <v>1120</v>
      </c>
      <c r="AA2560" t="s">
        <v>7439</v>
      </c>
      <c r="AB2560" t="s">
        <v>14982</v>
      </c>
      <c r="AC2560">
        <v>99102</v>
      </c>
      <c r="AD2560" t="s">
        <v>1123</v>
      </c>
      <c r="AE2560">
        <v>-36.971488919999999</v>
      </c>
      <c r="AF2560">
        <v>174.84769265</v>
      </c>
      <c r="AG2560" s="175">
        <v>47</v>
      </c>
      <c r="AH2560" s="175">
        <v>10</v>
      </c>
      <c r="AI2560" s="175">
        <v>5</v>
      </c>
      <c r="AJ2560" s="175">
        <v>5</v>
      </c>
      <c r="AK2560" s="175">
        <v>7</v>
      </c>
      <c r="AL2560" s="175">
        <v>19</v>
      </c>
      <c r="AM2560" s="175">
        <v>17</v>
      </c>
      <c r="AN2560" s="175">
        <v>0</v>
      </c>
      <c r="AO2560" s="175">
        <v>53</v>
      </c>
      <c r="AP2560" s="175">
        <v>2</v>
      </c>
      <c r="AQ2560" s="175">
        <v>1</v>
      </c>
      <c r="AR2560" s="175">
        <v>26</v>
      </c>
      <c r="AS2560" s="175">
        <v>28</v>
      </c>
      <c r="AT2560" s="175">
        <v>0</v>
      </c>
    </row>
    <row r="2561" spans="1:46">
      <c r="A2561">
        <v>46929</v>
      </c>
      <c r="B2561" t="s">
        <v>14983</v>
      </c>
      <c r="C2561" t="s">
        <v>14984</v>
      </c>
      <c r="D2561" t="s">
        <v>14985</v>
      </c>
      <c r="E2561" t="s">
        <v>14986</v>
      </c>
      <c r="F2561" t="s">
        <v>932</v>
      </c>
      <c r="G2561" t="s">
        <v>737</v>
      </c>
      <c r="H2561" t="s">
        <v>450</v>
      </c>
      <c r="J2561" t="s">
        <v>4032</v>
      </c>
      <c r="K2561" t="s">
        <v>606</v>
      </c>
      <c r="M2561" t="s">
        <v>607</v>
      </c>
      <c r="N2561" t="s">
        <v>657</v>
      </c>
      <c r="O2561" t="s">
        <v>933</v>
      </c>
      <c r="P2561" t="s">
        <v>739</v>
      </c>
      <c r="Q2561" t="s">
        <v>467</v>
      </c>
      <c r="R2561" t="s">
        <v>814</v>
      </c>
      <c r="S2561" t="s">
        <v>934</v>
      </c>
      <c r="T2561" t="s">
        <v>794</v>
      </c>
      <c r="U2561">
        <v>147900</v>
      </c>
      <c r="V2561" t="s">
        <v>4805</v>
      </c>
      <c r="W2561" t="s">
        <v>817</v>
      </c>
      <c r="X2561" t="s">
        <v>14987</v>
      </c>
      <c r="Y2561" t="s">
        <v>14988</v>
      </c>
      <c r="Z2561" t="s">
        <v>932</v>
      </c>
      <c r="AA2561" t="s">
        <v>14989</v>
      </c>
      <c r="AB2561" t="s">
        <v>14990</v>
      </c>
      <c r="AE2561">
        <v>-36.999679139999998</v>
      </c>
      <c r="AF2561">
        <v>174.78943038</v>
      </c>
      <c r="AG2561" s="175">
        <v>100</v>
      </c>
      <c r="AH2561" s="175">
        <v>100</v>
      </c>
      <c r="AI2561" s="175">
        <v>16</v>
      </c>
      <c r="AJ2561" s="175">
        <v>17</v>
      </c>
      <c r="AK2561" s="175">
        <v>24</v>
      </c>
      <c r="AL2561" s="175">
        <v>21</v>
      </c>
      <c r="AM2561" s="175">
        <v>15</v>
      </c>
      <c r="AN2561" s="175">
        <v>2</v>
      </c>
      <c r="AO2561" s="175">
        <v>95</v>
      </c>
      <c r="AP2561" s="175">
        <v>1</v>
      </c>
      <c r="AQ2561" s="175">
        <v>1</v>
      </c>
      <c r="AR2561" s="175">
        <v>92</v>
      </c>
      <c r="AS2561" s="175">
        <v>2</v>
      </c>
      <c r="AT2561" s="175">
        <v>0</v>
      </c>
    </row>
    <row r="2562" spans="1:46">
      <c r="A2562">
        <v>46930</v>
      </c>
      <c r="B2562" t="s">
        <v>14991</v>
      </c>
      <c r="C2562" t="s">
        <v>14992</v>
      </c>
      <c r="D2562" t="s">
        <v>12423</v>
      </c>
      <c r="E2562" t="s">
        <v>14993</v>
      </c>
      <c r="F2562" t="s">
        <v>907</v>
      </c>
      <c r="G2562" t="s">
        <v>737</v>
      </c>
      <c r="H2562" t="s">
        <v>449</v>
      </c>
      <c r="J2562" t="s">
        <v>4032</v>
      </c>
      <c r="K2562" t="s">
        <v>606</v>
      </c>
      <c r="M2562" t="s">
        <v>607</v>
      </c>
      <c r="N2562" t="s">
        <v>657</v>
      </c>
      <c r="O2562" t="s">
        <v>942</v>
      </c>
      <c r="P2562" t="s">
        <v>739</v>
      </c>
      <c r="Q2562" t="s">
        <v>467</v>
      </c>
      <c r="R2562" t="s">
        <v>793</v>
      </c>
      <c r="S2562" t="s">
        <v>907</v>
      </c>
      <c r="T2562" t="s">
        <v>794</v>
      </c>
      <c r="U2562">
        <v>138700</v>
      </c>
      <c r="V2562" t="s">
        <v>6580</v>
      </c>
      <c r="W2562" t="s">
        <v>945</v>
      </c>
      <c r="X2562" t="s">
        <v>12425</v>
      </c>
      <c r="Y2562" t="s">
        <v>12426</v>
      </c>
      <c r="Z2562" t="s">
        <v>907</v>
      </c>
      <c r="AA2562" t="s">
        <v>4138</v>
      </c>
      <c r="AB2562" t="s">
        <v>12427</v>
      </c>
      <c r="AE2562">
        <v>-36.882514370000003</v>
      </c>
      <c r="AF2562">
        <v>174.77557150000001</v>
      </c>
      <c r="AG2562" s="175">
        <v>60</v>
      </c>
      <c r="AH2562" s="175">
        <v>15</v>
      </c>
      <c r="AI2562" s="175">
        <v>1</v>
      </c>
      <c r="AJ2562" s="175">
        <v>4</v>
      </c>
      <c r="AK2562" s="175">
        <v>8</v>
      </c>
      <c r="AL2562" s="175">
        <v>6</v>
      </c>
      <c r="AM2562" s="175">
        <v>4</v>
      </c>
      <c r="AN2562" s="175">
        <v>0</v>
      </c>
      <c r="AO2562" s="175">
        <v>23</v>
      </c>
      <c r="AP2562" s="175">
        <v>9</v>
      </c>
      <c r="AQ2562" s="175">
        <v>2</v>
      </c>
      <c r="AR2562" s="175">
        <v>1</v>
      </c>
      <c r="AS2562" s="175">
        <v>14</v>
      </c>
      <c r="AT2562" s="175">
        <v>3</v>
      </c>
    </row>
    <row r="2563" spans="1:46">
      <c r="A2563">
        <v>46932</v>
      </c>
      <c r="B2563" t="s">
        <v>14994</v>
      </c>
      <c r="C2563" t="s">
        <v>14995</v>
      </c>
      <c r="E2563" t="s">
        <v>14996</v>
      </c>
      <c r="G2563" t="s">
        <v>604</v>
      </c>
      <c r="H2563" t="s">
        <v>449</v>
      </c>
      <c r="J2563" t="s">
        <v>4032</v>
      </c>
      <c r="K2563" t="s">
        <v>606</v>
      </c>
      <c r="M2563" t="s">
        <v>607</v>
      </c>
      <c r="N2563" t="s">
        <v>625</v>
      </c>
      <c r="O2563" t="s">
        <v>609</v>
      </c>
      <c r="P2563" t="s">
        <v>610</v>
      </c>
      <c r="Q2563" t="s">
        <v>509</v>
      </c>
      <c r="R2563" t="s">
        <v>611</v>
      </c>
      <c r="S2563" t="s">
        <v>612</v>
      </c>
      <c r="T2563" t="s">
        <v>613</v>
      </c>
      <c r="U2563">
        <v>100700</v>
      </c>
      <c r="V2563" t="s">
        <v>632</v>
      </c>
      <c r="W2563" t="s">
        <v>615</v>
      </c>
      <c r="X2563" t="s">
        <v>12374</v>
      </c>
      <c r="Y2563" t="s">
        <v>12372</v>
      </c>
      <c r="AA2563" t="s">
        <v>12375</v>
      </c>
      <c r="AB2563" t="s">
        <v>12376</v>
      </c>
      <c r="AE2563">
        <v>-35.112547900000003</v>
      </c>
      <c r="AF2563">
        <v>173.26660666000001</v>
      </c>
      <c r="AG2563" s="175">
        <v>50</v>
      </c>
      <c r="AH2563" s="175">
        <v>10</v>
      </c>
      <c r="AI2563" s="175">
        <v>0</v>
      </c>
      <c r="AJ2563" s="175">
        <v>8</v>
      </c>
      <c r="AK2563" s="175">
        <v>6</v>
      </c>
      <c r="AL2563" s="175">
        <v>17</v>
      </c>
      <c r="AM2563" s="175">
        <v>7</v>
      </c>
      <c r="AN2563" s="175">
        <v>0</v>
      </c>
      <c r="AO2563" s="175">
        <v>38</v>
      </c>
      <c r="AP2563" s="175">
        <v>34</v>
      </c>
      <c r="AQ2563" s="175">
        <v>25</v>
      </c>
      <c r="AR2563" s="175">
        <v>7</v>
      </c>
      <c r="AS2563" s="175">
        <v>1</v>
      </c>
      <c r="AT2563" s="175">
        <v>0</v>
      </c>
    </row>
    <row r="2564" spans="1:46">
      <c r="A2564">
        <v>46935</v>
      </c>
      <c r="B2564" t="s">
        <v>14997</v>
      </c>
      <c r="C2564" t="s">
        <v>12557</v>
      </c>
      <c r="E2564" t="s">
        <v>14998</v>
      </c>
      <c r="F2564" t="s">
        <v>14233</v>
      </c>
      <c r="G2564" t="s">
        <v>737</v>
      </c>
      <c r="H2564" t="s">
        <v>449</v>
      </c>
      <c r="I2564" t="s">
        <v>5017</v>
      </c>
      <c r="J2564" t="s">
        <v>605</v>
      </c>
      <c r="K2564" t="s">
        <v>606</v>
      </c>
      <c r="M2564" t="s">
        <v>607</v>
      </c>
      <c r="N2564" t="s">
        <v>812</v>
      </c>
      <c r="O2564" t="s">
        <v>1301</v>
      </c>
      <c r="P2564" t="s">
        <v>739</v>
      </c>
      <c r="Q2564" t="s">
        <v>467</v>
      </c>
      <c r="R2564" t="s">
        <v>814</v>
      </c>
      <c r="S2564" t="s">
        <v>1121</v>
      </c>
      <c r="T2564" t="s">
        <v>794</v>
      </c>
      <c r="U2564">
        <v>158700</v>
      </c>
      <c r="V2564" t="s">
        <v>1372</v>
      </c>
      <c r="W2564" t="s">
        <v>1304</v>
      </c>
      <c r="X2564" t="s">
        <v>12556</v>
      </c>
      <c r="Y2564" t="s">
        <v>5020</v>
      </c>
      <c r="Z2564" t="s">
        <v>5021</v>
      </c>
      <c r="AA2564" t="s">
        <v>5022</v>
      </c>
      <c r="AB2564" t="s">
        <v>12557</v>
      </c>
      <c r="AC2564">
        <v>99211</v>
      </c>
      <c r="AD2564" t="s">
        <v>7342</v>
      </c>
      <c r="AE2564">
        <v>-37.02744843</v>
      </c>
      <c r="AF2564">
        <v>174.86121489999999</v>
      </c>
      <c r="AG2564" s="175">
        <v>50</v>
      </c>
      <c r="AH2564" s="175">
        <v>0</v>
      </c>
      <c r="AI2564" s="175">
        <v>0</v>
      </c>
      <c r="AJ2564" s="175">
        <v>0</v>
      </c>
      <c r="AK2564" s="175">
        <v>10</v>
      </c>
      <c r="AL2564" s="175">
        <v>16</v>
      </c>
      <c r="AM2564" s="175">
        <v>13</v>
      </c>
      <c r="AN2564" s="175">
        <v>2</v>
      </c>
      <c r="AO2564" s="175">
        <v>41</v>
      </c>
      <c r="AP2564" s="175">
        <v>6</v>
      </c>
      <c r="AQ2564" s="175">
        <v>32</v>
      </c>
      <c r="AR2564" s="175">
        <v>26</v>
      </c>
      <c r="AS2564" s="175">
        <v>1</v>
      </c>
      <c r="AT2564" s="175">
        <v>0</v>
      </c>
    </row>
    <row r="2565" spans="1:46">
      <c r="A2565">
        <v>46937</v>
      </c>
      <c r="B2565" t="s">
        <v>14999</v>
      </c>
      <c r="C2565" t="s">
        <v>15000</v>
      </c>
      <c r="E2565" t="s">
        <v>15001</v>
      </c>
      <c r="G2565" t="s">
        <v>9170</v>
      </c>
      <c r="H2565" t="s">
        <v>449</v>
      </c>
      <c r="J2565" t="s">
        <v>4032</v>
      </c>
      <c r="K2565" t="s">
        <v>606</v>
      </c>
      <c r="M2565" t="s">
        <v>1382</v>
      </c>
      <c r="N2565" t="s">
        <v>657</v>
      </c>
      <c r="O2565" t="s">
        <v>1521</v>
      </c>
      <c r="P2565" t="s">
        <v>626</v>
      </c>
      <c r="Q2565" t="s">
        <v>510</v>
      </c>
      <c r="R2565" t="s">
        <v>1384</v>
      </c>
      <c r="S2565" t="s">
        <v>1522</v>
      </c>
      <c r="T2565" t="s">
        <v>1320</v>
      </c>
      <c r="U2565">
        <v>168800</v>
      </c>
      <c r="V2565" t="s">
        <v>9171</v>
      </c>
      <c r="W2565" t="s">
        <v>3927</v>
      </c>
      <c r="X2565" t="s">
        <v>11755</v>
      </c>
      <c r="Y2565" t="s">
        <v>11754</v>
      </c>
      <c r="AA2565" t="s">
        <v>11756</v>
      </c>
      <c r="AB2565" t="s">
        <v>11757</v>
      </c>
      <c r="AC2565">
        <v>99015</v>
      </c>
      <c r="AD2565" t="s">
        <v>3928</v>
      </c>
      <c r="AE2565">
        <v>-37.235196070000001</v>
      </c>
      <c r="AF2565">
        <v>175.56538775999999</v>
      </c>
      <c r="AG2565" s="175">
        <v>28</v>
      </c>
      <c r="AH2565" s="175">
        <v>0</v>
      </c>
      <c r="AI2565" s="175">
        <v>0</v>
      </c>
      <c r="AJ2565" s="175">
        <v>0</v>
      </c>
      <c r="AK2565" s="175">
        <v>2</v>
      </c>
      <c r="AL2565" s="175">
        <v>9</v>
      </c>
      <c r="AM2565" s="175">
        <v>9</v>
      </c>
      <c r="AN2565" s="175">
        <v>2</v>
      </c>
      <c r="AO2565" s="175">
        <v>22</v>
      </c>
      <c r="AP2565" s="175">
        <v>20</v>
      </c>
      <c r="AQ2565" s="175">
        <v>4</v>
      </c>
      <c r="AR2565" s="175">
        <v>0</v>
      </c>
      <c r="AS2565" s="175">
        <v>2</v>
      </c>
      <c r="AT2565" s="175">
        <v>1</v>
      </c>
    </row>
    <row r="2566" spans="1:46">
      <c r="A2566">
        <v>46941</v>
      </c>
      <c r="B2566" t="s">
        <v>15002</v>
      </c>
      <c r="C2566" t="s">
        <v>10706</v>
      </c>
      <c r="E2566" t="s">
        <v>15003</v>
      </c>
      <c r="F2566" t="s">
        <v>9813</v>
      </c>
      <c r="G2566" t="s">
        <v>1681</v>
      </c>
      <c r="H2566" t="s">
        <v>449</v>
      </c>
      <c r="J2566" t="s">
        <v>4032</v>
      </c>
      <c r="K2566" t="s">
        <v>606</v>
      </c>
      <c r="M2566" t="s">
        <v>1382</v>
      </c>
      <c r="N2566" t="s">
        <v>657</v>
      </c>
      <c r="O2566" t="s">
        <v>1780</v>
      </c>
      <c r="P2566" t="s">
        <v>739</v>
      </c>
      <c r="Q2566" t="s">
        <v>511</v>
      </c>
      <c r="R2566" t="s">
        <v>1555</v>
      </c>
      <c r="S2566" t="s">
        <v>1781</v>
      </c>
      <c r="T2566" t="s">
        <v>1557</v>
      </c>
      <c r="U2566">
        <v>195102</v>
      </c>
      <c r="V2566" t="s">
        <v>15004</v>
      </c>
      <c r="W2566" t="s">
        <v>1799</v>
      </c>
      <c r="X2566" t="s">
        <v>15005</v>
      </c>
      <c r="Y2566" t="s">
        <v>10710</v>
      </c>
      <c r="Z2566" t="s">
        <v>1797</v>
      </c>
      <c r="AA2566" t="s">
        <v>8947</v>
      </c>
      <c r="AB2566" t="s">
        <v>10706</v>
      </c>
      <c r="AC2566">
        <v>99085</v>
      </c>
      <c r="AD2566" t="s">
        <v>1800</v>
      </c>
      <c r="AE2566">
        <v>-37.756364470000001</v>
      </c>
      <c r="AF2566">
        <v>176.10346939999999</v>
      </c>
      <c r="AG2566" s="175">
        <v>87</v>
      </c>
      <c r="AH2566" s="175">
        <v>27</v>
      </c>
      <c r="AI2566" s="175">
        <v>4</v>
      </c>
      <c r="AJ2566" s="175">
        <v>16</v>
      </c>
      <c r="AK2566" s="175">
        <v>21</v>
      </c>
      <c r="AL2566" s="175">
        <v>21</v>
      </c>
      <c r="AM2566" s="175">
        <v>31</v>
      </c>
      <c r="AN2566" s="175">
        <v>0</v>
      </c>
      <c r="AO2566" s="175">
        <v>93</v>
      </c>
      <c r="AP2566" s="175">
        <v>73</v>
      </c>
      <c r="AQ2566" s="175">
        <v>18</v>
      </c>
      <c r="AR2566" s="175">
        <v>7</v>
      </c>
      <c r="AS2566" s="175">
        <v>14</v>
      </c>
      <c r="AT2566" s="175">
        <v>1</v>
      </c>
    </row>
    <row r="2567" spans="1:46">
      <c r="A2567">
        <v>46943</v>
      </c>
      <c r="B2567" t="s">
        <v>15006</v>
      </c>
      <c r="C2567" t="s">
        <v>15007</v>
      </c>
      <c r="E2567" t="s">
        <v>15008</v>
      </c>
      <c r="F2567" t="s">
        <v>1121</v>
      </c>
      <c r="G2567" t="s">
        <v>737</v>
      </c>
      <c r="H2567" t="s">
        <v>449</v>
      </c>
      <c r="J2567" t="s">
        <v>4032</v>
      </c>
      <c r="K2567" t="s">
        <v>606</v>
      </c>
      <c r="M2567" t="s">
        <v>607</v>
      </c>
      <c r="N2567" t="s">
        <v>608</v>
      </c>
      <c r="O2567" t="s">
        <v>1301</v>
      </c>
      <c r="P2567" t="s">
        <v>739</v>
      </c>
      <c r="Q2567" t="s">
        <v>467</v>
      </c>
      <c r="R2567" t="s">
        <v>814</v>
      </c>
      <c r="S2567" t="s">
        <v>1121</v>
      </c>
      <c r="T2567" t="s">
        <v>794</v>
      </c>
      <c r="U2567">
        <v>160100</v>
      </c>
      <c r="V2567" t="s">
        <v>6942</v>
      </c>
      <c r="W2567" t="s">
        <v>1304</v>
      </c>
      <c r="X2567" t="s">
        <v>15009</v>
      </c>
      <c r="Y2567" t="s">
        <v>15010</v>
      </c>
      <c r="Z2567" t="s">
        <v>6666</v>
      </c>
      <c r="AA2567" t="s">
        <v>4458</v>
      </c>
      <c r="AE2567">
        <v>-37.024282450000001</v>
      </c>
      <c r="AF2567">
        <v>174.89116551000001</v>
      </c>
      <c r="AG2567" s="175">
        <v>72</v>
      </c>
      <c r="AH2567" s="175">
        <v>16</v>
      </c>
      <c r="AI2567" s="175">
        <v>1</v>
      </c>
      <c r="AJ2567" s="175">
        <v>10</v>
      </c>
      <c r="AK2567" s="175">
        <v>13</v>
      </c>
      <c r="AL2567" s="175">
        <v>20</v>
      </c>
      <c r="AM2567" s="175">
        <v>23</v>
      </c>
      <c r="AN2567" s="175">
        <v>0</v>
      </c>
      <c r="AO2567" s="175">
        <v>67</v>
      </c>
      <c r="AP2567" s="175">
        <v>17</v>
      </c>
      <c r="AQ2567" s="175">
        <v>28</v>
      </c>
      <c r="AR2567" s="175">
        <v>33</v>
      </c>
      <c r="AS2567" s="175">
        <v>12</v>
      </c>
      <c r="AT2567" s="175">
        <v>3</v>
      </c>
    </row>
    <row r="2568" spans="1:46">
      <c r="A2568">
        <v>46956</v>
      </c>
      <c r="B2568" t="s">
        <v>15011</v>
      </c>
      <c r="C2568" t="s">
        <v>15012</v>
      </c>
      <c r="E2568" t="s">
        <v>15013</v>
      </c>
      <c r="F2568" t="s">
        <v>811</v>
      </c>
      <c r="G2568" t="s">
        <v>737</v>
      </c>
      <c r="H2568" t="s">
        <v>449</v>
      </c>
      <c r="J2568" t="s">
        <v>4032</v>
      </c>
      <c r="K2568" t="s">
        <v>606</v>
      </c>
      <c r="M2568" t="s">
        <v>607</v>
      </c>
      <c r="N2568" t="s">
        <v>812</v>
      </c>
      <c r="O2568" t="s">
        <v>813</v>
      </c>
      <c r="P2568" t="s">
        <v>739</v>
      </c>
      <c r="Q2568" t="s">
        <v>467</v>
      </c>
      <c r="R2568" t="s">
        <v>814</v>
      </c>
      <c r="S2568" t="s">
        <v>815</v>
      </c>
      <c r="T2568" t="s">
        <v>794</v>
      </c>
      <c r="U2568">
        <v>154400</v>
      </c>
      <c r="V2568" t="s">
        <v>7416</v>
      </c>
      <c r="W2568" t="s">
        <v>817</v>
      </c>
      <c r="X2568" t="s">
        <v>15014</v>
      </c>
      <c r="Y2568" t="s">
        <v>13131</v>
      </c>
      <c r="Z2568" t="s">
        <v>1157</v>
      </c>
      <c r="AA2568" t="s">
        <v>4826</v>
      </c>
      <c r="AB2568" t="s">
        <v>15015</v>
      </c>
      <c r="AE2568">
        <v>-36.961050319999998</v>
      </c>
      <c r="AF2568">
        <v>174.87562009999999</v>
      </c>
      <c r="AG2568" s="175">
        <v>70</v>
      </c>
      <c r="AH2568" s="175">
        <v>20</v>
      </c>
      <c r="AI2568" s="175">
        <v>4</v>
      </c>
      <c r="AJ2568" s="175">
        <v>5</v>
      </c>
      <c r="AK2568" s="175">
        <v>12</v>
      </c>
      <c r="AL2568" s="175">
        <v>10</v>
      </c>
      <c r="AM2568" s="175">
        <v>13</v>
      </c>
      <c r="AN2568" s="175">
        <v>0</v>
      </c>
      <c r="AO2568" s="175">
        <v>44</v>
      </c>
      <c r="AP2568" s="175">
        <v>2</v>
      </c>
      <c r="AQ2568" s="175">
        <v>5</v>
      </c>
      <c r="AR2568" s="175">
        <v>43</v>
      </c>
      <c r="AS2568" s="175">
        <v>2</v>
      </c>
      <c r="AT2568" s="175">
        <v>1</v>
      </c>
    </row>
    <row r="2569" spans="1:46">
      <c r="A2569">
        <v>46958</v>
      </c>
      <c r="B2569" t="s">
        <v>15016</v>
      </c>
      <c r="D2569" t="s">
        <v>8826</v>
      </c>
      <c r="E2569" t="s">
        <v>8827</v>
      </c>
      <c r="F2569" t="s">
        <v>1397</v>
      </c>
      <c r="G2569" t="s">
        <v>1381</v>
      </c>
      <c r="H2569" t="s">
        <v>450</v>
      </c>
      <c r="J2569" t="s">
        <v>4032</v>
      </c>
      <c r="K2569" t="s">
        <v>606</v>
      </c>
      <c r="M2569" t="s">
        <v>1382</v>
      </c>
      <c r="N2569" t="s">
        <v>657</v>
      </c>
      <c r="O2569" t="s">
        <v>1383</v>
      </c>
      <c r="P2569" t="s">
        <v>739</v>
      </c>
      <c r="Q2569" t="s">
        <v>510</v>
      </c>
      <c r="R2569" t="s">
        <v>1384</v>
      </c>
      <c r="S2569" t="s">
        <v>1396</v>
      </c>
      <c r="T2569" t="s">
        <v>1320</v>
      </c>
      <c r="U2569">
        <v>177300</v>
      </c>
      <c r="V2569" t="s">
        <v>1397</v>
      </c>
      <c r="W2569" t="s">
        <v>1398</v>
      </c>
      <c r="X2569" t="s">
        <v>13762</v>
      </c>
      <c r="Y2569" t="s">
        <v>8827</v>
      </c>
      <c r="Z2569" t="s">
        <v>1397</v>
      </c>
      <c r="AA2569" t="s">
        <v>8575</v>
      </c>
      <c r="AE2569">
        <v>-37.749628829999999</v>
      </c>
      <c r="AF2569">
        <v>175.27363099999999</v>
      </c>
      <c r="AG2569" s="175">
        <v>80</v>
      </c>
      <c r="AH2569" s="175">
        <v>80</v>
      </c>
      <c r="AI2569" s="175">
        <v>3</v>
      </c>
      <c r="AJ2569" s="175">
        <v>5</v>
      </c>
      <c r="AK2569" s="175">
        <v>4</v>
      </c>
      <c r="AL2569" s="175">
        <v>5</v>
      </c>
      <c r="AM2569" s="175">
        <v>6</v>
      </c>
      <c r="AN2569" s="175">
        <v>0</v>
      </c>
      <c r="AO2569" s="175">
        <v>23</v>
      </c>
      <c r="AP2569" s="175">
        <v>9</v>
      </c>
      <c r="AQ2569" s="175">
        <v>3</v>
      </c>
      <c r="AR2569" s="175">
        <v>0</v>
      </c>
      <c r="AS2569" s="175">
        <v>0</v>
      </c>
      <c r="AT2569" s="175">
        <v>13</v>
      </c>
    </row>
    <row r="2570" spans="1:46">
      <c r="A2570">
        <v>46959</v>
      </c>
      <c r="B2570" t="s">
        <v>15017</v>
      </c>
      <c r="C2570" t="s">
        <v>15018</v>
      </c>
      <c r="D2570" t="s">
        <v>15019</v>
      </c>
      <c r="E2570" t="s">
        <v>15020</v>
      </c>
      <c r="F2570" t="s">
        <v>1060</v>
      </c>
      <c r="G2570" t="s">
        <v>737</v>
      </c>
      <c r="H2570" t="s">
        <v>449</v>
      </c>
      <c r="J2570" t="s">
        <v>4032</v>
      </c>
      <c r="K2570" t="s">
        <v>606</v>
      </c>
      <c r="M2570" t="s">
        <v>607</v>
      </c>
      <c r="N2570" t="s">
        <v>657</v>
      </c>
      <c r="O2570" t="s">
        <v>933</v>
      </c>
      <c r="P2570" t="s">
        <v>739</v>
      </c>
      <c r="Q2570" t="s">
        <v>467</v>
      </c>
      <c r="R2570" t="s">
        <v>793</v>
      </c>
      <c r="S2570" t="s">
        <v>934</v>
      </c>
      <c r="T2570" t="s">
        <v>794</v>
      </c>
      <c r="U2570">
        <v>146800</v>
      </c>
      <c r="V2570" t="s">
        <v>5009</v>
      </c>
      <c r="W2570" t="s">
        <v>817</v>
      </c>
      <c r="X2570" t="s">
        <v>15021</v>
      </c>
      <c r="Y2570" t="s">
        <v>15022</v>
      </c>
      <c r="Z2570" t="s">
        <v>906</v>
      </c>
      <c r="AA2570" t="s">
        <v>4138</v>
      </c>
      <c r="AC2570">
        <v>99190</v>
      </c>
      <c r="AD2570" t="s">
        <v>916</v>
      </c>
      <c r="AE2570">
        <v>-36.941163570000001</v>
      </c>
      <c r="AF2570">
        <v>174.78777264999999</v>
      </c>
      <c r="AG2570" s="175">
        <v>80</v>
      </c>
      <c r="AH2570" s="175">
        <v>24</v>
      </c>
      <c r="AI2570" s="175">
        <v>3</v>
      </c>
      <c r="AJ2570" s="175">
        <v>19</v>
      </c>
      <c r="AK2570" s="175">
        <v>18</v>
      </c>
      <c r="AL2570" s="175">
        <v>25</v>
      </c>
      <c r="AM2570" s="175">
        <v>20</v>
      </c>
      <c r="AN2570" s="175">
        <v>1</v>
      </c>
      <c r="AO2570" s="175">
        <v>86</v>
      </c>
      <c r="AP2570" s="175">
        <v>64</v>
      </c>
      <c r="AQ2570" s="175">
        <v>15</v>
      </c>
      <c r="AR2570" s="175">
        <v>14</v>
      </c>
      <c r="AS2570" s="175">
        <v>20</v>
      </c>
      <c r="AT2570" s="175">
        <v>3</v>
      </c>
    </row>
    <row r="2571" spans="1:46">
      <c r="A2571">
        <v>46960</v>
      </c>
      <c r="B2571" t="s">
        <v>15023</v>
      </c>
      <c r="C2571" t="s">
        <v>13132</v>
      </c>
      <c r="E2571" t="s">
        <v>15024</v>
      </c>
      <c r="F2571" t="s">
        <v>811</v>
      </c>
      <c r="G2571" t="s">
        <v>737</v>
      </c>
      <c r="H2571" t="s">
        <v>450</v>
      </c>
      <c r="I2571" t="s">
        <v>4320</v>
      </c>
      <c r="J2571" t="s">
        <v>4032</v>
      </c>
      <c r="K2571" t="s">
        <v>606</v>
      </c>
      <c r="M2571" t="s">
        <v>607</v>
      </c>
      <c r="N2571" t="s">
        <v>625</v>
      </c>
      <c r="O2571" t="s">
        <v>813</v>
      </c>
      <c r="P2571" t="s">
        <v>739</v>
      </c>
      <c r="Q2571" t="s">
        <v>467</v>
      </c>
      <c r="R2571" t="s">
        <v>814</v>
      </c>
      <c r="S2571" t="s">
        <v>815</v>
      </c>
      <c r="T2571" t="s">
        <v>794</v>
      </c>
      <c r="U2571">
        <v>154400</v>
      </c>
      <c r="V2571" t="s">
        <v>7416</v>
      </c>
      <c r="W2571" t="s">
        <v>817</v>
      </c>
      <c r="X2571" t="s">
        <v>13130</v>
      </c>
      <c r="Y2571" t="s">
        <v>13131</v>
      </c>
      <c r="Z2571" t="s">
        <v>1157</v>
      </c>
      <c r="AA2571" t="s">
        <v>4952</v>
      </c>
      <c r="AB2571" t="s">
        <v>13132</v>
      </c>
      <c r="AE2571">
        <v>-36.960850370000003</v>
      </c>
      <c r="AF2571">
        <v>174.8756501</v>
      </c>
      <c r="AG2571" s="175">
        <v>70</v>
      </c>
      <c r="AH2571" s="175">
        <v>70</v>
      </c>
      <c r="AI2571" s="175">
        <v>10</v>
      </c>
      <c r="AJ2571" s="175">
        <v>9</v>
      </c>
      <c r="AK2571" s="175">
        <v>11</v>
      </c>
      <c r="AL2571" s="175">
        <v>4</v>
      </c>
      <c r="AM2571" s="175">
        <v>9</v>
      </c>
      <c r="AN2571" s="175">
        <v>0</v>
      </c>
      <c r="AO2571" s="175">
        <v>43</v>
      </c>
      <c r="AP2571" s="175">
        <v>0</v>
      </c>
      <c r="AQ2571" s="175">
        <v>0</v>
      </c>
      <c r="AR2571" s="175">
        <v>43</v>
      </c>
      <c r="AS2571" s="175">
        <v>0</v>
      </c>
      <c r="AT2571" s="175">
        <v>0</v>
      </c>
    </row>
    <row r="2572" spans="1:46">
      <c r="A2572">
        <v>46961</v>
      </c>
      <c r="B2572" t="s">
        <v>15025</v>
      </c>
      <c r="C2572" t="s">
        <v>15026</v>
      </c>
      <c r="D2572" t="s">
        <v>10886</v>
      </c>
      <c r="E2572" t="s">
        <v>15027</v>
      </c>
      <c r="G2572" t="s">
        <v>2752</v>
      </c>
      <c r="H2572" t="s">
        <v>449</v>
      </c>
      <c r="J2572" t="s">
        <v>4032</v>
      </c>
      <c r="K2572" t="s">
        <v>606</v>
      </c>
      <c r="M2572" t="s">
        <v>2366</v>
      </c>
      <c r="N2572" t="s">
        <v>657</v>
      </c>
      <c r="O2572" t="s">
        <v>2753</v>
      </c>
      <c r="P2572" t="s">
        <v>1347</v>
      </c>
      <c r="Q2572" t="s">
        <v>516</v>
      </c>
      <c r="R2572" t="s">
        <v>2368</v>
      </c>
      <c r="S2572" t="s">
        <v>2148</v>
      </c>
      <c r="T2572" t="s">
        <v>1568</v>
      </c>
      <c r="U2572">
        <v>237800</v>
      </c>
      <c r="V2572" t="s">
        <v>2754</v>
      </c>
      <c r="W2572" t="s">
        <v>2755</v>
      </c>
      <c r="X2572" t="s">
        <v>15028</v>
      </c>
      <c r="Y2572" t="s">
        <v>4725</v>
      </c>
      <c r="Z2572" t="s">
        <v>1043</v>
      </c>
      <c r="AA2572" t="s">
        <v>4726</v>
      </c>
      <c r="AB2572" t="s">
        <v>15026</v>
      </c>
      <c r="AE2572">
        <v>-40.916598270000001</v>
      </c>
      <c r="AF2572">
        <v>174.9967126</v>
      </c>
      <c r="AG2572" s="175">
        <v>94</v>
      </c>
      <c r="AH2572" s="175">
        <v>24</v>
      </c>
      <c r="AI2572" s="175">
        <v>4</v>
      </c>
      <c r="AJ2572" s="175">
        <v>16</v>
      </c>
      <c r="AK2572" s="175">
        <v>20</v>
      </c>
      <c r="AL2572" s="175">
        <v>14</v>
      </c>
      <c r="AM2572" s="175">
        <v>21</v>
      </c>
      <c r="AN2572" s="175">
        <v>0</v>
      </c>
      <c r="AO2572" s="175">
        <v>75</v>
      </c>
      <c r="AP2572" s="175">
        <v>68</v>
      </c>
      <c r="AQ2572" s="175">
        <v>14</v>
      </c>
      <c r="AR2572" s="175">
        <v>4</v>
      </c>
      <c r="AS2572" s="175">
        <v>8</v>
      </c>
      <c r="AT2572" s="175">
        <v>3</v>
      </c>
    </row>
    <row r="2573" spans="1:46">
      <c r="A2573">
        <v>46962</v>
      </c>
      <c r="B2573" t="s">
        <v>15029</v>
      </c>
      <c r="C2573" t="s">
        <v>15030</v>
      </c>
      <c r="E2573" t="s">
        <v>15031</v>
      </c>
      <c r="G2573" t="s">
        <v>1330</v>
      </c>
      <c r="H2573" t="s">
        <v>449</v>
      </c>
      <c r="J2573" t="s">
        <v>4032</v>
      </c>
      <c r="K2573" t="s">
        <v>606</v>
      </c>
      <c r="M2573" t="s">
        <v>607</v>
      </c>
      <c r="N2573" t="s">
        <v>657</v>
      </c>
      <c r="O2573" t="s">
        <v>1318</v>
      </c>
      <c r="P2573" t="s">
        <v>610</v>
      </c>
      <c r="Q2573" t="s">
        <v>467</v>
      </c>
      <c r="R2573" t="s">
        <v>814</v>
      </c>
      <c r="S2573" t="s">
        <v>1331</v>
      </c>
      <c r="T2573" t="s">
        <v>1320</v>
      </c>
      <c r="U2573">
        <v>164700</v>
      </c>
      <c r="V2573" t="s">
        <v>1375</v>
      </c>
      <c r="W2573" t="s">
        <v>1322</v>
      </c>
      <c r="X2573" t="s">
        <v>15032</v>
      </c>
      <c r="Y2573" t="s">
        <v>15033</v>
      </c>
      <c r="Z2573" t="s">
        <v>6227</v>
      </c>
      <c r="AA2573" t="s">
        <v>4498</v>
      </c>
      <c r="AB2573" t="s">
        <v>15034</v>
      </c>
      <c r="AC2573">
        <v>99033</v>
      </c>
      <c r="AD2573" t="s">
        <v>1333</v>
      </c>
      <c r="AE2573">
        <v>-37.252121629999998</v>
      </c>
      <c r="AF2573">
        <v>174.72906517000001</v>
      </c>
      <c r="AG2573" s="175">
        <v>60</v>
      </c>
      <c r="AH2573" s="175">
        <v>15</v>
      </c>
      <c r="AI2573" s="175">
        <v>3</v>
      </c>
      <c r="AJ2573" s="175">
        <v>7</v>
      </c>
      <c r="AK2573" s="175">
        <v>13</v>
      </c>
      <c r="AL2573" s="175">
        <v>11</v>
      </c>
      <c r="AM2573" s="175">
        <v>15</v>
      </c>
      <c r="AN2573" s="175">
        <v>0</v>
      </c>
      <c r="AO2573" s="175">
        <v>49</v>
      </c>
      <c r="AP2573" s="175">
        <v>40</v>
      </c>
      <c r="AQ2573" s="175">
        <v>15</v>
      </c>
      <c r="AR2573" s="175">
        <v>4</v>
      </c>
      <c r="AS2573" s="175">
        <v>4</v>
      </c>
      <c r="AT2573" s="175">
        <v>3</v>
      </c>
    </row>
    <row r="2574" spans="1:46">
      <c r="A2574">
        <v>46963</v>
      </c>
      <c r="B2574" t="s">
        <v>15035</v>
      </c>
      <c r="C2574" t="s">
        <v>15036</v>
      </c>
      <c r="E2574" t="s">
        <v>15037</v>
      </c>
      <c r="F2574" t="s">
        <v>1108</v>
      </c>
      <c r="G2574" t="s">
        <v>737</v>
      </c>
      <c r="H2574" t="s">
        <v>450</v>
      </c>
      <c r="I2574" t="s">
        <v>4371</v>
      </c>
      <c r="J2574" t="s">
        <v>4032</v>
      </c>
      <c r="K2574" t="s">
        <v>606</v>
      </c>
      <c r="M2574" t="s">
        <v>607</v>
      </c>
      <c r="N2574" t="s">
        <v>657</v>
      </c>
      <c r="O2574" t="s">
        <v>997</v>
      </c>
      <c r="P2574" t="s">
        <v>739</v>
      </c>
      <c r="Q2574" t="s">
        <v>467</v>
      </c>
      <c r="R2574" t="s">
        <v>793</v>
      </c>
      <c r="S2574" t="s">
        <v>998</v>
      </c>
      <c r="T2574" t="s">
        <v>794</v>
      </c>
      <c r="U2574">
        <v>142301</v>
      </c>
      <c r="V2574" t="s">
        <v>15038</v>
      </c>
      <c r="W2574" t="s">
        <v>945</v>
      </c>
      <c r="X2574" t="s">
        <v>15039</v>
      </c>
      <c r="Y2574" t="s">
        <v>15037</v>
      </c>
      <c r="Z2574" t="s">
        <v>1108</v>
      </c>
      <c r="AA2574" t="s">
        <v>6130</v>
      </c>
      <c r="AB2574" t="s">
        <v>15040</v>
      </c>
      <c r="AE2574">
        <v>-36.928670619999998</v>
      </c>
      <c r="AF2574">
        <v>174.73986267999999</v>
      </c>
      <c r="AG2574" s="175">
        <v>30</v>
      </c>
      <c r="AH2574" s="175">
        <v>30</v>
      </c>
      <c r="AI2574" s="175">
        <v>7</v>
      </c>
      <c r="AJ2574" s="175">
        <v>4</v>
      </c>
      <c r="AK2574" s="175">
        <v>2</v>
      </c>
      <c r="AL2574" s="175">
        <v>3</v>
      </c>
      <c r="AM2574" s="175">
        <v>5</v>
      </c>
      <c r="AN2574" s="175">
        <v>0</v>
      </c>
      <c r="AO2574" s="175">
        <v>21</v>
      </c>
      <c r="AP2574" s="175">
        <v>1</v>
      </c>
      <c r="AQ2574" s="175">
        <v>0</v>
      </c>
      <c r="AR2574" s="175">
        <v>0</v>
      </c>
      <c r="AS2574" s="175">
        <v>21</v>
      </c>
      <c r="AT2574" s="175">
        <v>0</v>
      </c>
    </row>
    <row r="2575" spans="1:46">
      <c r="A2575">
        <v>46965</v>
      </c>
      <c r="B2575" t="s">
        <v>15041</v>
      </c>
      <c r="C2575" t="s">
        <v>14114</v>
      </c>
      <c r="D2575" t="s">
        <v>14110</v>
      </c>
      <c r="E2575" t="s">
        <v>14111</v>
      </c>
      <c r="F2575" t="s">
        <v>1157</v>
      </c>
      <c r="G2575" t="s">
        <v>737</v>
      </c>
      <c r="H2575" t="s">
        <v>450</v>
      </c>
      <c r="I2575" t="s">
        <v>4320</v>
      </c>
      <c r="J2575" t="s">
        <v>4032</v>
      </c>
      <c r="K2575" t="s">
        <v>606</v>
      </c>
      <c r="M2575" t="s">
        <v>607</v>
      </c>
      <c r="N2575" t="s">
        <v>812</v>
      </c>
      <c r="O2575" t="s">
        <v>933</v>
      </c>
      <c r="P2575" t="s">
        <v>739</v>
      </c>
      <c r="Q2575" t="s">
        <v>467</v>
      </c>
      <c r="R2575" t="s">
        <v>814</v>
      </c>
      <c r="S2575" t="s">
        <v>815</v>
      </c>
      <c r="T2575" t="s">
        <v>794</v>
      </c>
      <c r="U2575">
        <v>150101</v>
      </c>
      <c r="V2575" t="s">
        <v>4174</v>
      </c>
      <c r="W2575" t="s">
        <v>817</v>
      </c>
      <c r="X2575" t="s">
        <v>14112</v>
      </c>
      <c r="Y2575" t="s">
        <v>14113</v>
      </c>
      <c r="Z2575" t="s">
        <v>1157</v>
      </c>
      <c r="AA2575" t="s">
        <v>4952</v>
      </c>
      <c r="AB2575" t="s">
        <v>14114</v>
      </c>
      <c r="AE2575">
        <v>-36.941198</v>
      </c>
      <c r="AF2575">
        <v>174.8417211</v>
      </c>
      <c r="AG2575" s="175">
        <v>40</v>
      </c>
      <c r="AH2575" s="175">
        <v>40</v>
      </c>
      <c r="AI2575" s="175">
        <v>2</v>
      </c>
      <c r="AJ2575" s="175">
        <v>8</v>
      </c>
      <c r="AK2575" s="175">
        <v>7</v>
      </c>
      <c r="AL2575" s="175">
        <v>0</v>
      </c>
      <c r="AM2575" s="175">
        <v>4</v>
      </c>
      <c r="AN2575" s="175">
        <v>1</v>
      </c>
      <c r="AO2575" s="175">
        <v>22</v>
      </c>
      <c r="AP2575" s="175">
        <v>0</v>
      </c>
      <c r="AQ2575" s="175">
        <v>2</v>
      </c>
      <c r="AR2575" s="175">
        <v>22</v>
      </c>
      <c r="AS2575" s="175">
        <v>0</v>
      </c>
      <c r="AT2575" s="175">
        <v>0</v>
      </c>
    </row>
    <row r="2576" spans="1:46">
      <c r="A2576">
        <v>46966</v>
      </c>
      <c r="B2576" t="s">
        <v>15042</v>
      </c>
      <c r="C2576" t="s">
        <v>11744</v>
      </c>
      <c r="E2576" t="s">
        <v>11745</v>
      </c>
      <c r="F2576" t="s">
        <v>4060</v>
      </c>
      <c r="G2576" t="s">
        <v>737</v>
      </c>
      <c r="H2576" t="s">
        <v>450</v>
      </c>
      <c r="J2576" t="s">
        <v>4032</v>
      </c>
      <c r="K2576" t="s">
        <v>606</v>
      </c>
      <c r="M2576" t="s">
        <v>607</v>
      </c>
      <c r="N2576" t="s">
        <v>812</v>
      </c>
      <c r="O2576" t="s">
        <v>813</v>
      </c>
      <c r="P2576" t="s">
        <v>739</v>
      </c>
      <c r="Q2576" t="s">
        <v>467</v>
      </c>
      <c r="R2576" t="s">
        <v>814</v>
      </c>
      <c r="S2576" t="s">
        <v>863</v>
      </c>
      <c r="T2576" t="s">
        <v>794</v>
      </c>
      <c r="U2576">
        <v>156000</v>
      </c>
      <c r="V2576" t="s">
        <v>6473</v>
      </c>
      <c r="W2576" t="s">
        <v>817</v>
      </c>
      <c r="X2576" t="s">
        <v>11746</v>
      </c>
      <c r="Y2576" t="s">
        <v>11747</v>
      </c>
      <c r="Z2576" t="s">
        <v>913</v>
      </c>
      <c r="AA2576" t="s">
        <v>6945</v>
      </c>
      <c r="AE2576">
        <v>-36.960506950000003</v>
      </c>
      <c r="AF2576">
        <v>174.89600519999999</v>
      </c>
      <c r="AG2576" s="175">
        <v>60</v>
      </c>
      <c r="AH2576" s="175">
        <v>60</v>
      </c>
      <c r="AI2576" s="175">
        <v>4</v>
      </c>
      <c r="AJ2576" s="175">
        <v>6</v>
      </c>
      <c r="AK2576" s="175">
        <v>5</v>
      </c>
      <c r="AL2576" s="175">
        <v>7</v>
      </c>
      <c r="AM2576" s="175">
        <v>7</v>
      </c>
      <c r="AN2576" s="175">
        <v>0</v>
      </c>
      <c r="AO2576" s="175">
        <v>29</v>
      </c>
      <c r="AP2576" s="175">
        <v>0</v>
      </c>
      <c r="AQ2576" s="175">
        <v>0</v>
      </c>
      <c r="AR2576" s="175">
        <v>27</v>
      </c>
      <c r="AS2576" s="175">
        <v>2</v>
      </c>
      <c r="AT2576" s="175">
        <v>0</v>
      </c>
    </row>
    <row r="2577" spans="1:46">
      <c r="A2577">
        <v>46967</v>
      </c>
      <c r="B2577" t="s">
        <v>15043</v>
      </c>
      <c r="C2577" t="s">
        <v>15044</v>
      </c>
      <c r="D2577" t="s">
        <v>15045</v>
      </c>
      <c r="E2577" t="s">
        <v>15046</v>
      </c>
      <c r="F2577" t="s">
        <v>4113</v>
      </c>
      <c r="G2577" t="s">
        <v>737</v>
      </c>
      <c r="H2577" t="s">
        <v>449</v>
      </c>
      <c r="J2577" t="s">
        <v>4032</v>
      </c>
      <c r="K2577" t="s">
        <v>606</v>
      </c>
      <c r="M2577" t="s">
        <v>607</v>
      </c>
      <c r="N2577" t="s">
        <v>812</v>
      </c>
      <c r="O2577" t="s">
        <v>1353</v>
      </c>
      <c r="P2577" t="s">
        <v>739</v>
      </c>
      <c r="Q2577" t="s">
        <v>467</v>
      </c>
      <c r="R2577" t="s">
        <v>814</v>
      </c>
      <c r="S2577" t="s">
        <v>1319</v>
      </c>
      <c r="T2577" t="s">
        <v>1320</v>
      </c>
      <c r="U2577">
        <v>163501</v>
      </c>
      <c r="V2577" t="s">
        <v>1354</v>
      </c>
      <c r="W2577" t="s">
        <v>1304</v>
      </c>
      <c r="X2577" t="s">
        <v>15047</v>
      </c>
      <c r="Y2577" t="s">
        <v>6328</v>
      </c>
      <c r="Z2577" t="s">
        <v>964</v>
      </c>
      <c r="AA2577" t="s">
        <v>4840</v>
      </c>
      <c r="AB2577" t="s">
        <v>15048</v>
      </c>
      <c r="AC2577">
        <v>99152</v>
      </c>
      <c r="AD2577" t="s">
        <v>1355</v>
      </c>
      <c r="AE2577">
        <v>-37.060387929999997</v>
      </c>
      <c r="AF2577">
        <v>174.96056806000001</v>
      </c>
      <c r="AG2577" s="175">
        <v>50</v>
      </c>
      <c r="AH2577" s="175">
        <v>10</v>
      </c>
      <c r="AI2577" s="175">
        <v>2</v>
      </c>
      <c r="AJ2577" s="175">
        <v>6</v>
      </c>
      <c r="AK2577" s="175">
        <v>8</v>
      </c>
      <c r="AL2577" s="175">
        <v>15</v>
      </c>
      <c r="AM2577" s="175">
        <v>13</v>
      </c>
      <c r="AN2577" s="175">
        <v>1</v>
      </c>
      <c r="AO2577" s="175">
        <v>45</v>
      </c>
      <c r="AP2577" s="175">
        <v>4</v>
      </c>
      <c r="AQ2577" s="175">
        <v>36</v>
      </c>
      <c r="AR2577" s="175">
        <v>12</v>
      </c>
      <c r="AS2577" s="175">
        <v>4</v>
      </c>
      <c r="AT2577" s="175">
        <v>0</v>
      </c>
    </row>
    <row r="2578" spans="1:46">
      <c r="A2578">
        <v>46971</v>
      </c>
      <c r="B2578" t="s">
        <v>15049</v>
      </c>
      <c r="D2578" t="s">
        <v>15050</v>
      </c>
      <c r="E2578" t="s">
        <v>14111</v>
      </c>
      <c r="F2578" t="s">
        <v>1157</v>
      </c>
      <c r="G2578" t="s">
        <v>737</v>
      </c>
      <c r="H2578" t="s">
        <v>450</v>
      </c>
      <c r="I2578" t="s">
        <v>3715</v>
      </c>
      <c r="J2578" t="s">
        <v>4032</v>
      </c>
      <c r="K2578" t="s">
        <v>606</v>
      </c>
      <c r="M2578" t="s">
        <v>607</v>
      </c>
      <c r="N2578" t="s">
        <v>608</v>
      </c>
      <c r="O2578" t="s">
        <v>933</v>
      </c>
      <c r="P2578" t="s">
        <v>739</v>
      </c>
      <c r="Q2578" t="s">
        <v>467</v>
      </c>
      <c r="R2578" t="s">
        <v>814</v>
      </c>
      <c r="S2578" t="s">
        <v>815</v>
      </c>
      <c r="T2578" t="s">
        <v>794</v>
      </c>
      <c r="U2578">
        <v>150101</v>
      </c>
      <c r="V2578" t="s">
        <v>4174</v>
      </c>
      <c r="W2578" t="s">
        <v>817</v>
      </c>
      <c r="X2578" t="s">
        <v>14848</v>
      </c>
      <c r="Y2578" t="s">
        <v>14111</v>
      </c>
      <c r="Z2578" t="s">
        <v>1157</v>
      </c>
      <c r="AA2578" t="s">
        <v>4952</v>
      </c>
      <c r="AE2578">
        <v>-36.941132099999997</v>
      </c>
      <c r="AF2578">
        <v>174.84171749999999</v>
      </c>
      <c r="AG2578" s="175">
        <v>50</v>
      </c>
      <c r="AH2578" s="175">
        <v>50</v>
      </c>
      <c r="AI2578" s="175">
        <v>4</v>
      </c>
      <c r="AJ2578" s="175">
        <v>10</v>
      </c>
      <c r="AK2578" s="175">
        <v>10</v>
      </c>
      <c r="AL2578" s="175">
        <v>9</v>
      </c>
      <c r="AM2578" s="175">
        <v>11</v>
      </c>
      <c r="AN2578" s="175">
        <v>0</v>
      </c>
      <c r="AO2578" s="175">
        <v>44</v>
      </c>
      <c r="AP2578" s="175">
        <v>0</v>
      </c>
      <c r="AQ2578" s="175">
        <v>1</v>
      </c>
      <c r="AR2578" s="175">
        <v>44</v>
      </c>
      <c r="AS2578" s="175">
        <v>0</v>
      </c>
      <c r="AT2578" s="175">
        <v>0</v>
      </c>
    </row>
    <row r="2579" spans="1:46">
      <c r="A2579">
        <v>46977</v>
      </c>
      <c r="B2579" t="s">
        <v>15051</v>
      </c>
      <c r="C2579" t="s">
        <v>15052</v>
      </c>
      <c r="E2579" t="s">
        <v>15053</v>
      </c>
      <c r="F2579" t="s">
        <v>1482</v>
      </c>
      <c r="G2579" t="s">
        <v>1381</v>
      </c>
      <c r="H2579" t="s">
        <v>449</v>
      </c>
      <c r="I2579" t="s">
        <v>4134</v>
      </c>
      <c r="J2579" t="s">
        <v>4032</v>
      </c>
      <c r="K2579" t="s">
        <v>606</v>
      </c>
      <c r="M2579" t="s">
        <v>1382</v>
      </c>
      <c r="N2579" t="s">
        <v>657</v>
      </c>
      <c r="O2579" t="s">
        <v>1383</v>
      </c>
      <c r="P2579" t="s">
        <v>739</v>
      </c>
      <c r="Q2579" t="s">
        <v>510</v>
      </c>
      <c r="R2579" t="s">
        <v>1384</v>
      </c>
      <c r="S2579" t="s">
        <v>1396</v>
      </c>
      <c r="T2579" t="s">
        <v>1320</v>
      </c>
      <c r="U2579">
        <v>179300</v>
      </c>
      <c r="V2579" t="s">
        <v>1482</v>
      </c>
      <c r="W2579" t="s">
        <v>1398</v>
      </c>
      <c r="X2579" t="s">
        <v>15054</v>
      </c>
      <c r="Y2579" t="s">
        <v>15055</v>
      </c>
      <c r="Z2579" t="s">
        <v>1511</v>
      </c>
      <c r="AA2579" t="s">
        <v>15056</v>
      </c>
      <c r="AB2579" t="s">
        <v>15052</v>
      </c>
      <c r="AE2579">
        <v>-37.780469979999999</v>
      </c>
      <c r="AF2579">
        <v>175.2897821</v>
      </c>
      <c r="AG2579" s="175">
        <v>95</v>
      </c>
      <c r="AH2579" s="175">
        <v>20</v>
      </c>
      <c r="AI2579" s="175">
        <v>4</v>
      </c>
      <c r="AJ2579" s="175">
        <v>12</v>
      </c>
      <c r="AK2579" s="175">
        <v>12</v>
      </c>
      <c r="AL2579" s="175">
        <v>14</v>
      </c>
      <c r="AM2579" s="175">
        <v>13</v>
      </c>
      <c r="AN2579" s="175">
        <v>0</v>
      </c>
      <c r="AO2579" s="175">
        <v>55</v>
      </c>
      <c r="AP2579" s="175">
        <v>22</v>
      </c>
      <c r="AQ2579" s="175">
        <v>5</v>
      </c>
      <c r="AR2579" s="175">
        <v>2</v>
      </c>
      <c r="AS2579" s="175">
        <v>28</v>
      </c>
      <c r="AT2579" s="175">
        <v>3</v>
      </c>
    </row>
    <row r="2580" spans="1:46">
      <c r="A2580">
        <v>46978</v>
      </c>
      <c r="B2580" t="s">
        <v>15057</v>
      </c>
      <c r="C2580" t="s">
        <v>15058</v>
      </c>
      <c r="E2580" t="s">
        <v>15059</v>
      </c>
      <c r="F2580" t="s">
        <v>1442</v>
      </c>
      <c r="G2580" t="s">
        <v>1381</v>
      </c>
      <c r="H2580" t="s">
        <v>449</v>
      </c>
      <c r="J2580" t="s">
        <v>4032</v>
      </c>
      <c r="K2580" t="s">
        <v>606</v>
      </c>
      <c r="M2580" t="s">
        <v>1382</v>
      </c>
      <c r="N2580" t="s">
        <v>608</v>
      </c>
      <c r="O2580" t="s">
        <v>1383</v>
      </c>
      <c r="P2580" t="s">
        <v>739</v>
      </c>
      <c r="Q2580" t="s">
        <v>510</v>
      </c>
      <c r="R2580" t="s">
        <v>1384</v>
      </c>
      <c r="S2580" t="s">
        <v>1385</v>
      </c>
      <c r="T2580" t="s">
        <v>1320</v>
      </c>
      <c r="U2580">
        <v>176301</v>
      </c>
      <c r="V2580" t="s">
        <v>8493</v>
      </c>
      <c r="W2580" t="s">
        <v>1387</v>
      </c>
      <c r="X2580" t="s">
        <v>7374</v>
      </c>
      <c r="Y2580" t="s">
        <v>7375</v>
      </c>
      <c r="Z2580" t="s">
        <v>848</v>
      </c>
      <c r="AA2580" t="s">
        <v>4432</v>
      </c>
      <c r="AB2580" t="s">
        <v>7376</v>
      </c>
      <c r="AE2580">
        <v>-37.775160880000001</v>
      </c>
      <c r="AF2580">
        <v>175.2455252</v>
      </c>
      <c r="AG2580" s="175">
        <v>67</v>
      </c>
      <c r="AH2580" s="175">
        <v>18</v>
      </c>
      <c r="AI2580" s="175">
        <v>2</v>
      </c>
      <c r="AJ2580" s="175">
        <v>10</v>
      </c>
      <c r="AK2580" s="175">
        <v>13</v>
      </c>
      <c r="AL2580" s="175">
        <v>25</v>
      </c>
      <c r="AM2580" s="175">
        <v>26</v>
      </c>
      <c r="AN2580" s="175">
        <v>1</v>
      </c>
      <c r="AO2580" s="175">
        <v>77</v>
      </c>
      <c r="AP2580" s="175">
        <v>28</v>
      </c>
      <c r="AQ2580" s="175">
        <v>42</v>
      </c>
      <c r="AR2580" s="175">
        <v>11</v>
      </c>
      <c r="AS2580" s="175">
        <v>21</v>
      </c>
      <c r="AT2580" s="175">
        <v>2</v>
      </c>
    </row>
    <row r="2581" spans="1:46">
      <c r="A2581">
        <v>46980</v>
      </c>
      <c r="B2581" t="s">
        <v>15060</v>
      </c>
      <c r="D2581" t="s">
        <v>11709</v>
      </c>
      <c r="E2581" t="s">
        <v>15061</v>
      </c>
      <c r="G2581" t="s">
        <v>2276</v>
      </c>
      <c r="H2581" t="s">
        <v>450</v>
      </c>
      <c r="J2581" t="s">
        <v>4032</v>
      </c>
      <c r="K2581" t="s">
        <v>606</v>
      </c>
      <c r="M2581" t="s">
        <v>2366</v>
      </c>
      <c r="N2581" t="s">
        <v>657</v>
      </c>
      <c r="O2581" t="s">
        <v>2277</v>
      </c>
      <c r="P2581" t="s">
        <v>670</v>
      </c>
      <c r="Q2581" t="s">
        <v>513</v>
      </c>
      <c r="R2581" t="s">
        <v>3017</v>
      </c>
      <c r="S2581" t="s">
        <v>2278</v>
      </c>
      <c r="T2581" t="s">
        <v>2165</v>
      </c>
      <c r="U2581">
        <v>210500</v>
      </c>
      <c r="V2581" t="s">
        <v>11711</v>
      </c>
      <c r="W2581" t="s">
        <v>2279</v>
      </c>
      <c r="X2581" t="s">
        <v>15062</v>
      </c>
      <c r="Y2581" t="s">
        <v>11710</v>
      </c>
      <c r="AA2581" t="s">
        <v>11713</v>
      </c>
      <c r="AB2581" t="s">
        <v>15063</v>
      </c>
      <c r="AE2581">
        <v>-39.641812020000003</v>
      </c>
      <c r="AF2581">
        <v>176.84602128</v>
      </c>
      <c r="AG2581" s="175">
        <v>80</v>
      </c>
      <c r="AH2581" s="175">
        <v>80</v>
      </c>
      <c r="AI2581" s="175">
        <v>1</v>
      </c>
      <c r="AJ2581" s="175">
        <v>9</v>
      </c>
      <c r="AK2581" s="175">
        <v>9</v>
      </c>
      <c r="AL2581" s="175">
        <v>8</v>
      </c>
      <c r="AM2581" s="175">
        <v>4</v>
      </c>
      <c r="AN2581" s="175">
        <v>0</v>
      </c>
      <c r="AO2581" s="175">
        <v>31</v>
      </c>
      <c r="AP2581" s="175">
        <v>28</v>
      </c>
      <c r="AQ2581" s="175">
        <v>3</v>
      </c>
      <c r="AR2581" s="175">
        <v>1</v>
      </c>
      <c r="AS2581" s="175">
        <v>8</v>
      </c>
      <c r="AT2581" s="175">
        <v>0</v>
      </c>
    </row>
    <row r="2582" spans="1:46">
      <c r="A2582">
        <v>46984</v>
      </c>
      <c r="B2582" t="s">
        <v>15064</v>
      </c>
      <c r="C2582" t="s">
        <v>15065</v>
      </c>
      <c r="D2582" t="s">
        <v>15066</v>
      </c>
      <c r="E2582" t="s">
        <v>15067</v>
      </c>
      <c r="F2582" t="s">
        <v>1120</v>
      </c>
      <c r="G2582" t="s">
        <v>737</v>
      </c>
      <c r="H2582" t="s">
        <v>449</v>
      </c>
      <c r="J2582" t="s">
        <v>4032</v>
      </c>
      <c r="K2582" t="s">
        <v>606</v>
      </c>
      <c r="M2582" t="s">
        <v>607</v>
      </c>
      <c r="N2582" t="s">
        <v>812</v>
      </c>
      <c r="O2582" t="s">
        <v>813</v>
      </c>
      <c r="P2582" t="s">
        <v>739</v>
      </c>
      <c r="Q2582" t="s">
        <v>467</v>
      </c>
      <c r="R2582" t="s">
        <v>814</v>
      </c>
      <c r="S2582" t="s">
        <v>815</v>
      </c>
      <c r="T2582" t="s">
        <v>794</v>
      </c>
      <c r="U2582">
        <v>154001</v>
      </c>
      <c r="V2582" t="s">
        <v>1139</v>
      </c>
      <c r="W2582" t="s">
        <v>817</v>
      </c>
      <c r="X2582" t="s">
        <v>15068</v>
      </c>
      <c r="AB2582" t="s">
        <v>15069</v>
      </c>
      <c r="AC2582">
        <v>99102</v>
      </c>
      <c r="AD2582" t="s">
        <v>1123</v>
      </c>
      <c r="AE2582">
        <v>-36.966655680000002</v>
      </c>
      <c r="AF2582">
        <v>174.84462841000001</v>
      </c>
      <c r="AG2582" s="175">
        <v>38</v>
      </c>
      <c r="AH2582" s="175">
        <v>10</v>
      </c>
      <c r="AI2582" s="175">
        <v>2</v>
      </c>
      <c r="AJ2582" s="175">
        <v>8</v>
      </c>
      <c r="AK2582" s="175">
        <v>4</v>
      </c>
      <c r="AL2582" s="175">
        <v>7</v>
      </c>
      <c r="AM2582" s="175">
        <v>10</v>
      </c>
      <c r="AN2582" s="175">
        <v>1</v>
      </c>
      <c r="AO2582" s="175">
        <v>32</v>
      </c>
      <c r="AP2582" s="175">
        <v>2</v>
      </c>
      <c r="AQ2582" s="175">
        <v>5</v>
      </c>
      <c r="AR2582" s="175">
        <v>10</v>
      </c>
      <c r="AS2582" s="175">
        <v>19</v>
      </c>
      <c r="AT2582" s="175">
        <v>2</v>
      </c>
    </row>
    <row r="2583" spans="1:46">
      <c r="A2583">
        <v>46987</v>
      </c>
      <c r="B2583" t="s">
        <v>13248</v>
      </c>
      <c r="C2583" t="s">
        <v>15070</v>
      </c>
      <c r="D2583" t="s">
        <v>15071</v>
      </c>
      <c r="E2583" t="s">
        <v>15072</v>
      </c>
      <c r="F2583" t="s">
        <v>10216</v>
      </c>
      <c r="G2583" t="s">
        <v>1681</v>
      </c>
      <c r="H2583" t="s">
        <v>450</v>
      </c>
      <c r="J2583" t="s">
        <v>4032</v>
      </c>
      <c r="K2583" t="s">
        <v>606</v>
      </c>
      <c r="M2583" t="s">
        <v>1382</v>
      </c>
      <c r="N2583" t="s">
        <v>643</v>
      </c>
      <c r="O2583" t="s">
        <v>1780</v>
      </c>
      <c r="P2583" t="s">
        <v>739</v>
      </c>
      <c r="Q2583" t="s">
        <v>511</v>
      </c>
      <c r="R2583" t="s">
        <v>1555</v>
      </c>
      <c r="S2583" t="s">
        <v>1681</v>
      </c>
      <c r="T2583" t="s">
        <v>1557</v>
      </c>
      <c r="U2583">
        <v>193400</v>
      </c>
      <c r="V2583" t="s">
        <v>10672</v>
      </c>
      <c r="W2583" t="s">
        <v>1791</v>
      </c>
      <c r="X2583" t="s">
        <v>15073</v>
      </c>
      <c r="Y2583" t="s">
        <v>15072</v>
      </c>
      <c r="Z2583" t="s">
        <v>10216</v>
      </c>
      <c r="AA2583" t="s">
        <v>8947</v>
      </c>
      <c r="AB2583" t="s">
        <v>15074</v>
      </c>
      <c r="AE2583">
        <v>-37.693564119999998</v>
      </c>
      <c r="AF2583">
        <v>176.13080805000001</v>
      </c>
      <c r="AG2583" s="175">
        <v>50</v>
      </c>
      <c r="AH2583" s="175">
        <v>50</v>
      </c>
      <c r="AI2583" s="175">
        <v>0</v>
      </c>
      <c r="AJ2583" s="175">
        <v>5</v>
      </c>
      <c r="AK2583" s="175">
        <v>1</v>
      </c>
      <c r="AL2583" s="175">
        <v>6</v>
      </c>
      <c r="AM2583" s="175">
        <v>0</v>
      </c>
      <c r="AN2583" s="175">
        <v>0</v>
      </c>
      <c r="AO2583" s="175">
        <v>12</v>
      </c>
      <c r="AP2583" s="175">
        <v>9</v>
      </c>
      <c r="AQ2583" s="175">
        <v>5</v>
      </c>
      <c r="AR2583" s="175">
        <v>2</v>
      </c>
      <c r="AS2583" s="175">
        <v>0</v>
      </c>
      <c r="AT2583" s="175">
        <v>2</v>
      </c>
    </row>
    <row r="2584" spans="1:46">
      <c r="A2584">
        <v>46990</v>
      </c>
      <c r="B2584" t="s">
        <v>15075</v>
      </c>
      <c r="C2584" t="s">
        <v>14933</v>
      </c>
      <c r="D2584" t="s">
        <v>14929</v>
      </c>
      <c r="E2584" t="s">
        <v>14948</v>
      </c>
      <c r="F2584" t="s">
        <v>1030</v>
      </c>
      <c r="G2584" t="s">
        <v>737</v>
      </c>
      <c r="H2584" t="s">
        <v>450</v>
      </c>
      <c r="I2584" t="s">
        <v>3715</v>
      </c>
      <c r="J2584" t="s">
        <v>4032</v>
      </c>
      <c r="K2584" t="s">
        <v>606</v>
      </c>
      <c r="M2584" t="s">
        <v>607</v>
      </c>
      <c r="N2584" t="s">
        <v>643</v>
      </c>
      <c r="O2584" t="s">
        <v>933</v>
      </c>
      <c r="P2584" t="s">
        <v>739</v>
      </c>
      <c r="Q2584" t="s">
        <v>467</v>
      </c>
      <c r="R2584" t="s">
        <v>814</v>
      </c>
      <c r="S2584" t="s">
        <v>934</v>
      </c>
      <c r="T2584" t="s">
        <v>794</v>
      </c>
      <c r="U2584">
        <v>150000</v>
      </c>
      <c r="V2584" t="s">
        <v>1055</v>
      </c>
      <c r="W2584" t="s">
        <v>817</v>
      </c>
      <c r="X2584" t="s">
        <v>14931</v>
      </c>
      <c r="Y2584" t="s">
        <v>14932</v>
      </c>
      <c r="Z2584" t="s">
        <v>1030</v>
      </c>
      <c r="AA2584" t="s">
        <v>4679</v>
      </c>
      <c r="AB2584" t="s">
        <v>14933</v>
      </c>
      <c r="AE2584">
        <v>-36.959676360000003</v>
      </c>
      <c r="AF2584">
        <v>174.81597507999999</v>
      </c>
      <c r="AG2584" s="175">
        <v>50</v>
      </c>
      <c r="AH2584" s="175">
        <v>50</v>
      </c>
      <c r="AI2584" s="175">
        <v>8</v>
      </c>
      <c r="AJ2584" s="175">
        <v>11</v>
      </c>
      <c r="AK2584" s="175">
        <v>12</v>
      </c>
      <c r="AL2584" s="175">
        <v>12</v>
      </c>
      <c r="AM2584" s="175">
        <v>7</v>
      </c>
      <c r="AN2584" s="175">
        <v>0</v>
      </c>
      <c r="AO2584" s="175">
        <v>50</v>
      </c>
      <c r="AP2584" s="175">
        <v>0</v>
      </c>
      <c r="AQ2584" s="175">
        <v>2</v>
      </c>
      <c r="AR2584" s="175">
        <v>50</v>
      </c>
      <c r="AS2584" s="175">
        <v>0</v>
      </c>
      <c r="AT2584" s="175">
        <v>0</v>
      </c>
    </row>
    <row r="2585" spans="1:46">
      <c r="A2585">
        <v>46991</v>
      </c>
      <c r="B2585" t="s">
        <v>15076</v>
      </c>
      <c r="C2585" t="s">
        <v>14933</v>
      </c>
      <c r="D2585" t="s">
        <v>14929</v>
      </c>
      <c r="E2585" t="s">
        <v>14948</v>
      </c>
      <c r="F2585" t="s">
        <v>1030</v>
      </c>
      <c r="G2585" t="s">
        <v>737</v>
      </c>
      <c r="H2585" t="s">
        <v>450</v>
      </c>
      <c r="I2585" t="s">
        <v>3715</v>
      </c>
      <c r="J2585" t="s">
        <v>4032</v>
      </c>
      <c r="K2585" t="s">
        <v>606</v>
      </c>
      <c r="M2585" t="s">
        <v>607</v>
      </c>
      <c r="N2585" t="s">
        <v>812</v>
      </c>
      <c r="O2585" t="s">
        <v>933</v>
      </c>
      <c r="P2585" t="s">
        <v>739</v>
      </c>
      <c r="Q2585" t="s">
        <v>467</v>
      </c>
      <c r="R2585" t="s">
        <v>814</v>
      </c>
      <c r="S2585" t="s">
        <v>934</v>
      </c>
      <c r="T2585" t="s">
        <v>794</v>
      </c>
      <c r="U2585">
        <v>150000</v>
      </c>
      <c r="V2585" t="s">
        <v>1055</v>
      </c>
      <c r="W2585" t="s">
        <v>817</v>
      </c>
      <c r="X2585" t="s">
        <v>14931</v>
      </c>
      <c r="Y2585" t="s">
        <v>14932</v>
      </c>
      <c r="Z2585" t="s">
        <v>1030</v>
      </c>
      <c r="AA2585" t="s">
        <v>4679</v>
      </c>
      <c r="AB2585" t="s">
        <v>14933</v>
      </c>
      <c r="AE2585">
        <v>-36.959690709999997</v>
      </c>
      <c r="AF2585">
        <v>174.81592707999999</v>
      </c>
      <c r="AG2585" s="175">
        <v>50</v>
      </c>
      <c r="AH2585" s="175">
        <v>50</v>
      </c>
      <c r="AI2585" s="175">
        <v>4</v>
      </c>
      <c r="AJ2585" s="175">
        <v>9</v>
      </c>
      <c r="AK2585" s="175">
        <v>17</v>
      </c>
      <c r="AL2585" s="175">
        <v>11</v>
      </c>
      <c r="AM2585" s="175">
        <v>8</v>
      </c>
      <c r="AN2585" s="175">
        <v>1</v>
      </c>
      <c r="AO2585" s="175">
        <v>50</v>
      </c>
      <c r="AP2585" s="175">
        <v>0</v>
      </c>
      <c r="AQ2585" s="175">
        <v>0</v>
      </c>
      <c r="AR2585" s="175">
        <v>50</v>
      </c>
      <c r="AS2585" s="175">
        <v>0</v>
      </c>
      <c r="AT2585" s="175">
        <v>0</v>
      </c>
    </row>
    <row r="2586" spans="1:46">
      <c r="A2586">
        <v>46992</v>
      </c>
      <c r="B2586" t="s">
        <v>15077</v>
      </c>
      <c r="C2586" t="s">
        <v>15078</v>
      </c>
      <c r="D2586" t="s">
        <v>15079</v>
      </c>
      <c r="E2586" t="s">
        <v>15080</v>
      </c>
      <c r="G2586" t="s">
        <v>760</v>
      </c>
      <c r="H2586" t="s">
        <v>449</v>
      </c>
      <c r="J2586" t="s">
        <v>4032</v>
      </c>
      <c r="K2586" t="s">
        <v>606</v>
      </c>
      <c r="M2586" t="s">
        <v>607</v>
      </c>
      <c r="N2586" t="s">
        <v>657</v>
      </c>
      <c r="O2586" t="s">
        <v>723</v>
      </c>
      <c r="P2586" t="s">
        <v>610</v>
      </c>
      <c r="Q2586" t="s">
        <v>467</v>
      </c>
      <c r="R2586" t="s">
        <v>724</v>
      </c>
      <c r="S2586" t="s">
        <v>725</v>
      </c>
      <c r="T2586" t="s">
        <v>613</v>
      </c>
      <c r="U2586">
        <v>111300</v>
      </c>
      <c r="V2586" t="s">
        <v>6934</v>
      </c>
      <c r="W2586" t="s">
        <v>726</v>
      </c>
      <c r="X2586" t="s">
        <v>15081</v>
      </c>
      <c r="Y2586" t="s">
        <v>15082</v>
      </c>
      <c r="AA2586" t="s">
        <v>15083</v>
      </c>
      <c r="AB2586" t="s">
        <v>15084</v>
      </c>
      <c r="AC2586">
        <v>99122</v>
      </c>
      <c r="AD2586" t="s">
        <v>4154</v>
      </c>
      <c r="AE2586">
        <v>-36.40968736</v>
      </c>
      <c r="AF2586">
        <v>174.66006397000001</v>
      </c>
      <c r="AG2586" s="175">
        <v>80</v>
      </c>
      <c r="AH2586" s="175">
        <v>25</v>
      </c>
      <c r="AI2586" s="175">
        <v>7</v>
      </c>
      <c r="AJ2586" s="175">
        <v>9</v>
      </c>
      <c r="AK2586" s="175">
        <v>9</v>
      </c>
      <c r="AL2586" s="175">
        <v>17</v>
      </c>
      <c r="AM2586" s="175">
        <v>17</v>
      </c>
      <c r="AN2586" s="175">
        <v>0</v>
      </c>
      <c r="AO2586" s="175">
        <v>59</v>
      </c>
      <c r="AP2586" s="175">
        <v>28</v>
      </c>
      <c r="AQ2586" s="175">
        <v>15</v>
      </c>
      <c r="AR2586" s="175">
        <v>19</v>
      </c>
      <c r="AS2586" s="175">
        <v>10</v>
      </c>
      <c r="AT2586" s="175">
        <v>3</v>
      </c>
    </row>
    <row r="2587" spans="1:46">
      <c r="A2587">
        <v>46994</v>
      </c>
      <c r="B2587" t="s">
        <v>15085</v>
      </c>
      <c r="C2587" t="s">
        <v>15086</v>
      </c>
      <c r="D2587" t="s">
        <v>11212</v>
      </c>
      <c r="E2587" t="s">
        <v>11213</v>
      </c>
      <c r="F2587" t="s">
        <v>4060</v>
      </c>
      <c r="G2587" t="s">
        <v>737</v>
      </c>
      <c r="H2587" t="s">
        <v>450</v>
      </c>
      <c r="J2587" t="s">
        <v>4032</v>
      </c>
      <c r="K2587" t="s">
        <v>606</v>
      </c>
      <c r="M2587" t="s">
        <v>607</v>
      </c>
      <c r="N2587" t="s">
        <v>812</v>
      </c>
      <c r="O2587" t="s">
        <v>813</v>
      </c>
      <c r="P2587" t="s">
        <v>739</v>
      </c>
      <c r="Q2587" t="s">
        <v>467</v>
      </c>
      <c r="R2587" t="s">
        <v>814</v>
      </c>
      <c r="S2587" t="s">
        <v>815</v>
      </c>
      <c r="T2587" t="s">
        <v>794</v>
      </c>
      <c r="U2587">
        <v>155100</v>
      </c>
      <c r="V2587" t="s">
        <v>1075</v>
      </c>
      <c r="W2587" t="s">
        <v>817</v>
      </c>
      <c r="X2587" t="s">
        <v>11214</v>
      </c>
      <c r="Y2587" t="s">
        <v>11215</v>
      </c>
      <c r="Z2587" t="s">
        <v>6473</v>
      </c>
      <c r="AA2587" t="s">
        <v>6474</v>
      </c>
      <c r="AB2587" t="s">
        <v>11211</v>
      </c>
      <c r="AE2587">
        <v>-36.952228609999999</v>
      </c>
      <c r="AF2587">
        <v>174.8905608</v>
      </c>
      <c r="AG2587" s="175">
        <v>60</v>
      </c>
      <c r="AH2587" s="175">
        <v>60</v>
      </c>
      <c r="AI2587" s="175">
        <v>8</v>
      </c>
      <c r="AJ2587" s="175">
        <v>15</v>
      </c>
      <c r="AK2587" s="175">
        <v>7</v>
      </c>
      <c r="AL2587" s="175">
        <v>12</v>
      </c>
      <c r="AM2587" s="175">
        <v>9</v>
      </c>
      <c r="AN2587" s="175">
        <v>1</v>
      </c>
      <c r="AO2587" s="175">
        <v>52</v>
      </c>
      <c r="AP2587" s="175">
        <v>0</v>
      </c>
      <c r="AQ2587" s="175">
        <v>0</v>
      </c>
      <c r="AR2587" s="175">
        <v>52</v>
      </c>
      <c r="AS2587" s="175">
        <v>0</v>
      </c>
      <c r="AT2587" s="175">
        <v>0</v>
      </c>
    </row>
    <row r="2588" spans="1:46">
      <c r="A2588">
        <v>46996</v>
      </c>
      <c r="B2588" t="s">
        <v>15087</v>
      </c>
      <c r="C2588" t="s">
        <v>15088</v>
      </c>
      <c r="D2588" t="s">
        <v>15089</v>
      </c>
      <c r="E2588" t="s">
        <v>15090</v>
      </c>
      <c r="G2588" t="s">
        <v>2295</v>
      </c>
      <c r="H2588" t="s">
        <v>449</v>
      </c>
      <c r="I2588" t="s">
        <v>15091</v>
      </c>
      <c r="J2588" t="s">
        <v>605</v>
      </c>
      <c r="K2588" t="s">
        <v>606</v>
      </c>
      <c r="M2588" t="s">
        <v>1382</v>
      </c>
      <c r="N2588" t="s">
        <v>657</v>
      </c>
      <c r="O2588" t="s">
        <v>2277</v>
      </c>
      <c r="P2588" t="s">
        <v>658</v>
      </c>
      <c r="Q2588" t="s">
        <v>513</v>
      </c>
      <c r="R2588" t="s">
        <v>2164</v>
      </c>
      <c r="S2588" t="s">
        <v>2278</v>
      </c>
      <c r="T2588" t="s">
        <v>2165</v>
      </c>
      <c r="U2588">
        <v>211201</v>
      </c>
      <c r="V2588" t="s">
        <v>15092</v>
      </c>
      <c r="W2588" t="s">
        <v>11923</v>
      </c>
      <c r="X2588" t="s">
        <v>15093</v>
      </c>
      <c r="Y2588" t="s">
        <v>15094</v>
      </c>
      <c r="AA2588" t="s">
        <v>8855</v>
      </c>
      <c r="AB2588" t="s">
        <v>15088</v>
      </c>
      <c r="AE2588">
        <v>-39.670704639999997</v>
      </c>
      <c r="AF2588">
        <v>176.92013689999999</v>
      </c>
      <c r="AG2588" s="175">
        <v>72</v>
      </c>
      <c r="AH2588" s="175">
        <v>15</v>
      </c>
      <c r="AI2588" s="175">
        <v>1</v>
      </c>
      <c r="AJ2588" s="175">
        <v>8</v>
      </c>
      <c r="AK2588" s="175">
        <v>16</v>
      </c>
      <c r="AL2588" s="175">
        <v>19</v>
      </c>
      <c r="AM2588" s="175">
        <v>19</v>
      </c>
      <c r="AN2588" s="175">
        <v>1</v>
      </c>
      <c r="AO2588" s="175">
        <v>64</v>
      </c>
      <c r="AP2588" s="175">
        <v>62</v>
      </c>
      <c r="AQ2588" s="175">
        <v>14</v>
      </c>
      <c r="AR2588" s="175">
        <v>1</v>
      </c>
      <c r="AS2588" s="175">
        <v>5</v>
      </c>
      <c r="AT2588" s="175">
        <v>0</v>
      </c>
    </row>
    <row r="2589" spans="1:46">
      <c r="A2589">
        <v>46997</v>
      </c>
      <c r="B2589" t="s">
        <v>15095</v>
      </c>
      <c r="C2589" t="s">
        <v>15096</v>
      </c>
      <c r="E2589" t="s">
        <v>15097</v>
      </c>
      <c r="G2589" t="s">
        <v>3694</v>
      </c>
      <c r="H2589" t="s">
        <v>449</v>
      </c>
      <c r="J2589" t="s">
        <v>4032</v>
      </c>
      <c r="K2589" t="s">
        <v>606</v>
      </c>
      <c r="M2589" t="s">
        <v>607</v>
      </c>
      <c r="N2589" t="s">
        <v>657</v>
      </c>
      <c r="O2589" t="s">
        <v>738</v>
      </c>
      <c r="P2589" t="s">
        <v>670</v>
      </c>
      <c r="Q2589" t="s">
        <v>467</v>
      </c>
      <c r="R2589" t="s">
        <v>724</v>
      </c>
      <c r="S2589" t="s">
        <v>753</v>
      </c>
      <c r="T2589" t="s">
        <v>613</v>
      </c>
      <c r="U2589">
        <v>115100</v>
      </c>
      <c r="V2589" t="s">
        <v>15098</v>
      </c>
      <c r="W2589" t="s">
        <v>742</v>
      </c>
      <c r="X2589" t="s">
        <v>15099</v>
      </c>
      <c r="Y2589" t="s">
        <v>15100</v>
      </c>
      <c r="AA2589" t="s">
        <v>15101</v>
      </c>
      <c r="AC2589">
        <v>99095</v>
      </c>
      <c r="AD2589" t="s">
        <v>786</v>
      </c>
      <c r="AE2589">
        <v>-36.626532670000003</v>
      </c>
      <c r="AF2589">
        <v>174.73890399999999</v>
      </c>
      <c r="AG2589" s="175">
        <v>45</v>
      </c>
      <c r="AH2589" s="175">
        <v>12</v>
      </c>
      <c r="AI2589" s="175">
        <v>3</v>
      </c>
      <c r="AJ2589" s="175">
        <v>5</v>
      </c>
      <c r="AK2589" s="175">
        <v>3</v>
      </c>
      <c r="AL2589" s="175">
        <v>7</v>
      </c>
      <c r="AM2589" s="175">
        <v>5</v>
      </c>
      <c r="AN2589" s="175">
        <v>1</v>
      </c>
      <c r="AO2589" s="175">
        <v>24</v>
      </c>
      <c r="AP2589" s="175">
        <v>20</v>
      </c>
      <c r="AQ2589" s="175">
        <v>5</v>
      </c>
      <c r="AR2589" s="175">
        <v>1</v>
      </c>
      <c r="AS2589" s="175">
        <v>2</v>
      </c>
      <c r="AT2589" s="175">
        <v>1</v>
      </c>
    </row>
    <row r="2590" spans="1:46">
      <c r="A2590">
        <v>46999</v>
      </c>
      <c r="B2590" t="s">
        <v>15102</v>
      </c>
      <c r="C2590" t="s">
        <v>15103</v>
      </c>
      <c r="E2590" t="s">
        <v>15104</v>
      </c>
      <c r="F2590" t="s">
        <v>2929</v>
      </c>
      <c r="G2590" t="s">
        <v>2930</v>
      </c>
      <c r="H2590" t="s">
        <v>449</v>
      </c>
      <c r="J2590" t="s">
        <v>4032</v>
      </c>
      <c r="K2590" t="s">
        <v>606</v>
      </c>
      <c r="M2590" t="s">
        <v>2366</v>
      </c>
      <c r="N2590" t="s">
        <v>657</v>
      </c>
      <c r="O2590" t="s">
        <v>2931</v>
      </c>
      <c r="P2590" t="s">
        <v>670</v>
      </c>
      <c r="Q2590" t="s">
        <v>518</v>
      </c>
      <c r="R2590" t="s">
        <v>2901</v>
      </c>
      <c r="S2590" t="s">
        <v>2930</v>
      </c>
      <c r="T2590" t="s">
        <v>2526</v>
      </c>
      <c r="U2590">
        <v>305000</v>
      </c>
      <c r="V2590" t="s">
        <v>2970</v>
      </c>
      <c r="W2590" t="s">
        <v>2933</v>
      </c>
      <c r="X2590" t="s">
        <v>15105</v>
      </c>
      <c r="Y2590" t="s">
        <v>15106</v>
      </c>
      <c r="Z2590" t="s">
        <v>15107</v>
      </c>
      <c r="AA2590" t="s">
        <v>11591</v>
      </c>
      <c r="AB2590" t="s">
        <v>15103</v>
      </c>
      <c r="AC2590">
        <v>99042</v>
      </c>
      <c r="AD2590" t="s">
        <v>2938</v>
      </c>
      <c r="AE2590">
        <v>-41.306031050000001</v>
      </c>
      <c r="AF2590">
        <v>173.24028655000001</v>
      </c>
      <c r="AG2590" s="175">
        <v>30</v>
      </c>
      <c r="AH2590" s="175">
        <v>12</v>
      </c>
      <c r="AI2590" s="175">
        <v>1</v>
      </c>
      <c r="AJ2590" s="175">
        <v>8</v>
      </c>
      <c r="AK2590" s="175">
        <v>9</v>
      </c>
      <c r="AL2590" s="175">
        <v>10</v>
      </c>
      <c r="AM2590" s="175">
        <v>8</v>
      </c>
      <c r="AN2590" s="175">
        <v>1</v>
      </c>
      <c r="AO2590" s="175">
        <v>37</v>
      </c>
      <c r="AP2590" s="175">
        <v>32</v>
      </c>
      <c r="AQ2590" s="175">
        <v>4</v>
      </c>
      <c r="AR2590" s="175">
        <v>4</v>
      </c>
      <c r="AS2590" s="175">
        <v>1</v>
      </c>
      <c r="AT2590" s="175">
        <v>8</v>
      </c>
    </row>
    <row r="2591" spans="1:46">
      <c r="A2591">
        <v>47003</v>
      </c>
      <c r="B2591" t="s">
        <v>15108</v>
      </c>
      <c r="C2591" t="s">
        <v>15109</v>
      </c>
      <c r="D2591" t="s">
        <v>15110</v>
      </c>
      <c r="E2591" t="s">
        <v>15111</v>
      </c>
      <c r="F2591" t="s">
        <v>13170</v>
      </c>
      <c r="G2591" t="s">
        <v>737</v>
      </c>
      <c r="H2591" t="s">
        <v>449</v>
      </c>
      <c r="J2591" t="s">
        <v>4032</v>
      </c>
      <c r="K2591" t="s">
        <v>606</v>
      </c>
      <c r="M2591" t="s">
        <v>607</v>
      </c>
      <c r="N2591" t="s">
        <v>643</v>
      </c>
      <c r="O2591" t="s">
        <v>914</v>
      </c>
      <c r="P2591" t="s">
        <v>739</v>
      </c>
      <c r="Q2591" t="s">
        <v>467</v>
      </c>
      <c r="R2591" t="s">
        <v>793</v>
      </c>
      <c r="S2591" t="s">
        <v>815</v>
      </c>
      <c r="T2591" t="s">
        <v>794</v>
      </c>
      <c r="U2591">
        <v>147400</v>
      </c>
      <c r="V2591" t="s">
        <v>8282</v>
      </c>
      <c r="W2591" t="s">
        <v>892</v>
      </c>
      <c r="X2591" t="s">
        <v>15112</v>
      </c>
      <c r="Y2591" t="s">
        <v>15113</v>
      </c>
      <c r="Z2591" t="s">
        <v>1114</v>
      </c>
      <c r="AA2591" t="s">
        <v>15114</v>
      </c>
      <c r="AE2591">
        <v>-36.912994509999997</v>
      </c>
      <c r="AF2591">
        <v>174.84551217000001</v>
      </c>
      <c r="AG2591" s="175">
        <v>90</v>
      </c>
      <c r="AH2591" s="175">
        <v>30</v>
      </c>
      <c r="AI2591" s="175">
        <v>12</v>
      </c>
      <c r="AJ2591" s="175">
        <v>14</v>
      </c>
      <c r="AK2591" s="175">
        <v>16</v>
      </c>
      <c r="AL2591" s="175">
        <v>21</v>
      </c>
      <c r="AM2591" s="175">
        <v>19</v>
      </c>
      <c r="AN2591" s="175">
        <v>0</v>
      </c>
      <c r="AO2591" s="175">
        <v>82</v>
      </c>
      <c r="AP2591" s="175">
        <v>42</v>
      </c>
      <c r="AQ2591" s="175">
        <v>13</v>
      </c>
      <c r="AR2591" s="175">
        <v>17</v>
      </c>
      <c r="AS2591" s="175">
        <v>36</v>
      </c>
      <c r="AT2591" s="175">
        <v>4</v>
      </c>
    </row>
    <row r="2592" spans="1:46">
      <c r="A2592">
        <v>47004</v>
      </c>
      <c r="B2592" t="s">
        <v>15115</v>
      </c>
      <c r="C2592" t="s">
        <v>14221</v>
      </c>
      <c r="D2592" t="s">
        <v>13528</v>
      </c>
      <c r="E2592" t="s">
        <v>15116</v>
      </c>
      <c r="G2592" t="s">
        <v>2276</v>
      </c>
      <c r="H2592" t="s">
        <v>450</v>
      </c>
      <c r="J2592" t="s">
        <v>4032</v>
      </c>
      <c r="K2592" t="s">
        <v>606</v>
      </c>
      <c r="M2592" t="s">
        <v>607</v>
      </c>
      <c r="N2592" t="s">
        <v>657</v>
      </c>
      <c r="O2592" t="s">
        <v>2277</v>
      </c>
      <c r="P2592" t="s">
        <v>1347</v>
      </c>
      <c r="Q2592" t="s">
        <v>513</v>
      </c>
      <c r="R2592" t="s">
        <v>793</v>
      </c>
      <c r="S2592" t="s">
        <v>2278</v>
      </c>
      <c r="T2592" t="s">
        <v>2165</v>
      </c>
      <c r="U2592">
        <v>211600</v>
      </c>
      <c r="V2592" t="s">
        <v>8785</v>
      </c>
      <c r="W2592" t="s">
        <v>2279</v>
      </c>
      <c r="X2592" t="s">
        <v>15117</v>
      </c>
      <c r="Y2592" t="s">
        <v>8787</v>
      </c>
      <c r="Z2592" t="s">
        <v>2295</v>
      </c>
      <c r="AA2592" t="s">
        <v>8788</v>
      </c>
      <c r="AE2592">
        <v>-39.668070899999996</v>
      </c>
      <c r="AF2592">
        <v>176.87784719999999</v>
      </c>
      <c r="AG2592" s="175">
        <v>40</v>
      </c>
      <c r="AH2592" s="175">
        <v>40</v>
      </c>
      <c r="AI2592" s="175">
        <v>0</v>
      </c>
      <c r="AJ2592" s="175">
        <v>2</v>
      </c>
      <c r="AK2592" s="175">
        <v>2</v>
      </c>
      <c r="AL2592" s="175">
        <v>1</v>
      </c>
      <c r="AM2592" s="175">
        <v>3</v>
      </c>
      <c r="AN2592" s="175">
        <v>1</v>
      </c>
      <c r="AO2592" s="175">
        <v>9</v>
      </c>
      <c r="AP2592" s="175">
        <v>9</v>
      </c>
      <c r="AQ2592" s="175">
        <v>1</v>
      </c>
      <c r="AR2592" s="175">
        <v>0</v>
      </c>
      <c r="AS2592" s="175">
        <v>1</v>
      </c>
      <c r="AT2592" s="175">
        <v>0</v>
      </c>
    </row>
    <row r="2593" spans="1:46">
      <c r="A2593">
        <v>47007</v>
      </c>
      <c r="B2593" t="s">
        <v>15118</v>
      </c>
      <c r="C2593" t="s">
        <v>15119</v>
      </c>
      <c r="E2593" t="s">
        <v>15120</v>
      </c>
      <c r="G2593" t="s">
        <v>3260</v>
      </c>
      <c r="H2593" t="s">
        <v>449</v>
      </c>
      <c r="I2593" t="s">
        <v>4134</v>
      </c>
      <c r="J2593" t="s">
        <v>4032</v>
      </c>
      <c r="K2593" t="s">
        <v>606</v>
      </c>
      <c r="M2593" t="s">
        <v>2366</v>
      </c>
      <c r="N2593" t="s">
        <v>657</v>
      </c>
      <c r="O2593" t="s">
        <v>3037</v>
      </c>
      <c r="P2593" t="s">
        <v>1347</v>
      </c>
      <c r="Q2593" t="s">
        <v>521</v>
      </c>
      <c r="R2593" t="s">
        <v>3017</v>
      </c>
      <c r="S2593" t="s">
        <v>3038</v>
      </c>
      <c r="T2593" t="s">
        <v>2526</v>
      </c>
      <c r="U2593">
        <v>316100</v>
      </c>
      <c r="V2593" t="s">
        <v>15121</v>
      </c>
      <c r="W2593" t="s">
        <v>3262</v>
      </c>
      <c r="X2593" t="s">
        <v>15122</v>
      </c>
      <c r="Y2593" t="s">
        <v>15120</v>
      </c>
      <c r="AA2593" t="s">
        <v>15123</v>
      </c>
      <c r="AC2593">
        <v>99061</v>
      </c>
      <c r="AD2593" t="s">
        <v>3263</v>
      </c>
      <c r="AE2593">
        <v>-43.385978960000003</v>
      </c>
      <c r="AF2593">
        <v>172.65467587000001</v>
      </c>
      <c r="AG2593" s="175">
        <v>39</v>
      </c>
      <c r="AH2593" s="175">
        <v>7</v>
      </c>
      <c r="AI2593" s="175">
        <v>0</v>
      </c>
      <c r="AJ2593" s="175">
        <v>3</v>
      </c>
      <c r="AK2593" s="175">
        <v>6</v>
      </c>
      <c r="AL2593" s="175">
        <v>10</v>
      </c>
      <c r="AM2593" s="175">
        <v>16</v>
      </c>
      <c r="AN2593" s="175">
        <v>1</v>
      </c>
      <c r="AO2593" s="175">
        <v>36</v>
      </c>
      <c r="AP2593" s="175">
        <v>33</v>
      </c>
      <c r="AQ2593" s="175">
        <v>10</v>
      </c>
      <c r="AR2593" s="175">
        <v>2</v>
      </c>
      <c r="AS2593" s="175">
        <v>4</v>
      </c>
      <c r="AT2593" s="175">
        <v>3</v>
      </c>
    </row>
    <row r="2594" spans="1:46">
      <c r="A2594">
        <v>47010</v>
      </c>
      <c r="B2594" t="s">
        <v>15124</v>
      </c>
      <c r="C2594" t="s">
        <v>15125</v>
      </c>
      <c r="E2594" t="s">
        <v>15126</v>
      </c>
      <c r="F2594" t="s">
        <v>15127</v>
      </c>
      <c r="G2594" t="s">
        <v>1604</v>
      </c>
      <c r="H2594" t="s">
        <v>449</v>
      </c>
      <c r="J2594" t="s">
        <v>605</v>
      </c>
      <c r="K2594" t="s">
        <v>606</v>
      </c>
      <c r="M2594" t="s">
        <v>1382</v>
      </c>
      <c r="N2594" t="s">
        <v>657</v>
      </c>
      <c r="O2594" t="s">
        <v>1605</v>
      </c>
      <c r="P2594" t="s">
        <v>658</v>
      </c>
      <c r="Q2594" t="s">
        <v>510</v>
      </c>
      <c r="R2594" t="s">
        <v>1555</v>
      </c>
      <c r="S2594" t="s">
        <v>1604</v>
      </c>
      <c r="T2594" t="s">
        <v>1557</v>
      </c>
      <c r="U2594">
        <v>201600</v>
      </c>
      <c r="V2594" t="s">
        <v>10045</v>
      </c>
      <c r="W2594" t="s">
        <v>9890</v>
      </c>
      <c r="X2594" t="s">
        <v>10550</v>
      </c>
      <c r="Y2594" t="s">
        <v>4014</v>
      </c>
      <c r="Z2594" t="s">
        <v>4015</v>
      </c>
      <c r="AA2594" t="s">
        <v>4016</v>
      </c>
      <c r="AB2594" t="s">
        <v>10551</v>
      </c>
      <c r="AE2594">
        <v>-38.34144955</v>
      </c>
      <c r="AF2594">
        <v>176.25701667999999</v>
      </c>
      <c r="AG2594" s="175">
        <v>20</v>
      </c>
      <c r="AH2594" s="175">
        <v>0</v>
      </c>
      <c r="AI2594" s="175">
        <v>0</v>
      </c>
      <c r="AJ2594" s="175">
        <v>0</v>
      </c>
      <c r="AK2594" s="175">
        <v>5</v>
      </c>
      <c r="AL2594" s="175">
        <v>7</v>
      </c>
      <c r="AM2594" s="175">
        <v>8</v>
      </c>
      <c r="AN2594" s="175">
        <v>0</v>
      </c>
      <c r="AO2594" s="175">
        <v>20</v>
      </c>
      <c r="AP2594" s="175">
        <v>18</v>
      </c>
      <c r="AQ2594" s="175">
        <v>1</v>
      </c>
      <c r="AR2594" s="175">
        <v>0</v>
      </c>
      <c r="AS2594" s="175">
        <v>0</v>
      </c>
      <c r="AT2594" s="175">
        <v>3</v>
      </c>
    </row>
    <row r="2595" spans="1:46">
      <c r="A2595">
        <v>47011</v>
      </c>
      <c r="B2595" t="s">
        <v>15128</v>
      </c>
      <c r="C2595" t="s">
        <v>15129</v>
      </c>
      <c r="E2595" t="s">
        <v>15130</v>
      </c>
      <c r="G2595" t="s">
        <v>3099</v>
      </c>
      <c r="H2595" t="s">
        <v>449</v>
      </c>
      <c r="J2595" t="s">
        <v>4032</v>
      </c>
      <c r="K2595" t="s">
        <v>606</v>
      </c>
      <c r="M2595" t="s">
        <v>2366</v>
      </c>
      <c r="N2595" t="s">
        <v>657</v>
      </c>
      <c r="O2595" t="s">
        <v>3100</v>
      </c>
      <c r="P2595" t="s">
        <v>610</v>
      </c>
      <c r="Q2595" t="s">
        <v>520</v>
      </c>
      <c r="R2595" t="s">
        <v>2901</v>
      </c>
      <c r="S2595" t="s">
        <v>2945</v>
      </c>
      <c r="T2595" t="s">
        <v>2526</v>
      </c>
      <c r="U2595">
        <v>311501</v>
      </c>
      <c r="V2595" t="s">
        <v>3099</v>
      </c>
      <c r="W2595" t="s">
        <v>3101</v>
      </c>
      <c r="X2595" t="s">
        <v>15131</v>
      </c>
      <c r="Y2595" t="s">
        <v>15132</v>
      </c>
      <c r="AA2595" t="s">
        <v>15133</v>
      </c>
      <c r="AB2595" t="s">
        <v>15134</v>
      </c>
      <c r="AE2595">
        <v>-42.719698270000002</v>
      </c>
      <c r="AF2595">
        <v>170.98141798</v>
      </c>
      <c r="AG2595" s="175">
        <v>38</v>
      </c>
      <c r="AH2595" s="175">
        <v>0</v>
      </c>
      <c r="AI2595" s="175">
        <v>0</v>
      </c>
      <c r="AJ2595" s="175">
        <v>0</v>
      </c>
      <c r="AK2595" s="175">
        <v>10</v>
      </c>
      <c r="AL2595" s="175">
        <v>12</v>
      </c>
      <c r="AM2595" s="175">
        <v>19</v>
      </c>
      <c r="AN2595" s="175">
        <v>0</v>
      </c>
      <c r="AO2595" s="175">
        <v>41</v>
      </c>
      <c r="AP2595" s="175">
        <v>33</v>
      </c>
      <c r="AQ2595" s="175">
        <v>11</v>
      </c>
      <c r="AR2595" s="175">
        <v>1</v>
      </c>
      <c r="AS2595" s="175">
        <v>0</v>
      </c>
      <c r="AT2595" s="175">
        <v>6</v>
      </c>
    </row>
    <row r="2596" spans="1:46">
      <c r="A2596">
        <v>47014</v>
      </c>
      <c r="B2596" t="s">
        <v>15135</v>
      </c>
      <c r="C2596" t="s">
        <v>15136</v>
      </c>
      <c r="D2596" t="s">
        <v>15137</v>
      </c>
      <c r="E2596" t="s">
        <v>15138</v>
      </c>
      <c r="F2596" t="s">
        <v>2957</v>
      </c>
      <c r="G2596" t="s">
        <v>3015</v>
      </c>
      <c r="H2596" t="s">
        <v>449</v>
      </c>
      <c r="J2596" t="s">
        <v>4032</v>
      </c>
      <c r="K2596" t="s">
        <v>606</v>
      </c>
      <c r="M2596" t="s">
        <v>2366</v>
      </c>
      <c r="N2596" t="s">
        <v>657</v>
      </c>
      <c r="O2596" t="s">
        <v>3016</v>
      </c>
      <c r="P2596" t="s">
        <v>739</v>
      </c>
      <c r="Q2596" t="s">
        <v>521</v>
      </c>
      <c r="R2596" t="s">
        <v>3017</v>
      </c>
      <c r="S2596" t="s">
        <v>3046</v>
      </c>
      <c r="T2596" t="s">
        <v>2526</v>
      </c>
      <c r="U2596">
        <v>325900</v>
      </c>
      <c r="V2596" t="s">
        <v>3218</v>
      </c>
      <c r="W2596" t="s">
        <v>2521</v>
      </c>
      <c r="X2596" t="s">
        <v>15139</v>
      </c>
      <c r="Y2596" t="s">
        <v>15138</v>
      </c>
      <c r="Z2596" t="s">
        <v>2957</v>
      </c>
      <c r="AA2596" t="s">
        <v>15140</v>
      </c>
      <c r="AB2596" t="s">
        <v>15141</v>
      </c>
      <c r="AE2596">
        <v>-43.51701903</v>
      </c>
      <c r="AF2596">
        <v>172.65350436</v>
      </c>
      <c r="AG2596" s="175">
        <v>36</v>
      </c>
      <c r="AH2596" s="175">
        <v>10</v>
      </c>
      <c r="AI2596" s="175">
        <v>2</v>
      </c>
      <c r="AJ2596" s="175">
        <v>7</v>
      </c>
      <c r="AK2596" s="175">
        <v>11</v>
      </c>
      <c r="AL2596" s="175">
        <v>6</v>
      </c>
      <c r="AM2596" s="175">
        <v>10</v>
      </c>
      <c r="AN2596" s="175">
        <v>0</v>
      </c>
      <c r="AO2596" s="175">
        <v>36</v>
      </c>
      <c r="AP2596" s="175">
        <v>35</v>
      </c>
      <c r="AQ2596" s="175">
        <v>6</v>
      </c>
      <c r="AR2596" s="175">
        <v>0</v>
      </c>
      <c r="AS2596" s="175">
        <v>3</v>
      </c>
      <c r="AT2596" s="175">
        <v>0</v>
      </c>
    </row>
    <row r="2597" spans="1:46">
      <c r="A2597">
        <v>47016</v>
      </c>
      <c r="B2597" t="s">
        <v>15142</v>
      </c>
      <c r="C2597" t="s">
        <v>15143</v>
      </c>
      <c r="E2597" t="s">
        <v>15144</v>
      </c>
      <c r="F2597" t="s">
        <v>1992</v>
      </c>
      <c r="G2597" t="s">
        <v>1923</v>
      </c>
      <c r="H2597" t="s">
        <v>450</v>
      </c>
      <c r="J2597" t="s">
        <v>4032</v>
      </c>
      <c r="K2597" t="s">
        <v>606</v>
      </c>
      <c r="M2597" t="s">
        <v>2366</v>
      </c>
      <c r="N2597" t="s">
        <v>643</v>
      </c>
      <c r="O2597" t="s">
        <v>1968</v>
      </c>
      <c r="P2597" t="s">
        <v>670</v>
      </c>
      <c r="Q2597" t="s">
        <v>553</v>
      </c>
      <c r="R2597" t="s">
        <v>3017</v>
      </c>
      <c r="S2597" t="s">
        <v>1923</v>
      </c>
      <c r="T2597" t="s">
        <v>1568</v>
      </c>
      <c r="U2597">
        <v>225700</v>
      </c>
      <c r="V2597" t="s">
        <v>10327</v>
      </c>
      <c r="W2597" t="s">
        <v>1734</v>
      </c>
      <c r="X2597" t="s">
        <v>15145</v>
      </c>
      <c r="Y2597" t="s">
        <v>15146</v>
      </c>
      <c r="AA2597" t="s">
        <v>15147</v>
      </c>
      <c r="AB2597" t="s">
        <v>11521</v>
      </c>
      <c r="AE2597">
        <v>-39.930705340000003</v>
      </c>
      <c r="AF2597">
        <v>175.04819105000001</v>
      </c>
      <c r="AG2597" s="175">
        <v>80</v>
      </c>
      <c r="AH2597" s="175">
        <v>80</v>
      </c>
      <c r="AI2597" s="175">
        <v>1</v>
      </c>
      <c r="AJ2597" s="175">
        <v>1</v>
      </c>
      <c r="AK2597" s="175">
        <v>2</v>
      </c>
      <c r="AL2597" s="175">
        <v>2</v>
      </c>
      <c r="AM2597" s="175">
        <v>3</v>
      </c>
      <c r="AN2597" s="175">
        <v>0</v>
      </c>
      <c r="AO2597" s="175">
        <v>9</v>
      </c>
      <c r="AP2597" s="175">
        <v>5</v>
      </c>
      <c r="AQ2597" s="175">
        <v>0</v>
      </c>
      <c r="AR2597" s="175">
        <v>0</v>
      </c>
      <c r="AS2597" s="175">
        <v>3</v>
      </c>
      <c r="AT2597" s="175">
        <v>1</v>
      </c>
    </row>
    <row r="2598" spans="1:46">
      <c r="A2598">
        <v>47017</v>
      </c>
      <c r="B2598" t="s">
        <v>15148</v>
      </c>
      <c r="C2598" t="s">
        <v>15149</v>
      </c>
      <c r="E2598" t="s">
        <v>15150</v>
      </c>
      <c r="F2598" t="s">
        <v>1711</v>
      </c>
      <c r="G2598" t="s">
        <v>1604</v>
      </c>
      <c r="H2598" t="s">
        <v>449</v>
      </c>
      <c r="J2598" t="s">
        <v>605</v>
      </c>
      <c r="K2598" t="s">
        <v>606</v>
      </c>
      <c r="M2598" t="s">
        <v>1382</v>
      </c>
      <c r="N2598" t="s">
        <v>625</v>
      </c>
      <c r="O2598" t="s">
        <v>1605</v>
      </c>
      <c r="P2598" t="s">
        <v>670</v>
      </c>
      <c r="Q2598" t="s">
        <v>511</v>
      </c>
      <c r="R2598" t="s">
        <v>1555</v>
      </c>
      <c r="S2598" t="s">
        <v>1604</v>
      </c>
      <c r="T2598" t="s">
        <v>1557</v>
      </c>
      <c r="U2598">
        <v>200900</v>
      </c>
      <c r="V2598" t="s">
        <v>10091</v>
      </c>
      <c r="W2598" t="s">
        <v>1606</v>
      </c>
      <c r="X2598" t="s">
        <v>15151</v>
      </c>
      <c r="Y2598" t="s">
        <v>15152</v>
      </c>
      <c r="Z2598" t="s">
        <v>1747</v>
      </c>
      <c r="AA2598" t="s">
        <v>10094</v>
      </c>
      <c r="AC2598">
        <v>99017</v>
      </c>
      <c r="AD2598" t="s">
        <v>1713</v>
      </c>
      <c r="AE2598">
        <v>-38.127439819999999</v>
      </c>
      <c r="AF2598">
        <v>176.30037214999999</v>
      </c>
      <c r="AG2598" s="175">
        <v>75</v>
      </c>
      <c r="AH2598" s="175">
        <v>25</v>
      </c>
      <c r="AI2598" s="175">
        <v>3</v>
      </c>
      <c r="AJ2598" s="175">
        <v>9</v>
      </c>
      <c r="AK2598" s="175">
        <v>14</v>
      </c>
      <c r="AL2598" s="175">
        <v>15</v>
      </c>
      <c r="AM2598" s="175">
        <v>15</v>
      </c>
      <c r="AN2598" s="175">
        <v>1</v>
      </c>
      <c r="AO2598" s="175">
        <v>57</v>
      </c>
      <c r="AP2598" s="175">
        <v>12</v>
      </c>
      <c r="AQ2598" s="175">
        <v>56</v>
      </c>
      <c r="AR2598" s="175">
        <v>3</v>
      </c>
      <c r="AS2598" s="175">
        <v>0</v>
      </c>
      <c r="AT2598" s="175">
        <v>0</v>
      </c>
    </row>
    <row r="2599" spans="1:46">
      <c r="A2599">
        <v>47019</v>
      </c>
      <c r="B2599" t="s">
        <v>15153</v>
      </c>
      <c r="C2599" t="s">
        <v>15154</v>
      </c>
      <c r="D2599" t="s">
        <v>15155</v>
      </c>
      <c r="E2599" t="s">
        <v>15156</v>
      </c>
      <c r="G2599" t="s">
        <v>752</v>
      </c>
      <c r="H2599" t="s">
        <v>449</v>
      </c>
      <c r="I2599" t="s">
        <v>4134</v>
      </c>
      <c r="J2599" t="s">
        <v>4032</v>
      </c>
      <c r="K2599" t="s">
        <v>606</v>
      </c>
      <c r="M2599" t="s">
        <v>607</v>
      </c>
      <c r="N2599" t="s">
        <v>657</v>
      </c>
      <c r="O2599" t="s">
        <v>738</v>
      </c>
      <c r="P2599" t="s">
        <v>670</v>
      </c>
      <c r="Q2599" t="s">
        <v>467</v>
      </c>
      <c r="R2599" t="s">
        <v>724</v>
      </c>
      <c r="S2599" t="s">
        <v>753</v>
      </c>
      <c r="T2599" t="s">
        <v>613</v>
      </c>
      <c r="U2599">
        <v>113000</v>
      </c>
      <c r="V2599" t="s">
        <v>13007</v>
      </c>
      <c r="W2599" t="s">
        <v>742</v>
      </c>
      <c r="X2599" t="s">
        <v>15157</v>
      </c>
      <c r="Y2599" t="s">
        <v>15158</v>
      </c>
      <c r="Z2599" t="s">
        <v>1004</v>
      </c>
      <c r="AA2599" t="s">
        <v>15159</v>
      </c>
      <c r="AB2599" t="s">
        <v>15160</v>
      </c>
      <c r="AE2599">
        <v>-36.586720370000002</v>
      </c>
      <c r="AF2599">
        <v>174.69217190000001</v>
      </c>
      <c r="AG2599" s="175">
        <v>90</v>
      </c>
      <c r="AH2599" s="175">
        <v>20</v>
      </c>
      <c r="AI2599" s="175">
        <v>2</v>
      </c>
      <c r="AJ2599" s="175">
        <v>11</v>
      </c>
      <c r="AK2599" s="175">
        <v>17</v>
      </c>
      <c r="AL2599" s="175">
        <v>13</v>
      </c>
      <c r="AM2599" s="175">
        <v>10</v>
      </c>
      <c r="AN2599" s="175">
        <v>2</v>
      </c>
      <c r="AO2599" s="175">
        <v>55</v>
      </c>
      <c r="AP2599" s="175">
        <v>35</v>
      </c>
      <c r="AQ2599" s="175">
        <v>0</v>
      </c>
      <c r="AR2599" s="175">
        <v>1</v>
      </c>
      <c r="AS2599" s="175">
        <v>17</v>
      </c>
      <c r="AT2599" s="175">
        <v>8</v>
      </c>
    </row>
    <row r="2600" spans="1:46">
      <c r="A2600">
        <v>47020</v>
      </c>
      <c r="B2600" t="s">
        <v>15161</v>
      </c>
      <c r="C2600" t="s">
        <v>15162</v>
      </c>
      <c r="D2600" t="s">
        <v>15163</v>
      </c>
      <c r="E2600" t="s">
        <v>15164</v>
      </c>
      <c r="G2600" t="s">
        <v>3441</v>
      </c>
      <c r="H2600" t="s">
        <v>449</v>
      </c>
      <c r="J2600" t="s">
        <v>4032</v>
      </c>
      <c r="K2600" t="s">
        <v>606</v>
      </c>
      <c r="M2600" t="s">
        <v>2366</v>
      </c>
      <c r="N2600" t="s">
        <v>657</v>
      </c>
      <c r="O2600" t="s">
        <v>3432</v>
      </c>
      <c r="P2600" t="s">
        <v>610</v>
      </c>
      <c r="Q2600" t="s">
        <v>522</v>
      </c>
      <c r="R2600" t="s">
        <v>3410</v>
      </c>
      <c r="S2600" t="s">
        <v>3323</v>
      </c>
      <c r="T2600" t="s">
        <v>2526</v>
      </c>
      <c r="U2600">
        <v>344900</v>
      </c>
      <c r="V2600" t="s">
        <v>3442</v>
      </c>
      <c r="W2600" t="s">
        <v>3443</v>
      </c>
      <c r="X2600" t="s">
        <v>15165</v>
      </c>
      <c r="Y2600" t="s">
        <v>15166</v>
      </c>
      <c r="AA2600" t="s">
        <v>15167</v>
      </c>
      <c r="AB2600" t="s">
        <v>15162</v>
      </c>
      <c r="AC2600">
        <v>99046</v>
      </c>
      <c r="AD2600" t="s">
        <v>3444</v>
      </c>
      <c r="AE2600">
        <v>-45.049744939999997</v>
      </c>
      <c r="AF2600">
        <v>169.17990370000001</v>
      </c>
      <c r="AG2600" s="175">
        <v>83</v>
      </c>
      <c r="AH2600" s="175">
        <v>25</v>
      </c>
      <c r="AI2600" s="175">
        <v>4</v>
      </c>
      <c r="AJ2600" s="175">
        <v>21</v>
      </c>
      <c r="AK2600" s="175">
        <v>26</v>
      </c>
      <c r="AL2600" s="175">
        <v>20</v>
      </c>
      <c r="AM2600" s="175">
        <v>24</v>
      </c>
      <c r="AN2600" s="175">
        <v>0</v>
      </c>
      <c r="AO2600" s="175">
        <v>95</v>
      </c>
      <c r="AP2600" s="175">
        <v>90</v>
      </c>
      <c r="AQ2600" s="175">
        <v>4</v>
      </c>
      <c r="AR2600" s="175">
        <v>0</v>
      </c>
      <c r="AS2600" s="175">
        <v>4</v>
      </c>
      <c r="AT2600" s="175">
        <v>1</v>
      </c>
    </row>
    <row r="2601" spans="1:46">
      <c r="A2601">
        <v>47021</v>
      </c>
      <c r="B2601" t="s">
        <v>15168</v>
      </c>
      <c r="C2601" t="s">
        <v>15169</v>
      </c>
      <c r="D2601" t="s">
        <v>15170</v>
      </c>
      <c r="E2601" t="s">
        <v>15171</v>
      </c>
      <c r="F2601" t="s">
        <v>15172</v>
      </c>
      <c r="G2601" t="s">
        <v>3408</v>
      </c>
      <c r="H2601" t="s">
        <v>452</v>
      </c>
      <c r="J2601" t="s">
        <v>605</v>
      </c>
      <c r="K2601" t="s">
        <v>606</v>
      </c>
      <c r="M2601" t="s">
        <v>2366</v>
      </c>
      <c r="N2601" t="s">
        <v>657</v>
      </c>
      <c r="O2601" t="s">
        <v>3409</v>
      </c>
      <c r="P2601" t="s">
        <v>626</v>
      </c>
      <c r="Q2601" t="s">
        <v>522</v>
      </c>
      <c r="R2601" t="s">
        <v>3410</v>
      </c>
      <c r="S2601" t="s">
        <v>3323</v>
      </c>
      <c r="T2601" t="s">
        <v>2526</v>
      </c>
      <c r="U2601">
        <v>343700</v>
      </c>
      <c r="V2601" t="s">
        <v>15172</v>
      </c>
      <c r="W2601" t="s">
        <v>15173</v>
      </c>
      <c r="X2601" t="s">
        <v>3413</v>
      </c>
      <c r="Y2601" t="s">
        <v>3414</v>
      </c>
      <c r="AA2601" t="s">
        <v>3415</v>
      </c>
      <c r="AB2601" t="s">
        <v>3416</v>
      </c>
      <c r="AC2601">
        <v>99209</v>
      </c>
      <c r="AD2601" t="s">
        <v>15174</v>
      </c>
      <c r="AE2601">
        <v>-45.168151889999997</v>
      </c>
      <c r="AF2601">
        <v>170.83365128</v>
      </c>
      <c r="AG2601" s="175">
        <v>25</v>
      </c>
      <c r="AH2601" s="175">
        <v>0</v>
      </c>
      <c r="AI2601" s="175">
        <v>0</v>
      </c>
      <c r="AJ2601" s="175">
        <v>0</v>
      </c>
      <c r="AK2601" s="175">
        <v>6</v>
      </c>
      <c r="AL2601" s="175">
        <v>17</v>
      </c>
      <c r="AM2601" s="175">
        <v>9</v>
      </c>
      <c r="AN2601" s="175">
        <v>0</v>
      </c>
      <c r="AO2601" s="175">
        <v>32</v>
      </c>
      <c r="AP2601" s="175">
        <v>26</v>
      </c>
      <c r="AQ2601" s="175">
        <v>7</v>
      </c>
      <c r="AR2601" s="175">
        <v>3</v>
      </c>
      <c r="AS2601" s="175">
        <v>4</v>
      </c>
      <c r="AT2601" s="175">
        <v>1</v>
      </c>
    </row>
    <row r="2602" spans="1:46">
      <c r="A2602">
        <v>47023</v>
      </c>
      <c r="B2602" t="s">
        <v>15175</v>
      </c>
      <c r="C2602" t="s">
        <v>15176</v>
      </c>
      <c r="E2602" t="s">
        <v>15177</v>
      </c>
      <c r="F2602" t="s">
        <v>1482</v>
      </c>
      <c r="G2602" t="s">
        <v>1381</v>
      </c>
      <c r="H2602" t="s">
        <v>449</v>
      </c>
      <c r="J2602" t="s">
        <v>605</v>
      </c>
      <c r="K2602" t="s">
        <v>606</v>
      </c>
      <c r="M2602" t="s">
        <v>1382</v>
      </c>
      <c r="N2602" t="s">
        <v>657</v>
      </c>
      <c r="O2602" t="s">
        <v>1383</v>
      </c>
      <c r="P2602" t="s">
        <v>739</v>
      </c>
      <c r="Q2602" t="s">
        <v>510</v>
      </c>
      <c r="R2602" t="s">
        <v>1384</v>
      </c>
      <c r="S2602" t="s">
        <v>1396</v>
      </c>
      <c r="T2602" t="s">
        <v>1320</v>
      </c>
      <c r="U2602">
        <v>179600</v>
      </c>
      <c r="V2602" t="s">
        <v>8874</v>
      </c>
      <c r="W2602" t="s">
        <v>1398</v>
      </c>
      <c r="X2602" t="s">
        <v>8441</v>
      </c>
      <c r="Y2602" t="s">
        <v>4014</v>
      </c>
      <c r="Z2602" t="s">
        <v>4015</v>
      </c>
      <c r="AA2602" t="s">
        <v>4016</v>
      </c>
      <c r="AB2602" t="s">
        <v>8442</v>
      </c>
      <c r="AE2602">
        <v>-37.778497299999998</v>
      </c>
      <c r="AF2602">
        <v>175.29233058</v>
      </c>
      <c r="AG2602" s="175">
        <v>30</v>
      </c>
      <c r="AH2602" s="175">
        <v>10</v>
      </c>
      <c r="AI2602" s="175">
        <v>1</v>
      </c>
      <c r="AJ2602" s="175">
        <v>6</v>
      </c>
      <c r="AK2602" s="175">
        <v>7</v>
      </c>
      <c r="AL2602" s="175">
        <v>8</v>
      </c>
      <c r="AM2602" s="175">
        <v>7</v>
      </c>
      <c r="AN2602" s="175">
        <v>2</v>
      </c>
      <c r="AO2602" s="175">
        <v>31</v>
      </c>
      <c r="AP2602" s="175">
        <v>15</v>
      </c>
      <c r="AQ2602" s="175">
        <v>20</v>
      </c>
      <c r="AR2602" s="175">
        <v>2</v>
      </c>
      <c r="AS2602" s="175">
        <v>3</v>
      </c>
      <c r="AT2602" s="175">
        <v>3</v>
      </c>
    </row>
    <row r="2603" spans="1:46">
      <c r="A2603">
        <v>47030</v>
      </c>
      <c r="B2603" t="s">
        <v>15178</v>
      </c>
      <c r="C2603" t="s">
        <v>15179</v>
      </c>
      <c r="D2603" t="s">
        <v>15180</v>
      </c>
      <c r="E2603" t="s">
        <v>15181</v>
      </c>
      <c r="G2603" t="s">
        <v>2276</v>
      </c>
      <c r="H2603" t="s">
        <v>449</v>
      </c>
      <c r="J2603" t="s">
        <v>4032</v>
      </c>
      <c r="K2603" t="s">
        <v>606</v>
      </c>
      <c r="M2603" t="s">
        <v>1382</v>
      </c>
      <c r="N2603" t="s">
        <v>657</v>
      </c>
      <c r="O2603" t="s">
        <v>2277</v>
      </c>
      <c r="P2603" t="s">
        <v>670</v>
      </c>
      <c r="Q2603" t="s">
        <v>513</v>
      </c>
      <c r="R2603" t="s">
        <v>2164</v>
      </c>
      <c r="S2603" t="s">
        <v>2278</v>
      </c>
      <c r="T2603" t="s">
        <v>2165</v>
      </c>
      <c r="U2603">
        <v>209800</v>
      </c>
      <c r="V2603" t="s">
        <v>2323</v>
      </c>
      <c r="W2603" t="s">
        <v>2279</v>
      </c>
      <c r="X2603" t="s">
        <v>15182</v>
      </c>
      <c r="Y2603" t="s">
        <v>15181</v>
      </c>
      <c r="Z2603" t="s">
        <v>8762</v>
      </c>
      <c r="AA2603" t="s">
        <v>2283</v>
      </c>
      <c r="AB2603" t="s">
        <v>15179</v>
      </c>
      <c r="AE2603">
        <v>-39.619409820000001</v>
      </c>
      <c r="AF2603">
        <v>176.84799941</v>
      </c>
      <c r="AG2603" s="175">
        <v>88</v>
      </c>
      <c r="AH2603" s="175">
        <v>32</v>
      </c>
      <c r="AI2603" s="175">
        <v>9</v>
      </c>
      <c r="AJ2603" s="175">
        <v>19</v>
      </c>
      <c r="AK2603" s="175">
        <v>30</v>
      </c>
      <c r="AL2603" s="175">
        <v>24</v>
      </c>
      <c r="AM2603" s="175">
        <v>18</v>
      </c>
      <c r="AN2603" s="175">
        <v>0</v>
      </c>
      <c r="AO2603" s="175">
        <v>100</v>
      </c>
      <c r="AP2603" s="175">
        <v>90</v>
      </c>
      <c r="AQ2603" s="175">
        <v>27</v>
      </c>
      <c r="AR2603" s="175">
        <v>5</v>
      </c>
      <c r="AS2603" s="175">
        <v>8</v>
      </c>
      <c r="AT2603" s="175">
        <v>1</v>
      </c>
    </row>
    <row r="2604" spans="1:46">
      <c r="A2604">
        <v>47031</v>
      </c>
      <c r="B2604" t="s">
        <v>15183</v>
      </c>
      <c r="C2604" t="s">
        <v>15184</v>
      </c>
      <c r="D2604" t="s">
        <v>15185</v>
      </c>
      <c r="E2604" t="s">
        <v>15186</v>
      </c>
      <c r="F2604" t="s">
        <v>983</v>
      </c>
      <c r="G2604" t="s">
        <v>737</v>
      </c>
      <c r="H2604" t="s">
        <v>449</v>
      </c>
      <c r="J2604" t="s">
        <v>4032</v>
      </c>
      <c r="K2604" t="s">
        <v>606</v>
      </c>
      <c r="M2604" t="s">
        <v>607</v>
      </c>
      <c r="N2604" t="s">
        <v>657</v>
      </c>
      <c r="O2604" t="s">
        <v>898</v>
      </c>
      <c r="P2604" t="s">
        <v>739</v>
      </c>
      <c r="Q2604" t="s">
        <v>467</v>
      </c>
      <c r="R2604" t="s">
        <v>724</v>
      </c>
      <c r="S2604" t="s">
        <v>984</v>
      </c>
      <c r="T2604" t="s">
        <v>613</v>
      </c>
      <c r="U2604">
        <v>125100</v>
      </c>
      <c r="V2604" t="s">
        <v>4372</v>
      </c>
      <c r="W2604" t="s">
        <v>900</v>
      </c>
      <c r="X2604" t="s">
        <v>15187</v>
      </c>
      <c r="Y2604" t="s">
        <v>15188</v>
      </c>
      <c r="Z2604" t="s">
        <v>4622</v>
      </c>
      <c r="AA2604" t="s">
        <v>4623</v>
      </c>
      <c r="AB2604" t="s">
        <v>15189</v>
      </c>
      <c r="AE2604">
        <v>-36.853157629999998</v>
      </c>
      <c r="AF2604">
        <v>174.63036177999999</v>
      </c>
      <c r="AG2604" s="175">
        <v>98</v>
      </c>
      <c r="AH2604" s="175">
        <v>30</v>
      </c>
      <c r="AI2604" s="175">
        <v>5</v>
      </c>
      <c r="AJ2604" s="175">
        <v>15</v>
      </c>
      <c r="AK2604" s="175">
        <v>25</v>
      </c>
      <c r="AL2604" s="175">
        <v>16</v>
      </c>
      <c r="AM2604" s="175">
        <v>16</v>
      </c>
      <c r="AN2604" s="175">
        <v>0</v>
      </c>
      <c r="AO2604" s="175">
        <v>77</v>
      </c>
      <c r="AP2604" s="175">
        <v>20</v>
      </c>
      <c r="AQ2604" s="175">
        <v>11</v>
      </c>
      <c r="AR2604" s="175">
        <v>10</v>
      </c>
      <c r="AS2604" s="175">
        <v>50</v>
      </c>
      <c r="AT2604" s="175">
        <v>6</v>
      </c>
    </row>
    <row r="2605" spans="1:46">
      <c r="A2605">
        <v>47033</v>
      </c>
      <c r="B2605" t="s">
        <v>15190</v>
      </c>
      <c r="C2605" t="s">
        <v>15191</v>
      </c>
      <c r="D2605" t="s">
        <v>15192</v>
      </c>
      <c r="E2605" t="s">
        <v>15193</v>
      </c>
      <c r="F2605" t="s">
        <v>822</v>
      </c>
      <c r="G2605" t="s">
        <v>737</v>
      </c>
      <c r="H2605" t="s">
        <v>449</v>
      </c>
      <c r="I2605" t="s">
        <v>4134</v>
      </c>
      <c r="J2605" t="s">
        <v>4032</v>
      </c>
      <c r="K2605" t="s">
        <v>606</v>
      </c>
      <c r="M2605" t="s">
        <v>607</v>
      </c>
      <c r="N2605" t="s">
        <v>657</v>
      </c>
      <c r="O2605" t="s">
        <v>823</v>
      </c>
      <c r="P2605" t="s">
        <v>739</v>
      </c>
      <c r="Q2605" t="s">
        <v>467</v>
      </c>
      <c r="R2605" t="s">
        <v>724</v>
      </c>
      <c r="S2605" t="s">
        <v>841</v>
      </c>
      <c r="T2605" t="s">
        <v>613</v>
      </c>
      <c r="U2605">
        <v>124000</v>
      </c>
      <c r="V2605" t="s">
        <v>1066</v>
      </c>
      <c r="W2605" t="s">
        <v>826</v>
      </c>
      <c r="X2605" t="s">
        <v>15194</v>
      </c>
      <c r="Y2605" t="s">
        <v>15193</v>
      </c>
      <c r="Z2605" t="s">
        <v>822</v>
      </c>
      <c r="AA2605" t="s">
        <v>6963</v>
      </c>
      <c r="AE2605">
        <v>-36.787920380000003</v>
      </c>
      <c r="AF2605">
        <v>174.72860661000001</v>
      </c>
      <c r="AG2605" s="175">
        <v>30</v>
      </c>
      <c r="AH2605" s="175">
        <v>0</v>
      </c>
      <c r="AI2605" s="175">
        <v>0</v>
      </c>
      <c r="AJ2605" s="175">
        <v>0</v>
      </c>
      <c r="AK2605" s="175">
        <v>3</v>
      </c>
      <c r="AL2605" s="175">
        <v>19</v>
      </c>
      <c r="AM2605" s="175">
        <v>12</v>
      </c>
      <c r="AN2605" s="175">
        <v>1</v>
      </c>
      <c r="AO2605" s="175">
        <v>35</v>
      </c>
      <c r="AP2605" s="175">
        <v>5</v>
      </c>
      <c r="AQ2605" s="175">
        <v>0</v>
      </c>
      <c r="AR2605" s="175">
        <v>1</v>
      </c>
      <c r="AS2605" s="175">
        <v>30</v>
      </c>
      <c r="AT2605" s="175">
        <v>0</v>
      </c>
    </row>
    <row r="2606" spans="1:46">
      <c r="A2606">
        <v>47034</v>
      </c>
      <c r="B2606" t="s">
        <v>15195</v>
      </c>
      <c r="C2606" t="s">
        <v>15196</v>
      </c>
      <c r="D2606" t="s">
        <v>13862</v>
      </c>
      <c r="E2606" t="s">
        <v>13863</v>
      </c>
      <c r="F2606" t="s">
        <v>4272</v>
      </c>
      <c r="G2606" t="s">
        <v>737</v>
      </c>
      <c r="H2606" t="s">
        <v>450</v>
      </c>
      <c r="J2606" t="s">
        <v>4032</v>
      </c>
      <c r="K2606" t="s">
        <v>606</v>
      </c>
      <c r="M2606" t="s">
        <v>607</v>
      </c>
      <c r="N2606" t="s">
        <v>657</v>
      </c>
      <c r="O2606" t="s">
        <v>813</v>
      </c>
      <c r="P2606" t="s">
        <v>739</v>
      </c>
      <c r="Q2606" t="s">
        <v>467</v>
      </c>
      <c r="R2606" t="s">
        <v>814</v>
      </c>
      <c r="S2606" t="s">
        <v>1121</v>
      </c>
      <c r="T2606" t="s">
        <v>794</v>
      </c>
      <c r="U2606">
        <v>155500</v>
      </c>
      <c r="V2606" t="s">
        <v>4405</v>
      </c>
      <c r="W2606" t="s">
        <v>817</v>
      </c>
      <c r="X2606" t="s">
        <v>13864</v>
      </c>
      <c r="Y2606" t="s">
        <v>13865</v>
      </c>
      <c r="Z2606" t="s">
        <v>5170</v>
      </c>
      <c r="AA2606" t="s">
        <v>11816</v>
      </c>
      <c r="AE2606">
        <v>-36.987956490000002</v>
      </c>
      <c r="AF2606">
        <v>174.8758522</v>
      </c>
      <c r="AG2606" s="175">
        <v>40</v>
      </c>
      <c r="AH2606" s="175">
        <v>40</v>
      </c>
      <c r="AI2606" s="175">
        <v>3</v>
      </c>
      <c r="AJ2606" s="175">
        <v>1</v>
      </c>
      <c r="AK2606" s="175">
        <v>2</v>
      </c>
      <c r="AL2606" s="175">
        <v>4</v>
      </c>
      <c r="AM2606" s="175">
        <v>4</v>
      </c>
      <c r="AN2606" s="175">
        <v>1</v>
      </c>
      <c r="AO2606" s="175">
        <v>15</v>
      </c>
      <c r="AP2606" s="175">
        <v>0</v>
      </c>
      <c r="AQ2606" s="175">
        <v>0</v>
      </c>
      <c r="AR2606" s="175">
        <v>13</v>
      </c>
      <c r="AS2606" s="175">
        <v>2</v>
      </c>
      <c r="AT2606" s="175">
        <v>0</v>
      </c>
    </row>
    <row r="2607" spans="1:46">
      <c r="A2607">
        <v>47036</v>
      </c>
      <c r="B2607" t="s">
        <v>15197</v>
      </c>
      <c r="C2607" t="s">
        <v>15198</v>
      </c>
      <c r="E2607" t="s">
        <v>15199</v>
      </c>
      <c r="F2607" t="s">
        <v>10775</v>
      </c>
      <c r="G2607" t="s">
        <v>1628</v>
      </c>
      <c r="H2607" t="s">
        <v>449</v>
      </c>
      <c r="J2607" t="s">
        <v>605</v>
      </c>
      <c r="K2607" t="s">
        <v>606</v>
      </c>
      <c r="M2607" t="s">
        <v>1382</v>
      </c>
      <c r="N2607" t="s">
        <v>657</v>
      </c>
      <c r="O2607" t="s">
        <v>1629</v>
      </c>
      <c r="P2607" t="s">
        <v>1347</v>
      </c>
      <c r="Q2607" t="s">
        <v>510</v>
      </c>
      <c r="R2607" t="s">
        <v>1555</v>
      </c>
      <c r="S2607" t="s">
        <v>1404</v>
      </c>
      <c r="T2607" t="s">
        <v>1557</v>
      </c>
      <c r="U2607">
        <v>189300</v>
      </c>
      <c r="V2607" t="s">
        <v>1768</v>
      </c>
      <c r="W2607" t="s">
        <v>1631</v>
      </c>
      <c r="X2607" t="s">
        <v>10550</v>
      </c>
      <c r="Y2607" t="s">
        <v>4014</v>
      </c>
      <c r="Z2607" t="s">
        <v>4015</v>
      </c>
      <c r="AA2607" t="s">
        <v>4016</v>
      </c>
      <c r="AB2607" t="s">
        <v>10551</v>
      </c>
      <c r="AC2607">
        <v>99020</v>
      </c>
      <c r="AD2607" t="s">
        <v>1633</v>
      </c>
      <c r="AE2607">
        <v>-38.719598300000001</v>
      </c>
      <c r="AF2607">
        <v>176.08719859999999</v>
      </c>
      <c r="AG2607" s="175">
        <v>50</v>
      </c>
      <c r="AH2607" s="175">
        <v>0</v>
      </c>
      <c r="AI2607" s="175">
        <v>0</v>
      </c>
      <c r="AJ2607" s="175">
        <v>0</v>
      </c>
      <c r="AK2607" s="175">
        <v>17</v>
      </c>
      <c r="AL2607" s="175">
        <v>19</v>
      </c>
      <c r="AM2607" s="175">
        <v>19</v>
      </c>
      <c r="AN2607" s="175">
        <v>1</v>
      </c>
      <c r="AO2607" s="175">
        <v>56</v>
      </c>
      <c r="AP2607" s="175">
        <v>31</v>
      </c>
      <c r="AQ2607" s="175">
        <v>17</v>
      </c>
      <c r="AR2607" s="175">
        <v>7</v>
      </c>
      <c r="AS2607" s="175">
        <v>7</v>
      </c>
      <c r="AT2607" s="175">
        <v>9</v>
      </c>
    </row>
    <row r="2608" spans="1:46">
      <c r="A2608">
        <v>47039</v>
      </c>
      <c r="B2608" t="s">
        <v>15200</v>
      </c>
      <c r="C2608" t="s">
        <v>15201</v>
      </c>
      <c r="D2608" t="s">
        <v>15202</v>
      </c>
      <c r="E2608" t="s">
        <v>15203</v>
      </c>
      <c r="F2608" t="s">
        <v>3841</v>
      </c>
      <c r="G2608" t="s">
        <v>1681</v>
      </c>
      <c r="H2608" t="s">
        <v>449</v>
      </c>
      <c r="J2608" t="s">
        <v>4032</v>
      </c>
      <c r="K2608" t="s">
        <v>606</v>
      </c>
      <c r="M2608" t="s">
        <v>1382</v>
      </c>
      <c r="N2608" t="s">
        <v>657</v>
      </c>
      <c r="O2608" t="s">
        <v>1780</v>
      </c>
      <c r="P2608" t="s">
        <v>739</v>
      </c>
      <c r="Q2608" t="s">
        <v>511</v>
      </c>
      <c r="R2608" t="s">
        <v>1555</v>
      </c>
      <c r="S2608" t="s">
        <v>1781</v>
      </c>
      <c r="T2608" t="s">
        <v>1557</v>
      </c>
      <c r="U2608">
        <v>196202</v>
      </c>
      <c r="V2608" t="s">
        <v>15204</v>
      </c>
      <c r="W2608" t="s">
        <v>1783</v>
      </c>
      <c r="X2608" t="s">
        <v>12253</v>
      </c>
      <c r="Y2608" t="s">
        <v>12254</v>
      </c>
      <c r="Z2608" t="s">
        <v>12255</v>
      </c>
      <c r="AA2608" t="s">
        <v>12256</v>
      </c>
      <c r="AB2608" t="s">
        <v>12250</v>
      </c>
      <c r="AE2608">
        <v>-37.687757660000003</v>
      </c>
      <c r="AF2608">
        <v>176.246094</v>
      </c>
      <c r="AG2608" s="175">
        <v>75</v>
      </c>
      <c r="AH2608" s="175">
        <v>38</v>
      </c>
      <c r="AI2608" s="175">
        <v>5</v>
      </c>
      <c r="AJ2608" s="175">
        <v>18</v>
      </c>
      <c r="AK2608" s="175">
        <v>35</v>
      </c>
      <c r="AL2608" s="175">
        <v>14</v>
      </c>
      <c r="AM2608" s="175">
        <v>20</v>
      </c>
      <c r="AN2608" s="175">
        <v>1</v>
      </c>
      <c r="AO2608" s="175">
        <v>93</v>
      </c>
      <c r="AP2608" s="175">
        <v>87</v>
      </c>
      <c r="AQ2608" s="175">
        <v>20</v>
      </c>
      <c r="AR2608" s="175">
        <v>1</v>
      </c>
      <c r="AS2608" s="175">
        <v>2</v>
      </c>
      <c r="AT2608" s="175">
        <v>8</v>
      </c>
    </row>
    <row r="2609" spans="1:46">
      <c r="A2609">
        <v>47040</v>
      </c>
      <c r="B2609" t="s">
        <v>15205</v>
      </c>
      <c r="C2609" t="s">
        <v>15206</v>
      </c>
      <c r="D2609" t="s">
        <v>8100</v>
      </c>
      <c r="E2609" t="s">
        <v>15207</v>
      </c>
      <c r="F2609" t="s">
        <v>1030</v>
      </c>
      <c r="G2609" t="s">
        <v>737</v>
      </c>
      <c r="H2609" t="s">
        <v>449</v>
      </c>
      <c r="J2609" t="s">
        <v>4032</v>
      </c>
      <c r="K2609" t="s">
        <v>606</v>
      </c>
      <c r="M2609" t="s">
        <v>607</v>
      </c>
      <c r="N2609" t="s">
        <v>608</v>
      </c>
      <c r="O2609" t="s">
        <v>933</v>
      </c>
      <c r="P2609" t="s">
        <v>739</v>
      </c>
      <c r="Q2609" t="s">
        <v>467</v>
      </c>
      <c r="R2609" t="s">
        <v>814</v>
      </c>
      <c r="S2609" t="s">
        <v>934</v>
      </c>
      <c r="T2609" t="s">
        <v>794</v>
      </c>
      <c r="U2609">
        <v>152600</v>
      </c>
      <c r="V2609" t="s">
        <v>14649</v>
      </c>
      <c r="W2609" t="s">
        <v>817</v>
      </c>
      <c r="X2609" t="s">
        <v>8102</v>
      </c>
      <c r="Y2609" t="s">
        <v>8103</v>
      </c>
      <c r="AA2609" t="s">
        <v>8104</v>
      </c>
      <c r="AB2609" t="s">
        <v>8105</v>
      </c>
      <c r="AE2609">
        <v>-36.971441470000002</v>
      </c>
      <c r="AF2609">
        <v>174.81963913999999</v>
      </c>
      <c r="AG2609" s="175">
        <v>55</v>
      </c>
      <c r="AH2609" s="175">
        <v>15</v>
      </c>
      <c r="AI2609" s="175">
        <v>1</v>
      </c>
      <c r="AJ2609" s="175">
        <v>8</v>
      </c>
      <c r="AK2609" s="175">
        <v>12</v>
      </c>
      <c r="AL2609" s="175">
        <v>14</v>
      </c>
      <c r="AM2609" s="175">
        <v>9</v>
      </c>
      <c r="AN2609" s="175">
        <v>3</v>
      </c>
      <c r="AO2609" s="175">
        <v>47</v>
      </c>
      <c r="AP2609" s="175">
        <v>2</v>
      </c>
      <c r="AQ2609" s="175">
        <v>7</v>
      </c>
      <c r="AR2609" s="175">
        <v>19</v>
      </c>
      <c r="AS2609" s="175">
        <v>24</v>
      </c>
      <c r="AT2609" s="175">
        <v>2</v>
      </c>
    </row>
    <row r="2610" spans="1:46">
      <c r="A2610">
        <v>47041</v>
      </c>
      <c r="B2610" t="s">
        <v>15208</v>
      </c>
      <c r="C2610" t="s">
        <v>15209</v>
      </c>
      <c r="D2610" t="s">
        <v>15210</v>
      </c>
      <c r="E2610" t="s">
        <v>15211</v>
      </c>
      <c r="F2610" t="s">
        <v>913</v>
      </c>
      <c r="G2610" t="s">
        <v>737</v>
      </c>
      <c r="H2610" t="s">
        <v>449</v>
      </c>
      <c r="J2610" t="s">
        <v>4032</v>
      </c>
      <c r="K2610" t="s">
        <v>606</v>
      </c>
      <c r="M2610" t="s">
        <v>607</v>
      </c>
      <c r="N2610" t="s">
        <v>643</v>
      </c>
      <c r="O2610" t="s">
        <v>914</v>
      </c>
      <c r="P2610" t="s">
        <v>739</v>
      </c>
      <c r="Q2610" t="s">
        <v>467</v>
      </c>
      <c r="R2610" t="s">
        <v>793</v>
      </c>
      <c r="S2610" t="s">
        <v>890</v>
      </c>
      <c r="T2610" t="s">
        <v>794</v>
      </c>
      <c r="U2610">
        <v>145600</v>
      </c>
      <c r="V2610" t="s">
        <v>13555</v>
      </c>
      <c r="W2610" t="s">
        <v>892</v>
      </c>
      <c r="X2610" t="s">
        <v>4905</v>
      </c>
      <c r="Y2610" t="s">
        <v>4906</v>
      </c>
      <c r="Z2610" t="s">
        <v>4907</v>
      </c>
      <c r="AA2610" t="s">
        <v>4551</v>
      </c>
      <c r="AE2610">
        <v>-36.916752649999999</v>
      </c>
      <c r="AF2610">
        <v>174.79916514000001</v>
      </c>
      <c r="AG2610" s="175">
        <v>60</v>
      </c>
      <c r="AH2610" s="175">
        <v>20</v>
      </c>
      <c r="AI2610" s="175">
        <v>2</v>
      </c>
      <c r="AJ2610" s="175">
        <v>8</v>
      </c>
      <c r="AK2610" s="175">
        <v>9</v>
      </c>
      <c r="AL2610" s="175">
        <v>13</v>
      </c>
      <c r="AM2610" s="175">
        <v>21</v>
      </c>
      <c r="AN2610" s="175">
        <v>0</v>
      </c>
      <c r="AO2610" s="175">
        <v>53</v>
      </c>
      <c r="AP2610" s="175">
        <v>5</v>
      </c>
      <c r="AQ2610" s="175">
        <v>12</v>
      </c>
      <c r="AR2610" s="175">
        <v>39</v>
      </c>
      <c r="AS2610" s="175">
        <v>10</v>
      </c>
      <c r="AT2610" s="175">
        <v>2</v>
      </c>
    </row>
    <row r="2611" spans="1:46">
      <c r="A2611">
        <v>47042</v>
      </c>
      <c r="B2611" t="s">
        <v>15212</v>
      </c>
      <c r="C2611" t="s">
        <v>15213</v>
      </c>
      <c r="E2611" t="s">
        <v>15214</v>
      </c>
      <c r="G2611" t="s">
        <v>1434</v>
      </c>
      <c r="H2611" t="s">
        <v>449</v>
      </c>
      <c r="J2611" t="s">
        <v>4032</v>
      </c>
      <c r="K2611" t="s">
        <v>606</v>
      </c>
      <c r="M2611" t="s">
        <v>1382</v>
      </c>
      <c r="N2611" t="s">
        <v>643</v>
      </c>
      <c r="O2611" t="s">
        <v>1435</v>
      </c>
      <c r="P2611" t="s">
        <v>610</v>
      </c>
      <c r="Q2611" t="s">
        <v>510</v>
      </c>
      <c r="R2611" t="s">
        <v>1384</v>
      </c>
      <c r="S2611" t="s">
        <v>1384</v>
      </c>
      <c r="T2611" t="s">
        <v>1320</v>
      </c>
      <c r="U2611">
        <v>172100</v>
      </c>
      <c r="V2611" t="s">
        <v>1436</v>
      </c>
      <c r="W2611" t="s">
        <v>1437</v>
      </c>
      <c r="X2611" t="s">
        <v>15215</v>
      </c>
      <c r="Y2611" t="s">
        <v>15216</v>
      </c>
      <c r="AA2611" t="s">
        <v>14975</v>
      </c>
      <c r="AB2611" t="s">
        <v>15217</v>
      </c>
      <c r="AE2611">
        <v>-37.67103651</v>
      </c>
      <c r="AF2611">
        <v>175.14704098999999</v>
      </c>
      <c r="AG2611" s="175">
        <v>30</v>
      </c>
      <c r="AH2611" s="175">
        <v>10</v>
      </c>
      <c r="AI2611" s="175">
        <v>2</v>
      </c>
      <c r="AJ2611" s="175">
        <v>5</v>
      </c>
      <c r="AK2611" s="175">
        <v>6</v>
      </c>
      <c r="AL2611" s="175">
        <v>9</v>
      </c>
      <c r="AM2611" s="175">
        <v>5</v>
      </c>
      <c r="AN2611" s="175">
        <v>2</v>
      </c>
      <c r="AO2611" s="175">
        <v>29</v>
      </c>
      <c r="AP2611" s="175">
        <v>18</v>
      </c>
      <c r="AQ2611" s="175">
        <v>21</v>
      </c>
      <c r="AR2611" s="175">
        <v>4</v>
      </c>
      <c r="AS2611" s="175">
        <v>4</v>
      </c>
      <c r="AT2611" s="175">
        <v>0</v>
      </c>
    </row>
    <row r="2612" spans="1:46">
      <c r="A2612">
        <v>47044</v>
      </c>
      <c r="B2612" t="s">
        <v>15218</v>
      </c>
      <c r="C2612" t="s">
        <v>15219</v>
      </c>
      <c r="E2612" t="s">
        <v>15220</v>
      </c>
      <c r="F2612" t="s">
        <v>983</v>
      </c>
      <c r="G2612" t="s">
        <v>737</v>
      </c>
      <c r="H2612" t="s">
        <v>450</v>
      </c>
      <c r="J2612" t="s">
        <v>4032</v>
      </c>
      <c r="K2612" t="s">
        <v>606</v>
      </c>
      <c r="M2612" t="s">
        <v>607</v>
      </c>
      <c r="N2612" t="s">
        <v>812</v>
      </c>
      <c r="O2612" t="s">
        <v>898</v>
      </c>
      <c r="P2612" t="s">
        <v>739</v>
      </c>
      <c r="Q2612" t="s">
        <v>467</v>
      </c>
      <c r="R2612" t="s">
        <v>724</v>
      </c>
      <c r="S2612" t="s">
        <v>984</v>
      </c>
      <c r="T2612" t="s">
        <v>613</v>
      </c>
      <c r="U2612">
        <v>126100</v>
      </c>
      <c r="V2612" t="s">
        <v>5079</v>
      </c>
      <c r="W2612" t="s">
        <v>900</v>
      </c>
      <c r="X2612" t="s">
        <v>15221</v>
      </c>
      <c r="Y2612" t="s">
        <v>15220</v>
      </c>
      <c r="Z2612" t="s">
        <v>983</v>
      </c>
      <c r="AA2612" t="s">
        <v>4034</v>
      </c>
      <c r="AB2612" t="s">
        <v>15219</v>
      </c>
      <c r="AE2612">
        <v>-36.877258249999997</v>
      </c>
      <c r="AF2612">
        <v>174.61819308</v>
      </c>
      <c r="AG2612" s="175">
        <v>60</v>
      </c>
      <c r="AH2612" s="175">
        <v>60</v>
      </c>
      <c r="AI2612" s="175">
        <v>2</v>
      </c>
      <c r="AJ2612" s="175">
        <v>3</v>
      </c>
      <c r="AK2612" s="175">
        <v>1</v>
      </c>
      <c r="AL2612" s="175">
        <v>6</v>
      </c>
      <c r="AM2612" s="175">
        <v>4</v>
      </c>
      <c r="AN2612" s="175">
        <v>0</v>
      </c>
      <c r="AO2612" s="175">
        <v>16</v>
      </c>
      <c r="AP2612" s="175">
        <v>0</v>
      </c>
      <c r="AQ2612" s="175">
        <v>2</v>
      </c>
      <c r="AR2612" s="175">
        <v>15</v>
      </c>
      <c r="AS2612" s="175">
        <v>0</v>
      </c>
      <c r="AT2612" s="175">
        <v>1</v>
      </c>
    </row>
    <row r="2613" spans="1:46">
      <c r="A2613">
        <v>47047</v>
      </c>
      <c r="B2613" t="s">
        <v>15222</v>
      </c>
      <c r="C2613" t="s">
        <v>15223</v>
      </c>
      <c r="E2613" t="s">
        <v>15224</v>
      </c>
      <c r="F2613" t="s">
        <v>8655</v>
      </c>
      <c r="G2613" t="s">
        <v>1381</v>
      </c>
      <c r="H2613" t="s">
        <v>449</v>
      </c>
      <c r="J2613" t="s">
        <v>4032</v>
      </c>
      <c r="K2613" t="s">
        <v>606</v>
      </c>
      <c r="M2613" t="s">
        <v>1382</v>
      </c>
      <c r="N2613" t="s">
        <v>657</v>
      </c>
      <c r="O2613" t="s">
        <v>1383</v>
      </c>
      <c r="P2613" t="s">
        <v>739</v>
      </c>
      <c r="Q2613" t="s">
        <v>510</v>
      </c>
      <c r="R2613" t="s">
        <v>1384</v>
      </c>
      <c r="S2613" t="s">
        <v>1396</v>
      </c>
      <c r="T2613" t="s">
        <v>1320</v>
      </c>
      <c r="U2613">
        <v>175801</v>
      </c>
      <c r="V2613" t="s">
        <v>8656</v>
      </c>
      <c r="W2613" t="s">
        <v>1398</v>
      </c>
      <c r="X2613" t="s">
        <v>15225</v>
      </c>
      <c r="Y2613" t="s">
        <v>15226</v>
      </c>
      <c r="Z2613" t="s">
        <v>1429</v>
      </c>
      <c r="AA2613" t="s">
        <v>8714</v>
      </c>
      <c r="AB2613" t="s">
        <v>15227</v>
      </c>
      <c r="AE2613">
        <v>-37.737416400000001</v>
      </c>
      <c r="AF2613">
        <v>175.25680539999999</v>
      </c>
      <c r="AG2613" s="175">
        <v>20</v>
      </c>
      <c r="AH2613" s="175">
        <v>0</v>
      </c>
      <c r="AI2613" s="175">
        <v>0</v>
      </c>
      <c r="AJ2613" s="175">
        <v>0</v>
      </c>
      <c r="AK2613" s="175">
        <v>6</v>
      </c>
      <c r="AL2613" s="175">
        <v>5</v>
      </c>
      <c r="AM2613" s="175">
        <v>7</v>
      </c>
      <c r="AN2613" s="175">
        <v>0</v>
      </c>
      <c r="AO2613" s="175">
        <v>18</v>
      </c>
      <c r="AP2613" s="175">
        <v>9</v>
      </c>
      <c r="AQ2613" s="175">
        <v>12</v>
      </c>
      <c r="AR2613" s="175">
        <v>5</v>
      </c>
      <c r="AS2613" s="175">
        <v>3</v>
      </c>
      <c r="AT2613" s="175">
        <v>0</v>
      </c>
    </row>
    <row r="2614" spans="1:46">
      <c r="A2614">
        <v>47051</v>
      </c>
      <c r="B2614" t="s">
        <v>15228</v>
      </c>
      <c r="C2614" t="s">
        <v>11744</v>
      </c>
      <c r="E2614" t="s">
        <v>11745</v>
      </c>
      <c r="F2614" t="s">
        <v>4060</v>
      </c>
      <c r="G2614" t="s">
        <v>737</v>
      </c>
      <c r="H2614" t="s">
        <v>450</v>
      </c>
      <c r="J2614" t="s">
        <v>4032</v>
      </c>
      <c r="K2614" t="s">
        <v>606</v>
      </c>
      <c r="M2614" t="s">
        <v>607</v>
      </c>
      <c r="N2614" t="s">
        <v>812</v>
      </c>
      <c r="O2614" t="s">
        <v>813</v>
      </c>
      <c r="P2614" t="s">
        <v>739</v>
      </c>
      <c r="Q2614" t="s">
        <v>467</v>
      </c>
      <c r="R2614" t="s">
        <v>814</v>
      </c>
      <c r="S2614" t="s">
        <v>863</v>
      </c>
      <c r="T2614" t="s">
        <v>794</v>
      </c>
      <c r="U2614">
        <v>156000</v>
      </c>
      <c r="V2614" t="s">
        <v>6473</v>
      </c>
      <c r="W2614" t="s">
        <v>817</v>
      </c>
      <c r="X2614" t="s">
        <v>11746</v>
      </c>
      <c r="Y2614" t="s">
        <v>11747</v>
      </c>
      <c r="Z2614" t="s">
        <v>913</v>
      </c>
      <c r="AA2614" t="s">
        <v>6945</v>
      </c>
      <c r="AE2614">
        <v>-36.960500830000001</v>
      </c>
      <c r="AF2614">
        <v>174.89595969999999</v>
      </c>
      <c r="AG2614" s="175">
        <v>50</v>
      </c>
      <c r="AH2614" s="175">
        <v>50</v>
      </c>
      <c r="AI2614" s="175">
        <v>5</v>
      </c>
      <c r="AJ2614" s="175">
        <v>5</v>
      </c>
      <c r="AK2614" s="175">
        <v>8</v>
      </c>
      <c r="AL2614" s="175">
        <v>4</v>
      </c>
      <c r="AM2614" s="175">
        <v>10</v>
      </c>
      <c r="AN2614" s="175">
        <v>1</v>
      </c>
      <c r="AO2614" s="175">
        <v>33</v>
      </c>
      <c r="AP2614" s="175">
        <v>3</v>
      </c>
      <c r="AQ2614" s="175">
        <v>0</v>
      </c>
      <c r="AR2614" s="175">
        <v>29</v>
      </c>
      <c r="AS2614" s="175">
        <v>4</v>
      </c>
      <c r="AT2614" s="175">
        <v>0</v>
      </c>
    </row>
    <row r="2615" spans="1:46">
      <c r="A2615">
        <v>47054</v>
      </c>
      <c r="B2615" t="s">
        <v>15229</v>
      </c>
      <c r="C2615" t="s">
        <v>15230</v>
      </c>
      <c r="E2615" t="s">
        <v>15231</v>
      </c>
      <c r="F2615" t="s">
        <v>10138</v>
      </c>
      <c r="G2615" t="s">
        <v>1604</v>
      </c>
      <c r="H2615" t="s">
        <v>449</v>
      </c>
      <c r="I2615" t="s">
        <v>3715</v>
      </c>
      <c r="J2615" t="s">
        <v>605</v>
      </c>
      <c r="K2615" t="s">
        <v>606</v>
      </c>
      <c r="M2615" t="s">
        <v>1382</v>
      </c>
      <c r="N2615" t="s">
        <v>812</v>
      </c>
      <c r="O2615" t="s">
        <v>1605</v>
      </c>
      <c r="P2615" t="s">
        <v>670</v>
      </c>
      <c r="Q2615" t="s">
        <v>511</v>
      </c>
      <c r="R2615" t="s">
        <v>1555</v>
      </c>
      <c r="S2615" t="s">
        <v>1604</v>
      </c>
      <c r="T2615" t="s">
        <v>1557</v>
      </c>
      <c r="U2615">
        <v>199700</v>
      </c>
      <c r="V2615" t="s">
        <v>1603</v>
      </c>
      <c r="W2615" t="s">
        <v>1606</v>
      </c>
      <c r="X2615" t="s">
        <v>15232</v>
      </c>
      <c r="Y2615" t="s">
        <v>15233</v>
      </c>
      <c r="AA2615" t="s">
        <v>8971</v>
      </c>
      <c r="AC2615">
        <v>99107</v>
      </c>
      <c r="AD2615" t="s">
        <v>1609</v>
      </c>
      <c r="AE2615">
        <v>-38.138832299999997</v>
      </c>
      <c r="AF2615">
        <v>176.22370584999999</v>
      </c>
      <c r="AG2615" s="175">
        <v>20</v>
      </c>
      <c r="AH2615" s="175">
        <v>0</v>
      </c>
      <c r="AI2615" s="175">
        <v>0</v>
      </c>
      <c r="AJ2615" s="175">
        <v>1</v>
      </c>
      <c r="AK2615" s="175">
        <v>8</v>
      </c>
      <c r="AL2615" s="175">
        <v>7</v>
      </c>
      <c r="AM2615" s="175">
        <v>9</v>
      </c>
      <c r="AN2615" s="175">
        <v>1</v>
      </c>
      <c r="AO2615" s="175">
        <v>26</v>
      </c>
      <c r="AP2615" s="175">
        <v>3</v>
      </c>
      <c r="AQ2615" s="175">
        <v>15</v>
      </c>
      <c r="AR2615" s="175">
        <v>14</v>
      </c>
      <c r="AS2615" s="175">
        <v>1</v>
      </c>
      <c r="AT2615" s="175">
        <v>0</v>
      </c>
    </row>
    <row r="2616" spans="1:46">
      <c r="A2616">
        <v>47060</v>
      </c>
      <c r="B2616" t="s">
        <v>15234</v>
      </c>
      <c r="C2616" t="s">
        <v>15235</v>
      </c>
      <c r="E2616" t="s">
        <v>15236</v>
      </c>
      <c r="G2616" t="s">
        <v>2068</v>
      </c>
      <c r="H2616" t="s">
        <v>450</v>
      </c>
      <c r="J2616" t="s">
        <v>4032</v>
      </c>
      <c r="K2616" t="s">
        <v>606</v>
      </c>
      <c r="M2616" t="s">
        <v>1382</v>
      </c>
      <c r="N2616" t="s">
        <v>657</v>
      </c>
      <c r="O2616" t="s">
        <v>2069</v>
      </c>
      <c r="P2616" t="s">
        <v>1347</v>
      </c>
      <c r="Q2616" t="s">
        <v>553</v>
      </c>
      <c r="R2616" t="s">
        <v>1841</v>
      </c>
      <c r="S2616" t="s">
        <v>1719</v>
      </c>
      <c r="T2616" t="s">
        <v>1568</v>
      </c>
      <c r="U2616">
        <v>228200</v>
      </c>
      <c r="V2616" t="s">
        <v>2108</v>
      </c>
      <c r="W2616" t="s">
        <v>2071</v>
      </c>
      <c r="X2616" t="s">
        <v>15237</v>
      </c>
      <c r="Y2616" t="s">
        <v>15238</v>
      </c>
      <c r="AA2616" t="s">
        <v>15239</v>
      </c>
      <c r="AB2616" t="s">
        <v>15240</v>
      </c>
      <c r="AC2616">
        <v>99134</v>
      </c>
      <c r="AD2616" t="s">
        <v>2072</v>
      </c>
      <c r="AE2616">
        <v>-40.219381859999999</v>
      </c>
      <c r="AF2616">
        <v>175.56211139999999</v>
      </c>
      <c r="AG2616" s="175">
        <v>80</v>
      </c>
      <c r="AH2616" s="175">
        <v>80</v>
      </c>
      <c r="AI2616" s="175">
        <v>3</v>
      </c>
      <c r="AJ2616" s="175">
        <v>12</v>
      </c>
      <c r="AK2616" s="175">
        <v>15</v>
      </c>
      <c r="AL2616" s="175">
        <v>13</v>
      </c>
      <c r="AM2616" s="175">
        <v>7</v>
      </c>
      <c r="AN2616" s="175">
        <v>0</v>
      </c>
      <c r="AO2616" s="175">
        <v>50</v>
      </c>
      <c r="AP2616" s="175">
        <v>33</v>
      </c>
      <c r="AQ2616" s="175">
        <v>22</v>
      </c>
      <c r="AR2616" s="175">
        <v>0</v>
      </c>
      <c r="AS2616" s="175">
        <v>3</v>
      </c>
      <c r="AT2616" s="175">
        <v>1</v>
      </c>
    </row>
    <row r="2617" spans="1:46">
      <c r="A2617">
        <v>47061</v>
      </c>
      <c r="B2617" t="s">
        <v>15241</v>
      </c>
      <c r="C2617" t="s">
        <v>15242</v>
      </c>
      <c r="D2617" t="s">
        <v>15243</v>
      </c>
      <c r="E2617" t="s">
        <v>15244</v>
      </c>
      <c r="G2617" t="s">
        <v>11255</v>
      </c>
      <c r="H2617" t="s">
        <v>449</v>
      </c>
      <c r="J2617" t="s">
        <v>4032</v>
      </c>
      <c r="K2617" t="s">
        <v>606</v>
      </c>
      <c r="M2617" t="s">
        <v>2366</v>
      </c>
      <c r="N2617" t="s">
        <v>657</v>
      </c>
      <c r="O2617" t="s">
        <v>3906</v>
      </c>
      <c r="P2617" t="s">
        <v>1347</v>
      </c>
      <c r="Q2617" t="s">
        <v>522</v>
      </c>
      <c r="R2617" t="s">
        <v>3410</v>
      </c>
      <c r="S2617" t="s">
        <v>3323</v>
      </c>
      <c r="T2617" t="s">
        <v>2526</v>
      </c>
      <c r="U2617">
        <v>346701</v>
      </c>
      <c r="V2617" t="s">
        <v>15245</v>
      </c>
      <c r="W2617" t="s">
        <v>11257</v>
      </c>
      <c r="X2617" t="s">
        <v>15246</v>
      </c>
      <c r="Y2617" t="s">
        <v>15247</v>
      </c>
      <c r="AA2617" t="s">
        <v>11259</v>
      </c>
      <c r="AB2617" t="s">
        <v>15248</v>
      </c>
      <c r="AE2617">
        <v>-44.69002236</v>
      </c>
      <c r="AF2617">
        <v>169.14114917000001</v>
      </c>
      <c r="AG2617" s="175">
        <v>70</v>
      </c>
      <c r="AH2617" s="175">
        <v>16</v>
      </c>
      <c r="AI2617" s="175">
        <v>2</v>
      </c>
      <c r="AJ2617" s="175">
        <v>22</v>
      </c>
      <c r="AK2617" s="175">
        <v>33</v>
      </c>
      <c r="AL2617" s="175">
        <v>29</v>
      </c>
      <c r="AM2617" s="175">
        <v>22</v>
      </c>
      <c r="AN2617" s="175">
        <v>0</v>
      </c>
      <c r="AO2617" s="175">
        <v>108</v>
      </c>
      <c r="AP2617" s="175">
        <v>99</v>
      </c>
      <c r="AQ2617" s="175">
        <v>6</v>
      </c>
      <c r="AR2617" s="175">
        <v>0</v>
      </c>
      <c r="AS2617" s="175">
        <v>10</v>
      </c>
      <c r="AT2617" s="175">
        <v>4</v>
      </c>
    </row>
    <row r="2618" spans="1:46">
      <c r="A2618">
        <v>47062</v>
      </c>
      <c r="B2618" t="s">
        <v>15249</v>
      </c>
      <c r="C2618" t="s">
        <v>15250</v>
      </c>
      <c r="D2618" t="s">
        <v>15251</v>
      </c>
      <c r="E2618" t="s">
        <v>15252</v>
      </c>
      <c r="F2618" t="s">
        <v>932</v>
      </c>
      <c r="G2618" t="s">
        <v>737</v>
      </c>
      <c r="H2618" t="s">
        <v>449</v>
      </c>
      <c r="J2618" t="s">
        <v>4032</v>
      </c>
      <c r="K2618" t="s">
        <v>606</v>
      </c>
      <c r="M2618" t="s">
        <v>607</v>
      </c>
      <c r="N2618" t="s">
        <v>608</v>
      </c>
      <c r="O2618" t="s">
        <v>933</v>
      </c>
      <c r="P2618" t="s">
        <v>739</v>
      </c>
      <c r="Q2618" t="s">
        <v>467</v>
      </c>
      <c r="R2618" t="s">
        <v>814</v>
      </c>
      <c r="S2618" t="s">
        <v>934</v>
      </c>
      <c r="T2618" t="s">
        <v>794</v>
      </c>
      <c r="U2618">
        <v>151600</v>
      </c>
      <c r="V2618" t="s">
        <v>15253</v>
      </c>
      <c r="W2618" t="s">
        <v>817</v>
      </c>
      <c r="X2618" t="s">
        <v>15254</v>
      </c>
      <c r="Y2618" t="s">
        <v>15255</v>
      </c>
      <c r="Z2618" t="s">
        <v>932</v>
      </c>
      <c r="AA2618" t="s">
        <v>13704</v>
      </c>
      <c r="AB2618" t="s">
        <v>15250</v>
      </c>
      <c r="AE2618">
        <v>-36.974465029999998</v>
      </c>
      <c r="AF2618">
        <v>174.81418979</v>
      </c>
      <c r="AG2618" s="175">
        <v>37</v>
      </c>
      <c r="AH2618" s="175">
        <v>4</v>
      </c>
      <c r="AI2618" s="175">
        <v>0</v>
      </c>
      <c r="AJ2618" s="175">
        <v>4</v>
      </c>
      <c r="AK2618" s="175">
        <v>10</v>
      </c>
      <c r="AL2618" s="175">
        <v>10</v>
      </c>
      <c r="AM2618" s="175">
        <v>9</v>
      </c>
      <c r="AN2618" s="175">
        <v>2</v>
      </c>
      <c r="AO2618" s="175">
        <v>35</v>
      </c>
      <c r="AP2618" s="175">
        <v>0</v>
      </c>
      <c r="AQ2618" s="175">
        <v>5</v>
      </c>
      <c r="AR2618" s="175">
        <v>24</v>
      </c>
      <c r="AS2618" s="175">
        <v>11</v>
      </c>
      <c r="AT2618" s="175">
        <v>0</v>
      </c>
    </row>
    <row r="2619" spans="1:46">
      <c r="A2619">
        <v>47069</v>
      </c>
      <c r="B2619" t="s">
        <v>15256</v>
      </c>
      <c r="C2619" t="s">
        <v>15257</v>
      </c>
      <c r="D2619" t="s">
        <v>15258</v>
      </c>
      <c r="E2619" t="s">
        <v>15259</v>
      </c>
      <c r="F2619" t="s">
        <v>957</v>
      </c>
      <c r="G2619" t="s">
        <v>737</v>
      </c>
      <c r="H2619" t="s">
        <v>449</v>
      </c>
      <c r="J2619" t="s">
        <v>605</v>
      </c>
      <c r="K2619" t="s">
        <v>606</v>
      </c>
      <c r="M2619" t="s">
        <v>607</v>
      </c>
      <c r="N2619" t="s">
        <v>643</v>
      </c>
      <c r="O2619" t="s">
        <v>958</v>
      </c>
      <c r="P2619" t="s">
        <v>739</v>
      </c>
      <c r="Q2619" t="s">
        <v>467</v>
      </c>
      <c r="R2619" t="s">
        <v>724</v>
      </c>
      <c r="S2619" t="s">
        <v>804</v>
      </c>
      <c r="T2619" t="s">
        <v>794</v>
      </c>
      <c r="U2619">
        <v>131500</v>
      </c>
      <c r="V2619" t="s">
        <v>6311</v>
      </c>
      <c r="W2619" t="s">
        <v>900</v>
      </c>
      <c r="X2619" t="s">
        <v>7780</v>
      </c>
      <c r="Y2619" t="s">
        <v>7781</v>
      </c>
      <c r="Z2619" t="s">
        <v>729</v>
      </c>
      <c r="AA2619" t="s">
        <v>730</v>
      </c>
      <c r="AB2619" t="s">
        <v>7782</v>
      </c>
      <c r="AE2619">
        <v>-36.909355329999997</v>
      </c>
      <c r="AF2619">
        <v>174.64782986</v>
      </c>
      <c r="AG2619" s="175">
        <v>30</v>
      </c>
      <c r="AH2619" s="175">
        <v>0</v>
      </c>
      <c r="AI2619" s="175">
        <v>0</v>
      </c>
      <c r="AJ2619" s="175">
        <v>0</v>
      </c>
      <c r="AK2619" s="175">
        <v>2</v>
      </c>
      <c r="AL2619" s="175">
        <v>7</v>
      </c>
      <c r="AM2619" s="175">
        <v>6</v>
      </c>
      <c r="AN2619" s="175">
        <v>1</v>
      </c>
      <c r="AO2619" s="175">
        <v>16</v>
      </c>
      <c r="AP2619" s="175">
        <v>5</v>
      </c>
      <c r="AQ2619" s="175">
        <v>5</v>
      </c>
      <c r="AR2619" s="175">
        <v>4</v>
      </c>
      <c r="AS2619" s="175">
        <v>6</v>
      </c>
      <c r="AT2619" s="175">
        <v>1</v>
      </c>
    </row>
    <row r="2620" spans="1:46">
      <c r="A2620">
        <v>47073</v>
      </c>
      <c r="B2620" t="s">
        <v>15260</v>
      </c>
      <c r="C2620" t="s">
        <v>6903</v>
      </c>
      <c r="D2620" t="s">
        <v>15261</v>
      </c>
      <c r="E2620" t="s">
        <v>15262</v>
      </c>
      <c r="F2620" t="s">
        <v>6080</v>
      </c>
      <c r="G2620" t="s">
        <v>737</v>
      </c>
      <c r="H2620" t="s">
        <v>449</v>
      </c>
      <c r="I2620" t="s">
        <v>3715</v>
      </c>
      <c r="J2620" t="s">
        <v>4032</v>
      </c>
      <c r="K2620" t="s">
        <v>606</v>
      </c>
      <c r="M2620" t="s">
        <v>607</v>
      </c>
      <c r="N2620" t="s">
        <v>812</v>
      </c>
      <c r="O2620" t="s">
        <v>1353</v>
      </c>
      <c r="P2620" t="s">
        <v>739</v>
      </c>
      <c r="Q2620" t="s">
        <v>467</v>
      </c>
      <c r="R2620" t="s">
        <v>814</v>
      </c>
      <c r="S2620" t="s">
        <v>1319</v>
      </c>
      <c r="T2620" t="s">
        <v>1320</v>
      </c>
      <c r="U2620">
        <v>163600</v>
      </c>
      <c r="V2620" t="s">
        <v>7620</v>
      </c>
      <c r="W2620" t="s">
        <v>1304</v>
      </c>
      <c r="X2620" t="s">
        <v>7681</v>
      </c>
      <c r="Y2620" t="s">
        <v>7682</v>
      </c>
      <c r="Z2620" t="s">
        <v>4015</v>
      </c>
      <c r="AA2620" t="s">
        <v>4652</v>
      </c>
      <c r="AE2620">
        <v>-37.067870419999998</v>
      </c>
      <c r="AF2620">
        <v>174.95920597</v>
      </c>
      <c r="AG2620" s="175">
        <v>30</v>
      </c>
      <c r="AH2620" s="175">
        <v>5</v>
      </c>
      <c r="AI2620" s="175">
        <v>0</v>
      </c>
      <c r="AJ2620" s="175">
        <v>0</v>
      </c>
      <c r="AK2620" s="175">
        <v>2</v>
      </c>
      <c r="AL2620" s="175">
        <v>10</v>
      </c>
      <c r="AM2620" s="175">
        <v>21</v>
      </c>
      <c r="AN2620" s="175">
        <v>0</v>
      </c>
      <c r="AO2620" s="175">
        <v>33</v>
      </c>
      <c r="AP2620" s="175">
        <v>1</v>
      </c>
      <c r="AQ2620" s="175">
        <v>2</v>
      </c>
      <c r="AR2620" s="175">
        <v>33</v>
      </c>
      <c r="AS2620" s="175">
        <v>0</v>
      </c>
      <c r="AT2620" s="175">
        <v>0</v>
      </c>
    </row>
    <row r="2621" spans="1:46">
      <c r="A2621">
        <v>47077</v>
      </c>
      <c r="B2621" t="s">
        <v>15263</v>
      </c>
      <c r="D2621" t="s">
        <v>14440</v>
      </c>
      <c r="E2621" t="s">
        <v>15264</v>
      </c>
      <c r="F2621" t="s">
        <v>8319</v>
      </c>
      <c r="G2621" t="s">
        <v>737</v>
      </c>
      <c r="H2621" t="s">
        <v>450</v>
      </c>
      <c r="J2621" t="s">
        <v>4032</v>
      </c>
      <c r="K2621" t="s">
        <v>606</v>
      </c>
      <c r="M2621" t="s">
        <v>607</v>
      </c>
      <c r="N2621" t="s">
        <v>657</v>
      </c>
      <c r="O2621" t="s">
        <v>1253</v>
      </c>
      <c r="P2621" t="s">
        <v>739</v>
      </c>
      <c r="Q2621" t="s">
        <v>467</v>
      </c>
      <c r="R2621" t="s">
        <v>724</v>
      </c>
      <c r="S2621" t="s">
        <v>740</v>
      </c>
      <c r="T2621" t="s">
        <v>613</v>
      </c>
      <c r="U2621">
        <v>118600</v>
      </c>
      <c r="V2621" t="s">
        <v>4082</v>
      </c>
      <c r="W2621" t="s">
        <v>742</v>
      </c>
      <c r="X2621" t="s">
        <v>6333</v>
      </c>
      <c r="Y2621" t="s">
        <v>6334</v>
      </c>
      <c r="Z2621" t="s">
        <v>3777</v>
      </c>
      <c r="AA2621" t="s">
        <v>6335</v>
      </c>
      <c r="AB2621" t="s">
        <v>6336</v>
      </c>
      <c r="AE2621">
        <v>-36.74475485</v>
      </c>
      <c r="AF2621">
        <v>174.69697859999999</v>
      </c>
      <c r="AG2621" s="175">
        <v>80</v>
      </c>
      <c r="AH2621" s="175">
        <v>80</v>
      </c>
      <c r="AI2621" s="175">
        <v>7</v>
      </c>
      <c r="AJ2621" s="175">
        <v>8</v>
      </c>
      <c r="AK2621" s="175">
        <v>13</v>
      </c>
      <c r="AL2621" s="175">
        <v>7</v>
      </c>
      <c r="AM2621" s="175">
        <v>12</v>
      </c>
      <c r="AN2621" s="175">
        <v>2</v>
      </c>
      <c r="AO2621" s="175">
        <v>49</v>
      </c>
      <c r="AP2621" s="175">
        <v>0</v>
      </c>
      <c r="AQ2621" s="175">
        <v>0</v>
      </c>
      <c r="AR2621" s="175">
        <v>0</v>
      </c>
      <c r="AS2621" s="175">
        <v>48</v>
      </c>
      <c r="AT2621" s="175">
        <v>2</v>
      </c>
    </row>
    <row r="2622" spans="1:46">
      <c r="A2622">
        <v>47080</v>
      </c>
      <c r="B2622" t="s">
        <v>15265</v>
      </c>
      <c r="E2622" t="s">
        <v>15266</v>
      </c>
      <c r="F2622" t="s">
        <v>907</v>
      </c>
      <c r="G2622" t="s">
        <v>737</v>
      </c>
      <c r="H2622" t="s">
        <v>451</v>
      </c>
      <c r="I2622" t="s">
        <v>4102</v>
      </c>
      <c r="J2622" t="s">
        <v>605</v>
      </c>
      <c r="K2622" t="s">
        <v>606</v>
      </c>
      <c r="M2622" t="s">
        <v>607</v>
      </c>
      <c r="N2622" t="s">
        <v>812</v>
      </c>
      <c r="O2622" t="s">
        <v>942</v>
      </c>
      <c r="P2622" t="s">
        <v>739</v>
      </c>
      <c r="Q2622" t="s">
        <v>467</v>
      </c>
      <c r="R2622" t="s">
        <v>793</v>
      </c>
      <c r="S2622" t="s">
        <v>907</v>
      </c>
      <c r="T2622" t="s">
        <v>794</v>
      </c>
      <c r="U2622">
        <v>141500</v>
      </c>
      <c r="V2622" t="s">
        <v>5938</v>
      </c>
      <c r="W2622" t="s">
        <v>945</v>
      </c>
      <c r="X2622" t="s">
        <v>4103</v>
      </c>
      <c r="Y2622" t="s">
        <v>4104</v>
      </c>
      <c r="Z2622" t="s">
        <v>4105</v>
      </c>
      <c r="AA2622" t="s">
        <v>4106</v>
      </c>
      <c r="AB2622" t="s">
        <v>4107</v>
      </c>
      <c r="AE2622">
        <v>-36.894309909999997</v>
      </c>
      <c r="AF2622">
        <v>174.77912696000001</v>
      </c>
      <c r="AG2622" s="175">
        <v>10</v>
      </c>
      <c r="AH2622" s="175">
        <v>10</v>
      </c>
      <c r="AI2622" s="175"/>
      <c r="AJ2622" s="175"/>
      <c r="AK2622" s="175"/>
      <c r="AL2622" s="175"/>
      <c r="AM2622" s="175"/>
      <c r="AN2622" s="175"/>
      <c r="AO2622" s="175"/>
      <c r="AP2622" s="175"/>
      <c r="AQ2622" s="175"/>
      <c r="AR2622" s="175"/>
      <c r="AS2622" s="175"/>
    </row>
    <row r="2623" spans="1:46">
      <c r="A2623">
        <v>47081</v>
      </c>
      <c r="B2623" t="s">
        <v>15267</v>
      </c>
      <c r="C2623" t="s">
        <v>15268</v>
      </c>
      <c r="D2623" t="s">
        <v>15269</v>
      </c>
      <c r="E2623" t="s">
        <v>15270</v>
      </c>
      <c r="F2623" t="s">
        <v>897</v>
      </c>
      <c r="G2623" t="s">
        <v>737</v>
      </c>
      <c r="H2623" t="s">
        <v>449</v>
      </c>
      <c r="J2623" t="s">
        <v>4032</v>
      </c>
      <c r="K2623" t="s">
        <v>606</v>
      </c>
      <c r="M2623" t="s">
        <v>607</v>
      </c>
      <c r="N2623" t="s">
        <v>657</v>
      </c>
      <c r="O2623" t="s">
        <v>898</v>
      </c>
      <c r="P2623" t="s">
        <v>739</v>
      </c>
      <c r="Q2623" t="s">
        <v>467</v>
      </c>
      <c r="R2623" t="s">
        <v>724</v>
      </c>
      <c r="S2623" t="s">
        <v>725</v>
      </c>
      <c r="T2623" t="s">
        <v>613</v>
      </c>
      <c r="U2623">
        <v>118800</v>
      </c>
      <c r="V2623" t="s">
        <v>14747</v>
      </c>
      <c r="W2623" t="s">
        <v>900</v>
      </c>
      <c r="X2623" t="s">
        <v>15271</v>
      </c>
      <c r="Y2623" t="s">
        <v>4051</v>
      </c>
      <c r="AA2623" t="s">
        <v>4052</v>
      </c>
      <c r="AB2623" t="s">
        <v>15268</v>
      </c>
      <c r="AC2623">
        <v>99125</v>
      </c>
      <c r="AD2623" t="s">
        <v>901</v>
      </c>
      <c r="AE2623">
        <v>-36.822124719999998</v>
      </c>
      <c r="AF2623">
        <v>174.6077938</v>
      </c>
      <c r="AG2623" s="175">
        <v>110</v>
      </c>
      <c r="AH2623" s="175">
        <v>36</v>
      </c>
      <c r="AI2623" s="175">
        <v>7</v>
      </c>
      <c r="AJ2623" s="175">
        <v>36</v>
      </c>
      <c r="AK2623" s="175">
        <v>28</v>
      </c>
      <c r="AL2623" s="175">
        <v>23</v>
      </c>
      <c r="AM2623" s="175">
        <v>30</v>
      </c>
      <c r="AN2623" s="175">
        <v>0</v>
      </c>
      <c r="AO2623" s="175">
        <v>124</v>
      </c>
      <c r="AP2623" s="175">
        <v>62</v>
      </c>
      <c r="AQ2623" s="175">
        <v>16</v>
      </c>
      <c r="AR2623" s="175">
        <v>16</v>
      </c>
      <c r="AS2623" s="175">
        <v>49</v>
      </c>
      <c r="AT2623" s="175">
        <v>12</v>
      </c>
    </row>
    <row r="2624" spans="1:46">
      <c r="A2624">
        <v>47082</v>
      </c>
      <c r="B2624" t="s">
        <v>15272</v>
      </c>
      <c r="C2624" t="s">
        <v>15273</v>
      </c>
      <c r="D2624" t="s">
        <v>15274</v>
      </c>
      <c r="E2624" t="s">
        <v>15275</v>
      </c>
      <c r="F2624" t="s">
        <v>8319</v>
      </c>
      <c r="G2624" t="s">
        <v>737</v>
      </c>
      <c r="H2624" t="s">
        <v>449</v>
      </c>
      <c r="J2624" t="s">
        <v>4032</v>
      </c>
      <c r="K2624" t="s">
        <v>606</v>
      </c>
      <c r="M2624" t="s">
        <v>607</v>
      </c>
      <c r="N2624" t="s">
        <v>657</v>
      </c>
      <c r="O2624" t="s">
        <v>1253</v>
      </c>
      <c r="P2624" t="s">
        <v>739</v>
      </c>
      <c r="Q2624" t="s">
        <v>467</v>
      </c>
      <c r="R2624" t="s">
        <v>724</v>
      </c>
      <c r="S2624" t="s">
        <v>740</v>
      </c>
      <c r="T2624" t="s">
        <v>613</v>
      </c>
      <c r="U2624">
        <v>118600</v>
      </c>
      <c r="V2624" t="s">
        <v>4082</v>
      </c>
      <c r="W2624" t="s">
        <v>742</v>
      </c>
      <c r="X2624" t="s">
        <v>15276</v>
      </c>
      <c r="Y2624" t="s">
        <v>4051</v>
      </c>
      <c r="AA2624" t="s">
        <v>4052</v>
      </c>
      <c r="AB2624" t="s">
        <v>15277</v>
      </c>
      <c r="AE2624">
        <v>-36.742634539999997</v>
      </c>
      <c r="AF2624">
        <v>174.72858389999999</v>
      </c>
      <c r="AG2624" s="175">
        <v>100</v>
      </c>
      <c r="AH2624" s="175">
        <v>35</v>
      </c>
      <c r="AI2624" s="175">
        <v>4</v>
      </c>
      <c r="AJ2624" s="175">
        <v>15</v>
      </c>
      <c r="AK2624" s="175">
        <v>14</v>
      </c>
      <c r="AL2624" s="175">
        <v>14</v>
      </c>
      <c r="AM2624" s="175">
        <v>18</v>
      </c>
      <c r="AN2624" s="175">
        <v>0</v>
      </c>
      <c r="AO2624" s="175">
        <v>65</v>
      </c>
      <c r="AP2624" s="175">
        <v>19</v>
      </c>
      <c r="AQ2624" s="175">
        <v>4</v>
      </c>
      <c r="AR2624" s="175">
        <v>1</v>
      </c>
      <c r="AS2624" s="175">
        <v>40</v>
      </c>
      <c r="AT2624" s="175">
        <v>9</v>
      </c>
    </row>
    <row r="2625" spans="1:46">
      <c r="A2625">
        <v>47083</v>
      </c>
      <c r="B2625" t="s">
        <v>15278</v>
      </c>
      <c r="C2625" t="s">
        <v>15279</v>
      </c>
      <c r="D2625" t="s">
        <v>12938</v>
      </c>
      <c r="E2625" t="s">
        <v>15280</v>
      </c>
      <c r="F2625" t="s">
        <v>6950</v>
      </c>
      <c r="G2625" t="s">
        <v>737</v>
      </c>
      <c r="H2625" t="s">
        <v>449</v>
      </c>
      <c r="J2625" t="s">
        <v>4032</v>
      </c>
      <c r="K2625" t="s">
        <v>606</v>
      </c>
      <c r="M2625" t="s">
        <v>607</v>
      </c>
      <c r="N2625" t="s">
        <v>657</v>
      </c>
      <c r="O2625" t="s">
        <v>942</v>
      </c>
      <c r="P2625" t="s">
        <v>739</v>
      </c>
      <c r="Q2625" t="s">
        <v>467</v>
      </c>
      <c r="R2625" t="s">
        <v>793</v>
      </c>
      <c r="S2625" t="s">
        <v>804</v>
      </c>
      <c r="T2625" t="s">
        <v>794</v>
      </c>
      <c r="U2625">
        <v>131100</v>
      </c>
      <c r="V2625" t="s">
        <v>6950</v>
      </c>
      <c r="W2625" t="s">
        <v>945</v>
      </c>
      <c r="X2625" t="s">
        <v>12940</v>
      </c>
      <c r="Y2625" t="s">
        <v>12939</v>
      </c>
      <c r="Z2625" t="s">
        <v>6042</v>
      </c>
      <c r="AA2625" t="s">
        <v>4604</v>
      </c>
      <c r="AE2625">
        <v>-36.879108199999997</v>
      </c>
      <c r="AF2625">
        <v>174.70145540999999</v>
      </c>
      <c r="AG2625" s="175">
        <v>70</v>
      </c>
      <c r="AH2625" s="175">
        <v>25</v>
      </c>
      <c r="AI2625" s="175">
        <v>2</v>
      </c>
      <c r="AJ2625" s="175">
        <v>17</v>
      </c>
      <c r="AK2625" s="175">
        <v>15</v>
      </c>
      <c r="AL2625" s="175">
        <v>20</v>
      </c>
      <c r="AM2625" s="175">
        <v>13</v>
      </c>
      <c r="AN2625" s="175">
        <v>0</v>
      </c>
      <c r="AO2625" s="175">
        <v>67</v>
      </c>
      <c r="AP2625" s="175">
        <v>63</v>
      </c>
      <c r="AQ2625" s="175">
        <v>6</v>
      </c>
      <c r="AR2625" s="175">
        <v>2</v>
      </c>
      <c r="AS2625" s="175">
        <v>5</v>
      </c>
      <c r="AT2625" s="175">
        <v>3</v>
      </c>
    </row>
    <row r="2626" spans="1:46">
      <c r="A2626">
        <v>47084</v>
      </c>
      <c r="B2626" t="s">
        <v>15281</v>
      </c>
      <c r="C2626" t="s">
        <v>15282</v>
      </c>
      <c r="D2626" t="s">
        <v>15283</v>
      </c>
      <c r="E2626" t="s">
        <v>15284</v>
      </c>
      <c r="F2626" t="s">
        <v>15285</v>
      </c>
      <c r="G2626" t="s">
        <v>737</v>
      </c>
      <c r="H2626" t="s">
        <v>449</v>
      </c>
      <c r="I2626" t="s">
        <v>4134</v>
      </c>
      <c r="J2626" t="s">
        <v>605</v>
      </c>
      <c r="K2626" t="s">
        <v>606</v>
      </c>
      <c r="M2626" t="s">
        <v>607</v>
      </c>
      <c r="N2626" t="s">
        <v>657</v>
      </c>
      <c r="O2626" t="s">
        <v>942</v>
      </c>
      <c r="P2626" t="s">
        <v>739</v>
      </c>
      <c r="Q2626" t="s">
        <v>467</v>
      </c>
      <c r="R2626" t="s">
        <v>793</v>
      </c>
      <c r="S2626" t="s">
        <v>907</v>
      </c>
      <c r="T2626" t="s">
        <v>794</v>
      </c>
      <c r="U2626">
        <v>137800</v>
      </c>
      <c r="V2626" t="s">
        <v>4754</v>
      </c>
      <c r="W2626" t="s">
        <v>945</v>
      </c>
      <c r="X2626" t="s">
        <v>15286</v>
      </c>
      <c r="Y2626" t="s">
        <v>15287</v>
      </c>
      <c r="Z2626" t="s">
        <v>1102</v>
      </c>
      <c r="AA2626" t="s">
        <v>5890</v>
      </c>
      <c r="AB2626" t="s">
        <v>15288</v>
      </c>
      <c r="AE2626">
        <v>-36.87329038</v>
      </c>
      <c r="AF2626">
        <v>174.75969796999999</v>
      </c>
      <c r="AG2626" s="175">
        <v>30</v>
      </c>
      <c r="AH2626" s="175">
        <v>0</v>
      </c>
      <c r="AI2626" s="175">
        <v>0</v>
      </c>
      <c r="AJ2626" s="175">
        <v>0</v>
      </c>
      <c r="AK2626" s="175">
        <v>0</v>
      </c>
      <c r="AL2626" s="175">
        <v>7</v>
      </c>
      <c r="AM2626" s="175">
        <v>5</v>
      </c>
      <c r="AN2626" s="175">
        <v>2</v>
      </c>
      <c r="AO2626" s="175">
        <v>14</v>
      </c>
      <c r="AP2626" s="175">
        <v>4</v>
      </c>
      <c r="AQ2626" s="175">
        <v>1</v>
      </c>
      <c r="AR2626" s="175">
        <v>1</v>
      </c>
      <c r="AS2626" s="175">
        <v>8</v>
      </c>
      <c r="AT2626" s="175">
        <v>2</v>
      </c>
    </row>
    <row r="2627" spans="1:46">
      <c r="A2627">
        <v>47085</v>
      </c>
      <c r="B2627" t="s">
        <v>15289</v>
      </c>
      <c r="C2627" t="s">
        <v>15290</v>
      </c>
      <c r="E2627" t="s">
        <v>15291</v>
      </c>
      <c r="G2627" t="s">
        <v>1381</v>
      </c>
      <c r="H2627" t="s">
        <v>449</v>
      </c>
      <c r="J2627" t="s">
        <v>4032</v>
      </c>
      <c r="K2627" t="s">
        <v>606</v>
      </c>
      <c r="M2627" t="s">
        <v>1382</v>
      </c>
      <c r="N2627" t="s">
        <v>657</v>
      </c>
      <c r="O2627" t="s">
        <v>1383</v>
      </c>
      <c r="P2627" t="s">
        <v>739</v>
      </c>
      <c r="Q2627" t="s">
        <v>510</v>
      </c>
      <c r="R2627" t="s">
        <v>1384</v>
      </c>
      <c r="S2627" t="s">
        <v>1385</v>
      </c>
      <c r="T2627" t="s">
        <v>1320</v>
      </c>
      <c r="U2627">
        <v>176301</v>
      </c>
      <c r="V2627" t="s">
        <v>8493</v>
      </c>
      <c r="W2627" t="s">
        <v>1387</v>
      </c>
      <c r="X2627" t="s">
        <v>15292</v>
      </c>
      <c r="Y2627" t="s">
        <v>15291</v>
      </c>
      <c r="AA2627" t="s">
        <v>9639</v>
      </c>
      <c r="AE2627">
        <v>-37.758256950000003</v>
      </c>
      <c r="AF2627">
        <v>175.23018605999999</v>
      </c>
      <c r="AG2627" s="175">
        <v>110</v>
      </c>
      <c r="AH2627" s="175">
        <v>30</v>
      </c>
      <c r="AI2627" s="175">
        <v>3</v>
      </c>
      <c r="AJ2627" s="175">
        <v>9</v>
      </c>
      <c r="AK2627" s="175">
        <v>10</v>
      </c>
      <c r="AL2627" s="175">
        <v>9</v>
      </c>
      <c r="AM2627" s="175">
        <v>8</v>
      </c>
      <c r="AN2627" s="175">
        <v>0</v>
      </c>
      <c r="AO2627" s="175">
        <v>39</v>
      </c>
      <c r="AP2627" s="175">
        <v>23</v>
      </c>
      <c r="AQ2627" s="175">
        <v>15</v>
      </c>
      <c r="AR2627" s="175">
        <v>3</v>
      </c>
      <c r="AS2627" s="175">
        <v>15</v>
      </c>
      <c r="AT2627" s="175">
        <v>0</v>
      </c>
    </row>
    <row r="2628" spans="1:46">
      <c r="A2628">
        <v>47086</v>
      </c>
      <c r="B2628" t="s">
        <v>15293</v>
      </c>
      <c r="C2628" t="s">
        <v>15294</v>
      </c>
      <c r="D2628" t="s">
        <v>15295</v>
      </c>
      <c r="E2628" t="s">
        <v>15296</v>
      </c>
      <c r="F2628" t="s">
        <v>1368</v>
      </c>
      <c r="G2628" t="s">
        <v>737</v>
      </c>
      <c r="H2628" t="s">
        <v>450</v>
      </c>
      <c r="J2628" t="s">
        <v>4032</v>
      </c>
      <c r="K2628" t="s">
        <v>606</v>
      </c>
      <c r="M2628" t="s">
        <v>607</v>
      </c>
      <c r="N2628" t="s">
        <v>812</v>
      </c>
      <c r="O2628" t="s">
        <v>813</v>
      </c>
      <c r="P2628" t="s">
        <v>739</v>
      </c>
      <c r="Q2628" t="s">
        <v>467</v>
      </c>
      <c r="R2628" t="s">
        <v>814</v>
      </c>
      <c r="S2628" t="s">
        <v>863</v>
      </c>
      <c r="T2628" t="s">
        <v>794</v>
      </c>
      <c r="U2628">
        <v>157701</v>
      </c>
      <c r="V2628" t="s">
        <v>4562</v>
      </c>
      <c r="W2628" t="s">
        <v>817</v>
      </c>
      <c r="X2628" t="s">
        <v>15297</v>
      </c>
      <c r="Y2628" t="s">
        <v>15296</v>
      </c>
      <c r="Z2628" t="s">
        <v>1368</v>
      </c>
      <c r="AA2628" t="s">
        <v>4687</v>
      </c>
      <c r="AE2628">
        <v>-36.978050459999999</v>
      </c>
      <c r="AF2628">
        <v>174.89182500999999</v>
      </c>
      <c r="AG2628" s="175">
        <v>50</v>
      </c>
      <c r="AH2628" s="175">
        <v>50</v>
      </c>
      <c r="AI2628" s="175">
        <v>4</v>
      </c>
      <c r="AJ2628" s="175">
        <v>10</v>
      </c>
      <c r="AK2628" s="175">
        <v>8</v>
      </c>
      <c r="AL2628" s="175">
        <v>9</v>
      </c>
      <c r="AM2628" s="175">
        <v>9</v>
      </c>
      <c r="AN2628" s="175">
        <v>0</v>
      </c>
      <c r="AO2628" s="175">
        <v>40</v>
      </c>
      <c r="AP2628" s="175">
        <v>1</v>
      </c>
      <c r="AQ2628" s="175">
        <v>1</v>
      </c>
      <c r="AR2628" s="175">
        <v>33</v>
      </c>
      <c r="AS2628" s="175">
        <v>7</v>
      </c>
      <c r="AT2628" s="175">
        <v>0</v>
      </c>
    </row>
    <row r="2629" spans="1:46">
      <c r="A2629">
        <v>47087</v>
      </c>
      <c r="B2629" t="s">
        <v>15298</v>
      </c>
      <c r="C2629" t="s">
        <v>15299</v>
      </c>
      <c r="E2629" t="s">
        <v>12384</v>
      </c>
      <c r="F2629" t="s">
        <v>12385</v>
      </c>
      <c r="G2629" t="s">
        <v>3015</v>
      </c>
      <c r="H2629" t="s">
        <v>450</v>
      </c>
      <c r="J2629" t="s">
        <v>4032</v>
      </c>
      <c r="K2629" t="s">
        <v>606</v>
      </c>
      <c r="M2629" t="s">
        <v>2366</v>
      </c>
      <c r="N2629" t="s">
        <v>657</v>
      </c>
      <c r="O2629" t="s">
        <v>3016</v>
      </c>
      <c r="P2629" t="s">
        <v>739</v>
      </c>
      <c r="Q2629" t="s">
        <v>521</v>
      </c>
      <c r="R2629" t="s">
        <v>3017</v>
      </c>
      <c r="S2629" t="s">
        <v>3046</v>
      </c>
      <c r="T2629" t="s">
        <v>2526</v>
      </c>
      <c r="U2629">
        <v>326000</v>
      </c>
      <c r="V2629" t="s">
        <v>12385</v>
      </c>
      <c r="W2629" t="s">
        <v>3047</v>
      </c>
      <c r="X2629" t="s">
        <v>12386</v>
      </c>
      <c r="Y2629" t="s">
        <v>12387</v>
      </c>
      <c r="Z2629" t="s">
        <v>3045</v>
      </c>
      <c r="AA2629" t="s">
        <v>12388</v>
      </c>
      <c r="AB2629" t="s">
        <v>15299</v>
      </c>
      <c r="AE2629">
        <v>-43.480429729999997</v>
      </c>
      <c r="AF2629">
        <v>172.71740684</v>
      </c>
      <c r="AG2629" s="175">
        <v>80</v>
      </c>
      <c r="AH2629" s="175">
        <v>80</v>
      </c>
      <c r="AI2629" s="175">
        <v>2</v>
      </c>
      <c r="AJ2629" s="175">
        <v>15</v>
      </c>
      <c r="AK2629" s="175">
        <v>6</v>
      </c>
      <c r="AL2629" s="175">
        <v>12</v>
      </c>
      <c r="AM2629" s="175">
        <v>7</v>
      </c>
      <c r="AN2629" s="175">
        <v>0</v>
      </c>
      <c r="AO2629" s="175">
        <v>42</v>
      </c>
      <c r="AP2629" s="175">
        <v>14</v>
      </c>
      <c r="AQ2629" s="175">
        <v>2</v>
      </c>
      <c r="AR2629" s="175">
        <v>6</v>
      </c>
      <c r="AS2629" s="175">
        <v>25</v>
      </c>
      <c r="AT2629" s="175">
        <v>0</v>
      </c>
    </row>
    <row r="2630" spans="1:46">
      <c r="A2630">
        <v>47088</v>
      </c>
      <c r="B2630" t="s">
        <v>15300</v>
      </c>
      <c r="C2630" t="s">
        <v>15301</v>
      </c>
      <c r="E2630" t="s">
        <v>15302</v>
      </c>
      <c r="G2630" t="s">
        <v>649</v>
      </c>
      <c r="H2630" t="s">
        <v>449</v>
      </c>
      <c r="J2630" t="s">
        <v>4032</v>
      </c>
      <c r="K2630" t="s">
        <v>606</v>
      </c>
      <c r="M2630" t="s">
        <v>607</v>
      </c>
      <c r="N2630" t="s">
        <v>625</v>
      </c>
      <c r="O2630" t="s">
        <v>650</v>
      </c>
      <c r="P2630" t="s">
        <v>610</v>
      </c>
      <c r="Q2630" t="s">
        <v>509</v>
      </c>
      <c r="R2630" t="s">
        <v>611</v>
      </c>
      <c r="S2630" t="s">
        <v>612</v>
      </c>
      <c r="T2630" t="s">
        <v>613</v>
      </c>
      <c r="U2630">
        <v>109301</v>
      </c>
      <c r="V2630" t="s">
        <v>649</v>
      </c>
      <c r="W2630" t="s">
        <v>651</v>
      </c>
      <c r="X2630" t="s">
        <v>4050</v>
      </c>
      <c r="Y2630" t="s">
        <v>4176</v>
      </c>
      <c r="AA2630" t="s">
        <v>4052</v>
      </c>
      <c r="AE2630">
        <v>-35.952418199999997</v>
      </c>
      <c r="AF2630">
        <v>173.86327170000001</v>
      </c>
      <c r="AG2630" s="175">
        <v>89</v>
      </c>
      <c r="AH2630" s="175">
        <v>20</v>
      </c>
      <c r="AI2630" s="175">
        <v>5</v>
      </c>
      <c r="AJ2630" s="175">
        <v>16</v>
      </c>
      <c r="AK2630" s="175">
        <v>24</v>
      </c>
      <c r="AL2630" s="175">
        <v>24</v>
      </c>
      <c r="AM2630" s="175">
        <v>21</v>
      </c>
      <c r="AN2630" s="175">
        <v>3</v>
      </c>
      <c r="AO2630" s="175">
        <v>93</v>
      </c>
      <c r="AP2630" s="175">
        <v>69</v>
      </c>
      <c r="AQ2630" s="175">
        <v>42</v>
      </c>
      <c r="AR2630" s="175">
        <v>4</v>
      </c>
      <c r="AS2630" s="175">
        <v>7</v>
      </c>
      <c r="AT2630" s="175">
        <v>2</v>
      </c>
    </row>
    <row r="2631" spans="1:46">
      <c r="A2631">
        <v>47091</v>
      </c>
      <c r="B2631" t="s">
        <v>15303</v>
      </c>
      <c r="C2631" t="s">
        <v>15304</v>
      </c>
      <c r="E2631" t="s">
        <v>15305</v>
      </c>
      <c r="F2631" t="s">
        <v>15306</v>
      </c>
      <c r="G2631" t="s">
        <v>3454</v>
      </c>
      <c r="H2631" t="s">
        <v>449</v>
      </c>
      <c r="I2631" t="s">
        <v>4298</v>
      </c>
      <c r="J2631" t="s">
        <v>605</v>
      </c>
      <c r="K2631" t="s">
        <v>606</v>
      </c>
      <c r="M2631" t="s">
        <v>2366</v>
      </c>
      <c r="N2631" t="s">
        <v>657</v>
      </c>
      <c r="O2631" t="s">
        <v>3455</v>
      </c>
      <c r="P2631" t="s">
        <v>739</v>
      </c>
      <c r="Q2631" t="s">
        <v>522</v>
      </c>
      <c r="R2631" t="s">
        <v>3410</v>
      </c>
      <c r="S2631" t="s">
        <v>3454</v>
      </c>
      <c r="T2631" t="s">
        <v>2526</v>
      </c>
      <c r="U2631">
        <v>351300</v>
      </c>
      <c r="V2631" t="s">
        <v>15307</v>
      </c>
      <c r="W2631" t="s">
        <v>1734</v>
      </c>
      <c r="X2631" t="s">
        <v>15308</v>
      </c>
      <c r="Y2631" t="s">
        <v>15305</v>
      </c>
      <c r="Z2631" t="s">
        <v>15309</v>
      </c>
      <c r="AA2631" t="s">
        <v>15310</v>
      </c>
      <c r="AB2631" t="s">
        <v>15304</v>
      </c>
      <c r="AE2631">
        <v>-45.843818050000003</v>
      </c>
      <c r="AF2631">
        <v>170.51759999000001</v>
      </c>
      <c r="AG2631" s="175">
        <v>30</v>
      </c>
      <c r="AH2631" s="175">
        <v>10</v>
      </c>
      <c r="AI2631" s="175">
        <v>2</v>
      </c>
      <c r="AJ2631" s="175">
        <v>3</v>
      </c>
      <c r="AK2631" s="175">
        <v>6</v>
      </c>
      <c r="AL2631" s="175">
        <v>7</v>
      </c>
      <c r="AM2631" s="175">
        <v>3</v>
      </c>
      <c r="AN2631" s="175">
        <v>1</v>
      </c>
      <c r="AO2631" s="175">
        <v>22</v>
      </c>
      <c r="AP2631" s="175">
        <v>18</v>
      </c>
      <c r="AQ2631" s="175">
        <v>3</v>
      </c>
      <c r="AR2631" s="175">
        <v>0</v>
      </c>
      <c r="AS2631" s="175">
        <v>2</v>
      </c>
      <c r="AT2631" s="175">
        <v>3</v>
      </c>
    </row>
    <row r="2632" spans="1:46">
      <c r="A2632">
        <v>47093</v>
      </c>
      <c r="B2632" t="s">
        <v>15311</v>
      </c>
      <c r="C2632" t="s">
        <v>15312</v>
      </c>
      <c r="E2632" t="s">
        <v>15313</v>
      </c>
      <c r="F2632" t="s">
        <v>1030</v>
      </c>
      <c r="G2632" t="s">
        <v>737</v>
      </c>
      <c r="H2632" t="s">
        <v>449</v>
      </c>
      <c r="J2632" t="s">
        <v>4032</v>
      </c>
      <c r="K2632" t="s">
        <v>606</v>
      </c>
      <c r="M2632" t="s">
        <v>607</v>
      </c>
      <c r="N2632" t="s">
        <v>812</v>
      </c>
      <c r="O2632" t="s">
        <v>933</v>
      </c>
      <c r="P2632" t="s">
        <v>739</v>
      </c>
      <c r="Q2632" t="s">
        <v>467</v>
      </c>
      <c r="R2632" t="s">
        <v>814</v>
      </c>
      <c r="S2632" t="s">
        <v>934</v>
      </c>
      <c r="T2632" t="s">
        <v>794</v>
      </c>
      <c r="U2632">
        <v>150800</v>
      </c>
      <c r="V2632" t="s">
        <v>7591</v>
      </c>
      <c r="W2632" t="s">
        <v>817</v>
      </c>
      <c r="X2632" t="s">
        <v>15314</v>
      </c>
      <c r="Y2632" t="s">
        <v>15315</v>
      </c>
      <c r="Z2632" t="s">
        <v>1030</v>
      </c>
      <c r="AA2632" t="s">
        <v>7521</v>
      </c>
      <c r="AB2632" t="s">
        <v>5162</v>
      </c>
      <c r="AE2632">
        <v>-36.958286690000001</v>
      </c>
      <c r="AF2632">
        <v>174.82527191</v>
      </c>
      <c r="AG2632" s="175">
        <v>70</v>
      </c>
      <c r="AH2632" s="175">
        <v>15</v>
      </c>
      <c r="AI2632" s="175">
        <v>0</v>
      </c>
      <c r="AJ2632" s="175">
        <v>9</v>
      </c>
      <c r="AK2632" s="175">
        <v>15</v>
      </c>
      <c r="AL2632" s="175">
        <v>18</v>
      </c>
      <c r="AM2632" s="175">
        <v>13</v>
      </c>
      <c r="AN2632" s="175">
        <v>2</v>
      </c>
      <c r="AO2632" s="175">
        <v>57</v>
      </c>
      <c r="AP2632" s="175">
        <v>4</v>
      </c>
      <c r="AQ2632" s="175">
        <v>6</v>
      </c>
      <c r="AR2632" s="175">
        <v>49</v>
      </c>
      <c r="AS2632" s="175">
        <v>8</v>
      </c>
      <c r="AT2632" s="175">
        <v>0</v>
      </c>
    </row>
    <row r="2633" spans="1:46">
      <c r="A2633">
        <v>47095</v>
      </c>
      <c r="B2633" t="s">
        <v>15316</v>
      </c>
      <c r="D2633" t="s">
        <v>15317</v>
      </c>
      <c r="E2633" t="s">
        <v>15318</v>
      </c>
      <c r="F2633" t="s">
        <v>854</v>
      </c>
      <c r="G2633" t="s">
        <v>737</v>
      </c>
      <c r="H2633" t="s">
        <v>449</v>
      </c>
      <c r="J2633" t="s">
        <v>4032</v>
      </c>
      <c r="K2633" t="s">
        <v>606</v>
      </c>
      <c r="M2633" t="s">
        <v>607</v>
      </c>
      <c r="N2633" t="s">
        <v>657</v>
      </c>
      <c r="O2633" t="s">
        <v>803</v>
      </c>
      <c r="P2633" t="s">
        <v>739</v>
      </c>
      <c r="Q2633" t="s">
        <v>467</v>
      </c>
      <c r="R2633" t="s">
        <v>793</v>
      </c>
      <c r="S2633" t="s">
        <v>998</v>
      </c>
      <c r="T2633" t="s">
        <v>794</v>
      </c>
      <c r="U2633">
        <v>138301</v>
      </c>
      <c r="V2633" t="s">
        <v>7071</v>
      </c>
      <c r="W2633" t="s">
        <v>806</v>
      </c>
      <c r="X2633" t="s">
        <v>15319</v>
      </c>
      <c r="Y2633" t="s">
        <v>15318</v>
      </c>
      <c r="Z2633" t="s">
        <v>854</v>
      </c>
      <c r="AA2633" t="s">
        <v>4400</v>
      </c>
      <c r="AE2633">
        <v>-36.912464159999999</v>
      </c>
      <c r="AF2633">
        <v>174.71646501999999</v>
      </c>
      <c r="AG2633" s="175">
        <v>50</v>
      </c>
      <c r="AH2633" s="175">
        <v>10</v>
      </c>
      <c r="AI2633" s="175">
        <v>3</v>
      </c>
      <c r="AJ2633" s="175">
        <v>8</v>
      </c>
      <c r="AK2633" s="175">
        <v>12</v>
      </c>
      <c r="AL2633" s="175">
        <v>17</v>
      </c>
      <c r="AM2633" s="175">
        <v>12</v>
      </c>
      <c r="AN2633" s="175">
        <v>0</v>
      </c>
      <c r="AO2633" s="175">
        <v>52</v>
      </c>
      <c r="AP2633" s="175">
        <v>18</v>
      </c>
      <c r="AQ2633" s="175">
        <v>3</v>
      </c>
      <c r="AR2633" s="175">
        <v>3</v>
      </c>
      <c r="AS2633" s="175">
        <v>29</v>
      </c>
      <c r="AT2633" s="175">
        <v>5</v>
      </c>
    </row>
    <row r="2634" spans="1:46">
      <c r="A2634">
        <v>47096</v>
      </c>
      <c r="B2634" t="s">
        <v>12482</v>
      </c>
      <c r="C2634" t="s">
        <v>15320</v>
      </c>
      <c r="D2634" t="s">
        <v>15321</v>
      </c>
      <c r="E2634" t="s">
        <v>15322</v>
      </c>
      <c r="G2634" t="s">
        <v>1533</v>
      </c>
      <c r="H2634" t="s">
        <v>449</v>
      </c>
      <c r="J2634" t="s">
        <v>4032</v>
      </c>
      <c r="K2634" t="s">
        <v>606</v>
      </c>
      <c r="M2634" t="s">
        <v>1382</v>
      </c>
      <c r="N2634" t="s">
        <v>657</v>
      </c>
      <c r="O2634" t="s">
        <v>1534</v>
      </c>
      <c r="P2634" t="s">
        <v>626</v>
      </c>
      <c r="Q2634" t="s">
        <v>510</v>
      </c>
      <c r="R2634" t="s">
        <v>1384</v>
      </c>
      <c r="S2634" t="s">
        <v>1384</v>
      </c>
      <c r="T2634" t="s">
        <v>1320</v>
      </c>
      <c r="U2634">
        <v>174300</v>
      </c>
      <c r="V2634" t="s">
        <v>9238</v>
      </c>
      <c r="W2634" t="s">
        <v>1536</v>
      </c>
      <c r="X2634" t="s">
        <v>15323</v>
      </c>
      <c r="Y2634" t="s">
        <v>15322</v>
      </c>
      <c r="AA2634" t="s">
        <v>15324</v>
      </c>
      <c r="AB2634" t="s">
        <v>15320</v>
      </c>
      <c r="AE2634">
        <v>-37.572140070000003</v>
      </c>
      <c r="AF2634">
        <v>175.67288962999999</v>
      </c>
      <c r="AG2634" s="175">
        <v>45</v>
      </c>
      <c r="AH2634" s="175">
        <v>15</v>
      </c>
      <c r="AI2634" s="175">
        <v>0</v>
      </c>
      <c r="AJ2634" s="175">
        <v>8</v>
      </c>
      <c r="AK2634" s="175">
        <v>13</v>
      </c>
      <c r="AL2634" s="175">
        <v>12</v>
      </c>
      <c r="AM2634" s="175">
        <v>15</v>
      </c>
      <c r="AN2634" s="175">
        <v>1</v>
      </c>
      <c r="AO2634" s="175">
        <v>49</v>
      </c>
      <c r="AP2634" s="175">
        <v>48</v>
      </c>
      <c r="AQ2634" s="175">
        <v>13</v>
      </c>
      <c r="AR2634" s="175">
        <v>1</v>
      </c>
      <c r="AS2634" s="175">
        <v>1</v>
      </c>
      <c r="AT2634" s="175">
        <v>1</v>
      </c>
    </row>
    <row r="2635" spans="1:46">
      <c r="A2635">
        <v>47097</v>
      </c>
      <c r="B2635" t="s">
        <v>15325</v>
      </c>
      <c r="C2635" t="s">
        <v>15326</v>
      </c>
      <c r="E2635" t="s">
        <v>15327</v>
      </c>
      <c r="F2635" t="s">
        <v>15328</v>
      </c>
      <c r="G2635" t="s">
        <v>737</v>
      </c>
      <c r="H2635" t="s">
        <v>449</v>
      </c>
      <c r="J2635" t="s">
        <v>4032</v>
      </c>
      <c r="K2635" t="s">
        <v>606</v>
      </c>
      <c r="M2635" t="s">
        <v>607</v>
      </c>
      <c r="N2635" t="s">
        <v>608</v>
      </c>
      <c r="O2635" t="s">
        <v>933</v>
      </c>
      <c r="P2635" t="s">
        <v>739</v>
      </c>
      <c r="Q2635" t="s">
        <v>467</v>
      </c>
      <c r="R2635" t="s">
        <v>814</v>
      </c>
      <c r="S2635" t="s">
        <v>934</v>
      </c>
      <c r="T2635" t="s">
        <v>794</v>
      </c>
      <c r="U2635">
        <v>148200</v>
      </c>
      <c r="V2635" t="s">
        <v>935</v>
      </c>
      <c r="W2635" t="s">
        <v>817</v>
      </c>
      <c r="X2635" t="s">
        <v>15329</v>
      </c>
      <c r="Y2635" t="s">
        <v>15330</v>
      </c>
      <c r="Z2635" t="s">
        <v>1120</v>
      </c>
      <c r="AA2635" t="s">
        <v>7439</v>
      </c>
      <c r="AE2635">
        <v>-36.952013119999997</v>
      </c>
      <c r="AF2635">
        <v>174.8026366</v>
      </c>
      <c r="AG2635" s="175">
        <v>55</v>
      </c>
      <c r="AH2635" s="175">
        <v>15</v>
      </c>
      <c r="AI2635" s="175">
        <v>0</v>
      </c>
      <c r="AJ2635" s="175">
        <v>4</v>
      </c>
      <c r="AK2635" s="175">
        <v>6</v>
      </c>
      <c r="AL2635" s="175">
        <v>9</v>
      </c>
      <c r="AM2635" s="175">
        <v>13</v>
      </c>
      <c r="AN2635" s="175">
        <v>1</v>
      </c>
      <c r="AO2635" s="175">
        <v>33</v>
      </c>
      <c r="AP2635" s="175">
        <v>5</v>
      </c>
      <c r="AQ2635" s="175">
        <v>3</v>
      </c>
      <c r="AR2635" s="175">
        <v>16</v>
      </c>
      <c r="AS2635" s="175">
        <v>17</v>
      </c>
      <c r="AT2635" s="175">
        <v>0</v>
      </c>
    </row>
    <row r="2636" spans="1:46">
      <c r="A2636">
        <v>47099</v>
      </c>
      <c r="B2636" t="s">
        <v>15331</v>
      </c>
      <c r="C2636" t="s">
        <v>15332</v>
      </c>
      <c r="D2636" t="s">
        <v>15333</v>
      </c>
      <c r="E2636" t="s">
        <v>15334</v>
      </c>
      <c r="F2636" t="s">
        <v>1060</v>
      </c>
      <c r="G2636" t="s">
        <v>737</v>
      </c>
      <c r="H2636" t="s">
        <v>449</v>
      </c>
      <c r="J2636" t="s">
        <v>4032</v>
      </c>
      <c r="K2636" t="s">
        <v>606</v>
      </c>
      <c r="M2636" t="s">
        <v>607</v>
      </c>
      <c r="N2636" t="s">
        <v>657</v>
      </c>
      <c r="O2636" t="s">
        <v>933</v>
      </c>
      <c r="P2636" t="s">
        <v>739</v>
      </c>
      <c r="Q2636" t="s">
        <v>467</v>
      </c>
      <c r="R2636" t="s">
        <v>814</v>
      </c>
      <c r="S2636" t="s">
        <v>934</v>
      </c>
      <c r="T2636" t="s">
        <v>794</v>
      </c>
      <c r="U2636">
        <v>147500</v>
      </c>
      <c r="V2636" t="s">
        <v>7640</v>
      </c>
      <c r="W2636" t="s">
        <v>817</v>
      </c>
      <c r="X2636" t="s">
        <v>15335</v>
      </c>
      <c r="Y2636" t="s">
        <v>15336</v>
      </c>
      <c r="Z2636" t="s">
        <v>1060</v>
      </c>
      <c r="AA2636" t="s">
        <v>13704</v>
      </c>
      <c r="AB2636" t="s">
        <v>15337</v>
      </c>
      <c r="AC2636">
        <v>99190</v>
      </c>
      <c r="AD2636" t="s">
        <v>916</v>
      </c>
      <c r="AE2636">
        <v>-36.953207900000002</v>
      </c>
      <c r="AF2636">
        <v>174.78637190000001</v>
      </c>
      <c r="AG2636" s="175">
        <v>75</v>
      </c>
      <c r="AH2636" s="175">
        <v>24</v>
      </c>
      <c r="AI2636" s="175">
        <v>4</v>
      </c>
      <c r="AJ2636" s="175">
        <v>18</v>
      </c>
      <c r="AK2636" s="175">
        <v>22</v>
      </c>
      <c r="AL2636" s="175">
        <v>20</v>
      </c>
      <c r="AM2636" s="175">
        <v>21</v>
      </c>
      <c r="AN2636" s="175">
        <v>1</v>
      </c>
      <c r="AO2636" s="175">
        <v>86</v>
      </c>
      <c r="AP2636" s="175">
        <v>71</v>
      </c>
      <c r="AQ2636" s="175">
        <v>17</v>
      </c>
      <c r="AR2636" s="175">
        <v>16</v>
      </c>
      <c r="AS2636" s="175">
        <v>10</v>
      </c>
      <c r="AT2636" s="175">
        <v>2</v>
      </c>
    </row>
    <row r="2637" spans="1:46">
      <c r="A2637">
        <v>47100</v>
      </c>
      <c r="B2637" t="s">
        <v>15338</v>
      </c>
      <c r="C2637" t="s">
        <v>15339</v>
      </c>
      <c r="E2637" t="s">
        <v>15340</v>
      </c>
      <c r="G2637" t="s">
        <v>2943</v>
      </c>
      <c r="H2637" t="s">
        <v>347</v>
      </c>
      <c r="J2637" t="s">
        <v>605</v>
      </c>
      <c r="K2637" t="s">
        <v>606</v>
      </c>
      <c r="L2637" t="s">
        <v>4273</v>
      </c>
      <c r="M2637" t="s">
        <v>2366</v>
      </c>
      <c r="N2637" t="s">
        <v>643</v>
      </c>
      <c r="O2637" t="s">
        <v>2944</v>
      </c>
      <c r="P2637" t="s">
        <v>610</v>
      </c>
      <c r="Q2637" t="s">
        <v>517</v>
      </c>
      <c r="R2637" t="s">
        <v>2901</v>
      </c>
      <c r="S2637" t="s">
        <v>2945</v>
      </c>
      <c r="T2637" t="s">
        <v>2526</v>
      </c>
      <c r="U2637">
        <v>301200</v>
      </c>
      <c r="V2637" t="s">
        <v>2965</v>
      </c>
      <c r="W2637" t="s">
        <v>2947</v>
      </c>
      <c r="X2637" t="s">
        <v>12121</v>
      </c>
      <c r="Y2637" t="s">
        <v>4276</v>
      </c>
      <c r="Z2637" t="s">
        <v>4277</v>
      </c>
      <c r="AA2637" t="s">
        <v>4278</v>
      </c>
      <c r="AB2637" t="s">
        <v>12122</v>
      </c>
      <c r="AE2637">
        <v>-41.11183149</v>
      </c>
      <c r="AF2637">
        <v>172.99754626000001</v>
      </c>
      <c r="AG2637" s="175">
        <v>26</v>
      </c>
      <c r="AH2637" s="175">
        <v>10</v>
      </c>
      <c r="AI2637" s="175">
        <v>1</v>
      </c>
      <c r="AJ2637" s="175">
        <v>5</v>
      </c>
      <c r="AK2637" s="175">
        <v>4</v>
      </c>
      <c r="AL2637" s="175">
        <v>6</v>
      </c>
      <c r="AM2637" s="175">
        <v>1</v>
      </c>
      <c r="AN2637" s="175">
        <v>0</v>
      </c>
      <c r="AO2637" s="175">
        <v>17</v>
      </c>
      <c r="AP2637" s="175">
        <v>0</v>
      </c>
      <c r="AQ2637" s="175">
        <v>17</v>
      </c>
      <c r="AR2637" s="175">
        <v>0</v>
      </c>
      <c r="AS2637" s="175">
        <v>0</v>
      </c>
      <c r="AT2637" s="175">
        <v>0</v>
      </c>
    </row>
    <row r="2638" spans="1:46">
      <c r="A2638">
        <v>47102</v>
      </c>
      <c r="B2638" t="s">
        <v>15341</v>
      </c>
      <c r="C2638" t="s">
        <v>15342</v>
      </c>
      <c r="D2638" t="s">
        <v>15343</v>
      </c>
      <c r="E2638" t="s">
        <v>15344</v>
      </c>
      <c r="F2638" t="s">
        <v>1450</v>
      </c>
      <c r="G2638" t="s">
        <v>737</v>
      </c>
      <c r="H2638" t="s">
        <v>449</v>
      </c>
      <c r="J2638" t="s">
        <v>4032</v>
      </c>
      <c r="K2638" t="s">
        <v>606</v>
      </c>
      <c r="M2638" t="s">
        <v>607</v>
      </c>
      <c r="N2638" t="s">
        <v>657</v>
      </c>
      <c r="O2638" t="s">
        <v>823</v>
      </c>
      <c r="P2638" t="s">
        <v>739</v>
      </c>
      <c r="Q2638" t="s">
        <v>467</v>
      </c>
      <c r="R2638" t="s">
        <v>724</v>
      </c>
      <c r="S2638" t="s">
        <v>841</v>
      </c>
      <c r="T2638" t="s">
        <v>613</v>
      </c>
      <c r="U2638">
        <v>126200</v>
      </c>
      <c r="V2638" t="s">
        <v>6177</v>
      </c>
      <c r="W2638" t="s">
        <v>826</v>
      </c>
      <c r="X2638" t="s">
        <v>15345</v>
      </c>
      <c r="Y2638" t="s">
        <v>15344</v>
      </c>
      <c r="Z2638" t="s">
        <v>1450</v>
      </c>
      <c r="AA2638" t="s">
        <v>5965</v>
      </c>
      <c r="AB2638" t="s">
        <v>15342</v>
      </c>
      <c r="AE2638">
        <v>-36.796236540000002</v>
      </c>
      <c r="AF2638">
        <v>174.73669384999999</v>
      </c>
      <c r="AG2638" s="175">
        <v>58</v>
      </c>
      <c r="AH2638" s="175">
        <v>18</v>
      </c>
      <c r="AI2638" s="175">
        <v>5</v>
      </c>
      <c r="AJ2638" s="175">
        <v>9</v>
      </c>
      <c r="AK2638" s="175">
        <v>10</v>
      </c>
      <c r="AL2638" s="175">
        <v>10</v>
      </c>
      <c r="AM2638" s="175">
        <v>18</v>
      </c>
      <c r="AN2638" s="175">
        <v>0</v>
      </c>
      <c r="AO2638" s="175">
        <v>52</v>
      </c>
      <c r="AP2638" s="175">
        <v>25</v>
      </c>
      <c r="AQ2638" s="175">
        <v>4</v>
      </c>
      <c r="AR2638" s="175">
        <v>1</v>
      </c>
      <c r="AS2638" s="175">
        <v>22</v>
      </c>
      <c r="AT2638" s="175">
        <v>8</v>
      </c>
    </row>
    <row r="2639" spans="1:46">
      <c r="A2639">
        <v>47104</v>
      </c>
      <c r="B2639" t="s">
        <v>15346</v>
      </c>
      <c r="C2639" t="s">
        <v>15347</v>
      </c>
      <c r="E2639" t="s">
        <v>15348</v>
      </c>
      <c r="G2639" t="s">
        <v>2055</v>
      </c>
      <c r="H2639" t="s">
        <v>449</v>
      </c>
      <c r="J2639" t="s">
        <v>4032</v>
      </c>
      <c r="K2639" t="s">
        <v>606</v>
      </c>
      <c r="M2639" t="s">
        <v>1382</v>
      </c>
      <c r="N2639" t="s">
        <v>657</v>
      </c>
      <c r="O2639" t="s">
        <v>2037</v>
      </c>
      <c r="P2639" t="s">
        <v>670</v>
      </c>
      <c r="Q2639" t="s">
        <v>553</v>
      </c>
      <c r="R2639" t="s">
        <v>1841</v>
      </c>
      <c r="S2639" t="s">
        <v>2055</v>
      </c>
      <c r="T2639" t="s">
        <v>1568</v>
      </c>
      <c r="U2639">
        <v>230600</v>
      </c>
      <c r="V2639" t="s">
        <v>2056</v>
      </c>
      <c r="W2639" t="s">
        <v>2038</v>
      </c>
      <c r="X2639" t="s">
        <v>15349</v>
      </c>
      <c r="Y2639" t="s">
        <v>12786</v>
      </c>
      <c r="AA2639" t="s">
        <v>12361</v>
      </c>
      <c r="AB2639" t="s">
        <v>15350</v>
      </c>
      <c r="AE2639">
        <v>-40.356027480000002</v>
      </c>
      <c r="AF2639">
        <v>175.60716457000001</v>
      </c>
      <c r="AG2639" s="175">
        <v>80</v>
      </c>
      <c r="AH2639" s="175">
        <v>25</v>
      </c>
      <c r="AI2639" s="175">
        <v>3</v>
      </c>
      <c r="AJ2639" s="175">
        <v>8</v>
      </c>
      <c r="AK2639" s="175">
        <v>7</v>
      </c>
      <c r="AL2639" s="175">
        <v>6</v>
      </c>
      <c r="AM2639" s="175">
        <v>3</v>
      </c>
      <c r="AN2639" s="175">
        <v>0</v>
      </c>
      <c r="AO2639" s="175">
        <v>27</v>
      </c>
      <c r="AP2639" s="175">
        <v>14</v>
      </c>
      <c r="AQ2639" s="175">
        <v>4</v>
      </c>
      <c r="AR2639" s="175">
        <v>4</v>
      </c>
      <c r="AS2639" s="175">
        <v>10</v>
      </c>
      <c r="AT2639" s="175">
        <v>1</v>
      </c>
    </row>
    <row r="2640" spans="1:46">
      <c r="A2640">
        <v>47106</v>
      </c>
      <c r="B2640" t="s">
        <v>15351</v>
      </c>
      <c r="C2640" t="s">
        <v>15352</v>
      </c>
      <c r="E2640" t="s">
        <v>15353</v>
      </c>
      <c r="G2640" t="s">
        <v>3078</v>
      </c>
      <c r="H2640" t="s">
        <v>449</v>
      </c>
      <c r="J2640" t="s">
        <v>4032</v>
      </c>
      <c r="K2640" t="s">
        <v>606</v>
      </c>
      <c r="M2640" t="s">
        <v>2366</v>
      </c>
      <c r="N2640" t="s">
        <v>657</v>
      </c>
      <c r="O2640" t="s">
        <v>3079</v>
      </c>
      <c r="P2640" t="s">
        <v>610</v>
      </c>
      <c r="Q2640" t="s">
        <v>520</v>
      </c>
      <c r="R2640" t="s">
        <v>2901</v>
      </c>
      <c r="S2640" t="s">
        <v>2945</v>
      </c>
      <c r="T2640" t="s">
        <v>2526</v>
      </c>
      <c r="U2640">
        <v>310400</v>
      </c>
      <c r="V2640" t="s">
        <v>3080</v>
      </c>
      <c r="W2640" t="s">
        <v>2521</v>
      </c>
      <c r="X2640" t="s">
        <v>15354</v>
      </c>
      <c r="Y2640" t="s">
        <v>15355</v>
      </c>
      <c r="AA2640" t="s">
        <v>11960</v>
      </c>
      <c r="AB2640" t="s">
        <v>15356</v>
      </c>
      <c r="AC2640">
        <v>99026</v>
      </c>
      <c r="AD2640" t="s">
        <v>3081</v>
      </c>
      <c r="AE2640">
        <v>-42.453246800000002</v>
      </c>
      <c r="AF2640">
        <v>171.21154344000001</v>
      </c>
      <c r="AG2640" s="175">
        <v>50</v>
      </c>
      <c r="AH2640" s="175">
        <v>16</v>
      </c>
      <c r="AI2640" s="175">
        <v>2</v>
      </c>
      <c r="AJ2640" s="175">
        <v>13</v>
      </c>
      <c r="AK2640" s="175">
        <v>13</v>
      </c>
      <c r="AL2640" s="175">
        <v>17</v>
      </c>
      <c r="AM2640" s="175">
        <v>11</v>
      </c>
      <c r="AN2640" s="175">
        <v>0</v>
      </c>
      <c r="AO2640" s="175">
        <v>56</v>
      </c>
      <c r="AP2640" s="175">
        <v>39</v>
      </c>
      <c r="AQ2640" s="175">
        <v>14</v>
      </c>
      <c r="AR2640" s="175">
        <v>1</v>
      </c>
      <c r="AS2640" s="175">
        <v>7</v>
      </c>
      <c r="AT2640" s="175">
        <v>8</v>
      </c>
    </row>
    <row r="2641" spans="1:46">
      <c r="A2641">
        <v>47107</v>
      </c>
      <c r="B2641" t="s">
        <v>15357</v>
      </c>
      <c r="C2641" t="s">
        <v>2937</v>
      </c>
      <c r="D2641" t="s">
        <v>15358</v>
      </c>
      <c r="E2641" t="s">
        <v>15359</v>
      </c>
      <c r="F2641" t="s">
        <v>15360</v>
      </c>
      <c r="G2641" t="s">
        <v>2930</v>
      </c>
      <c r="H2641" t="s">
        <v>451</v>
      </c>
      <c r="I2641" t="s">
        <v>4102</v>
      </c>
      <c r="J2641" t="s">
        <v>605</v>
      </c>
      <c r="K2641" t="s">
        <v>606</v>
      </c>
      <c r="M2641" t="s">
        <v>2366</v>
      </c>
      <c r="N2641" t="s">
        <v>812</v>
      </c>
      <c r="O2641" t="s">
        <v>2931</v>
      </c>
      <c r="P2641" t="s">
        <v>670</v>
      </c>
      <c r="Q2641" t="s">
        <v>518</v>
      </c>
      <c r="R2641" t="s">
        <v>2901</v>
      </c>
      <c r="S2641" t="s">
        <v>2930</v>
      </c>
      <c r="T2641" t="s">
        <v>2526</v>
      </c>
      <c r="U2641">
        <v>305200</v>
      </c>
      <c r="V2641" t="s">
        <v>15361</v>
      </c>
      <c r="W2641" t="s">
        <v>2114</v>
      </c>
      <c r="X2641" t="s">
        <v>2934</v>
      </c>
      <c r="Y2641" t="s">
        <v>2935</v>
      </c>
      <c r="Z2641" t="s">
        <v>2930</v>
      </c>
      <c r="AA2641" t="s">
        <v>2936</v>
      </c>
      <c r="AB2641" t="s">
        <v>2937</v>
      </c>
      <c r="AC2641">
        <v>99005</v>
      </c>
      <c r="AD2641" t="s">
        <v>2953</v>
      </c>
      <c r="AE2641">
        <v>-41.286510110000002</v>
      </c>
      <c r="AF2641">
        <v>173.27112507000001</v>
      </c>
      <c r="AG2641" s="175">
        <v>12</v>
      </c>
      <c r="AH2641" s="175">
        <v>6</v>
      </c>
      <c r="AI2641" s="175"/>
      <c r="AJ2641" s="175"/>
      <c r="AK2641" s="175"/>
      <c r="AL2641" s="175"/>
      <c r="AM2641" s="175"/>
      <c r="AN2641" s="175"/>
      <c r="AO2641" s="175"/>
      <c r="AP2641" s="175"/>
      <c r="AQ2641" s="175"/>
      <c r="AR2641" s="175"/>
      <c r="AS2641" s="175"/>
    </row>
    <row r="2642" spans="1:46">
      <c r="A2642">
        <v>47108</v>
      </c>
      <c r="B2642" t="s">
        <v>15362</v>
      </c>
      <c r="C2642" t="s">
        <v>15363</v>
      </c>
      <c r="D2642" t="s">
        <v>15364</v>
      </c>
      <c r="E2642" t="s">
        <v>15365</v>
      </c>
      <c r="G2642" t="s">
        <v>1681</v>
      </c>
      <c r="H2642" t="s">
        <v>449</v>
      </c>
      <c r="J2642" t="s">
        <v>4032</v>
      </c>
      <c r="K2642" t="s">
        <v>606</v>
      </c>
      <c r="M2642" t="s">
        <v>1382</v>
      </c>
      <c r="N2642" t="s">
        <v>657</v>
      </c>
      <c r="O2642" t="s">
        <v>1780</v>
      </c>
      <c r="P2642" t="s">
        <v>739</v>
      </c>
      <c r="Q2642" t="s">
        <v>511</v>
      </c>
      <c r="R2642" t="s">
        <v>1555</v>
      </c>
      <c r="S2642" t="s">
        <v>1681</v>
      </c>
      <c r="T2642" t="s">
        <v>1557</v>
      </c>
      <c r="U2642">
        <v>193800</v>
      </c>
      <c r="V2642" t="s">
        <v>8466</v>
      </c>
      <c r="W2642" t="s">
        <v>3795</v>
      </c>
      <c r="X2642" t="s">
        <v>15366</v>
      </c>
      <c r="Y2642" t="s">
        <v>15367</v>
      </c>
      <c r="Z2642" t="s">
        <v>10595</v>
      </c>
      <c r="AA2642" t="s">
        <v>8772</v>
      </c>
      <c r="AC2642">
        <v>99036</v>
      </c>
      <c r="AD2642" t="s">
        <v>1792</v>
      </c>
      <c r="AE2642">
        <v>-37.677292100000003</v>
      </c>
      <c r="AF2642">
        <v>176.16821408999999</v>
      </c>
      <c r="AG2642" s="175">
        <v>83</v>
      </c>
      <c r="AH2642" s="175">
        <v>18</v>
      </c>
      <c r="AI2642" s="175">
        <v>2</v>
      </c>
      <c r="AJ2642" s="175">
        <v>17</v>
      </c>
      <c r="AK2642" s="175">
        <v>22</v>
      </c>
      <c r="AL2642" s="175">
        <v>24</v>
      </c>
      <c r="AM2642" s="175">
        <v>16</v>
      </c>
      <c r="AN2642" s="175">
        <v>1</v>
      </c>
      <c r="AO2642" s="175">
        <v>82</v>
      </c>
      <c r="AP2642" s="175">
        <v>70</v>
      </c>
      <c r="AQ2642" s="175">
        <v>11</v>
      </c>
      <c r="AR2642" s="175">
        <v>4</v>
      </c>
      <c r="AS2642" s="175">
        <v>9</v>
      </c>
      <c r="AT2642" s="175">
        <v>5</v>
      </c>
    </row>
    <row r="2643" spans="1:46">
      <c r="A2643">
        <v>47109</v>
      </c>
      <c r="B2643" t="s">
        <v>15368</v>
      </c>
      <c r="C2643" t="s">
        <v>15369</v>
      </c>
      <c r="D2643" t="s">
        <v>15370</v>
      </c>
      <c r="E2643" t="s">
        <v>15371</v>
      </c>
      <c r="G2643" t="s">
        <v>1824</v>
      </c>
      <c r="H2643" t="s">
        <v>449</v>
      </c>
      <c r="J2643" t="s">
        <v>4032</v>
      </c>
      <c r="K2643" t="s">
        <v>606</v>
      </c>
      <c r="M2643" t="s">
        <v>1382</v>
      </c>
      <c r="N2643" t="s">
        <v>643</v>
      </c>
      <c r="O2643" t="s">
        <v>1825</v>
      </c>
      <c r="P2643" t="s">
        <v>610</v>
      </c>
      <c r="Q2643" t="s">
        <v>511</v>
      </c>
      <c r="R2643" t="s">
        <v>1555</v>
      </c>
      <c r="S2643" t="s">
        <v>1604</v>
      </c>
      <c r="T2643" t="s">
        <v>1557</v>
      </c>
      <c r="U2643">
        <v>192102</v>
      </c>
      <c r="V2643" t="s">
        <v>15372</v>
      </c>
      <c r="W2643" t="s">
        <v>1827</v>
      </c>
      <c r="X2643" t="s">
        <v>15373</v>
      </c>
      <c r="Y2643" t="s">
        <v>15371</v>
      </c>
      <c r="AA2643" t="s">
        <v>15374</v>
      </c>
      <c r="AB2643" t="s">
        <v>15369</v>
      </c>
      <c r="AC2643">
        <v>99086</v>
      </c>
      <c r="AD2643" t="s">
        <v>1828</v>
      </c>
      <c r="AE2643">
        <v>-37.792818029999999</v>
      </c>
      <c r="AF2643">
        <v>176.31728131</v>
      </c>
      <c r="AG2643" s="175">
        <v>45</v>
      </c>
      <c r="AH2643" s="175">
        <v>15</v>
      </c>
      <c r="AI2643" s="175">
        <v>2</v>
      </c>
      <c r="AJ2643" s="175">
        <v>4</v>
      </c>
      <c r="AK2643" s="175">
        <v>11</v>
      </c>
      <c r="AL2643" s="175">
        <v>17</v>
      </c>
      <c r="AM2643" s="175">
        <v>18</v>
      </c>
      <c r="AN2643" s="175">
        <v>0</v>
      </c>
      <c r="AO2643" s="175">
        <v>52</v>
      </c>
      <c r="AP2643" s="175">
        <v>36</v>
      </c>
      <c r="AQ2643" s="175">
        <v>15</v>
      </c>
      <c r="AR2643" s="175">
        <v>1</v>
      </c>
      <c r="AS2643" s="175">
        <v>10</v>
      </c>
      <c r="AT2643" s="175">
        <v>1</v>
      </c>
    </row>
    <row r="2644" spans="1:46">
      <c r="A2644">
        <v>47111</v>
      </c>
      <c r="B2644" t="s">
        <v>15375</v>
      </c>
      <c r="C2644" t="s">
        <v>15376</v>
      </c>
      <c r="D2644" t="s">
        <v>15377</v>
      </c>
      <c r="E2644" t="s">
        <v>15378</v>
      </c>
      <c r="G2644" t="s">
        <v>1604</v>
      </c>
      <c r="H2644" t="s">
        <v>449</v>
      </c>
      <c r="I2644" t="s">
        <v>5017</v>
      </c>
      <c r="J2644" t="s">
        <v>4032</v>
      </c>
      <c r="K2644" t="s">
        <v>606</v>
      </c>
      <c r="M2644" t="s">
        <v>1382</v>
      </c>
      <c r="N2644" t="s">
        <v>643</v>
      </c>
      <c r="O2644" t="s">
        <v>1605</v>
      </c>
      <c r="P2644" t="s">
        <v>670</v>
      </c>
      <c r="Q2644" t="s">
        <v>511</v>
      </c>
      <c r="R2644" t="s">
        <v>1555</v>
      </c>
      <c r="S2644" t="s">
        <v>1604</v>
      </c>
      <c r="T2644" t="s">
        <v>1557</v>
      </c>
      <c r="U2644">
        <v>198900</v>
      </c>
      <c r="V2644" t="s">
        <v>8556</v>
      </c>
      <c r="W2644" t="s">
        <v>1606</v>
      </c>
      <c r="X2644" t="s">
        <v>15379</v>
      </c>
      <c r="Y2644" t="s">
        <v>15378</v>
      </c>
      <c r="AA2644" t="s">
        <v>9468</v>
      </c>
      <c r="AB2644" t="s">
        <v>15380</v>
      </c>
      <c r="AE2644">
        <v>-38.122333470000001</v>
      </c>
      <c r="AF2644">
        <v>176.23447211000001</v>
      </c>
      <c r="AG2644" s="175">
        <v>32</v>
      </c>
      <c r="AH2644" s="175">
        <v>5</v>
      </c>
      <c r="AI2644" s="175">
        <v>0</v>
      </c>
      <c r="AJ2644" s="175">
        <v>5</v>
      </c>
      <c r="AK2644" s="175">
        <v>8</v>
      </c>
      <c r="AL2644" s="175">
        <v>7</v>
      </c>
      <c r="AM2644" s="175">
        <v>7</v>
      </c>
      <c r="AN2644" s="175">
        <v>1</v>
      </c>
      <c r="AO2644" s="175">
        <v>28</v>
      </c>
      <c r="AP2644" s="175">
        <v>2</v>
      </c>
      <c r="AQ2644" s="175">
        <v>28</v>
      </c>
      <c r="AR2644" s="175">
        <v>5</v>
      </c>
      <c r="AS2644" s="175">
        <v>0</v>
      </c>
      <c r="AT2644" s="175">
        <v>0</v>
      </c>
    </row>
    <row r="2645" spans="1:46">
      <c r="A2645">
        <v>47119</v>
      </c>
      <c r="B2645" t="s">
        <v>15381</v>
      </c>
      <c r="C2645" t="s">
        <v>15382</v>
      </c>
      <c r="D2645" t="s">
        <v>15383</v>
      </c>
      <c r="E2645" t="s">
        <v>15384</v>
      </c>
      <c r="F2645" t="s">
        <v>2924</v>
      </c>
      <c r="G2645" t="s">
        <v>2899</v>
      </c>
      <c r="H2645" t="s">
        <v>449</v>
      </c>
      <c r="J2645" t="s">
        <v>4032</v>
      </c>
      <c r="K2645" t="s">
        <v>606</v>
      </c>
      <c r="M2645" t="s">
        <v>2366</v>
      </c>
      <c r="N2645" t="s">
        <v>657</v>
      </c>
      <c r="O2645" t="s">
        <v>2900</v>
      </c>
      <c r="P2645" t="s">
        <v>1347</v>
      </c>
      <c r="Q2645" t="s">
        <v>519</v>
      </c>
      <c r="R2645" t="s">
        <v>2901</v>
      </c>
      <c r="S2645" t="s">
        <v>2902</v>
      </c>
      <c r="T2645" t="s">
        <v>2526</v>
      </c>
      <c r="U2645">
        <v>308600</v>
      </c>
      <c r="V2645" t="s">
        <v>2925</v>
      </c>
      <c r="W2645" t="s">
        <v>2903</v>
      </c>
      <c r="X2645" t="s">
        <v>15385</v>
      </c>
      <c r="Y2645" t="s">
        <v>15386</v>
      </c>
      <c r="AA2645" t="s">
        <v>2906</v>
      </c>
      <c r="AB2645" t="s">
        <v>15387</v>
      </c>
      <c r="AE2645">
        <v>-41.539064349999997</v>
      </c>
      <c r="AF2645">
        <v>173.95062146000001</v>
      </c>
      <c r="AG2645" s="175">
        <v>38</v>
      </c>
      <c r="AH2645" s="175">
        <v>8</v>
      </c>
      <c r="AI2645" s="175">
        <v>0</v>
      </c>
      <c r="AJ2645" s="175">
        <v>8</v>
      </c>
      <c r="AK2645" s="175">
        <v>13</v>
      </c>
      <c r="AL2645" s="175">
        <v>13</v>
      </c>
      <c r="AM2645" s="175">
        <v>13</v>
      </c>
      <c r="AN2645" s="175">
        <v>0</v>
      </c>
      <c r="AO2645" s="175">
        <v>47</v>
      </c>
      <c r="AP2645" s="175">
        <v>37</v>
      </c>
      <c r="AQ2645" s="175">
        <v>4</v>
      </c>
      <c r="AR2645" s="175">
        <v>1</v>
      </c>
      <c r="AS2645" s="175">
        <v>7</v>
      </c>
      <c r="AT2645" s="175">
        <v>1</v>
      </c>
    </row>
    <row r="2646" spans="1:46">
      <c r="A2646">
        <v>47124</v>
      </c>
      <c r="B2646" t="s">
        <v>15388</v>
      </c>
      <c r="C2646" t="s">
        <v>15389</v>
      </c>
      <c r="D2646" t="s">
        <v>15390</v>
      </c>
      <c r="E2646" t="s">
        <v>15391</v>
      </c>
      <c r="G2646" t="s">
        <v>15392</v>
      </c>
      <c r="H2646" t="s">
        <v>449</v>
      </c>
      <c r="J2646" t="s">
        <v>4032</v>
      </c>
      <c r="K2646" t="s">
        <v>606</v>
      </c>
      <c r="M2646" t="s">
        <v>2366</v>
      </c>
      <c r="N2646" t="s">
        <v>657</v>
      </c>
      <c r="O2646" t="s">
        <v>3037</v>
      </c>
      <c r="P2646" t="s">
        <v>610</v>
      </c>
      <c r="Q2646" t="s">
        <v>521</v>
      </c>
      <c r="R2646" t="s">
        <v>3017</v>
      </c>
      <c r="S2646" t="s">
        <v>3038</v>
      </c>
      <c r="T2646" t="s">
        <v>2526</v>
      </c>
      <c r="U2646">
        <v>315400</v>
      </c>
      <c r="V2646" t="s">
        <v>15392</v>
      </c>
      <c r="W2646" t="s">
        <v>3262</v>
      </c>
      <c r="X2646" t="s">
        <v>15393</v>
      </c>
      <c r="Y2646" t="s">
        <v>4725</v>
      </c>
      <c r="Z2646" t="s">
        <v>1043</v>
      </c>
      <c r="AA2646" t="s">
        <v>4726</v>
      </c>
      <c r="AC2646">
        <v>99061</v>
      </c>
      <c r="AD2646" t="s">
        <v>3263</v>
      </c>
      <c r="AE2646">
        <v>-43.31065512</v>
      </c>
      <c r="AF2646">
        <v>172.69418947</v>
      </c>
      <c r="AG2646" s="175">
        <v>65</v>
      </c>
      <c r="AH2646" s="175">
        <v>20</v>
      </c>
      <c r="AI2646" s="175">
        <v>2</v>
      </c>
      <c r="AJ2646" s="175">
        <v>10</v>
      </c>
      <c r="AK2646" s="175">
        <v>9</v>
      </c>
      <c r="AL2646" s="175">
        <v>17</v>
      </c>
      <c r="AM2646" s="175">
        <v>27</v>
      </c>
      <c r="AN2646" s="175">
        <v>2</v>
      </c>
      <c r="AO2646" s="175">
        <v>67</v>
      </c>
      <c r="AP2646" s="175">
        <v>57</v>
      </c>
      <c r="AQ2646" s="175">
        <v>7</v>
      </c>
      <c r="AR2646" s="175">
        <v>1</v>
      </c>
      <c r="AS2646" s="175">
        <v>10</v>
      </c>
      <c r="AT2646" s="175">
        <v>3</v>
      </c>
    </row>
    <row r="2647" spans="1:46">
      <c r="A2647">
        <v>47125</v>
      </c>
      <c r="B2647" t="s">
        <v>15394</v>
      </c>
      <c r="C2647" t="s">
        <v>15395</v>
      </c>
      <c r="D2647" t="s">
        <v>15396</v>
      </c>
      <c r="E2647" t="s">
        <v>15397</v>
      </c>
      <c r="G2647" t="s">
        <v>2276</v>
      </c>
      <c r="H2647" t="s">
        <v>347</v>
      </c>
      <c r="J2647" t="s">
        <v>605</v>
      </c>
      <c r="K2647" t="s">
        <v>606</v>
      </c>
      <c r="L2647" t="s">
        <v>4273</v>
      </c>
      <c r="M2647" t="s">
        <v>1382</v>
      </c>
      <c r="N2647" t="s">
        <v>812</v>
      </c>
      <c r="O2647" t="s">
        <v>2277</v>
      </c>
      <c r="P2647" t="s">
        <v>658</v>
      </c>
      <c r="Q2647" t="s">
        <v>513</v>
      </c>
      <c r="R2647" t="s">
        <v>2164</v>
      </c>
      <c r="S2647" t="s">
        <v>2278</v>
      </c>
      <c r="T2647" t="s">
        <v>2165</v>
      </c>
      <c r="U2647">
        <v>211201</v>
      </c>
      <c r="V2647" t="s">
        <v>15092</v>
      </c>
      <c r="W2647" t="s">
        <v>11923</v>
      </c>
      <c r="X2647" t="s">
        <v>8868</v>
      </c>
      <c r="Y2647" t="s">
        <v>4276</v>
      </c>
      <c r="Z2647" t="s">
        <v>4277</v>
      </c>
      <c r="AA2647" t="s">
        <v>4278</v>
      </c>
      <c r="AB2647" t="s">
        <v>8869</v>
      </c>
      <c r="AE2647">
        <v>-39.60499738</v>
      </c>
      <c r="AF2647">
        <v>176.92050903000001</v>
      </c>
      <c r="AG2647" s="175">
        <v>23</v>
      </c>
      <c r="AH2647" s="175">
        <v>3</v>
      </c>
      <c r="AI2647" s="175">
        <v>1</v>
      </c>
      <c r="AJ2647" s="175">
        <v>1</v>
      </c>
      <c r="AK2647" s="175">
        <v>7</v>
      </c>
      <c r="AL2647" s="175">
        <v>4</v>
      </c>
      <c r="AM2647" s="175">
        <v>4</v>
      </c>
      <c r="AN2647" s="175">
        <v>0</v>
      </c>
      <c r="AO2647" s="175">
        <v>17</v>
      </c>
      <c r="AP2647" s="175">
        <v>0</v>
      </c>
      <c r="AQ2647" s="175">
        <v>16</v>
      </c>
      <c r="AR2647" s="175">
        <v>1</v>
      </c>
      <c r="AS2647" s="175">
        <v>0</v>
      </c>
      <c r="AT2647" s="175">
        <v>0</v>
      </c>
    </row>
    <row r="2648" spans="1:46">
      <c r="A2648">
        <v>47126</v>
      </c>
      <c r="B2648" t="s">
        <v>15398</v>
      </c>
      <c r="C2648" t="s">
        <v>15399</v>
      </c>
      <c r="D2648" t="s">
        <v>15400</v>
      </c>
      <c r="E2648" t="s">
        <v>15401</v>
      </c>
      <c r="F2648" t="s">
        <v>1120</v>
      </c>
      <c r="G2648" t="s">
        <v>737</v>
      </c>
      <c r="H2648" t="s">
        <v>449</v>
      </c>
      <c r="J2648" t="s">
        <v>605</v>
      </c>
      <c r="K2648" t="s">
        <v>606</v>
      </c>
      <c r="M2648" t="s">
        <v>607</v>
      </c>
      <c r="N2648" t="s">
        <v>625</v>
      </c>
      <c r="O2648" t="s">
        <v>813</v>
      </c>
      <c r="P2648" t="s">
        <v>739</v>
      </c>
      <c r="Q2648" t="s">
        <v>467</v>
      </c>
      <c r="R2648" t="s">
        <v>814</v>
      </c>
      <c r="S2648" t="s">
        <v>815</v>
      </c>
      <c r="T2648" t="s">
        <v>794</v>
      </c>
      <c r="U2648">
        <v>154902</v>
      </c>
      <c r="V2648" t="s">
        <v>7897</v>
      </c>
      <c r="W2648" t="s">
        <v>817</v>
      </c>
      <c r="X2648" t="s">
        <v>4013</v>
      </c>
      <c r="Y2648" t="s">
        <v>4014</v>
      </c>
      <c r="Z2648" t="s">
        <v>4015</v>
      </c>
      <c r="AA2648" t="s">
        <v>4016</v>
      </c>
      <c r="AB2648" t="s">
        <v>4017</v>
      </c>
      <c r="AE2648">
        <v>-36.967420959999998</v>
      </c>
      <c r="AF2648">
        <v>174.86050336</v>
      </c>
      <c r="AG2648" s="175">
        <v>100</v>
      </c>
      <c r="AH2648" s="175">
        <v>24</v>
      </c>
      <c r="AI2648" s="175">
        <v>4</v>
      </c>
      <c r="AJ2648" s="175">
        <v>15</v>
      </c>
      <c r="AK2648" s="175">
        <v>25</v>
      </c>
      <c r="AL2648" s="175">
        <v>31</v>
      </c>
      <c r="AM2648" s="175">
        <v>31</v>
      </c>
      <c r="AN2648" s="175">
        <v>1</v>
      </c>
      <c r="AO2648" s="175">
        <v>107</v>
      </c>
      <c r="AP2648" s="175">
        <v>11</v>
      </c>
      <c r="AQ2648" s="175">
        <v>3</v>
      </c>
      <c r="AR2648" s="175">
        <v>10</v>
      </c>
      <c r="AS2648" s="175">
        <v>95</v>
      </c>
      <c r="AT2648" s="175">
        <v>2</v>
      </c>
    </row>
    <row r="2649" spans="1:46">
      <c r="A2649">
        <v>47129</v>
      </c>
      <c r="B2649" t="s">
        <v>15402</v>
      </c>
      <c r="C2649" t="s">
        <v>15403</v>
      </c>
      <c r="E2649" t="s">
        <v>15404</v>
      </c>
      <c r="G2649" t="s">
        <v>1681</v>
      </c>
      <c r="H2649" t="s">
        <v>449</v>
      </c>
      <c r="J2649" t="s">
        <v>4032</v>
      </c>
      <c r="K2649" t="s">
        <v>606</v>
      </c>
      <c r="M2649" t="s">
        <v>1382</v>
      </c>
      <c r="N2649" t="s">
        <v>657</v>
      </c>
      <c r="O2649" t="s">
        <v>1780</v>
      </c>
      <c r="P2649" t="s">
        <v>739</v>
      </c>
      <c r="Q2649" t="s">
        <v>511</v>
      </c>
      <c r="R2649" t="s">
        <v>1555</v>
      </c>
      <c r="S2649" t="s">
        <v>1681</v>
      </c>
      <c r="T2649" t="s">
        <v>1557</v>
      </c>
      <c r="U2649">
        <v>194801</v>
      </c>
      <c r="V2649" t="s">
        <v>3793</v>
      </c>
      <c r="W2649" t="s">
        <v>3795</v>
      </c>
      <c r="X2649" t="s">
        <v>15405</v>
      </c>
      <c r="Y2649" t="s">
        <v>15404</v>
      </c>
      <c r="Z2649" t="s">
        <v>3793</v>
      </c>
      <c r="AA2649" t="s">
        <v>8947</v>
      </c>
      <c r="AB2649" t="s">
        <v>15406</v>
      </c>
      <c r="AC2649">
        <v>99085</v>
      </c>
      <c r="AD2649" t="s">
        <v>1800</v>
      </c>
      <c r="AE2649">
        <v>-37.699123069999999</v>
      </c>
      <c r="AF2649">
        <v>176.16021995</v>
      </c>
      <c r="AG2649" s="175">
        <v>68</v>
      </c>
      <c r="AH2649" s="175">
        <v>16</v>
      </c>
      <c r="AI2649" s="175">
        <v>3</v>
      </c>
      <c r="AJ2649" s="175">
        <v>12</v>
      </c>
      <c r="AK2649" s="175">
        <v>10</v>
      </c>
      <c r="AL2649" s="175">
        <v>19</v>
      </c>
      <c r="AM2649" s="175">
        <v>19</v>
      </c>
      <c r="AN2649" s="175">
        <v>0</v>
      </c>
      <c r="AO2649" s="175">
        <v>63</v>
      </c>
      <c r="AP2649" s="175">
        <v>57</v>
      </c>
      <c r="AQ2649" s="175">
        <v>13</v>
      </c>
      <c r="AR2649" s="175">
        <v>3</v>
      </c>
      <c r="AS2649" s="175">
        <v>4</v>
      </c>
      <c r="AT2649" s="175">
        <v>4</v>
      </c>
    </row>
    <row r="2650" spans="1:46">
      <c r="A2650">
        <v>47131</v>
      </c>
      <c r="B2650" t="s">
        <v>15407</v>
      </c>
      <c r="C2650" t="s">
        <v>15408</v>
      </c>
      <c r="D2650" t="s">
        <v>15409</v>
      </c>
      <c r="E2650" t="s">
        <v>15410</v>
      </c>
      <c r="F2650" t="s">
        <v>791</v>
      </c>
      <c r="G2650" t="s">
        <v>737</v>
      </c>
      <c r="H2650" t="s">
        <v>449</v>
      </c>
      <c r="J2650" t="s">
        <v>4032</v>
      </c>
      <c r="K2650" t="s">
        <v>606</v>
      </c>
      <c r="M2650" t="s">
        <v>607</v>
      </c>
      <c r="N2650" t="s">
        <v>657</v>
      </c>
      <c r="O2650" t="s">
        <v>792</v>
      </c>
      <c r="P2650" t="s">
        <v>739</v>
      </c>
      <c r="Q2650" t="s">
        <v>467</v>
      </c>
      <c r="R2650" t="s">
        <v>793</v>
      </c>
      <c r="S2650" t="s">
        <v>791</v>
      </c>
      <c r="T2650" t="s">
        <v>794</v>
      </c>
      <c r="U2650">
        <v>150700</v>
      </c>
      <c r="V2650" t="s">
        <v>882</v>
      </c>
      <c r="W2650" t="s">
        <v>796</v>
      </c>
      <c r="X2650" t="s">
        <v>15411</v>
      </c>
      <c r="Y2650" t="s">
        <v>12254</v>
      </c>
      <c r="Z2650" t="s">
        <v>12255</v>
      </c>
      <c r="AA2650" t="s">
        <v>12256</v>
      </c>
      <c r="AB2650" t="s">
        <v>15412</v>
      </c>
      <c r="AC2650">
        <v>99149</v>
      </c>
      <c r="AD2650" t="s">
        <v>883</v>
      </c>
      <c r="AE2650">
        <v>-36.913897970000001</v>
      </c>
      <c r="AF2650">
        <v>174.902905</v>
      </c>
      <c r="AG2650" s="175">
        <v>140</v>
      </c>
      <c r="AH2650" s="175">
        <v>48</v>
      </c>
      <c r="AI2650" s="175">
        <v>8</v>
      </c>
      <c r="AJ2650" s="175">
        <v>29</v>
      </c>
      <c r="AK2650" s="175">
        <v>33</v>
      </c>
      <c r="AL2650" s="175">
        <v>34</v>
      </c>
      <c r="AM2650" s="175">
        <v>33</v>
      </c>
      <c r="AN2650" s="175">
        <v>0</v>
      </c>
      <c r="AO2650" s="175">
        <v>137</v>
      </c>
      <c r="AP2650" s="175">
        <v>82</v>
      </c>
      <c r="AQ2650" s="175">
        <v>9</v>
      </c>
      <c r="AR2650" s="175">
        <v>6</v>
      </c>
      <c r="AS2650" s="175">
        <v>57</v>
      </c>
      <c r="AT2650" s="175">
        <v>13</v>
      </c>
    </row>
    <row r="2651" spans="1:46">
      <c r="A2651">
        <v>47132</v>
      </c>
      <c r="B2651" t="s">
        <v>15413</v>
      </c>
      <c r="C2651" t="s">
        <v>15414</v>
      </c>
      <c r="D2651" t="s">
        <v>13665</v>
      </c>
      <c r="E2651" t="s">
        <v>15415</v>
      </c>
      <c r="F2651" t="s">
        <v>3267</v>
      </c>
      <c r="G2651" t="s">
        <v>3015</v>
      </c>
      <c r="H2651" t="s">
        <v>449</v>
      </c>
      <c r="J2651" t="s">
        <v>4032</v>
      </c>
      <c r="K2651" t="s">
        <v>606</v>
      </c>
      <c r="M2651" t="s">
        <v>2366</v>
      </c>
      <c r="N2651" t="s">
        <v>657</v>
      </c>
      <c r="O2651" t="s">
        <v>3016</v>
      </c>
      <c r="P2651" t="s">
        <v>739</v>
      </c>
      <c r="Q2651" t="s">
        <v>521</v>
      </c>
      <c r="R2651" t="s">
        <v>3017</v>
      </c>
      <c r="S2651" t="s">
        <v>3092</v>
      </c>
      <c r="T2651" t="s">
        <v>2526</v>
      </c>
      <c r="U2651">
        <v>324501</v>
      </c>
      <c r="V2651" t="s">
        <v>13667</v>
      </c>
      <c r="W2651" t="s">
        <v>3269</v>
      </c>
      <c r="X2651" t="s">
        <v>13668</v>
      </c>
      <c r="Y2651" t="s">
        <v>13669</v>
      </c>
      <c r="Z2651" t="s">
        <v>3267</v>
      </c>
      <c r="AA2651" t="s">
        <v>13017</v>
      </c>
      <c r="AB2651" t="s">
        <v>13671</v>
      </c>
      <c r="AE2651">
        <v>-43.570554209999997</v>
      </c>
      <c r="AF2651">
        <v>172.5370671</v>
      </c>
      <c r="AG2651" s="175">
        <v>75</v>
      </c>
      <c r="AH2651" s="175">
        <v>25</v>
      </c>
      <c r="AI2651" s="175">
        <v>4</v>
      </c>
      <c r="AJ2651" s="175">
        <v>19</v>
      </c>
      <c r="AK2651" s="175">
        <v>22</v>
      </c>
      <c r="AL2651" s="175">
        <v>30</v>
      </c>
      <c r="AM2651" s="175">
        <v>16</v>
      </c>
      <c r="AN2651" s="175">
        <v>0</v>
      </c>
      <c r="AO2651" s="175">
        <v>91</v>
      </c>
      <c r="AP2651" s="175">
        <v>74</v>
      </c>
      <c r="AQ2651" s="175">
        <v>13</v>
      </c>
      <c r="AR2651" s="175">
        <v>3</v>
      </c>
      <c r="AS2651" s="175">
        <v>18</v>
      </c>
      <c r="AT2651" s="175">
        <v>2</v>
      </c>
    </row>
    <row r="2652" spans="1:46">
      <c r="A2652">
        <v>47134</v>
      </c>
      <c r="B2652" t="s">
        <v>15416</v>
      </c>
      <c r="C2652" t="s">
        <v>15417</v>
      </c>
      <c r="E2652" t="s">
        <v>15418</v>
      </c>
      <c r="G2652" t="s">
        <v>1931</v>
      </c>
      <c r="H2652" t="s">
        <v>449</v>
      </c>
      <c r="J2652" t="s">
        <v>4032</v>
      </c>
      <c r="K2652" t="s">
        <v>606</v>
      </c>
      <c r="M2652" t="s">
        <v>1382</v>
      </c>
      <c r="N2652" t="s">
        <v>643</v>
      </c>
      <c r="O2652" t="s">
        <v>1932</v>
      </c>
      <c r="P2652" t="s">
        <v>610</v>
      </c>
      <c r="Q2652" t="s">
        <v>514</v>
      </c>
      <c r="R2652" t="s">
        <v>1841</v>
      </c>
      <c r="S2652" t="s">
        <v>1923</v>
      </c>
      <c r="T2652" t="s">
        <v>1568</v>
      </c>
      <c r="U2652">
        <v>221001</v>
      </c>
      <c r="V2652" t="s">
        <v>1931</v>
      </c>
      <c r="W2652" t="s">
        <v>1933</v>
      </c>
      <c r="X2652" t="s">
        <v>15419</v>
      </c>
      <c r="Y2652" t="s">
        <v>15420</v>
      </c>
      <c r="AA2652" t="s">
        <v>15421</v>
      </c>
      <c r="AB2652" t="s">
        <v>15422</v>
      </c>
      <c r="AC2652">
        <v>99108</v>
      </c>
      <c r="AD2652" t="s">
        <v>1926</v>
      </c>
      <c r="AE2652">
        <v>-39.428387039999997</v>
      </c>
      <c r="AF2652">
        <v>174.29743762000001</v>
      </c>
      <c r="AG2652" s="175">
        <v>44</v>
      </c>
      <c r="AH2652" s="175">
        <v>12</v>
      </c>
      <c r="AI2652" s="175">
        <v>2</v>
      </c>
      <c r="AJ2652" s="175">
        <v>10</v>
      </c>
      <c r="AK2652" s="175">
        <v>19</v>
      </c>
      <c r="AL2652" s="175">
        <v>9</v>
      </c>
      <c r="AM2652" s="175">
        <v>17</v>
      </c>
      <c r="AN2652" s="175">
        <v>2</v>
      </c>
      <c r="AO2652" s="175">
        <v>59</v>
      </c>
      <c r="AP2652" s="175">
        <v>59</v>
      </c>
      <c r="AQ2652" s="175">
        <v>4</v>
      </c>
      <c r="AR2652" s="175">
        <v>0</v>
      </c>
      <c r="AS2652" s="175">
        <v>3</v>
      </c>
      <c r="AT2652" s="175">
        <v>0</v>
      </c>
    </row>
    <row r="2653" spans="1:46">
      <c r="A2653">
        <v>47135</v>
      </c>
      <c r="B2653" t="s">
        <v>15423</v>
      </c>
      <c r="C2653" t="s">
        <v>15424</v>
      </c>
      <c r="D2653" t="s">
        <v>15425</v>
      </c>
      <c r="E2653" t="s">
        <v>15426</v>
      </c>
      <c r="F2653" t="s">
        <v>1397</v>
      </c>
      <c r="G2653" t="s">
        <v>1381</v>
      </c>
      <c r="H2653" t="s">
        <v>449</v>
      </c>
      <c r="J2653" t="s">
        <v>4032</v>
      </c>
      <c r="K2653" t="s">
        <v>606</v>
      </c>
      <c r="M2653" t="s">
        <v>1382</v>
      </c>
      <c r="N2653" t="s">
        <v>657</v>
      </c>
      <c r="O2653" t="s">
        <v>1383</v>
      </c>
      <c r="P2653" t="s">
        <v>739</v>
      </c>
      <c r="Q2653" t="s">
        <v>510</v>
      </c>
      <c r="R2653" t="s">
        <v>1384</v>
      </c>
      <c r="S2653" t="s">
        <v>1396</v>
      </c>
      <c r="T2653" t="s">
        <v>1320</v>
      </c>
      <c r="U2653">
        <v>177500</v>
      </c>
      <c r="V2653" t="s">
        <v>1455</v>
      </c>
      <c r="W2653" t="s">
        <v>1398</v>
      </c>
      <c r="X2653" t="s">
        <v>15427</v>
      </c>
      <c r="Y2653" t="s">
        <v>4176</v>
      </c>
      <c r="AA2653" t="s">
        <v>4052</v>
      </c>
      <c r="AB2653" t="s">
        <v>15428</v>
      </c>
      <c r="AE2653">
        <v>-37.749331769999998</v>
      </c>
      <c r="AF2653">
        <v>175.27988268999999</v>
      </c>
      <c r="AG2653" s="175">
        <v>80</v>
      </c>
      <c r="AH2653" s="175">
        <v>24</v>
      </c>
      <c r="AI2653" s="175">
        <v>4</v>
      </c>
      <c r="AJ2653" s="175">
        <v>13</v>
      </c>
      <c r="AK2653" s="175">
        <v>25</v>
      </c>
      <c r="AL2653" s="175">
        <v>23</v>
      </c>
      <c r="AM2653" s="175">
        <v>20</v>
      </c>
      <c r="AN2653" s="175">
        <v>0</v>
      </c>
      <c r="AO2653" s="175">
        <v>85</v>
      </c>
      <c r="AP2653" s="175">
        <v>64</v>
      </c>
      <c r="AQ2653" s="175">
        <v>26</v>
      </c>
      <c r="AR2653" s="175">
        <v>6</v>
      </c>
      <c r="AS2653" s="175">
        <v>20</v>
      </c>
      <c r="AT2653" s="175">
        <v>5</v>
      </c>
    </row>
    <row r="2654" spans="1:46">
      <c r="A2654">
        <v>47136</v>
      </c>
      <c r="B2654" t="s">
        <v>15429</v>
      </c>
      <c r="C2654" t="s">
        <v>15430</v>
      </c>
      <c r="D2654" t="s">
        <v>15431</v>
      </c>
      <c r="E2654" t="s">
        <v>15432</v>
      </c>
      <c r="G2654" t="s">
        <v>2792</v>
      </c>
      <c r="H2654" t="s">
        <v>449</v>
      </c>
      <c r="J2654" t="s">
        <v>4032</v>
      </c>
      <c r="K2654" t="s">
        <v>606</v>
      </c>
      <c r="M2654" t="s">
        <v>2366</v>
      </c>
      <c r="N2654" t="s">
        <v>657</v>
      </c>
      <c r="O2654" t="s">
        <v>2753</v>
      </c>
      <c r="P2654" t="s">
        <v>1347</v>
      </c>
      <c r="Q2654" t="s">
        <v>516</v>
      </c>
      <c r="R2654" t="s">
        <v>2368</v>
      </c>
      <c r="S2654" t="s">
        <v>2148</v>
      </c>
      <c r="T2654" t="s">
        <v>1568</v>
      </c>
      <c r="U2654">
        <v>237300</v>
      </c>
      <c r="V2654" t="s">
        <v>15433</v>
      </c>
      <c r="W2654" t="s">
        <v>2755</v>
      </c>
      <c r="X2654" t="s">
        <v>15434</v>
      </c>
      <c r="Y2654" t="s">
        <v>15435</v>
      </c>
      <c r="AA2654" t="s">
        <v>15436</v>
      </c>
      <c r="AB2654" t="s">
        <v>15437</v>
      </c>
      <c r="AE2654">
        <v>-40.896679069999998</v>
      </c>
      <c r="AF2654">
        <v>174.9865466</v>
      </c>
      <c r="AG2654" s="175">
        <v>50</v>
      </c>
      <c r="AH2654" s="175">
        <v>10</v>
      </c>
      <c r="AI2654" s="175">
        <v>0</v>
      </c>
      <c r="AJ2654" s="175">
        <v>0</v>
      </c>
      <c r="AK2654" s="175">
        <v>6</v>
      </c>
      <c r="AL2654" s="175">
        <v>14</v>
      </c>
      <c r="AM2654" s="175">
        <v>8</v>
      </c>
      <c r="AN2654" s="175">
        <v>1</v>
      </c>
      <c r="AO2654" s="175">
        <v>29</v>
      </c>
      <c r="AP2654" s="175">
        <v>15</v>
      </c>
      <c r="AQ2654" s="175">
        <v>6</v>
      </c>
      <c r="AR2654" s="175">
        <v>1</v>
      </c>
      <c r="AS2654" s="175">
        <v>8</v>
      </c>
      <c r="AT2654" s="175">
        <v>8</v>
      </c>
    </row>
    <row r="2655" spans="1:46">
      <c r="A2655">
        <v>47138</v>
      </c>
      <c r="B2655" t="s">
        <v>15438</v>
      </c>
      <c r="C2655" t="s">
        <v>14647</v>
      </c>
      <c r="D2655" t="s">
        <v>15439</v>
      </c>
      <c r="E2655" t="s">
        <v>15440</v>
      </c>
      <c r="F2655" t="s">
        <v>4123</v>
      </c>
      <c r="G2655" t="s">
        <v>737</v>
      </c>
      <c r="H2655" t="s">
        <v>450</v>
      </c>
      <c r="J2655" t="s">
        <v>4032</v>
      </c>
      <c r="K2655" t="s">
        <v>606</v>
      </c>
      <c r="M2655" t="s">
        <v>607</v>
      </c>
      <c r="N2655" t="s">
        <v>657</v>
      </c>
      <c r="O2655" t="s">
        <v>833</v>
      </c>
      <c r="P2655" t="s">
        <v>739</v>
      </c>
      <c r="Q2655" t="s">
        <v>467</v>
      </c>
      <c r="R2655" t="s">
        <v>724</v>
      </c>
      <c r="S2655" t="s">
        <v>767</v>
      </c>
      <c r="T2655" t="s">
        <v>613</v>
      </c>
      <c r="U2655">
        <v>123600</v>
      </c>
      <c r="V2655" t="s">
        <v>1281</v>
      </c>
      <c r="W2655" t="s">
        <v>826</v>
      </c>
      <c r="X2655" t="s">
        <v>15441</v>
      </c>
      <c r="Y2655" t="s">
        <v>15440</v>
      </c>
      <c r="Z2655" t="s">
        <v>4123</v>
      </c>
      <c r="AA2655" t="s">
        <v>6846</v>
      </c>
      <c r="AE2655">
        <v>-36.760098419999998</v>
      </c>
      <c r="AF2655">
        <v>174.75515003999999</v>
      </c>
      <c r="AG2655" s="175">
        <v>80</v>
      </c>
      <c r="AH2655" s="175">
        <v>80</v>
      </c>
      <c r="AI2655" s="175">
        <v>12</v>
      </c>
      <c r="AJ2655" s="175">
        <v>10</v>
      </c>
      <c r="AK2655" s="175">
        <v>13</v>
      </c>
      <c r="AL2655" s="175">
        <v>9</v>
      </c>
      <c r="AM2655" s="175">
        <v>7</v>
      </c>
      <c r="AN2655" s="175">
        <v>0</v>
      </c>
      <c r="AO2655" s="175">
        <v>51</v>
      </c>
      <c r="AP2655" s="175">
        <v>5</v>
      </c>
      <c r="AQ2655" s="175">
        <v>0</v>
      </c>
      <c r="AR2655" s="175">
        <v>0</v>
      </c>
      <c r="AS2655" s="175">
        <v>51</v>
      </c>
      <c r="AT2655" s="175">
        <v>0</v>
      </c>
    </row>
    <row r="2656" spans="1:46">
      <c r="A2656">
        <v>47142</v>
      </c>
      <c r="B2656" t="s">
        <v>15442</v>
      </c>
      <c r="C2656" t="s">
        <v>15443</v>
      </c>
      <c r="D2656" t="s">
        <v>15444</v>
      </c>
      <c r="E2656" t="s">
        <v>15445</v>
      </c>
      <c r="F2656" t="s">
        <v>3777</v>
      </c>
      <c r="G2656" t="s">
        <v>737</v>
      </c>
      <c r="H2656" t="s">
        <v>449</v>
      </c>
      <c r="J2656" t="s">
        <v>4032</v>
      </c>
      <c r="K2656" t="s">
        <v>606</v>
      </c>
      <c r="M2656" t="s">
        <v>607</v>
      </c>
      <c r="N2656" t="s">
        <v>657</v>
      </c>
      <c r="O2656" t="s">
        <v>1253</v>
      </c>
      <c r="P2656" t="s">
        <v>739</v>
      </c>
      <c r="Q2656" t="s">
        <v>467</v>
      </c>
      <c r="R2656" t="s">
        <v>724</v>
      </c>
      <c r="S2656" t="s">
        <v>740</v>
      </c>
      <c r="T2656" t="s">
        <v>613</v>
      </c>
      <c r="U2656">
        <v>117300</v>
      </c>
      <c r="V2656" t="s">
        <v>5769</v>
      </c>
      <c r="W2656" t="s">
        <v>742</v>
      </c>
      <c r="X2656" t="s">
        <v>15446</v>
      </c>
      <c r="Y2656" t="s">
        <v>15447</v>
      </c>
      <c r="Z2656" t="s">
        <v>3777</v>
      </c>
      <c r="AA2656" t="s">
        <v>4168</v>
      </c>
      <c r="AB2656" t="s">
        <v>15443</v>
      </c>
      <c r="AE2656">
        <v>-36.72575569</v>
      </c>
      <c r="AF2656">
        <v>174.69790019999999</v>
      </c>
      <c r="AG2656" s="175">
        <v>80</v>
      </c>
      <c r="AH2656" s="175">
        <v>20</v>
      </c>
      <c r="AI2656" s="175">
        <v>0</v>
      </c>
      <c r="AJ2656" s="175">
        <v>6</v>
      </c>
      <c r="AK2656" s="175">
        <v>13</v>
      </c>
      <c r="AL2656" s="175">
        <v>15</v>
      </c>
      <c r="AM2656" s="175">
        <v>29</v>
      </c>
      <c r="AN2656" s="175">
        <v>0</v>
      </c>
      <c r="AO2656" s="175">
        <v>63</v>
      </c>
      <c r="AP2656" s="175">
        <v>3</v>
      </c>
      <c r="AQ2656" s="175">
        <v>3</v>
      </c>
      <c r="AR2656" s="175">
        <v>0</v>
      </c>
      <c r="AS2656" s="175">
        <v>57</v>
      </c>
      <c r="AT2656" s="175">
        <v>2</v>
      </c>
    </row>
    <row r="2657" spans="1:46">
      <c r="A2657">
        <v>47143</v>
      </c>
      <c r="B2657" t="s">
        <v>8237</v>
      </c>
      <c r="E2657" t="s">
        <v>15448</v>
      </c>
      <c r="F2657" t="s">
        <v>15449</v>
      </c>
      <c r="G2657" t="s">
        <v>737</v>
      </c>
      <c r="H2657" t="s">
        <v>449</v>
      </c>
      <c r="J2657" t="s">
        <v>4032</v>
      </c>
      <c r="K2657" t="s">
        <v>606</v>
      </c>
      <c r="M2657" t="s">
        <v>607</v>
      </c>
      <c r="N2657" t="s">
        <v>625</v>
      </c>
      <c r="O2657" t="s">
        <v>933</v>
      </c>
      <c r="P2657" t="s">
        <v>739</v>
      </c>
      <c r="Q2657" t="s">
        <v>467</v>
      </c>
      <c r="R2657" t="s">
        <v>814</v>
      </c>
      <c r="S2657" t="s">
        <v>934</v>
      </c>
      <c r="T2657" t="s">
        <v>794</v>
      </c>
      <c r="U2657">
        <v>148600</v>
      </c>
      <c r="V2657" t="s">
        <v>14379</v>
      </c>
      <c r="W2657" t="s">
        <v>817</v>
      </c>
      <c r="X2657" t="s">
        <v>8241</v>
      </c>
      <c r="Y2657" t="s">
        <v>8242</v>
      </c>
      <c r="Z2657" t="s">
        <v>1120</v>
      </c>
      <c r="AA2657" t="s">
        <v>7439</v>
      </c>
      <c r="AB2657" t="s">
        <v>8238</v>
      </c>
      <c r="AE2657">
        <v>-36.952372599999997</v>
      </c>
      <c r="AF2657">
        <v>174.79771721</v>
      </c>
      <c r="AG2657" s="175">
        <v>70</v>
      </c>
      <c r="AH2657" s="175">
        <v>20</v>
      </c>
      <c r="AI2657" s="175">
        <v>2</v>
      </c>
      <c r="AJ2657" s="175">
        <v>11</v>
      </c>
      <c r="AK2657" s="175">
        <v>10</v>
      </c>
      <c r="AL2657" s="175">
        <v>9</v>
      </c>
      <c r="AM2657" s="175">
        <v>9</v>
      </c>
      <c r="AN2657" s="175">
        <v>0</v>
      </c>
      <c r="AO2657" s="175">
        <v>41</v>
      </c>
      <c r="AP2657" s="175">
        <v>5</v>
      </c>
      <c r="AQ2657" s="175">
        <v>4</v>
      </c>
      <c r="AR2657" s="175">
        <v>20</v>
      </c>
      <c r="AS2657" s="175">
        <v>17</v>
      </c>
      <c r="AT2657" s="175">
        <v>1</v>
      </c>
    </row>
    <row r="2658" spans="1:46">
      <c r="A2658">
        <v>47144</v>
      </c>
      <c r="B2658" t="s">
        <v>15450</v>
      </c>
      <c r="C2658" t="s">
        <v>15451</v>
      </c>
      <c r="E2658" t="s">
        <v>15452</v>
      </c>
      <c r="F2658" t="s">
        <v>2119</v>
      </c>
      <c r="G2658" t="s">
        <v>2055</v>
      </c>
      <c r="H2658" t="s">
        <v>449</v>
      </c>
      <c r="J2658" t="s">
        <v>4032</v>
      </c>
      <c r="K2658" t="s">
        <v>606</v>
      </c>
      <c r="M2658" t="s">
        <v>1382</v>
      </c>
      <c r="N2658" t="s">
        <v>657</v>
      </c>
      <c r="O2658" t="s">
        <v>2037</v>
      </c>
      <c r="P2658" t="s">
        <v>670</v>
      </c>
      <c r="Q2658" t="s">
        <v>553</v>
      </c>
      <c r="R2658" t="s">
        <v>1841</v>
      </c>
      <c r="S2658" t="s">
        <v>2055</v>
      </c>
      <c r="T2658" t="s">
        <v>1568</v>
      </c>
      <c r="U2658">
        <v>231500</v>
      </c>
      <c r="V2658" t="s">
        <v>2120</v>
      </c>
      <c r="W2658" t="s">
        <v>2038</v>
      </c>
      <c r="X2658" t="s">
        <v>15453</v>
      </c>
      <c r="Y2658" t="s">
        <v>4176</v>
      </c>
      <c r="AA2658" t="s">
        <v>4052</v>
      </c>
      <c r="AB2658" t="s">
        <v>15451</v>
      </c>
      <c r="AC2658">
        <v>99052</v>
      </c>
      <c r="AD2658" t="s">
        <v>2043</v>
      </c>
      <c r="AE2658">
        <v>-40.343312740000002</v>
      </c>
      <c r="AF2658">
        <v>175.64422655999999</v>
      </c>
      <c r="AG2658" s="175">
        <v>100</v>
      </c>
      <c r="AH2658" s="175">
        <v>30</v>
      </c>
      <c r="AI2658" s="175">
        <v>13</v>
      </c>
      <c r="AJ2658" s="175">
        <v>16</v>
      </c>
      <c r="AK2658" s="175">
        <v>23</v>
      </c>
      <c r="AL2658" s="175">
        <v>20</v>
      </c>
      <c r="AM2658" s="175">
        <v>16</v>
      </c>
      <c r="AN2658" s="175">
        <v>0</v>
      </c>
      <c r="AO2658" s="175">
        <v>88</v>
      </c>
      <c r="AP2658" s="175">
        <v>74</v>
      </c>
      <c r="AQ2658" s="175">
        <v>21</v>
      </c>
      <c r="AR2658" s="175">
        <v>2</v>
      </c>
      <c r="AS2658" s="175">
        <v>6</v>
      </c>
      <c r="AT2658" s="175">
        <v>0</v>
      </c>
    </row>
    <row r="2659" spans="1:46">
      <c r="A2659">
        <v>47147</v>
      </c>
      <c r="B2659" t="s">
        <v>15454</v>
      </c>
      <c r="C2659" t="s">
        <v>13991</v>
      </c>
      <c r="E2659" t="s">
        <v>13987</v>
      </c>
      <c r="F2659" t="s">
        <v>13988</v>
      </c>
      <c r="G2659" t="s">
        <v>3569</v>
      </c>
      <c r="H2659" t="s">
        <v>450</v>
      </c>
      <c r="J2659" t="s">
        <v>4032</v>
      </c>
      <c r="K2659" t="s">
        <v>606</v>
      </c>
      <c r="M2659" t="s">
        <v>2366</v>
      </c>
      <c r="N2659" t="s">
        <v>657</v>
      </c>
      <c r="O2659" t="s">
        <v>3568</v>
      </c>
      <c r="P2659" t="s">
        <v>670</v>
      </c>
      <c r="Q2659" t="s">
        <v>523</v>
      </c>
      <c r="R2659" t="s">
        <v>3410</v>
      </c>
      <c r="S2659" t="s">
        <v>3569</v>
      </c>
      <c r="T2659" t="s">
        <v>2526</v>
      </c>
      <c r="U2659">
        <v>361300</v>
      </c>
      <c r="V2659" t="s">
        <v>13988</v>
      </c>
      <c r="W2659" t="s">
        <v>1734</v>
      </c>
      <c r="X2659" t="s">
        <v>13989</v>
      </c>
      <c r="Y2659" t="s">
        <v>13990</v>
      </c>
      <c r="Z2659" t="s">
        <v>3656</v>
      </c>
      <c r="AA2659" t="s">
        <v>11966</v>
      </c>
      <c r="AB2659" t="s">
        <v>13991</v>
      </c>
      <c r="AE2659">
        <v>-46.400447900000003</v>
      </c>
      <c r="AF2659">
        <v>168.34700028</v>
      </c>
      <c r="AG2659" s="175">
        <v>100</v>
      </c>
      <c r="AH2659" s="175">
        <v>100</v>
      </c>
      <c r="AI2659" s="175">
        <v>4</v>
      </c>
      <c r="AJ2659" s="175">
        <v>21</v>
      </c>
      <c r="AK2659" s="175">
        <v>22</v>
      </c>
      <c r="AL2659" s="175">
        <v>17</v>
      </c>
      <c r="AM2659" s="175">
        <v>16</v>
      </c>
      <c r="AN2659" s="175">
        <v>1</v>
      </c>
      <c r="AO2659" s="175">
        <v>81</v>
      </c>
      <c r="AP2659" s="175">
        <v>69</v>
      </c>
      <c r="AQ2659" s="175">
        <v>7</v>
      </c>
      <c r="AR2659" s="175">
        <v>2</v>
      </c>
      <c r="AS2659" s="175">
        <v>10</v>
      </c>
      <c r="AT2659" s="175">
        <v>4</v>
      </c>
    </row>
    <row r="2660" spans="1:46">
      <c r="A2660">
        <v>47148</v>
      </c>
      <c r="B2660" t="s">
        <v>15455</v>
      </c>
      <c r="C2660" t="s">
        <v>15456</v>
      </c>
      <c r="E2660" t="s">
        <v>15457</v>
      </c>
      <c r="G2660" t="s">
        <v>1604</v>
      </c>
      <c r="H2660" t="s">
        <v>449</v>
      </c>
      <c r="J2660" t="s">
        <v>4032</v>
      </c>
      <c r="K2660" t="s">
        <v>606</v>
      </c>
      <c r="M2660" t="s">
        <v>1382</v>
      </c>
      <c r="N2660" t="s">
        <v>625</v>
      </c>
      <c r="O2660" t="s">
        <v>1605</v>
      </c>
      <c r="P2660" t="s">
        <v>670</v>
      </c>
      <c r="Q2660" t="s">
        <v>511</v>
      </c>
      <c r="R2660" t="s">
        <v>1555</v>
      </c>
      <c r="S2660" t="s">
        <v>1604</v>
      </c>
      <c r="T2660" t="s">
        <v>1557</v>
      </c>
      <c r="U2660">
        <v>200100</v>
      </c>
      <c r="V2660" t="s">
        <v>8555</v>
      </c>
      <c r="W2660" t="s">
        <v>1606</v>
      </c>
      <c r="X2660" t="s">
        <v>10689</v>
      </c>
      <c r="Y2660" t="s">
        <v>10690</v>
      </c>
      <c r="Z2660" t="s">
        <v>1450</v>
      </c>
      <c r="AA2660" t="s">
        <v>8584</v>
      </c>
      <c r="AB2660" t="s">
        <v>10691</v>
      </c>
      <c r="AE2660">
        <v>-38.143847659999999</v>
      </c>
      <c r="AF2660">
        <v>176.25480311000001</v>
      </c>
      <c r="AG2660" s="175">
        <v>40</v>
      </c>
      <c r="AH2660" s="175">
        <v>10</v>
      </c>
      <c r="AI2660" s="175">
        <v>0</v>
      </c>
      <c r="AJ2660" s="175">
        <v>0</v>
      </c>
      <c r="AK2660" s="175">
        <v>2</v>
      </c>
      <c r="AL2660" s="175">
        <v>12</v>
      </c>
      <c r="AM2660" s="175">
        <v>12</v>
      </c>
      <c r="AN2660" s="175">
        <v>0</v>
      </c>
      <c r="AO2660" s="175">
        <v>26</v>
      </c>
      <c r="AP2660" s="175">
        <v>0</v>
      </c>
      <c r="AQ2660" s="175">
        <v>4</v>
      </c>
      <c r="AR2660" s="175">
        <v>2</v>
      </c>
      <c r="AS2660" s="175">
        <v>19</v>
      </c>
      <c r="AT2660" s="175">
        <v>1</v>
      </c>
    </row>
    <row r="2661" spans="1:46">
      <c r="A2661">
        <v>47151</v>
      </c>
      <c r="B2661" t="s">
        <v>15458</v>
      </c>
      <c r="C2661" t="s">
        <v>11942</v>
      </c>
      <c r="D2661" t="s">
        <v>12417</v>
      </c>
      <c r="E2661" t="s">
        <v>12418</v>
      </c>
      <c r="G2661" t="s">
        <v>10974</v>
      </c>
      <c r="H2661" t="s">
        <v>450</v>
      </c>
      <c r="J2661" t="s">
        <v>4032</v>
      </c>
      <c r="K2661" t="s">
        <v>606</v>
      </c>
      <c r="M2661" t="s">
        <v>2366</v>
      </c>
      <c r="N2661" t="s">
        <v>4586</v>
      </c>
      <c r="O2661" t="s">
        <v>3281</v>
      </c>
      <c r="P2661" t="s">
        <v>1347</v>
      </c>
      <c r="Q2661" t="s">
        <v>521</v>
      </c>
      <c r="R2661" t="s">
        <v>3017</v>
      </c>
      <c r="S2661" t="s">
        <v>3252</v>
      </c>
      <c r="T2661" t="s">
        <v>2526</v>
      </c>
      <c r="U2661">
        <v>334801</v>
      </c>
      <c r="V2661" t="s">
        <v>12419</v>
      </c>
      <c r="W2661" t="s">
        <v>10977</v>
      </c>
      <c r="X2661" t="s">
        <v>12420</v>
      </c>
      <c r="Y2661" t="s">
        <v>11941</v>
      </c>
      <c r="AA2661" t="s">
        <v>10980</v>
      </c>
      <c r="AB2661" t="s">
        <v>11942</v>
      </c>
      <c r="AE2661">
        <v>-43.586512370000001</v>
      </c>
      <c r="AF2661">
        <v>172.37460179999999</v>
      </c>
      <c r="AG2661" s="175">
        <v>80</v>
      </c>
      <c r="AH2661" s="175">
        <v>80</v>
      </c>
      <c r="AI2661" s="175">
        <v>2</v>
      </c>
      <c r="AJ2661" s="175">
        <v>9</v>
      </c>
      <c r="AK2661" s="175">
        <v>12</v>
      </c>
      <c r="AL2661" s="175">
        <v>12</v>
      </c>
      <c r="AM2661" s="175">
        <v>3</v>
      </c>
      <c r="AN2661" s="175">
        <v>0</v>
      </c>
      <c r="AO2661" s="175">
        <v>38</v>
      </c>
      <c r="AP2661" s="175">
        <v>31</v>
      </c>
      <c r="AQ2661" s="175">
        <v>5</v>
      </c>
      <c r="AR2661" s="175">
        <v>0</v>
      </c>
      <c r="AS2661" s="175">
        <v>7</v>
      </c>
      <c r="AT2661" s="175">
        <v>0</v>
      </c>
    </row>
    <row r="2662" spans="1:46">
      <c r="A2662">
        <v>47152</v>
      </c>
      <c r="B2662" t="s">
        <v>15459</v>
      </c>
      <c r="C2662" t="s">
        <v>15460</v>
      </c>
      <c r="E2662" t="s">
        <v>15461</v>
      </c>
      <c r="F2662" t="s">
        <v>618</v>
      </c>
      <c r="G2662" t="s">
        <v>668</v>
      </c>
      <c r="H2662" t="s">
        <v>449</v>
      </c>
      <c r="J2662" t="s">
        <v>4032</v>
      </c>
      <c r="K2662" t="s">
        <v>606</v>
      </c>
      <c r="M2662" t="s">
        <v>607</v>
      </c>
      <c r="N2662" t="s">
        <v>657</v>
      </c>
      <c r="O2662" t="s">
        <v>669</v>
      </c>
      <c r="P2662" t="s">
        <v>670</v>
      </c>
      <c r="Q2662" t="s">
        <v>509</v>
      </c>
      <c r="R2662" t="s">
        <v>611</v>
      </c>
      <c r="S2662" t="s">
        <v>671</v>
      </c>
      <c r="T2662" t="s">
        <v>613</v>
      </c>
      <c r="U2662">
        <v>106000</v>
      </c>
      <c r="V2662" t="s">
        <v>684</v>
      </c>
      <c r="W2662" t="s">
        <v>673</v>
      </c>
      <c r="X2662" t="s">
        <v>15462</v>
      </c>
      <c r="Y2662" t="s">
        <v>15463</v>
      </c>
      <c r="Z2662" t="s">
        <v>5285</v>
      </c>
      <c r="AA2662" t="s">
        <v>4596</v>
      </c>
      <c r="AE2662">
        <v>-35.682387540000001</v>
      </c>
      <c r="AF2662">
        <v>174.30416423</v>
      </c>
      <c r="AG2662" s="175">
        <v>30</v>
      </c>
      <c r="AH2662" s="175">
        <v>0</v>
      </c>
      <c r="AI2662" s="175">
        <v>0</v>
      </c>
      <c r="AJ2662" s="175">
        <v>0</v>
      </c>
      <c r="AK2662" s="175">
        <v>8</v>
      </c>
      <c r="AL2662" s="175">
        <v>7</v>
      </c>
      <c r="AM2662" s="175">
        <v>7</v>
      </c>
      <c r="AN2662" s="175">
        <v>1</v>
      </c>
      <c r="AO2662" s="175">
        <v>23</v>
      </c>
      <c r="AP2662" s="175">
        <v>17</v>
      </c>
      <c r="AQ2662" s="175">
        <v>12</v>
      </c>
      <c r="AR2662" s="175">
        <v>0</v>
      </c>
      <c r="AS2662" s="175">
        <v>2</v>
      </c>
      <c r="AT2662" s="175">
        <v>1</v>
      </c>
    </row>
    <row r="2663" spans="1:46">
      <c r="A2663">
        <v>47154</v>
      </c>
      <c r="B2663" t="s">
        <v>15464</v>
      </c>
      <c r="C2663" t="s">
        <v>15465</v>
      </c>
      <c r="D2663" t="s">
        <v>15466</v>
      </c>
      <c r="E2663" t="s">
        <v>15467</v>
      </c>
      <c r="F2663" t="s">
        <v>1380</v>
      </c>
      <c r="G2663" t="s">
        <v>1381</v>
      </c>
      <c r="H2663" t="s">
        <v>449</v>
      </c>
      <c r="J2663" t="s">
        <v>4032</v>
      </c>
      <c r="K2663" t="s">
        <v>606</v>
      </c>
      <c r="M2663" t="s">
        <v>1382</v>
      </c>
      <c r="N2663" t="s">
        <v>657</v>
      </c>
      <c r="O2663" t="s">
        <v>1383</v>
      </c>
      <c r="P2663" t="s">
        <v>739</v>
      </c>
      <c r="Q2663" t="s">
        <v>510</v>
      </c>
      <c r="R2663" t="s">
        <v>1384</v>
      </c>
      <c r="S2663" t="s">
        <v>1385</v>
      </c>
      <c r="T2663" t="s">
        <v>1320</v>
      </c>
      <c r="U2663">
        <v>179401</v>
      </c>
      <c r="V2663" t="s">
        <v>1380</v>
      </c>
      <c r="W2663" t="s">
        <v>1387</v>
      </c>
      <c r="X2663" t="s">
        <v>15468</v>
      </c>
      <c r="Y2663" t="s">
        <v>15467</v>
      </c>
      <c r="Z2663" t="s">
        <v>1380</v>
      </c>
      <c r="AA2663" t="s">
        <v>8714</v>
      </c>
      <c r="AB2663" t="s">
        <v>15469</v>
      </c>
      <c r="AE2663">
        <v>-37.786135450000003</v>
      </c>
      <c r="AF2663">
        <v>175.27610082000001</v>
      </c>
      <c r="AG2663" s="175">
        <v>80</v>
      </c>
      <c r="AH2663" s="175">
        <v>30</v>
      </c>
      <c r="AI2663" s="175">
        <v>2</v>
      </c>
      <c r="AJ2663" s="175">
        <v>20</v>
      </c>
      <c r="AK2663" s="175">
        <v>22</v>
      </c>
      <c r="AL2663" s="175">
        <v>16</v>
      </c>
      <c r="AM2663" s="175">
        <v>15</v>
      </c>
      <c r="AN2663" s="175">
        <v>1</v>
      </c>
      <c r="AO2663" s="175">
        <v>76</v>
      </c>
      <c r="AP2663" s="175">
        <v>64</v>
      </c>
      <c r="AQ2663" s="175">
        <v>12</v>
      </c>
      <c r="AR2663" s="175">
        <v>5</v>
      </c>
      <c r="AS2663" s="175">
        <v>13</v>
      </c>
      <c r="AT2663" s="175">
        <v>2</v>
      </c>
    </row>
    <row r="2664" spans="1:46">
      <c r="A2664">
        <v>47155</v>
      </c>
      <c r="B2664" t="s">
        <v>15470</v>
      </c>
      <c r="C2664" t="s">
        <v>15471</v>
      </c>
      <c r="E2664" t="s">
        <v>15472</v>
      </c>
      <c r="G2664" t="s">
        <v>3584</v>
      </c>
      <c r="H2664" t="s">
        <v>449</v>
      </c>
      <c r="J2664" t="s">
        <v>4032</v>
      </c>
      <c r="K2664" t="s">
        <v>606</v>
      </c>
      <c r="M2664" t="s">
        <v>2366</v>
      </c>
      <c r="N2664" t="s">
        <v>657</v>
      </c>
      <c r="O2664" t="s">
        <v>3585</v>
      </c>
      <c r="P2664" t="s">
        <v>610</v>
      </c>
      <c r="Q2664" t="s">
        <v>523</v>
      </c>
      <c r="R2664" t="s">
        <v>3410</v>
      </c>
      <c r="S2664" t="s">
        <v>3433</v>
      </c>
      <c r="T2664" t="s">
        <v>2526</v>
      </c>
      <c r="U2664">
        <v>359900</v>
      </c>
      <c r="V2664" t="s">
        <v>11401</v>
      </c>
      <c r="W2664" t="s">
        <v>3587</v>
      </c>
      <c r="X2664" t="s">
        <v>15473</v>
      </c>
      <c r="Y2664" t="s">
        <v>15474</v>
      </c>
      <c r="Z2664" t="s">
        <v>3777</v>
      </c>
      <c r="AA2664" t="s">
        <v>4168</v>
      </c>
      <c r="AB2664" t="s">
        <v>15475</v>
      </c>
      <c r="AC2664">
        <v>99055</v>
      </c>
      <c r="AD2664" t="s">
        <v>3588</v>
      </c>
      <c r="AE2664">
        <v>-46.105363169999997</v>
      </c>
      <c r="AF2664">
        <v>168.93270620000001</v>
      </c>
      <c r="AG2664" s="175">
        <v>85</v>
      </c>
      <c r="AH2664" s="175">
        <v>30</v>
      </c>
      <c r="AI2664" s="175">
        <v>3</v>
      </c>
      <c r="AJ2664" s="175">
        <v>32</v>
      </c>
      <c r="AK2664" s="175">
        <v>28</v>
      </c>
      <c r="AL2664" s="175">
        <v>24</v>
      </c>
      <c r="AM2664" s="175">
        <v>22</v>
      </c>
      <c r="AN2664" s="175">
        <v>1</v>
      </c>
      <c r="AO2664" s="175">
        <v>110</v>
      </c>
      <c r="AP2664" s="175">
        <v>99</v>
      </c>
      <c r="AQ2664" s="175">
        <v>25</v>
      </c>
      <c r="AR2664" s="175">
        <v>1</v>
      </c>
      <c r="AS2664" s="175">
        <v>1</v>
      </c>
      <c r="AT2664" s="175">
        <v>7</v>
      </c>
    </row>
    <row r="2665" spans="1:46">
      <c r="A2665">
        <v>47156</v>
      </c>
      <c r="B2665" t="s">
        <v>15476</v>
      </c>
      <c r="C2665" t="s">
        <v>15477</v>
      </c>
      <c r="D2665" t="s">
        <v>15478</v>
      </c>
      <c r="E2665" t="s">
        <v>15479</v>
      </c>
      <c r="G2665" t="s">
        <v>2957</v>
      </c>
      <c r="H2665" t="s">
        <v>449</v>
      </c>
      <c r="J2665" t="s">
        <v>4032</v>
      </c>
      <c r="K2665" t="s">
        <v>606</v>
      </c>
      <c r="M2665" t="s">
        <v>2366</v>
      </c>
      <c r="N2665" t="s">
        <v>657</v>
      </c>
      <c r="O2665" t="s">
        <v>2944</v>
      </c>
      <c r="P2665" t="s">
        <v>1347</v>
      </c>
      <c r="Q2665" t="s">
        <v>517</v>
      </c>
      <c r="R2665" t="s">
        <v>2901</v>
      </c>
      <c r="S2665" t="s">
        <v>2930</v>
      </c>
      <c r="T2665" t="s">
        <v>2526</v>
      </c>
      <c r="U2665">
        <v>303200</v>
      </c>
      <c r="V2665" t="s">
        <v>2958</v>
      </c>
      <c r="W2665" t="s">
        <v>2959</v>
      </c>
      <c r="X2665" t="s">
        <v>15480</v>
      </c>
      <c r="Y2665" t="s">
        <v>15479</v>
      </c>
      <c r="AA2665" t="s">
        <v>11003</v>
      </c>
      <c r="AB2665" t="s">
        <v>15477</v>
      </c>
      <c r="AC2665">
        <v>99142</v>
      </c>
      <c r="AD2665" t="s">
        <v>2960</v>
      </c>
      <c r="AE2665">
        <v>-41.337542890000002</v>
      </c>
      <c r="AF2665">
        <v>173.20612826999999</v>
      </c>
      <c r="AG2665" s="175">
        <v>50</v>
      </c>
      <c r="AH2665" s="175">
        <v>15</v>
      </c>
      <c r="AI2665" s="175">
        <v>2</v>
      </c>
      <c r="AJ2665" s="175">
        <v>10</v>
      </c>
      <c r="AK2665" s="175">
        <v>13</v>
      </c>
      <c r="AL2665" s="175">
        <v>13</v>
      </c>
      <c r="AM2665" s="175">
        <v>14</v>
      </c>
      <c r="AN2665" s="175">
        <v>0</v>
      </c>
      <c r="AO2665" s="175">
        <v>52</v>
      </c>
      <c r="AP2665" s="175">
        <v>48</v>
      </c>
      <c r="AQ2665" s="175">
        <v>7</v>
      </c>
      <c r="AR2665" s="175">
        <v>0</v>
      </c>
      <c r="AS2665" s="175">
        <v>4</v>
      </c>
      <c r="AT2665" s="175">
        <v>1</v>
      </c>
    </row>
    <row r="2666" spans="1:46">
      <c r="A2666">
        <v>47162</v>
      </c>
      <c r="B2666" t="s">
        <v>15481</v>
      </c>
      <c r="C2666" t="s">
        <v>15482</v>
      </c>
      <c r="D2666" t="s">
        <v>15483</v>
      </c>
      <c r="E2666" t="s">
        <v>15484</v>
      </c>
      <c r="F2666" t="s">
        <v>4060</v>
      </c>
      <c r="G2666" t="s">
        <v>737</v>
      </c>
      <c r="H2666" t="s">
        <v>450</v>
      </c>
      <c r="I2666" t="s">
        <v>4233</v>
      </c>
      <c r="J2666" t="s">
        <v>4032</v>
      </c>
      <c r="K2666" t="s">
        <v>606</v>
      </c>
      <c r="M2666" t="s">
        <v>607</v>
      </c>
      <c r="N2666" t="s">
        <v>625</v>
      </c>
      <c r="O2666" t="s">
        <v>792</v>
      </c>
      <c r="P2666" t="s">
        <v>739</v>
      </c>
      <c r="Q2666" t="s">
        <v>467</v>
      </c>
      <c r="R2666" t="s">
        <v>814</v>
      </c>
      <c r="S2666" t="s">
        <v>863</v>
      </c>
      <c r="T2666" t="s">
        <v>794</v>
      </c>
      <c r="U2666">
        <v>152300</v>
      </c>
      <c r="V2666" t="s">
        <v>4060</v>
      </c>
      <c r="W2666" t="s">
        <v>796</v>
      </c>
      <c r="X2666" t="s">
        <v>15485</v>
      </c>
      <c r="Y2666" t="s">
        <v>15486</v>
      </c>
      <c r="Z2666" t="s">
        <v>863</v>
      </c>
      <c r="AA2666" t="s">
        <v>11881</v>
      </c>
      <c r="AE2666">
        <v>-36.937126280000001</v>
      </c>
      <c r="AF2666">
        <v>174.90266729999999</v>
      </c>
      <c r="AG2666" s="175">
        <v>100</v>
      </c>
      <c r="AH2666" s="175">
        <v>100</v>
      </c>
      <c r="AI2666" s="175">
        <v>20</v>
      </c>
      <c r="AJ2666" s="175">
        <v>20</v>
      </c>
      <c r="AK2666" s="175">
        <v>14</v>
      </c>
      <c r="AL2666" s="175">
        <v>14</v>
      </c>
      <c r="AM2666" s="175">
        <v>7</v>
      </c>
      <c r="AN2666" s="175">
        <v>4</v>
      </c>
      <c r="AO2666" s="175">
        <v>79</v>
      </c>
      <c r="AP2666" s="175">
        <v>0</v>
      </c>
      <c r="AQ2666" s="175">
        <v>0</v>
      </c>
      <c r="AR2666" s="175">
        <v>77</v>
      </c>
      <c r="AS2666" s="175">
        <v>2</v>
      </c>
      <c r="AT2666" s="175">
        <v>0</v>
      </c>
    </row>
    <row r="2667" spans="1:46">
      <c r="A2667">
        <v>47165</v>
      </c>
      <c r="B2667" t="s">
        <v>15487</v>
      </c>
      <c r="C2667" t="s">
        <v>15488</v>
      </c>
      <c r="D2667" t="s">
        <v>15489</v>
      </c>
      <c r="E2667" t="s">
        <v>15490</v>
      </c>
      <c r="F2667" t="s">
        <v>6211</v>
      </c>
      <c r="G2667" t="s">
        <v>737</v>
      </c>
      <c r="H2667" t="s">
        <v>449</v>
      </c>
      <c r="J2667" t="s">
        <v>4032</v>
      </c>
      <c r="K2667" t="s">
        <v>606</v>
      </c>
      <c r="M2667" t="s">
        <v>607</v>
      </c>
      <c r="N2667" t="s">
        <v>657</v>
      </c>
      <c r="O2667" t="s">
        <v>914</v>
      </c>
      <c r="P2667" t="s">
        <v>739</v>
      </c>
      <c r="Q2667" t="s">
        <v>467</v>
      </c>
      <c r="R2667" t="s">
        <v>793</v>
      </c>
      <c r="S2667" t="s">
        <v>890</v>
      </c>
      <c r="T2667" t="s">
        <v>794</v>
      </c>
      <c r="U2667">
        <v>142802</v>
      </c>
      <c r="V2667" t="s">
        <v>12623</v>
      </c>
      <c r="W2667" t="s">
        <v>892</v>
      </c>
      <c r="X2667" t="s">
        <v>4570</v>
      </c>
      <c r="Y2667" t="s">
        <v>15490</v>
      </c>
      <c r="Z2667" t="s">
        <v>6211</v>
      </c>
      <c r="AA2667" t="s">
        <v>6945</v>
      </c>
      <c r="AB2667" t="s">
        <v>4571</v>
      </c>
      <c r="AE2667">
        <v>-36.908406759999998</v>
      </c>
      <c r="AF2667">
        <v>174.78631741000001</v>
      </c>
      <c r="AG2667" s="175">
        <v>30</v>
      </c>
      <c r="AH2667" s="175">
        <v>10</v>
      </c>
      <c r="AI2667" s="175">
        <v>0</v>
      </c>
      <c r="AJ2667" s="175">
        <v>4</v>
      </c>
      <c r="AK2667" s="175">
        <v>13</v>
      </c>
      <c r="AL2667" s="175">
        <v>10</v>
      </c>
      <c r="AM2667" s="175">
        <v>10</v>
      </c>
      <c r="AN2667" s="175">
        <v>0</v>
      </c>
      <c r="AO2667" s="175">
        <v>37</v>
      </c>
      <c r="AP2667" s="175">
        <v>22</v>
      </c>
      <c r="AQ2667" s="175">
        <v>2</v>
      </c>
      <c r="AR2667" s="175">
        <v>1</v>
      </c>
      <c r="AS2667" s="175">
        <v>17</v>
      </c>
      <c r="AT2667" s="175">
        <v>2</v>
      </c>
    </row>
    <row r="2668" spans="1:46">
      <c r="A2668">
        <v>47166</v>
      </c>
      <c r="B2668" t="s">
        <v>15491</v>
      </c>
      <c r="C2668" t="s">
        <v>15492</v>
      </c>
      <c r="E2668" t="s">
        <v>15493</v>
      </c>
      <c r="F2668" t="s">
        <v>3246</v>
      </c>
      <c r="G2668" t="s">
        <v>3015</v>
      </c>
      <c r="H2668" t="s">
        <v>449</v>
      </c>
      <c r="J2668" t="s">
        <v>605</v>
      </c>
      <c r="K2668" t="s">
        <v>606</v>
      </c>
      <c r="M2668" t="s">
        <v>2366</v>
      </c>
      <c r="N2668" t="s">
        <v>657</v>
      </c>
      <c r="O2668" t="s">
        <v>3016</v>
      </c>
      <c r="P2668" t="s">
        <v>739</v>
      </c>
      <c r="Q2668" t="s">
        <v>521</v>
      </c>
      <c r="R2668" t="s">
        <v>3017</v>
      </c>
      <c r="S2668" t="s">
        <v>3030</v>
      </c>
      <c r="T2668" t="s">
        <v>2526</v>
      </c>
      <c r="U2668">
        <v>323800</v>
      </c>
      <c r="V2668" t="s">
        <v>3247</v>
      </c>
      <c r="W2668" t="s">
        <v>3143</v>
      </c>
      <c r="X2668" t="s">
        <v>10864</v>
      </c>
      <c r="Y2668" t="s">
        <v>4014</v>
      </c>
      <c r="Z2668" t="s">
        <v>4015</v>
      </c>
      <c r="AA2668" t="s">
        <v>4016</v>
      </c>
      <c r="AE2668">
        <v>-43.507358510000003</v>
      </c>
      <c r="AF2668">
        <v>172.63671153999999</v>
      </c>
      <c r="AG2668" s="175">
        <v>100</v>
      </c>
      <c r="AH2668" s="175">
        <v>25</v>
      </c>
      <c r="AI2668" s="175">
        <v>6</v>
      </c>
      <c r="AJ2668" s="175">
        <v>16</v>
      </c>
      <c r="AK2668" s="175">
        <v>21</v>
      </c>
      <c r="AL2668" s="175">
        <v>24</v>
      </c>
      <c r="AM2668" s="175">
        <v>32</v>
      </c>
      <c r="AN2668" s="175">
        <v>0</v>
      </c>
      <c r="AO2668" s="175">
        <v>99</v>
      </c>
      <c r="AP2668" s="175">
        <v>68</v>
      </c>
      <c r="AQ2668" s="175">
        <v>19</v>
      </c>
      <c r="AR2668" s="175">
        <v>4</v>
      </c>
      <c r="AS2668" s="175">
        <v>23</v>
      </c>
      <c r="AT2668" s="175">
        <v>10</v>
      </c>
    </row>
    <row r="2669" spans="1:46">
      <c r="A2669">
        <v>47168</v>
      </c>
      <c r="B2669" t="s">
        <v>15494</v>
      </c>
      <c r="C2669" t="s">
        <v>15495</v>
      </c>
      <c r="D2669" t="s">
        <v>15496</v>
      </c>
      <c r="E2669" t="s">
        <v>15497</v>
      </c>
      <c r="F2669" t="s">
        <v>811</v>
      </c>
      <c r="G2669" t="s">
        <v>737</v>
      </c>
      <c r="H2669" t="s">
        <v>449</v>
      </c>
      <c r="J2669" t="s">
        <v>605</v>
      </c>
      <c r="K2669" t="s">
        <v>606</v>
      </c>
      <c r="M2669" t="s">
        <v>607</v>
      </c>
      <c r="N2669" t="s">
        <v>812</v>
      </c>
      <c r="O2669" t="s">
        <v>813</v>
      </c>
      <c r="P2669" t="s">
        <v>739</v>
      </c>
      <c r="Q2669" t="s">
        <v>467</v>
      </c>
      <c r="R2669" t="s">
        <v>814</v>
      </c>
      <c r="S2669" t="s">
        <v>815</v>
      </c>
      <c r="T2669" t="s">
        <v>794</v>
      </c>
      <c r="U2669">
        <v>155701</v>
      </c>
      <c r="V2669" t="s">
        <v>5071</v>
      </c>
      <c r="W2669" t="s">
        <v>817</v>
      </c>
      <c r="X2669" t="s">
        <v>5314</v>
      </c>
      <c r="Y2669" t="s">
        <v>5315</v>
      </c>
      <c r="Z2669" t="s">
        <v>1121</v>
      </c>
      <c r="AA2669" t="s">
        <v>5316</v>
      </c>
      <c r="AB2669" t="s">
        <v>5317</v>
      </c>
      <c r="AC2669">
        <v>99199</v>
      </c>
      <c r="AD2669" t="s">
        <v>8110</v>
      </c>
      <c r="AE2669">
        <v>-36.963159519999998</v>
      </c>
      <c r="AF2669">
        <v>174.8745868</v>
      </c>
      <c r="AG2669" s="175">
        <v>40</v>
      </c>
      <c r="AH2669" s="175">
        <v>0</v>
      </c>
      <c r="AI2669" s="175">
        <v>0</v>
      </c>
      <c r="AJ2669" s="175">
        <v>7</v>
      </c>
      <c r="AK2669" s="175">
        <v>3</v>
      </c>
      <c r="AL2669" s="175">
        <v>7</v>
      </c>
      <c r="AM2669" s="175">
        <v>5</v>
      </c>
      <c r="AN2669" s="175">
        <v>2</v>
      </c>
      <c r="AO2669" s="175">
        <v>24</v>
      </c>
      <c r="AP2669" s="175">
        <v>1</v>
      </c>
      <c r="AQ2669" s="175">
        <v>14</v>
      </c>
      <c r="AR2669" s="175">
        <v>21</v>
      </c>
      <c r="AS2669" s="175">
        <v>1</v>
      </c>
      <c r="AT2669" s="175">
        <v>1</v>
      </c>
    </row>
    <row r="2670" spans="1:46">
      <c r="A2670">
        <v>47169</v>
      </c>
      <c r="B2670" t="s">
        <v>15498</v>
      </c>
      <c r="C2670" t="s">
        <v>15499</v>
      </c>
      <c r="E2670" t="s">
        <v>15500</v>
      </c>
      <c r="F2670" t="s">
        <v>11162</v>
      </c>
      <c r="G2670" t="s">
        <v>3841</v>
      </c>
      <c r="H2670" t="s">
        <v>449</v>
      </c>
      <c r="J2670" t="s">
        <v>4032</v>
      </c>
      <c r="K2670" t="s">
        <v>606</v>
      </c>
      <c r="M2670" t="s">
        <v>1382</v>
      </c>
      <c r="N2670" t="s">
        <v>657</v>
      </c>
      <c r="O2670" t="s">
        <v>1780</v>
      </c>
      <c r="P2670" t="s">
        <v>739</v>
      </c>
      <c r="Q2670" t="s">
        <v>511</v>
      </c>
      <c r="R2670" t="s">
        <v>1555</v>
      </c>
      <c r="S2670" t="s">
        <v>1781</v>
      </c>
      <c r="T2670" t="s">
        <v>1557</v>
      </c>
      <c r="U2670">
        <v>197601</v>
      </c>
      <c r="V2670" t="s">
        <v>15501</v>
      </c>
      <c r="W2670" t="s">
        <v>3843</v>
      </c>
      <c r="X2670" t="s">
        <v>15502</v>
      </c>
      <c r="Y2670" t="s">
        <v>15500</v>
      </c>
      <c r="Z2670" t="s">
        <v>3841</v>
      </c>
      <c r="AA2670" t="s">
        <v>4785</v>
      </c>
      <c r="AB2670" t="s">
        <v>15499</v>
      </c>
      <c r="AE2670">
        <v>-37.714798399999999</v>
      </c>
      <c r="AF2670">
        <v>176.31426210000001</v>
      </c>
      <c r="AG2670" s="175">
        <v>100</v>
      </c>
      <c r="AH2670" s="175">
        <v>25</v>
      </c>
      <c r="AI2670" s="175">
        <v>6</v>
      </c>
      <c r="AJ2670" s="175">
        <v>10</v>
      </c>
      <c r="AK2670" s="175">
        <v>28</v>
      </c>
      <c r="AL2670" s="175">
        <v>26</v>
      </c>
      <c r="AM2670" s="175">
        <v>26</v>
      </c>
      <c r="AN2670" s="175">
        <v>0</v>
      </c>
      <c r="AO2670" s="175">
        <v>96</v>
      </c>
      <c r="AP2670" s="175">
        <v>75</v>
      </c>
      <c r="AQ2670" s="175">
        <v>31</v>
      </c>
      <c r="AR2670" s="175">
        <v>12</v>
      </c>
      <c r="AS2670" s="175">
        <v>9</v>
      </c>
      <c r="AT2670" s="175">
        <v>3</v>
      </c>
    </row>
    <row r="2671" spans="1:46">
      <c r="A2671">
        <v>47170</v>
      </c>
      <c r="B2671" t="s">
        <v>15503</v>
      </c>
      <c r="C2671" t="s">
        <v>15504</v>
      </c>
      <c r="D2671" t="s">
        <v>15505</v>
      </c>
      <c r="E2671" t="s">
        <v>15506</v>
      </c>
      <c r="F2671" t="s">
        <v>2656</v>
      </c>
      <c r="G2671" t="s">
        <v>2604</v>
      </c>
      <c r="H2671" t="s">
        <v>449</v>
      </c>
      <c r="J2671" t="s">
        <v>4032</v>
      </c>
      <c r="K2671" t="s">
        <v>606</v>
      </c>
      <c r="M2671" t="s">
        <v>2366</v>
      </c>
      <c r="N2671" t="s">
        <v>657</v>
      </c>
      <c r="O2671" t="s">
        <v>2605</v>
      </c>
      <c r="P2671" t="s">
        <v>670</v>
      </c>
      <c r="Q2671" t="s">
        <v>516</v>
      </c>
      <c r="R2671" t="s">
        <v>2368</v>
      </c>
      <c r="S2671" t="s">
        <v>2606</v>
      </c>
      <c r="T2671" t="s">
        <v>1568</v>
      </c>
      <c r="U2671">
        <v>240601</v>
      </c>
      <c r="V2671" t="s">
        <v>15507</v>
      </c>
      <c r="W2671" t="s">
        <v>2657</v>
      </c>
      <c r="X2671" t="s">
        <v>15508</v>
      </c>
      <c r="Y2671" t="s">
        <v>14636</v>
      </c>
      <c r="Z2671" t="s">
        <v>667</v>
      </c>
      <c r="AA2671" t="s">
        <v>4596</v>
      </c>
      <c r="AC2671">
        <v>99068</v>
      </c>
      <c r="AD2671" t="s">
        <v>2608</v>
      </c>
      <c r="AE2671">
        <v>-41.118887460000003</v>
      </c>
      <c r="AF2671">
        <v>174.89632330000001</v>
      </c>
      <c r="AG2671" s="175">
        <v>99</v>
      </c>
      <c r="AH2671" s="175">
        <v>20</v>
      </c>
      <c r="AI2671" s="175">
        <v>2</v>
      </c>
      <c r="AJ2671" s="175">
        <v>20</v>
      </c>
      <c r="AK2671" s="175">
        <v>25</v>
      </c>
      <c r="AL2671" s="175">
        <v>39</v>
      </c>
      <c r="AM2671" s="175">
        <v>23</v>
      </c>
      <c r="AN2671" s="175">
        <v>0</v>
      </c>
      <c r="AO2671" s="175">
        <v>109</v>
      </c>
      <c r="AP2671" s="175">
        <v>91</v>
      </c>
      <c r="AQ2671" s="175">
        <v>18</v>
      </c>
      <c r="AR2671" s="175">
        <v>8</v>
      </c>
      <c r="AS2671" s="175">
        <v>19</v>
      </c>
      <c r="AT2671" s="175">
        <v>1</v>
      </c>
    </row>
    <row r="2672" spans="1:46">
      <c r="A2672">
        <v>47171</v>
      </c>
      <c r="B2672" t="s">
        <v>15509</v>
      </c>
      <c r="C2672" t="s">
        <v>15510</v>
      </c>
      <c r="D2672" t="s">
        <v>15511</v>
      </c>
      <c r="E2672" t="s">
        <v>15512</v>
      </c>
      <c r="F2672" t="s">
        <v>1231</v>
      </c>
      <c r="G2672" t="s">
        <v>737</v>
      </c>
      <c r="H2672" t="s">
        <v>449</v>
      </c>
      <c r="J2672" t="s">
        <v>4032</v>
      </c>
      <c r="K2672" t="s">
        <v>606</v>
      </c>
      <c r="M2672" t="s">
        <v>607</v>
      </c>
      <c r="N2672" t="s">
        <v>657</v>
      </c>
      <c r="O2672" t="s">
        <v>1042</v>
      </c>
      <c r="P2672" t="s">
        <v>739</v>
      </c>
      <c r="Q2672" t="s">
        <v>467</v>
      </c>
      <c r="R2672" t="s">
        <v>793</v>
      </c>
      <c r="S2672" t="s">
        <v>943</v>
      </c>
      <c r="T2672" t="s">
        <v>794</v>
      </c>
      <c r="U2672">
        <v>133500</v>
      </c>
      <c r="V2672" t="s">
        <v>1232</v>
      </c>
      <c r="W2672" t="s">
        <v>1044</v>
      </c>
      <c r="X2672" t="s">
        <v>15513</v>
      </c>
      <c r="Y2672" t="s">
        <v>15512</v>
      </c>
      <c r="Z2672" t="s">
        <v>1231</v>
      </c>
      <c r="AA2672" t="s">
        <v>4481</v>
      </c>
      <c r="AE2672">
        <v>-36.8642951</v>
      </c>
      <c r="AF2672">
        <v>174.75040576999999</v>
      </c>
      <c r="AG2672" s="175">
        <v>35</v>
      </c>
      <c r="AH2672" s="175">
        <v>0</v>
      </c>
      <c r="AI2672" s="175">
        <v>0</v>
      </c>
      <c r="AJ2672" s="175">
        <v>0</v>
      </c>
      <c r="AK2672" s="175">
        <v>10</v>
      </c>
      <c r="AL2672" s="175">
        <v>14</v>
      </c>
      <c r="AM2672" s="175">
        <v>19</v>
      </c>
      <c r="AN2672" s="175">
        <v>2</v>
      </c>
      <c r="AO2672" s="175">
        <v>45</v>
      </c>
      <c r="AP2672" s="175">
        <v>44</v>
      </c>
      <c r="AQ2672" s="175">
        <v>6</v>
      </c>
      <c r="AR2672" s="175">
        <v>1</v>
      </c>
      <c r="AS2672" s="175">
        <v>6</v>
      </c>
      <c r="AT2672" s="175">
        <v>0</v>
      </c>
    </row>
    <row r="2673" spans="1:46">
      <c r="A2673">
        <v>47172</v>
      </c>
      <c r="B2673" t="s">
        <v>15514</v>
      </c>
      <c r="C2673" t="s">
        <v>15515</v>
      </c>
      <c r="D2673" t="s">
        <v>8128</v>
      </c>
      <c r="E2673" t="s">
        <v>15516</v>
      </c>
      <c r="F2673" t="s">
        <v>964</v>
      </c>
      <c r="G2673" t="s">
        <v>737</v>
      </c>
      <c r="H2673" t="s">
        <v>449</v>
      </c>
      <c r="J2673" t="s">
        <v>4032</v>
      </c>
      <c r="K2673" t="s">
        <v>606</v>
      </c>
      <c r="M2673" t="s">
        <v>607</v>
      </c>
      <c r="N2673" t="s">
        <v>657</v>
      </c>
      <c r="O2673" t="s">
        <v>914</v>
      </c>
      <c r="P2673" t="s">
        <v>739</v>
      </c>
      <c r="Q2673" t="s">
        <v>467</v>
      </c>
      <c r="R2673" t="s">
        <v>793</v>
      </c>
      <c r="S2673" t="s">
        <v>965</v>
      </c>
      <c r="T2673" t="s">
        <v>794</v>
      </c>
      <c r="U2673">
        <v>145800</v>
      </c>
      <c r="V2673" t="s">
        <v>966</v>
      </c>
      <c r="W2673" t="s">
        <v>892</v>
      </c>
      <c r="X2673" t="s">
        <v>8130</v>
      </c>
      <c r="Y2673" t="s">
        <v>8129</v>
      </c>
      <c r="Z2673" t="s">
        <v>888</v>
      </c>
      <c r="AA2673" t="s">
        <v>4834</v>
      </c>
      <c r="AB2673" t="s">
        <v>8127</v>
      </c>
      <c r="AE2673">
        <v>-36.870128790000003</v>
      </c>
      <c r="AF2673">
        <v>174.86644684999999</v>
      </c>
      <c r="AG2673" s="175">
        <v>30</v>
      </c>
      <c r="AH2673" s="175">
        <v>0</v>
      </c>
      <c r="AI2673" s="175">
        <v>0</v>
      </c>
      <c r="AJ2673" s="175">
        <v>0</v>
      </c>
      <c r="AK2673" s="175">
        <v>10</v>
      </c>
      <c r="AL2673" s="175">
        <v>10</v>
      </c>
      <c r="AM2673" s="175">
        <v>15</v>
      </c>
      <c r="AN2673" s="175">
        <v>2</v>
      </c>
      <c r="AO2673" s="175">
        <v>37</v>
      </c>
      <c r="AP2673" s="175">
        <v>28</v>
      </c>
      <c r="AQ2673" s="175">
        <v>3</v>
      </c>
      <c r="AR2673" s="175">
        <v>2</v>
      </c>
      <c r="AS2673" s="175">
        <v>9</v>
      </c>
      <c r="AT2673" s="175">
        <v>6</v>
      </c>
    </row>
    <row r="2674" spans="1:46">
      <c r="A2674">
        <v>47173</v>
      </c>
      <c r="B2674" t="s">
        <v>15517</v>
      </c>
      <c r="C2674" t="s">
        <v>15518</v>
      </c>
      <c r="D2674" t="s">
        <v>15519</v>
      </c>
      <c r="E2674" t="s">
        <v>15520</v>
      </c>
      <c r="G2674" t="s">
        <v>9235</v>
      </c>
      <c r="H2674" t="s">
        <v>449</v>
      </c>
      <c r="J2674" t="s">
        <v>4032</v>
      </c>
      <c r="K2674" t="s">
        <v>606</v>
      </c>
      <c r="M2674" t="s">
        <v>607</v>
      </c>
      <c r="N2674" t="s">
        <v>625</v>
      </c>
      <c r="O2674" t="s">
        <v>1435</v>
      </c>
      <c r="P2674" t="s">
        <v>610</v>
      </c>
      <c r="Q2674" t="s">
        <v>510</v>
      </c>
      <c r="R2674" t="s">
        <v>814</v>
      </c>
      <c r="S2674" t="s">
        <v>1331</v>
      </c>
      <c r="T2674" t="s">
        <v>1320</v>
      </c>
      <c r="U2674">
        <v>170501</v>
      </c>
      <c r="V2674" t="s">
        <v>14615</v>
      </c>
      <c r="W2674" t="s">
        <v>3884</v>
      </c>
      <c r="X2674" t="s">
        <v>15521</v>
      </c>
      <c r="Y2674" t="s">
        <v>15522</v>
      </c>
      <c r="Z2674" t="s">
        <v>5084</v>
      </c>
      <c r="AA2674" t="s">
        <v>7475</v>
      </c>
      <c r="AB2674" t="s">
        <v>15523</v>
      </c>
      <c r="AE2674">
        <v>-37.230895029999999</v>
      </c>
      <c r="AF2674">
        <v>175.01037894999999</v>
      </c>
      <c r="AG2674" s="175">
        <v>30</v>
      </c>
      <c r="AH2674" s="175">
        <v>0</v>
      </c>
      <c r="AI2674" s="175">
        <v>0</v>
      </c>
      <c r="AJ2674" s="175">
        <v>0</v>
      </c>
      <c r="AK2674" s="175">
        <v>9</v>
      </c>
      <c r="AL2674" s="175">
        <v>9</v>
      </c>
      <c r="AM2674" s="175">
        <v>19</v>
      </c>
      <c r="AN2674" s="175">
        <v>0</v>
      </c>
      <c r="AO2674" s="175">
        <v>37</v>
      </c>
      <c r="AP2674" s="175">
        <v>19</v>
      </c>
      <c r="AQ2674" s="175">
        <v>6</v>
      </c>
      <c r="AR2674" s="175">
        <v>5</v>
      </c>
      <c r="AS2674" s="175">
        <v>16</v>
      </c>
      <c r="AT2674" s="175">
        <v>1</v>
      </c>
    </row>
    <row r="2675" spans="1:46">
      <c r="A2675">
        <v>47174</v>
      </c>
      <c r="B2675" t="s">
        <v>15524</v>
      </c>
      <c r="C2675" t="s">
        <v>5342</v>
      </c>
      <c r="E2675" t="s">
        <v>15525</v>
      </c>
      <c r="F2675" t="s">
        <v>1121</v>
      </c>
      <c r="G2675" t="s">
        <v>737</v>
      </c>
      <c r="H2675" t="s">
        <v>449</v>
      </c>
      <c r="J2675" t="s">
        <v>4032</v>
      </c>
      <c r="K2675" t="s">
        <v>606</v>
      </c>
      <c r="M2675" t="s">
        <v>607</v>
      </c>
      <c r="N2675" t="s">
        <v>608</v>
      </c>
      <c r="O2675" t="s">
        <v>1301</v>
      </c>
      <c r="P2675" t="s">
        <v>739</v>
      </c>
      <c r="Q2675" t="s">
        <v>467</v>
      </c>
      <c r="R2675" t="s">
        <v>814</v>
      </c>
      <c r="S2675" t="s">
        <v>1302</v>
      </c>
      <c r="T2675" t="s">
        <v>794</v>
      </c>
      <c r="U2675">
        <v>161201</v>
      </c>
      <c r="V2675" t="s">
        <v>7973</v>
      </c>
      <c r="W2675" t="s">
        <v>1304</v>
      </c>
      <c r="X2675" t="s">
        <v>5341</v>
      </c>
      <c r="Y2675" t="s">
        <v>15526</v>
      </c>
      <c r="Z2675" t="s">
        <v>854</v>
      </c>
      <c r="AA2675" t="s">
        <v>4400</v>
      </c>
      <c r="AB2675" t="s">
        <v>5342</v>
      </c>
      <c r="AC2675">
        <v>99211</v>
      </c>
      <c r="AD2675" t="s">
        <v>7342</v>
      </c>
      <c r="AE2675">
        <v>-37.037789629999999</v>
      </c>
      <c r="AF2675">
        <v>174.89733570999999</v>
      </c>
      <c r="AG2675" s="175">
        <v>48</v>
      </c>
      <c r="AH2675" s="175">
        <v>10</v>
      </c>
      <c r="AI2675" s="175">
        <v>0</v>
      </c>
      <c r="AJ2675" s="175">
        <v>3</v>
      </c>
      <c r="AK2675" s="175">
        <v>17</v>
      </c>
      <c r="AL2675" s="175">
        <v>21</v>
      </c>
      <c r="AM2675" s="175">
        <v>14</v>
      </c>
      <c r="AN2675" s="175">
        <v>3</v>
      </c>
      <c r="AO2675" s="175">
        <v>58</v>
      </c>
      <c r="AP2675" s="175">
        <v>2</v>
      </c>
      <c r="AQ2675" s="175">
        <v>28</v>
      </c>
      <c r="AR2675" s="175">
        <v>29</v>
      </c>
      <c r="AS2675" s="175">
        <v>12</v>
      </c>
      <c r="AT2675" s="175">
        <v>3</v>
      </c>
    </row>
    <row r="2676" spans="1:46">
      <c r="A2676">
        <v>47175</v>
      </c>
      <c r="B2676" t="s">
        <v>15527</v>
      </c>
      <c r="C2676" t="s">
        <v>15528</v>
      </c>
      <c r="D2676" t="s">
        <v>15529</v>
      </c>
      <c r="E2676" t="s">
        <v>15530</v>
      </c>
      <c r="G2676" t="s">
        <v>1402</v>
      </c>
      <c r="H2676" t="s">
        <v>449</v>
      </c>
      <c r="J2676" t="s">
        <v>4032</v>
      </c>
      <c r="K2676" t="s">
        <v>606</v>
      </c>
      <c r="M2676" t="s">
        <v>1382</v>
      </c>
      <c r="N2676" t="s">
        <v>657</v>
      </c>
      <c r="O2676" t="s">
        <v>1403</v>
      </c>
      <c r="P2676" t="s">
        <v>1347</v>
      </c>
      <c r="Q2676" t="s">
        <v>510</v>
      </c>
      <c r="R2676" t="s">
        <v>1384</v>
      </c>
      <c r="S2676" t="s">
        <v>1384</v>
      </c>
      <c r="T2676" t="s">
        <v>1320</v>
      </c>
      <c r="U2676">
        <v>183000</v>
      </c>
      <c r="V2676" t="s">
        <v>9622</v>
      </c>
      <c r="W2676" t="s">
        <v>1406</v>
      </c>
      <c r="X2676" t="s">
        <v>15531</v>
      </c>
      <c r="Y2676" t="s">
        <v>15532</v>
      </c>
      <c r="AA2676" t="s">
        <v>8991</v>
      </c>
      <c r="AB2676" t="s">
        <v>15533</v>
      </c>
      <c r="AC2676">
        <v>99034</v>
      </c>
      <c r="AD2676" t="s">
        <v>8567</v>
      </c>
      <c r="AE2676">
        <v>-37.872637159999996</v>
      </c>
      <c r="AF2676">
        <v>175.48696710999999</v>
      </c>
      <c r="AG2676" s="175">
        <v>73</v>
      </c>
      <c r="AH2676" s="175">
        <v>16</v>
      </c>
      <c r="AI2676" s="175">
        <v>1</v>
      </c>
      <c r="AJ2676" s="175">
        <v>13</v>
      </c>
      <c r="AK2676" s="175">
        <v>19</v>
      </c>
      <c r="AL2676" s="175">
        <v>21</v>
      </c>
      <c r="AM2676" s="175">
        <v>11</v>
      </c>
      <c r="AN2676" s="175">
        <v>0</v>
      </c>
      <c r="AO2676" s="175">
        <v>65</v>
      </c>
      <c r="AP2676" s="175">
        <v>62</v>
      </c>
      <c r="AQ2676" s="175">
        <v>13</v>
      </c>
      <c r="AR2676" s="175">
        <v>1</v>
      </c>
      <c r="AS2676" s="175">
        <v>1</v>
      </c>
      <c r="AT2676" s="175">
        <v>3</v>
      </c>
    </row>
    <row r="2677" spans="1:46">
      <c r="A2677">
        <v>47178</v>
      </c>
      <c r="B2677" t="s">
        <v>15534</v>
      </c>
      <c r="C2677" t="s">
        <v>15535</v>
      </c>
      <c r="D2677" t="s">
        <v>15536</v>
      </c>
      <c r="E2677" t="s">
        <v>15537</v>
      </c>
      <c r="G2677" t="s">
        <v>3036</v>
      </c>
      <c r="H2677" t="s">
        <v>449</v>
      </c>
      <c r="J2677" t="s">
        <v>4032</v>
      </c>
      <c r="K2677" t="s">
        <v>606</v>
      </c>
      <c r="M2677" t="s">
        <v>2366</v>
      </c>
      <c r="N2677" t="s">
        <v>657</v>
      </c>
      <c r="O2677" t="s">
        <v>3037</v>
      </c>
      <c r="P2677" t="s">
        <v>1347</v>
      </c>
      <c r="Q2677" t="s">
        <v>521</v>
      </c>
      <c r="R2677" t="s">
        <v>3017</v>
      </c>
      <c r="S2677" t="s">
        <v>3038</v>
      </c>
      <c r="T2677" t="s">
        <v>2526</v>
      </c>
      <c r="U2677">
        <v>313900</v>
      </c>
      <c r="V2677" t="s">
        <v>15538</v>
      </c>
      <c r="W2677" t="s">
        <v>3040</v>
      </c>
      <c r="X2677" t="s">
        <v>11134</v>
      </c>
      <c r="Y2677" t="s">
        <v>11135</v>
      </c>
      <c r="AA2677" t="s">
        <v>11136</v>
      </c>
      <c r="AC2677">
        <v>99077</v>
      </c>
      <c r="AD2677" t="s">
        <v>3041</v>
      </c>
      <c r="AE2677">
        <v>-43.295539859999998</v>
      </c>
      <c r="AF2677">
        <v>172.56993406000001</v>
      </c>
      <c r="AG2677" s="175">
        <v>65</v>
      </c>
      <c r="AH2677" s="175">
        <v>15</v>
      </c>
      <c r="AI2677" s="175">
        <v>1</v>
      </c>
      <c r="AJ2677" s="175">
        <v>13</v>
      </c>
      <c r="AK2677" s="175">
        <v>14</v>
      </c>
      <c r="AL2677" s="175">
        <v>17</v>
      </c>
      <c r="AM2677" s="175">
        <v>11</v>
      </c>
      <c r="AN2677" s="175">
        <v>0</v>
      </c>
      <c r="AO2677" s="175">
        <v>56</v>
      </c>
      <c r="AP2677" s="175">
        <v>50</v>
      </c>
      <c r="AQ2677" s="175">
        <v>5</v>
      </c>
      <c r="AR2677" s="175">
        <v>1</v>
      </c>
      <c r="AS2677" s="175">
        <v>4</v>
      </c>
      <c r="AT2677" s="175">
        <v>4</v>
      </c>
    </row>
    <row r="2678" spans="1:46">
      <c r="A2678">
        <v>47179</v>
      </c>
      <c r="B2678" t="s">
        <v>15539</v>
      </c>
      <c r="C2678" t="s">
        <v>15540</v>
      </c>
      <c r="D2678" t="s">
        <v>15541</v>
      </c>
      <c r="E2678" t="s">
        <v>15542</v>
      </c>
      <c r="F2678" t="s">
        <v>848</v>
      </c>
      <c r="G2678" t="s">
        <v>737</v>
      </c>
      <c r="H2678" t="s">
        <v>449</v>
      </c>
      <c r="J2678" t="s">
        <v>4032</v>
      </c>
      <c r="K2678" t="s">
        <v>606</v>
      </c>
      <c r="M2678" t="s">
        <v>607</v>
      </c>
      <c r="N2678" t="s">
        <v>657</v>
      </c>
      <c r="O2678" t="s">
        <v>823</v>
      </c>
      <c r="P2678" t="s">
        <v>739</v>
      </c>
      <c r="Q2678" t="s">
        <v>467</v>
      </c>
      <c r="R2678" t="s">
        <v>724</v>
      </c>
      <c r="S2678" t="s">
        <v>841</v>
      </c>
      <c r="T2678" t="s">
        <v>613</v>
      </c>
      <c r="U2678">
        <v>125202</v>
      </c>
      <c r="V2678" t="s">
        <v>5962</v>
      </c>
      <c r="W2678" t="s">
        <v>826</v>
      </c>
      <c r="X2678" t="s">
        <v>15543</v>
      </c>
      <c r="Y2678" t="s">
        <v>15544</v>
      </c>
      <c r="Z2678" t="s">
        <v>736</v>
      </c>
      <c r="AA2678" t="s">
        <v>4153</v>
      </c>
      <c r="AB2678" t="s">
        <v>15540</v>
      </c>
      <c r="AE2678">
        <v>-36.799791329999998</v>
      </c>
      <c r="AF2678">
        <v>174.72101726</v>
      </c>
      <c r="AG2678" s="175">
        <v>44</v>
      </c>
      <c r="AH2678" s="175">
        <v>8</v>
      </c>
      <c r="AI2678" s="175">
        <v>1</v>
      </c>
      <c r="AJ2678" s="175">
        <v>6</v>
      </c>
      <c r="AK2678" s="175">
        <v>4</v>
      </c>
      <c r="AL2678" s="175">
        <v>9</v>
      </c>
      <c r="AM2678" s="175">
        <v>4</v>
      </c>
      <c r="AN2678" s="175">
        <v>0</v>
      </c>
      <c r="AO2678" s="175">
        <v>24</v>
      </c>
      <c r="AP2678" s="175">
        <v>18</v>
      </c>
      <c r="AQ2678" s="175">
        <v>6</v>
      </c>
      <c r="AR2678" s="175">
        <v>3</v>
      </c>
      <c r="AS2678" s="175">
        <v>7</v>
      </c>
      <c r="AT2678" s="175">
        <v>3</v>
      </c>
    </row>
    <row r="2679" spans="1:46">
      <c r="A2679">
        <v>47182</v>
      </c>
      <c r="B2679" t="s">
        <v>15545</v>
      </c>
      <c r="C2679" t="s">
        <v>15546</v>
      </c>
      <c r="D2679" t="s">
        <v>15547</v>
      </c>
      <c r="E2679" t="s">
        <v>15548</v>
      </c>
      <c r="F2679" t="s">
        <v>1380</v>
      </c>
      <c r="G2679" t="s">
        <v>1381</v>
      </c>
      <c r="H2679" t="s">
        <v>449</v>
      </c>
      <c r="J2679" t="s">
        <v>4032</v>
      </c>
      <c r="K2679" t="s">
        <v>606</v>
      </c>
      <c r="M2679" t="s">
        <v>1382</v>
      </c>
      <c r="N2679" t="s">
        <v>657</v>
      </c>
      <c r="O2679" t="s">
        <v>1383</v>
      </c>
      <c r="P2679" t="s">
        <v>739</v>
      </c>
      <c r="Q2679" t="s">
        <v>510</v>
      </c>
      <c r="R2679" t="s">
        <v>1384</v>
      </c>
      <c r="S2679" t="s">
        <v>1385</v>
      </c>
      <c r="T2679" t="s">
        <v>1320</v>
      </c>
      <c r="U2679">
        <v>179401</v>
      </c>
      <c r="V2679" t="s">
        <v>1380</v>
      </c>
      <c r="W2679" t="s">
        <v>1387</v>
      </c>
      <c r="X2679" t="s">
        <v>15549</v>
      </c>
      <c r="Y2679" t="s">
        <v>15550</v>
      </c>
      <c r="AA2679" t="s">
        <v>9364</v>
      </c>
      <c r="AB2679" t="s">
        <v>15551</v>
      </c>
      <c r="AE2679">
        <v>-37.790733729999999</v>
      </c>
      <c r="AF2679">
        <v>175.28226192</v>
      </c>
      <c r="AG2679" s="175">
        <v>124</v>
      </c>
      <c r="AH2679" s="175">
        <v>45</v>
      </c>
      <c r="AI2679" s="175">
        <v>12</v>
      </c>
      <c r="AJ2679" s="175">
        <v>25</v>
      </c>
      <c r="AK2679" s="175">
        <v>32</v>
      </c>
      <c r="AL2679" s="175">
        <v>22</v>
      </c>
      <c r="AM2679" s="175">
        <v>25</v>
      </c>
      <c r="AN2679" s="175">
        <v>1</v>
      </c>
      <c r="AO2679" s="175">
        <v>117</v>
      </c>
      <c r="AP2679" s="175">
        <v>93</v>
      </c>
      <c r="AQ2679" s="175">
        <v>27</v>
      </c>
      <c r="AR2679" s="175">
        <v>8</v>
      </c>
      <c r="AS2679" s="175">
        <v>26</v>
      </c>
      <c r="AT2679" s="175">
        <v>7</v>
      </c>
    </row>
    <row r="2680" spans="1:46">
      <c r="A2680">
        <v>47183</v>
      </c>
      <c r="B2680" t="s">
        <v>15552</v>
      </c>
      <c r="C2680" t="s">
        <v>15553</v>
      </c>
      <c r="D2680" t="s">
        <v>15554</v>
      </c>
      <c r="E2680" t="s">
        <v>15555</v>
      </c>
      <c r="F2680" t="s">
        <v>841</v>
      </c>
      <c r="G2680" t="s">
        <v>737</v>
      </c>
      <c r="H2680" t="s">
        <v>449</v>
      </c>
      <c r="J2680" t="s">
        <v>4032</v>
      </c>
      <c r="K2680" t="s">
        <v>606</v>
      </c>
      <c r="M2680" t="s">
        <v>607</v>
      </c>
      <c r="N2680" t="s">
        <v>657</v>
      </c>
      <c r="O2680" t="s">
        <v>823</v>
      </c>
      <c r="P2680" t="s">
        <v>739</v>
      </c>
      <c r="Q2680" t="s">
        <v>467</v>
      </c>
      <c r="R2680" t="s">
        <v>724</v>
      </c>
      <c r="S2680" t="s">
        <v>841</v>
      </c>
      <c r="T2680" t="s">
        <v>613</v>
      </c>
      <c r="U2680">
        <v>127300</v>
      </c>
      <c r="V2680" t="s">
        <v>1134</v>
      </c>
      <c r="W2680" t="s">
        <v>826</v>
      </c>
      <c r="X2680" t="s">
        <v>7539</v>
      </c>
      <c r="Y2680" t="s">
        <v>15555</v>
      </c>
      <c r="Z2680" t="s">
        <v>841</v>
      </c>
      <c r="AA2680" t="s">
        <v>5965</v>
      </c>
      <c r="AB2680" t="s">
        <v>7541</v>
      </c>
      <c r="AE2680">
        <v>-36.805664229999998</v>
      </c>
      <c r="AF2680">
        <v>174.74397719999999</v>
      </c>
      <c r="AG2680" s="175">
        <v>105</v>
      </c>
      <c r="AH2680" s="175">
        <v>50</v>
      </c>
      <c r="AI2680" s="175">
        <v>5</v>
      </c>
      <c r="AJ2680" s="175">
        <v>27</v>
      </c>
      <c r="AK2680" s="175">
        <v>39</v>
      </c>
      <c r="AL2680" s="175">
        <v>28</v>
      </c>
      <c r="AM2680" s="175">
        <v>19</v>
      </c>
      <c r="AN2680" s="175">
        <v>1</v>
      </c>
      <c r="AO2680" s="175">
        <v>119</v>
      </c>
      <c r="AP2680" s="175">
        <v>80</v>
      </c>
      <c r="AQ2680" s="175">
        <v>5</v>
      </c>
      <c r="AR2680" s="175">
        <v>4</v>
      </c>
      <c r="AS2680" s="175">
        <v>44</v>
      </c>
      <c r="AT2680" s="175">
        <v>7</v>
      </c>
    </row>
    <row r="2681" spans="1:46">
      <c r="A2681">
        <v>47184</v>
      </c>
      <c r="B2681" t="s">
        <v>15556</v>
      </c>
      <c r="C2681" t="s">
        <v>15557</v>
      </c>
      <c r="D2681" t="s">
        <v>15558</v>
      </c>
      <c r="E2681" t="s">
        <v>15559</v>
      </c>
      <c r="F2681" t="s">
        <v>7875</v>
      </c>
      <c r="G2681" t="s">
        <v>737</v>
      </c>
      <c r="H2681" t="s">
        <v>449</v>
      </c>
      <c r="J2681" t="s">
        <v>4032</v>
      </c>
      <c r="K2681" t="s">
        <v>606</v>
      </c>
      <c r="M2681" t="s">
        <v>607</v>
      </c>
      <c r="N2681" t="s">
        <v>657</v>
      </c>
      <c r="O2681" t="s">
        <v>1318</v>
      </c>
      <c r="P2681" t="s">
        <v>610</v>
      </c>
      <c r="Q2681" t="s">
        <v>467</v>
      </c>
      <c r="R2681" t="s">
        <v>793</v>
      </c>
      <c r="S2681" t="s">
        <v>1319</v>
      </c>
      <c r="T2681" t="s">
        <v>1320</v>
      </c>
      <c r="U2681">
        <v>156400</v>
      </c>
      <c r="V2681" t="s">
        <v>9499</v>
      </c>
      <c r="W2681" t="s">
        <v>1322</v>
      </c>
      <c r="X2681" t="s">
        <v>15560</v>
      </c>
      <c r="Y2681" t="s">
        <v>15561</v>
      </c>
      <c r="Z2681" t="s">
        <v>3962</v>
      </c>
      <c r="AA2681" t="s">
        <v>15562</v>
      </c>
      <c r="AC2681">
        <v>99119</v>
      </c>
      <c r="AD2681" t="s">
        <v>865</v>
      </c>
      <c r="AE2681">
        <v>-36.889023229999999</v>
      </c>
      <c r="AF2681">
        <v>175.0010144</v>
      </c>
      <c r="AG2681" s="175">
        <v>70</v>
      </c>
      <c r="AH2681" s="175">
        <v>20</v>
      </c>
      <c r="AI2681" s="175">
        <v>3</v>
      </c>
      <c r="AJ2681" s="175">
        <v>12</v>
      </c>
      <c r="AK2681" s="175">
        <v>12</v>
      </c>
      <c r="AL2681" s="175">
        <v>23</v>
      </c>
      <c r="AM2681" s="175">
        <v>13</v>
      </c>
      <c r="AN2681" s="175">
        <v>1</v>
      </c>
      <c r="AO2681" s="175">
        <v>64</v>
      </c>
      <c r="AP2681" s="175">
        <v>62</v>
      </c>
      <c r="AQ2681" s="175">
        <v>9</v>
      </c>
      <c r="AR2681" s="175">
        <v>1</v>
      </c>
      <c r="AS2681" s="175">
        <v>9</v>
      </c>
      <c r="AT2681" s="175">
        <v>2</v>
      </c>
    </row>
    <row r="2682" spans="1:46">
      <c r="A2682">
        <v>47185</v>
      </c>
      <c r="B2682" t="s">
        <v>15563</v>
      </c>
      <c r="C2682" t="s">
        <v>15564</v>
      </c>
      <c r="D2682" t="s">
        <v>15565</v>
      </c>
      <c r="E2682" t="s">
        <v>15566</v>
      </c>
      <c r="G2682" t="s">
        <v>2957</v>
      </c>
      <c r="H2682" t="s">
        <v>450</v>
      </c>
      <c r="J2682" t="s">
        <v>4032</v>
      </c>
      <c r="K2682" t="s">
        <v>606</v>
      </c>
      <c r="M2682" t="s">
        <v>2366</v>
      </c>
      <c r="N2682" t="s">
        <v>657</v>
      </c>
      <c r="O2682" t="s">
        <v>2944</v>
      </c>
      <c r="P2682" t="s">
        <v>658</v>
      </c>
      <c r="Q2682" t="s">
        <v>517</v>
      </c>
      <c r="R2682" t="s">
        <v>2901</v>
      </c>
      <c r="S2682" t="s">
        <v>2945</v>
      </c>
      <c r="T2682" t="s">
        <v>2526</v>
      </c>
      <c r="U2682">
        <v>301601</v>
      </c>
      <c r="V2682" t="s">
        <v>11354</v>
      </c>
      <c r="W2682" t="s">
        <v>11355</v>
      </c>
      <c r="X2682" t="s">
        <v>15567</v>
      </c>
      <c r="Y2682" t="s">
        <v>15568</v>
      </c>
      <c r="AA2682" t="s">
        <v>15569</v>
      </c>
      <c r="AC2682">
        <v>99142</v>
      </c>
      <c r="AD2682" t="s">
        <v>2960</v>
      </c>
      <c r="AE2682">
        <v>-41.287670470000002</v>
      </c>
      <c r="AF2682">
        <v>173.06940280000001</v>
      </c>
      <c r="AG2682" s="175">
        <v>80</v>
      </c>
      <c r="AH2682" s="175">
        <v>80</v>
      </c>
      <c r="AI2682" s="175">
        <v>3</v>
      </c>
      <c r="AJ2682" s="175">
        <v>12</v>
      </c>
      <c r="AK2682" s="175">
        <v>15</v>
      </c>
      <c r="AL2682" s="175">
        <v>15</v>
      </c>
      <c r="AM2682" s="175">
        <v>12</v>
      </c>
      <c r="AN2682" s="175">
        <v>0</v>
      </c>
      <c r="AO2682" s="175">
        <v>57</v>
      </c>
      <c r="AP2682" s="175">
        <v>47</v>
      </c>
      <c r="AQ2682" s="175">
        <v>8</v>
      </c>
      <c r="AR2682" s="175">
        <v>1</v>
      </c>
      <c r="AS2682" s="175">
        <v>6</v>
      </c>
      <c r="AT2682" s="175">
        <v>2</v>
      </c>
    </row>
    <row r="2683" spans="1:46">
      <c r="A2683">
        <v>47186</v>
      </c>
      <c r="B2683" t="s">
        <v>15570</v>
      </c>
      <c r="C2683" t="s">
        <v>15571</v>
      </c>
      <c r="D2683" t="s">
        <v>1531</v>
      </c>
      <c r="E2683" t="s">
        <v>15572</v>
      </c>
      <c r="G2683" t="s">
        <v>9138</v>
      </c>
      <c r="H2683" t="s">
        <v>452</v>
      </c>
      <c r="J2683" t="s">
        <v>605</v>
      </c>
      <c r="K2683" t="s">
        <v>606</v>
      </c>
      <c r="M2683" t="s">
        <v>1382</v>
      </c>
      <c r="N2683" t="s">
        <v>657</v>
      </c>
      <c r="O2683" t="s">
        <v>1534</v>
      </c>
      <c r="P2683" t="s">
        <v>626</v>
      </c>
      <c r="Q2683" t="s">
        <v>510</v>
      </c>
      <c r="R2683" t="s">
        <v>1384</v>
      </c>
      <c r="S2683" t="s">
        <v>1384</v>
      </c>
      <c r="T2683" t="s">
        <v>1320</v>
      </c>
      <c r="U2683">
        <v>174400</v>
      </c>
      <c r="V2683" t="s">
        <v>9139</v>
      </c>
      <c r="W2683" t="s">
        <v>1536</v>
      </c>
      <c r="X2683" t="s">
        <v>1537</v>
      </c>
      <c r="Y2683" t="s">
        <v>1532</v>
      </c>
      <c r="Z2683" t="s">
        <v>1533</v>
      </c>
      <c r="AA2683" t="s">
        <v>1538</v>
      </c>
      <c r="AB2683" t="s">
        <v>15573</v>
      </c>
      <c r="AC2683">
        <v>99202</v>
      </c>
      <c r="AD2683" t="s">
        <v>1540</v>
      </c>
      <c r="AE2683">
        <v>-37.596071899999998</v>
      </c>
      <c r="AF2683">
        <v>175.6371484</v>
      </c>
      <c r="AG2683" s="175">
        <v>20</v>
      </c>
      <c r="AH2683" s="175">
        <v>10</v>
      </c>
      <c r="AI2683" s="175">
        <v>2</v>
      </c>
      <c r="AJ2683" s="175">
        <v>10</v>
      </c>
      <c r="AK2683" s="175">
        <v>17</v>
      </c>
      <c r="AL2683" s="175">
        <v>1</v>
      </c>
      <c r="AM2683" s="175">
        <v>0</v>
      </c>
      <c r="AN2683" s="175">
        <v>0</v>
      </c>
      <c r="AO2683" s="175">
        <v>30</v>
      </c>
      <c r="AP2683" s="175">
        <v>27</v>
      </c>
      <c r="AQ2683" s="175">
        <v>4</v>
      </c>
      <c r="AR2683" s="175">
        <v>2</v>
      </c>
      <c r="AS2683" s="175">
        <v>0</v>
      </c>
      <c r="AT2683" s="175">
        <v>4</v>
      </c>
    </row>
    <row r="2684" spans="1:46">
      <c r="A2684">
        <v>47187</v>
      </c>
      <c r="B2684" t="s">
        <v>15574</v>
      </c>
      <c r="D2684" t="s">
        <v>15575</v>
      </c>
      <c r="E2684" t="s">
        <v>15576</v>
      </c>
      <c r="F2684" t="s">
        <v>1121</v>
      </c>
      <c r="G2684" t="s">
        <v>737</v>
      </c>
      <c r="H2684" t="s">
        <v>449</v>
      </c>
      <c r="J2684" t="s">
        <v>4032</v>
      </c>
      <c r="K2684" t="s">
        <v>606</v>
      </c>
      <c r="M2684" t="s">
        <v>607</v>
      </c>
      <c r="N2684" t="s">
        <v>608</v>
      </c>
      <c r="O2684" t="s">
        <v>1301</v>
      </c>
      <c r="P2684" t="s">
        <v>739</v>
      </c>
      <c r="Q2684" t="s">
        <v>467</v>
      </c>
      <c r="R2684" t="s">
        <v>814</v>
      </c>
      <c r="S2684" t="s">
        <v>1302</v>
      </c>
      <c r="T2684" t="s">
        <v>794</v>
      </c>
      <c r="U2684">
        <v>160901</v>
      </c>
      <c r="V2684" t="s">
        <v>5027</v>
      </c>
      <c r="W2684" t="s">
        <v>1304</v>
      </c>
      <c r="X2684" t="s">
        <v>4700</v>
      </c>
      <c r="Y2684" t="s">
        <v>12058</v>
      </c>
      <c r="Z2684" t="s">
        <v>855</v>
      </c>
      <c r="AA2684" t="s">
        <v>12059</v>
      </c>
      <c r="AB2684" t="s">
        <v>4703</v>
      </c>
      <c r="AE2684">
        <v>-37.0345181</v>
      </c>
      <c r="AF2684">
        <v>174.89962180000001</v>
      </c>
      <c r="AG2684" s="175">
        <v>50</v>
      </c>
      <c r="AH2684" s="175">
        <v>10</v>
      </c>
      <c r="AI2684" s="175">
        <v>0</v>
      </c>
      <c r="AJ2684" s="175">
        <v>6</v>
      </c>
      <c r="AK2684" s="175">
        <v>10</v>
      </c>
      <c r="AL2684" s="175">
        <v>15</v>
      </c>
      <c r="AM2684" s="175">
        <v>9</v>
      </c>
      <c r="AN2684" s="175">
        <v>2</v>
      </c>
      <c r="AO2684" s="175">
        <v>42</v>
      </c>
      <c r="AP2684" s="175">
        <v>10</v>
      </c>
      <c r="AQ2684" s="175">
        <v>18</v>
      </c>
      <c r="AR2684" s="175">
        <v>21</v>
      </c>
      <c r="AS2684" s="175">
        <v>11</v>
      </c>
      <c r="AT2684" s="175">
        <v>4</v>
      </c>
    </row>
    <row r="2685" spans="1:46">
      <c r="A2685">
        <v>47188</v>
      </c>
      <c r="B2685" t="s">
        <v>15577</v>
      </c>
      <c r="C2685" t="s">
        <v>15578</v>
      </c>
      <c r="E2685" t="s">
        <v>15579</v>
      </c>
      <c r="F2685" t="s">
        <v>3679</v>
      </c>
      <c r="G2685" t="s">
        <v>3015</v>
      </c>
      <c r="H2685" t="s">
        <v>449</v>
      </c>
      <c r="I2685" t="s">
        <v>15580</v>
      </c>
      <c r="J2685" t="s">
        <v>4032</v>
      </c>
      <c r="K2685" t="s">
        <v>606</v>
      </c>
      <c r="M2685" t="s">
        <v>2366</v>
      </c>
      <c r="N2685" t="s">
        <v>657</v>
      </c>
      <c r="O2685" t="s">
        <v>3016</v>
      </c>
      <c r="P2685" t="s">
        <v>739</v>
      </c>
      <c r="Q2685" t="s">
        <v>521</v>
      </c>
      <c r="R2685" t="s">
        <v>3017</v>
      </c>
      <c r="S2685" t="s">
        <v>3038</v>
      </c>
      <c r="T2685" t="s">
        <v>2526</v>
      </c>
      <c r="U2685">
        <v>317400</v>
      </c>
      <c r="V2685" t="s">
        <v>11773</v>
      </c>
      <c r="W2685" t="s">
        <v>3059</v>
      </c>
      <c r="X2685" t="s">
        <v>15581</v>
      </c>
      <c r="Y2685" t="s">
        <v>15579</v>
      </c>
      <c r="Z2685" t="s">
        <v>11773</v>
      </c>
      <c r="AA2685" t="s">
        <v>11705</v>
      </c>
      <c r="AE2685">
        <v>-43.45550386</v>
      </c>
      <c r="AF2685">
        <v>172.61839796999999</v>
      </c>
      <c r="AG2685" s="175">
        <v>28</v>
      </c>
      <c r="AH2685" s="175">
        <v>0</v>
      </c>
      <c r="AI2685" s="175">
        <v>0</v>
      </c>
      <c r="AJ2685" s="175">
        <v>0</v>
      </c>
      <c r="AK2685" s="175">
        <v>1</v>
      </c>
      <c r="AL2685" s="175">
        <v>5</v>
      </c>
      <c r="AM2685" s="175">
        <v>13</v>
      </c>
      <c r="AN2685" s="175">
        <v>0</v>
      </c>
      <c r="AO2685" s="175">
        <v>19</v>
      </c>
      <c r="AP2685" s="175">
        <v>18</v>
      </c>
      <c r="AQ2685" s="175">
        <v>1</v>
      </c>
      <c r="AR2685" s="175">
        <v>0</v>
      </c>
      <c r="AS2685" s="175">
        <v>1</v>
      </c>
      <c r="AT2685" s="175">
        <v>0</v>
      </c>
    </row>
    <row r="2686" spans="1:46">
      <c r="A2686">
        <v>47189</v>
      </c>
      <c r="B2686" t="s">
        <v>15582</v>
      </c>
      <c r="C2686" t="s">
        <v>15583</v>
      </c>
      <c r="D2686" t="s">
        <v>15584</v>
      </c>
      <c r="E2686" t="s">
        <v>15585</v>
      </c>
      <c r="G2686" t="s">
        <v>15586</v>
      </c>
      <c r="H2686" t="s">
        <v>452</v>
      </c>
      <c r="J2686" t="s">
        <v>605</v>
      </c>
      <c r="K2686" t="s">
        <v>606</v>
      </c>
      <c r="M2686" t="s">
        <v>2366</v>
      </c>
      <c r="N2686" t="s">
        <v>657</v>
      </c>
      <c r="O2686" t="s">
        <v>2944</v>
      </c>
      <c r="P2686" t="s">
        <v>626</v>
      </c>
      <c r="Q2686" t="s">
        <v>517</v>
      </c>
      <c r="R2686" t="s">
        <v>2901</v>
      </c>
      <c r="S2686" t="s">
        <v>2945</v>
      </c>
      <c r="T2686" t="s">
        <v>2526</v>
      </c>
      <c r="U2686">
        <v>301800</v>
      </c>
      <c r="V2686" t="s">
        <v>15587</v>
      </c>
      <c r="W2686" t="s">
        <v>15588</v>
      </c>
      <c r="X2686" t="s">
        <v>2934</v>
      </c>
      <c r="Y2686" t="s">
        <v>2935</v>
      </c>
      <c r="Z2686" t="s">
        <v>2930</v>
      </c>
      <c r="AA2686" t="s">
        <v>2936</v>
      </c>
      <c r="AB2686" t="s">
        <v>2937</v>
      </c>
      <c r="AC2686">
        <v>99023</v>
      </c>
      <c r="AD2686" t="s">
        <v>15589</v>
      </c>
      <c r="AE2686">
        <v>-41.801469650000001</v>
      </c>
      <c r="AF2686">
        <v>172.32875171000001</v>
      </c>
      <c r="AG2686" s="175">
        <v>20</v>
      </c>
      <c r="AH2686" s="175">
        <v>0</v>
      </c>
      <c r="AI2686" s="175">
        <v>0</v>
      </c>
      <c r="AJ2686" s="175">
        <v>0</v>
      </c>
      <c r="AK2686" s="175">
        <v>2</v>
      </c>
      <c r="AL2686" s="175">
        <v>6</v>
      </c>
      <c r="AM2686" s="175">
        <v>19</v>
      </c>
      <c r="AN2686" s="175">
        <v>0</v>
      </c>
      <c r="AO2686" s="175">
        <v>27</v>
      </c>
      <c r="AP2686" s="175">
        <v>22</v>
      </c>
      <c r="AQ2686" s="175">
        <v>10</v>
      </c>
      <c r="AR2686" s="175">
        <v>0</v>
      </c>
      <c r="AS2686" s="175">
        <v>3</v>
      </c>
      <c r="AT2686" s="175">
        <v>0</v>
      </c>
    </row>
    <row r="2687" spans="1:46">
      <c r="A2687">
        <v>47190</v>
      </c>
      <c r="B2687" t="s">
        <v>15590</v>
      </c>
      <c r="C2687" t="s">
        <v>15591</v>
      </c>
      <c r="D2687" t="s">
        <v>15592</v>
      </c>
      <c r="E2687" t="s">
        <v>15593</v>
      </c>
      <c r="F2687" t="s">
        <v>983</v>
      </c>
      <c r="G2687" t="s">
        <v>737</v>
      </c>
      <c r="H2687" t="s">
        <v>449</v>
      </c>
      <c r="J2687" t="s">
        <v>4032</v>
      </c>
      <c r="K2687" t="s">
        <v>606</v>
      </c>
      <c r="M2687" t="s">
        <v>607</v>
      </c>
      <c r="N2687" t="s">
        <v>657</v>
      </c>
      <c r="O2687" t="s">
        <v>898</v>
      </c>
      <c r="P2687" t="s">
        <v>739</v>
      </c>
      <c r="Q2687" t="s">
        <v>467</v>
      </c>
      <c r="R2687" t="s">
        <v>724</v>
      </c>
      <c r="S2687" t="s">
        <v>984</v>
      </c>
      <c r="T2687" t="s">
        <v>613</v>
      </c>
      <c r="U2687">
        <v>124900</v>
      </c>
      <c r="V2687" t="s">
        <v>1205</v>
      </c>
      <c r="W2687" t="s">
        <v>900</v>
      </c>
      <c r="X2687" t="s">
        <v>15594</v>
      </c>
      <c r="Y2687" t="s">
        <v>15595</v>
      </c>
      <c r="Z2687" t="s">
        <v>3777</v>
      </c>
      <c r="AA2687" t="s">
        <v>4168</v>
      </c>
      <c r="AB2687" t="s">
        <v>15596</v>
      </c>
      <c r="AE2687">
        <v>-36.859319159999998</v>
      </c>
      <c r="AF2687">
        <v>174.62330487</v>
      </c>
      <c r="AG2687" s="175">
        <v>50</v>
      </c>
      <c r="AH2687" s="175">
        <v>15</v>
      </c>
      <c r="AI2687" s="175">
        <v>5</v>
      </c>
      <c r="AJ2687" s="175">
        <v>8</v>
      </c>
      <c r="AK2687" s="175">
        <v>14</v>
      </c>
      <c r="AL2687" s="175">
        <v>10</v>
      </c>
      <c r="AM2687" s="175">
        <v>8</v>
      </c>
      <c r="AN2687" s="175">
        <v>1</v>
      </c>
      <c r="AO2687" s="175">
        <v>46</v>
      </c>
      <c r="AP2687" s="175">
        <v>11</v>
      </c>
      <c r="AQ2687" s="175">
        <v>2</v>
      </c>
      <c r="AR2687" s="175">
        <v>11</v>
      </c>
      <c r="AS2687" s="175">
        <v>29</v>
      </c>
      <c r="AT2687" s="175">
        <v>4</v>
      </c>
    </row>
    <row r="2688" spans="1:46">
      <c r="A2688">
        <v>47191</v>
      </c>
      <c r="B2688" t="s">
        <v>15597</v>
      </c>
      <c r="C2688" t="s">
        <v>13793</v>
      </c>
      <c r="D2688" t="s">
        <v>15598</v>
      </c>
      <c r="E2688" t="s">
        <v>15599</v>
      </c>
      <c r="F2688" t="s">
        <v>1108</v>
      </c>
      <c r="G2688" t="s">
        <v>737</v>
      </c>
      <c r="H2688" t="s">
        <v>449</v>
      </c>
      <c r="J2688" t="s">
        <v>4032</v>
      </c>
      <c r="K2688" t="s">
        <v>606</v>
      </c>
      <c r="M2688" t="s">
        <v>607</v>
      </c>
      <c r="N2688" t="s">
        <v>657</v>
      </c>
      <c r="O2688" t="s">
        <v>997</v>
      </c>
      <c r="P2688" t="s">
        <v>739</v>
      </c>
      <c r="Q2688" t="s">
        <v>467</v>
      </c>
      <c r="R2688" t="s">
        <v>793</v>
      </c>
      <c r="S2688" t="s">
        <v>998</v>
      </c>
      <c r="T2688" t="s">
        <v>794</v>
      </c>
      <c r="U2688">
        <v>139700</v>
      </c>
      <c r="V2688" t="s">
        <v>1109</v>
      </c>
      <c r="W2688" t="s">
        <v>945</v>
      </c>
      <c r="X2688" t="s">
        <v>15600</v>
      </c>
      <c r="Y2688" t="s">
        <v>13792</v>
      </c>
      <c r="Z2688" t="s">
        <v>907</v>
      </c>
      <c r="AA2688" t="s">
        <v>5260</v>
      </c>
      <c r="AB2688" t="s">
        <v>13793</v>
      </c>
      <c r="AE2688">
        <v>-36.90261435</v>
      </c>
      <c r="AF2688">
        <v>174.74216720000001</v>
      </c>
      <c r="AG2688" s="175">
        <v>95</v>
      </c>
      <c r="AH2688" s="175">
        <v>25</v>
      </c>
      <c r="AI2688" s="175">
        <v>0</v>
      </c>
      <c r="AJ2688" s="175">
        <v>15</v>
      </c>
      <c r="AK2688" s="175">
        <v>19</v>
      </c>
      <c r="AL2688" s="175">
        <v>24</v>
      </c>
      <c r="AM2688" s="175">
        <v>24</v>
      </c>
      <c r="AN2688" s="175">
        <v>0</v>
      </c>
      <c r="AO2688" s="175">
        <v>82</v>
      </c>
      <c r="AP2688" s="175">
        <v>23</v>
      </c>
      <c r="AQ2688" s="175">
        <v>16</v>
      </c>
      <c r="AR2688" s="175">
        <v>33</v>
      </c>
      <c r="AS2688" s="175">
        <v>37</v>
      </c>
      <c r="AT2688" s="175">
        <v>8</v>
      </c>
    </row>
    <row r="2689" spans="1:46">
      <c r="A2689">
        <v>47192</v>
      </c>
      <c r="B2689" t="s">
        <v>15601</v>
      </c>
      <c r="C2689" t="s">
        <v>15602</v>
      </c>
      <c r="E2689" t="s">
        <v>15603</v>
      </c>
      <c r="F2689" t="s">
        <v>3505</v>
      </c>
      <c r="G2689" t="s">
        <v>3454</v>
      </c>
      <c r="H2689" t="s">
        <v>449</v>
      </c>
      <c r="J2689" t="s">
        <v>605</v>
      </c>
      <c r="K2689" t="s">
        <v>606</v>
      </c>
      <c r="M2689" t="s">
        <v>2366</v>
      </c>
      <c r="N2689" t="s">
        <v>657</v>
      </c>
      <c r="O2689" t="s">
        <v>3455</v>
      </c>
      <c r="P2689" t="s">
        <v>739</v>
      </c>
      <c r="Q2689" t="s">
        <v>522</v>
      </c>
      <c r="R2689" t="s">
        <v>3410</v>
      </c>
      <c r="S2689" t="s">
        <v>3454</v>
      </c>
      <c r="T2689" t="s">
        <v>2526</v>
      </c>
      <c r="U2689">
        <v>350401</v>
      </c>
      <c r="V2689" t="s">
        <v>3490</v>
      </c>
      <c r="W2689" t="s">
        <v>1734</v>
      </c>
      <c r="X2689" t="s">
        <v>15604</v>
      </c>
      <c r="Y2689" t="s">
        <v>15605</v>
      </c>
      <c r="Z2689" t="s">
        <v>14367</v>
      </c>
      <c r="AA2689" t="s">
        <v>14368</v>
      </c>
      <c r="AB2689" t="s">
        <v>15606</v>
      </c>
      <c r="AE2689">
        <v>-45.856760170000001</v>
      </c>
      <c r="AF2689">
        <v>170.47343031</v>
      </c>
      <c r="AG2689" s="175">
        <v>47</v>
      </c>
      <c r="AH2689" s="175">
        <v>16</v>
      </c>
      <c r="AI2689" s="175">
        <v>2</v>
      </c>
      <c r="AJ2689" s="175">
        <v>10</v>
      </c>
      <c r="AK2689" s="175">
        <v>22</v>
      </c>
      <c r="AL2689" s="175">
        <v>16</v>
      </c>
      <c r="AM2689" s="175">
        <v>10</v>
      </c>
      <c r="AN2689" s="175">
        <v>0</v>
      </c>
      <c r="AO2689" s="175">
        <v>60</v>
      </c>
      <c r="AP2689" s="175">
        <v>53</v>
      </c>
      <c r="AQ2689" s="175">
        <v>0</v>
      </c>
      <c r="AR2689" s="175">
        <v>1</v>
      </c>
      <c r="AS2689" s="175">
        <v>8</v>
      </c>
      <c r="AT2689" s="175">
        <v>1</v>
      </c>
    </row>
    <row r="2690" spans="1:46">
      <c r="A2690">
        <v>47194</v>
      </c>
      <c r="B2690" t="s">
        <v>15607</v>
      </c>
      <c r="C2690" t="s">
        <v>15608</v>
      </c>
      <c r="D2690" t="s">
        <v>15609</v>
      </c>
      <c r="E2690" t="s">
        <v>15610</v>
      </c>
      <c r="F2690" t="s">
        <v>3106</v>
      </c>
      <c r="G2690" t="s">
        <v>3015</v>
      </c>
      <c r="H2690" t="s">
        <v>449</v>
      </c>
      <c r="I2690" t="s">
        <v>4134</v>
      </c>
      <c r="J2690" t="s">
        <v>4032</v>
      </c>
      <c r="K2690" t="s">
        <v>606</v>
      </c>
      <c r="M2690" t="s">
        <v>2366</v>
      </c>
      <c r="N2690" t="s">
        <v>657</v>
      </c>
      <c r="O2690" t="s">
        <v>3016</v>
      </c>
      <c r="P2690" t="s">
        <v>739</v>
      </c>
      <c r="Q2690" t="s">
        <v>521</v>
      </c>
      <c r="R2690" t="s">
        <v>3017</v>
      </c>
      <c r="S2690" t="s">
        <v>3092</v>
      </c>
      <c r="T2690" t="s">
        <v>2526</v>
      </c>
      <c r="U2690">
        <v>322900</v>
      </c>
      <c r="V2690" t="s">
        <v>11453</v>
      </c>
      <c r="W2690" t="s">
        <v>3093</v>
      </c>
      <c r="X2690" t="s">
        <v>15611</v>
      </c>
      <c r="Y2690" t="s">
        <v>15610</v>
      </c>
      <c r="Z2690" t="s">
        <v>3106</v>
      </c>
      <c r="AA2690" t="s">
        <v>11482</v>
      </c>
      <c r="AB2690" t="s">
        <v>15608</v>
      </c>
      <c r="AE2690">
        <v>-43.557716470000003</v>
      </c>
      <c r="AF2690">
        <v>172.5377063</v>
      </c>
      <c r="AG2690" s="175">
        <v>50</v>
      </c>
      <c r="AH2690" s="175">
        <v>0</v>
      </c>
      <c r="AI2690" s="175">
        <v>0</v>
      </c>
      <c r="AJ2690" s="175">
        <v>0</v>
      </c>
      <c r="AK2690" s="175">
        <v>9</v>
      </c>
      <c r="AL2690" s="175">
        <v>16</v>
      </c>
      <c r="AM2690" s="175">
        <v>24</v>
      </c>
      <c r="AN2690" s="175">
        <v>0</v>
      </c>
      <c r="AO2690" s="175">
        <v>49</v>
      </c>
      <c r="AP2690" s="175">
        <v>9</v>
      </c>
      <c r="AQ2690" s="175">
        <v>0</v>
      </c>
      <c r="AR2690" s="175">
        <v>0</v>
      </c>
      <c r="AS2690" s="175">
        <v>42</v>
      </c>
      <c r="AT2690" s="175">
        <v>1</v>
      </c>
    </row>
    <row r="2691" spans="1:46">
      <c r="A2691">
        <v>47199</v>
      </c>
      <c r="B2691" t="s">
        <v>15612</v>
      </c>
      <c r="C2691" t="s">
        <v>15613</v>
      </c>
      <c r="D2691" t="s">
        <v>15614</v>
      </c>
      <c r="E2691" t="s">
        <v>15615</v>
      </c>
      <c r="G2691" t="s">
        <v>2943</v>
      </c>
      <c r="H2691" t="s">
        <v>449</v>
      </c>
      <c r="J2691" t="s">
        <v>4032</v>
      </c>
      <c r="K2691" t="s">
        <v>606</v>
      </c>
      <c r="M2691" t="s">
        <v>2366</v>
      </c>
      <c r="N2691" t="s">
        <v>625</v>
      </c>
      <c r="O2691" t="s">
        <v>2944</v>
      </c>
      <c r="P2691" t="s">
        <v>610</v>
      </c>
      <c r="Q2691" t="s">
        <v>517</v>
      </c>
      <c r="R2691" t="s">
        <v>2901</v>
      </c>
      <c r="S2691" t="s">
        <v>2945</v>
      </c>
      <c r="T2691" t="s">
        <v>2526</v>
      </c>
      <c r="U2691">
        <v>301301</v>
      </c>
      <c r="V2691" t="s">
        <v>2946</v>
      </c>
      <c r="W2691" t="s">
        <v>2947</v>
      </c>
      <c r="X2691" t="s">
        <v>15616</v>
      </c>
      <c r="Y2691" t="s">
        <v>4176</v>
      </c>
      <c r="AA2691" t="s">
        <v>4052</v>
      </c>
      <c r="AB2691" t="s">
        <v>15613</v>
      </c>
      <c r="AC2691">
        <v>99115</v>
      </c>
      <c r="AD2691" t="s">
        <v>2948</v>
      </c>
      <c r="AE2691">
        <v>-41.129220979999999</v>
      </c>
      <c r="AF2691">
        <v>173.01038832</v>
      </c>
      <c r="AG2691" s="175">
        <v>60</v>
      </c>
      <c r="AH2691" s="175">
        <v>25</v>
      </c>
      <c r="AI2691" s="175">
        <v>5</v>
      </c>
      <c r="AJ2691" s="175">
        <v>10</v>
      </c>
      <c r="AK2691" s="175">
        <v>14</v>
      </c>
      <c r="AL2691" s="175">
        <v>15</v>
      </c>
      <c r="AM2691" s="175">
        <v>9</v>
      </c>
      <c r="AN2691" s="175">
        <v>0</v>
      </c>
      <c r="AO2691" s="175">
        <v>53</v>
      </c>
      <c r="AP2691" s="175">
        <v>38</v>
      </c>
      <c r="AQ2691" s="175">
        <v>15</v>
      </c>
      <c r="AR2691" s="175">
        <v>6</v>
      </c>
      <c r="AS2691" s="175">
        <v>2</v>
      </c>
      <c r="AT2691" s="175">
        <v>5</v>
      </c>
    </row>
    <row r="2692" spans="1:46">
      <c r="A2692">
        <v>47200</v>
      </c>
      <c r="B2692" t="s">
        <v>15617</v>
      </c>
      <c r="C2692" t="s">
        <v>4659</v>
      </c>
      <c r="D2692" t="s">
        <v>4655</v>
      </c>
      <c r="E2692" t="s">
        <v>4288</v>
      </c>
      <c r="F2692" t="s">
        <v>932</v>
      </c>
      <c r="G2692" t="s">
        <v>737</v>
      </c>
      <c r="H2692" t="s">
        <v>449</v>
      </c>
      <c r="I2692" t="s">
        <v>4233</v>
      </c>
      <c r="J2692" t="s">
        <v>4032</v>
      </c>
      <c r="K2692" t="s">
        <v>606</v>
      </c>
      <c r="M2692" t="s">
        <v>607</v>
      </c>
      <c r="N2692" t="s">
        <v>608</v>
      </c>
      <c r="O2692" t="s">
        <v>933</v>
      </c>
      <c r="P2692" t="s">
        <v>739</v>
      </c>
      <c r="Q2692" t="s">
        <v>467</v>
      </c>
      <c r="R2692" t="s">
        <v>814</v>
      </c>
      <c r="S2692" t="s">
        <v>934</v>
      </c>
      <c r="T2692" t="s">
        <v>794</v>
      </c>
      <c r="U2692">
        <v>151000</v>
      </c>
      <c r="V2692" t="s">
        <v>4290</v>
      </c>
      <c r="W2692" t="s">
        <v>817</v>
      </c>
      <c r="X2692" t="s">
        <v>4657</v>
      </c>
      <c r="Y2692" t="s">
        <v>4658</v>
      </c>
      <c r="Z2692" t="s">
        <v>1368</v>
      </c>
      <c r="AA2692" t="s">
        <v>4604</v>
      </c>
      <c r="AB2692" t="s">
        <v>4659</v>
      </c>
      <c r="AE2692">
        <v>-36.976317180000002</v>
      </c>
      <c r="AF2692">
        <v>174.79513315</v>
      </c>
      <c r="AG2692" s="175">
        <v>50</v>
      </c>
      <c r="AH2692" s="175">
        <v>10</v>
      </c>
      <c r="AI2692" s="175">
        <v>1</v>
      </c>
      <c r="AJ2692" s="175">
        <v>5</v>
      </c>
      <c r="AK2692" s="175">
        <v>5</v>
      </c>
      <c r="AL2692" s="175">
        <v>9</v>
      </c>
      <c r="AM2692" s="175">
        <v>13</v>
      </c>
      <c r="AN2692" s="175">
        <v>0</v>
      </c>
      <c r="AO2692" s="175">
        <v>33</v>
      </c>
      <c r="AP2692" s="175">
        <v>1</v>
      </c>
      <c r="AQ2692" s="175">
        <v>6</v>
      </c>
      <c r="AR2692" s="175">
        <v>32</v>
      </c>
      <c r="AS2692" s="175">
        <v>3</v>
      </c>
      <c r="AT2692" s="175">
        <v>0</v>
      </c>
    </row>
    <row r="2693" spans="1:46">
      <c r="A2693">
        <v>47201</v>
      </c>
      <c r="B2693" t="s">
        <v>15618</v>
      </c>
      <c r="C2693" t="s">
        <v>15619</v>
      </c>
      <c r="D2693" t="s">
        <v>15620</v>
      </c>
      <c r="E2693" t="s">
        <v>15621</v>
      </c>
      <c r="F2693" t="s">
        <v>12010</v>
      </c>
      <c r="G2693" t="s">
        <v>3015</v>
      </c>
      <c r="H2693" t="s">
        <v>449</v>
      </c>
      <c r="J2693" t="s">
        <v>4032</v>
      </c>
      <c r="K2693" t="s">
        <v>606</v>
      </c>
      <c r="M2693" t="s">
        <v>2366</v>
      </c>
      <c r="N2693" t="s">
        <v>657</v>
      </c>
      <c r="O2693" t="s">
        <v>3016</v>
      </c>
      <c r="P2693" t="s">
        <v>739</v>
      </c>
      <c r="Q2693" t="s">
        <v>521</v>
      </c>
      <c r="R2693" t="s">
        <v>3017</v>
      </c>
      <c r="S2693" t="s">
        <v>3046</v>
      </c>
      <c r="T2693" t="s">
        <v>2526</v>
      </c>
      <c r="U2693">
        <v>321301</v>
      </c>
      <c r="V2693" t="s">
        <v>14771</v>
      </c>
      <c r="W2693" t="s">
        <v>3199</v>
      </c>
      <c r="X2693" t="s">
        <v>15622</v>
      </c>
      <c r="Y2693" t="s">
        <v>15623</v>
      </c>
      <c r="Z2693" t="s">
        <v>12010</v>
      </c>
      <c r="AA2693" t="s">
        <v>12388</v>
      </c>
      <c r="AE2693">
        <v>-43.472822190000002</v>
      </c>
      <c r="AF2693">
        <v>172.66927150000001</v>
      </c>
      <c r="AG2693" s="175">
        <v>64</v>
      </c>
      <c r="AH2693" s="175">
        <v>19</v>
      </c>
      <c r="AI2693" s="175">
        <v>3</v>
      </c>
      <c r="AJ2693" s="175">
        <v>15</v>
      </c>
      <c r="AK2693" s="175">
        <v>24</v>
      </c>
      <c r="AL2693" s="175">
        <v>21</v>
      </c>
      <c r="AM2693" s="175">
        <v>13</v>
      </c>
      <c r="AN2693" s="175">
        <v>0</v>
      </c>
      <c r="AO2693" s="175">
        <v>76</v>
      </c>
      <c r="AP2693" s="175">
        <v>72</v>
      </c>
      <c r="AQ2693" s="175">
        <v>7</v>
      </c>
      <c r="AR2693" s="175">
        <v>1</v>
      </c>
      <c r="AS2693" s="175">
        <v>3</v>
      </c>
      <c r="AT2693" s="175">
        <v>3</v>
      </c>
    </row>
    <row r="2694" spans="1:46">
      <c r="A2694">
        <v>47205</v>
      </c>
      <c r="B2694" t="s">
        <v>15624</v>
      </c>
      <c r="C2694" t="s">
        <v>15625</v>
      </c>
      <c r="D2694" t="s">
        <v>15626</v>
      </c>
      <c r="E2694" t="s">
        <v>15627</v>
      </c>
      <c r="G2694" t="s">
        <v>3015</v>
      </c>
      <c r="H2694" t="s">
        <v>449</v>
      </c>
      <c r="J2694" t="s">
        <v>4032</v>
      </c>
      <c r="K2694" t="s">
        <v>606</v>
      </c>
      <c r="M2694" t="s">
        <v>2366</v>
      </c>
      <c r="N2694" t="s">
        <v>657</v>
      </c>
      <c r="O2694" t="s">
        <v>3281</v>
      </c>
      <c r="P2694" t="s">
        <v>658</v>
      </c>
      <c r="Q2694" t="s">
        <v>521</v>
      </c>
      <c r="R2694" t="s">
        <v>3017</v>
      </c>
      <c r="S2694" t="s">
        <v>3252</v>
      </c>
      <c r="T2694" t="s">
        <v>2526</v>
      </c>
      <c r="U2694">
        <v>335001</v>
      </c>
      <c r="V2694" t="s">
        <v>15628</v>
      </c>
      <c r="W2694" t="s">
        <v>3283</v>
      </c>
      <c r="X2694" t="s">
        <v>15629</v>
      </c>
      <c r="Y2694" t="s">
        <v>15630</v>
      </c>
      <c r="Z2694" t="s">
        <v>15631</v>
      </c>
      <c r="AA2694" t="s">
        <v>15632</v>
      </c>
      <c r="AB2694" t="s">
        <v>15633</v>
      </c>
      <c r="AC2694">
        <v>99206</v>
      </c>
      <c r="AD2694" t="s">
        <v>3284</v>
      </c>
      <c r="AE2694">
        <v>-43.608044219999996</v>
      </c>
      <c r="AF2694">
        <v>172.35706239999999</v>
      </c>
      <c r="AG2694" s="175">
        <v>130</v>
      </c>
      <c r="AH2694" s="175">
        <v>20</v>
      </c>
      <c r="AI2694" s="175">
        <v>8</v>
      </c>
      <c r="AJ2694" s="175">
        <v>12</v>
      </c>
      <c r="AK2694" s="175">
        <v>31</v>
      </c>
      <c r="AL2694" s="175">
        <v>24</v>
      </c>
      <c r="AM2694" s="175">
        <v>27</v>
      </c>
      <c r="AN2694" s="175">
        <v>5</v>
      </c>
      <c r="AO2694" s="175">
        <v>107</v>
      </c>
      <c r="AP2694" s="175">
        <v>48</v>
      </c>
      <c r="AQ2694" s="175">
        <v>9</v>
      </c>
      <c r="AR2694" s="175">
        <v>9</v>
      </c>
      <c r="AS2694" s="175">
        <v>34</v>
      </c>
      <c r="AT2694" s="175">
        <v>14</v>
      </c>
    </row>
    <row r="2695" spans="1:46">
      <c r="A2695">
        <v>47209</v>
      </c>
      <c r="B2695" t="s">
        <v>15634</v>
      </c>
      <c r="C2695" t="s">
        <v>15635</v>
      </c>
      <c r="D2695" t="s">
        <v>15636</v>
      </c>
      <c r="E2695" t="s">
        <v>15637</v>
      </c>
      <c r="F2695" t="s">
        <v>932</v>
      </c>
      <c r="G2695" t="s">
        <v>737</v>
      </c>
      <c r="H2695" t="s">
        <v>449</v>
      </c>
      <c r="J2695" t="s">
        <v>4032</v>
      </c>
      <c r="K2695" t="s">
        <v>606</v>
      </c>
      <c r="M2695" t="s">
        <v>607</v>
      </c>
      <c r="N2695" t="s">
        <v>608</v>
      </c>
      <c r="O2695" t="s">
        <v>933</v>
      </c>
      <c r="P2695" t="s">
        <v>739</v>
      </c>
      <c r="Q2695" t="s">
        <v>467</v>
      </c>
      <c r="R2695" t="s">
        <v>814</v>
      </c>
      <c r="S2695" t="s">
        <v>934</v>
      </c>
      <c r="T2695" t="s">
        <v>794</v>
      </c>
      <c r="U2695">
        <v>150200</v>
      </c>
      <c r="V2695" t="s">
        <v>1025</v>
      </c>
      <c r="W2695" t="s">
        <v>817</v>
      </c>
      <c r="X2695" t="s">
        <v>15638</v>
      </c>
      <c r="Y2695" t="s">
        <v>15639</v>
      </c>
      <c r="Z2695" t="s">
        <v>7884</v>
      </c>
      <c r="AA2695" t="s">
        <v>15640</v>
      </c>
      <c r="AB2695" t="s">
        <v>15635</v>
      </c>
      <c r="AE2695">
        <v>-36.977369629999998</v>
      </c>
      <c r="AF2695">
        <v>174.80390471999999</v>
      </c>
      <c r="AG2695" s="175">
        <v>50</v>
      </c>
      <c r="AH2695" s="175">
        <v>0</v>
      </c>
      <c r="AI2695" s="175">
        <v>0</v>
      </c>
      <c r="AJ2695" s="175">
        <v>0</v>
      </c>
      <c r="AK2695" s="175">
        <v>8</v>
      </c>
      <c r="AL2695" s="175">
        <v>22</v>
      </c>
      <c r="AM2695" s="175">
        <v>32</v>
      </c>
      <c r="AN2695" s="175">
        <v>1</v>
      </c>
      <c r="AO2695" s="175">
        <v>63</v>
      </c>
      <c r="AP2695" s="175">
        <v>3</v>
      </c>
      <c r="AQ2695" s="175">
        <v>13</v>
      </c>
      <c r="AR2695" s="175">
        <v>33</v>
      </c>
      <c r="AS2695" s="175">
        <v>25</v>
      </c>
      <c r="AT2695" s="175">
        <v>1</v>
      </c>
    </row>
    <row r="2696" spans="1:46">
      <c r="A2696">
        <v>47212</v>
      </c>
      <c r="B2696" t="s">
        <v>12231</v>
      </c>
      <c r="D2696" t="s">
        <v>15641</v>
      </c>
      <c r="E2696" t="s">
        <v>15642</v>
      </c>
      <c r="G2696" t="s">
        <v>1662</v>
      </c>
      <c r="H2696" t="s">
        <v>450</v>
      </c>
      <c r="J2696" t="s">
        <v>4032</v>
      </c>
      <c r="K2696" t="s">
        <v>606</v>
      </c>
      <c r="M2696" t="s">
        <v>1382</v>
      </c>
      <c r="N2696" t="s">
        <v>657</v>
      </c>
      <c r="O2696" t="s">
        <v>1534</v>
      </c>
      <c r="P2696" t="s">
        <v>610</v>
      </c>
      <c r="Q2696" t="s">
        <v>510</v>
      </c>
      <c r="R2696" t="s">
        <v>1384</v>
      </c>
      <c r="S2696" t="s">
        <v>1384</v>
      </c>
      <c r="T2696" t="s">
        <v>1320</v>
      </c>
      <c r="U2696">
        <v>174901</v>
      </c>
      <c r="V2696" t="s">
        <v>1738</v>
      </c>
      <c r="W2696" t="s">
        <v>1664</v>
      </c>
      <c r="X2696" t="s">
        <v>15643</v>
      </c>
      <c r="Y2696" t="s">
        <v>9089</v>
      </c>
      <c r="Z2696" t="s">
        <v>2505</v>
      </c>
      <c r="AA2696" t="s">
        <v>9092</v>
      </c>
      <c r="AB2696" t="s">
        <v>15644</v>
      </c>
      <c r="AE2696">
        <v>-37.802881960000001</v>
      </c>
      <c r="AF2696">
        <v>175.77577968</v>
      </c>
      <c r="AG2696" s="175">
        <v>40</v>
      </c>
      <c r="AH2696" s="175">
        <v>40</v>
      </c>
      <c r="AI2696" s="175">
        <v>1</v>
      </c>
      <c r="AJ2696" s="175">
        <v>1</v>
      </c>
      <c r="AK2696" s="175">
        <v>2</v>
      </c>
      <c r="AL2696" s="175">
        <v>3</v>
      </c>
      <c r="AM2696" s="175">
        <v>3</v>
      </c>
      <c r="AN2696" s="175">
        <v>1</v>
      </c>
      <c r="AO2696" s="175">
        <v>11</v>
      </c>
      <c r="AP2696" s="175">
        <v>9</v>
      </c>
      <c r="AQ2696" s="175">
        <v>0</v>
      </c>
      <c r="AR2696" s="175">
        <v>2</v>
      </c>
      <c r="AS2696" s="175">
        <v>1</v>
      </c>
      <c r="AT2696" s="175">
        <v>2</v>
      </c>
    </row>
    <row r="2697" spans="1:46">
      <c r="A2697">
        <v>47213</v>
      </c>
      <c r="B2697" t="s">
        <v>15645</v>
      </c>
      <c r="C2697" t="s">
        <v>15646</v>
      </c>
      <c r="D2697" t="s">
        <v>15647</v>
      </c>
      <c r="E2697" t="s">
        <v>15648</v>
      </c>
      <c r="F2697" t="s">
        <v>811</v>
      </c>
      <c r="G2697" t="s">
        <v>4272</v>
      </c>
      <c r="H2697" t="s">
        <v>449</v>
      </c>
      <c r="J2697" t="s">
        <v>605</v>
      </c>
      <c r="K2697" t="s">
        <v>606</v>
      </c>
      <c r="M2697" t="s">
        <v>607</v>
      </c>
      <c r="N2697" t="s">
        <v>812</v>
      </c>
      <c r="O2697" t="s">
        <v>813</v>
      </c>
      <c r="P2697" t="s">
        <v>739</v>
      </c>
      <c r="Q2697" t="s">
        <v>467</v>
      </c>
      <c r="R2697" t="s">
        <v>814</v>
      </c>
      <c r="S2697" t="s">
        <v>815</v>
      </c>
      <c r="T2697" t="s">
        <v>794</v>
      </c>
      <c r="U2697">
        <v>153500</v>
      </c>
      <c r="V2697" t="s">
        <v>816</v>
      </c>
      <c r="W2697" t="s">
        <v>817</v>
      </c>
      <c r="X2697" t="s">
        <v>15649</v>
      </c>
      <c r="Y2697" t="s">
        <v>15650</v>
      </c>
      <c r="Z2697" t="s">
        <v>15651</v>
      </c>
      <c r="AA2697" t="s">
        <v>15652</v>
      </c>
      <c r="AB2697" t="s">
        <v>15653</v>
      </c>
      <c r="AE2697">
        <v>-36.957718989999996</v>
      </c>
      <c r="AF2697">
        <v>174.86885143000001</v>
      </c>
      <c r="AG2697" s="175">
        <v>50</v>
      </c>
      <c r="AH2697" s="175">
        <v>10</v>
      </c>
      <c r="AI2697" s="175">
        <v>0</v>
      </c>
      <c r="AJ2697" s="175">
        <v>5</v>
      </c>
      <c r="AK2697" s="175">
        <v>9</v>
      </c>
      <c r="AL2697" s="175">
        <v>18</v>
      </c>
      <c r="AM2697" s="175">
        <v>10</v>
      </c>
      <c r="AN2697" s="175">
        <v>0</v>
      </c>
      <c r="AO2697" s="175">
        <v>42</v>
      </c>
      <c r="AP2697" s="175">
        <v>5</v>
      </c>
      <c r="AQ2697" s="175">
        <v>7</v>
      </c>
      <c r="AR2697" s="175">
        <v>41</v>
      </c>
      <c r="AS2697" s="175">
        <v>1</v>
      </c>
      <c r="AT2697" s="175">
        <v>1</v>
      </c>
    </row>
    <row r="2698" spans="1:46">
      <c r="A2698">
        <v>47214</v>
      </c>
      <c r="B2698" t="s">
        <v>15654</v>
      </c>
      <c r="D2698" t="s">
        <v>15655</v>
      </c>
      <c r="E2698" t="s">
        <v>15656</v>
      </c>
      <c r="F2698" t="s">
        <v>3106</v>
      </c>
      <c r="G2698" t="s">
        <v>3015</v>
      </c>
      <c r="H2698" t="s">
        <v>449</v>
      </c>
      <c r="I2698" t="s">
        <v>3715</v>
      </c>
      <c r="J2698" t="s">
        <v>605</v>
      </c>
      <c r="K2698" t="s">
        <v>606</v>
      </c>
      <c r="M2698" t="s">
        <v>2366</v>
      </c>
      <c r="N2698" t="s">
        <v>625</v>
      </c>
      <c r="O2698" t="s">
        <v>3016</v>
      </c>
      <c r="P2698" t="s">
        <v>739</v>
      </c>
      <c r="Q2698" t="s">
        <v>521</v>
      </c>
      <c r="R2698" t="s">
        <v>3017</v>
      </c>
      <c r="S2698" t="s">
        <v>3092</v>
      </c>
      <c r="T2698" t="s">
        <v>2526</v>
      </c>
      <c r="U2698">
        <v>319300</v>
      </c>
      <c r="V2698" t="s">
        <v>3091</v>
      </c>
      <c r="W2698" t="s">
        <v>3093</v>
      </c>
      <c r="X2698" t="s">
        <v>15657</v>
      </c>
      <c r="Y2698" t="s">
        <v>6434</v>
      </c>
      <c r="Z2698" t="s">
        <v>4622</v>
      </c>
      <c r="AA2698" t="s">
        <v>4623</v>
      </c>
      <c r="AB2698" t="s">
        <v>15658</v>
      </c>
      <c r="AC2698">
        <v>99045</v>
      </c>
      <c r="AD2698" t="s">
        <v>3094</v>
      </c>
      <c r="AE2698">
        <v>-43.538504439999997</v>
      </c>
      <c r="AF2698">
        <v>172.52495332000001</v>
      </c>
      <c r="AG2698" s="175">
        <v>47</v>
      </c>
      <c r="AH2698" s="175">
        <v>10</v>
      </c>
      <c r="AI2698" s="175">
        <v>1</v>
      </c>
      <c r="AJ2698" s="175">
        <v>7</v>
      </c>
      <c r="AK2698" s="175">
        <v>8</v>
      </c>
      <c r="AL2698" s="175">
        <v>16</v>
      </c>
      <c r="AM2698" s="175">
        <v>10</v>
      </c>
      <c r="AN2698" s="175">
        <v>0</v>
      </c>
      <c r="AO2698" s="175">
        <v>42</v>
      </c>
      <c r="AP2698" s="175">
        <v>21</v>
      </c>
      <c r="AQ2698" s="175">
        <v>15</v>
      </c>
      <c r="AR2698" s="175">
        <v>13</v>
      </c>
      <c r="AS2698" s="175">
        <v>9</v>
      </c>
      <c r="AT2698" s="175">
        <v>2</v>
      </c>
    </row>
    <row r="2699" spans="1:46">
      <c r="A2699">
        <v>47220</v>
      </c>
      <c r="B2699" t="s">
        <v>15659</v>
      </c>
      <c r="C2699" t="s">
        <v>15660</v>
      </c>
      <c r="D2699" t="s">
        <v>15661</v>
      </c>
      <c r="E2699" t="s">
        <v>15662</v>
      </c>
      <c r="G2699" t="s">
        <v>1346</v>
      </c>
      <c r="H2699" t="s">
        <v>450</v>
      </c>
      <c r="J2699" t="s">
        <v>4032</v>
      </c>
      <c r="K2699" t="s">
        <v>606</v>
      </c>
      <c r="M2699" t="s">
        <v>607</v>
      </c>
      <c r="N2699" t="s">
        <v>643</v>
      </c>
      <c r="O2699" t="s">
        <v>1318</v>
      </c>
      <c r="P2699" t="s">
        <v>1347</v>
      </c>
      <c r="Q2699" t="s">
        <v>467</v>
      </c>
      <c r="R2699" t="s">
        <v>814</v>
      </c>
      <c r="S2699" t="s">
        <v>1331</v>
      </c>
      <c r="T2699" t="s">
        <v>1320</v>
      </c>
      <c r="U2699">
        <v>166000</v>
      </c>
      <c r="V2699" t="s">
        <v>1365</v>
      </c>
      <c r="W2699" t="s">
        <v>1322</v>
      </c>
      <c r="X2699" t="s">
        <v>15663</v>
      </c>
      <c r="Y2699" t="s">
        <v>15662</v>
      </c>
      <c r="AA2699" t="s">
        <v>5144</v>
      </c>
      <c r="AB2699" t="s">
        <v>15664</v>
      </c>
      <c r="AE2699">
        <v>-37.200106439999999</v>
      </c>
      <c r="AF2699">
        <v>174.90202787999999</v>
      </c>
      <c r="AG2699" s="175">
        <v>80</v>
      </c>
      <c r="AH2699" s="175">
        <v>80</v>
      </c>
      <c r="AI2699" s="175">
        <v>4</v>
      </c>
      <c r="AJ2699" s="175">
        <v>12</v>
      </c>
      <c r="AK2699" s="175">
        <v>11</v>
      </c>
      <c r="AL2699" s="175">
        <v>13</v>
      </c>
      <c r="AM2699" s="175">
        <v>14</v>
      </c>
      <c r="AN2699" s="175">
        <v>3</v>
      </c>
      <c r="AO2699" s="175">
        <v>57</v>
      </c>
      <c r="AP2699" s="175">
        <v>41</v>
      </c>
      <c r="AQ2699" s="175">
        <v>13</v>
      </c>
      <c r="AR2699" s="175">
        <v>3</v>
      </c>
      <c r="AS2699" s="175">
        <v>4</v>
      </c>
      <c r="AT2699" s="175">
        <v>3</v>
      </c>
    </row>
    <row r="2700" spans="1:46">
      <c r="A2700">
        <v>47221</v>
      </c>
      <c r="B2700" t="s">
        <v>12231</v>
      </c>
      <c r="C2700" t="s">
        <v>12232</v>
      </c>
      <c r="E2700" t="s">
        <v>15665</v>
      </c>
      <c r="F2700" t="s">
        <v>3841</v>
      </c>
      <c r="G2700" t="s">
        <v>1681</v>
      </c>
      <c r="H2700" t="s">
        <v>450</v>
      </c>
      <c r="J2700" t="s">
        <v>4032</v>
      </c>
      <c r="K2700" t="s">
        <v>606</v>
      </c>
      <c r="M2700" t="s">
        <v>1382</v>
      </c>
      <c r="N2700" t="s">
        <v>657</v>
      </c>
      <c r="O2700" t="s">
        <v>1780</v>
      </c>
      <c r="P2700" t="s">
        <v>739</v>
      </c>
      <c r="Q2700" t="s">
        <v>511</v>
      </c>
      <c r="R2700" t="s">
        <v>1555</v>
      </c>
      <c r="S2700" t="s">
        <v>1781</v>
      </c>
      <c r="T2700" t="s">
        <v>1557</v>
      </c>
      <c r="U2700">
        <v>196202</v>
      </c>
      <c r="V2700" t="s">
        <v>15204</v>
      </c>
      <c r="W2700" t="s">
        <v>1783</v>
      </c>
      <c r="X2700" t="s">
        <v>15666</v>
      </c>
      <c r="Y2700" t="s">
        <v>9089</v>
      </c>
      <c r="Z2700" t="s">
        <v>2505</v>
      </c>
      <c r="AA2700" t="s">
        <v>9092</v>
      </c>
      <c r="AB2700" t="s">
        <v>15667</v>
      </c>
      <c r="AE2700">
        <v>-37.682922689999998</v>
      </c>
      <c r="AF2700">
        <v>176.25315412</v>
      </c>
      <c r="AG2700" s="175">
        <v>25</v>
      </c>
      <c r="AH2700" s="175">
        <v>25</v>
      </c>
      <c r="AI2700" s="175">
        <v>1</v>
      </c>
      <c r="AJ2700" s="175">
        <v>4</v>
      </c>
      <c r="AK2700" s="175">
        <v>10</v>
      </c>
      <c r="AL2700" s="175">
        <v>3</v>
      </c>
      <c r="AM2700" s="175">
        <v>1</v>
      </c>
      <c r="AN2700" s="175">
        <v>0</v>
      </c>
      <c r="AO2700" s="175">
        <v>19</v>
      </c>
      <c r="AP2700" s="175">
        <v>13</v>
      </c>
      <c r="AQ2700" s="175">
        <v>4</v>
      </c>
      <c r="AR2700" s="175">
        <v>3</v>
      </c>
      <c r="AS2700" s="175">
        <v>4</v>
      </c>
      <c r="AT2700" s="175">
        <v>0</v>
      </c>
    </row>
    <row r="2701" spans="1:46">
      <c r="A2701">
        <v>47222</v>
      </c>
      <c r="B2701" t="s">
        <v>15668</v>
      </c>
      <c r="C2701" t="s">
        <v>15669</v>
      </c>
      <c r="D2701" t="s">
        <v>8317</v>
      </c>
      <c r="E2701" t="s">
        <v>8318</v>
      </c>
      <c r="F2701" t="s">
        <v>8319</v>
      </c>
      <c r="G2701" t="s">
        <v>737</v>
      </c>
      <c r="H2701" t="s">
        <v>450</v>
      </c>
      <c r="J2701" t="s">
        <v>4032</v>
      </c>
      <c r="K2701" t="s">
        <v>606</v>
      </c>
      <c r="M2701" t="s">
        <v>607</v>
      </c>
      <c r="N2701" t="s">
        <v>657</v>
      </c>
      <c r="O2701" t="s">
        <v>1253</v>
      </c>
      <c r="P2701" t="s">
        <v>739</v>
      </c>
      <c r="Q2701" t="s">
        <v>467</v>
      </c>
      <c r="R2701" t="s">
        <v>724</v>
      </c>
      <c r="S2701" t="s">
        <v>740</v>
      </c>
      <c r="T2701" t="s">
        <v>613</v>
      </c>
      <c r="U2701">
        <v>118600</v>
      </c>
      <c r="V2701" t="s">
        <v>4082</v>
      </c>
      <c r="W2701" t="s">
        <v>742</v>
      </c>
      <c r="X2701" t="s">
        <v>6333</v>
      </c>
      <c r="Y2701" t="s">
        <v>6334</v>
      </c>
      <c r="Z2701" t="s">
        <v>3777</v>
      </c>
      <c r="AA2701" t="s">
        <v>6335</v>
      </c>
      <c r="AB2701" t="s">
        <v>6336</v>
      </c>
      <c r="AE2701">
        <v>-36.74598975</v>
      </c>
      <c r="AF2701">
        <v>174.70412110000001</v>
      </c>
      <c r="AG2701" s="175">
        <v>50</v>
      </c>
      <c r="AH2701" s="175">
        <v>50</v>
      </c>
      <c r="AI2701" s="175">
        <v>8</v>
      </c>
      <c r="AJ2701" s="175">
        <v>8</v>
      </c>
      <c r="AK2701" s="175">
        <v>14</v>
      </c>
      <c r="AL2701" s="175">
        <v>8</v>
      </c>
      <c r="AM2701" s="175">
        <v>10</v>
      </c>
      <c r="AN2701" s="175">
        <v>0</v>
      </c>
      <c r="AO2701" s="175">
        <v>48</v>
      </c>
      <c r="AP2701" s="175">
        <v>4</v>
      </c>
      <c r="AQ2701" s="175">
        <v>0</v>
      </c>
      <c r="AR2701" s="175">
        <v>1</v>
      </c>
      <c r="AS2701" s="175">
        <v>48</v>
      </c>
      <c r="AT2701" s="175">
        <v>1</v>
      </c>
    </row>
    <row r="2702" spans="1:46">
      <c r="A2702">
        <v>47225</v>
      </c>
      <c r="B2702" t="s">
        <v>15670</v>
      </c>
      <c r="C2702" t="s">
        <v>15671</v>
      </c>
      <c r="E2702" t="s">
        <v>15672</v>
      </c>
      <c r="F2702" t="s">
        <v>15673</v>
      </c>
      <c r="G2702" t="s">
        <v>3569</v>
      </c>
      <c r="H2702" t="s">
        <v>449</v>
      </c>
      <c r="I2702" t="s">
        <v>4134</v>
      </c>
      <c r="J2702" t="s">
        <v>4032</v>
      </c>
      <c r="K2702" t="s">
        <v>606</v>
      </c>
      <c r="M2702" t="s">
        <v>2366</v>
      </c>
      <c r="N2702" t="s">
        <v>643</v>
      </c>
      <c r="O2702" t="s">
        <v>3568</v>
      </c>
      <c r="P2702" t="s">
        <v>670</v>
      </c>
      <c r="Q2702" t="s">
        <v>523</v>
      </c>
      <c r="R2702" t="s">
        <v>3410</v>
      </c>
      <c r="S2702" t="s">
        <v>3569</v>
      </c>
      <c r="T2702" t="s">
        <v>2526</v>
      </c>
      <c r="U2702">
        <v>362100</v>
      </c>
      <c r="V2702" t="s">
        <v>15673</v>
      </c>
      <c r="W2702" t="s">
        <v>1734</v>
      </c>
      <c r="X2702" t="s">
        <v>15674</v>
      </c>
      <c r="Y2702" t="s">
        <v>15672</v>
      </c>
      <c r="Z2702" t="s">
        <v>15673</v>
      </c>
      <c r="AA2702" t="s">
        <v>15675</v>
      </c>
      <c r="AE2702">
        <v>-46.418064899999997</v>
      </c>
      <c r="AF2702">
        <v>168.36906970000001</v>
      </c>
      <c r="AG2702" s="175">
        <v>100</v>
      </c>
      <c r="AH2702" s="175">
        <v>30</v>
      </c>
      <c r="AI2702" s="175">
        <v>3</v>
      </c>
      <c r="AJ2702" s="175">
        <v>15</v>
      </c>
      <c r="AK2702" s="175">
        <v>23</v>
      </c>
      <c r="AL2702" s="175">
        <v>23</v>
      </c>
      <c r="AM2702" s="175">
        <v>32</v>
      </c>
      <c r="AN2702" s="175">
        <v>3</v>
      </c>
      <c r="AO2702" s="175">
        <v>99</v>
      </c>
      <c r="AP2702" s="175">
        <v>70</v>
      </c>
      <c r="AQ2702" s="175">
        <v>25</v>
      </c>
      <c r="AR2702" s="175">
        <v>10</v>
      </c>
      <c r="AS2702" s="175">
        <v>15</v>
      </c>
      <c r="AT2702" s="175">
        <v>5</v>
      </c>
    </row>
    <row r="2703" spans="1:46">
      <c r="A2703">
        <v>47227</v>
      </c>
      <c r="B2703" t="s">
        <v>15676</v>
      </c>
      <c r="C2703" t="s">
        <v>15677</v>
      </c>
      <c r="D2703" t="s">
        <v>15678</v>
      </c>
      <c r="E2703" t="s">
        <v>15679</v>
      </c>
      <c r="F2703" t="s">
        <v>3106</v>
      </c>
      <c r="G2703" t="s">
        <v>3015</v>
      </c>
      <c r="H2703" t="s">
        <v>449</v>
      </c>
      <c r="I2703" t="s">
        <v>4134</v>
      </c>
      <c r="J2703" t="s">
        <v>4032</v>
      </c>
      <c r="K2703" t="s">
        <v>606</v>
      </c>
      <c r="M2703" t="s">
        <v>2366</v>
      </c>
      <c r="N2703" t="s">
        <v>657</v>
      </c>
      <c r="O2703" t="s">
        <v>3016</v>
      </c>
      <c r="P2703" t="s">
        <v>739</v>
      </c>
      <c r="Q2703" t="s">
        <v>521</v>
      </c>
      <c r="R2703" t="s">
        <v>3017</v>
      </c>
      <c r="S2703" t="s">
        <v>3092</v>
      </c>
      <c r="T2703" t="s">
        <v>2526</v>
      </c>
      <c r="U2703">
        <v>321101</v>
      </c>
      <c r="V2703" t="s">
        <v>3107</v>
      </c>
      <c r="W2703" t="s">
        <v>3093</v>
      </c>
      <c r="X2703" t="s">
        <v>15680</v>
      </c>
      <c r="Y2703" t="s">
        <v>15681</v>
      </c>
      <c r="Z2703" t="s">
        <v>3106</v>
      </c>
      <c r="AA2703" t="s">
        <v>11482</v>
      </c>
      <c r="AB2703" t="s">
        <v>15682</v>
      </c>
      <c r="AC2703">
        <v>99045</v>
      </c>
      <c r="AD2703" t="s">
        <v>3094</v>
      </c>
      <c r="AE2703">
        <v>-43.551766610000001</v>
      </c>
      <c r="AF2703">
        <v>172.53424096000001</v>
      </c>
      <c r="AG2703" s="175">
        <v>38</v>
      </c>
      <c r="AH2703" s="175">
        <v>8</v>
      </c>
      <c r="AI2703" s="175">
        <v>0</v>
      </c>
      <c r="AJ2703" s="175">
        <v>7</v>
      </c>
      <c r="AK2703" s="175">
        <v>11</v>
      </c>
      <c r="AL2703" s="175">
        <v>13</v>
      </c>
      <c r="AM2703" s="175">
        <v>12</v>
      </c>
      <c r="AN2703" s="175">
        <v>2</v>
      </c>
      <c r="AO2703" s="175">
        <v>45</v>
      </c>
      <c r="AP2703" s="175">
        <v>6</v>
      </c>
      <c r="AQ2703" s="175">
        <v>3</v>
      </c>
      <c r="AR2703" s="175">
        <v>2</v>
      </c>
      <c r="AS2703" s="175">
        <v>38</v>
      </c>
      <c r="AT2703" s="175">
        <v>1</v>
      </c>
    </row>
    <row r="2704" spans="1:46">
      <c r="A2704">
        <v>47229</v>
      </c>
      <c r="B2704" t="s">
        <v>15683</v>
      </c>
      <c r="C2704" t="s">
        <v>15684</v>
      </c>
      <c r="D2704" t="s">
        <v>15685</v>
      </c>
      <c r="E2704" t="s">
        <v>15686</v>
      </c>
      <c r="G2704" t="s">
        <v>752</v>
      </c>
      <c r="H2704" t="s">
        <v>449</v>
      </c>
      <c r="J2704" t="s">
        <v>4032</v>
      </c>
      <c r="K2704" t="s">
        <v>606</v>
      </c>
      <c r="M2704" t="s">
        <v>607</v>
      </c>
      <c r="N2704" t="s">
        <v>657</v>
      </c>
      <c r="O2704" t="s">
        <v>738</v>
      </c>
      <c r="P2704" t="s">
        <v>670</v>
      </c>
      <c r="Q2704" t="s">
        <v>467</v>
      </c>
      <c r="R2704" t="s">
        <v>724</v>
      </c>
      <c r="S2704" t="s">
        <v>753</v>
      </c>
      <c r="T2704" t="s">
        <v>613</v>
      </c>
      <c r="U2704">
        <v>113000</v>
      </c>
      <c r="V2704" t="s">
        <v>13007</v>
      </c>
      <c r="W2704" t="s">
        <v>742</v>
      </c>
      <c r="X2704" t="s">
        <v>15687</v>
      </c>
      <c r="Y2704" t="s">
        <v>4471</v>
      </c>
      <c r="Z2704" t="s">
        <v>4472</v>
      </c>
      <c r="AA2704" t="s">
        <v>4596</v>
      </c>
      <c r="AC2704">
        <v>99069</v>
      </c>
      <c r="AD2704" t="s">
        <v>755</v>
      </c>
      <c r="AE2704">
        <v>-36.593051619999997</v>
      </c>
      <c r="AF2704">
        <v>174.69464531</v>
      </c>
      <c r="AG2704" s="175">
        <v>70</v>
      </c>
      <c r="AH2704" s="175">
        <v>20</v>
      </c>
      <c r="AI2704" s="175">
        <v>3</v>
      </c>
      <c r="AJ2704" s="175">
        <v>15</v>
      </c>
      <c r="AK2704" s="175">
        <v>7</v>
      </c>
      <c r="AL2704" s="175">
        <v>15</v>
      </c>
      <c r="AM2704" s="175">
        <v>11</v>
      </c>
      <c r="AN2704" s="175">
        <v>0</v>
      </c>
      <c r="AO2704" s="175">
        <v>51</v>
      </c>
      <c r="AP2704" s="175">
        <v>38</v>
      </c>
      <c r="AQ2704" s="175">
        <v>5</v>
      </c>
      <c r="AR2704" s="175">
        <v>1</v>
      </c>
      <c r="AS2704" s="175">
        <v>12</v>
      </c>
      <c r="AT2704" s="175">
        <v>5</v>
      </c>
    </row>
    <row r="2705" spans="1:46">
      <c r="A2705">
        <v>47232</v>
      </c>
      <c r="B2705" t="s">
        <v>15688</v>
      </c>
      <c r="C2705" t="s">
        <v>15689</v>
      </c>
      <c r="D2705" t="s">
        <v>12392</v>
      </c>
      <c r="E2705" t="s">
        <v>12393</v>
      </c>
      <c r="G2705" t="s">
        <v>2055</v>
      </c>
      <c r="H2705" t="s">
        <v>450</v>
      </c>
      <c r="J2705" t="s">
        <v>4032</v>
      </c>
      <c r="K2705" t="s">
        <v>606</v>
      </c>
      <c r="M2705" t="s">
        <v>1382</v>
      </c>
      <c r="N2705" t="s">
        <v>643</v>
      </c>
      <c r="O2705" t="s">
        <v>2037</v>
      </c>
      <c r="P2705" t="s">
        <v>670</v>
      </c>
      <c r="Q2705" t="s">
        <v>553</v>
      </c>
      <c r="R2705" t="s">
        <v>1841</v>
      </c>
      <c r="S2705" t="s">
        <v>2055</v>
      </c>
      <c r="T2705" t="s">
        <v>1568</v>
      </c>
      <c r="U2705">
        <v>230600</v>
      </c>
      <c r="V2705" t="s">
        <v>2056</v>
      </c>
      <c r="W2705" t="s">
        <v>2038</v>
      </c>
      <c r="X2705" t="s">
        <v>12394</v>
      </c>
      <c r="Y2705" t="s">
        <v>12395</v>
      </c>
      <c r="AA2705" t="s">
        <v>2041</v>
      </c>
      <c r="AB2705" t="s">
        <v>12391</v>
      </c>
      <c r="AC2705">
        <v>99165</v>
      </c>
      <c r="AD2705" t="s">
        <v>2057</v>
      </c>
      <c r="AE2705">
        <v>-40.358771429999997</v>
      </c>
      <c r="AF2705">
        <v>175.60477043</v>
      </c>
      <c r="AG2705" s="175">
        <v>80</v>
      </c>
      <c r="AH2705" s="175">
        <v>80</v>
      </c>
      <c r="AI2705" s="175">
        <v>5</v>
      </c>
      <c r="AJ2705" s="175">
        <v>10</v>
      </c>
      <c r="AK2705" s="175">
        <v>18</v>
      </c>
      <c r="AL2705" s="175">
        <v>10</v>
      </c>
      <c r="AM2705" s="175">
        <v>11</v>
      </c>
      <c r="AN2705" s="175">
        <v>2</v>
      </c>
      <c r="AO2705" s="175">
        <v>56</v>
      </c>
      <c r="AP2705" s="175">
        <v>43</v>
      </c>
      <c r="AQ2705" s="175">
        <v>27</v>
      </c>
      <c r="AR2705" s="175">
        <v>8</v>
      </c>
      <c r="AS2705" s="175">
        <v>5</v>
      </c>
      <c r="AT2705" s="175">
        <v>2</v>
      </c>
    </row>
    <row r="2706" spans="1:46">
      <c r="A2706">
        <v>47235</v>
      </c>
      <c r="B2706" t="s">
        <v>15690</v>
      </c>
      <c r="C2706" t="s">
        <v>15691</v>
      </c>
      <c r="D2706" t="s">
        <v>15692</v>
      </c>
      <c r="E2706" t="s">
        <v>15693</v>
      </c>
      <c r="F2706" t="s">
        <v>7019</v>
      </c>
      <c r="G2706" t="s">
        <v>737</v>
      </c>
      <c r="H2706" t="s">
        <v>449</v>
      </c>
      <c r="J2706" t="s">
        <v>4032</v>
      </c>
      <c r="K2706" t="s">
        <v>606</v>
      </c>
      <c r="M2706" t="s">
        <v>607</v>
      </c>
      <c r="N2706" t="s">
        <v>608</v>
      </c>
      <c r="O2706" t="s">
        <v>914</v>
      </c>
      <c r="P2706" t="s">
        <v>739</v>
      </c>
      <c r="Q2706" t="s">
        <v>467</v>
      </c>
      <c r="R2706" t="s">
        <v>793</v>
      </c>
      <c r="S2706" t="s">
        <v>815</v>
      </c>
      <c r="T2706" t="s">
        <v>794</v>
      </c>
      <c r="U2706">
        <v>145400</v>
      </c>
      <c r="V2706" t="s">
        <v>8259</v>
      </c>
      <c r="W2706" t="s">
        <v>892</v>
      </c>
      <c r="X2706" t="s">
        <v>15694</v>
      </c>
      <c r="Y2706" t="s">
        <v>15695</v>
      </c>
      <c r="Z2706" t="s">
        <v>906</v>
      </c>
      <c r="AA2706" t="s">
        <v>4138</v>
      </c>
      <c r="AE2706">
        <v>-36.890404570000001</v>
      </c>
      <c r="AF2706">
        <v>174.85105479999999</v>
      </c>
      <c r="AG2706" s="175">
        <v>100</v>
      </c>
      <c r="AH2706" s="175">
        <v>32</v>
      </c>
      <c r="AI2706" s="175">
        <v>5</v>
      </c>
      <c r="AJ2706" s="175">
        <v>22</v>
      </c>
      <c r="AK2706" s="175">
        <v>21</v>
      </c>
      <c r="AL2706" s="175">
        <v>15</v>
      </c>
      <c r="AM2706" s="175">
        <v>22</v>
      </c>
      <c r="AN2706" s="175">
        <v>1</v>
      </c>
      <c r="AO2706" s="175">
        <v>86</v>
      </c>
      <c r="AP2706" s="175">
        <v>61</v>
      </c>
      <c r="AQ2706" s="175">
        <v>14</v>
      </c>
      <c r="AR2706" s="175">
        <v>9</v>
      </c>
      <c r="AS2706" s="175">
        <v>21</v>
      </c>
      <c r="AT2706" s="175">
        <v>11</v>
      </c>
    </row>
    <row r="2707" spans="1:46">
      <c r="A2707">
        <v>47236</v>
      </c>
      <c r="B2707" t="s">
        <v>15696</v>
      </c>
      <c r="C2707" t="s">
        <v>15697</v>
      </c>
      <c r="E2707" t="s">
        <v>15698</v>
      </c>
      <c r="G2707" t="s">
        <v>15699</v>
      </c>
      <c r="H2707" t="s">
        <v>449</v>
      </c>
      <c r="I2707" t="s">
        <v>470</v>
      </c>
      <c r="J2707" t="s">
        <v>605</v>
      </c>
      <c r="K2707" t="s">
        <v>606</v>
      </c>
      <c r="M2707" t="s">
        <v>1382</v>
      </c>
      <c r="N2707" t="s">
        <v>812</v>
      </c>
      <c r="O2707" t="s">
        <v>1435</v>
      </c>
      <c r="P2707" t="s">
        <v>626</v>
      </c>
      <c r="Q2707" t="s">
        <v>510</v>
      </c>
      <c r="R2707" t="s">
        <v>1384</v>
      </c>
      <c r="S2707" t="s">
        <v>1331</v>
      </c>
      <c r="T2707" t="s">
        <v>1320</v>
      </c>
      <c r="U2707">
        <v>170700</v>
      </c>
      <c r="V2707" t="s">
        <v>7838</v>
      </c>
      <c r="W2707" t="s">
        <v>7864</v>
      </c>
      <c r="X2707" t="s">
        <v>15700</v>
      </c>
      <c r="Y2707" t="s">
        <v>5336</v>
      </c>
      <c r="AA2707" t="s">
        <v>5337</v>
      </c>
      <c r="AC2707">
        <v>99193</v>
      </c>
      <c r="AD2707" t="s">
        <v>7865</v>
      </c>
      <c r="AE2707">
        <v>-37.318304339999997</v>
      </c>
      <c r="AF2707">
        <v>175.07262089</v>
      </c>
      <c r="AG2707" s="175">
        <v>22</v>
      </c>
      <c r="AH2707" s="175">
        <v>4</v>
      </c>
      <c r="AI2707" s="175">
        <v>1</v>
      </c>
      <c r="AJ2707" s="175">
        <v>0</v>
      </c>
      <c r="AK2707" s="175">
        <v>7</v>
      </c>
      <c r="AL2707" s="175">
        <v>5</v>
      </c>
      <c r="AM2707" s="175">
        <v>11</v>
      </c>
      <c r="AN2707" s="175">
        <v>0</v>
      </c>
      <c r="AO2707" s="175">
        <v>24</v>
      </c>
      <c r="AP2707" s="175">
        <v>13</v>
      </c>
      <c r="AQ2707" s="175">
        <v>20</v>
      </c>
      <c r="AR2707" s="175">
        <v>9</v>
      </c>
      <c r="AS2707" s="175">
        <v>0</v>
      </c>
      <c r="AT2707" s="175">
        <v>0</v>
      </c>
    </row>
    <row r="2708" spans="1:46">
      <c r="A2708">
        <v>47240</v>
      </c>
      <c r="B2708" t="s">
        <v>15701</v>
      </c>
      <c r="C2708" t="s">
        <v>15702</v>
      </c>
      <c r="D2708" t="s">
        <v>15703</v>
      </c>
      <c r="E2708" t="s">
        <v>15704</v>
      </c>
      <c r="F2708" t="s">
        <v>15705</v>
      </c>
      <c r="G2708" t="s">
        <v>2198</v>
      </c>
      <c r="H2708" t="s">
        <v>449</v>
      </c>
      <c r="J2708" t="s">
        <v>4032</v>
      </c>
      <c r="K2708" t="s">
        <v>606</v>
      </c>
      <c r="M2708" t="s">
        <v>1382</v>
      </c>
      <c r="N2708" t="s">
        <v>657</v>
      </c>
      <c r="O2708" t="s">
        <v>2210</v>
      </c>
      <c r="P2708" t="s">
        <v>670</v>
      </c>
      <c r="Q2708" t="s">
        <v>513</v>
      </c>
      <c r="R2708" t="s">
        <v>2164</v>
      </c>
      <c r="S2708" t="s">
        <v>2198</v>
      </c>
      <c r="T2708" t="s">
        <v>2165</v>
      </c>
      <c r="U2708">
        <v>212301</v>
      </c>
      <c r="V2708" t="s">
        <v>3806</v>
      </c>
      <c r="W2708" t="s">
        <v>3807</v>
      </c>
      <c r="X2708" t="s">
        <v>15706</v>
      </c>
      <c r="AB2708" t="s">
        <v>15702</v>
      </c>
      <c r="AE2708">
        <v>-39.43711923</v>
      </c>
      <c r="AF2708">
        <v>176.86974660999999</v>
      </c>
      <c r="AG2708" s="175">
        <v>36</v>
      </c>
      <c r="AH2708" s="175">
        <v>12</v>
      </c>
      <c r="AI2708" s="175">
        <v>2</v>
      </c>
      <c r="AJ2708" s="175">
        <v>5</v>
      </c>
      <c r="AK2708" s="175">
        <v>11</v>
      </c>
      <c r="AL2708" s="175">
        <v>13</v>
      </c>
      <c r="AM2708" s="175">
        <v>5</v>
      </c>
      <c r="AN2708" s="175">
        <v>0</v>
      </c>
      <c r="AO2708" s="175">
        <v>36</v>
      </c>
      <c r="AP2708" s="175">
        <v>33</v>
      </c>
      <c r="AQ2708" s="175">
        <v>15</v>
      </c>
      <c r="AR2708" s="175">
        <v>3</v>
      </c>
      <c r="AS2708" s="175">
        <v>0</v>
      </c>
      <c r="AT2708" s="175">
        <v>1</v>
      </c>
    </row>
    <row r="2709" spans="1:46">
      <c r="A2709">
        <v>47242</v>
      </c>
      <c r="B2709" t="s">
        <v>15707</v>
      </c>
      <c r="C2709" t="s">
        <v>15708</v>
      </c>
      <c r="D2709" t="s">
        <v>15709</v>
      </c>
      <c r="E2709" t="s">
        <v>15710</v>
      </c>
      <c r="G2709" t="s">
        <v>1580</v>
      </c>
      <c r="H2709" t="s">
        <v>449</v>
      </c>
      <c r="J2709" t="s">
        <v>4032</v>
      </c>
      <c r="K2709" t="s">
        <v>606</v>
      </c>
      <c r="M2709" t="s">
        <v>1382</v>
      </c>
      <c r="N2709" t="s">
        <v>643</v>
      </c>
      <c r="O2709" t="s">
        <v>1567</v>
      </c>
      <c r="P2709" t="s">
        <v>610</v>
      </c>
      <c r="Q2709" t="s">
        <v>510</v>
      </c>
      <c r="R2709" t="s">
        <v>1384</v>
      </c>
      <c r="S2709" t="s">
        <v>1404</v>
      </c>
      <c r="T2709" t="s">
        <v>1568</v>
      </c>
      <c r="U2709">
        <v>186000</v>
      </c>
      <c r="V2709" t="s">
        <v>1581</v>
      </c>
      <c r="W2709" t="s">
        <v>1582</v>
      </c>
      <c r="X2709" t="s">
        <v>15711</v>
      </c>
      <c r="Y2709" t="s">
        <v>15710</v>
      </c>
      <c r="AA2709" t="s">
        <v>15712</v>
      </c>
      <c r="AB2709" t="s">
        <v>15708</v>
      </c>
      <c r="AC2709">
        <v>99076</v>
      </c>
      <c r="AD2709" t="s">
        <v>1583</v>
      </c>
      <c r="AE2709">
        <v>-38.049488910000001</v>
      </c>
      <c r="AF2709">
        <v>175.78364511999999</v>
      </c>
      <c r="AG2709" s="175">
        <v>68</v>
      </c>
      <c r="AH2709" s="175">
        <v>20</v>
      </c>
      <c r="AI2709" s="175">
        <v>4</v>
      </c>
      <c r="AJ2709" s="175">
        <v>15</v>
      </c>
      <c r="AK2709" s="175">
        <v>18</v>
      </c>
      <c r="AL2709" s="175">
        <v>17</v>
      </c>
      <c r="AM2709" s="175">
        <v>26</v>
      </c>
      <c r="AN2709" s="175">
        <v>0</v>
      </c>
      <c r="AO2709" s="175">
        <v>80</v>
      </c>
      <c r="AP2709" s="175">
        <v>70</v>
      </c>
      <c r="AQ2709" s="175">
        <v>17</v>
      </c>
      <c r="AR2709" s="175">
        <v>1</v>
      </c>
      <c r="AS2709" s="175">
        <v>10</v>
      </c>
      <c r="AT2709" s="175">
        <v>0</v>
      </c>
    </row>
    <row r="2710" spans="1:46">
      <c r="A2710">
        <v>47245</v>
      </c>
      <c r="B2710" t="s">
        <v>15713</v>
      </c>
      <c r="C2710" t="s">
        <v>15714</v>
      </c>
      <c r="E2710" t="s">
        <v>15715</v>
      </c>
      <c r="F2710" t="s">
        <v>2062</v>
      </c>
      <c r="G2710" t="s">
        <v>2055</v>
      </c>
      <c r="H2710" t="s">
        <v>449</v>
      </c>
      <c r="J2710" t="s">
        <v>4032</v>
      </c>
      <c r="K2710" t="s">
        <v>606</v>
      </c>
      <c r="M2710" t="s">
        <v>1382</v>
      </c>
      <c r="N2710" t="s">
        <v>657</v>
      </c>
      <c r="O2710" t="s">
        <v>2037</v>
      </c>
      <c r="P2710" t="s">
        <v>670</v>
      </c>
      <c r="Q2710" t="s">
        <v>553</v>
      </c>
      <c r="R2710" t="s">
        <v>1841</v>
      </c>
      <c r="S2710" t="s">
        <v>2055</v>
      </c>
      <c r="T2710" t="s">
        <v>1568</v>
      </c>
      <c r="U2710">
        <v>229201</v>
      </c>
      <c r="V2710" t="s">
        <v>12567</v>
      </c>
      <c r="W2710" t="s">
        <v>2038</v>
      </c>
      <c r="X2710" t="s">
        <v>15716</v>
      </c>
      <c r="Y2710" t="s">
        <v>15717</v>
      </c>
      <c r="Z2710" t="s">
        <v>2062</v>
      </c>
      <c r="AA2710" t="s">
        <v>14389</v>
      </c>
      <c r="AB2710" t="s">
        <v>15718</v>
      </c>
      <c r="AE2710">
        <v>-40.343173950000001</v>
      </c>
      <c r="AF2710">
        <v>175.59096939</v>
      </c>
      <c r="AG2710" s="175">
        <v>62</v>
      </c>
      <c r="AH2710" s="175">
        <v>22</v>
      </c>
      <c r="AI2710" s="175">
        <v>2</v>
      </c>
      <c r="AJ2710" s="175">
        <v>9</v>
      </c>
      <c r="AK2710" s="175">
        <v>12</v>
      </c>
      <c r="AL2710" s="175">
        <v>12</v>
      </c>
      <c r="AM2710" s="175">
        <v>26</v>
      </c>
      <c r="AN2710" s="175">
        <v>0</v>
      </c>
      <c r="AO2710" s="175">
        <v>61</v>
      </c>
      <c r="AP2710" s="175">
        <v>53</v>
      </c>
      <c r="AQ2710" s="175">
        <v>25</v>
      </c>
      <c r="AR2710" s="175">
        <v>5</v>
      </c>
      <c r="AS2710" s="175">
        <v>4</v>
      </c>
      <c r="AT2710" s="175">
        <v>1</v>
      </c>
    </row>
    <row r="2711" spans="1:46">
      <c r="A2711">
        <v>47248</v>
      </c>
      <c r="B2711" t="s">
        <v>15719</v>
      </c>
      <c r="C2711" t="s">
        <v>15720</v>
      </c>
      <c r="E2711" t="s">
        <v>15721</v>
      </c>
      <c r="F2711" t="s">
        <v>14570</v>
      </c>
      <c r="G2711" t="s">
        <v>1923</v>
      </c>
      <c r="H2711" t="s">
        <v>449</v>
      </c>
      <c r="I2711" t="s">
        <v>3715</v>
      </c>
      <c r="J2711" t="s">
        <v>605</v>
      </c>
      <c r="K2711" t="s">
        <v>606</v>
      </c>
      <c r="M2711" t="s">
        <v>1382</v>
      </c>
      <c r="N2711" t="s">
        <v>608</v>
      </c>
      <c r="O2711" t="s">
        <v>1968</v>
      </c>
      <c r="P2711" t="s">
        <v>670</v>
      </c>
      <c r="Q2711" t="s">
        <v>553</v>
      </c>
      <c r="R2711" t="s">
        <v>1841</v>
      </c>
      <c r="S2711" t="s">
        <v>1923</v>
      </c>
      <c r="T2711" t="s">
        <v>1568</v>
      </c>
      <c r="U2711">
        <v>224301</v>
      </c>
      <c r="V2711" t="s">
        <v>1980</v>
      </c>
      <c r="W2711" t="s">
        <v>1734</v>
      </c>
      <c r="X2711" t="s">
        <v>15722</v>
      </c>
      <c r="Y2711" t="s">
        <v>15723</v>
      </c>
      <c r="Z2711" t="s">
        <v>1967</v>
      </c>
      <c r="AA2711" t="s">
        <v>14572</v>
      </c>
      <c r="AB2711" t="s">
        <v>15724</v>
      </c>
      <c r="AE2711">
        <v>-39.935998390000002</v>
      </c>
      <c r="AF2711">
        <v>175.01564651999999</v>
      </c>
      <c r="AG2711" s="175">
        <v>30</v>
      </c>
      <c r="AH2711" s="175">
        <v>5</v>
      </c>
      <c r="AI2711" s="175">
        <v>0</v>
      </c>
      <c r="AJ2711" s="175">
        <v>0</v>
      </c>
      <c r="AK2711" s="175">
        <v>5</v>
      </c>
      <c r="AL2711" s="175">
        <v>9</v>
      </c>
      <c r="AM2711" s="175">
        <v>5</v>
      </c>
      <c r="AN2711" s="175">
        <v>2</v>
      </c>
      <c r="AO2711" s="175">
        <v>21</v>
      </c>
      <c r="AP2711" s="175">
        <v>1</v>
      </c>
      <c r="AQ2711" s="175">
        <v>13</v>
      </c>
      <c r="AR2711" s="175">
        <v>10</v>
      </c>
      <c r="AS2711" s="175">
        <v>1</v>
      </c>
      <c r="AT2711" s="175">
        <v>0</v>
      </c>
    </row>
    <row r="2712" spans="1:46">
      <c r="A2712">
        <v>47252</v>
      </c>
      <c r="B2712" t="s">
        <v>15725</v>
      </c>
      <c r="C2712" t="s">
        <v>5256</v>
      </c>
      <c r="D2712" t="s">
        <v>15726</v>
      </c>
      <c r="E2712" t="s">
        <v>15727</v>
      </c>
      <c r="F2712" t="s">
        <v>913</v>
      </c>
      <c r="G2712" t="s">
        <v>737</v>
      </c>
      <c r="H2712" t="s">
        <v>449</v>
      </c>
      <c r="J2712" t="s">
        <v>4032</v>
      </c>
      <c r="K2712" t="s">
        <v>606</v>
      </c>
      <c r="M2712" t="s">
        <v>607</v>
      </c>
      <c r="N2712" t="s">
        <v>657</v>
      </c>
      <c r="O2712" t="s">
        <v>914</v>
      </c>
      <c r="P2712" t="s">
        <v>739</v>
      </c>
      <c r="Q2712" t="s">
        <v>467</v>
      </c>
      <c r="R2712" t="s">
        <v>793</v>
      </c>
      <c r="S2712" t="s">
        <v>890</v>
      </c>
      <c r="T2712" t="s">
        <v>794</v>
      </c>
      <c r="U2712">
        <v>145000</v>
      </c>
      <c r="V2712" t="s">
        <v>915</v>
      </c>
      <c r="W2712" t="s">
        <v>892</v>
      </c>
      <c r="X2712" t="s">
        <v>5258</v>
      </c>
      <c r="Y2712" t="s">
        <v>5259</v>
      </c>
      <c r="Z2712" t="s">
        <v>907</v>
      </c>
      <c r="AA2712" t="s">
        <v>5260</v>
      </c>
      <c r="AB2712" t="s">
        <v>5256</v>
      </c>
      <c r="AE2712">
        <v>-36.916455470000002</v>
      </c>
      <c r="AF2712">
        <v>174.78630339</v>
      </c>
      <c r="AG2712" s="175">
        <v>30</v>
      </c>
      <c r="AH2712" s="175">
        <v>20</v>
      </c>
      <c r="AI2712" s="175">
        <v>0</v>
      </c>
      <c r="AJ2712" s="175">
        <v>20</v>
      </c>
      <c r="AK2712" s="175">
        <v>10</v>
      </c>
      <c r="AL2712" s="175">
        <v>0</v>
      </c>
      <c r="AM2712" s="175">
        <v>0</v>
      </c>
      <c r="AN2712" s="175">
        <v>0</v>
      </c>
      <c r="AO2712" s="175">
        <v>30</v>
      </c>
      <c r="AP2712" s="175">
        <v>10</v>
      </c>
      <c r="AQ2712" s="175">
        <v>5</v>
      </c>
      <c r="AR2712" s="175">
        <v>4</v>
      </c>
      <c r="AS2712" s="175">
        <v>17</v>
      </c>
      <c r="AT2712" s="175">
        <v>1</v>
      </c>
    </row>
    <row r="2713" spans="1:46">
      <c r="A2713">
        <v>47253</v>
      </c>
      <c r="B2713" t="s">
        <v>15728</v>
      </c>
      <c r="C2713" t="s">
        <v>15729</v>
      </c>
      <c r="D2713" t="s">
        <v>15730</v>
      </c>
      <c r="E2713" t="s">
        <v>15731</v>
      </c>
      <c r="G2713" t="s">
        <v>2276</v>
      </c>
      <c r="H2713" t="s">
        <v>449</v>
      </c>
      <c r="J2713" t="s">
        <v>4032</v>
      </c>
      <c r="K2713" t="s">
        <v>606</v>
      </c>
      <c r="M2713" t="s">
        <v>1382</v>
      </c>
      <c r="N2713" t="s">
        <v>625</v>
      </c>
      <c r="O2713" t="s">
        <v>2277</v>
      </c>
      <c r="P2713" t="s">
        <v>670</v>
      </c>
      <c r="Q2713" t="s">
        <v>513</v>
      </c>
      <c r="R2713" t="s">
        <v>2164</v>
      </c>
      <c r="S2713" t="s">
        <v>2278</v>
      </c>
      <c r="T2713" t="s">
        <v>2165</v>
      </c>
      <c r="U2713">
        <v>210700</v>
      </c>
      <c r="V2713" t="s">
        <v>2289</v>
      </c>
      <c r="W2713" t="s">
        <v>2279</v>
      </c>
      <c r="X2713" t="s">
        <v>15732</v>
      </c>
      <c r="Y2713" t="s">
        <v>15733</v>
      </c>
      <c r="AA2713" t="s">
        <v>15734</v>
      </c>
      <c r="AB2713" t="s">
        <v>15729</v>
      </c>
      <c r="AE2713">
        <v>-39.647956059999999</v>
      </c>
      <c r="AF2713">
        <v>176.84065385</v>
      </c>
      <c r="AG2713" s="175">
        <v>100</v>
      </c>
      <c r="AH2713" s="175">
        <v>30</v>
      </c>
      <c r="AI2713" s="175">
        <v>5</v>
      </c>
      <c r="AJ2713" s="175">
        <v>18</v>
      </c>
      <c r="AK2713" s="175">
        <v>12</v>
      </c>
      <c r="AL2713" s="175">
        <v>24</v>
      </c>
      <c r="AM2713" s="175">
        <v>22</v>
      </c>
      <c r="AN2713" s="175">
        <v>0</v>
      </c>
      <c r="AO2713" s="175">
        <v>81</v>
      </c>
      <c r="AP2713" s="175">
        <v>53</v>
      </c>
      <c r="AQ2713" s="175">
        <v>41</v>
      </c>
      <c r="AR2713" s="175">
        <v>9</v>
      </c>
      <c r="AS2713" s="175">
        <v>13</v>
      </c>
      <c r="AT2713" s="175">
        <v>0</v>
      </c>
    </row>
    <row r="2714" spans="1:46">
      <c r="A2714">
        <v>47254</v>
      </c>
      <c r="B2714" t="s">
        <v>15735</v>
      </c>
      <c r="C2714" t="s">
        <v>14933</v>
      </c>
      <c r="D2714" t="s">
        <v>14929</v>
      </c>
      <c r="E2714" t="s">
        <v>15736</v>
      </c>
      <c r="F2714" t="s">
        <v>1030</v>
      </c>
      <c r="G2714" t="s">
        <v>737</v>
      </c>
      <c r="H2714" t="s">
        <v>450</v>
      </c>
      <c r="I2714" t="s">
        <v>4320</v>
      </c>
      <c r="J2714" t="s">
        <v>4032</v>
      </c>
      <c r="K2714" t="s">
        <v>606</v>
      </c>
      <c r="M2714" t="s">
        <v>607</v>
      </c>
      <c r="N2714" t="s">
        <v>812</v>
      </c>
      <c r="O2714" t="s">
        <v>933</v>
      </c>
      <c r="P2714" t="s">
        <v>739</v>
      </c>
      <c r="Q2714" t="s">
        <v>467</v>
      </c>
      <c r="R2714" t="s">
        <v>814</v>
      </c>
      <c r="S2714" t="s">
        <v>934</v>
      </c>
      <c r="T2714" t="s">
        <v>794</v>
      </c>
      <c r="U2714">
        <v>150000</v>
      </c>
      <c r="V2714" t="s">
        <v>1055</v>
      </c>
      <c r="W2714" t="s">
        <v>817</v>
      </c>
      <c r="X2714" t="s">
        <v>14931</v>
      </c>
      <c r="Y2714" t="s">
        <v>14932</v>
      </c>
      <c r="Z2714" t="s">
        <v>1030</v>
      </c>
      <c r="AA2714" t="s">
        <v>4679</v>
      </c>
      <c r="AB2714" t="s">
        <v>14933</v>
      </c>
      <c r="AE2714">
        <v>-36.959705079999999</v>
      </c>
      <c r="AF2714">
        <v>174.81597696</v>
      </c>
      <c r="AG2714" s="175">
        <v>50</v>
      </c>
      <c r="AH2714" s="175">
        <v>50</v>
      </c>
      <c r="AI2714" s="175">
        <v>7</v>
      </c>
      <c r="AJ2714" s="175">
        <v>8</v>
      </c>
      <c r="AK2714" s="175">
        <v>13</v>
      </c>
      <c r="AL2714" s="175">
        <v>13</v>
      </c>
      <c r="AM2714" s="175">
        <v>9</v>
      </c>
      <c r="AN2714" s="175">
        <v>0</v>
      </c>
      <c r="AO2714" s="175">
        <v>50</v>
      </c>
      <c r="AP2714" s="175">
        <v>0</v>
      </c>
      <c r="AQ2714" s="175">
        <v>0</v>
      </c>
      <c r="AR2714" s="175">
        <v>50</v>
      </c>
      <c r="AS2714" s="175">
        <v>2</v>
      </c>
      <c r="AT2714" s="175">
        <v>0</v>
      </c>
    </row>
    <row r="2715" spans="1:46">
      <c r="A2715">
        <v>47255</v>
      </c>
      <c r="B2715" t="s">
        <v>15737</v>
      </c>
      <c r="C2715" t="s">
        <v>14933</v>
      </c>
      <c r="D2715" t="s">
        <v>14929</v>
      </c>
      <c r="E2715" t="s">
        <v>15736</v>
      </c>
      <c r="F2715" t="s">
        <v>1030</v>
      </c>
      <c r="G2715" t="s">
        <v>737</v>
      </c>
      <c r="H2715" t="s">
        <v>450</v>
      </c>
      <c r="I2715" t="s">
        <v>4320</v>
      </c>
      <c r="J2715" t="s">
        <v>4032</v>
      </c>
      <c r="K2715" t="s">
        <v>606</v>
      </c>
      <c r="M2715" t="s">
        <v>607</v>
      </c>
      <c r="N2715" t="s">
        <v>812</v>
      </c>
      <c r="O2715" t="s">
        <v>933</v>
      </c>
      <c r="P2715" t="s">
        <v>739</v>
      </c>
      <c r="Q2715" t="s">
        <v>467</v>
      </c>
      <c r="R2715" t="s">
        <v>814</v>
      </c>
      <c r="S2715" t="s">
        <v>934</v>
      </c>
      <c r="T2715" t="s">
        <v>794</v>
      </c>
      <c r="U2715">
        <v>150000</v>
      </c>
      <c r="V2715" t="s">
        <v>1055</v>
      </c>
      <c r="W2715" t="s">
        <v>817</v>
      </c>
      <c r="X2715" t="s">
        <v>14931</v>
      </c>
      <c r="Y2715" t="s">
        <v>14932</v>
      </c>
      <c r="Z2715" t="s">
        <v>1030</v>
      </c>
      <c r="AA2715" t="s">
        <v>4679</v>
      </c>
      <c r="AB2715" t="s">
        <v>14933</v>
      </c>
      <c r="AE2715">
        <v>-36.959719589999999</v>
      </c>
      <c r="AF2715">
        <v>174.81593599999999</v>
      </c>
      <c r="AG2715" s="175">
        <v>50</v>
      </c>
      <c r="AH2715" s="175">
        <v>50</v>
      </c>
      <c r="AI2715" s="175">
        <v>12</v>
      </c>
      <c r="AJ2715" s="175">
        <v>13</v>
      </c>
      <c r="AK2715" s="175">
        <v>8</v>
      </c>
      <c r="AL2715" s="175">
        <v>10</v>
      </c>
      <c r="AM2715" s="175">
        <v>6</v>
      </c>
      <c r="AN2715" s="175">
        <v>0</v>
      </c>
      <c r="AO2715" s="175">
        <v>49</v>
      </c>
      <c r="AP2715" s="175">
        <v>0</v>
      </c>
      <c r="AQ2715" s="175">
        <v>0</v>
      </c>
      <c r="AR2715" s="175">
        <v>49</v>
      </c>
      <c r="AS2715" s="175">
        <v>0</v>
      </c>
      <c r="AT2715" s="175">
        <v>0</v>
      </c>
    </row>
    <row r="2716" spans="1:46">
      <c r="A2716">
        <v>47256</v>
      </c>
      <c r="B2716" t="s">
        <v>15738</v>
      </c>
      <c r="C2716" t="s">
        <v>15739</v>
      </c>
      <c r="D2716" t="s">
        <v>15740</v>
      </c>
      <c r="E2716" t="s">
        <v>15741</v>
      </c>
      <c r="F2716" t="s">
        <v>848</v>
      </c>
      <c r="G2716" t="s">
        <v>737</v>
      </c>
      <c r="H2716" t="s">
        <v>449</v>
      </c>
      <c r="J2716" t="s">
        <v>4032</v>
      </c>
      <c r="K2716" t="s">
        <v>606</v>
      </c>
      <c r="M2716" t="s">
        <v>607</v>
      </c>
      <c r="N2716" t="s">
        <v>657</v>
      </c>
      <c r="O2716" t="s">
        <v>823</v>
      </c>
      <c r="P2716" t="s">
        <v>739</v>
      </c>
      <c r="Q2716" t="s">
        <v>467</v>
      </c>
      <c r="R2716" t="s">
        <v>724</v>
      </c>
      <c r="S2716" t="s">
        <v>841</v>
      </c>
      <c r="T2716" t="s">
        <v>613</v>
      </c>
      <c r="U2716">
        <v>125202</v>
      </c>
      <c r="V2716" t="s">
        <v>5962</v>
      </c>
      <c r="W2716" t="s">
        <v>826</v>
      </c>
      <c r="X2716" t="s">
        <v>15742</v>
      </c>
      <c r="Y2716" t="s">
        <v>15743</v>
      </c>
      <c r="AA2716" t="s">
        <v>4432</v>
      </c>
      <c r="AE2716">
        <v>-36.800813060000003</v>
      </c>
      <c r="AF2716">
        <v>174.72103125000001</v>
      </c>
      <c r="AG2716" s="175">
        <v>35</v>
      </c>
      <c r="AH2716" s="175">
        <v>10</v>
      </c>
      <c r="AI2716" s="175">
        <v>2</v>
      </c>
      <c r="AJ2716" s="175">
        <v>5</v>
      </c>
      <c r="AK2716" s="175">
        <v>7</v>
      </c>
      <c r="AL2716" s="175">
        <v>11</v>
      </c>
      <c r="AM2716" s="175">
        <v>10</v>
      </c>
      <c r="AN2716" s="175">
        <v>0</v>
      </c>
      <c r="AO2716" s="175">
        <v>35</v>
      </c>
      <c r="AP2716" s="175">
        <v>20</v>
      </c>
      <c r="AQ2716" s="175">
        <v>2</v>
      </c>
      <c r="AR2716" s="175">
        <v>0</v>
      </c>
      <c r="AS2716" s="175">
        <v>14</v>
      </c>
      <c r="AT2716" s="175">
        <v>4</v>
      </c>
    </row>
    <row r="2717" spans="1:46">
      <c r="A2717">
        <v>47257</v>
      </c>
      <c r="B2717" t="s">
        <v>15744</v>
      </c>
      <c r="C2717" t="s">
        <v>15745</v>
      </c>
      <c r="D2717" t="s">
        <v>15746</v>
      </c>
      <c r="E2717" t="s">
        <v>15747</v>
      </c>
      <c r="F2717" t="s">
        <v>4057</v>
      </c>
      <c r="G2717" t="s">
        <v>737</v>
      </c>
      <c r="H2717" t="s">
        <v>449</v>
      </c>
      <c r="J2717" t="s">
        <v>4032</v>
      </c>
      <c r="K2717" t="s">
        <v>606</v>
      </c>
      <c r="M2717" t="s">
        <v>607</v>
      </c>
      <c r="N2717" t="s">
        <v>812</v>
      </c>
      <c r="O2717" t="s">
        <v>1318</v>
      </c>
      <c r="P2717" t="s">
        <v>1347</v>
      </c>
      <c r="Q2717" t="s">
        <v>467</v>
      </c>
      <c r="R2717" t="s">
        <v>814</v>
      </c>
      <c r="S2717" t="s">
        <v>1331</v>
      </c>
      <c r="T2717" t="s">
        <v>1320</v>
      </c>
      <c r="U2717">
        <v>165501</v>
      </c>
      <c r="V2717" t="s">
        <v>4057</v>
      </c>
      <c r="W2717" t="s">
        <v>1322</v>
      </c>
      <c r="X2717" t="s">
        <v>12709</v>
      </c>
      <c r="Y2717" t="s">
        <v>12710</v>
      </c>
      <c r="Z2717" t="s">
        <v>921</v>
      </c>
      <c r="AA2717" t="s">
        <v>4349</v>
      </c>
      <c r="AB2717" t="s">
        <v>12711</v>
      </c>
      <c r="AC2717">
        <v>99075</v>
      </c>
      <c r="AD2717" t="s">
        <v>1349</v>
      </c>
      <c r="AE2717">
        <v>-37.1987776</v>
      </c>
      <c r="AF2717">
        <v>174.88569582</v>
      </c>
      <c r="AG2717" s="175">
        <v>150</v>
      </c>
      <c r="AH2717" s="175">
        <v>30</v>
      </c>
      <c r="AI2717" s="175">
        <v>4</v>
      </c>
      <c r="AJ2717" s="175">
        <v>14</v>
      </c>
      <c r="AK2717" s="175">
        <v>33</v>
      </c>
      <c r="AL2717" s="175">
        <v>38</v>
      </c>
      <c r="AM2717" s="175">
        <v>36</v>
      </c>
      <c r="AN2717" s="175">
        <v>2</v>
      </c>
      <c r="AO2717" s="175">
        <v>127</v>
      </c>
      <c r="AP2717" s="175">
        <v>44</v>
      </c>
      <c r="AQ2717" s="175">
        <v>84</v>
      </c>
      <c r="AR2717" s="175">
        <v>29</v>
      </c>
      <c r="AS2717" s="175">
        <v>13</v>
      </c>
      <c r="AT2717" s="175">
        <v>1</v>
      </c>
    </row>
    <row r="2718" spans="1:46">
      <c r="A2718">
        <v>47260</v>
      </c>
      <c r="B2718" t="s">
        <v>15748</v>
      </c>
      <c r="C2718" t="s">
        <v>15749</v>
      </c>
      <c r="D2718" t="s">
        <v>15750</v>
      </c>
      <c r="E2718" t="s">
        <v>15751</v>
      </c>
      <c r="F2718" t="s">
        <v>11162</v>
      </c>
      <c r="G2718" t="s">
        <v>3841</v>
      </c>
      <c r="H2718" t="s">
        <v>449</v>
      </c>
      <c r="J2718" t="s">
        <v>4032</v>
      </c>
      <c r="K2718" t="s">
        <v>606</v>
      </c>
      <c r="M2718" t="s">
        <v>1382</v>
      </c>
      <c r="N2718" t="s">
        <v>657</v>
      </c>
      <c r="O2718" t="s">
        <v>1780</v>
      </c>
      <c r="P2718" t="s">
        <v>739</v>
      </c>
      <c r="Q2718" t="s">
        <v>511</v>
      </c>
      <c r="R2718" t="s">
        <v>1555</v>
      </c>
      <c r="S2718" t="s">
        <v>1781</v>
      </c>
      <c r="T2718" t="s">
        <v>1557</v>
      </c>
      <c r="U2718">
        <v>197300</v>
      </c>
      <c r="V2718" t="s">
        <v>3842</v>
      </c>
      <c r="W2718" t="s">
        <v>3843</v>
      </c>
      <c r="X2718" t="s">
        <v>15752</v>
      </c>
      <c r="Y2718" t="s">
        <v>15753</v>
      </c>
      <c r="Z2718" t="s">
        <v>11162</v>
      </c>
      <c r="AA2718" t="s">
        <v>11952</v>
      </c>
      <c r="AE2718">
        <v>-37.714160980000003</v>
      </c>
      <c r="AF2718">
        <v>176.30181669999999</v>
      </c>
      <c r="AG2718" s="175">
        <v>90</v>
      </c>
      <c r="AH2718" s="175">
        <v>24</v>
      </c>
      <c r="AI2718" s="175">
        <v>2</v>
      </c>
      <c r="AJ2718" s="175">
        <v>22</v>
      </c>
      <c r="AK2718" s="175">
        <v>27</v>
      </c>
      <c r="AL2718" s="175">
        <v>26</v>
      </c>
      <c r="AM2718" s="175">
        <v>21</v>
      </c>
      <c r="AN2718" s="175">
        <v>0</v>
      </c>
      <c r="AO2718" s="175">
        <v>98</v>
      </c>
      <c r="AP2718" s="175">
        <v>88</v>
      </c>
      <c r="AQ2718" s="175">
        <v>23</v>
      </c>
      <c r="AR2718" s="175">
        <v>6</v>
      </c>
      <c r="AS2718" s="175">
        <v>2</v>
      </c>
      <c r="AT2718" s="175">
        <v>2</v>
      </c>
    </row>
    <row r="2719" spans="1:46">
      <c r="A2719">
        <v>47261</v>
      </c>
      <c r="B2719" t="s">
        <v>15754</v>
      </c>
      <c r="C2719" t="s">
        <v>14439</v>
      </c>
      <c r="D2719" t="s">
        <v>14440</v>
      </c>
      <c r="E2719" t="s">
        <v>15755</v>
      </c>
      <c r="F2719" t="s">
        <v>8319</v>
      </c>
      <c r="G2719" t="s">
        <v>737</v>
      </c>
      <c r="H2719" t="s">
        <v>450</v>
      </c>
      <c r="J2719" t="s">
        <v>4032</v>
      </c>
      <c r="K2719" t="s">
        <v>606</v>
      </c>
      <c r="M2719" t="s">
        <v>607</v>
      </c>
      <c r="N2719" t="s">
        <v>657</v>
      </c>
      <c r="O2719" t="s">
        <v>1253</v>
      </c>
      <c r="P2719" t="s">
        <v>739</v>
      </c>
      <c r="Q2719" t="s">
        <v>467</v>
      </c>
      <c r="R2719" t="s">
        <v>724</v>
      </c>
      <c r="S2719" t="s">
        <v>740</v>
      </c>
      <c r="T2719" t="s">
        <v>613</v>
      </c>
      <c r="U2719">
        <v>118600</v>
      </c>
      <c r="V2719" t="s">
        <v>4082</v>
      </c>
      <c r="W2719" t="s">
        <v>742</v>
      </c>
      <c r="X2719" t="s">
        <v>6333</v>
      </c>
      <c r="Y2719" t="s">
        <v>6334</v>
      </c>
      <c r="Z2719" t="s">
        <v>3777</v>
      </c>
      <c r="AA2719" t="s">
        <v>6335</v>
      </c>
      <c r="AB2719" t="s">
        <v>6336</v>
      </c>
      <c r="AE2719">
        <v>-36.745911509999999</v>
      </c>
      <c r="AF2719">
        <v>174.7043171</v>
      </c>
      <c r="AG2719" s="175">
        <v>80</v>
      </c>
      <c r="AH2719" s="175">
        <v>80</v>
      </c>
      <c r="AI2719" s="175">
        <v>3</v>
      </c>
      <c r="AJ2719" s="175">
        <v>9</v>
      </c>
      <c r="AK2719" s="175">
        <v>12</v>
      </c>
      <c r="AL2719" s="175">
        <v>11</v>
      </c>
      <c r="AM2719" s="175">
        <v>12</v>
      </c>
      <c r="AN2719" s="175">
        <v>0</v>
      </c>
      <c r="AO2719" s="175">
        <v>47</v>
      </c>
      <c r="AP2719" s="175">
        <v>3</v>
      </c>
      <c r="AQ2719" s="175">
        <v>1</v>
      </c>
      <c r="AR2719" s="175">
        <v>0</v>
      </c>
      <c r="AS2719" s="175">
        <v>47</v>
      </c>
      <c r="AT2719" s="175">
        <v>0</v>
      </c>
    </row>
    <row r="2720" spans="1:46">
      <c r="A2720">
        <v>47262</v>
      </c>
      <c r="B2720" t="s">
        <v>15756</v>
      </c>
      <c r="C2720" t="s">
        <v>15757</v>
      </c>
      <c r="D2720" t="s">
        <v>15758</v>
      </c>
      <c r="E2720" t="s">
        <v>15759</v>
      </c>
      <c r="G2720" t="s">
        <v>3260</v>
      </c>
      <c r="H2720" t="s">
        <v>449</v>
      </c>
      <c r="J2720" t="s">
        <v>4032</v>
      </c>
      <c r="K2720" t="s">
        <v>606</v>
      </c>
      <c r="M2720" t="s">
        <v>2366</v>
      </c>
      <c r="N2720" t="s">
        <v>625</v>
      </c>
      <c r="O2720" t="s">
        <v>3037</v>
      </c>
      <c r="P2720" t="s">
        <v>1347</v>
      </c>
      <c r="Q2720" t="s">
        <v>521</v>
      </c>
      <c r="R2720" t="s">
        <v>3017</v>
      </c>
      <c r="S2720" t="s">
        <v>3038</v>
      </c>
      <c r="T2720" t="s">
        <v>2526</v>
      </c>
      <c r="U2720">
        <v>315901</v>
      </c>
      <c r="V2720" t="s">
        <v>14272</v>
      </c>
      <c r="W2720" t="s">
        <v>3262</v>
      </c>
      <c r="X2720" t="s">
        <v>15760</v>
      </c>
      <c r="Y2720" t="s">
        <v>4725</v>
      </c>
      <c r="Z2720" t="s">
        <v>1043</v>
      </c>
      <c r="AA2720" t="s">
        <v>4726</v>
      </c>
      <c r="AB2720" t="s">
        <v>15761</v>
      </c>
      <c r="AC2720">
        <v>99061</v>
      </c>
      <c r="AD2720" t="s">
        <v>3263</v>
      </c>
      <c r="AE2720">
        <v>-43.378878589999999</v>
      </c>
      <c r="AF2720">
        <v>172.66669611</v>
      </c>
      <c r="AG2720" s="175">
        <v>68</v>
      </c>
      <c r="AH2720" s="175">
        <v>12</v>
      </c>
      <c r="AI2720" s="175">
        <v>2</v>
      </c>
      <c r="AJ2720" s="175">
        <v>16</v>
      </c>
      <c r="AK2720" s="175">
        <v>9</v>
      </c>
      <c r="AL2720" s="175">
        <v>13</v>
      </c>
      <c r="AM2720" s="175">
        <v>16</v>
      </c>
      <c r="AN2720" s="175">
        <v>0</v>
      </c>
      <c r="AO2720" s="175">
        <v>56</v>
      </c>
      <c r="AP2720" s="175">
        <v>43</v>
      </c>
      <c r="AQ2720" s="175">
        <v>11</v>
      </c>
      <c r="AR2720" s="175">
        <v>4</v>
      </c>
      <c r="AS2720" s="175">
        <v>9</v>
      </c>
      <c r="AT2720" s="175">
        <v>2</v>
      </c>
    </row>
    <row r="2721" spans="1:46">
      <c r="A2721">
        <v>47263</v>
      </c>
      <c r="B2721" t="s">
        <v>15762</v>
      </c>
      <c r="C2721" t="s">
        <v>15763</v>
      </c>
      <c r="D2721" t="s">
        <v>15764</v>
      </c>
      <c r="E2721" t="s">
        <v>15765</v>
      </c>
      <c r="G2721" t="s">
        <v>3905</v>
      </c>
      <c r="H2721" t="s">
        <v>449</v>
      </c>
      <c r="J2721" t="s">
        <v>4032</v>
      </c>
      <c r="K2721" t="s">
        <v>606</v>
      </c>
      <c r="M2721" t="s">
        <v>2366</v>
      </c>
      <c r="N2721" t="s">
        <v>657</v>
      </c>
      <c r="O2721" t="s">
        <v>3906</v>
      </c>
      <c r="P2721" t="s">
        <v>1347</v>
      </c>
      <c r="Q2721" t="s">
        <v>522</v>
      </c>
      <c r="R2721" t="s">
        <v>3410</v>
      </c>
      <c r="S2721" t="s">
        <v>3433</v>
      </c>
      <c r="T2721" t="s">
        <v>2526</v>
      </c>
      <c r="U2721">
        <v>348700</v>
      </c>
      <c r="V2721" t="s">
        <v>15766</v>
      </c>
      <c r="W2721" t="s">
        <v>11569</v>
      </c>
      <c r="X2721" t="s">
        <v>15767</v>
      </c>
      <c r="Y2721" t="s">
        <v>12459</v>
      </c>
      <c r="Z2721" t="s">
        <v>4622</v>
      </c>
      <c r="AA2721" t="s">
        <v>4623</v>
      </c>
      <c r="AB2721" t="s">
        <v>15768</v>
      </c>
      <c r="AE2721">
        <v>-45.004918029999999</v>
      </c>
      <c r="AF2721">
        <v>168.77600939999999</v>
      </c>
      <c r="AG2721" s="175">
        <v>70</v>
      </c>
      <c r="AH2721" s="175">
        <v>16</v>
      </c>
      <c r="AI2721" s="175">
        <v>1</v>
      </c>
      <c r="AJ2721" s="175">
        <v>18</v>
      </c>
      <c r="AK2721" s="175">
        <v>20</v>
      </c>
      <c r="AL2721" s="175">
        <v>20</v>
      </c>
      <c r="AM2721" s="175">
        <v>19</v>
      </c>
      <c r="AN2721" s="175">
        <v>1</v>
      </c>
      <c r="AO2721" s="175">
        <v>79</v>
      </c>
      <c r="AP2721" s="175">
        <v>64</v>
      </c>
      <c r="AQ2721" s="175">
        <v>9</v>
      </c>
      <c r="AR2721" s="175">
        <v>3</v>
      </c>
      <c r="AS2721" s="175">
        <v>8</v>
      </c>
      <c r="AT2721" s="175">
        <v>5</v>
      </c>
    </row>
    <row r="2722" spans="1:46">
      <c r="A2722">
        <v>47264</v>
      </c>
      <c r="B2722" t="s">
        <v>15769</v>
      </c>
      <c r="C2722" t="s">
        <v>15770</v>
      </c>
      <c r="D2722" t="s">
        <v>8100</v>
      </c>
      <c r="E2722" t="s">
        <v>15771</v>
      </c>
      <c r="F2722" t="s">
        <v>1193</v>
      </c>
      <c r="G2722" t="s">
        <v>737</v>
      </c>
      <c r="H2722" t="s">
        <v>449</v>
      </c>
      <c r="J2722" t="s">
        <v>4032</v>
      </c>
      <c r="K2722" t="s">
        <v>606</v>
      </c>
      <c r="M2722" t="s">
        <v>607</v>
      </c>
      <c r="N2722" t="s">
        <v>812</v>
      </c>
      <c r="O2722" t="s">
        <v>914</v>
      </c>
      <c r="P2722" t="s">
        <v>739</v>
      </c>
      <c r="Q2722" t="s">
        <v>467</v>
      </c>
      <c r="R2722" t="s">
        <v>793</v>
      </c>
      <c r="S2722" t="s">
        <v>815</v>
      </c>
      <c r="T2722" t="s">
        <v>794</v>
      </c>
      <c r="U2722">
        <v>145400</v>
      </c>
      <c r="V2722" t="s">
        <v>8259</v>
      </c>
      <c r="W2722" t="s">
        <v>892</v>
      </c>
      <c r="X2722" t="s">
        <v>8102</v>
      </c>
      <c r="Y2722" t="s">
        <v>8103</v>
      </c>
      <c r="AA2722" t="s">
        <v>8104</v>
      </c>
      <c r="AB2722" t="s">
        <v>8105</v>
      </c>
      <c r="AE2722">
        <v>-36.885893830000001</v>
      </c>
      <c r="AF2722">
        <v>174.85727118</v>
      </c>
      <c r="AG2722" s="175">
        <v>110</v>
      </c>
      <c r="AH2722" s="175">
        <v>30</v>
      </c>
      <c r="AI2722" s="175">
        <v>4</v>
      </c>
      <c r="AJ2722" s="175">
        <v>12</v>
      </c>
      <c r="AK2722" s="175">
        <v>17</v>
      </c>
      <c r="AL2722" s="175">
        <v>23</v>
      </c>
      <c r="AM2722" s="175">
        <v>29</v>
      </c>
      <c r="AN2722" s="175">
        <v>2</v>
      </c>
      <c r="AO2722" s="175">
        <v>87</v>
      </c>
      <c r="AP2722" s="175">
        <v>16</v>
      </c>
      <c r="AQ2722" s="175">
        <v>38</v>
      </c>
      <c r="AR2722" s="175">
        <v>40</v>
      </c>
      <c r="AS2722" s="175">
        <v>15</v>
      </c>
      <c r="AT2722" s="175">
        <v>9</v>
      </c>
    </row>
    <row r="2723" spans="1:46">
      <c r="A2723">
        <v>47265</v>
      </c>
      <c r="B2723" t="s">
        <v>15772</v>
      </c>
      <c r="C2723" t="s">
        <v>15773</v>
      </c>
      <c r="E2723" t="s">
        <v>15774</v>
      </c>
      <c r="G2723" t="s">
        <v>2899</v>
      </c>
      <c r="H2723" t="s">
        <v>450</v>
      </c>
      <c r="J2723" t="s">
        <v>4032</v>
      </c>
      <c r="K2723" t="s">
        <v>606</v>
      </c>
      <c r="M2723" t="s">
        <v>2366</v>
      </c>
      <c r="N2723" t="s">
        <v>657</v>
      </c>
      <c r="O2723" t="s">
        <v>2900</v>
      </c>
      <c r="P2723" t="s">
        <v>1347</v>
      </c>
      <c r="Q2723" t="s">
        <v>519</v>
      </c>
      <c r="R2723" t="s">
        <v>2901</v>
      </c>
      <c r="S2723" t="s">
        <v>2902</v>
      </c>
      <c r="T2723" t="s">
        <v>2526</v>
      </c>
      <c r="U2723">
        <v>307900</v>
      </c>
      <c r="V2723" t="s">
        <v>11615</v>
      </c>
      <c r="W2723" t="s">
        <v>2903</v>
      </c>
      <c r="X2723" t="s">
        <v>15775</v>
      </c>
      <c r="Y2723" t="s">
        <v>15776</v>
      </c>
      <c r="AA2723" t="s">
        <v>15777</v>
      </c>
      <c r="AE2723">
        <v>-41.516372339999997</v>
      </c>
      <c r="AF2723">
        <v>173.96429911000001</v>
      </c>
      <c r="AG2723" s="175">
        <v>80</v>
      </c>
      <c r="AH2723" s="175">
        <v>80</v>
      </c>
      <c r="AI2723" s="175">
        <v>1</v>
      </c>
      <c r="AJ2723" s="175">
        <v>9</v>
      </c>
      <c r="AK2723" s="175">
        <v>20</v>
      </c>
      <c r="AL2723" s="175">
        <v>7</v>
      </c>
      <c r="AM2723" s="175">
        <v>2</v>
      </c>
      <c r="AN2723" s="175">
        <v>0</v>
      </c>
      <c r="AO2723" s="175">
        <v>39</v>
      </c>
      <c r="AP2723" s="175">
        <v>37</v>
      </c>
      <c r="AQ2723" s="175">
        <v>8</v>
      </c>
      <c r="AR2723" s="175">
        <v>3</v>
      </c>
      <c r="AS2723" s="175">
        <v>0</v>
      </c>
      <c r="AT2723" s="175">
        <v>1</v>
      </c>
    </row>
    <row r="2724" spans="1:46">
      <c r="A2724">
        <v>47267</v>
      </c>
      <c r="B2724" t="s">
        <v>15778</v>
      </c>
      <c r="C2724" t="s">
        <v>15779</v>
      </c>
      <c r="D2724" t="s">
        <v>15780</v>
      </c>
      <c r="E2724" t="s">
        <v>15781</v>
      </c>
      <c r="F2724" t="s">
        <v>745</v>
      </c>
      <c r="G2724" t="s">
        <v>737</v>
      </c>
      <c r="H2724" t="s">
        <v>450</v>
      </c>
      <c r="J2724" t="s">
        <v>4032</v>
      </c>
      <c r="K2724" t="s">
        <v>606</v>
      </c>
      <c r="M2724" t="s">
        <v>607</v>
      </c>
      <c r="N2724" t="s">
        <v>657</v>
      </c>
      <c r="O2724" t="s">
        <v>738</v>
      </c>
      <c r="P2724" t="s">
        <v>739</v>
      </c>
      <c r="Q2724" t="s">
        <v>467</v>
      </c>
      <c r="R2724" t="s">
        <v>724</v>
      </c>
      <c r="S2724" t="s">
        <v>740</v>
      </c>
      <c r="T2724" t="s">
        <v>613</v>
      </c>
      <c r="U2724">
        <v>118300</v>
      </c>
      <c r="V2724" t="s">
        <v>774</v>
      </c>
      <c r="W2724" t="s">
        <v>742</v>
      </c>
      <c r="X2724" t="s">
        <v>15782</v>
      </c>
      <c r="Y2724" t="s">
        <v>15783</v>
      </c>
      <c r="Z2724" t="s">
        <v>822</v>
      </c>
      <c r="AA2724" t="s">
        <v>13239</v>
      </c>
      <c r="AB2724" t="s">
        <v>15779</v>
      </c>
      <c r="AE2724">
        <v>-36.717535580000003</v>
      </c>
      <c r="AF2724">
        <v>174.74455610000001</v>
      </c>
      <c r="AG2724" s="175">
        <v>80</v>
      </c>
      <c r="AH2724" s="175">
        <v>80</v>
      </c>
      <c r="AI2724" s="175">
        <v>7</v>
      </c>
      <c r="AJ2724" s="175">
        <v>21</v>
      </c>
      <c r="AK2724" s="175">
        <v>22</v>
      </c>
      <c r="AL2724" s="175">
        <v>14</v>
      </c>
      <c r="AM2724" s="175">
        <v>11</v>
      </c>
      <c r="AN2724" s="175">
        <v>1</v>
      </c>
      <c r="AO2724" s="175">
        <v>76</v>
      </c>
      <c r="AP2724" s="175">
        <v>4</v>
      </c>
      <c r="AQ2724" s="175">
        <v>1</v>
      </c>
      <c r="AR2724" s="175">
        <v>0</v>
      </c>
      <c r="AS2724" s="175">
        <v>75</v>
      </c>
      <c r="AT2724" s="175">
        <v>0</v>
      </c>
    </row>
    <row r="2725" spans="1:46">
      <c r="A2725">
        <v>47268</v>
      </c>
      <c r="B2725" t="s">
        <v>4333</v>
      </c>
      <c r="C2725" t="s">
        <v>15784</v>
      </c>
      <c r="E2725" t="s">
        <v>15785</v>
      </c>
      <c r="F2725" t="s">
        <v>1060</v>
      </c>
      <c r="G2725" t="s">
        <v>737</v>
      </c>
      <c r="H2725" t="s">
        <v>449</v>
      </c>
      <c r="J2725" t="s">
        <v>4032</v>
      </c>
      <c r="K2725" t="s">
        <v>606</v>
      </c>
      <c r="M2725" t="s">
        <v>607</v>
      </c>
      <c r="N2725" t="s">
        <v>608</v>
      </c>
      <c r="O2725" t="s">
        <v>933</v>
      </c>
      <c r="P2725" t="s">
        <v>739</v>
      </c>
      <c r="Q2725" t="s">
        <v>467</v>
      </c>
      <c r="R2725" t="s">
        <v>814</v>
      </c>
      <c r="S2725" t="s">
        <v>934</v>
      </c>
      <c r="T2725" t="s">
        <v>794</v>
      </c>
      <c r="U2725">
        <v>148901</v>
      </c>
      <c r="V2725" t="s">
        <v>1015</v>
      </c>
      <c r="W2725" t="s">
        <v>817</v>
      </c>
      <c r="X2725" t="s">
        <v>15221</v>
      </c>
      <c r="Y2725" t="s">
        <v>15786</v>
      </c>
      <c r="Z2725" t="s">
        <v>996</v>
      </c>
      <c r="AA2725" t="s">
        <v>7112</v>
      </c>
      <c r="AB2725" t="s">
        <v>15219</v>
      </c>
      <c r="AC2725">
        <v>99190</v>
      </c>
      <c r="AD2725" t="s">
        <v>916</v>
      </c>
      <c r="AE2725">
        <v>-36.96397048</v>
      </c>
      <c r="AF2725">
        <v>174.78665093999999</v>
      </c>
      <c r="AG2725" s="175">
        <v>80</v>
      </c>
      <c r="AH2725" s="175">
        <v>20</v>
      </c>
      <c r="AI2725" s="175">
        <v>1</v>
      </c>
      <c r="AJ2725" s="175">
        <v>12</v>
      </c>
      <c r="AK2725" s="175">
        <v>13</v>
      </c>
      <c r="AL2725" s="175">
        <v>21</v>
      </c>
      <c r="AM2725" s="175">
        <v>16</v>
      </c>
      <c r="AN2725" s="175">
        <v>2</v>
      </c>
      <c r="AO2725" s="175">
        <v>65</v>
      </c>
      <c r="AP2725" s="175">
        <v>9</v>
      </c>
      <c r="AQ2725" s="175">
        <v>11</v>
      </c>
      <c r="AR2725" s="175">
        <v>41</v>
      </c>
      <c r="AS2725" s="175">
        <v>19</v>
      </c>
      <c r="AT2725" s="175">
        <v>2</v>
      </c>
    </row>
    <row r="2726" spans="1:46">
      <c r="A2726">
        <v>47269</v>
      </c>
      <c r="B2726" t="s">
        <v>15787</v>
      </c>
      <c r="C2726" t="s">
        <v>15788</v>
      </c>
      <c r="D2726" t="s">
        <v>15789</v>
      </c>
      <c r="E2726" t="s">
        <v>15790</v>
      </c>
      <c r="G2726" t="s">
        <v>1384</v>
      </c>
      <c r="H2726" t="s">
        <v>449</v>
      </c>
      <c r="J2726" t="s">
        <v>4032</v>
      </c>
      <c r="K2726" t="s">
        <v>606</v>
      </c>
      <c r="M2726" t="s">
        <v>1382</v>
      </c>
      <c r="N2726" t="s">
        <v>657</v>
      </c>
      <c r="O2726" t="s">
        <v>1435</v>
      </c>
      <c r="P2726" t="s">
        <v>658</v>
      </c>
      <c r="Q2726" t="s">
        <v>510</v>
      </c>
      <c r="R2726" t="s">
        <v>1384</v>
      </c>
      <c r="S2726" t="s">
        <v>1384</v>
      </c>
      <c r="T2726" t="s">
        <v>1320</v>
      </c>
      <c r="U2726">
        <v>173400</v>
      </c>
      <c r="V2726" t="s">
        <v>15791</v>
      </c>
      <c r="W2726" t="s">
        <v>8422</v>
      </c>
      <c r="X2726" t="s">
        <v>15792</v>
      </c>
      <c r="Y2726" t="s">
        <v>4471</v>
      </c>
      <c r="Z2726" t="s">
        <v>4472</v>
      </c>
      <c r="AA2726" t="s">
        <v>4596</v>
      </c>
      <c r="AB2726" t="s">
        <v>15793</v>
      </c>
      <c r="AE2726">
        <v>-37.830802800000001</v>
      </c>
      <c r="AF2726">
        <v>175.35845828000001</v>
      </c>
      <c r="AG2726" s="175">
        <v>101</v>
      </c>
      <c r="AH2726" s="175">
        <v>25</v>
      </c>
      <c r="AI2726" s="175">
        <v>1</v>
      </c>
      <c r="AJ2726" s="175">
        <v>16</v>
      </c>
      <c r="AK2726" s="175">
        <v>12</v>
      </c>
      <c r="AL2726" s="175">
        <v>17</v>
      </c>
      <c r="AM2726" s="175">
        <v>14</v>
      </c>
      <c r="AN2726" s="175">
        <v>1</v>
      </c>
      <c r="AO2726" s="175">
        <v>61</v>
      </c>
      <c r="AP2726" s="175">
        <v>47</v>
      </c>
      <c r="AQ2726" s="175">
        <v>7</v>
      </c>
      <c r="AR2726" s="175">
        <v>3</v>
      </c>
      <c r="AS2726" s="175">
        <v>4</v>
      </c>
      <c r="AT2726" s="175">
        <v>12</v>
      </c>
    </row>
    <row r="2727" spans="1:46">
      <c r="A2727">
        <v>47270</v>
      </c>
      <c r="B2727" t="s">
        <v>15794</v>
      </c>
      <c r="C2727" t="s">
        <v>15795</v>
      </c>
      <c r="D2727" t="s">
        <v>15796</v>
      </c>
      <c r="E2727" t="s">
        <v>15797</v>
      </c>
      <c r="G2727" t="s">
        <v>3754</v>
      </c>
      <c r="H2727" t="s">
        <v>449</v>
      </c>
      <c r="J2727" t="s">
        <v>4032</v>
      </c>
      <c r="K2727" t="s">
        <v>606</v>
      </c>
      <c r="M2727" t="s">
        <v>1382</v>
      </c>
      <c r="N2727" t="s">
        <v>643</v>
      </c>
      <c r="O2727" t="s">
        <v>1521</v>
      </c>
      <c r="P2727" t="s">
        <v>610</v>
      </c>
      <c r="Q2727" t="s">
        <v>510</v>
      </c>
      <c r="R2727" t="s">
        <v>1384</v>
      </c>
      <c r="S2727" t="s">
        <v>1522</v>
      </c>
      <c r="T2727" t="s">
        <v>1320</v>
      </c>
      <c r="U2727">
        <v>169401</v>
      </c>
      <c r="V2727" t="s">
        <v>9508</v>
      </c>
      <c r="W2727" t="s">
        <v>3756</v>
      </c>
      <c r="X2727" t="s">
        <v>15798</v>
      </c>
      <c r="Y2727" t="s">
        <v>15799</v>
      </c>
      <c r="AA2727" t="s">
        <v>12133</v>
      </c>
      <c r="AB2727" t="s">
        <v>15800</v>
      </c>
      <c r="AC2727">
        <v>99089</v>
      </c>
      <c r="AD2727" t="s">
        <v>3757</v>
      </c>
      <c r="AE2727">
        <v>-37.386050599999997</v>
      </c>
      <c r="AF2727">
        <v>175.83372399999999</v>
      </c>
      <c r="AG2727" s="175">
        <v>50</v>
      </c>
      <c r="AH2727" s="175">
        <v>13</v>
      </c>
      <c r="AI2727" s="175">
        <v>0</v>
      </c>
      <c r="AJ2727" s="175">
        <v>11</v>
      </c>
      <c r="AK2727" s="175">
        <v>9</v>
      </c>
      <c r="AL2727" s="175">
        <v>17</v>
      </c>
      <c r="AM2727" s="175">
        <v>17</v>
      </c>
      <c r="AN2727" s="175">
        <v>0</v>
      </c>
      <c r="AO2727" s="175">
        <v>54</v>
      </c>
      <c r="AP2727" s="175">
        <v>40</v>
      </c>
      <c r="AQ2727" s="175">
        <v>15</v>
      </c>
      <c r="AR2727" s="175">
        <v>5</v>
      </c>
      <c r="AS2727" s="175">
        <v>9</v>
      </c>
      <c r="AT2727" s="175">
        <v>0</v>
      </c>
    </row>
    <row r="2728" spans="1:46">
      <c r="A2728">
        <v>47271</v>
      </c>
      <c r="B2728" t="s">
        <v>15801</v>
      </c>
      <c r="D2728" t="s">
        <v>14303</v>
      </c>
      <c r="E2728" t="s">
        <v>15802</v>
      </c>
      <c r="F2728" t="s">
        <v>13046</v>
      </c>
      <c r="G2728" t="s">
        <v>1381</v>
      </c>
      <c r="H2728" t="s">
        <v>470</v>
      </c>
      <c r="I2728" t="s">
        <v>470</v>
      </c>
      <c r="J2728" t="s">
        <v>605</v>
      </c>
      <c r="K2728" t="s">
        <v>606</v>
      </c>
      <c r="M2728" t="s">
        <v>1382</v>
      </c>
      <c r="N2728" t="s">
        <v>625</v>
      </c>
      <c r="O2728" t="s">
        <v>1383</v>
      </c>
      <c r="P2728" t="s">
        <v>739</v>
      </c>
      <c r="Q2728" t="s">
        <v>510</v>
      </c>
      <c r="R2728" t="s">
        <v>1384</v>
      </c>
      <c r="S2728" t="s">
        <v>1396</v>
      </c>
      <c r="T2728" t="s">
        <v>1320</v>
      </c>
      <c r="U2728">
        <v>179100</v>
      </c>
      <c r="V2728" t="s">
        <v>9750</v>
      </c>
      <c r="W2728" t="s">
        <v>1398</v>
      </c>
      <c r="X2728" t="s">
        <v>14305</v>
      </c>
      <c r="Y2728" t="s">
        <v>14306</v>
      </c>
      <c r="AA2728" t="s">
        <v>1390</v>
      </c>
      <c r="AB2728" t="s">
        <v>14307</v>
      </c>
      <c r="AC2728">
        <v>99084</v>
      </c>
      <c r="AD2728" t="s">
        <v>14308</v>
      </c>
      <c r="AE2728">
        <v>-37.768084770000002</v>
      </c>
      <c r="AF2728">
        <v>175.29403169</v>
      </c>
      <c r="AG2728" s="175">
        <v>40</v>
      </c>
      <c r="AH2728" s="175">
        <v>0</v>
      </c>
      <c r="AI2728" s="175">
        <v>0</v>
      </c>
      <c r="AJ2728" s="175">
        <v>0</v>
      </c>
      <c r="AK2728" s="175">
        <v>1</v>
      </c>
      <c r="AL2728" s="175">
        <v>14</v>
      </c>
      <c r="AM2728" s="175">
        <v>19</v>
      </c>
      <c r="AN2728" s="175">
        <v>2</v>
      </c>
      <c r="AO2728" s="175">
        <v>36</v>
      </c>
      <c r="AP2728" s="175">
        <v>4</v>
      </c>
      <c r="AQ2728" s="175">
        <v>35</v>
      </c>
      <c r="AR2728" s="175">
        <v>2</v>
      </c>
      <c r="AS2728" s="175">
        <v>4</v>
      </c>
      <c r="AT2728" s="175">
        <v>1</v>
      </c>
    </row>
    <row r="2729" spans="1:46">
      <c r="A2729">
        <v>47272</v>
      </c>
      <c r="B2729" t="s">
        <v>15803</v>
      </c>
      <c r="E2729" t="s">
        <v>8827</v>
      </c>
      <c r="F2729" t="s">
        <v>1397</v>
      </c>
      <c r="G2729" t="s">
        <v>1381</v>
      </c>
      <c r="H2729" t="s">
        <v>450</v>
      </c>
      <c r="J2729" t="s">
        <v>4032</v>
      </c>
      <c r="K2729" t="s">
        <v>606</v>
      </c>
      <c r="M2729" t="s">
        <v>1382</v>
      </c>
      <c r="N2729" t="s">
        <v>643</v>
      </c>
      <c r="O2729" t="s">
        <v>1383</v>
      </c>
      <c r="P2729" t="s">
        <v>739</v>
      </c>
      <c r="Q2729" t="s">
        <v>510</v>
      </c>
      <c r="R2729" t="s">
        <v>1384</v>
      </c>
      <c r="S2729" t="s">
        <v>1396</v>
      </c>
      <c r="T2729" t="s">
        <v>1320</v>
      </c>
      <c r="U2729">
        <v>177300</v>
      </c>
      <c r="V2729" t="s">
        <v>1397</v>
      </c>
      <c r="W2729" t="s">
        <v>1398</v>
      </c>
      <c r="X2729" t="s">
        <v>13762</v>
      </c>
      <c r="Y2729" t="s">
        <v>8827</v>
      </c>
      <c r="Z2729" t="s">
        <v>1397</v>
      </c>
      <c r="AA2729" t="s">
        <v>8575</v>
      </c>
      <c r="AE2729">
        <v>-37.749600880000003</v>
      </c>
      <c r="AF2729">
        <v>175.27366000000001</v>
      </c>
      <c r="AG2729" s="175">
        <v>50</v>
      </c>
      <c r="AH2729" s="175">
        <v>50</v>
      </c>
      <c r="AI2729" s="175">
        <v>4</v>
      </c>
      <c r="AJ2729" s="175">
        <v>5</v>
      </c>
      <c r="AK2729" s="175">
        <v>8</v>
      </c>
      <c r="AL2729" s="175">
        <v>8</v>
      </c>
      <c r="AM2729" s="175">
        <v>1</v>
      </c>
      <c r="AN2729" s="175">
        <v>1</v>
      </c>
      <c r="AO2729" s="175">
        <v>27</v>
      </c>
      <c r="AP2729" s="175">
        <v>9</v>
      </c>
      <c r="AQ2729" s="175">
        <v>2</v>
      </c>
      <c r="AR2729" s="175">
        <v>2</v>
      </c>
      <c r="AS2729" s="175">
        <v>1</v>
      </c>
      <c r="AT2729" s="175">
        <v>17</v>
      </c>
    </row>
    <row r="2730" spans="1:46">
      <c r="A2730">
        <v>47274</v>
      </c>
      <c r="B2730" t="s">
        <v>15804</v>
      </c>
      <c r="C2730" t="s">
        <v>15805</v>
      </c>
      <c r="D2730" t="s">
        <v>15806</v>
      </c>
      <c r="E2730" t="s">
        <v>15807</v>
      </c>
      <c r="F2730" t="s">
        <v>913</v>
      </c>
      <c r="G2730" t="s">
        <v>737</v>
      </c>
      <c r="H2730" t="s">
        <v>449</v>
      </c>
      <c r="J2730" t="s">
        <v>4032</v>
      </c>
      <c r="K2730" t="s">
        <v>606</v>
      </c>
      <c r="M2730" t="s">
        <v>607</v>
      </c>
      <c r="N2730" t="s">
        <v>657</v>
      </c>
      <c r="O2730" t="s">
        <v>914</v>
      </c>
      <c r="P2730" t="s">
        <v>739</v>
      </c>
      <c r="Q2730" t="s">
        <v>467</v>
      </c>
      <c r="R2730" t="s">
        <v>793</v>
      </c>
      <c r="S2730" t="s">
        <v>890</v>
      </c>
      <c r="T2730" t="s">
        <v>794</v>
      </c>
      <c r="U2730">
        <v>145600</v>
      </c>
      <c r="V2730" t="s">
        <v>13555</v>
      </c>
      <c r="W2730" t="s">
        <v>892</v>
      </c>
      <c r="X2730" t="s">
        <v>5947</v>
      </c>
      <c r="Y2730" t="s">
        <v>5948</v>
      </c>
      <c r="Z2730" t="s">
        <v>1268</v>
      </c>
      <c r="AA2730" t="s">
        <v>4374</v>
      </c>
      <c r="AB2730" t="s">
        <v>5949</v>
      </c>
      <c r="AC2730">
        <v>99190</v>
      </c>
      <c r="AD2730" t="s">
        <v>916</v>
      </c>
      <c r="AE2730">
        <v>-36.921398330000002</v>
      </c>
      <c r="AF2730">
        <v>174.79676687</v>
      </c>
      <c r="AG2730" s="175">
        <v>70</v>
      </c>
      <c r="AH2730" s="175">
        <v>18</v>
      </c>
      <c r="AI2730" s="175">
        <v>0</v>
      </c>
      <c r="AJ2730" s="175">
        <v>13</v>
      </c>
      <c r="AK2730" s="175">
        <v>12</v>
      </c>
      <c r="AL2730" s="175">
        <v>16</v>
      </c>
      <c r="AM2730" s="175">
        <v>12</v>
      </c>
      <c r="AN2730" s="175">
        <v>1</v>
      </c>
      <c r="AO2730" s="175">
        <v>54</v>
      </c>
      <c r="AP2730" s="175">
        <v>33</v>
      </c>
      <c r="AQ2730" s="175">
        <v>10</v>
      </c>
      <c r="AR2730" s="175">
        <v>15</v>
      </c>
      <c r="AS2730" s="175">
        <v>15</v>
      </c>
      <c r="AT2730" s="175">
        <v>5</v>
      </c>
    </row>
    <row r="2731" spans="1:46">
      <c r="A2731">
        <v>47275</v>
      </c>
      <c r="B2731" t="s">
        <v>15808</v>
      </c>
      <c r="C2731" t="s">
        <v>15809</v>
      </c>
      <c r="D2731" t="s">
        <v>15810</v>
      </c>
      <c r="E2731" t="s">
        <v>15811</v>
      </c>
      <c r="G2731" t="s">
        <v>1330</v>
      </c>
      <c r="H2731" t="s">
        <v>449</v>
      </c>
      <c r="J2731" t="s">
        <v>4032</v>
      </c>
      <c r="K2731" t="s">
        <v>606</v>
      </c>
      <c r="M2731" t="s">
        <v>607</v>
      </c>
      <c r="N2731" t="s">
        <v>657</v>
      </c>
      <c r="O2731" t="s">
        <v>1318</v>
      </c>
      <c r="P2731" t="s">
        <v>610</v>
      </c>
      <c r="Q2731" t="s">
        <v>467</v>
      </c>
      <c r="R2731" t="s">
        <v>814</v>
      </c>
      <c r="S2731" t="s">
        <v>1331</v>
      </c>
      <c r="T2731" t="s">
        <v>1320</v>
      </c>
      <c r="U2731">
        <v>164401</v>
      </c>
      <c r="V2731" t="s">
        <v>7582</v>
      </c>
      <c r="W2731" t="s">
        <v>1322</v>
      </c>
      <c r="X2731" t="s">
        <v>15812</v>
      </c>
      <c r="Y2731" t="s">
        <v>15813</v>
      </c>
      <c r="Z2731" t="s">
        <v>5832</v>
      </c>
      <c r="AA2731" t="s">
        <v>15814</v>
      </c>
      <c r="AC2731">
        <v>99033</v>
      </c>
      <c r="AD2731" t="s">
        <v>1333</v>
      </c>
      <c r="AE2731">
        <v>-37.246810109999998</v>
      </c>
      <c r="AF2731">
        <v>174.72505171</v>
      </c>
      <c r="AG2731" s="175">
        <v>55</v>
      </c>
      <c r="AH2731" s="175">
        <v>12</v>
      </c>
      <c r="AI2731" s="175">
        <v>4</v>
      </c>
      <c r="AJ2731" s="175">
        <v>9</v>
      </c>
      <c r="AK2731" s="175">
        <v>17</v>
      </c>
      <c r="AL2731" s="175">
        <v>14</v>
      </c>
      <c r="AM2731" s="175">
        <v>10</v>
      </c>
      <c r="AN2731" s="175">
        <v>1</v>
      </c>
      <c r="AO2731" s="175">
        <v>55</v>
      </c>
      <c r="AP2731" s="175">
        <v>51</v>
      </c>
      <c r="AQ2731" s="175">
        <v>13</v>
      </c>
      <c r="AR2731" s="175">
        <v>3</v>
      </c>
      <c r="AS2731" s="175">
        <v>5</v>
      </c>
      <c r="AT2731" s="175">
        <v>1</v>
      </c>
    </row>
    <row r="2732" spans="1:46">
      <c r="A2732">
        <v>47277</v>
      </c>
      <c r="B2732" t="s">
        <v>15815</v>
      </c>
      <c r="C2732" t="s">
        <v>15816</v>
      </c>
      <c r="E2732" t="s">
        <v>15817</v>
      </c>
      <c r="F2732" t="s">
        <v>998</v>
      </c>
      <c r="G2732" t="s">
        <v>737</v>
      </c>
      <c r="H2732" t="s">
        <v>449</v>
      </c>
      <c r="J2732" t="s">
        <v>4032</v>
      </c>
      <c r="K2732" t="s">
        <v>606</v>
      </c>
      <c r="M2732" t="s">
        <v>607</v>
      </c>
      <c r="N2732" t="s">
        <v>657</v>
      </c>
      <c r="O2732" t="s">
        <v>997</v>
      </c>
      <c r="P2732" t="s">
        <v>739</v>
      </c>
      <c r="Q2732" t="s">
        <v>467</v>
      </c>
      <c r="R2732" t="s">
        <v>793</v>
      </c>
      <c r="S2732" t="s">
        <v>998</v>
      </c>
      <c r="T2732" t="s">
        <v>794</v>
      </c>
      <c r="U2732">
        <v>139601</v>
      </c>
      <c r="V2732" t="s">
        <v>4556</v>
      </c>
      <c r="W2732" t="s">
        <v>945</v>
      </c>
      <c r="X2732" t="s">
        <v>14838</v>
      </c>
      <c r="Y2732" t="s">
        <v>15818</v>
      </c>
      <c r="Z2732" t="s">
        <v>4870</v>
      </c>
      <c r="AA2732" t="s">
        <v>4061</v>
      </c>
      <c r="AB2732" t="s">
        <v>14839</v>
      </c>
      <c r="AE2732">
        <v>-36.920776510000003</v>
      </c>
      <c r="AF2732">
        <v>174.71816197000001</v>
      </c>
      <c r="AG2732" s="175">
        <v>105</v>
      </c>
      <c r="AH2732" s="175">
        <v>25</v>
      </c>
      <c r="AI2732" s="175">
        <v>1</v>
      </c>
      <c r="AJ2732" s="175">
        <v>14</v>
      </c>
      <c r="AK2732" s="175">
        <v>20</v>
      </c>
      <c r="AL2732" s="175">
        <v>33</v>
      </c>
      <c r="AM2732" s="175">
        <v>33</v>
      </c>
      <c r="AN2732" s="175">
        <v>0</v>
      </c>
      <c r="AO2732" s="175">
        <v>101</v>
      </c>
      <c r="AP2732" s="175">
        <v>13</v>
      </c>
      <c r="AQ2732" s="175">
        <v>1</v>
      </c>
      <c r="AR2732" s="175">
        <v>8</v>
      </c>
      <c r="AS2732" s="175">
        <v>82</v>
      </c>
      <c r="AT2732" s="175">
        <v>4</v>
      </c>
    </row>
    <row r="2733" spans="1:46">
      <c r="A2733">
        <v>47279</v>
      </c>
      <c r="B2733" t="s">
        <v>15819</v>
      </c>
      <c r="E2733" t="s">
        <v>15820</v>
      </c>
      <c r="F2733" t="s">
        <v>1442</v>
      </c>
      <c r="G2733" t="s">
        <v>1381</v>
      </c>
      <c r="H2733" t="s">
        <v>449</v>
      </c>
      <c r="J2733" t="s">
        <v>4032</v>
      </c>
      <c r="K2733" t="s">
        <v>606</v>
      </c>
      <c r="M2733" t="s">
        <v>1382</v>
      </c>
      <c r="N2733" t="s">
        <v>657</v>
      </c>
      <c r="O2733" t="s">
        <v>1383</v>
      </c>
      <c r="P2733" t="s">
        <v>739</v>
      </c>
      <c r="Q2733" t="s">
        <v>510</v>
      </c>
      <c r="R2733" t="s">
        <v>1384</v>
      </c>
      <c r="S2733" t="s">
        <v>1385</v>
      </c>
      <c r="T2733" t="s">
        <v>1320</v>
      </c>
      <c r="U2733">
        <v>176301</v>
      </c>
      <c r="V2733" t="s">
        <v>8493</v>
      </c>
      <c r="W2733" t="s">
        <v>1387</v>
      </c>
      <c r="X2733" t="s">
        <v>15821</v>
      </c>
      <c r="Y2733" t="s">
        <v>15822</v>
      </c>
      <c r="Z2733" t="s">
        <v>15823</v>
      </c>
      <c r="AA2733" t="s">
        <v>9639</v>
      </c>
      <c r="AB2733" t="s">
        <v>15824</v>
      </c>
      <c r="AE2733">
        <v>-37.777885079999997</v>
      </c>
      <c r="AF2733">
        <v>175.24737956999999</v>
      </c>
      <c r="AG2733" s="175">
        <v>45</v>
      </c>
      <c r="AH2733" s="175">
        <v>15</v>
      </c>
      <c r="AI2733" s="175">
        <v>0</v>
      </c>
      <c r="AJ2733" s="175">
        <v>3</v>
      </c>
      <c r="AK2733" s="175">
        <v>5</v>
      </c>
      <c r="AL2733" s="175">
        <v>11</v>
      </c>
      <c r="AM2733" s="175">
        <v>9</v>
      </c>
      <c r="AN2733" s="175">
        <v>1</v>
      </c>
      <c r="AO2733" s="175">
        <v>29</v>
      </c>
      <c r="AP2733" s="175">
        <v>12</v>
      </c>
      <c r="AQ2733" s="175">
        <v>8</v>
      </c>
      <c r="AR2733" s="175">
        <v>5</v>
      </c>
      <c r="AS2733" s="175">
        <v>10</v>
      </c>
      <c r="AT2733" s="175">
        <v>1</v>
      </c>
    </row>
    <row r="2734" spans="1:46">
      <c r="A2734">
        <v>47281</v>
      </c>
      <c r="B2734" t="s">
        <v>15825</v>
      </c>
      <c r="C2734" t="s">
        <v>15826</v>
      </c>
      <c r="E2734" t="s">
        <v>15827</v>
      </c>
      <c r="F2734" t="s">
        <v>15828</v>
      </c>
      <c r="G2734" t="s">
        <v>3015</v>
      </c>
      <c r="H2734" t="s">
        <v>449</v>
      </c>
      <c r="J2734" t="s">
        <v>4032</v>
      </c>
      <c r="K2734" t="s">
        <v>606</v>
      </c>
      <c r="M2734" t="s">
        <v>2366</v>
      </c>
      <c r="N2734" t="s">
        <v>657</v>
      </c>
      <c r="O2734" t="s">
        <v>3016</v>
      </c>
      <c r="P2734" t="s">
        <v>739</v>
      </c>
      <c r="Q2734" t="s">
        <v>521</v>
      </c>
      <c r="R2734" t="s">
        <v>3017</v>
      </c>
      <c r="S2734" t="s">
        <v>3018</v>
      </c>
      <c r="T2734" t="s">
        <v>2526</v>
      </c>
      <c r="U2734">
        <v>319900</v>
      </c>
      <c r="V2734" t="s">
        <v>11582</v>
      </c>
      <c r="W2734" t="s">
        <v>3171</v>
      </c>
      <c r="X2734" t="s">
        <v>15829</v>
      </c>
      <c r="Y2734" t="s">
        <v>15827</v>
      </c>
      <c r="Z2734" t="s">
        <v>15828</v>
      </c>
      <c r="AA2734" t="s">
        <v>12388</v>
      </c>
      <c r="AB2734" t="s">
        <v>15830</v>
      </c>
      <c r="AC2734">
        <v>99027</v>
      </c>
      <c r="AD2734" t="s">
        <v>3073</v>
      </c>
      <c r="AE2734">
        <v>-43.50083205</v>
      </c>
      <c r="AF2734">
        <v>172.589124</v>
      </c>
      <c r="AG2734" s="175">
        <v>130</v>
      </c>
      <c r="AH2734" s="175">
        <v>45</v>
      </c>
      <c r="AI2734" s="175">
        <v>11</v>
      </c>
      <c r="AJ2734" s="175">
        <v>37</v>
      </c>
      <c r="AK2734" s="175">
        <v>44</v>
      </c>
      <c r="AL2734" s="175">
        <v>52</v>
      </c>
      <c r="AM2734" s="175">
        <v>43</v>
      </c>
      <c r="AN2734" s="175">
        <v>1</v>
      </c>
      <c r="AO2734" s="175">
        <v>188</v>
      </c>
      <c r="AP2734" s="175">
        <v>172</v>
      </c>
      <c r="AQ2734" s="175">
        <v>24</v>
      </c>
      <c r="AR2734" s="175">
        <v>5</v>
      </c>
      <c r="AS2734" s="175">
        <v>17</v>
      </c>
      <c r="AT2734" s="175">
        <v>3</v>
      </c>
    </row>
    <row r="2735" spans="1:46">
      <c r="A2735">
        <v>47283</v>
      </c>
      <c r="B2735" t="s">
        <v>15831</v>
      </c>
      <c r="C2735" t="s">
        <v>15832</v>
      </c>
      <c r="D2735" t="s">
        <v>15833</v>
      </c>
      <c r="E2735" t="s">
        <v>15834</v>
      </c>
      <c r="F2735" t="s">
        <v>1102</v>
      </c>
      <c r="G2735" t="s">
        <v>737</v>
      </c>
      <c r="H2735" t="s">
        <v>450</v>
      </c>
      <c r="J2735" t="s">
        <v>4032</v>
      </c>
      <c r="K2735" t="s">
        <v>606</v>
      </c>
      <c r="M2735" t="s">
        <v>607</v>
      </c>
      <c r="N2735" t="s">
        <v>657</v>
      </c>
      <c r="O2735" t="s">
        <v>942</v>
      </c>
      <c r="P2735" t="s">
        <v>739</v>
      </c>
      <c r="Q2735" t="s">
        <v>467</v>
      </c>
      <c r="R2735" t="s">
        <v>793</v>
      </c>
      <c r="S2735" t="s">
        <v>907</v>
      </c>
      <c r="T2735" t="s">
        <v>794</v>
      </c>
      <c r="U2735">
        <v>139300</v>
      </c>
      <c r="V2735" t="s">
        <v>6826</v>
      </c>
      <c r="W2735" t="s">
        <v>945</v>
      </c>
      <c r="X2735" t="s">
        <v>15835</v>
      </c>
      <c r="Y2735" t="s">
        <v>15834</v>
      </c>
      <c r="Z2735" t="s">
        <v>1102</v>
      </c>
      <c r="AA2735" t="s">
        <v>5890</v>
      </c>
      <c r="AB2735" t="s">
        <v>15832</v>
      </c>
      <c r="AE2735">
        <v>-36.893104100000002</v>
      </c>
      <c r="AF2735">
        <v>174.75970580000001</v>
      </c>
      <c r="AG2735" s="175">
        <v>50</v>
      </c>
      <c r="AH2735" s="175">
        <v>50</v>
      </c>
      <c r="AI2735" s="175">
        <v>5</v>
      </c>
      <c r="AJ2735" s="175">
        <v>12</v>
      </c>
      <c r="AK2735" s="175">
        <v>9</v>
      </c>
      <c r="AL2735" s="175">
        <v>10</v>
      </c>
      <c r="AM2735" s="175">
        <v>7</v>
      </c>
      <c r="AN2735" s="175">
        <v>1</v>
      </c>
      <c r="AO2735" s="175">
        <v>44</v>
      </c>
      <c r="AP2735" s="175">
        <v>1</v>
      </c>
      <c r="AQ2735" s="175">
        <v>0</v>
      </c>
      <c r="AR2735" s="175">
        <v>0</v>
      </c>
      <c r="AS2735" s="175">
        <v>43</v>
      </c>
      <c r="AT2735" s="175">
        <v>0</v>
      </c>
    </row>
    <row r="2736" spans="1:46">
      <c r="A2736">
        <v>47286</v>
      </c>
      <c r="B2736" t="s">
        <v>15836</v>
      </c>
      <c r="C2736" t="s">
        <v>4017</v>
      </c>
      <c r="D2736" t="s">
        <v>15837</v>
      </c>
      <c r="E2736" t="s">
        <v>15838</v>
      </c>
      <c r="F2736" t="s">
        <v>1030</v>
      </c>
      <c r="G2736" t="s">
        <v>737</v>
      </c>
      <c r="H2736" t="s">
        <v>449</v>
      </c>
      <c r="J2736" t="s">
        <v>605</v>
      </c>
      <c r="K2736" t="s">
        <v>606</v>
      </c>
      <c r="M2736" t="s">
        <v>607</v>
      </c>
      <c r="N2736" t="s">
        <v>812</v>
      </c>
      <c r="O2736" t="s">
        <v>933</v>
      </c>
      <c r="P2736" t="s">
        <v>739</v>
      </c>
      <c r="Q2736" t="s">
        <v>467</v>
      </c>
      <c r="R2736" t="s">
        <v>814</v>
      </c>
      <c r="S2736" t="s">
        <v>934</v>
      </c>
      <c r="T2736" t="s">
        <v>794</v>
      </c>
      <c r="U2736">
        <v>150800</v>
      </c>
      <c r="V2736" t="s">
        <v>7591</v>
      </c>
      <c r="W2736" t="s">
        <v>817</v>
      </c>
      <c r="X2736" t="s">
        <v>4013</v>
      </c>
      <c r="Y2736" t="s">
        <v>4014</v>
      </c>
      <c r="Z2736" t="s">
        <v>4015</v>
      </c>
      <c r="AA2736" t="s">
        <v>4016</v>
      </c>
      <c r="AB2736" t="s">
        <v>4017</v>
      </c>
      <c r="AE2736">
        <v>-36.960751309999999</v>
      </c>
      <c r="AF2736">
        <v>174.82472032999999</v>
      </c>
      <c r="AG2736" s="175">
        <v>116</v>
      </c>
      <c r="AH2736" s="175">
        <v>21</v>
      </c>
      <c r="AI2736" s="175">
        <v>3</v>
      </c>
      <c r="AJ2736" s="175">
        <v>9</v>
      </c>
      <c r="AK2736" s="175">
        <v>20</v>
      </c>
      <c r="AL2736" s="175">
        <v>28</v>
      </c>
      <c r="AM2736" s="175">
        <v>31</v>
      </c>
      <c r="AN2736" s="175">
        <v>4</v>
      </c>
      <c r="AO2736" s="175">
        <v>95</v>
      </c>
      <c r="AP2736" s="175">
        <v>13</v>
      </c>
      <c r="AQ2736" s="175">
        <v>20</v>
      </c>
      <c r="AR2736" s="175">
        <v>67</v>
      </c>
      <c r="AS2736" s="175">
        <v>18</v>
      </c>
      <c r="AT2736" s="175">
        <v>8</v>
      </c>
    </row>
    <row r="2737" spans="1:46">
      <c r="A2737">
        <v>47291</v>
      </c>
      <c r="B2737" t="s">
        <v>15839</v>
      </c>
      <c r="C2737" t="s">
        <v>15840</v>
      </c>
      <c r="D2737" t="s">
        <v>15841</v>
      </c>
      <c r="E2737" t="s">
        <v>15842</v>
      </c>
      <c r="F2737" t="s">
        <v>8655</v>
      </c>
      <c r="G2737" t="s">
        <v>1381</v>
      </c>
      <c r="H2737" t="s">
        <v>449</v>
      </c>
      <c r="J2737" t="s">
        <v>4032</v>
      </c>
      <c r="K2737" t="s">
        <v>606</v>
      </c>
      <c r="M2737" t="s">
        <v>1382</v>
      </c>
      <c r="N2737" t="s">
        <v>657</v>
      </c>
      <c r="O2737" t="s">
        <v>1383</v>
      </c>
      <c r="P2737" t="s">
        <v>739</v>
      </c>
      <c r="Q2737" t="s">
        <v>510</v>
      </c>
      <c r="R2737" t="s">
        <v>1384</v>
      </c>
      <c r="S2737" t="s">
        <v>1384</v>
      </c>
      <c r="T2737" t="s">
        <v>1320</v>
      </c>
      <c r="U2737">
        <v>175302</v>
      </c>
      <c r="V2737" t="s">
        <v>13324</v>
      </c>
      <c r="W2737" t="s">
        <v>1398</v>
      </c>
      <c r="X2737" t="s">
        <v>10900</v>
      </c>
      <c r="Y2737" t="s">
        <v>4166</v>
      </c>
      <c r="Z2737" t="s">
        <v>4167</v>
      </c>
      <c r="AA2737" t="s">
        <v>4168</v>
      </c>
      <c r="AE2737">
        <v>-37.721456119999999</v>
      </c>
      <c r="AF2737">
        <v>175.25029001999999</v>
      </c>
      <c r="AG2737" s="175">
        <v>120</v>
      </c>
      <c r="AH2737" s="175">
        <v>25</v>
      </c>
      <c r="AI2737" s="175">
        <v>6</v>
      </c>
      <c r="AJ2737" s="175">
        <v>19</v>
      </c>
      <c r="AK2737" s="175">
        <v>25</v>
      </c>
      <c r="AL2737" s="175">
        <v>30</v>
      </c>
      <c r="AM2737" s="175">
        <v>41</v>
      </c>
      <c r="AN2737" s="175">
        <v>2</v>
      </c>
      <c r="AO2737" s="175">
        <v>123</v>
      </c>
      <c r="AP2737" s="175">
        <v>45</v>
      </c>
      <c r="AQ2737" s="175">
        <v>11</v>
      </c>
      <c r="AR2737" s="175">
        <v>4</v>
      </c>
      <c r="AS2737" s="175">
        <v>71</v>
      </c>
      <c r="AT2737" s="175">
        <v>10</v>
      </c>
    </row>
    <row r="2738" spans="1:46">
      <c r="A2738">
        <v>47294</v>
      </c>
      <c r="B2738" t="s">
        <v>15843</v>
      </c>
      <c r="C2738" t="s">
        <v>15844</v>
      </c>
      <c r="D2738" t="s">
        <v>15845</v>
      </c>
      <c r="E2738" t="s">
        <v>15846</v>
      </c>
      <c r="G2738" t="s">
        <v>3015</v>
      </c>
      <c r="H2738" t="s">
        <v>449</v>
      </c>
      <c r="J2738" t="s">
        <v>4032</v>
      </c>
      <c r="K2738" t="s">
        <v>606</v>
      </c>
      <c r="M2738" t="s">
        <v>2366</v>
      </c>
      <c r="N2738" t="s">
        <v>657</v>
      </c>
      <c r="O2738" t="s">
        <v>3016</v>
      </c>
      <c r="P2738" t="s">
        <v>739</v>
      </c>
      <c r="Q2738" t="s">
        <v>521</v>
      </c>
      <c r="R2738" t="s">
        <v>3017</v>
      </c>
      <c r="S2738" t="s">
        <v>3030</v>
      </c>
      <c r="T2738" t="s">
        <v>2526</v>
      </c>
      <c r="U2738">
        <v>328100</v>
      </c>
      <c r="V2738" t="s">
        <v>15847</v>
      </c>
      <c r="W2738" t="s">
        <v>3087</v>
      </c>
      <c r="X2738" t="s">
        <v>15848</v>
      </c>
      <c r="Y2738" t="s">
        <v>15188</v>
      </c>
      <c r="Z2738" t="s">
        <v>4622</v>
      </c>
      <c r="AA2738" t="s">
        <v>4623</v>
      </c>
      <c r="AB2738" t="s">
        <v>15849</v>
      </c>
      <c r="AC2738">
        <v>99215</v>
      </c>
      <c r="AD2738" t="s">
        <v>11035</v>
      </c>
      <c r="AE2738">
        <v>-43.540703039999997</v>
      </c>
      <c r="AF2738">
        <v>172.64016000999999</v>
      </c>
      <c r="AG2738" s="175">
        <v>75</v>
      </c>
      <c r="AH2738" s="175">
        <v>35</v>
      </c>
      <c r="AI2738" s="175">
        <v>3</v>
      </c>
      <c r="AJ2738" s="175">
        <v>16</v>
      </c>
      <c r="AK2738" s="175">
        <v>12</v>
      </c>
      <c r="AL2738" s="175">
        <v>16</v>
      </c>
      <c r="AM2738" s="175">
        <v>9</v>
      </c>
      <c r="AN2738" s="175">
        <v>0</v>
      </c>
      <c r="AO2738" s="175">
        <v>56</v>
      </c>
      <c r="AP2738" s="175">
        <v>31</v>
      </c>
      <c r="AQ2738" s="175">
        <v>11</v>
      </c>
      <c r="AR2738" s="175">
        <v>4</v>
      </c>
      <c r="AS2738" s="175">
        <v>21</v>
      </c>
      <c r="AT2738" s="175">
        <v>5</v>
      </c>
    </row>
    <row r="2739" spans="1:46">
      <c r="A2739">
        <v>47296</v>
      </c>
      <c r="B2739" t="s">
        <v>15850</v>
      </c>
      <c r="C2739" t="s">
        <v>15851</v>
      </c>
      <c r="D2739" t="s">
        <v>15852</v>
      </c>
      <c r="E2739" t="s">
        <v>15853</v>
      </c>
      <c r="F2739" t="s">
        <v>3466</v>
      </c>
      <c r="G2739" t="s">
        <v>3454</v>
      </c>
      <c r="H2739" t="s">
        <v>449</v>
      </c>
      <c r="J2739" t="s">
        <v>4032</v>
      </c>
      <c r="K2739" t="s">
        <v>606</v>
      </c>
      <c r="M2739" t="s">
        <v>2366</v>
      </c>
      <c r="N2739" t="s">
        <v>657</v>
      </c>
      <c r="O2739" t="s">
        <v>3455</v>
      </c>
      <c r="P2739" t="s">
        <v>739</v>
      </c>
      <c r="Q2739" t="s">
        <v>522</v>
      </c>
      <c r="R2739" t="s">
        <v>3410</v>
      </c>
      <c r="S2739" t="s">
        <v>3456</v>
      </c>
      <c r="T2739" t="s">
        <v>2526</v>
      </c>
      <c r="U2739">
        <v>355300</v>
      </c>
      <c r="V2739" t="s">
        <v>3466</v>
      </c>
      <c r="W2739" t="s">
        <v>1734</v>
      </c>
      <c r="X2739" t="s">
        <v>15854</v>
      </c>
      <c r="Y2739" t="s">
        <v>15855</v>
      </c>
      <c r="AA2739" t="s">
        <v>15856</v>
      </c>
      <c r="AE2739">
        <v>-45.898218120000003</v>
      </c>
      <c r="AF2739">
        <v>170.51170619000001</v>
      </c>
      <c r="AG2739" s="175">
        <v>150</v>
      </c>
      <c r="AH2739" s="175">
        <v>50</v>
      </c>
      <c r="AI2739" s="175">
        <v>7</v>
      </c>
      <c r="AJ2739" s="175">
        <v>48</v>
      </c>
      <c r="AK2739" s="175">
        <v>49</v>
      </c>
      <c r="AL2739" s="175">
        <v>31</v>
      </c>
      <c r="AM2739" s="175">
        <v>30</v>
      </c>
      <c r="AN2739" s="175">
        <v>1</v>
      </c>
      <c r="AO2739" s="175">
        <v>166</v>
      </c>
      <c r="AP2739" s="175">
        <v>139</v>
      </c>
      <c r="AQ2739" s="175">
        <v>33</v>
      </c>
      <c r="AR2739" s="175">
        <v>10</v>
      </c>
      <c r="AS2739" s="175">
        <v>25</v>
      </c>
      <c r="AT2739" s="175">
        <v>3</v>
      </c>
    </row>
    <row r="2740" spans="1:46">
      <c r="A2740">
        <v>47298</v>
      </c>
      <c r="B2740" t="s">
        <v>15857</v>
      </c>
      <c r="C2740" t="s">
        <v>15858</v>
      </c>
      <c r="D2740" t="s">
        <v>15859</v>
      </c>
      <c r="E2740" t="s">
        <v>15860</v>
      </c>
      <c r="F2740" t="s">
        <v>15449</v>
      </c>
      <c r="G2740" t="s">
        <v>737</v>
      </c>
      <c r="H2740" t="s">
        <v>450</v>
      </c>
      <c r="J2740" t="s">
        <v>4032</v>
      </c>
      <c r="K2740" t="s">
        <v>606</v>
      </c>
      <c r="M2740" t="s">
        <v>607</v>
      </c>
      <c r="N2740" t="s">
        <v>812</v>
      </c>
      <c r="O2740" t="s">
        <v>933</v>
      </c>
      <c r="P2740" t="s">
        <v>739</v>
      </c>
      <c r="Q2740" t="s">
        <v>467</v>
      </c>
      <c r="R2740" t="s">
        <v>814</v>
      </c>
      <c r="S2740" t="s">
        <v>934</v>
      </c>
      <c r="T2740" t="s">
        <v>794</v>
      </c>
      <c r="U2740">
        <v>149400</v>
      </c>
      <c r="V2740" t="s">
        <v>6652</v>
      </c>
      <c r="W2740" t="s">
        <v>817</v>
      </c>
      <c r="X2740" t="s">
        <v>15861</v>
      </c>
      <c r="Y2740" t="s">
        <v>15862</v>
      </c>
      <c r="Z2740" t="s">
        <v>15449</v>
      </c>
      <c r="AA2740" t="s">
        <v>7521</v>
      </c>
      <c r="AB2740" t="s">
        <v>15858</v>
      </c>
      <c r="AE2740">
        <v>-36.95687152</v>
      </c>
      <c r="AF2740">
        <v>174.81253620000001</v>
      </c>
      <c r="AG2740" s="175">
        <v>80</v>
      </c>
      <c r="AH2740" s="175">
        <v>80</v>
      </c>
      <c r="AI2740" s="175">
        <v>6</v>
      </c>
      <c r="AJ2740" s="175">
        <v>6</v>
      </c>
      <c r="AK2740" s="175">
        <v>6</v>
      </c>
      <c r="AL2740" s="175">
        <v>4</v>
      </c>
      <c r="AM2740" s="175">
        <v>9</v>
      </c>
      <c r="AN2740" s="175">
        <v>0</v>
      </c>
      <c r="AO2740" s="175">
        <v>31</v>
      </c>
      <c r="AP2740" s="175">
        <v>0</v>
      </c>
      <c r="AQ2740" s="175">
        <v>1</v>
      </c>
      <c r="AR2740" s="175">
        <v>31</v>
      </c>
      <c r="AS2740" s="175">
        <v>0</v>
      </c>
      <c r="AT2740" s="175">
        <v>0</v>
      </c>
    </row>
    <row r="2741" spans="1:46">
      <c r="A2741">
        <v>47301</v>
      </c>
      <c r="B2741" t="s">
        <v>15863</v>
      </c>
      <c r="C2741" t="s">
        <v>15864</v>
      </c>
      <c r="E2741" t="s">
        <v>15865</v>
      </c>
      <c r="F2741" t="s">
        <v>1506</v>
      </c>
      <c r="G2741" t="s">
        <v>1381</v>
      </c>
      <c r="H2741" t="s">
        <v>449</v>
      </c>
      <c r="J2741" t="s">
        <v>4032</v>
      </c>
      <c r="K2741" t="s">
        <v>606</v>
      </c>
      <c r="M2741" t="s">
        <v>1382</v>
      </c>
      <c r="N2741" t="s">
        <v>657</v>
      </c>
      <c r="O2741" t="s">
        <v>1383</v>
      </c>
      <c r="P2741" t="s">
        <v>739</v>
      </c>
      <c r="Q2741" t="s">
        <v>510</v>
      </c>
      <c r="R2741" t="s">
        <v>1384</v>
      </c>
      <c r="S2741" t="s">
        <v>1385</v>
      </c>
      <c r="T2741" t="s">
        <v>1320</v>
      </c>
      <c r="U2741">
        <v>176301</v>
      </c>
      <c r="V2741" t="s">
        <v>8493</v>
      </c>
      <c r="W2741" t="s">
        <v>1387</v>
      </c>
      <c r="X2741" t="s">
        <v>15866</v>
      </c>
      <c r="Y2741" t="s">
        <v>15867</v>
      </c>
      <c r="Z2741" t="s">
        <v>1506</v>
      </c>
      <c r="AA2741" t="s">
        <v>14104</v>
      </c>
      <c r="AB2741" t="s">
        <v>15868</v>
      </c>
      <c r="AC2741">
        <v>99132</v>
      </c>
      <c r="AD2741" t="s">
        <v>8577</v>
      </c>
      <c r="AE2741">
        <v>-37.740792390000003</v>
      </c>
      <c r="AF2741">
        <v>175.23165284999999</v>
      </c>
      <c r="AG2741" s="175">
        <v>120</v>
      </c>
      <c r="AH2741" s="175">
        <v>45</v>
      </c>
      <c r="AI2741" s="175">
        <v>8</v>
      </c>
      <c r="AJ2741" s="175">
        <v>19</v>
      </c>
      <c r="AK2741" s="175">
        <v>32</v>
      </c>
      <c r="AL2741" s="175">
        <v>27</v>
      </c>
      <c r="AM2741" s="175">
        <v>18</v>
      </c>
      <c r="AN2741" s="175">
        <v>1</v>
      </c>
      <c r="AO2741" s="175">
        <v>105</v>
      </c>
      <c r="AP2741" s="175">
        <v>72</v>
      </c>
      <c r="AQ2741" s="175">
        <v>23</v>
      </c>
      <c r="AR2741" s="175">
        <v>1</v>
      </c>
      <c r="AS2741" s="175">
        <v>24</v>
      </c>
      <c r="AT2741" s="175">
        <v>16</v>
      </c>
    </row>
    <row r="2742" spans="1:46">
      <c r="A2742">
        <v>47302</v>
      </c>
      <c r="B2742" t="s">
        <v>15869</v>
      </c>
      <c r="C2742" t="s">
        <v>15870</v>
      </c>
      <c r="E2742" t="s">
        <v>15871</v>
      </c>
      <c r="F2742" t="s">
        <v>3154</v>
      </c>
      <c r="G2742" t="s">
        <v>3015</v>
      </c>
      <c r="H2742" t="s">
        <v>449</v>
      </c>
      <c r="J2742" t="s">
        <v>605</v>
      </c>
      <c r="K2742" t="s">
        <v>606</v>
      </c>
      <c r="M2742" t="s">
        <v>2366</v>
      </c>
      <c r="N2742" t="s">
        <v>643</v>
      </c>
      <c r="O2742" t="s">
        <v>3016</v>
      </c>
      <c r="P2742" t="s">
        <v>739</v>
      </c>
      <c r="Q2742" t="s">
        <v>521</v>
      </c>
      <c r="R2742" t="s">
        <v>3017</v>
      </c>
      <c r="S2742" t="s">
        <v>3030</v>
      </c>
      <c r="T2742" t="s">
        <v>2526</v>
      </c>
      <c r="U2742">
        <v>323100</v>
      </c>
      <c r="V2742" t="s">
        <v>3155</v>
      </c>
      <c r="W2742" t="s">
        <v>3143</v>
      </c>
      <c r="X2742" t="s">
        <v>10864</v>
      </c>
      <c r="Y2742" t="s">
        <v>4014</v>
      </c>
      <c r="Z2742" t="s">
        <v>4015</v>
      </c>
      <c r="AA2742" t="s">
        <v>4016</v>
      </c>
      <c r="AC2742">
        <v>99175</v>
      </c>
      <c r="AD2742" t="s">
        <v>3144</v>
      </c>
      <c r="AE2742">
        <v>-43.507898169999997</v>
      </c>
      <c r="AF2742">
        <v>172.65085869000001</v>
      </c>
      <c r="AG2742" s="175">
        <v>76</v>
      </c>
      <c r="AH2742" s="175">
        <v>12</v>
      </c>
      <c r="AI2742" s="175">
        <v>4</v>
      </c>
      <c r="AJ2742" s="175">
        <v>11</v>
      </c>
      <c r="AK2742" s="175">
        <v>24</v>
      </c>
      <c r="AL2742" s="175">
        <v>17</v>
      </c>
      <c r="AM2742" s="175">
        <v>18</v>
      </c>
      <c r="AN2742" s="175">
        <v>1</v>
      </c>
      <c r="AO2742" s="175">
        <v>75</v>
      </c>
      <c r="AP2742" s="175">
        <v>26</v>
      </c>
      <c r="AQ2742" s="175">
        <v>17</v>
      </c>
      <c r="AR2742" s="175">
        <v>8</v>
      </c>
      <c r="AS2742" s="175">
        <v>22</v>
      </c>
      <c r="AT2742" s="175">
        <v>23</v>
      </c>
    </row>
    <row r="2743" spans="1:46">
      <c r="A2743">
        <v>47303</v>
      </c>
      <c r="B2743" t="s">
        <v>15872</v>
      </c>
      <c r="C2743" t="s">
        <v>8579</v>
      </c>
      <c r="E2743" t="s">
        <v>8581</v>
      </c>
      <c r="F2743" t="s">
        <v>1646</v>
      </c>
      <c r="G2743" t="s">
        <v>1604</v>
      </c>
      <c r="H2743" t="s">
        <v>450</v>
      </c>
      <c r="J2743" t="s">
        <v>4032</v>
      </c>
      <c r="K2743" t="s">
        <v>606</v>
      </c>
      <c r="M2743" t="s">
        <v>1382</v>
      </c>
      <c r="N2743" t="s">
        <v>657</v>
      </c>
      <c r="O2743" t="s">
        <v>1605</v>
      </c>
      <c r="P2743" t="s">
        <v>670</v>
      </c>
      <c r="Q2743" t="s">
        <v>511</v>
      </c>
      <c r="R2743" t="s">
        <v>1555</v>
      </c>
      <c r="S2743" t="s">
        <v>1604</v>
      </c>
      <c r="T2743" t="s">
        <v>1557</v>
      </c>
      <c r="U2743">
        <v>201300</v>
      </c>
      <c r="V2743" t="s">
        <v>8582</v>
      </c>
      <c r="W2743" t="s">
        <v>1606</v>
      </c>
      <c r="X2743" t="s">
        <v>8583</v>
      </c>
      <c r="Y2743" t="s">
        <v>8581</v>
      </c>
      <c r="AA2743" t="s">
        <v>8584</v>
      </c>
      <c r="AC2743">
        <v>99017</v>
      </c>
      <c r="AD2743" t="s">
        <v>1713</v>
      </c>
      <c r="AE2743">
        <v>-38.16461305</v>
      </c>
      <c r="AF2743">
        <v>176.23345570000001</v>
      </c>
      <c r="AG2743" s="175">
        <v>80</v>
      </c>
      <c r="AH2743" s="175">
        <v>80</v>
      </c>
      <c r="AI2743" s="175">
        <v>1</v>
      </c>
      <c r="AJ2743" s="175">
        <v>18</v>
      </c>
      <c r="AK2743" s="175">
        <v>20</v>
      </c>
      <c r="AL2743" s="175">
        <v>12</v>
      </c>
      <c r="AM2743" s="175">
        <v>7</v>
      </c>
      <c r="AN2743" s="175">
        <v>1</v>
      </c>
      <c r="AO2743" s="175">
        <v>59</v>
      </c>
      <c r="AP2743" s="175">
        <v>55</v>
      </c>
      <c r="AQ2743" s="175">
        <v>22</v>
      </c>
      <c r="AR2743" s="175">
        <v>0</v>
      </c>
      <c r="AS2743" s="175">
        <v>1</v>
      </c>
      <c r="AT2743" s="175">
        <v>0</v>
      </c>
    </row>
    <row r="2744" spans="1:46">
      <c r="A2744">
        <v>47305</v>
      </c>
      <c r="B2744" t="s">
        <v>15873</v>
      </c>
      <c r="C2744" t="s">
        <v>15874</v>
      </c>
      <c r="D2744" t="s">
        <v>5069</v>
      </c>
      <c r="E2744" t="s">
        <v>15875</v>
      </c>
      <c r="F2744" t="s">
        <v>932</v>
      </c>
      <c r="G2744" t="s">
        <v>737</v>
      </c>
      <c r="H2744" t="s">
        <v>449</v>
      </c>
      <c r="J2744" t="s">
        <v>4032</v>
      </c>
      <c r="K2744" t="s">
        <v>606</v>
      </c>
      <c r="M2744" t="s">
        <v>607</v>
      </c>
      <c r="N2744" t="s">
        <v>812</v>
      </c>
      <c r="O2744" t="s">
        <v>933</v>
      </c>
      <c r="P2744" t="s">
        <v>739</v>
      </c>
      <c r="Q2744" t="s">
        <v>467</v>
      </c>
      <c r="R2744" t="s">
        <v>814</v>
      </c>
      <c r="S2744" t="s">
        <v>934</v>
      </c>
      <c r="T2744" t="s">
        <v>794</v>
      </c>
      <c r="U2744">
        <v>148200</v>
      </c>
      <c r="V2744" t="s">
        <v>935</v>
      </c>
      <c r="W2744" t="s">
        <v>817</v>
      </c>
      <c r="X2744" t="s">
        <v>5072</v>
      </c>
      <c r="Y2744" t="s">
        <v>5073</v>
      </c>
      <c r="Z2744" t="s">
        <v>854</v>
      </c>
      <c r="AA2744" t="s">
        <v>4400</v>
      </c>
      <c r="AB2744" t="s">
        <v>5074</v>
      </c>
      <c r="AE2744">
        <v>-36.95168451</v>
      </c>
      <c r="AF2744">
        <v>174.80353829000001</v>
      </c>
      <c r="AG2744" s="175">
        <v>46</v>
      </c>
      <c r="AH2744" s="175">
        <v>12</v>
      </c>
      <c r="AI2744" s="175">
        <v>1</v>
      </c>
      <c r="AJ2744" s="175">
        <v>3</v>
      </c>
      <c r="AK2744" s="175">
        <v>4</v>
      </c>
      <c r="AL2744" s="175">
        <v>5</v>
      </c>
      <c r="AM2744" s="175">
        <v>6</v>
      </c>
      <c r="AN2744" s="175">
        <v>0</v>
      </c>
      <c r="AO2744" s="175">
        <v>19</v>
      </c>
      <c r="AP2744" s="175">
        <v>3</v>
      </c>
      <c r="AQ2744" s="175">
        <v>2</v>
      </c>
      <c r="AR2744" s="175">
        <v>10</v>
      </c>
      <c r="AS2744" s="175">
        <v>10</v>
      </c>
      <c r="AT2744" s="175">
        <v>0</v>
      </c>
    </row>
    <row r="2745" spans="1:46">
      <c r="A2745">
        <v>47307</v>
      </c>
      <c r="B2745" t="s">
        <v>15876</v>
      </c>
      <c r="C2745" t="s">
        <v>15877</v>
      </c>
      <c r="D2745" t="s">
        <v>15878</v>
      </c>
      <c r="E2745" t="s">
        <v>15879</v>
      </c>
      <c r="F2745" t="s">
        <v>9070</v>
      </c>
      <c r="G2745" t="s">
        <v>2162</v>
      </c>
      <c r="H2745" t="s">
        <v>449</v>
      </c>
      <c r="J2745" t="s">
        <v>4032</v>
      </c>
      <c r="K2745" t="s">
        <v>606</v>
      </c>
      <c r="M2745" t="s">
        <v>1382</v>
      </c>
      <c r="N2745" t="s">
        <v>657</v>
      </c>
      <c r="O2745" t="s">
        <v>2163</v>
      </c>
      <c r="P2745" t="s">
        <v>670</v>
      </c>
      <c r="Q2745" t="s">
        <v>512</v>
      </c>
      <c r="R2745" t="s">
        <v>2164</v>
      </c>
      <c r="S2745" t="s">
        <v>1556</v>
      </c>
      <c r="T2745" t="s">
        <v>2165</v>
      </c>
      <c r="U2745">
        <v>206400</v>
      </c>
      <c r="V2745" t="s">
        <v>15880</v>
      </c>
      <c r="W2745" t="s">
        <v>2167</v>
      </c>
      <c r="X2745" t="s">
        <v>15881</v>
      </c>
      <c r="Y2745" t="s">
        <v>4176</v>
      </c>
      <c r="AA2745" t="s">
        <v>4052</v>
      </c>
      <c r="AB2745" t="s">
        <v>15882</v>
      </c>
      <c r="AC2745">
        <v>99082</v>
      </c>
      <c r="AD2745" t="s">
        <v>2172</v>
      </c>
      <c r="AE2745">
        <v>-38.657394080000003</v>
      </c>
      <c r="AF2745">
        <v>178.01326975000001</v>
      </c>
      <c r="AG2745" s="175">
        <v>60</v>
      </c>
      <c r="AH2745" s="175">
        <v>25</v>
      </c>
      <c r="AI2745" s="175">
        <v>0</v>
      </c>
      <c r="AJ2745" s="175">
        <v>13</v>
      </c>
      <c r="AK2745" s="175">
        <v>8</v>
      </c>
      <c r="AL2745" s="175">
        <v>21</v>
      </c>
      <c r="AM2745" s="175">
        <v>15</v>
      </c>
      <c r="AN2745" s="175">
        <v>0</v>
      </c>
      <c r="AO2745" s="175">
        <v>57</v>
      </c>
      <c r="AP2745" s="175">
        <v>37</v>
      </c>
      <c r="AQ2745" s="175">
        <v>29</v>
      </c>
      <c r="AR2745" s="175">
        <v>2</v>
      </c>
      <c r="AS2745" s="175">
        <v>3</v>
      </c>
      <c r="AT2745" s="175">
        <v>2</v>
      </c>
    </row>
    <row r="2746" spans="1:46">
      <c r="A2746">
        <v>47308</v>
      </c>
      <c r="B2746" t="s">
        <v>15883</v>
      </c>
      <c r="C2746" t="s">
        <v>15884</v>
      </c>
      <c r="D2746" t="s">
        <v>15885</v>
      </c>
      <c r="E2746" t="s">
        <v>15886</v>
      </c>
      <c r="G2746" t="s">
        <v>8700</v>
      </c>
      <c r="H2746" t="s">
        <v>449</v>
      </c>
      <c r="J2746" t="s">
        <v>4032</v>
      </c>
      <c r="K2746" t="s">
        <v>606</v>
      </c>
      <c r="M2746" t="s">
        <v>1382</v>
      </c>
      <c r="N2746" t="s">
        <v>625</v>
      </c>
      <c r="O2746" t="s">
        <v>8701</v>
      </c>
      <c r="P2746" t="s">
        <v>610</v>
      </c>
      <c r="Q2746" t="s">
        <v>510</v>
      </c>
      <c r="R2746" t="s">
        <v>1384</v>
      </c>
      <c r="S2746" t="s">
        <v>1501</v>
      </c>
      <c r="T2746" t="s">
        <v>1568</v>
      </c>
      <c r="U2746">
        <v>187300</v>
      </c>
      <c r="V2746" t="s">
        <v>9227</v>
      </c>
      <c r="W2746" t="s">
        <v>8703</v>
      </c>
      <c r="X2746" t="s">
        <v>15887</v>
      </c>
      <c r="Y2746" t="s">
        <v>15886</v>
      </c>
      <c r="AA2746" t="s">
        <v>15888</v>
      </c>
      <c r="AB2746" t="s">
        <v>15889</v>
      </c>
      <c r="AC2746">
        <v>99106</v>
      </c>
      <c r="AD2746" t="s">
        <v>8708</v>
      </c>
      <c r="AE2746">
        <v>-38.333177429999999</v>
      </c>
      <c r="AF2746">
        <v>175.15718862</v>
      </c>
      <c r="AG2746" s="175">
        <v>35</v>
      </c>
      <c r="AH2746" s="175">
        <v>9</v>
      </c>
      <c r="AI2746" s="175">
        <v>1</v>
      </c>
      <c r="AJ2746" s="175">
        <v>9</v>
      </c>
      <c r="AK2746" s="175">
        <v>10</v>
      </c>
      <c r="AL2746" s="175">
        <v>11</v>
      </c>
      <c r="AM2746" s="175">
        <v>12</v>
      </c>
      <c r="AN2746" s="175">
        <v>0</v>
      </c>
      <c r="AO2746" s="175">
        <v>43</v>
      </c>
      <c r="AP2746" s="175">
        <v>22</v>
      </c>
      <c r="AQ2746" s="175">
        <v>28</v>
      </c>
      <c r="AR2746" s="175">
        <v>2</v>
      </c>
      <c r="AS2746" s="175">
        <v>4</v>
      </c>
      <c r="AT2746" s="175">
        <v>1</v>
      </c>
    </row>
    <row r="2747" spans="1:46">
      <c r="A2747">
        <v>47310</v>
      </c>
      <c r="B2747" t="s">
        <v>15890</v>
      </c>
      <c r="C2747" t="s">
        <v>15891</v>
      </c>
      <c r="E2747" t="s">
        <v>15892</v>
      </c>
      <c r="G2747" t="s">
        <v>7862</v>
      </c>
      <c r="H2747" t="s">
        <v>449</v>
      </c>
      <c r="J2747" t="s">
        <v>4032</v>
      </c>
      <c r="K2747" t="s">
        <v>606</v>
      </c>
      <c r="M2747" t="s">
        <v>1382</v>
      </c>
      <c r="N2747" t="s">
        <v>643</v>
      </c>
      <c r="O2747" t="s">
        <v>1435</v>
      </c>
      <c r="P2747" t="s">
        <v>610</v>
      </c>
      <c r="Q2747" t="s">
        <v>510</v>
      </c>
      <c r="R2747" t="s">
        <v>1384</v>
      </c>
      <c r="S2747" t="s">
        <v>1331</v>
      </c>
      <c r="T2747" t="s">
        <v>1320</v>
      </c>
      <c r="U2747">
        <v>171101</v>
      </c>
      <c r="V2747" t="s">
        <v>7863</v>
      </c>
      <c r="W2747" t="s">
        <v>7864</v>
      </c>
      <c r="X2747" t="s">
        <v>15893</v>
      </c>
      <c r="Y2747" t="s">
        <v>4176</v>
      </c>
      <c r="AA2747" t="s">
        <v>4052</v>
      </c>
      <c r="AE2747">
        <v>-37.405687440000001</v>
      </c>
      <c r="AF2747">
        <v>175.1419836</v>
      </c>
      <c r="AG2747" s="175">
        <v>80</v>
      </c>
      <c r="AH2747" s="175">
        <v>16</v>
      </c>
      <c r="AI2747" s="175">
        <v>3</v>
      </c>
      <c r="AJ2747" s="175">
        <v>8</v>
      </c>
      <c r="AK2747" s="175">
        <v>14</v>
      </c>
      <c r="AL2747" s="175">
        <v>25</v>
      </c>
      <c r="AM2747" s="175">
        <v>30</v>
      </c>
      <c r="AN2747" s="175">
        <v>3</v>
      </c>
      <c r="AO2747" s="175">
        <v>83</v>
      </c>
      <c r="AP2747" s="175">
        <v>54</v>
      </c>
      <c r="AQ2747" s="175">
        <v>22</v>
      </c>
      <c r="AR2747" s="175">
        <v>12</v>
      </c>
      <c r="AS2747" s="175">
        <v>25</v>
      </c>
      <c r="AT2747" s="175">
        <v>5</v>
      </c>
    </row>
    <row r="2748" spans="1:46">
      <c r="A2748">
        <v>47311</v>
      </c>
      <c r="B2748" t="s">
        <v>15894</v>
      </c>
      <c r="D2748" t="s">
        <v>15895</v>
      </c>
      <c r="E2748" t="s">
        <v>7339</v>
      </c>
      <c r="F2748" t="s">
        <v>4271</v>
      </c>
      <c r="G2748" t="s">
        <v>737</v>
      </c>
      <c r="H2748" t="s">
        <v>450</v>
      </c>
      <c r="J2748" t="s">
        <v>4032</v>
      </c>
      <c r="K2748" t="s">
        <v>606</v>
      </c>
      <c r="M2748" t="s">
        <v>607</v>
      </c>
      <c r="N2748" t="s">
        <v>643</v>
      </c>
      <c r="O2748" t="s">
        <v>1301</v>
      </c>
      <c r="P2748" t="s">
        <v>739</v>
      </c>
      <c r="Q2748" t="s">
        <v>467</v>
      </c>
      <c r="R2748" t="s">
        <v>814</v>
      </c>
      <c r="S2748" t="s">
        <v>1121</v>
      </c>
      <c r="T2748" t="s">
        <v>794</v>
      </c>
      <c r="U2748">
        <v>160700</v>
      </c>
      <c r="V2748" t="s">
        <v>7340</v>
      </c>
      <c r="W2748" t="s">
        <v>1304</v>
      </c>
      <c r="X2748" t="s">
        <v>15896</v>
      </c>
      <c r="Y2748" t="s">
        <v>7339</v>
      </c>
      <c r="Z2748" t="s">
        <v>4271</v>
      </c>
      <c r="AA2748" t="s">
        <v>7805</v>
      </c>
      <c r="AE2748">
        <v>-37.049539889999998</v>
      </c>
      <c r="AF2748">
        <v>174.85876117000001</v>
      </c>
      <c r="AG2748" s="175">
        <v>50</v>
      </c>
      <c r="AH2748" s="175">
        <v>50</v>
      </c>
      <c r="AI2748" s="175">
        <v>0</v>
      </c>
      <c r="AJ2748" s="175">
        <v>2</v>
      </c>
      <c r="AK2748" s="175">
        <v>7</v>
      </c>
      <c r="AL2748" s="175">
        <v>12</v>
      </c>
      <c r="AM2748" s="175">
        <v>17</v>
      </c>
      <c r="AN2748" s="175">
        <v>3</v>
      </c>
      <c r="AO2748" s="175">
        <v>41</v>
      </c>
      <c r="AP2748" s="175">
        <v>8</v>
      </c>
      <c r="AQ2748" s="175">
        <v>7</v>
      </c>
      <c r="AR2748" s="175">
        <v>13</v>
      </c>
      <c r="AS2748" s="175">
        <v>20</v>
      </c>
      <c r="AT2748" s="175">
        <v>2</v>
      </c>
    </row>
    <row r="2749" spans="1:46">
      <c r="A2749">
        <v>47314</v>
      </c>
      <c r="B2749" t="s">
        <v>15897</v>
      </c>
      <c r="C2749" t="s">
        <v>12882</v>
      </c>
      <c r="E2749" t="s">
        <v>15898</v>
      </c>
      <c r="G2749" t="s">
        <v>2930</v>
      </c>
      <c r="H2749" t="s">
        <v>449</v>
      </c>
      <c r="J2749" t="s">
        <v>4032</v>
      </c>
      <c r="K2749" t="s">
        <v>606</v>
      </c>
      <c r="M2749" t="s">
        <v>2366</v>
      </c>
      <c r="N2749" t="s">
        <v>657</v>
      </c>
      <c r="O2749" t="s">
        <v>2944</v>
      </c>
      <c r="P2749" t="s">
        <v>610</v>
      </c>
      <c r="Q2749" t="s">
        <v>517</v>
      </c>
      <c r="R2749" t="s">
        <v>2901</v>
      </c>
      <c r="S2749" t="s">
        <v>2930</v>
      </c>
      <c r="T2749" t="s">
        <v>2526</v>
      </c>
      <c r="U2749">
        <v>302701</v>
      </c>
      <c r="V2749" t="s">
        <v>12885</v>
      </c>
      <c r="W2749" t="s">
        <v>2959</v>
      </c>
      <c r="X2749" t="s">
        <v>15899</v>
      </c>
      <c r="Y2749" t="s">
        <v>12884</v>
      </c>
      <c r="Z2749" t="s">
        <v>12885</v>
      </c>
      <c r="AA2749" t="s">
        <v>12887</v>
      </c>
      <c r="AB2749" t="s">
        <v>15900</v>
      </c>
      <c r="AC2749">
        <v>99142</v>
      </c>
      <c r="AD2749" t="s">
        <v>2960</v>
      </c>
      <c r="AE2749">
        <v>-41.354415070000002</v>
      </c>
      <c r="AF2749">
        <v>173.15426044</v>
      </c>
      <c r="AG2749" s="175">
        <v>24</v>
      </c>
      <c r="AH2749" s="175">
        <v>18</v>
      </c>
      <c r="AI2749" s="175">
        <v>4</v>
      </c>
      <c r="AJ2749" s="175">
        <v>14</v>
      </c>
      <c r="AK2749" s="175">
        <v>8</v>
      </c>
      <c r="AL2749" s="175">
        <v>0</v>
      </c>
      <c r="AM2749" s="175">
        <v>0</v>
      </c>
      <c r="AN2749" s="175">
        <v>0</v>
      </c>
      <c r="AO2749" s="175">
        <v>26</v>
      </c>
      <c r="AP2749" s="175">
        <v>24</v>
      </c>
      <c r="AQ2749" s="175">
        <v>4</v>
      </c>
      <c r="AR2749" s="175">
        <v>1</v>
      </c>
      <c r="AS2749" s="175">
        <v>0</v>
      </c>
      <c r="AT2749" s="175">
        <v>1</v>
      </c>
    </row>
    <row r="2750" spans="1:46">
      <c r="A2750">
        <v>47316</v>
      </c>
      <c r="B2750" t="s">
        <v>15901</v>
      </c>
      <c r="C2750" t="s">
        <v>15902</v>
      </c>
      <c r="D2750" t="s">
        <v>15903</v>
      </c>
      <c r="E2750" t="s">
        <v>15904</v>
      </c>
      <c r="F2750" t="s">
        <v>943</v>
      </c>
      <c r="G2750" t="s">
        <v>737</v>
      </c>
      <c r="H2750" t="s">
        <v>449</v>
      </c>
      <c r="J2750" t="s">
        <v>4032</v>
      </c>
      <c r="K2750" t="s">
        <v>606</v>
      </c>
      <c r="M2750" t="s">
        <v>607</v>
      </c>
      <c r="N2750" t="s">
        <v>657</v>
      </c>
      <c r="O2750" t="s">
        <v>942</v>
      </c>
      <c r="P2750" t="s">
        <v>739</v>
      </c>
      <c r="Q2750" t="s">
        <v>467</v>
      </c>
      <c r="R2750" t="s">
        <v>793</v>
      </c>
      <c r="S2750" t="s">
        <v>943</v>
      </c>
      <c r="T2750" t="s">
        <v>794</v>
      </c>
      <c r="U2750">
        <v>136801</v>
      </c>
      <c r="V2750" t="s">
        <v>5192</v>
      </c>
      <c r="W2750" t="s">
        <v>945</v>
      </c>
      <c r="X2750" t="s">
        <v>15905</v>
      </c>
      <c r="Y2750" t="s">
        <v>15904</v>
      </c>
      <c r="Z2750" t="s">
        <v>940</v>
      </c>
      <c r="AA2750" t="s">
        <v>4942</v>
      </c>
      <c r="AE2750">
        <v>-36.895623620000002</v>
      </c>
      <c r="AF2750">
        <v>174.72060221999999</v>
      </c>
      <c r="AG2750" s="175">
        <v>50</v>
      </c>
      <c r="AH2750" s="175">
        <v>8</v>
      </c>
      <c r="AI2750" s="175">
        <v>3</v>
      </c>
      <c r="AJ2750" s="175">
        <v>7</v>
      </c>
      <c r="AK2750" s="175">
        <v>13</v>
      </c>
      <c r="AL2750" s="175">
        <v>13</v>
      </c>
      <c r="AM2750" s="175">
        <v>13</v>
      </c>
      <c r="AN2750" s="175">
        <v>3</v>
      </c>
      <c r="AO2750" s="175">
        <v>52</v>
      </c>
      <c r="AP2750" s="175">
        <v>12</v>
      </c>
      <c r="AQ2750" s="175">
        <v>4</v>
      </c>
      <c r="AR2750" s="175">
        <v>13</v>
      </c>
      <c r="AS2750" s="175">
        <v>27</v>
      </c>
      <c r="AT2750" s="175">
        <v>5</v>
      </c>
    </row>
    <row r="2751" spans="1:46">
      <c r="A2751">
        <v>47317</v>
      </c>
      <c r="B2751" t="s">
        <v>15906</v>
      </c>
      <c r="C2751" t="s">
        <v>15907</v>
      </c>
      <c r="E2751" t="s">
        <v>15908</v>
      </c>
      <c r="F2751" t="s">
        <v>832</v>
      </c>
      <c r="G2751" t="s">
        <v>737</v>
      </c>
      <c r="H2751" t="s">
        <v>449</v>
      </c>
      <c r="J2751" t="s">
        <v>4032</v>
      </c>
      <c r="K2751" t="s">
        <v>606</v>
      </c>
      <c r="M2751" t="s">
        <v>607</v>
      </c>
      <c r="N2751" t="s">
        <v>657</v>
      </c>
      <c r="O2751" t="s">
        <v>833</v>
      </c>
      <c r="P2751" t="s">
        <v>739</v>
      </c>
      <c r="Q2751" t="s">
        <v>467</v>
      </c>
      <c r="R2751" t="s">
        <v>724</v>
      </c>
      <c r="S2751" t="s">
        <v>767</v>
      </c>
      <c r="T2751" t="s">
        <v>613</v>
      </c>
      <c r="U2751">
        <v>129300</v>
      </c>
      <c r="V2751" t="s">
        <v>6059</v>
      </c>
      <c r="W2751" t="s">
        <v>826</v>
      </c>
      <c r="X2751" t="s">
        <v>15909</v>
      </c>
      <c r="Y2751" t="s">
        <v>15910</v>
      </c>
      <c r="Z2751" t="s">
        <v>3777</v>
      </c>
      <c r="AA2751" t="s">
        <v>4168</v>
      </c>
      <c r="AB2751" t="s">
        <v>15911</v>
      </c>
      <c r="AC2751">
        <v>99048</v>
      </c>
      <c r="AD2751" t="s">
        <v>835</v>
      </c>
      <c r="AE2751">
        <v>-36.809796830000003</v>
      </c>
      <c r="AF2751">
        <v>174.78654564000001</v>
      </c>
      <c r="AG2751" s="175">
        <v>51</v>
      </c>
      <c r="AH2751" s="175">
        <v>11</v>
      </c>
      <c r="AI2751" s="175">
        <v>4</v>
      </c>
      <c r="AJ2751" s="175">
        <v>9</v>
      </c>
      <c r="AK2751" s="175">
        <v>14</v>
      </c>
      <c r="AL2751" s="175">
        <v>15</v>
      </c>
      <c r="AM2751" s="175">
        <v>16</v>
      </c>
      <c r="AN2751" s="175">
        <v>0</v>
      </c>
      <c r="AO2751" s="175">
        <v>58</v>
      </c>
      <c r="AP2751" s="175">
        <v>47</v>
      </c>
      <c r="AQ2751" s="175">
        <v>8</v>
      </c>
      <c r="AR2751" s="175">
        <v>1</v>
      </c>
      <c r="AS2751" s="175">
        <v>9</v>
      </c>
      <c r="AT2751" s="175">
        <v>3</v>
      </c>
    </row>
    <row r="2752" spans="1:46">
      <c r="A2752">
        <v>47318</v>
      </c>
      <c r="B2752" t="s">
        <v>15912</v>
      </c>
      <c r="C2752" t="s">
        <v>15913</v>
      </c>
      <c r="D2752" t="s">
        <v>15914</v>
      </c>
      <c r="E2752" t="s">
        <v>15915</v>
      </c>
      <c r="G2752" t="s">
        <v>13544</v>
      </c>
      <c r="H2752" t="s">
        <v>449</v>
      </c>
      <c r="J2752" t="s">
        <v>4032</v>
      </c>
      <c r="K2752" t="s">
        <v>606</v>
      </c>
      <c r="M2752" t="s">
        <v>2366</v>
      </c>
      <c r="N2752" t="s">
        <v>657</v>
      </c>
      <c r="O2752" t="s">
        <v>13545</v>
      </c>
      <c r="P2752" t="s">
        <v>610</v>
      </c>
      <c r="Q2752" t="s">
        <v>521</v>
      </c>
      <c r="R2752" t="s">
        <v>3017</v>
      </c>
      <c r="S2752" t="s">
        <v>2902</v>
      </c>
      <c r="T2752" t="s">
        <v>2526</v>
      </c>
      <c r="U2752">
        <v>312901</v>
      </c>
      <c r="V2752" t="s">
        <v>13544</v>
      </c>
      <c r="W2752" t="s">
        <v>13546</v>
      </c>
      <c r="X2752" t="s">
        <v>15916</v>
      </c>
      <c r="Y2752" t="s">
        <v>15917</v>
      </c>
      <c r="Z2752" t="s">
        <v>13544</v>
      </c>
      <c r="AA2752" t="s">
        <v>15918</v>
      </c>
      <c r="AB2752" t="s">
        <v>15919</v>
      </c>
      <c r="AC2752">
        <v>99077</v>
      </c>
      <c r="AD2752" t="s">
        <v>3041</v>
      </c>
      <c r="AE2752">
        <v>-43.157027980000002</v>
      </c>
      <c r="AF2752">
        <v>172.73844969999999</v>
      </c>
      <c r="AG2752" s="175">
        <v>65</v>
      </c>
      <c r="AH2752" s="175">
        <v>20</v>
      </c>
      <c r="AI2752" s="175">
        <v>7</v>
      </c>
      <c r="AJ2752" s="175">
        <v>19</v>
      </c>
      <c r="AK2752" s="175">
        <v>15</v>
      </c>
      <c r="AL2752" s="175">
        <v>23</v>
      </c>
      <c r="AM2752" s="175">
        <v>13</v>
      </c>
      <c r="AN2752" s="175">
        <v>1</v>
      </c>
      <c r="AO2752" s="175">
        <v>78</v>
      </c>
      <c r="AP2752" s="175">
        <v>72</v>
      </c>
      <c r="AQ2752" s="175">
        <v>8</v>
      </c>
      <c r="AR2752" s="175">
        <v>1</v>
      </c>
      <c r="AS2752" s="175">
        <v>2</v>
      </c>
      <c r="AT2752" s="175">
        <v>1</v>
      </c>
    </row>
    <row r="2753" spans="1:46">
      <c r="A2753">
        <v>47321</v>
      </c>
      <c r="B2753" t="s">
        <v>15920</v>
      </c>
      <c r="C2753" t="s">
        <v>14221</v>
      </c>
      <c r="D2753" t="s">
        <v>15921</v>
      </c>
      <c r="E2753" t="s">
        <v>15116</v>
      </c>
      <c r="G2753" t="s">
        <v>2295</v>
      </c>
      <c r="H2753" t="s">
        <v>450</v>
      </c>
      <c r="J2753" t="s">
        <v>4032</v>
      </c>
      <c r="K2753" t="s">
        <v>606</v>
      </c>
      <c r="M2753" t="s">
        <v>1382</v>
      </c>
      <c r="N2753" t="s">
        <v>657</v>
      </c>
      <c r="O2753" t="s">
        <v>2277</v>
      </c>
      <c r="P2753" t="s">
        <v>1347</v>
      </c>
      <c r="Q2753" t="s">
        <v>513</v>
      </c>
      <c r="R2753" t="s">
        <v>1841</v>
      </c>
      <c r="S2753" t="s">
        <v>2278</v>
      </c>
      <c r="T2753" t="s">
        <v>2165</v>
      </c>
      <c r="U2753">
        <v>211600</v>
      </c>
      <c r="V2753" t="s">
        <v>8785</v>
      </c>
      <c r="W2753" t="s">
        <v>2279</v>
      </c>
      <c r="X2753" t="s">
        <v>15922</v>
      </c>
      <c r="Y2753" t="s">
        <v>8787</v>
      </c>
      <c r="Z2753" t="s">
        <v>2295</v>
      </c>
      <c r="AA2753" t="s">
        <v>8788</v>
      </c>
      <c r="AB2753" t="s">
        <v>14221</v>
      </c>
      <c r="AE2753">
        <v>-39.668052330000002</v>
      </c>
      <c r="AF2753">
        <v>176.87792060000001</v>
      </c>
      <c r="AG2753" s="175">
        <v>50</v>
      </c>
      <c r="AH2753" s="175">
        <v>50</v>
      </c>
      <c r="AI2753" s="175">
        <v>0</v>
      </c>
      <c r="AJ2753" s="175">
        <v>12</v>
      </c>
      <c r="AK2753" s="175">
        <v>21</v>
      </c>
      <c r="AL2753" s="175">
        <v>9</v>
      </c>
      <c r="AM2753" s="175">
        <v>7</v>
      </c>
      <c r="AN2753" s="175">
        <v>0</v>
      </c>
      <c r="AO2753" s="175">
        <v>49</v>
      </c>
      <c r="AP2753" s="175">
        <v>47</v>
      </c>
      <c r="AQ2753" s="175">
        <v>17</v>
      </c>
      <c r="AR2753" s="175">
        <v>4</v>
      </c>
      <c r="AS2753" s="175">
        <v>1</v>
      </c>
      <c r="AT2753" s="175">
        <v>1</v>
      </c>
    </row>
    <row r="2754" spans="1:46">
      <c r="A2754">
        <v>47324</v>
      </c>
      <c r="B2754" t="s">
        <v>15923</v>
      </c>
      <c r="C2754" t="s">
        <v>15924</v>
      </c>
      <c r="D2754" t="s">
        <v>15925</v>
      </c>
      <c r="E2754" t="s">
        <v>15926</v>
      </c>
      <c r="F2754" t="s">
        <v>13170</v>
      </c>
      <c r="G2754" t="s">
        <v>737</v>
      </c>
      <c r="H2754" t="s">
        <v>449</v>
      </c>
      <c r="J2754" t="s">
        <v>4032</v>
      </c>
      <c r="K2754" t="s">
        <v>606</v>
      </c>
      <c r="M2754" t="s">
        <v>607</v>
      </c>
      <c r="N2754" t="s">
        <v>657</v>
      </c>
      <c r="O2754" t="s">
        <v>914</v>
      </c>
      <c r="P2754" t="s">
        <v>739</v>
      </c>
      <c r="Q2754" t="s">
        <v>467</v>
      </c>
      <c r="R2754" t="s">
        <v>814</v>
      </c>
      <c r="S2754" t="s">
        <v>890</v>
      </c>
      <c r="T2754" t="s">
        <v>794</v>
      </c>
      <c r="U2754">
        <v>145900</v>
      </c>
      <c r="V2754" t="s">
        <v>13870</v>
      </c>
      <c r="W2754" t="s">
        <v>892</v>
      </c>
      <c r="X2754" t="s">
        <v>15112</v>
      </c>
      <c r="Y2754" t="s">
        <v>15927</v>
      </c>
      <c r="Z2754" t="s">
        <v>11808</v>
      </c>
      <c r="AA2754" t="s">
        <v>4977</v>
      </c>
      <c r="AE2754">
        <v>-36.92053791</v>
      </c>
      <c r="AF2754">
        <v>174.8378337</v>
      </c>
      <c r="AG2754" s="175">
        <v>100</v>
      </c>
      <c r="AH2754" s="175">
        <v>30</v>
      </c>
      <c r="AI2754" s="175">
        <v>5</v>
      </c>
      <c r="AJ2754" s="175">
        <v>30</v>
      </c>
      <c r="AK2754" s="175">
        <v>19</v>
      </c>
      <c r="AL2754" s="175">
        <v>12</v>
      </c>
      <c r="AM2754" s="175">
        <v>21</v>
      </c>
      <c r="AN2754" s="175">
        <v>0</v>
      </c>
      <c r="AO2754" s="175">
        <v>87</v>
      </c>
      <c r="AP2754" s="175">
        <v>57</v>
      </c>
      <c r="AQ2754" s="175">
        <v>7</v>
      </c>
      <c r="AR2754" s="175">
        <v>9</v>
      </c>
      <c r="AS2754" s="175">
        <v>33</v>
      </c>
      <c r="AT2754" s="175">
        <v>9</v>
      </c>
    </row>
    <row r="2755" spans="1:46">
      <c r="A2755">
        <v>47325</v>
      </c>
      <c r="B2755" t="s">
        <v>15928</v>
      </c>
      <c r="C2755" t="s">
        <v>15929</v>
      </c>
      <c r="D2755" t="s">
        <v>13038</v>
      </c>
      <c r="E2755" t="s">
        <v>13039</v>
      </c>
      <c r="F2755" t="s">
        <v>2134</v>
      </c>
      <c r="G2755" t="s">
        <v>2055</v>
      </c>
      <c r="H2755" t="s">
        <v>450</v>
      </c>
      <c r="J2755" t="s">
        <v>4032</v>
      </c>
      <c r="K2755" t="s">
        <v>606</v>
      </c>
      <c r="M2755" t="s">
        <v>1382</v>
      </c>
      <c r="N2755" t="s">
        <v>657</v>
      </c>
      <c r="O2755" t="s">
        <v>2037</v>
      </c>
      <c r="P2755" t="s">
        <v>670</v>
      </c>
      <c r="Q2755" t="s">
        <v>553</v>
      </c>
      <c r="R2755" t="s">
        <v>1841</v>
      </c>
      <c r="S2755" t="s">
        <v>2055</v>
      </c>
      <c r="T2755" t="s">
        <v>1568</v>
      </c>
      <c r="U2755">
        <v>230100</v>
      </c>
      <c r="V2755" t="s">
        <v>11826</v>
      </c>
      <c r="W2755" t="s">
        <v>2038</v>
      </c>
      <c r="X2755" t="s">
        <v>13040</v>
      </c>
      <c r="Y2755" t="s">
        <v>13039</v>
      </c>
      <c r="AA2755" t="s">
        <v>15930</v>
      </c>
      <c r="AB2755" t="s">
        <v>13041</v>
      </c>
      <c r="AE2755">
        <v>-40.354767889999998</v>
      </c>
      <c r="AF2755">
        <v>175.59716933000001</v>
      </c>
      <c r="AG2755" s="175">
        <v>50</v>
      </c>
      <c r="AH2755" s="175">
        <v>50</v>
      </c>
      <c r="AI2755" s="175">
        <v>1</v>
      </c>
      <c r="AJ2755" s="175">
        <v>6</v>
      </c>
      <c r="AK2755" s="175">
        <v>8</v>
      </c>
      <c r="AL2755" s="175">
        <v>6</v>
      </c>
      <c r="AM2755" s="175">
        <v>7</v>
      </c>
      <c r="AN2755" s="175">
        <v>0</v>
      </c>
      <c r="AO2755" s="175">
        <v>28</v>
      </c>
      <c r="AP2755" s="175">
        <v>24</v>
      </c>
      <c r="AQ2755" s="175">
        <v>10</v>
      </c>
      <c r="AR2755" s="175">
        <v>0</v>
      </c>
      <c r="AS2755" s="175">
        <v>1</v>
      </c>
      <c r="AT2755" s="175">
        <v>1</v>
      </c>
    </row>
    <row r="2756" spans="1:46">
      <c r="A2756">
        <v>47327</v>
      </c>
      <c r="B2756" t="s">
        <v>15931</v>
      </c>
      <c r="C2756" t="s">
        <v>15932</v>
      </c>
      <c r="D2756" t="s">
        <v>8100</v>
      </c>
      <c r="E2756" t="s">
        <v>15933</v>
      </c>
      <c r="G2756" t="s">
        <v>3036</v>
      </c>
      <c r="H2756" t="s">
        <v>449</v>
      </c>
      <c r="J2756" t="s">
        <v>4032</v>
      </c>
      <c r="K2756" t="s">
        <v>606</v>
      </c>
      <c r="M2756" t="s">
        <v>2366</v>
      </c>
      <c r="N2756" t="s">
        <v>657</v>
      </c>
      <c r="O2756" t="s">
        <v>3037</v>
      </c>
      <c r="P2756" t="s">
        <v>1347</v>
      </c>
      <c r="Q2756" t="s">
        <v>521</v>
      </c>
      <c r="R2756" t="s">
        <v>3017</v>
      </c>
      <c r="S2756" t="s">
        <v>3038</v>
      </c>
      <c r="T2756" t="s">
        <v>2526</v>
      </c>
      <c r="U2756">
        <v>314600</v>
      </c>
      <c r="V2756" t="s">
        <v>15934</v>
      </c>
      <c r="W2756" t="s">
        <v>3040</v>
      </c>
      <c r="X2756" t="s">
        <v>15629</v>
      </c>
      <c r="Y2756" t="s">
        <v>15935</v>
      </c>
      <c r="AA2756" t="s">
        <v>8104</v>
      </c>
      <c r="AB2756" t="s">
        <v>15936</v>
      </c>
      <c r="AE2756">
        <v>-43.312044350000001</v>
      </c>
      <c r="AF2756">
        <v>172.59496242</v>
      </c>
      <c r="AG2756" s="175">
        <v>74</v>
      </c>
      <c r="AH2756" s="175">
        <v>24</v>
      </c>
      <c r="AI2756" s="175">
        <v>6</v>
      </c>
      <c r="AJ2756" s="175">
        <v>12</v>
      </c>
      <c r="AK2756" s="175">
        <v>17</v>
      </c>
      <c r="AL2756" s="175">
        <v>12</v>
      </c>
      <c r="AM2756" s="175">
        <v>5</v>
      </c>
      <c r="AN2756" s="175">
        <v>0</v>
      </c>
      <c r="AO2756" s="175">
        <v>52</v>
      </c>
      <c r="AP2756" s="175">
        <v>42</v>
      </c>
      <c r="AQ2756" s="175">
        <v>9</v>
      </c>
      <c r="AR2756" s="175">
        <v>3</v>
      </c>
      <c r="AS2756" s="175">
        <v>3</v>
      </c>
      <c r="AT2756" s="175">
        <v>5</v>
      </c>
    </row>
    <row r="2757" spans="1:46">
      <c r="A2757">
        <v>47329</v>
      </c>
      <c r="B2757" t="s">
        <v>15937</v>
      </c>
      <c r="C2757" t="s">
        <v>15938</v>
      </c>
      <c r="D2757" t="s">
        <v>15939</v>
      </c>
      <c r="E2757" t="s">
        <v>15940</v>
      </c>
      <c r="F2757" t="s">
        <v>4987</v>
      </c>
      <c r="G2757" t="s">
        <v>737</v>
      </c>
      <c r="H2757" t="s">
        <v>449</v>
      </c>
      <c r="J2757" t="s">
        <v>4032</v>
      </c>
      <c r="K2757" t="s">
        <v>606</v>
      </c>
      <c r="M2757" t="s">
        <v>607</v>
      </c>
      <c r="N2757" t="s">
        <v>657</v>
      </c>
      <c r="O2757" t="s">
        <v>1042</v>
      </c>
      <c r="P2757" t="s">
        <v>739</v>
      </c>
      <c r="Q2757" t="s">
        <v>467</v>
      </c>
      <c r="R2757" t="s">
        <v>793</v>
      </c>
      <c r="S2757" t="s">
        <v>1043</v>
      </c>
      <c r="T2757" t="s">
        <v>794</v>
      </c>
      <c r="U2757">
        <v>133200</v>
      </c>
      <c r="V2757" t="s">
        <v>15941</v>
      </c>
      <c r="W2757" t="s">
        <v>1044</v>
      </c>
      <c r="X2757" t="s">
        <v>15942</v>
      </c>
      <c r="Y2757" t="s">
        <v>15943</v>
      </c>
      <c r="Z2757" t="s">
        <v>1181</v>
      </c>
      <c r="AA2757" t="s">
        <v>15944</v>
      </c>
      <c r="AB2757" t="s">
        <v>7527</v>
      </c>
      <c r="AE2757">
        <v>-36.846533549999997</v>
      </c>
      <c r="AF2757">
        <v>174.76576890000001</v>
      </c>
      <c r="AG2757" s="175">
        <v>50</v>
      </c>
      <c r="AH2757" s="175">
        <v>19</v>
      </c>
      <c r="AI2757" s="175">
        <v>3</v>
      </c>
      <c r="AJ2757" s="175">
        <v>6</v>
      </c>
      <c r="AK2757" s="175">
        <v>9</v>
      </c>
      <c r="AL2757" s="175">
        <v>10</v>
      </c>
      <c r="AM2757" s="175">
        <v>4</v>
      </c>
      <c r="AN2757" s="175">
        <v>0</v>
      </c>
      <c r="AO2757" s="175">
        <v>32</v>
      </c>
      <c r="AP2757" s="175">
        <v>12</v>
      </c>
      <c r="AQ2757" s="175">
        <v>1</v>
      </c>
      <c r="AR2757" s="175">
        <v>3</v>
      </c>
      <c r="AS2757" s="175">
        <v>22</v>
      </c>
      <c r="AT2757" s="175">
        <v>3</v>
      </c>
    </row>
    <row r="2758" spans="1:46">
      <c r="A2758">
        <v>47330</v>
      </c>
      <c r="B2758" t="s">
        <v>9086</v>
      </c>
      <c r="C2758" t="s">
        <v>15945</v>
      </c>
      <c r="D2758" t="s">
        <v>15946</v>
      </c>
      <c r="E2758" t="s">
        <v>9089</v>
      </c>
      <c r="G2758" t="s">
        <v>2505</v>
      </c>
      <c r="H2758" t="s">
        <v>450</v>
      </c>
      <c r="J2758" t="s">
        <v>4032</v>
      </c>
      <c r="K2758" t="s">
        <v>606</v>
      </c>
      <c r="M2758" t="s">
        <v>2366</v>
      </c>
      <c r="N2758" t="s">
        <v>657</v>
      </c>
      <c r="O2758" t="s">
        <v>2506</v>
      </c>
      <c r="P2758" t="s">
        <v>739</v>
      </c>
      <c r="Q2758" t="s">
        <v>516</v>
      </c>
      <c r="R2758" t="s">
        <v>2368</v>
      </c>
      <c r="S2758" t="s">
        <v>2507</v>
      </c>
      <c r="T2758" t="s">
        <v>2526</v>
      </c>
      <c r="U2758">
        <v>244300</v>
      </c>
      <c r="V2758" t="s">
        <v>9090</v>
      </c>
      <c r="W2758" t="s">
        <v>2521</v>
      </c>
      <c r="X2758" t="s">
        <v>15947</v>
      </c>
      <c r="Y2758" t="s">
        <v>9089</v>
      </c>
      <c r="Z2758" t="s">
        <v>2505</v>
      </c>
      <c r="AA2758" t="s">
        <v>9092</v>
      </c>
      <c r="AB2758" t="s">
        <v>12232</v>
      </c>
      <c r="AE2758">
        <v>-41.207206800000002</v>
      </c>
      <c r="AF2758">
        <v>174.9101445</v>
      </c>
      <c r="AG2758" s="175">
        <v>80</v>
      </c>
      <c r="AH2758" s="175">
        <v>80</v>
      </c>
      <c r="AI2758" s="175">
        <v>0</v>
      </c>
      <c r="AJ2758" s="175">
        <v>6</v>
      </c>
      <c r="AK2758" s="175">
        <v>4</v>
      </c>
      <c r="AL2758" s="175">
        <v>1</v>
      </c>
      <c r="AM2758" s="175">
        <v>5</v>
      </c>
      <c r="AN2758" s="175">
        <v>0</v>
      </c>
      <c r="AO2758" s="175">
        <v>16</v>
      </c>
      <c r="AP2758" s="175">
        <v>13</v>
      </c>
      <c r="AQ2758" s="175">
        <v>2</v>
      </c>
      <c r="AR2758" s="175">
        <v>0</v>
      </c>
      <c r="AS2758" s="175">
        <v>4</v>
      </c>
      <c r="AT2758" s="175">
        <v>0</v>
      </c>
    </row>
    <row r="2759" spans="1:46">
      <c r="A2759">
        <v>47332</v>
      </c>
      <c r="B2759" t="s">
        <v>15948</v>
      </c>
      <c r="C2759" t="s">
        <v>15949</v>
      </c>
      <c r="D2759" t="s">
        <v>15950</v>
      </c>
      <c r="E2759" t="s">
        <v>15951</v>
      </c>
      <c r="F2759" t="s">
        <v>15952</v>
      </c>
      <c r="G2759" t="s">
        <v>1381</v>
      </c>
      <c r="H2759" t="s">
        <v>449</v>
      </c>
      <c r="J2759" t="s">
        <v>4032</v>
      </c>
      <c r="K2759" t="s">
        <v>606</v>
      </c>
      <c r="M2759" t="s">
        <v>1382</v>
      </c>
      <c r="N2759" t="s">
        <v>657</v>
      </c>
      <c r="O2759" t="s">
        <v>1403</v>
      </c>
      <c r="P2759" t="s">
        <v>626</v>
      </c>
      <c r="Q2759" t="s">
        <v>510</v>
      </c>
      <c r="R2759" t="s">
        <v>1384</v>
      </c>
      <c r="S2759" t="s">
        <v>1501</v>
      </c>
      <c r="T2759" t="s">
        <v>1320</v>
      </c>
      <c r="U2759">
        <v>181600</v>
      </c>
      <c r="V2759" t="s">
        <v>9184</v>
      </c>
      <c r="W2759" t="s">
        <v>9027</v>
      </c>
      <c r="X2759" t="s">
        <v>15953</v>
      </c>
      <c r="Y2759" t="s">
        <v>15954</v>
      </c>
      <c r="Z2759" t="s">
        <v>9143</v>
      </c>
      <c r="AA2759" t="s">
        <v>15955</v>
      </c>
      <c r="AB2759" t="s">
        <v>15956</v>
      </c>
      <c r="AE2759">
        <v>-37.852568169999998</v>
      </c>
      <c r="AF2759">
        <v>175.30582127</v>
      </c>
      <c r="AG2759" s="175">
        <v>40</v>
      </c>
      <c r="AH2759" s="175">
        <v>15</v>
      </c>
      <c r="AI2759" s="175">
        <v>1</v>
      </c>
      <c r="AJ2759" s="175">
        <v>6</v>
      </c>
      <c r="AK2759" s="175">
        <v>11</v>
      </c>
      <c r="AL2759" s="175">
        <v>12</v>
      </c>
      <c r="AM2759" s="175">
        <v>11</v>
      </c>
      <c r="AN2759" s="175">
        <v>0</v>
      </c>
      <c r="AO2759" s="175">
        <v>41</v>
      </c>
      <c r="AP2759" s="175">
        <v>30</v>
      </c>
      <c r="AQ2759" s="175">
        <v>12</v>
      </c>
      <c r="AR2759" s="175">
        <v>6</v>
      </c>
      <c r="AS2759" s="175">
        <v>6</v>
      </c>
      <c r="AT2759" s="175">
        <v>6</v>
      </c>
    </row>
    <row r="2760" spans="1:46">
      <c r="A2760">
        <v>47335</v>
      </c>
      <c r="B2760" t="s">
        <v>15957</v>
      </c>
      <c r="C2760" t="s">
        <v>15958</v>
      </c>
      <c r="D2760" t="s">
        <v>15959</v>
      </c>
      <c r="E2760" t="s">
        <v>15960</v>
      </c>
      <c r="F2760" t="s">
        <v>6042</v>
      </c>
      <c r="G2760" t="s">
        <v>737</v>
      </c>
      <c r="H2760" t="s">
        <v>452</v>
      </c>
      <c r="I2760" t="s">
        <v>941</v>
      </c>
      <c r="J2760" t="s">
        <v>605</v>
      </c>
      <c r="K2760" t="s">
        <v>606</v>
      </c>
      <c r="M2760" t="s">
        <v>607</v>
      </c>
      <c r="N2760" t="s">
        <v>657</v>
      </c>
      <c r="O2760" t="s">
        <v>942</v>
      </c>
      <c r="P2760" t="s">
        <v>739</v>
      </c>
      <c r="Q2760" t="s">
        <v>467</v>
      </c>
      <c r="R2760" t="s">
        <v>793</v>
      </c>
      <c r="S2760" t="s">
        <v>943</v>
      </c>
      <c r="T2760" t="s">
        <v>794</v>
      </c>
      <c r="U2760">
        <v>129902</v>
      </c>
      <c r="V2760" t="s">
        <v>6585</v>
      </c>
      <c r="W2760" t="s">
        <v>945</v>
      </c>
      <c r="X2760" t="s">
        <v>727</v>
      </c>
      <c r="Y2760" t="s">
        <v>728</v>
      </c>
      <c r="Z2760" t="s">
        <v>729</v>
      </c>
      <c r="AA2760" t="s">
        <v>730</v>
      </c>
      <c r="AB2760" t="s">
        <v>731</v>
      </c>
      <c r="AE2760">
        <v>-36.863727050000001</v>
      </c>
      <c r="AF2760">
        <v>174.70930634999999</v>
      </c>
      <c r="AG2760" s="175">
        <v>40</v>
      </c>
      <c r="AH2760" s="175">
        <v>0</v>
      </c>
      <c r="AI2760" s="175">
        <v>0</v>
      </c>
      <c r="AJ2760" s="175">
        <v>0</v>
      </c>
      <c r="AK2760" s="175">
        <v>0</v>
      </c>
      <c r="AL2760" s="175">
        <v>18</v>
      </c>
      <c r="AM2760" s="175">
        <v>28</v>
      </c>
      <c r="AN2760" s="175">
        <v>0</v>
      </c>
      <c r="AO2760" s="175">
        <v>46</v>
      </c>
      <c r="AP2760" s="175">
        <v>32</v>
      </c>
      <c r="AQ2760" s="175">
        <v>3</v>
      </c>
      <c r="AR2760" s="175">
        <v>2</v>
      </c>
      <c r="AS2760" s="175">
        <v>10</v>
      </c>
      <c r="AT2760" s="175">
        <v>8</v>
      </c>
    </row>
    <row r="2761" spans="1:46">
      <c r="A2761">
        <v>47336</v>
      </c>
      <c r="B2761" t="s">
        <v>15961</v>
      </c>
      <c r="E2761" t="s">
        <v>15962</v>
      </c>
      <c r="G2761" t="s">
        <v>3597</v>
      </c>
      <c r="H2761" t="s">
        <v>449</v>
      </c>
      <c r="J2761" t="s">
        <v>4032</v>
      </c>
      <c r="K2761" t="s">
        <v>606</v>
      </c>
      <c r="M2761" t="s">
        <v>2366</v>
      </c>
      <c r="N2761" t="s">
        <v>657</v>
      </c>
      <c r="O2761" t="s">
        <v>3598</v>
      </c>
      <c r="P2761" t="s">
        <v>610</v>
      </c>
      <c r="Q2761" t="s">
        <v>523</v>
      </c>
      <c r="R2761" t="s">
        <v>3410</v>
      </c>
      <c r="S2761" t="s">
        <v>3433</v>
      </c>
      <c r="T2761" t="s">
        <v>2526</v>
      </c>
      <c r="U2761">
        <v>357501</v>
      </c>
      <c r="V2761" t="s">
        <v>3599</v>
      </c>
      <c r="W2761" t="s">
        <v>3600</v>
      </c>
      <c r="X2761" t="s">
        <v>15963</v>
      </c>
      <c r="Y2761" t="s">
        <v>15964</v>
      </c>
      <c r="AA2761" t="s">
        <v>12449</v>
      </c>
      <c r="AC2761">
        <v>99041</v>
      </c>
      <c r="AD2761" t="s">
        <v>3601</v>
      </c>
      <c r="AE2761">
        <v>-45.401051520000003</v>
      </c>
      <c r="AF2761">
        <v>167.71891869999999</v>
      </c>
      <c r="AG2761" s="175">
        <v>65</v>
      </c>
      <c r="AH2761" s="175">
        <v>20</v>
      </c>
      <c r="AI2761" s="175">
        <v>4</v>
      </c>
      <c r="AJ2761" s="175">
        <v>11</v>
      </c>
      <c r="AK2761" s="175">
        <v>8</v>
      </c>
      <c r="AL2761" s="175">
        <v>13</v>
      </c>
      <c r="AM2761" s="175">
        <v>14</v>
      </c>
      <c r="AN2761" s="175">
        <v>0</v>
      </c>
      <c r="AO2761" s="175">
        <v>50</v>
      </c>
      <c r="AP2761" s="175">
        <v>37</v>
      </c>
      <c r="AQ2761" s="175">
        <v>11</v>
      </c>
      <c r="AR2761" s="175">
        <v>0</v>
      </c>
      <c r="AS2761" s="175">
        <v>7</v>
      </c>
      <c r="AT2761" s="175">
        <v>2</v>
      </c>
    </row>
    <row r="2762" spans="1:46">
      <c r="A2762">
        <v>47337</v>
      </c>
      <c r="B2762" t="s">
        <v>15965</v>
      </c>
      <c r="C2762" t="s">
        <v>15966</v>
      </c>
      <c r="E2762" t="s">
        <v>15967</v>
      </c>
      <c r="G2762" t="s">
        <v>11255</v>
      </c>
      <c r="H2762" t="s">
        <v>449</v>
      </c>
      <c r="J2762" t="s">
        <v>4032</v>
      </c>
      <c r="K2762" t="s">
        <v>606</v>
      </c>
      <c r="M2762" t="s">
        <v>2366</v>
      </c>
      <c r="N2762" t="s">
        <v>657</v>
      </c>
      <c r="O2762" t="s">
        <v>3906</v>
      </c>
      <c r="P2762" t="s">
        <v>610</v>
      </c>
      <c r="Q2762" t="s">
        <v>522</v>
      </c>
      <c r="R2762" t="s">
        <v>3410</v>
      </c>
      <c r="S2762" t="s">
        <v>3323</v>
      </c>
      <c r="T2762" t="s">
        <v>2526</v>
      </c>
      <c r="U2762">
        <v>347101</v>
      </c>
      <c r="V2762" t="s">
        <v>15968</v>
      </c>
      <c r="W2762" t="s">
        <v>11257</v>
      </c>
      <c r="X2762" t="s">
        <v>15969</v>
      </c>
      <c r="Y2762" t="s">
        <v>15970</v>
      </c>
      <c r="AA2762" t="s">
        <v>15971</v>
      </c>
      <c r="AB2762" t="s">
        <v>15966</v>
      </c>
      <c r="AE2762">
        <v>-44.615333509999999</v>
      </c>
      <c r="AF2762">
        <v>169.25270943000001</v>
      </c>
      <c r="AG2762" s="175">
        <v>35</v>
      </c>
      <c r="AH2762" s="175">
        <v>16</v>
      </c>
      <c r="AI2762" s="175">
        <v>0</v>
      </c>
      <c r="AJ2762" s="175">
        <v>9</v>
      </c>
      <c r="AK2762" s="175">
        <v>13</v>
      </c>
      <c r="AL2762" s="175">
        <v>14</v>
      </c>
      <c r="AM2762" s="175">
        <v>9</v>
      </c>
      <c r="AN2762" s="175">
        <v>1</v>
      </c>
      <c r="AO2762" s="175">
        <v>46</v>
      </c>
      <c r="AP2762" s="175">
        <v>42</v>
      </c>
      <c r="AQ2762" s="175">
        <v>2</v>
      </c>
      <c r="AR2762" s="175">
        <v>0</v>
      </c>
      <c r="AS2762" s="175">
        <v>4</v>
      </c>
      <c r="AT2762" s="175">
        <v>4</v>
      </c>
    </row>
    <row r="2763" spans="1:46">
      <c r="A2763">
        <v>47338</v>
      </c>
      <c r="B2763" t="s">
        <v>15972</v>
      </c>
      <c r="C2763" t="s">
        <v>15973</v>
      </c>
      <c r="E2763" t="s">
        <v>15974</v>
      </c>
      <c r="F2763" t="s">
        <v>10440</v>
      </c>
      <c r="G2763" t="s">
        <v>2055</v>
      </c>
      <c r="H2763" t="s">
        <v>449</v>
      </c>
      <c r="J2763" t="s">
        <v>605</v>
      </c>
      <c r="K2763" t="s">
        <v>606</v>
      </c>
      <c r="M2763" t="s">
        <v>1382</v>
      </c>
      <c r="N2763" t="s">
        <v>657</v>
      </c>
      <c r="O2763" t="s">
        <v>2037</v>
      </c>
      <c r="P2763" t="s">
        <v>670</v>
      </c>
      <c r="Q2763" t="s">
        <v>553</v>
      </c>
      <c r="R2763" t="s">
        <v>1841</v>
      </c>
      <c r="S2763" t="s">
        <v>2055</v>
      </c>
      <c r="T2763" t="s">
        <v>1568</v>
      </c>
      <c r="U2763">
        <v>231101</v>
      </c>
      <c r="V2763" t="s">
        <v>15975</v>
      </c>
      <c r="W2763" t="s">
        <v>2038</v>
      </c>
      <c r="X2763" t="s">
        <v>10463</v>
      </c>
      <c r="Y2763" t="s">
        <v>4014</v>
      </c>
      <c r="Z2763" t="s">
        <v>4015</v>
      </c>
      <c r="AA2763" t="s">
        <v>4016</v>
      </c>
      <c r="AB2763" t="s">
        <v>10464</v>
      </c>
      <c r="AE2763">
        <v>-40.336769619999998</v>
      </c>
      <c r="AF2763">
        <v>175.65677099999999</v>
      </c>
      <c r="AG2763" s="175">
        <v>100</v>
      </c>
      <c r="AH2763" s="175">
        <v>20</v>
      </c>
      <c r="AI2763" s="175">
        <v>6</v>
      </c>
      <c r="AJ2763" s="175">
        <v>17</v>
      </c>
      <c r="AK2763" s="175">
        <v>28</v>
      </c>
      <c r="AL2763" s="175">
        <v>32</v>
      </c>
      <c r="AM2763" s="175">
        <v>32</v>
      </c>
      <c r="AN2763" s="175">
        <v>3</v>
      </c>
      <c r="AO2763" s="175">
        <v>118</v>
      </c>
      <c r="AP2763" s="175">
        <v>94</v>
      </c>
      <c r="AQ2763" s="175">
        <v>22</v>
      </c>
      <c r="AR2763" s="175">
        <v>7</v>
      </c>
      <c r="AS2763" s="175">
        <v>20</v>
      </c>
      <c r="AT2763" s="175">
        <v>9</v>
      </c>
    </row>
    <row r="2764" spans="1:46">
      <c r="A2764">
        <v>47345</v>
      </c>
      <c r="B2764" t="s">
        <v>15976</v>
      </c>
      <c r="C2764" t="s">
        <v>15977</v>
      </c>
      <c r="D2764" t="s">
        <v>15978</v>
      </c>
      <c r="E2764" t="s">
        <v>15979</v>
      </c>
      <c r="F2764" t="s">
        <v>15980</v>
      </c>
      <c r="G2764" t="s">
        <v>2368</v>
      </c>
      <c r="H2764" t="s">
        <v>449</v>
      </c>
      <c r="J2764" t="s">
        <v>605</v>
      </c>
      <c r="K2764" t="s">
        <v>606</v>
      </c>
      <c r="M2764" t="s">
        <v>2366</v>
      </c>
      <c r="N2764" t="s">
        <v>657</v>
      </c>
      <c r="O2764" t="s">
        <v>2614</v>
      </c>
      <c r="P2764" t="s">
        <v>739</v>
      </c>
      <c r="Q2764" t="s">
        <v>516</v>
      </c>
      <c r="R2764" t="s">
        <v>2368</v>
      </c>
      <c r="S2764" t="s">
        <v>2631</v>
      </c>
      <c r="T2764" t="s">
        <v>2526</v>
      </c>
      <c r="U2764">
        <v>251700</v>
      </c>
      <c r="V2764" t="s">
        <v>15981</v>
      </c>
      <c r="W2764" t="s">
        <v>2651</v>
      </c>
      <c r="X2764" t="s">
        <v>15982</v>
      </c>
      <c r="Y2764" t="s">
        <v>6434</v>
      </c>
      <c r="Z2764" t="s">
        <v>4622</v>
      </c>
      <c r="AA2764" t="s">
        <v>4623</v>
      </c>
      <c r="AB2764" t="s">
        <v>15983</v>
      </c>
      <c r="AE2764">
        <v>-41.297262949999997</v>
      </c>
      <c r="AF2764">
        <v>174.77242458000001</v>
      </c>
      <c r="AG2764" s="175">
        <v>52</v>
      </c>
      <c r="AH2764" s="175">
        <v>13</v>
      </c>
      <c r="AI2764" s="175">
        <v>4</v>
      </c>
      <c r="AJ2764" s="175">
        <v>16</v>
      </c>
      <c r="AK2764" s="175">
        <v>19</v>
      </c>
      <c r="AL2764" s="175">
        <v>5</v>
      </c>
      <c r="AM2764" s="175">
        <v>11</v>
      </c>
      <c r="AN2764" s="175">
        <v>0</v>
      </c>
      <c r="AO2764" s="175">
        <v>55</v>
      </c>
      <c r="AP2764" s="175">
        <v>36</v>
      </c>
      <c r="AQ2764" s="175">
        <v>8</v>
      </c>
      <c r="AR2764" s="175">
        <v>1</v>
      </c>
      <c r="AS2764" s="175">
        <v>19</v>
      </c>
      <c r="AT2764" s="175">
        <v>6</v>
      </c>
    </row>
    <row r="2765" spans="1:46">
      <c r="A2765">
        <v>47348</v>
      </c>
      <c r="B2765" t="s">
        <v>15984</v>
      </c>
      <c r="C2765" t="s">
        <v>15985</v>
      </c>
      <c r="D2765" t="s">
        <v>15986</v>
      </c>
      <c r="E2765" t="s">
        <v>15987</v>
      </c>
      <c r="G2765" t="s">
        <v>1761</v>
      </c>
      <c r="H2765" t="s">
        <v>449</v>
      </c>
      <c r="J2765" t="s">
        <v>4032</v>
      </c>
      <c r="K2765" t="s">
        <v>606</v>
      </c>
      <c r="M2765" t="s">
        <v>1382</v>
      </c>
      <c r="N2765" t="s">
        <v>643</v>
      </c>
      <c r="O2765" t="s">
        <v>1629</v>
      </c>
      <c r="P2765" t="s">
        <v>610</v>
      </c>
      <c r="Q2765" t="s">
        <v>510</v>
      </c>
      <c r="R2765" t="s">
        <v>1555</v>
      </c>
      <c r="S2765" t="s">
        <v>1404</v>
      </c>
      <c r="T2765" t="s">
        <v>1557</v>
      </c>
      <c r="U2765">
        <v>189700</v>
      </c>
      <c r="V2765" t="s">
        <v>1762</v>
      </c>
      <c r="W2765" t="s">
        <v>1763</v>
      </c>
      <c r="X2765" t="s">
        <v>15988</v>
      </c>
      <c r="Y2765" t="s">
        <v>15987</v>
      </c>
      <c r="AA2765" t="s">
        <v>15989</v>
      </c>
      <c r="AB2765" t="s">
        <v>15990</v>
      </c>
      <c r="AC2765">
        <v>99020</v>
      </c>
      <c r="AD2765" t="s">
        <v>1633</v>
      </c>
      <c r="AE2765">
        <v>-38.985456630000002</v>
      </c>
      <c r="AF2765">
        <v>175.8151843</v>
      </c>
      <c r="AG2765" s="175">
        <v>35</v>
      </c>
      <c r="AH2765" s="175">
        <v>12</v>
      </c>
      <c r="AI2765" s="175">
        <v>0</v>
      </c>
      <c r="AJ2765" s="175">
        <v>3</v>
      </c>
      <c r="AK2765" s="175">
        <v>9</v>
      </c>
      <c r="AL2765" s="175">
        <v>6</v>
      </c>
      <c r="AM2765" s="175">
        <v>11</v>
      </c>
      <c r="AN2765" s="175">
        <v>0</v>
      </c>
      <c r="AO2765" s="175">
        <v>29</v>
      </c>
      <c r="AP2765" s="175">
        <v>21</v>
      </c>
      <c r="AQ2765" s="175">
        <v>25</v>
      </c>
      <c r="AR2765" s="175">
        <v>1</v>
      </c>
      <c r="AS2765" s="175">
        <v>1</v>
      </c>
      <c r="AT2765" s="175">
        <v>0</v>
      </c>
    </row>
    <row r="2766" spans="1:46">
      <c r="A2766">
        <v>47350</v>
      </c>
      <c r="B2766" t="s">
        <v>15991</v>
      </c>
      <c r="C2766" t="s">
        <v>15992</v>
      </c>
      <c r="D2766" t="s">
        <v>15993</v>
      </c>
      <c r="E2766" t="s">
        <v>15994</v>
      </c>
      <c r="F2766" t="s">
        <v>998</v>
      </c>
      <c r="G2766" t="s">
        <v>737</v>
      </c>
      <c r="H2766" t="s">
        <v>449</v>
      </c>
      <c r="J2766" t="s">
        <v>4032</v>
      </c>
      <c r="K2766" t="s">
        <v>606</v>
      </c>
      <c r="M2766" t="s">
        <v>607</v>
      </c>
      <c r="N2766" t="s">
        <v>657</v>
      </c>
      <c r="O2766" t="s">
        <v>997</v>
      </c>
      <c r="P2766" t="s">
        <v>739</v>
      </c>
      <c r="Q2766" t="s">
        <v>467</v>
      </c>
      <c r="R2766" t="s">
        <v>793</v>
      </c>
      <c r="S2766" t="s">
        <v>998</v>
      </c>
      <c r="T2766" t="s">
        <v>794</v>
      </c>
      <c r="U2766">
        <v>140901</v>
      </c>
      <c r="V2766" t="s">
        <v>1050</v>
      </c>
      <c r="W2766" t="s">
        <v>945</v>
      </c>
      <c r="X2766" t="s">
        <v>15995</v>
      </c>
      <c r="Y2766" t="s">
        <v>4725</v>
      </c>
      <c r="Z2766" t="s">
        <v>1043</v>
      </c>
      <c r="AA2766" t="s">
        <v>4726</v>
      </c>
      <c r="AB2766" t="s">
        <v>15996</v>
      </c>
      <c r="AE2766">
        <v>-36.922855409999997</v>
      </c>
      <c r="AF2766">
        <v>174.72019008000001</v>
      </c>
      <c r="AG2766" s="175">
        <v>78</v>
      </c>
      <c r="AH2766" s="175">
        <v>18</v>
      </c>
      <c r="AI2766" s="175">
        <v>4</v>
      </c>
      <c r="AJ2766" s="175">
        <v>13</v>
      </c>
      <c r="AK2766" s="175">
        <v>19</v>
      </c>
      <c r="AL2766" s="175">
        <v>27</v>
      </c>
      <c r="AM2766" s="175">
        <v>12</v>
      </c>
      <c r="AN2766" s="175">
        <v>0</v>
      </c>
      <c r="AO2766" s="175">
        <v>75</v>
      </c>
      <c r="AP2766" s="175">
        <v>24</v>
      </c>
      <c r="AQ2766" s="175">
        <v>6</v>
      </c>
      <c r="AR2766" s="175">
        <v>7</v>
      </c>
      <c r="AS2766" s="175">
        <v>51</v>
      </c>
      <c r="AT2766" s="175">
        <v>5</v>
      </c>
    </row>
    <row r="2767" spans="1:46">
      <c r="A2767">
        <v>47352</v>
      </c>
      <c r="B2767" t="s">
        <v>15997</v>
      </c>
      <c r="C2767" t="s">
        <v>15998</v>
      </c>
      <c r="D2767" t="s">
        <v>15999</v>
      </c>
      <c r="E2767" t="s">
        <v>16000</v>
      </c>
      <c r="G2767" t="s">
        <v>2055</v>
      </c>
      <c r="H2767" t="s">
        <v>449</v>
      </c>
      <c r="J2767" t="s">
        <v>4032</v>
      </c>
      <c r="K2767" t="s">
        <v>606</v>
      </c>
      <c r="M2767" t="s">
        <v>1382</v>
      </c>
      <c r="N2767" t="s">
        <v>657</v>
      </c>
      <c r="O2767" t="s">
        <v>2037</v>
      </c>
      <c r="P2767" t="s">
        <v>670</v>
      </c>
      <c r="Q2767" t="s">
        <v>553</v>
      </c>
      <c r="R2767" t="s">
        <v>1841</v>
      </c>
      <c r="S2767" t="s">
        <v>2055</v>
      </c>
      <c r="T2767" t="s">
        <v>1568</v>
      </c>
      <c r="U2767">
        <v>229800</v>
      </c>
      <c r="V2767" t="s">
        <v>16001</v>
      </c>
      <c r="W2767" t="s">
        <v>2038</v>
      </c>
      <c r="X2767" t="s">
        <v>16002</v>
      </c>
      <c r="Y2767" t="s">
        <v>4166</v>
      </c>
      <c r="Z2767" t="s">
        <v>4167</v>
      </c>
      <c r="AA2767" t="s">
        <v>4168</v>
      </c>
      <c r="AB2767" t="s">
        <v>15998</v>
      </c>
      <c r="AE2767">
        <v>-40.346815589999999</v>
      </c>
      <c r="AF2767">
        <v>175.61265426</v>
      </c>
      <c r="AG2767" s="175">
        <v>94</v>
      </c>
      <c r="AH2767" s="175">
        <v>32</v>
      </c>
      <c r="AI2767" s="175">
        <v>10</v>
      </c>
      <c r="AJ2767" s="175">
        <v>23</v>
      </c>
      <c r="AK2767" s="175">
        <v>39</v>
      </c>
      <c r="AL2767" s="175">
        <v>21</v>
      </c>
      <c r="AM2767" s="175">
        <v>19</v>
      </c>
      <c r="AN2767" s="175">
        <v>0</v>
      </c>
      <c r="AO2767" s="175">
        <v>112</v>
      </c>
      <c r="AP2767" s="175">
        <v>93</v>
      </c>
      <c r="AQ2767" s="175">
        <v>19</v>
      </c>
      <c r="AR2767" s="175">
        <v>1</v>
      </c>
      <c r="AS2767" s="175">
        <v>23</v>
      </c>
      <c r="AT2767" s="175">
        <v>1</v>
      </c>
    </row>
    <row r="2768" spans="1:46">
      <c r="A2768">
        <v>47353</v>
      </c>
      <c r="B2768" t="s">
        <v>16003</v>
      </c>
      <c r="C2768" t="s">
        <v>16004</v>
      </c>
      <c r="D2768" t="s">
        <v>16005</v>
      </c>
      <c r="E2768" t="s">
        <v>16006</v>
      </c>
      <c r="G2768" t="s">
        <v>4526</v>
      </c>
      <c r="H2768" t="s">
        <v>449</v>
      </c>
      <c r="J2768" t="s">
        <v>4032</v>
      </c>
      <c r="K2768" t="s">
        <v>606</v>
      </c>
      <c r="M2768" t="s">
        <v>607</v>
      </c>
      <c r="N2768" t="s">
        <v>657</v>
      </c>
      <c r="O2768" t="s">
        <v>738</v>
      </c>
      <c r="P2768" t="s">
        <v>670</v>
      </c>
      <c r="Q2768" t="s">
        <v>467</v>
      </c>
      <c r="R2768" t="s">
        <v>724</v>
      </c>
      <c r="S2768" t="s">
        <v>753</v>
      </c>
      <c r="T2768" t="s">
        <v>613</v>
      </c>
      <c r="U2768">
        <v>113800</v>
      </c>
      <c r="V2768" t="s">
        <v>7285</v>
      </c>
      <c r="W2768" t="s">
        <v>742</v>
      </c>
      <c r="X2768" t="s">
        <v>16007</v>
      </c>
      <c r="Y2768" t="s">
        <v>4051</v>
      </c>
      <c r="AA2768" t="s">
        <v>4052</v>
      </c>
      <c r="AB2768" t="s">
        <v>16008</v>
      </c>
      <c r="AC2768">
        <v>99095</v>
      </c>
      <c r="AD2768" t="s">
        <v>786</v>
      </c>
      <c r="AE2768">
        <v>-36.631692000000001</v>
      </c>
      <c r="AF2768">
        <v>174.66956949999999</v>
      </c>
      <c r="AG2768" s="175">
        <v>78</v>
      </c>
      <c r="AH2768" s="175">
        <v>20</v>
      </c>
      <c r="AI2768" s="175">
        <v>0</v>
      </c>
      <c r="AJ2768" s="175">
        <v>11</v>
      </c>
      <c r="AK2768" s="175">
        <v>17</v>
      </c>
      <c r="AL2768" s="175">
        <v>15</v>
      </c>
      <c r="AM2768" s="175">
        <v>18</v>
      </c>
      <c r="AN2768" s="175">
        <v>3</v>
      </c>
      <c r="AO2768" s="175">
        <v>64</v>
      </c>
      <c r="AP2768" s="175">
        <v>61</v>
      </c>
      <c r="AQ2768" s="175">
        <v>12</v>
      </c>
      <c r="AR2768" s="175">
        <v>2</v>
      </c>
      <c r="AS2768" s="175">
        <v>3</v>
      </c>
      <c r="AT2768" s="175">
        <v>6</v>
      </c>
    </row>
    <row r="2769" spans="1:46">
      <c r="A2769">
        <v>47354</v>
      </c>
      <c r="B2769" t="s">
        <v>16009</v>
      </c>
      <c r="C2769" t="s">
        <v>16010</v>
      </c>
      <c r="E2769" t="s">
        <v>16011</v>
      </c>
      <c r="G2769" t="s">
        <v>10974</v>
      </c>
      <c r="H2769" t="s">
        <v>452</v>
      </c>
      <c r="J2769" t="s">
        <v>605</v>
      </c>
      <c r="K2769" t="s">
        <v>606</v>
      </c>
      <c r="M2769" t="s">
        <v>2366</v>
      </c>
      <c r="N2769" t="s">
        <v>657</v>
      </c>
      <c r="O2769" t="s">
        <v>3281</v>
      </c>
      <c r="P2769" t="s">
        <v>1347</v>
      </c>
      <c r="Q2769" t="s">
        <v>521</v>
      </c>
      <c r="R2769" t="s">
        <v>3017</v>
      </c>
      <c r="S2769" t="s">
        <v>3252</v>
      </c>
      <c r="T2769" t="s">
        <v>2526</v>
      </c>
      <c r="U2769">
        <v>334901</v>
      </c>
      <c r="V2769" t="s">
        <v>11654</v>
      </c>
      <c r="W2769" t="s">
        <v>10977</v>
      </c>
      <c r="X2769" t="s">
        <v>3021</v>
      </c>
      <c r="Y2769" t="s">
        <v>3022</v>
      </c>
      <c r="Z2769" t="s">
        <v>3023</v>
      </c>
      <c r="AA2769" t="s">
        <v>3024</v>
      </c>
      <c r="AB2769" t="s">
        <v>3025</v>
      </c>
      <c r="AC2769">
        <v>99206</v>
      </c>
      <c r="AD2769" t="s">
        <v>3284</v>
      </c>
      <c r="AE2769">
        <v>-43.604863700000003</v>
      </c>
      <c r="AF2769">
        <v>172.35593460000001</v>
      </c>
      <c r="AG2769" s="175">
        <v>40</v>
      </c>
      <c r="AH2769" s="175">
        <v>0</v>
      </c>
      <c r="AI2769" s="175">
        <v>0</v>
      </c>
      <c r="AJ2769" s="175">
        <v>0</v>
      </c>
      <c r="AK2769" s="175">
        <v>2</v>
      </c>
      <c r="AL2769" s="175">
        <v>27</v>
      </c>
      <c r="AM2769" s="175">
        <v>21</v>
      </c>
      <c r="AN2769" s="175">
        <v>2</v>
      </c>
      <c r="AO2769" s="175">
        <v>52</v>
      </c>
      <c r="AP2769" s="175">
        <v>43</v>
      </c>
      <c r="AQ2769" s="175">
        <v>8</v>
      </c>
      <c r="AR2769" s="175">
        <v>3</v>
      </c>
      <c r="AS2769" s="175">
        <v>8</v>
      </c>
      <c r="AT2769" s="175">
        <v>1</v>
      </c>
    </row>
    <row r="2770" spans="1:46">
      <c r="A2770">
        <v>47356</v>
      </c>
      <c r="B2770" t="s">
        <v>16012</v>
      </c>
      <c r="C2770" t="s">
        <v>16013</v>
      </c>
      <c r="D2770" t="s">
        <v>16014</v>
      </c>
      <c r="E2770" t="s">
        <v>16015</v>
      </c>
      <c r="G2770" t="s">
        <v>16016</v>
      </c>
      <c r="H2770" t="s">
        <v>452</v>
      </c>
      <c r="J2770" t="s">
        <v>605</v>
      </c>
      <c r="K2770" t="s">
        <v>606</v>
      </c>
      <c r="M2770" t="s">
        <v>2366</v>
      </c>
      <c r="N2770" t="s">
        <v>657</v>
      </c>
      <c r="O2770" t="s">
        <v>3357</v>
      </c>
      <c r="P2770" t="s">
        <v>626</v>
      </c>
      <c r="Q2770" t="s">
        <v>521</v>
      </c>
      <c r="R2770" t="s">
        <v>3017</v>
      </c>
      <c r="S2770" t="s">
        <v>3323</v>
      </c>
      <c r="T2770" t="s">
        <v>2526</v>
      </c>
      <c r="U2770">
        <v>341501</v>
      </c>
      <c r="V2770" t="s">
        <v>16017</v>
      </c>
      <c r="W2770" t="s">
        <v>16018</v>
      </c>
      <c r="X2770" t="s">
        <v>3337</v>
      </c>
      <c r="Y2770" t="s">
        <v>3338</v>
      </c>
      <c r="AA2770" t="s">
        <v>3339</v>
      </c>
      <c r="AB2770" t="s">
        <v>3340</v>
      </c>
      <c r="AC2770">
        <v>99143</v>
      </c>
      <c r="AD2770" t="s">
        <v>3359</v>
      </c>
      <c r="AE2770">
        <v>-44.005379670000004</v>
      </c>
      <c r="AF2770">
        <v>170.4754045</v>
      </c>
      <c r="AG2770" s="175">
        <v>20</v>
      </c>
      <c r="AH2770" s="175">
        <v>0</v>
      </c>
      <c r="AI2770" s="175">
        <v>0</v>
      </c>
      <c r="AJ2770" s="175">
        <v>0</v>
      </c>
      <c r="AK2770" s="175">
        <v>6</v>
      </c>
      <c r="AL2770" s="175">
        <v>3</v>
      </c>
      <c r="AM2770" s="175">
        <v>11</v>
      </c>
      <c r="AN2770" s="175">
        <v>0</v>
      </c>
      <c r="AO2770" s="175">
        <v>20</v>
      </c>
      <c r="AP2770" s="175">
        <v>15</v>
      </c>
      <c r="AQ2770" s="175">
        <v>0</v>
      </c>
      <c r="AR2770" s="175">
        <v>0</v>
      </c>
      <c r="AS2770" s="175">
        <v>7</v>
      </c>
      <c r="AT2770" s="175">
        <v>1</v>
      </c>
    </row>
    <row r="2771" spans="1:46">
      <c r="A2771">
        <v>47357</v>
      </c>
      <c r="B2771" t="s">
        <v>16019</v>
      </c>
      <c r="C2771" t="s">
        <v>16020</v>
      </c>
      <c r="D2771" t="s">
        <v>16021</v>
      </c>
      <c r="E2771" t="s">
        <v>16022</v>
      </c>
      <c r="F2771" t="s">
        <v>8655</v>
      </c>
      <c r="G2771" t="s">
        <v>1381</v>
      </c>
      <c r="H2771" t="s">
        <v>449</v>
      </c>
      <c r="J2771" t="s">
        <v>4032</v>
      </c>
      <c r="K2771" t="s">
        <v>606</v>
      </c>
      <c r="M2771" t="s">
        <v>1382</v>
      </c>
      <c r="N2771" t="s">
        <v>657</v>
      </c>
      <c r="O2771" t="s">
        <v>1383</v>
      </c>
      <c r="P2771" t="s">
        <v>739</v>
      </c>
      <c r="Q2771" t="s">
        <v>510</v>
      </c>
      <c r="R2771" t="s">
        <v>1384</v>
      </c>
      <c r="S2771" t="s">
        <v>1384</v>
      </c>
      <c r="T2771" t="s">
        <v>1320</v>
      </c>
      <c r="U2771">
        <v>175302</v>
      </c>
      <c r="V2771" t="s">
        <v>13324</v>
      </c>
      <c r="W2771" t="s">
        <v>1398</v>
      </c>
      <c r="X2771" t="s">
        <v>16023</v>
      </c>
      <c r="Y2771" t="s">
        <v>16022</v>
      </c>
      <c r="Z2771" t="s">
        <v>9558</v>
      </c>
      <c r="AA2771" t="s">
        <v>8575</v>
      </c>
      <c r="AB2771" t="s">
        <v>16024</v>
      </c>
      <c r="AC2771">
        <v>99132</v>
      </c>
      <c r="AD2771" t="s">
        <v>8577</v>
      </c>
      <c r="AE2771">
        <v>-37.719405440000003</v>
      </c>
      <c r="AF2771">
        <v>175.24133047000001</v>
      </c>
      <c r="AG2771" s="175">
        <v>80</v>
      </c>
      <c r="AH2771" s="175">
        <v>20</v>
      </c>
      <c r="AI2771" s="175">
        <v>3</v>
      </c>
      <c r="AJ2771" s="175">
        <v>15</v>
      </c>
      <c r="AK2771" s="175">
        <v>23</v>
      </c>
      <c r="AL2771" s="175">
        <v>26</v>
      </c>
      <c r="AM2771" s="175">
        <v>17</v>
      </c>
      <c r="AN2771" s="175">
        <v>3</v>
      </c>
      <c r="AO2771" s="175">
        <v>87</v>
      </c>
      <c r="AP2771" s="175">
        <v>57</v>
      </c>
      <c r="AQ2771" s="175">
        <v>7</v>
      </c>
      <c r="AR2771" s="175">
        <v>1</v>
      </c>
      <c r="AS2771" s="175">
        <v>29</v>
      </c>
      <c r="AT2771" s="175">
        <v>7</v>
      </c>
    </row>
    <row r="2772" spans="1:46">
      <c r="A2772">
        <v>47358</v>
      </c>
      <c r="B2772" t="s">
        <v>12789</v>
      </c>
      <c r="C2772" t="s">
        <v>15945</v>
      </c>
      <c r="E2772" t="s">
        <v>16025</v>
      </c>
      <c r="F2772" t="s">
        <v>15285</v>
      </c>
      <c r="G2772" t="s">
        <v>737</v>
      </c>
      <c r="H2772" t="s">
        <v>450</v>
      </c>
      <c r="J2772" t="s">
        <v>4032</v>
      </c>
      <c r="K2772" t="s">
        <v>606</v>
      </c>
      <c r="M2772" t="s">
        <v>607</v>
      </c>
      <c r="N2772" t="s">
        <v>657</v>
      </c>
      <c r="O2772" t="s">
        <v>942</v>
      </c>
      <c r="P2772" t="s">
        <v>739</v>
      </c>
      <c r="Q2772" t="s">
        <v>467</v>
      </c>
      <c r="R2772" t="s">
        <v>793</v>
      </c>
      <c r="S2772" t="s">
        <v>943</v>
      </c>
      <c r="T2772" t="s">
        <v>794</v>
      </c>
      <c r="U2772">
        <v>136900</v>
      </c>
      <c r="V2772" t="s">
        <v>5888</v>
      </c>
      <c r="W2772" t="s">
        <v>945</v>
      </c>
      <c r="X2772" t="s">
        <v>16026</v>
      </c>
      <c r="Y2772" t="s">
        <v>9089</v>
      </c>
      <c r="Z2772" t="s">
        <v>2505</v>
      </c>
      <c r="AA2772" t="s">
        <v>9092</v>
      </c>
      <c r="AE2772">
        <v>-36.871565699999998</v>
      </c>
      <c r="AF2772">
        <v>174.75218863000001</v>
      </c>
      <c r="AG2772" s="175">
        <v>50</v>
      </c>
      <c r="AH2772" s="175">
        <v>50</v>
      </c>
      <c r="AI2772" s="175">
        <v>2</v>
      </c>
      <c r="AJ2772" s="175">
        <v>10</v>
      </c>
      <c r="AK2772" s="175">
        <v>7</v>
      </c>
      <c r="AL2772" s="175">
        <v>11</v>
      </c>
      <c r="AM2772" s="175">
        <v>9</v>
      </c>
      <c r="AN2772" s="175">
        <v>0</v>
      </c>
      <c r="AO2772" s="175">
        <v>39</v>
      </c>
      <c r="AP2772" s="175">
        <v>1</v>
      </c>
      <c r="AQ2772" s="175">
        <v>0</v>
      </c>
      <c r="AR2772" s="175">
        <v>0</v>
      </c>
      <c r="AS2772" s="175">
        <v>39</v>
      </c>
      <c r="AT2772" s="175">
        <v>0</v>
      </c>
    </row>
    <row r="2773" spans="1:46">
      <c r="A2773">
        <v>47360</v>
      </c>
      <c r="B2773" t="s">
        <v>16027</v>
      </c>
      <c r="C2773" t="s">
        <v>16028</v>
      </c>
      <c r="D2773" t="s">
        <v>16029</v>
      </c>
      <c r="E2773" t="s">
        <v>16030</v>
      </c>
      <c r="G2773" t="s">
        <v>16031</v>
      </c>
      <c r="H2773" t="s">
        <v>452</v>
      </c>
      <c r="J2773" t="s">
        <v>605</v>
      </c>
      <c r="K2773" t="s">
        <v>606</v>
      </c>
      <c r="M2773" t="s">
        <v>1382</v>
      </c>
      <c r="N2773" t="s">
        <v>4586</v>
      </c>
      <c r="O2773" t="s">
        <v>2069</v>
      </c>
      <c r="P2773" t="s">
        <v>626</v>
      </c>
      <c r="Q2773" t="s">
        <v>553</v>
      </c>
      <c r="R2773" t="s">
        <v>1841</v>
      </c>
      <c r="S2773" t="s">
        <v>1719</v>
      </c>
      <c r="T2773" t="s">
        <v>1568</v>
      </c>
      <c r="U2773">
        <v>227100</v>
      </c>
      <c r="V2773" t="s">
        <v>16032</v>
      </c>
      <c r="W2773" t="s">
        <v>12288</v>
      </c>
      <c r="X2773" t="s">
        <v>1970</v>
      </c>
      <c r="Y2773" t="s">
        <v>1971</v>
      </c>
      <c r="AA2773" t="s">
        <v>1972</v>
      </c>
      <c r="AB2773" t="s">
        <v>1973</v>
      </c>
      <c r="AC2773">
        <v>99134</v>
      </c>
      <c r="AD2773" t="s">
        <v>2072</v>
      </c>
      <c r="AE2773">
        <v>-40.057823470000002</v>
      </c>
      <c r="AF2773">
        <v>175.77234769</v>
      </c>
      <c r="AG2773" s="175">
        <v>20</v>
      </c>
      <c r="AH2773" s="175">
        <v>0</v>
      </c>
      <c r="AI2773" s="175">
        <v>0</v>
      </c>
      <c r="AJ2773" s="175">
        <v>0</v>
      </c>
      <c r="AK2773" s="175">
        <v>9</v>
      </c>
      <c r="AL2773" s="175">
        <v>6</v>
      </c>
      <c r="AM2773" s="175">
        <v>6</v>
      </c>
      <c r="AN2773" s="175">
        <v>0</v>
      </c>
      <c r="AO2773" s="175">
        <v>21</v>
      </c>
      <c r="AP2773" s="175">
        <v>19</v>
      </c>
      <c r="AQ2773" s="175">
        <v>7</v>
      </c>
      <c r="AR2773" s="175">
        <v>0</v>
      </c>
      <c r="AS2773" s="175">
        <v>0</v>
      </c>
      <c r="AT2773" s="175">
        <v>0</v>
      </c>
    </row>
    <row r="2774" spans="1:46">
      <c r="A2774">
        <v>47361</v>
      </c>
      <c r="B2774" t="s">
        <v>16033</v>
      </c>
      <c r="C2774" t="s">
        <v>16034</v>
      </c>
      <c r="D2774" t="s">
        <v>16035</v>
      </c>
      <c r="E2774" t="s">
        <v>16036</v>
      </c>
      <c r="G2774" t="s">
        <v>3260</v>
      </c>
      <c r="H2774" t="s">
        <v>449</v>
      </c>
      <c r="J2774" t="s">
        <v>605</v>
      </c>
      <c r="K2774" t="s">
        <v>606</v>
      </c>
      <c r="M2774" t="s">
        <v>2366</v>
      </c>
      <c r="N2774" t="s">
        <v>657</v>
      </c>
      <c r="O2774" t="s">
        <v>3037</v>
      </c>
      <c r="P2774" t="s">
        <v>1347</v>
      </c>
      <c r="Q2774" t="s">
        <v>521</v>
      </c>
      <c r="R2774" t="s">
        <v>3017</v>
      </c>
      <c r="S2774" t="s">
        <v>3038</v>
      </c>
      <c r="T2774" t="s">
        <v>2526</v>
      </c>
      <c r="U2774">
        <v>315800</v>
      </c>
      <c r="V2774" t="s">
        <v>16037</v>
      </c>
      <c r="W2774" t="s">
        <v>3262</v>
      </c>
      <c r="X2774" t="s">
        <v>10864</v>
      </c>
      <c r="Y2774" t="s">
        <v>4014</v>
      </c>
      <c r="Z2774" t="s">
        <v>4015</v>
      </c>
      <c r="AA2774" t="s">
        <v>4016</v>
      </c>
      <c r="AC2774">
        <v>99061</v>
      </c>
      <c r="AD2774" t="s">
        <v>3263</v>
      </c>
      <c r="AE2774">
        <v>-43.384580679999999</v>
      </c>
      <c r="AF2774">
        <v>172.63882290000001</v>
      </c>
      <c r="AG2774" s="175">
        <v>75</v>
      </c>
      <c r="AH2774" s="175">
        <v>20</v>
      </c>
      <c r="AI2774" s="175">
        <v>2</v>
      </c>
      <c r="AJ2774" s="175">
        <v>16</v>
      </c>
      <c r="AK2774" s="175">
        <v>17</v>
      </c>
      <c r="AL2774" s="175">
        <v>17</v>
      </c>
      <c r="AM2774" s="175">
        <v>21</v>
      </c>
      <c r="AN2774" s="175">
        <v>0</v>
      </c>
      <c r="AO2774" s="175">
        <v>73</v>
      </c>
      <c r="AP2774" s="175">
        <v>52</v>
      </c>
      <c r="AQ2774" s="175">
        <v>14</v>
      </c>
      <c r="AR2774" s="175">
        <v>4</v>
      </c>
      <c r="AS2774" s="175">
        <v>17</v>
      </c>
      <c r="AT2774" s="175">
        <v>9</v>
      </c>
    </row>
    <row r="2775" spans="1:46">
      <c r="A2775">
        <v>47363</v>
      </c>
      <c r="B2775" t="s">
        <v>16038</v>
      </c>
      <c r="C2775" t="s">
        <v>16039</v>
      </c>
      <c r="D2775" t="s">
        <v>16040</v>
      </c>
      <c r="E2775" t="s">
        <v>16041</v>
      </c>
      <c r="F2775" t="s">
        <v>932</v>
      </c>
      <c r="G2775" t="s">
        <v>737</v>
      </c>
      <c r="H2775" t="s">
        <v>449</v>
      </c>
      <c r="J2775" t="s">
        <v>4032</v>
      </c>
      <c r="K2775" t="s">
        <v>606</v>
      </c>
      <c r="M2775" t="s">
        <v>607</v>
      </c>
      <c r="N2775" t="s">
        <v>608</v>
      </c>
      <c r="O2775" t="s">
        <v>933</v>
      </c>
      <c r="P2775" t="s">
        <v>739</v>
      </c>
      <c r="Q2775" t="s">
        <v>467</v>
      </c>
      <c r="R2775" t="s">
        <v>814</v>
      </c>
      <c r="S2775" t="s">
        <v>934</v>
      </c>
      <c r="T2775" t="s">
        <v>794</v>
      </c>
      <c r="U2775">
        <v>149400</v>
      </c>
      <c r="V2775" t="s">
        <v>6652</v>
      </c>
      <c r="W2775" t="s">
        <v>817</v>
      </c>
      <c r="X2775" t="s">
        <v>12709</v>
      </c>
      <c r="Y2775" t="s">
        <v>12710</v>
      </c>
      <c r="Z2775" t="s">
        <v>921</v>
      </c>
      <c r="AA2775" t="s">
        <v>4349</v>
      </c>
      <c r="AB2775" t="s">
        <v>12711</v>
      </c>
      <c r="AE2775">
        <v>-36.953735940000001</v>
      </c>
      <c r="AF2775">
        <v>174.81405530999999</v>
      </c>
      <c r="AG2775" s="175">
        <v>120</v>
      </c>
      <c r="AH2775" s="175">
        <v>20</v>
      </c>
      <c r="AI2775" s="175">
        <v>0</v>
      </c>
      <c r="AJ2775" s="175">
        <v>9</v>
      </c>
      <c r="AK2775" s="175">
        <v>34</v>
      </c>
      <c r="AL2775" s="175">
        <v>38</v>
      </c>
      <c r="AM2775" s="175">
        <v>40</v>
      </c>
      <c r="AN2775" s="175">
        <v>3</v>
      </c>
      <c r="AO2775" s="175">
        <v>124</v>
      </c>
      <c r="AP2775" s="175">
        <v>3</v>
      </c>
      <c r="AQ2775" s="175">
        <v>42</v>
      </c>
      <c r="AR2775" s="175">
        <v>92</v>
      </c>
      <c r="AS2775" s="175">
        <v>13</v>
      </c>
      <c r="AT2775" s="175">
        <v>0</v>
      </c>
    </row>
    <row r="2776" spans="1:46">
      <c r="A2776">
        <v>47366</v>
      </c>
      <c r="B2776" t="s">
        <v>16042</v>
      </c>
      <c r="C2776" t="s">
        <v>16043</v>
      </c>
      <c r="D2776" t="s">
        <v>16044</v>
      </c>
      <c r="E2776" t="s">
        <v>16045</v>
      </c>
      <c r="F2776" t="s">
        <v>3030</v>
      </c>
      <c r="G2776" t="s">
        <v>3015</v>
      </c>
      <c r="H2776" t="s">
        <v>449</v>
      </c>
      <c r="J2776" t="s">
        <v>4032</v>
      </c>
      <c r="K2776" t="s">
        <v>606</v>
      </c>
      <c r="M2776" t="s">
        <v>2366</v>
      </c>
      <c r="N2776" t="s">
        <v>643</v>
      </c>
      <c r="O2776" t="s">
        <v>3016</v>
      </c>
      <c r="P2776" t="s">
        <v>739</v>
      </c>
      <c r="Q2776" t="s">
        <v>521</v>
      </c>
      <c r="R2776" t="s">
        <v>3017</v>
      </c>
      <c r="S2776" t="s">
        <v>3030</v>
      </c>
      <c r="T2776" t="s">
        <v>2526</v>
      </c>
      <c r="U2776">
        <v>327000</v>
      </c>
      <c r="V2776" t="s">
        <v>16046</v>
      </c>
      <c r="W2776" t="s">
        <v>2521</v>
      </c>
      <c r="X2776" t="s">
        <v>12140</v>
      </c>
      <c r="Y2776" t="s">
        <v>4166</v>
      </c>
      <c r="Z2776" t="s">
        <v>4167</v>
      </c>
      <c r="AA2776" t="s">
        <v>4168</v>
      </c>
      <c r="AB2776" t="s">
        <v>10870</v>
      </c>
      <c r="AE2776">
        <v>-43.528570709999997</v>
      </c>
      <c r="AF2776">
        <v>172.64436850000001</v>
      </c>
      <c r="AG2776" s="175">
        <v>103</v>
      </c>
      <c r="AH2776" s="175">
        <v>24</v>
      </c>
      <c r="AI2776" s="175">
        <v>3</v>
      </c>
      <c r="AJ2776" s="175">
        <v>20</v>
      </c>
      <c r="AK2776" s="175">
        <v>20</v>
      </c>
      <c r="AL2776" s="175">
        <v>23</v>
      </c>
      <c r="AM2776" s="175">
        <v>35</v>
      </c>
      <c r="AN2776" s="175">
        <v>3</v>
      </c>
      <c r="AO2776" s="175">
        <v>104</v>
      </c>
      <c r="AP2776" s="175">
        <v>59</v>
      </c>
      <c r="AQ2776" s="175">
        <v>16</v>
      </c>
      <c r="AR2776" s="175">
        <v>5</v>
      </c>
      <c r="AS2776" s="175">
        <v>41</v>
      </c>
      <c r="AT2776" s="175">
        <v>9</v>
      </c>
    </row>
    <row r="2777" spans="1:46">
      <c r="A2777">
        <v>47370</v>
      </c>
      <c r="B2777" t="s">
        <v>16047</v>
      </c>
      <c r="C2777" t="s">
        <v>16048</v>
      </c>
      <c r="D2777" t="s">
        <v>16049</v>
      </c>
      <c r="E2777" t="s">
        <v>16050</v>
      </c>
      <c r="F2777" t="s">
        <v>888</v>
      </c>
      <c r="G2777" t="s">
        <v>737</v>
      </c>
      <c r="H2777" t="s">
        <v>449</v>
      </c>
      <c r="J2777" t="s">
        <v>4032</v>
      </c>
      <c r="K2777" t="s">
        <v>606</v>
      </c>
      <c r="M2777" t="s">
        <v>607</v>
      </c>
      <c r="N2777" t="s">
        <v>657</v>
      </c>
      <c r="O2777" t="s">
        <v>914</v>
      </c>
      <c r="P2777" t="s">
        <v>739</v>
      </c>
      <c r="Q2777" t="s">
        <v>467</v>
      </c>
      <c r="R2777" t="s">
        <v>793</v>
      </c>
      <c r="S2777" t="s">
        <v>890</v>
      </c>
      <c r="T2777" t="s">
        <v>794</v>
      </c>
      <c r="U2777">
        <v>143301</v>
      </c>
      <c r="V2777" t="s">
        <v>4299</v>
      </c>
      <c r="W2777" t="s">
        <v>892</v>
      </c>
      <c r="X2777" t="s">
        <v>7411</v>
      </c>
      <c r="Y2777" t="s">
        <v>16051</v>
      </c>
      <c r="Z2777" t="s">
        <v>906</v>
      </c>
      <c r="AA2777" t="s">
        <v>4138</v>
      </c>
      <c r="AE2777">
        <v>-36.895980199999997</v>
      </c>
      <c r="AF2777">
        <v>174.8050557</v>
      </c>
      <c r="AG2777" s="175">
        <v>30</v>
      </c>
      <c r="AH2777" s="175">
        <v>10</v>
      </c>
      <c r="AI2777" s="175">
        <v>2</v>
      </c>
      <c r="AJ2777" s="175">
        <v>7</v>
      </c>
      <c r="AK2777" s="175">
        <v>8</v>
      </c>
      <c r="AL2777" s="175">
        <v>8</v>
      </c>
      <c r="AM2777" s="175">
        <v>4</v>
      </c>
      <c r="AN2777" s="175">
        <v>0</v>
      </c>
      <c r="AO2777" s="175">
        <v>29</v>
      </c>
      <c r="AP2777" s="175">
        <v>21</v>
      </c>
      <c r="AQ2777" s="175">
        <v>2</v>
      </c>
      <c r="AR2777" s="175">
        <v>1</v>
      </c>
      <c r="AS2777" s="175">
        <v>11</v>
      </c>
      <c r="AT2777" s="175">
        <v>3</v>
      </c>
    </row>
    <row r="2778" spans="1:46">
      <c r="A2778">
        <v>47372</v>
      </c>
      <c r="B2778" t="s">
        <v>16052</v>
      </c>
      <c r="C2778" t="s">
        <v>16053</v>
      </c>
      <c r="E2778" t="s">
        <v>16054</v>
      </c>
      <c r="F2778" t="s">
        <v>3198</v>
      </c>
      <c r="G2778" t="s">
        <v>3015</v>
      </c>
      <c r="H2778" t="s">
        <v>449</v>
      </c>
      <c r="J2778" t="s">
        <v>605</v>
      </c>
      <c r="K2778" t="s">
        <v>606</v>
      </c>
      <c r="M2778" t="s">
        <v>2366</v>
      </c>
      <c r="N2778" t="s">
        <v>608</v>
      </c>
      <c r="O2778" t="s">
        <v>3016</v>
      </c>
      <c r="P2778" t="s">
        <v>739</v>
      </c>
      <c r="Q2778" t="s">
        <v>521</v>
      </c>
      <c r="R2778" t="s">
        <v>3017</v>
      </c>
      <c r="S2778" t="s">
        <v>3046</v>
      </c>
      <c r="T2778" t="s">
        <v>2526</v>
      </c>
      <c r="U2778">
        <v>329800</v>
      </c>
      <c r="V2778" t="s">
        <v>16055</v>
      </c>
      <c r="W2778" t="s">
        <v>3066</v>
      </c>
      <c r="X2778" t="s">
        <v>16056</v>
      </c>
      <c r="Y2778" t="s">
        <v>16057</v>
      </c>
      <c r="Z2778" t="s">
        <v>3197</v>
      </c>
      <c r="AA2778" t="s">
        <v>16058</v>
      </c>
      <c r="AB2778" t="s">
        <v>16053</v>
      </c>
      <c r="AC2778">
        <v>99175</v>
      </c>
      <c r="AD2778" t="s">
        <v>3144</v>
      </c>
      <c r="AE2778">
        <v>-43.517527260000001</v>
      </c>
      <c r="AF2778">
        <v>172.70394739</v>
      </c>
      <c r="AG2778" s="175">
        <v>28</v>
      </c>
      <c r="AH2778" s="175">
        <v>6</v>
      </c>
      <c r="AI2778" s="175">
        <v>0</v>
      </c>
      <c r="AJ2778" s="175">
        <v>2</v>
      </c>
      <c r="AK2778" s="175">
        <v>5</v>
      </c>
      <c r="AL2778" s="175">
        <v>10</v>
      </c>
      <c r="AM2778" s="175">
        <v>9</v>
      </c>
      <c r="AN2778" s="175">
        <v>0</v>
      </c>
      <c r="AO2778" s="175">
        <v>26</v>
      </c>
      <c r="AP2778" s="175">
        <v>11</v>
      </c>
      <c r="AQ2778" s="175">
        <v>15</v>
      </c>
      <c r="AR2778" s="175">
        <v>6</v>
      </c>
      <c r="AS2778" s="175">
        <v>1</v>
      </c>
      <c r="AT2778" s="175">
        <v>0</v>
      </c>
    </row>
    <row r="2779" spans="1:46">
      <c r="A2779">
        <v>47373</v>
      </c>
      <c r="B2779" t="s">
        <v>16059</v>
      </c>
      <c r="C2779" t="s">
        <v>16060</v>
      </c>
      <c r="D2779" t="s">
        <v>16061</v>
      </c>
      <c r="E2779" t="s">
        <v>16062</v>
      </c>
      <c r="F2779" t="s">
        <v>4995</v>
      </c>
      <c r="G2779" t="s">
        <v>737</v>
      </c>
      <c r="H2779" t="s">
        <v>449</v>
      </c>
      <c r="J2779" t="s">
        <v>4032</v>
      </c>
      <c r="K2779" t="s">
        <v>606</v>
      </c>
      <c r="M2779" t="s">
        <v>607</v>
      </c>
      <c r="N2779" t="s">
        <v>657</v>
      </c>
      <c r="O2779" t="s">
        <v>898</v>
      </c>
      <c r="P2779" t="s">
        <v>739</v>
      </c>
      <c r="Q2779" t="s">
        <v>467</v>
      </c>
      <c r="R2779" t="s">
        <v>724</v>
      </c>
      <c r="S2779" t="s">
        <v>725</v>
      </c>
      <c r="T2779" t="s">
        <v>613</v>
      </c>
      <c r="U2779">
        <v>118800</v>
      </c>
      <c r="V2779" t="s">
        <v>14747</v>
      </c>
      <c r="W2779" t="s">
        <v>900</v>
      </c>
      <c r="X2779" t="s">
        <v>15411</v>
      </c>
      <c r="Y2779" t="s">
        <v>12254</v>
      </c>
      <c r="Z2779" t="s">
        <v>12255</v>
      </c>
      <c r="AA2779" t="s">
        <v>12256</v>
      </c>
      <c r="AB2779" t="s">
        <v>15412</v>
      </c>
      <c r="AE2779">
        <v>-36.80810125</v>
      </c>
      <c r="AF2779">
        <v>174.60165169999999</v>
      </c>
      <c r="AG2779" s="175">
        <v>125</v>
      </c>
      <c r="AH2779" s="175">
        <v>40</v>
      </c>
      <c r="AI2779" s="175">
        <v>9</v>
      </c>
      <c r="AJ2779" s="175">
        <v>23</v>
      </c>
      <c r="AK2779" s="175">
        <v>26</v>
      </c>
      <c r="AL2779" s="175">
        <v>33</v>
      </c>
      <c r="AM2779" s="175">
        <v>19</v>
      </c>
      <c r="AN2779" s="175">
        <v>0</v>
      </c>
      <c r="AO2779" s="175">
        <v>110</v>
      </c>
      <c r="AP2779" s="175">
        <v>84</v>
      </c>
      <c r="AQ2779" s="175">
        <v>16</v>
      </c>
      <c r="AR2779" s="175">
        <v>15</v>
      </c>
      <c r="AS2779" s="175">
        <v>24</v>
      </c>
      <c r="AT2779" s="175">
        <v>6</v>
      </c>
    </row>
    <row r="2780" spans="1:46">
      <c r="A2780">
        <v>47374</v>
      </c>
      <c r="B2780" t="s">
        <v>16063</v>
      </c>
      <c r="C2780" t="s">
        <v>16064</v>
      </c>
      <c r="D2780" t="s">
        <v>16065</v>
      </c>
      <c r="E2780" t="s">
        <v>16066</v>
      </c>
      <c r="G2780" t="s">
        <v>3997</v>
      </c>
      <c r="H2780" t="s">
        <v>449</v>
      </c>
      <c r="J2780" t="s">
        <v>4032</v>
      </c>
      <c r="K2780" t="s">
        <v>606</v>
      </c>
      <c r="M2780" t="s">
        <v>2366</v>
      </c>
      <c r="N2780" t="s">
        <v>657</v>
      </c>
      <c r="O2780" t="s">
        <v>3906</v>
      </c>
      <c r="P2780" t="s">
        <v>1347</v>
      </c>
      <c r="Q2780" t="s">
        <v>522</v>
      </c>
      <c r="R2780" t="s">
        <v>3410</v>
      </c>
      <c r="S2780" t="s">
        <v>3433</v>
      </c>
      <c r="T2780" t="s">
        <v>2526</v>
      </c>
      <c r="U2780">
        <v>348400</v>
      </c>
      <c r="V2780" t="s">
        <v>1429</v>
      </c>
      <c r="W2780" t="s">
        <v>3908</v>
      </c>
      <c r="X2780" t="s">
        <v>16067</v>
      </c>
      <c r="Y2780" t="s">
        <v>16068</v>
      </c>
      <c r="Z2780" t="s">
        <v>16069</v>
      </c>
      <c r="AA2780" t="s">
        <v>16070</v>
      </c>
      <c r="AB2780" t="s">
        <v>16064</v>
      </c>
      <c r="AE2780">
        <v>-45.025804770000001</v>
      </c>
      <c r="AF2780">
        <v>168.75179130000001</v>
      </c>
      <c r="AG2780" s="175">
        <v>76</v>
      </c>
      <c r="AH2780" s="175">
        <v>16</v>
      </c>
      <c r="AI2780" s="175">
        <v>0</v>
      </c>
      <c r="AJ2780" s="175">
        <v>10</v>
      </c>
      <c r="AK2780" s="175">
        <v>21</v>
      </c>
      <c r="AL2780" s="175">
        <v>23</v>
      </c>
      <c r="AM2780" s="175">
        <v>21</v>
      </c>
      <c r="AN2780" s="175">
        <v>1</v>
      </c>
      <c r="AO2780" s="175">
        <v>76</v>
      </c>
      <c r="AP2780" s="175">
        <v>64</v>
      </c>
      <c r="AQ2780" s="175">
        <v>5</v>
      </c>
      <c r="AR2780" s="175">
        <v>0</v>
      </c>
      <c r="AS2780" s="175">
        <v>9</v>
      </c>
      <c r="AT2780" s="175">
        <v>4</v>
      </c>
    </row>
    <row r="2781" spans="1:46">
      <c r="A2781">
        <v>47378</v>
      </c>
      <c r="B2781" t="s">
        <v>16071</v>
      </c>
      <c r="D2781" t="s">
        <v>8826</v>
      </c>
      <c r="E2781" t="s">
        <v>8827</v>
      </c>
      <c r="F2781" t="s">
        <v>1397</v>
      </c>
      <c r="G2781" t="s">
        <v>1381</v>
      </c>
      <c r="H2781" t="s">
        <v>450</v>
      </c>
      <c r="J2781" t="s">
        <v>4032</v>
      </c>
      <c r="K2781" t="s">
        <v>606</v>
      </c>
      <c r="M2781" t="s">
        <v>1382</v>
      </c>
      <c r="N2781" t="s">
        <v>643</v>
      </c>
      <c r="O2781" t="s">
        <v>1383</v>
      </c>
      <c r="P2781" t="s">
        <v>739</v>
      </c>
      <c r="Q2781" t="s">
        <v>510</v>
      </c>
      <c r="R2781" t="s">
        <v>1384</v>
      </c>
      <c r="S2781" t="s">
        <v>1396</v>
      </c>
      <c r="T2781" t="s">
        <v>1320</v>
      </c>
      <c r="U2781">
        <v>177300</v>
      </c>
      <c r="V2781" t="s">
        <v>1397</v>
      </c>
      <c r="W2781" t="s">
        <v>1398</v>
      </c>
      <c r="X2781" t="s">
        <v>13762</v>
      </c>
      <c r="Y2781" t="s">
        <v>8827</v>
      </c>
      <c r="Z2781" t="s">
        <v>1397</v>
      </c>
      <c r="AA2781" t="s">
        <v>8575</v>
      </c>
      <c r="AC2781">
        <v>99070</v>
      </c>
      <c r="AD2781" t="s">
        <v>1528</v>
      </c>
      <c r="AE2781">
        <v>-37.749588889999998</v>
      </c>
      <c r="AF2781">
        <v>175.27362744000001</v>
      </c>
      <c r="AG2781" s="175">
        <v>80</v>
      </c>
      <c r="AH2781" s="175">
        <v>80</v>
      </c>
      <c r="AI2781" s="175">
        <v>1</v>
      </c>
      <c r="AJ2781" s="175">
        <v>13</v>
      </c>
      <c r="AK2781" s="175">
        <v>10</v>
      </c>
      <c r="AL2781" s="175">
        <v>4</v>
      </c>
      <c r="AM2781" s="175">
        <v>8</v>
      </c>
      <c r="AN2781" s="175">
        <v>5</v>
      </c>
      <c r="AO2781" s="175">
        <v>41</v>
      </c>
      <c r="AP2781" s="175">
        <v>7</v>
      </c>
      <c r="AQ2781" s="175">
        <v>2</v>
      </c>
      <c r="AR2781" s="175">
        <v>0</v>
      </c>
      <c r="AS2781" s="175">
        <v>12</v>
      </c>
      <c r="AT2781" s="175">
        <v>25</v>
      </c>
    </row>
    <row r="2782" spans="1:46">
      <c r="A2782">
        <v>47379</v>
      </c>
      <c r="B2782" t="s">
        <v>16072</v>
      </c>
      <c r="C2782" t="s">
        <v>16073</v>
      </c>
      <c r="D2782" t="s">
        <v>16074</v>
      </c>
      <c r="E2782" t="s">
        <v>16075</v>
      </c>
      <c r="G2782" t="s">
        <v>760</v>
      </c>
      <c r="H2782" t="s">
        <v>449</v>
      </c>
      <c r="J2782" t="s">
        <v>4032</v>
      </c>
      <c r="K2782" t="s">
        <v>606</v>
      </c>
      <c r="M2782" t="s">
        <v>607</v>
      </c>
      <c r="N2782" t="s">
        <v>657</v>
      </c>
      <c r="O2782" t="s">
        <v>723</v>
      </c>
      <c r="P2782" t="s">
        <v>610</v>
      </c>
      <c r="Q2782" t="s">
        <v>467</v>
      </c>
      <c r="R2782" t="s">
        <v>724</v>
      </c>
      <c r="S2782" t="s">
        <v>725</v>
      </c>
      <c r="T2782" t="s">
        <v>613</v>
      </c>
      <c r="U2782">
        <v>111100</v>
      </c>
      <c r="V2782" t="s">
        <v>761</v>
      </c>
      <c r="W2782" t="s">
        <v>726</v>
      </c>
      <c r="X2782" t="s">
        <v>16076</v>
      </c>
      <c r="Y2782" t="s">
        <v>16075</v>
      </c>
      <c r="AA2782" t="s">
        <v>15083</v>
      </c>
      <c r="AC2782">
        <v>99122</v>
      </c>
      <c r="AD2782" t="s">
        <v>4154</v>
      </c>
      <c r="AE2782">
        <v>-36.406983609999997</v>
      </c>
      <c r="AF2782">
        <v>174.65187320000001</v>
      </c>
      <c r="AG2782" s="175">
        <v>98</v>
      </c>
      <c r="AH2782" s="175">
        <v>18</v>
      </c>
      <c r="AI2782" s="175">
        <v>6</v>
      </c>
      <c r="AJ2782" s="175">
        <v>16</v>
      </c>
      <c r="AK2782" s="175">
        <v>23</v>
      </c>
      <c r="AL2782" s="175">
        <v>24</v>
      </c>
      <c r="AM2782" s="175">
        <v>30</v>
      </c>
      <c r="AN2782" s="175">
        <v>0</v>
      </c>
      <c r="AO2782" s="175">
        <v>99</v>
      </c>
      <c r="AP2782" s="175">
        <v>94</v>
      </c>
      <c r="AQ2782" s="175">
        <v>12</v>
      </c>
      <c r="AR2782" s="175">
        <v>1</v>
      </c>
      <c r="AS2782" s="175">
        <v>7</v>
      </c>
      <c r="AT2782" s="175">
        <v>1</v>
      </c>
    </row>
    <row r="2783" spans="1:46">
      <c r="A2783">
        <v>47380</v>
      </c>
      <c r="B2783" t="s">
        <v>16077</v>
      </c>
      <c r="C2783" t="s">
        <v>16078</v>
      </c>
      <c r="D2783" t="s">
        <v>16079</v>
      </c>
      <c r="E2783" t="s">
        <v>16080</v>
      </c>
      <c r="F2783" t="s">
        <v>8319</v>
      </c>
      <c r="G2783" t="s">
        <v>737</v>
      </c>
      <c r="H2783" t="s">
        <v>449</v>
      </c>
      <c r="J2783" t="s">
        <v>4032</v>
      </c>
      <c r="K2783" t="s">
        <v>606</v>
      </c>
      <c r="M2783" t="s">
        <v>607</v>
      </c>
      <c r="N2783" t="s">
        <v>657</v>
      </c>
      <c r="O2783" t="s">
        <v>1253</v>
      </c>
      <c r="P2783" t="s">
        <v>739</v>
      </c>
      <c r="Q2783" t="s">
        <v>467</v>
      </c>
      <c r="R2783" t="s">
        <v>724</v>
      </c>
      <c r="S2783" t="s">
        <v>740</v>
      </c>
      <c r="T2783" t="s">
        <v>613</v>
      </c>
      <c r="U2783">
        <v>118600</v>
      </c>
      <c r="V2783" t="s">
        <v>4082</v>
      </c>
      <c r="W2783" t="s">
        <v>742</v>
      </c>
      <c r="X2783" t="s">
        <v>16081</v>
      </c>
      <c r="Y2783" t="s">
        <v>16082</v>
      </c>
      <c r="Z2783" t="s">
        <v>6450</v>
      </c>
      <c r="AA2783" t="s">
        <v>6453</v>
      </c>
      <c r="AC2783">
        <v>99000</v>
      </c>
      <c r="AD2783" t="s">
        <v>769</v>
      </c>
      <c r="AE2783">
        <v>-36.738195849999997</v>
      </c>
      <c r="AF2783">
        <v>174.7272323</v>
      </c>
      <c r="AG2783" s="175">
        <v>125</v>
      </c>
      <c r="AH2783" s="175">
        <v>25</v>
      </c>
      <c r="AI2783" s="175">
        <v>3</v>
      </c>
      <c r="AJ2783" s="175">
        <v>12</v>
      </c>
      <c r="AK2783" s="175">
        <v>18</v>
      </c>
      <c r="AL2783" s="175">
        <v>22</v>
      </c>
      <c r="AM2783" s="175">
        <v>23</v>
      </c>
      <c r="AN2783" s="175">
        <v>2</v>
      </c>
      <c r="AO2783" s="175">
        <v>80</v>
      </c>
      <c r="AP2783" s="175">
        <v>47</v>
      </c>
      <c r="AQ2783" s="175">
        <v>8</v>
      </c>
      <c r="AR2783" s="175">
        <v>2</v>
      </c>
      <c r="AS2783" s="175">
        <v>36</v>
      </c>
      <c r="AT2783" s="175">
        <v>2</v>
      </c>
    </row>
    <row r="2784" spans="1:46">
      <c r="A2784">
        <v>47386</v>
      </c>
      <c r="B2784" t="s">
        <v>16083</v>
      </c>
      <c r="C2784" t="s">
        <v>16084</v>
      </c>
      <c r="E2784" t="s">
        <v>16085</v>
      </c>
      <c r="F2784" t="s">
        <v>2957</v>
      </c>
      <c r="G2784" t="s">
        <v>2930</v>
      </c>
      <c r="H2784" t="s">
        <v>449</v>
      </c>
      <c r="J2784" t="s">
        <v>4032</v>
      </c>
      <c r="K2784" t="s">
        <v>606</v>
      </c>
      <c r="M2784" t="s">
        <v>2366</v>
      </c>
      <c r="N2784" t="s">
        <v>657</v>
      </c>
      <c r="O2784" t="s">
        <v>2944</v>
      </c>
      <c r="P2784" t="s">
        <v>1347</v>
      </c>
      <c r="Q2784" t="s">
        <v>517</v>
      </c>
      <c r="R2784" t="s">
        <v>2901</v>
      </c>
      <c r="S2784" t="s">
        <v>2930</v>
      </c>
      <c r="T2784" t="s">
        <v>2526</v>
      </c>
      <c r="U2784">
        <v>303300</v>
      </c>
      <c r="V2784" t="s">
        <v>11887</v>
      </c>
      <c r="W2784" t="s">
        <v>2959</v>
      </c>
      <c r="X2784" t="s">
        <v>16086</v>
      </c>
      <c r="Y2784" t="s">
        <v>16087</v>
      </c>
      <c r="Z2784" t="s">
        <v>2957</v>
      </c>
      <c r="AA2784" t="s">
        <v>12887</v>
      </c>
      <c r="AB2784" t="s">
        <v>16084</v>
      </c>
      <c r="AE2784">
        <v>-41.343207059999997</v>
      </c>
      <c r="AF2784">
        <v>173.19801687</v>
      </c>
      <c r="AG2784" s="175">
        <v>36</v>
      </c>
      <c r="AH2784" s="175">
        <v>13</v>
      </c>
      <c r="AI2784" s="175">
        <v>3</v>
      </c>
      <c r="AJ2784" s="175">
        <v>10</v>
      </c>
      <c r="AK2784" s="175">
        <v>14</v>
      </c>
      <c r="AL2784" s="175">
        <v>16</v>
      </c>
      <c r="AM2784" s="175">
        <v>9</v>
      </c>
      <c r="AN2784" s="175">
        <v>0</v>
      </c>
      <c r="AO2784" s="175">
        <v>52</v>
      </c>
      <c r="AP2784" s="175">
        <v>48</v>
      </c>
      <c r="AQ2784" s="175">
        <v>11</v>
      </c>
      <c r="AR2784" s="175">
        <v>0</v>
      </c>
      <c r="AS2784" s="175">
        <v>1</v>
      </c>
      <c r="AT2784" s="175">
        <v>0</v>
      </c>
    </row>
    <row r="2785" spans="1:46">
      <c r="A2785">
        <v>47389</v>
      </c>
      <c r="B2785" t="s">
        <v>16088</v>
      </c>
      <c r="E2785" t="s">
        <v>4059</v>
      </c>
      <c r="F2785" t="s">
        <v>4060</v>
      </c>
      <c r="G2785" t="s">
        <v>737</v>
      </c>
      <c r="H2785" t="s">
        <v>450</v>
      </c>
      <c r="J2785" t="s">
        <v>4032</v>
      </c>
      <c r="K2785" t="s">
        <v>606</v>
      </c>
      <c r="M2785" t="s">
        <v>607</v>
      </c>
      <c r="N2785" t="s">
        <v>643</v>
      </c>
      <c r="O2785" t="s">
        <v>792</v>
      </c>
      <c r="P2785" t="s">
        <v>739</v>
      </c>
      <c r="Q2785" t="s">
        <v>467</v>
      </c>
      <c r="R2785" t="s">
        <v>793</v>
      </c>
      <c r="S2785" t="s">
        <v>863</v>
      </c>
      <c r="T2785" t="s">
        <v>794</v>
      </c>
      <c r="U2785">
        <v>156101</v>
      </c>
      <c r="V2785" t="s">
        <v>4871</v>
      </c>
      <c r="W2785" t="s">
        <v>796</v>
      </c>
      <c r="X2785" t="s">
        <v>4872</v>
      </c>
      <c r="Y2785" t="s">
        <v>4059</v>
      </c>
      <c r="Z2785" t="s">
        <v>4060</v>
      </c>
      <c r="AA2785" t="s">
        <v>4061</v>
      </c>
      <c r="AE2785">
        <v>-36.947806</v>
      </c>
      <c r="AF2785">
        <v>174.91462372000001</v>
      </c>
      <c r="AG2785" s="175">
        <v>50</v>
      </c>
      <c r="AH2785" s="175">
        <v>50</v>
      </c>
      <c r="AI2785" s="175">
        <v>9</v>
      </c>
      <c r="AJ2785" s="175">
        <v>13</v>
      </c>
      <c r="AK2785" s="175">
        <v>15</v>
      </c>
      <c r="AL2785" s="175">
        <v>18</v>
      </c>
      <c r="AM2785" s="175">
        <v>10</v>
      </c>
      <c r="AN2785" s="175">
        <v>6</v>
      </c>
      <c r="AO2785" s="175">
        <v>71</v>
      </c>
      <c r="AP2785" s="175">
        <v>0</v>
      </c>
      <c r="AQ2785" s="175">
        <v>0</v>
      </c>
      <c r="AR2785" s="175">
        <v>39</v>
      </c>
      <c r="AS2785" s="175">
        <v>32</v>
      </c>
      <c r="AT2785" s="175">
        <v>1</v>
      </c>
    </row>
    <row r="2786" spans="1:46">
      <c r="A2786">
        <v>47393</v>
      </c>
      <c r="B2786" t="s">
        <v>16089</v>
      </c>
      <c r="C2786" t="s">
        <v>16090</v>
      </c>
      <c r="E2786" t="s">
        <v>16091</v>
      </c>
      <c r="F2786" t="s">
        <v>3841</v>
      </c>
      <c r="G2786" t="s">
        <v>1681</v>
      </c>
      <c r="H2786" t="s">
        <v>449</v>
      </c>
      <c r="J2786" t="s">
        <v>4032</v>
      </c>
      <c r="K2786" t="s">
        <v>606</v>
      </c>
      <c r="M2786" t="s">
        <v>1382</v>
      </c>
      <c r="N2786" t="s">
        <v>657</v>
      </c>
      <c r="O2786" t="s">
        <v>1780</v>
      </c>
      <c r="P2786" t="s">
        <v>739</v>
      </c>
      <c r="Q2786" t="s">
        <v>511</v>
      </c>
      <c r="R2786" t="s">
        <v>1555</v>
      </c>
      <c r="S2786" t="s">
        <v>1781</v>
      </c>
      <c r="T2786" t="s">
        <v>1557</v>
      </c>
      <c r="U2786">
        <v>197300</v>
      </c>
      <c r="V2786" t="s">
        <v>3842</v>
      </c>
      <c r="W2786" t="s">
        <v>3843</v>
      </c>
      <c r="X2786" t="s">
        <v>16092</v>
      </c>
      <c r="Y2786" t="s">
        <v>16093</v>
      </c>
      <c r="Z2786" t="s">
        <v>8466</v>
      </c>
      <c r="AA2786" t="s">
        <v>16094</v>
      </c>
      <c r="AE2786">
        <v>-37.71532869</v>
      </c>
      <c r="AF2786">
        <v>176.30689709999999</v>
      </c>
      <c r="AG2786" s="175">
        <v>125</v>
      </c>
      <c r="AH2786" s="175">
        <v>34</v>
      </c>
      <c r="AI2786" s="175">
        <v>3</v>
      </c>
      <c r="AJ2786" s="175">
        <v>29</v>
      </c>
      <c r="AK2786" s="175">
        <v>32</v>
      </c>
      <c r="AL2786" s="175">
        <v>36</v>
      </c>
      <c r="AM2786" s="175">
        <v>35</v>
      </c>
      <c r="AN2786" s="175">
        <v>2</v>
      </c>
      <c r="AO2786" s="175">
        <v>137</v>
      </c>
      <c r="AP2786" s="175">
        <v>118</v>
      </c>
      <c r="AQ2786" s="175">
        <v>26</v>
      </c>
      <c r="AR2786" s="175">
        <v>6</v>
      </c>
      <c r="AS2786" s="175">
        <v>12</v>
      </c>
      <c r="AT2786" s="175">
        <v>6</v>
      </c>
    </row>
    <row r="2787" spans="1:46">
      <c r="A2787">
        <v>47394</v>
      </c>
      <c r="B2787" t="s">
        <v>16095</v>
      </c>
      <c r="E2787" t="s">
        <v>16096</v>
      </c>
      <c r="F2787" t="s">
        <v>1319</v>
      </c>
      <c r="G2787" t="s">
        <v>737</v>
      </c>
      <c r="H2787" t="s">
        <v>449</v>
      </c>
      <c r="J2787" t="s">
        <v>4032</v>
      </c>
      <c r="K2787" t="s">
        <v>606</v>
      </c>
      <c r="M2787" t="s">
        <v>607</v>
      </c>
      <c r="N2787" t="s">
        <v>657</v>
      </c>
      <c r="O2787" t="s">
        <v>1353</v>
      </c>
      <c r="P2787" t="s">
        <v>739</v>
      </c>
      <c r="Q2787" t="s">
        <v>467</v>
      </c>
      <c r="R2787" t="s">
        <v>814</v>
      </c>
      <c r="S2787" t="s">
        <v>1319</v>
      </c>
      <c r="T2787" t="s">
        <v>1320</v>
      </c>
      <c r="U2787">
        <v>163700</v>
      </c>
      <c r="V2787" t="s">
        <v>7661</v>
      </c>
      <c r="W2787" t="s">
        <v>1304</v>
      </c>
      <c r="X2787" t="s">
        <v>4700</v>
      </c>
      <c r="Y2787" t="s">
        <v>12058</v>
      </c>
      <c r="Z2787" t="s">
        <v>855</v>
      </c>
      <c r="AA2787" t="s">
        <v>12059</v>
      </c>
      <c r="AB2787" t="s">
        <v>4703</v>
      </c>
      <c r="AE2787">
        <v>-36.97624201</v>
      </c>
      <c r="AF2787">
        <v>174.86721919999999</v>
      </c>
      <c r="AG2787" s="175">
        <v>60</v>
      </c>
      <c r="AH2787" s="175">
        <v>15</v>
      </c>
      <c r="AI2787" s="175">
        <v>4</v>
      </c>
      <c r="AJ2787" s="175">
        <v>12</v>
      </c>
      <c r="AK2787" s="175">
        <v>9</v>
      </c>
      <c r="AL2787" s="175">
        <v>13</v>
      </c>
      <c r="AM2787" s="175">
        <v>13</v>
      </c>
      <c r="AN2787" s="175">
        <v>0</v>
      </c>
      <c r="AO2787" s="175">
        <v>51</v>
      </c>
      <c r="AP2787" s="175">
        <v>11</v>
      </c>
      <c r="AQ2787" s="175">
        <v>5</v>
      </c>
      <c r="AR2787" s="175">
        <v>11</v>
      </c>
      <c r="AS2787" s="175">
        <v>33</v>
      </c>
      <c r="AT2787" s="175">
        <v>3</v>
      </c>
    </row>
    <row r="2788" spans="1:46">
      <c r="A2788">
        <v>47395</v>
      </c>
      <c r="B2788" t="s">
        <v>16097</v>
      </c>
      <c r="C2788" t="s">
        <v>16098</v>
      </c>
      <c r="D2788" t="s">
        <v>16099</v>
      </c>
      <c r="E2788" t="s">
        <v>16100</v>
      </c>
      <c r="G2788" t="s">
        <v>1621</v>
      </c>
      <c r="H2788" t="s">
        <v>449</v>
      </c>
      <c r="J2788" t="s">
        <v>4032</v>
      </c>
      <c r="K2788" t="s">
        <v>606</v>
      </c>
      <c r="M2788" t="s">
        <v>1382</v>
      </c>
      <c r="N2788" t="s">
        <v>657</v>
      </c>
      <c r="O2788" t="s">
        <v>1403</v>
      </c>
      <c r="P2788" t="s">
        <v>1347</v>
      </c>
      <c r="Q2788" t="s">
        <v>510</v>
      </c>
      <c r="R2788" t="s">
        <v>1384</v>
      </c>
      <c r="S2788" t="s">
        <v>1501</v>
      </c>
      <c r="T2788" t="s">
        <v>1320</v>
      </c>
      <c r="U2788">
        <v>184100</v>
      </c>
      <c r="V2788" t="s">
        <v>9416</v>
      </c>
      <c r="W2788" t="s">
        <v>1623</v>
      </c>
      <c r="X2788" t="s">
        <v>16101</v>
      </c>
      <c r="Y2788" t="s">
        <v>16102</v>
      </c>
      <c r="AA2788" t="s">
        <v>9344</v>
      </c>
      <c r="AB2788" t="s">
        <v>16098</v>
      </c>
      <c r="AE2788">
        <v>-38.010114829999999</v>
      </c>
      <c r="AF2788">
        <v>175.3225166</v>
      </c>
      <c r="AG2788" s="175">
        <v>40</v>
      </c>
      <c r="AH2788" s="175">
        <v>13</v>
      </c>
      <c r="AI2788" s="175">
        <v>1</v>
      </c>
      <c r="AJ2788" s="175">
        <v>5</v>
      </c>
      <c r="AK2788" s="175">
        <v>8</v>
      </c>
      <c r="AL2788" s="175">
        <v>7</v>
      </c>
      <c r="AM2788" s="175">
        <v>3</v>
      </c>
      <c r="AN2788" s="175">
        <v>0</v>
      </c>
      <c r="AO2788" s="175">
        <v>24</v>
      </c>
      <c r="AP2788" s="175">
        <v>21</v>
      </c>
      <c r="AQ2788" s="175">
        <v>6</v>
      </c>
      <c r="AR2788" s="175">
        <v>0</v>
      </c>
      <c r="AS2788" s="175">
        <v>1</v>
      </c>
      <c r="AT2788" s="175">
        <v>2</v>
      </c>
    </row>
    <row r="2789" spans="1:46">
      <c r="A2789">
        <v>47396</v>
      </c>
      <c r="B2789" t="s">
        <v>16103</v>
      </c>
      <c r="C2789" t="s">
        <v>16104</v>
      </c>
      <c r="D2789" t="s">
        <v>16105</v>
      </c>
      <c r="E2789" t="s">
        <v>16106</v>
      </c>
      <c r="G2789" t="s">
        <v>3744</v>
      </c>
      <c r="H2789" t="s">
        <v>449</v>
      </c>
      <c r="J2789" t="s">
        <v>4032</v>
      </c>
      <c r="K2789" t="s">
        <v>606</v>
      </c>
      <c r="M2789" t="s">
        <v>607</v>
      </c>
      <c r="N2789" t="s">
        <v>657</v>
      </c>
      <c r="O2789" t="s">
        <v>609</v>
      </c>
      <c r="P2789" t="s">
        <v>658</v>
      </c>
      <c r="Q2789" t="s">
        <v>509</v>
      </c>
      <c r="R2789" t="s">
        <v>611</v>
      </c>
      <c r="S2789" t="s">
        <v>612</v>
      </c>
      <c r="T2789" t="s">
        <v>613</v>
      </c>
      <c r="U2789">
        <v>102501</v>
      </c>
      <c r="V2789" t="s">
        <v>16107</v>
      </c>
      <c r="W2789" t="s">
        <v>644</v>
      </c>
      <c r="X2789" t="s">
        <v>16108</v>
      </c>
      <c r="Y2789" t="s">
        <v>16109</v>
      </c>
      <c r="AA2789" t="s">
        <v>16110</v>
      </c>
      <c r="AB2789" t="s">
        <v>16104</v>
      </c>
      <c r="AE2789">
        <v>-35.208121490000003</v>
      </c>
      <c r="AF2789">
        <v>173.92638183</v>
      </c>
      <c r="AG2789" s="175">
        <v>40</v>
      </c>
      <c r="AH2789" s="175">
        <v>10</v>
      </c>
      <c r="AI2789" s="175">
        <v>0</v>
      </c>
      <c r="AJ2789" s="175">
        <v>10</v>
      </c>
      <c r="AK2789" s="175">
        <v>9</v>
      </c>
      <c r="AL2789" s="175">
        <v>14</v>
      </c>
      <c r="AM2789" s="175">
        <v>11</v>
      </c>
      <c r="AN2789" s="175">
        <v>1</v>
      </c>
      <c r="AO2789" s="175">
        <v>45</v>
      </c>
      <c r="AP2789" s="175">
        <v>37</v>
      </c>
      <c r="AQ2789" s="175">
        <v>25</v>
      </c>
      <c r="AR2789" s="175">
        <v>8</v>
      </c>
      <c r="AS2789" s="175">
        <v>1</v>
      </c>
      <c r="AT2789" s="175">
        <v>0</v>
      </c>
    </row>
    <row r="2790" spans="1:46">
      <c r="A2790">
        <v>47397</v>
      </c>
      <c r="B2790" t="s">
        <v>16111</v>
      </c>
      <c r="C2790" t="s">
        <v>16112</v>
      </c>
      <c r="E2790" t="s">
        <v>16113</v>
      </c>
      <c r="F2790" t="s">
        <v>13213</v>
      </c>
      <c r="G2790" t="s">
        <v>1681</v>
      </c>
      <c r="H2790" t="s">
        <v>449</v>
      </c>
      <c r="J2790" t="s">
        <v>4032</v>
      </c>
      <c r="K2790" t="s">
        <v>606</v>
      </c>
      <c r="M2790" t="s">
        <v>1382</v>
      </c>
      <c r="N2790" t="s">
        <v>657</v>
      </c>
      <c r="O2790" t="s">
        <v>1780</v>
      </c>
      <c r="P2790" t="s">
        <v>739</v>
      </c>
      <c r="Q2790" t="s">
        <v>511</v>
      </c>
      <c r="R2790" t="s">
        <v>1555</v>
      </c>
      <c r="S2790" t="s">
        <v>1681</v>
      </c>
      <c r="T2790" t="s">
        <v>1557</v>
      </c>
      <c r="U2790">
        <v>195101</v>
      </c>
      <c r="V2790" t="s">
        <v>16114</v>
      </c>
      <c r="W2790" t="s">
        <v>1799</v>
      </c>
      <c r="X2790" t="s">
        <v>16115</v>
      </c>
      <c r="Y2790" t="s">
        <v>16116</v>
      </c>
      <c r="Z2790" t="s">
        <v>9883</v>
      </c>
      <c r="AA2790" t="s">
        <v>8468</v>
      </c>
      <c r="AC2790">
        <v>99085</v>
      </c>
      <c r="AD2790" t="s">
        <v>1800</v>
      </c>
      <c r="AE2790">
        <v>-37.751350909999999</v>
      </c>
      <c r="AF2790">
        <v>176.1051813</v>
      </c>
      <c r="AG2790" s="175">
        <v>72</v>
      </c>
      <c r="AH2790" s="175">
        <v>19</v>
      </c>
      <c r="AI2790" s="175">
        <v>1</v>
      </c>
      <c r="AJ2790" s="175">
        <v>15</v>
      </c>
      <c r="AK2790" s="175">
        <v>22</v>
      </c>
      <c r="AL2790" s="175">
        <v>18</v>
      </c>
      <c r="AM2790" s="175">
        <v>21</v>
      </c>
      <c r="AN2790" s="175">
        <v>0</v>
      </c>
      <c r="AO2790" s="175">
        <v>77</v>
      </c>
      <c r="AP2790" s="175">
        <v>71</v>
      </c>
      <c r="AQ2790" s="175">
        <v>7</v>
      </c>
      <c r="AR2790" s="175">
        <v>3</v>
      </c>
      <c r="AS2790" s="175">
        <v>9</v>
      </c>
      <c r="AT2790" s="175">
        <v>3</v>
      </c>
    </row>
    <row r="2791" spans="1:46">
      <c r="A2791">
        <v>47399</v>
      </c>
      <c r="B2791" t="s">
        <v>16117</v>
      </c>
      <c r="C2791" t="s">
        <v>16118</v>
      </c>
      <c r="E2791" t="s">
        <v>16119</v>
      </c>
      <c r="G2791" t="s">
        <v>1824</v>
      </c>
      <c r="H2791" t="s">
        <v>471</v>
      </c>
      <c r="I2791" t="s">
        <v>5017</v>
      </c>
      <c r="J2791" t="s">
        <v>4032</v>
      </c>
      <c r="K2791" t="s">
        <v>606</v>
      </c>
      <c r="M2791" t="s">
        <v>1382</v>
      </c>
      <c r="N2791" t="s">
        <v>643</v>
      </c>
      <c r="O2791" t="s">
        <v>1825</v>
      </c>
      <c r="P2791" t="s">
        <v>658</v>
      </c>
      <c r="Q2791" t="s">
        <v>511</v>
      </c>
      <c r="R2791" t="s">
        <v>1555</v>
      </c>
      <c r="S2791" t="s">
        <v>1556</v>
      </c>
      <c r="T2791" t="s">
        <v>1557</v>
      </c>
      <c r="U2791">
        <v>192000</v>
      </c>
      <c r="V2791" t="s">
        <v>10785</v>
      </c>
      <c r="W2791" t="s">
        <v>1827</v>
      </c>
      <c r="X2791" t="s">
        <v>16120</v>
      </c>
      <c r="Y2791" t="s">
        <v>16121</v>
      </c>
      <c r="AA2791" t="s">
        <v>8971</v>
      </c>
      <c r="AB2791" t="s">
        <v>16122</v>
      </c>
      <c r="AC2791">
        <v>99086</v>
      </c>
      <c r="AD2791" t="s">
        <v>1828</v>
      </c>
      <c r="AE2791">
        <v>-37.802077439999998</v>
      </c>
      <c r="AF2791">
        <v>176.37435439999999</v>
      </c>
      <c r="AG2791" s="175">
        <v>30</v>
      </c>
      <c r="AH2791" s="175">
        <v>10</v>
      </c>
      <c r="AI2791" s="175">
        <v>0</v>
      </c>
      <c r="AJ2791" s="175">
        <v>4</v>
      </c>
      <c r="AK2791" s="175">
        <v>10</v>
      </c>
      <c r="AL2791" s="175">
        <v>8</v>
      </c>
      <c r="AM2791" s="175">
        <v>8</v>
      </c>
      <c r="AN2791" s="175">
        <v>0</v>
      </c>
      <c r="AO2791" s="175">
        <v>30</v>
      </c>
      <c r="AP2791" s="175">
        <v>18</v>
      </c>
      <c r="AQ2791" s="175">
        <v>23</v>
      </c>
      <c r="AR2791" s="175">
        <v>0</v>
      </c>
      <c r="AS2791" s="175">
        <v>1</v>
      </c>
      <c r="AT2791" s="175">
        <v>0</v>
      </c>
    </row>
    <row r="2792" spans="1:46">
      <c r="A2792">
        <v>47400</v>
      </c>
      <c r="B2792" t="s">
        <v>16123</v>
      </c>
      <c r="C2792" t="s">
        <v>16124</v>
      </c>
      <c r="E2792" t="s">
        <v>16125</v>
      </c>
      <c r="F2792" t="s">
        <v>16126</v>
      </c>
      <c r="G2792" t="s">
        <v>1681</v>
      </c>
      <c r="H2792" t="s">
        <v>449</v>
      </c>
      <c r="J2792" t="s">
        <v>4032</v>
      </c>
      <c r="K2792" t="s">
        <v>606</v>
      </c>
      <c r="M2792" t="s">
        <v>1382</v>
      </c>
      <c r="N2792" t="s">
        <v>657</v>
      </c>
      <c r="O2792" t="s">
        <v>1780</v>
      </c>
      <c r="P2792" t="s">
        <v>739</v>
      </c>
      <c r="Q2792" t="s">
        <v>511</v>
      </c>
      <c r="R2792" t="s">
        <v>1555</v>
      </c>
      <c r="S2792" t="s">
        <v>1681</v>
      </c>
      <c r="T2792" t="s">
        <v>1557</v>
      </c>
      <c r="U2792">
        <v>194300</v>
      </c>
      <c r="V2792" t="s">
        <v>1805</v>
      </c>
      <c r="W2792" t="s">
        <v>1806</v>
      </c>
      <c r="X2792" t="s">
        <v>16127</v>
      </c>
      <c r="Y2792" t="s">
        <v>16125</v>
      </c>
      <c r="AA2792" t="s">
        <v>11234</v>
      </c>
      <c r="AB2792" t="s">
        <v>16124</v>
      </c>
      <c r="AC2792">
        <v>99064</v>
      </c>
      <c r="AD2792" t="s">
        <v>1784</v>
      </c>
      <c r="AE2792">
        <v>-37.658598230000003</v>
      </c>
      <c r="AF2792">
        <v>176.20579731999999</v>
      </c>
      <c r="AG2792" s="175">
        <v>40</v>
      </c>
      <c r="AH2792" s="175">
        <v>0</v>
      </c>
      <c r="AI2792" s="175">
        <v>0</v>
      </c>
      <c r="AJ2792" s="175">
        <v>0</v>
      </c>
      <c r="AK2792" s="175">
        <v>9</v>
      </c>
      <c r="AL2792" s="175">
        <v>18</v>
      </c>
      <c r="AM2792" s="175">
        <v>19</v>
      </c>
      <c r="AN2792" s="175">
        <v>1</v>
      </c>
      <c r="AO2792" s="175">
        <v>47</v>
      </c>
      <c r="AP2792" s="175">
        <v>47</v>
      </c>
      <c r="AQ2792" s="175">
        <v>3</v>
      </c>
      <c r="AR2792" s="175">
        <v>2</v>
      </c>
      <c r="AS2792" s="175">
        <v>0</v>
      </c>
      <c r="AT2792" s="175">
        <v>1</v>
      </c>
    </row>
    <row r="2793" spans="1:46">
      <c r="A2793">
        <v>47402</v>
      </c>
      <c r="B2793" t="s">
        <v>16128</v>
      </c>
      <c r="C2793" t="s">
        <v>16129</v>
      </c>
      <c r="D2793" t="s">
        <v>16130</v>
      </c>
      <c r="E2793" t="s">
        <v>16131</v>
      </c>
      <c r="G2793" t="s">
        <v>1923</v>
      </c>
      <c r="H2793" t="s">
        <v>449</v>
      </c>
      <c r="J2793" t="s">
        <v>4032</v>
      </c>
      <c r="K2793" t="s">
        <v>606</v>
      </c>
      <c r="M2793" t="s">
        <v>1382</v>
      </c>
      <c r="N2793" t="s">
        <v>608</v>
      </c>
      <c r="O2793" t="s">
        <v>1968</v>
      </c>
      <c r="P2793" t="s">
        <v>670</v>
      </c>
      <c r="Q2793" t="s">
        <v>553</v>
      </c>
      <c r="R2793" t="s">
        <v>1841</v>
      </c>
      <c r="S2793" t="s">
        <v>1923</v>
      </c>
      <c r="T2793" t="s">
        <v>1568</v>
      </c>
      <c r="U2793">
        <v>225400</v>
      </c>
      <c r="V2793" t="s">
        <v>16132</v>
      </c>
      <c r="W2793" t="s">
        <v>1734</v>
      </c>
      <c r="X2793" t="s">
        <v>16133</v>
      </c>
      <c r="Y2793" t="s">
        <v>16134</v>
      </c>
      <c r="Z2793" t="s">
        <v>6666</v>
      </c>
      <c r="AA2793" t="s">
        <v>4458</v>
      </c>
      <c r="AB2793" t="s">
        <v>16135</v>
      </c>
      <c r="AE2793">
        <v>-39.926955479999997</v>
      </c>
      <c r="AF2793">
        <v>175.04630121</v>
      </c>
      <c r="AG2793" s="175">
        <v>42</v>
      </c>
      <c r="AH2793" s="175">
        <v>0</v>
      </c>
      <c r="AI2793" s="175">
        <v>0</v>
      </c>
      <c r="AJ2793" s="175">
        <v>0</v>
      </c>
      <c r="AK2793" s="175">
        <v>9</v>
      </c>
      <c r="AL2793" s="175">
        <v>7</v>
      </c>
      <c r="AM2793" s="175">
        <v>12</v>
      </c>
      <c r="AN2793" s="175">
        <v>1</v>
      </c>
      <c r="AO2793" s="175">
        <v>29</v>
      </c>
      <c r="AP2793" s="175">
        <v>18</v>
      </c>
      <c r="AQ2793" s="175">
        <v>7</v>
      </c>
      <c r="AR2793" s="175">
        <v>1</v>
      </c>
      <c r="AS2793" s="175">
        <v>10</v>
      </c>
      <c r="AT2793" s="175">
        <v>0</v>
      </c>
    </row>
    <row r="2794" spans="1:46">
      <c r="A2794">
        <v>47403</v>
      </c>
      <c r="B2794" t="s">
        <v>16136</v>
      </c>
      <c r="C2794" t="s">
        <v>16137</v>
      </c>
      <c r="D2794" t="s">
        <v>14180</v>
      </c>
      <c r="E2794" t="s">
        <v>16138</v>
      </c>
      <c r="F2794" t="s">
        <v>11838</v>
      </c>
      <c r="G2794" t="s">
        <v>2505</v>
      </c>
      <c r="H2794" t="s">
        <v>449</v>
      </c>
      <c r="J2794" t="s">
        <v>4032</v>
      </c>
      <c r="K2794" t="s">
        <v>606</v>
      </c>
      <c r="M2794" t="s">
        <v>2366</v>
      </c>
      <c r="N2794" t="s">
        <v>657</v>
      </c>
      <c r="O2794" t="s">
        <v>2506</v>
      </c>
      <c r="P2794" t="s">
        <v>739</v>
      </c>
      <c r="Q2794" t="s">
        <v>516</v>
      </c>
      <c r="R2794" t="s">
        <v>2368</v>
      </c>
      <c r="S2794" t="s">
        <v>2507</v>
      </c>
      <c r="T2794" t="s">
        <v>2526</v>
      </c>
      <c r="U2794">
        <v>244200</v>
      </c>
      <c r="V2794" t="s">
        <v>2589</v>
      </c>
      <c r="W2794" t="s">
        <v>2521</v>
      </c>
      <c r="X2794" t="s">
        <v>11598</v>
      </c>
      <c r="Y2794" t="s">
        <v>14182</v>
      </c>
      <c r="Z2794" t="s">
        <v>906</v>
      </c>
      <c r="AA2794" t="s">
        <v>4138</v>
      </c>
      <c r="AB2794" t="s">
        <v>11600</v>
      </c>
      <c r="AE2794">
        <v>-41.203201960000001</v>
      </c>
      <c r="AF2794">
        <v>174.91270736999999</v>
      </c>
      <c r="AG2794" s="175">
        <v>53</v>
      </c>
      <c r="AH2794" s="175">
        <v>28</v>
      </c>
      <c r="AI2794" s="175">
        <v>2</v>
      </c>
      <c r="AJ2794" s="175">
        <v>16</v>
      </c>
      <c r="AK2794" s="175">
        <v>18</v>
      </c>
      <c r="AL2794" s="175">
        <v>14</v>
      </c>
      <c r="AM2794" s="175">
        <v>8</v>
      </c>
      <c r="AN2794" s="175">
        <v>0</v>
      </c>
      <c r="AO2794" s="175">
        <v>58</v>
      </c>
      <c r="AP2794" s="175">
        <v>51</v>
      </c>
      <c r="AQ2794" s="175">
        <v>10</v>
      </c>
      <c r="AR2794" s="175">
        <v>4</v>
      </c>
      <c r="AS2794" s="175">
        <v>6</v>
      </c>
      <c r="AT2794" s="175">
        <v>4</v>
      </c>
    </row>
    <row r="2795" spans="1:46">
      <c r="A2795">
        <v>47404</v>
      </c>
      <c r="B2795" t="s">
        <v>16139</v>
      </c>
      <c r="C2795" t="s">
        <v>14221</v>
      </c>
      <c r="D2795" t="s">
        <v>15921</v>
      </c>
      <c r="E2795" t="s">
        <v>14219</v>
      </c>
      <c r="G2795" t="s">
        <v>2295</v>
      </c>
      <c r="H2795" t="s">
        <v>450</v>
      </c>
      <c r="J2795" t="s">
        <v>4032</v>
      </c>
      <c r="K2795" t="s">
        <v>606</v>
      </c>
      <c r="M2795" t="s">
        <v>1382</v>
      </c>
      <c r="N2795" t="s">
        <v>657</v>
      </c>
      <c r="O2795" t="s">
        <v>2277</v>
      </c>
      <c r="P2795" t="s">
        <v>1347</v>
      </c>
      <c r="Q2795" t="s">
        <v>513</v>
      </c>
      <c r="R2795" t="s">
        <v>1384</v>
      </c>
      <c r="S2795" t="s">
        <v>2278</v>
      </c>
      <c r="T2795" t="s">
        <v>2165</v>
      </c>
      <c r="U2795">
        <v>211600</v>
      </c>
      <c r="V2795" t="s">
        <v>8785</v>
      </c>
      <c r="W2795" t="s">
        <v>2279</v>
      </c>
      <c r="X2795" t="s">
        <v>16140</v>
      </c>
      <c r="Y2795" t="s">
        <v>8787</v>
      </c>
      <c r="Z2795" t="s">
        <v>2295</v>
      </c>
      <c r="AA2795" t="s">
        <v>8788</v>
      </c>
      <c r="AB2795" t="s">
        <v>14221</v>
      </c>
      <c r="AE2795">
        <v>-39.668068120000001</v>
      </c>
      <c r="AF2795">
        <v>176.8779006</v>
      </c>
      <c r="AG2795" s="175">
        <v>50</v>
      </c>
      <c r="AH2795" s="175">
        <v>50</v>
      </c>
      <c r="AI2795" s="175">
        <v>1</v>
      </c>
      <c r="AJ2795" s="175">
        <v>5</v>
      </c>
      <c r="AK2795" s="175">
        <v>4</v>
      </c>
      <c r="AL2795" s="175">
        <v>10</v>
      </c>
      <c r="AM2795" s="175">
        <v>10</v>
      </c>
      <c r="AN2795" s="175">
        <v>4</v>
      </c>
      <c r="AO2795" s="175">
        <v>34</v>
      </c>
      <c r="AP2795" s="175">
        <v>16</v>
      </c>
      <c r="AQ2795" s="175">
        <v>26</v>
      </c>
      <c r="AR2795" s="175">
        <v>3</v>
      </c>
      <c r="AS2795" s="175">
        <v>3</v>
      </c>
      <c r="AT2795" s="175">
        <v>0</v>
      </c>
    </row>
    <row r="2796" spans="1:46">
      <c r="A2796">
        <v>47405</v>
      </c>
      <c r="B2796" t="s">
        <v>16141</v>
      </c>
      <c r="D2796" t="s">
        <v>16142</v>
      </c>
      <c r="E2796" t="s">
        <v>16143</v>
      </c>
      <c r="G2796" t="s">
        <v>604</v>
      </c>
      <c r="H2796" t="s">
        <v>450</v>
      </c>
      <c r="J2796" t="s">
        <v>4032</v>
      </c>
      <c r="K2796" t="s">
        <v>606</v>
      </c>
      <c r="M2796" t="s">
        <v>607</v>
      </c>
      <c r="N2796" t="s">
        <v>608</v>
      </c>
      <c r="O2796" t="s">
        <v>609</v>
      </c>
      <c r="P2796" t="s">
        <v>610</v>
      </c>
      <c r="Q2796" t="s">
        <v>509</v>
      </c>
      <c r="R2796" t="s">
        <v>611</v>
      </c>
      <c r="S2796" t="s">
        <v>612</v>
      </c>
      <c r="T2796" t="s">
        <v>613</v>
      </c>
      <c r="U2796">
        <v>100700</v>
      </c>
      <c r="V2796" t="s">
        <v>632</v>
      </c>
      <c r="W2796" t="s">
        <v>615</v>
      </c>
      <c r="X2796" t="s">
        <v>16144</v>
      </c>
      <c r="Y2796" t="s">
        <v>16143</v>
      </c>
      <c r="AA2796" t="s">
        <v>5449</v>
      </c>
      <c r="AE2796">
        <v>-35.117500229999997</v>
      </c>
      <c r="AF2796">
        <v>173.27559833999999</v>
      </c>
      <c r="AG2796" s="175">
        <v>50</v>
      </c>
      <c r="AH2796" s="175">
        <v>50</v>
      </c>
      <c r="AI2796" s="175">
        <v>0</v>
      </c>
      <c r="AJ2796" s="175">
        <v>1</v>
      </c>
      <c r="AK2796" s="175">
        <v>7</v>
      </c>
      <c r="AL2796" s="175">
        <v>4</v>
      </c>
      <c r="AM2796" s="175">
        <v>8</v>
      </c>
      <c r="AN2796" s="175">
        <v>0</v>
      </c>
      <c r="AO2796" s="175">
        <v>20</v>
      </c>
      <c r="AP2796" s="175">
        <v>4</v>
      </c>
      <c r="AQ2796" s="175">
        <v>19</v>
      </c>
      <c r="AR2796" s="175">
        <v>1</v>
      </c>
      <c r="AS2796" s="175">
        <v>0</v>
      </c>
      <c r="AT2796" s="175">
        <v>0</v>
      </c>
    </row>
    <row r="2797" spans="1:46">
      <c r="A2797">
        <v>47407</v>
      </c>
      <c r="B2797" t="s">
        <v>16145</v>
      </c>
      <c r="C2797" t="s">
        <v>16146</v>
      </c>
      <c r="D2797" t="s">
        <v>16147</v>
      </c>
      <c r="E2797" t="s">
        <v>16148</v>
      </c>
      <c r="F2797" t="s">
        <v>998</v>
      </c>
      <c r="G2797" t="s">
        <v>737</v>
      </c>
      <c r="H2797" t="s">
        <v>449</v>
      </c>
      <c r="J2797" t="s">
        <v>605</v>
      </c>
      <c r="K2797" t="s">
        <v>606</v>
      </c>
      <c r="M2797" t="s">
        <v>607</v>
      </c>
      <c r="N2797" t="s">
        <v>643</v>
      </c>
      <c r="O2797" t="s">
        <v>997</v>
      </c>
      <c r="P2797" t="s">
        <v>739</v>
      </c>
      <c r="Q2797" t="s">
        <v>467</v>
      </c>
      <c r="R2797" t="s">
        <v>793</v>
      </c>
      <c r="S2797" t="s">
        <v>998</v>
      </c>
      <c r="T2797" t="s">
        <v>794</v>
      </c>
      <c r="U2797">
        <v>140400</v>
      </c>
      <c r="V2797" t="s">
        <v>16149</v>
      </c>
      <c r="W2797" t="s">
        <v>945</v>
      </c>
      <c r="X2797" t="s">
        <v>13813</v>
      </c>
      <c r="Y2797" t="s">
        <v>13814</v>
      </c>
      <c r="Z2797" t="s">
        <v>4757</v>
      </c>
      <c r="AA2797" t="s">
        <v>4758</v>
      </c>
      <c r="AB2797" t="s">
        <v>13810</v>
      </c>
      <c r="AC2797">
        <v>99032</v>
      </c>
      <c r="AD2797" t="s">
        <v>6156</v>
      </c>
      <c r="AE2797">
        <v>-36.908039969999997</v>
      </c>
      <c r="AF2797">
        <v>174.73894977</v>
      </c>
      <c r="AG2797" s="175">
        <v>53</v>
      </c>
      <c r="AH2797" s="175">
        <v>14</v>
      </c>
      <c r="AI2797" s="175">
        <v>0</v>
      </c>
      <c r="AJ2797" s="175">
        <v>10</v>
      </c>
      <c r="AK2797" s="175">
        <v>15</v>
      </c>
      <c r="AL2797" s="175">
        <v>22</v>
      </c>
      <c r="AM2797" s="175">
        <v>12</v>
      </c>
      <c r="AN2797" s="175">
        <v>1</v>
      </c>
      <c r="AO2797" s="175">
        <v>60</v>
      </c>
      <c r="AP2797" s="175">
        <v>8</v>
      </c>
      <c r="AQ2797" s="175">
        <v>0</v>
      </c>
      <c r="AR2797" s="175">
        <v>5</v>
      </c>
      <c r="AS2797" s="175">
        <v>39</v>
      </c>
      <c r="AT2797" s="175">
        <v>13</v>
      </c>
    </row>
    <row r="2798" spans="1:46">
      <c r="A2798">
        <v>47411</v>
      </c>
      <c r="B2798" t="s">
        <v>16150</v>
      </c>
      <c r="C2798" t="s">
        <v>16151</v>
      </c>
      <c r="D2798" t="s">
        <v>16152</v>
      </c>
      <c r="E2798" t="s">
        <v>16153</v>
      </c>
      <c r="F2798" t="s">
        <v>998</v>
      </c>
      <c r="G2798" t="s">
        <v>737</v>
      </c>
      <c r="H2798" t="s">
        <v>449</v>
      </c>
      <c r="J2798" t="s">
        <v>4032</v>
      </c>
      <c r="K2798" t="s">
        <v>606</v>
      </c>
      <c r="M2798" t="s">
        <v>607</v>
      </c>
      <c r="N2798" t="s">
        <v>657</v>
      </c>
      <c r="O2798" t="s">
        <v>997</v>
      </c>
      <c r="P2798" t="s">
        <v>739</v>
      </c>
      <c r="Q2798" t="s">
        <v>467</v>
      </c>
      <c r="R2798" t="s">
        <v>793</v>
      </c>
      <c r="S2798" t="s">
        <v>998</v>
      </c>
      <c r="T2798" t="s">
        <v>794</v>
      </c>
      <c r="U2798">
        <v>139700</v>
      </c>
      <c r="V2798" t="s">
        <v>1109</v>
      </c>
      <c r="W2798" t="s">
        <v>945</v>
      </c>
      <c r="X2798" t="s">
        <v>16154</v>
      </c>
      <c r="Y2798" t="s">
        <v>16155</v>
      </c>
      <c r="Z2798" t="s">
        <v>4757</v>
      </c>
      <c r="AA2798" t="s">
        <v>4758</v>
      </c>
      <c r="AB2798" t="s">
        <v>16151</v>
      </c>
      <c r="AE2798">
        <v>-36.896629070000003</v>
      </c>
      <c r="AF2798">
        <v>174.74411857000001</v>
      </c>
      <c r="AG2798" s="175">
        <v>36</v>
      </c>
      <c r="AH2798" s="175">
        <v>0</v>
      </c>
      <c r="AI2798" s="175">
        <v>0</v>
      </c>
      <c r="AJ2798" s="175">
        <v>0</v>
      </c>
      <c r="AK2798" s="175">
        <v>4</v>
      </c>
      <c r="AL2798" s="175">
        <v>11</v>
      </c>
      <c r="AM2798" s="175">
        <v>16</v>
      </c>
      <c r="AN2798" s="175">
        <v>0</v>
      </c>
      <c r="AO2798" s="175">
        <v>31</v>
      </c>
      <c r="AP2798" s="175">
        <v>4</v>
      </c>
      <c r="AQ2798" s="175">
        <v>2</v>
      </c>
      <c r="AR2798" s="175">
        <v>3</v>
      </c>
      <c r="AS2798" s="175">
        <v>23</v>
      </c>
      <c r="AT2798" s="175">
        <v>1</v>
      </c>
    </row>
    <row r="2799" spans="1:46">
      <c r="A2799">
        <v>47412</v>
      </c>
      <c r="B2799" t="s">
        <v>16156</v>
      </c>
      <c r="C2799" t="s">
        <v>16157</v>
      </c>
      <c r="D2799" t="s">
        <v>16158</v>
      </c>
      <c r="E2799" t="s">
        <v>16159</v>
      </c>
      <c r="F2799" t="s">
        <v>1463</v>
      </c>
      <c r="G2799" t="s">
        <v>1402</v>
      </c>
      <c r="H2799" t="s">
        <v>449</v>
      </c>
      <c r="J2799" t="s">
        <v>4032</v>
      </c>
      <c r="K2799" t="s">
        <v>606</v>
      </c>
      <c r="M2799" t="s">
        <v>1382</v>
      </c>
      <c r="N2799" t="s">
        <v>657</v>
      </c>
      <c r="O2799" t="s">
        <v>1403</v>
      </c>
      <c r="P2799" t="s">
        <v>1347</v>
      </c>
      <c r="Q2799" t="s">
        <v>510</v>
      </c>
      <c r="R2799" t="s">
        <v>1384</v>
      </c>
      <c r="S2799" t="s">
        <v>1404</v>
      </c>
      <c r="T2799" t="s">
        <v>1320</v>
      </c>
      <c r="U2799">
        <v>183701</v>
      </c>
      <c r="V2799" t="s">
        <v>16160</v>
      </c>
      <c r="W2799" t="s">
        <v>1406</v>
      </c>
      <c r="X2799" t="s">
        <v>16161</v>
      </c>
      <c r="Y2799" t="s">
        <v>16162</v>
      </c>
      <c r="Z2799" t="s">
        <v>1450</v>
      </c>
      <c r="AA2799" t="s">
        <v>9315</v>
      </c>
      <c r="AB2799" t="s">
        <v>16157</v>
      </c>
      <c r="AC2799">
        <v>99034</v>
      </c>
      <c r="AD2799" t="s">
        <v>8567</v>
      </c>
      <c r="AE2799">
        <v>-37.916984100000001</v>
      </c>
      <c r="AF2799">
        <v>175.47171114</v>
      </c>
      <c r="AG2799" s="175">
        <v>50</v>
      </c>
      <c r="AH2799" s="175">
        <v>20</v>
      </c>
      <c r="AI2799" s="175">
        <v>3</v>
      </c>
      <c r="AJ2799" s="175">
        <v>13</v>
      </c>
      <c r="AK2799" s="175">
        <v>25</v>
      </c>
      <c r="AL2799" s="175">
        <v>7</v>
      </c>
      <c r="AM2799" s="175">
        <v>0</v>
      </c>
      <c r="AN2799" s="175">
        <v>0</v>
      </c>
      <c r="AO2799" s="175">
        <v>48</v>
      </c>
      <c r="AP2799" s="175">
        <v>45</v>
      </c>
      <c r="AQ2799" s="175">
        <v>7</v>
      </c>
      <c r="AR2799" s="175">
        <v>1</v>
      </c>
      <c r="AS2799" s="175">
        <v>2</v>
      </c>
      <c r="AT2799" s="175">
        <v>2</v>
      </c>
    </row>
    <row r="2800" spans="1:46">
      <c r="A2800">
        <v>47413</v>
      </c>
      <c r="B2800" t="s">
        <v>16163</v>
      </c>
      <c r="C2800" t="s">
        <v>16164</v>
      </c>
      <c r="E2800" t="s">
        <v>16165</v>
      </c>
      <c r="F2800" t="s">
        <v>13213</v>
      </c>
      <c r="G2800" t="s">
        <v>1681</v>
      </c>
      <c r="H2800" t="s">
        <v>449</v>
      </c>
      <c r="J2800" t="s">
        <v>4032</v>
      </c>
      <c r="K2800" t="s">
        <v>606</v>
      </c>
      <c r="M2800" t="s">
        <v>1382</v>
      </c>
      <c r="N2800" t="s">
        <v>657</v>
      </c>
      <c r="O2800" t="s">
        <v>1780</v>
      </c>
      <c r="P2800" t="s">
        <v>739</v>
      </c>
      <c r="Q2800" t="s">
        <v>511</v>
      </c>
      <c r="R2800" t="s">
        <v>1555</v>
      </c>
      <c r="S2800" t="s">
        <v>1781</v>
      </c>
      <c r="T2800" t="s">
        <v>1557</v>
      </c>
      <c r="U2800">
        <v>191502</v>
      </c>
      <c r="V2800" t="s">
        <v>16166</v>
      </c>
      <c r="W2800" t="s">
        <v>1799</v>
      </c>
      <c r="X2800" t="s">
        <v>16167</v>
      </c>
      <c r="Y2800" t="s">
        <v>16165</v>
      </c>
      <c r="Z2800" t="s">
        <v>13213</v>
      </c>
      <c r="AA2800" t="s">
        <v>13954</v>
      </c>
      <c r="AB2800" t="s">
        <v>16168</v>
      </c>
      <c r="AC2800">
        <v>99085</v>
      </c>
      <c r="AD2800" t="s">
        <v>1800</v>
      </c>
      <c r="AE2800">
        <v>-37.773693710000003</v>
      </c>
      <c r="AF2800">
        <v>176.11555573999999</v>
      </c>
      <c r="AG2800" s="175">
        <v>70</v>
      </c>
      <c r="AH2800" s="175">
        <v>10</v>
      </c>
      <c r="AI2800" s="175">
        <v>0</v>
      </c>
      <c r="AJ2800" s="175">
        <v>8</v>
      </c>
      <c r="AK2800" s="175">
        <v>10</v>
      </c>
      <c r="AL2800" s="175">
        <v>17</v>
      </c>
      <c r="AM2800" s="175">
        <v>15</v>
      </c>
      <c r="AN2800" s="175">
        <v>1</v>
      </c>
      <c r="AO2800" s="175">
        <v>51</v>
      </c>
      <c r="AP2800" s="175">
        <v>40</v>
      </c>
      <c r="AQ2800" s="175">
        <v>9</v>
      </c>
      <c r="AR2800" s="175">
        <v>1</v>
      </c>
      <c r="AS2800" s="175">
        <v>10</v>
      </c>
      <c r="AT2800" s="175">
        <v>7</v>
      </c>
    </row>
    <row r="2801" spans="1:46">
      <c r="A2801">
        <v>47414</v>
      </c>
      <c r="B2801" t="s">
        <v>16169</v>
      </c>
      <c r="C2801" t="s">
        <v>16170</v>
      </c>
      <c r="D2801" t="s">
        <v>16171</v>
      </c>
      <c r="E2801" t="s">
        <v>16172</v>
      </c>
      <c r="G2801" t="s">
        <v>8325</v>
      </c>
      <c r="H2801" t="s">
        <v>449</v>
      </c>
      <c r="J2801" t="s">
        <v>4032</v>
      </c>
      <c r="K2801" t="s">
        <v>606</v>
      </c>
      <c r="M2801" t="s">
        <v>607</v>
      </c>
      <c r="N2801" t="s">
        <v>657</v>
      </c>
      <c r="O2801" t="s">
        <v>723</v>
      </c>
      <c r="P2801" t="s">
        <v>610</v>
      </c>
      <c r="Q2801" t="s">
        <v>467</v>
      </c>
      <c r="R2801" t="s">
        <v>724</v>
      </c>
      <c r="S2801" t="s">
        <v>725</v>
      </c>
      <c r="T2801" t="s">
        <v>613</v>
      </c>
      <c r="U2801">
        <v>115001</v>
      </c>
      <c r="V2801" t="s">
        <v>6729</v>
      </c>
      <c r="W2801" t="s">
        <v>726</v>
      </c>
      <c r="X2801" t="s">
        <v>16173</v>
      </c>
      <c r="Y2801" t="s">
        <v>16174</v>
      </c>
      <c r="Z2801" t="s">
        <v>4201</v>
      </c>
      <c r="AA2801" t="s">
        <v>6937</v>
      </c>
      <c r="AB2801" t="s">
        <v>16170</v>
      </c>
      <c r="AE2801">
        <v>-36.771127290000003</v>
      </c>
      <c r="AF2801">
        <v>174.53886914</v>
      </c>
      <c r="AG2801" s="175">
        <v>68</v>
      </c>
      <c r="AH2801" s="175">
        <v>20</v>
      </c>
      <c r="AI2801" s="175">
        <v>2</v>
      </c>
      <c r="AJ2801" s="175">
        <v>12</v>
      </c>
      <c r="AK2801" s="175">
        <v>13</v>
      </c>
      <c r="AL2801" s="175">
        <v>17</v>
      </c>
      <c r="AM2801" s="175">
        <v>18</v>
      </c>
      <c r="AN2801" s="175">
        <v>2</v>
      </c>
      <c r="AO2801" s="175">
        <v>64</v>
      </c>
      <c r="AP2801" s="175">
        <v>55</v>
      </c>
      <c r="AQ2801" s="175">
        <v>2</v>
      </c>
      <c r="AR2801" s="175">
        <v>3</v>
      </c>
      <c r="AS2801" s="175">
        <v>15</v>
      </c>
      <c r="AT2801" s="175">
        <v>0</v>
      </c>
    </row>
    <row r="2802" spans="1:46">
      <c r="A2802">
        <v>47415</v>
      </c>
      <c r="B2802" t="s">
        <v>16175</v>
      </c>
      <c r="C2802" t="s">
        <v>16176</v>
      </c>
      <c r="D2802" t="s">
        <v>13139</v>
      </c>
      <c r="E2802" t="s">
        <v>16177</v>
      </c>
      <c r="F2802" t="s">
        <v>1030</v>
      </c>
      <c r="G2802" t="s">
        <v>737</v>
      </c>
      <c r="H2802" t="s">
        <v>449</v>
      </c>
      <c r="I2802" t="s">
        <v>4233</v>
      </c>
      <c r="J2802" t="s">
        <v>605</v>
      </c>
      <c r="K2802" t="s">
        <v>606</v>
      </c>
      <c r="M2802" t="s">
        <v>607</v>
      </c>
      <c r="N2802" t="s">
        <v>608</v>
      </c>
      <c r="O2802" t="s">
        <v>933</v>
      </c>
      <c r="P2802" t="s">
        <v>739</v>
      </c>
      <c r="Q2802" t="s">
        <v>467</v>
      </c>
      <c r="R2802" t="s">
        <v>814</v>
      </c>
      <c r="S2802" t="s">
        <v>934</v>
      </c>
      <c r="T2802" t="s">
        <v>794</v>
      </c>
      <c r="U2802">
        <v>153200</v>
      </c>
      <c r="V2802" t="s">
        <v>12733</v>
      </c>
      <c r="W2802" t="s">
        <v>817</v>
      </c>
      <c r="X2802" t="s">
        <v>13141</v>
      </c>
      <c r="Y2802" t="s">
        <v>13142</v>
      </c>
      <c r="Z2802" t="s">
        <v>1030</v>
      </c>
      <c r="AA2802" t="s">
        <v>4679</v>
      </c>
      <c r="AB2802" t="s">
        <v>13143</v>
      </c>
      <c r="AE2802">
        <v>-36.972669500000002</v>
      </c>
      <c r="AF2802">
        <v>174.82481854</v>
      </c>
      <c r="AG2802" s="175">
        <v>50</v>
      </c>
      <c r="AH2802" s="175">
        <v>15</v>
      </c>
      <c r="AI2802" s="175">
        <v>1</v>
      </c>
      <c r="AJ2802" s="175">
        <v>11</v>
      </c>
      <c r="AK2802" s="175">
        <v>7</v>
      </c>
      <c r="AL2802" s="175">
        <v>12</v>
      </c>
      <c r="AM2802" s="175">
        <v>6</v>
      </c>
      <c r="AN2802" s="175">
        <v>1</v>
      </c>
      <c r="AO2802" s="175">
        <v>38</v>
      </c>
      <c r="AP2802" s="175">
        <v>2</v>
      </c>
      <c r="AQ2802" s="175">
        <v>1</v>
      </c>
      <c r="AR2802" s="175">
        <v>37</v>
      </c>
      <c r="AS2802" s="175">
        <v>2</v>
      </c>
      <c r="AT2802" s="175">
        <v>0</v>
      </c>
    </row>
    <row r="2803" spans="1:46">
      <c r="A2803">
        <v>47416</v>
      </c>
      <c r="B2803" t="s">
        <v>16178</v>
      </c>
      <c r="C2803" t="s">
        <v>16179</v>
      </c>
      <c r="D2803" t="s">
        <v>16180</v>
      </c>
      <c r="E2803" t="s">
        <v>16181</v>
      </c>
      <c r="F2803" t="s">
        <v>1004</v>
      </c>
      <c r="G2803" t="s">
        <v>737</v>
      </c>
      <c r="H2803" t="s">
        <v>449</v>
      </c>
      <c r="J2803" t="s">
        <v>4032</v>
      </c>
      <c r="K2803" t="s">
        <v>606</v>
      </c>
      <c r="M2803" t="s">
        <v>607</v>
      </c>
      <c r="N2803" t="s">
        <v>657</v>
      </c>
      <c r="O2803" t="s">
        <v>1253</v>
      </c>
      <c r="P2803" t="s">
        <v>739</v>
      </c>
      <c r="Q2803" t="s">
        <v>467</v>
      </c>
      <c r="R2803" t="s">
        <v>724</v>
      </c>
      <c r="S2803" t="s">
        <v>824</v>
      </c>
      <c r="T2803" t="s">
        <v>613</v>
      </c>
      <c r="U2803">
        <v>119201</v>
      </c>
      <c r="V2803" t="s">
        <v>1004</v>
      </c>
      <c r="W2803" t="s">
        <v>742</v>
      </c>
      <c r="X2803" t="s">
        <v>15411</v>
      </c>
      <c r="Y2803" t="s">
        <v>12254</v>
      </c>
      <c r="Z2803" t="s">
        <v>12255</v>
      </c>
      <c r="AA2803" t="s">
        <v>12256</v>
      </c>
      <c r="AB2803" t="s">
        <v>15412</v>
      </c>
      <c r="AE2803">
        <v>-36.806789850000001</v>
      </c>
      <c r="AF2803">
        <v>174.63564289999999</v>
      </c>
      <c r="AG2803" s="175">
        <v>125</v>
      </c>
      <c r="AH2803" s="175">
        <v>40</v>
      </c>
      <c r="AI2803" s="175">
        <v>6</v>
      </c>
      <c r="AJ2803" s="175">
        <v>19</v>
      </c>
      <c r="AK2803" s="175">
        <v>34</v>
      </c>
      <c r="AL2803" s="175">
        <v>24</v>
      </c>
      <c r="AM2803" s="175">
        <v>31</v>
      </c>
      <c r="AN2803" s="175">
        <v>0</v>
      </c>
      <c r="AO2803" s="175">
        <v>114</v>
      </c>
      <c r="AP2803" s="175">
        <v>75</v>
      </c>
      <c r="AQ2803" s="175">
        <v>8</v>
      </c>
      <c r="AR2803" s="175">
        <v>2</v>
      </c>
      <c r="AS2803" s="175">
        <v>39</v>
      </c>
      <c r="AT2803" s="175">
        <v>4</v>
      </c>
    </row>
    <row r="2804" spans="1:46">
      <c r="A2804">
        <v>47417</v>
      </c>
      <c r="B2804" t="s">
        <v>16182</v>
      </c>
      <c r="C2804" t="s">
        <v>16183</v>
      </c>
      <c r="D2804" t="s">
        <v>12783</v>
      </c>
      <c r="E2804" t="s">
        <v>16184</v>
      </c>
      <c r="F2804" t="s">
        <v>2754</v>
      </c>
      <c r="G2804" t="s">
        <v>2752</v>
      </c>
      <c r="H2804" t="s">
        <v>449</v>
      </c>
      <c r="I2804" t="s">
        <v>4023</v>
      </c>
      <c r="J2804" t="s">
        <v>4032</v>
      </c>
      <c r="K2804" t="s">
        <v>606</v>
      </c>
      <c r="M2804" t="s">
        <v>2366</v>
      </c>
      <c r="N2804" t="s">
        <v>657</v>
      </c>
      <c r="O2804" t="s">
        <v>2753</v>
      </c>
      <c r="P2804" t="s">
        <v>1347</v>
      </c>
      <c r="Q2804" t="s">
        <v>516</v>
      </c>
      <c r="R2804" t="s">
        <v>2368</v>
      </c>
      <c r="S2804" t="s">
        <v>2148</v>
      </c>
      <c r="T2804" t="s">
        <v>1568</v>
      </c>
      <c r="U2804">
        <v>237800</v>
      </c>
      <c r="V2804" t="s">
        <v>2754</v>
      </c>
      <c r="W2804" t="s">
        <v>2755</v>
      </c>
      <c r="X2804" t="s">
        <v>16185</v>
      </c>
      <c r="Y2804" t="s">
        <v>12786</v>
      </c>
      <c r="AA2804" t="s">
        <v>12361</v>
      </c>
      <c r="AB2804" t="s">
        <v>16186</v>
      </c>
      <c r="AE2804">
        <v>-40.911190490000003</v>
      </c>
      <c r="AF2804">
        <v>175.01128575999999</v>
      </c>
      <c r="AG2804" s="175">
        <v>65</v>
      </c>
      <c r="AH2804" s="175">
        <v>30</v>
      </c>
      <c r="AI2804" s="175">
        <v>5</v>
      </c>
      <c r="AJ2804" s="175">
        <v>14</v>
      </c>
      <c r="AK2804" s="175">
        <v>20</v>
      </c>
      <c r="AL2804" s="175">
        <v>16</v>
      </c>
      <c r="AM2804" s="175">
        <v>11</v>
      </c>
      <c r="AN2804" s="175">
        <v>1</v>
      </c>
      <c r="AO2804" s="175">
        <v>67</v>
      </c>
      <c r="AP2804" s="175">
        <v>56</v>
      </c>
      <c r="AQ2804" s="175">
        <v>23</v>
      </c>
      <c r="AR2804" s="175">
        <v>6</v>
      </c>
      <c r="AS2804" s="175">
        <v>4</v>
      </c>
      <c r="AT2804" s="175">
        <v>0</v>
      </c>
    </row>
    <row r="2805" spans="1:46">
      <c r="A2805">
        <v>47418</v>
      </c>
      <c r="B2805" t="s">
        <v>16187</v>
      </c>
      <c r="C2805" t="s">
        <v>16188</v>
      </c>
      <c r="D2805" t="s">
        <v>16189</v>
      </c>
      <c r="E2805" t="s">
        <v>16190</v>
      </c>
      <c r="F2805" t="s">
        <v>11838</v>
      </c>
      <c r="G2805" t="s">
        <v>2505</v>
      </c>
      <c r="H2805" t="s">
        <v>449</v>
      </c>
      <c r="J2805" t="s">
        <v>605</v>
      </c>
      <c r="K2805" t="s">
        <v>606</v>
      </c>
      <c r="M2805" t="s">
        <v>2366</v>
      </c>
      <c r="N2805" t="s">
        <v>657</v>
      </c>
      <c r="O2805" t="s">
        <v>2506</v>
      </c>
      <c r="P2805" t="s">
        <v>739</v>
      </c>
      <c r="Q2805" t="s">
        <v>516</v>
      </c>
      <c r="R2805" t="s">
        <v>2368</v>
      </c>
      <c r="S2805" t="s">
        <v>2507</v>
      </c>
      <c r="T2805" t="s">
        <v>2526</v>
      </c>
      <c r="U2805">
        <v>244200</v>
      </c>
      <c r="V2805" t="s">
        <v>2589</v>
      </c>
      <c r="W2805" t="s">
        <v>2521</v>
      </c>
      <c r="X2805" t="s">
        <v>10497</v>
      </c>
      <c r="Y2805" t="s">
        <v>4014</v>
      </c>
      <c r="Z2805" t="s">
        <v>4015</v>
      </c>
      <c r="AA2805" t="s">
        <v>4016</v>
      </c>
      <c r="AE2805">
        <v>-41.203992509999999</v>
      </c>
      <c r="AF2805">
        <v>174.91210187999999</v>
      </c>
      <c r="AG2805" s="175">
        <v>98</v>
      </c>
      <c r="AH2805" s="175">
        <v>25</v>
      </c>
      <c r="AI2805" s="175">
        <v>4</v>
      </c>
      <c r="AJ2805" s="175">
        <v>22</v>
      </c>
      <c r="AK2805" s="175">
        <v>26</v>
      </c>
      <c r="AL2805" s="175">
        <v>27</v>
      </c>
      <c r="AM2805" s="175">
        <v>22</v>
      </c>
      <c r="AN2805" s="175">
        <v>0</v>
      </c>
      <c r="AO2805" s="175">
        <v>101</v>
      </c>
      <c r="AP2805" s="175">
        <v>51</v>
      </c>
      <c r="AQ2805" s="175">
        <v>12</v>
      </c>
      <c r="AR2805" s="175">
        <v>8</v>
      </c>
      <c r="AS2805" s="175">
        <v>47</v>
      </c>
      <c r="AT2805" s="175">
        <v>9</v>
      </c>
    </row>
    <row r="2806" spans="1:46">
      <c r="A2806">
        <v>47419</v>
      </c>
      <c r="B2806" t="s">
        <v>16191</v>
      </c>
      <c r="C2806" t="s">
        <v>16192</v>
      </c>
      <c r="E2806" t="s">
        <v>16193</v>
      </c>
      <c r="F2806" t="s">
        <v>3498</v>
      </c>
      <c r="G2806" t="s">
        <v>3454</v>
      </c>
      <c r="H2806" t="s">
        <v>449</v>
      </c>
      <c r="I2806" t="s">
        <v>5838</v>
      </c>
      <c r="J2806" t="s">
        <v>605</v>
      </c>
      <c r="K2806" t="s">
        <v>606</v>
      </c>
      <c r="M2806" t="s">
        <v>2366</v>
      </c>
      <c r="N2806" t="s">
        <v>657</v>
      </c>
      <c r="O2806" t="s">
        <v>3455</v>
      </c>
      <c r="P2806" t="s">
        <v>739</v>
      </c>
      <c r="Q2806" t="s">
        <v>522</v>
      </c>
      <c r="R2806" t="s">
        <v>3410</v>
      </c>
      <c r="S2806" t="s">
        <v>3454</v>
      </c>
      <c r="T2806" t="s">
        <v>2526</v>
      </c>
      <c r="U2806">
        <v>351700</v>
      </c>
      <c r="V2806" t="s">
        <v>3499</v>
      </c>
      <c r="W2806" t="s">
        <v>1734</v>
      </c>
      <c r="X2806" t="s">
        <v>16194</v>
      </c>
      <c r="Y2806" t="s">
        <v>16193</v>
      </c>
      <c r="Z2806" t="s">
        <v>3498</v>
      </c>
      <c r="AA2806" t="s">
        <v>11623</v>
      </c>
      <c r="AE2806">
        <v>-45.848448560000001</v>
      </c>
      <c r="AF2806">
        <v>170.53186006999999</v>
      </c>
      <c r="AG2806" s="175">
        <v>10</v>
      </c>
      <c r="AH2806" s="175">
        <v>10</v>
      </c>
      <c r="AI2806" s="175">
        <v>29</v>
      </c>
      <c r="AJ2806" s="175">
        <v>0</v>
      </c>
      <c r="AK2806" s="175">
        <v>0</v>
      </c>
      <c r="AL2806" s="175">
        <v>0</v>
      </c>
      <c r="AM2806" s="175">
        <v>0</v>
      </c>
      <c r="AN2806" s="175">
        <v>0</v>
      </c>
      <c r="AO2806" s="175">
        <v>29</v>
      </c>
      <c r="AP2806" s="175">
        <v>26</v>
      </c>
      <c r="AQ2806" s="175">
        <v>2</v>
      </c>
      <c r="AR2806" s="175">
        <v>0</v>
      </c>
      <c r="AS2806" s="175">
        <v>4</v>
      </c>
      <c r="AT2806" s="175">
        <v>1</v>
      </c>
    </row>
    <row r="2807" spans="1:46">
      <c r="A2807">
        <v>47421</v>
      </c>
      <c r="B2807" t="s">
        <v>16195</v>
      </c>
      <c r="C2807" t="s">
        <v>16196</v>
      </c>
      <c r="D2807" t="s">
        <v>16197</v>
      </c>
      <c r="E2807" t="s">
        <v>16198</v>
      </c>
      <c r="G2807" t="s">
        <v>3015</v>
      </c>
      <c r="H2807" t="s">
        <v>449</v>
      </c>
      <c r="J2807" t="s">
        <v>4032</v>
      </c>
      <c r="K2807" t="s">
        <v>606</v>
      </c>
      <c r="M2807" t="s">
        <v>2366</v>
      </c>
      <c r="N2807" t="s">
        <v>657</v>
      </c>
      <c r="O2807" t="s">
        <v>3016</v>
      </c>
      <c r="P2807" t="s">
        <v>739</v>
      </c>
      <c r="Q2807" t="s">
        <v>521</v>
      </c>
      <c r="R2807" t="s">
        <v>3017</v>
      </c>
      <c r="S2807" t="s">
        <v>3092</v>
      </c>
      <c r="T2807" t="s">
        <v>2526</v>
      </c>
      <c r="U2807">
        <v>325400</v>
      </c>
      <c r="V2807" t="s">
        <v>12265</v>
      </c>
      <c r="W2807" t="s">
        <v>3269</v>
      </c>
      <c r="X2807" t="s">
        <v>10869</v>
      </c>
      <c r="Y2807" t="s">
        <v>4166</v>
      </c>
      <c r="Z2807" t="s">
        <v>4167</v>
      </c>
      <c r="AA2807" t="s">
        <v>4168</v>
      </c>
      <c r="AB2807" t="s">
        <v>10870</v>
      </c>
      <c r="AC2807">
        <v>99177</v>
      </c>
      <c r="AD2807" t="s">
        <v>3032</v>
      </c>
      <c r="AE2807">
        <v>-43.562019239999998</v>
      </c>
      <c r="AF2807">
        <v>172.57973505999999</v>
      </c>
      <c r="AG2807" s="175">
        <v>104</v>
      </c>
      <c r="AH2807" s="175">
        <v>24</v>
      </c>
      <c r="AI2807" s="175">
        <v>3</v>
      </c>
      <c r="AJ2807" s="175">
        <v>24</v>
      </c>
      <c r="AK2807" s="175">
        <v>25</v>
      </c>
      <c r="AL2807" s="175">
        <v>22</v>
      </c>
      <c r="AM2807" s="175">
        <v>30</v>
      </c>
      <c r="AN2807" s="175">
        <v>5</v>
      </c>
      <c r="AO2807" s="175">
        <v>109</v>
      </c>
      <c r="AP2807" s="175">
        <v>65</v>
      </c>
      <c r="AQ2807" s="175">
        <v>18</v>
      </c>
      <c r="AR2807" s="175">
        <v>4</v>
      </c>
      <c r="AS2807" s="175">
        <v>48</v>
      </c>
      <c r="AT2807" s="175">
        <v>5</v>
      </c>
    </row>
    <row r="2808" spans="1:46">
      <c r="A2808">
        <v>47422</v>
      </c>
      <c r="B2808" t="s">
        <v>16199</v>
      </c>
      <c r="C2808" t="s">
        <v>16200</v>
      </c>
      <c r="E2808" t="s">
        <v>16201</v>
      </c>
      <c r="G2808" t="s">
        <v>4576</v>
      </c>
      <c r="H2808" t="s">
        <v>449</v>
      </c>
      <c r="J2808" t="s">
        <v>4032</v>
      </c>
      <c r="K2808" t="s">
        <v>606</v>
      </c>
      <c r="M2808" t="s">
        <v>607</v>
      </c>
      <c r="N2808" t="s">
        <v>657</v>
      </c>
      <c r="O2808" t="s">
        <v>738</v>
      </c>
      <c r="P2808" t="s">
        <v>670</v>
      </c>
      <c r="Q2808" t="s">
        <v>467</v>
      </c>
      <c r="R2808" t="s">
        <v>724</v>
      </c>
      <c r="S2808" t="s">
        <v>753</v>
      </c>
      <c r="T2808" t="s">
        <v>613</v>
      </c>
      <c r="U2808">
        <v>113800</v>
      </c>
      <c r="V2808" t="s">
        <v>7285</v>
      </c>
      <c r="W2808" t="s">
        <v>742</v>
      </c>
      <c r="X2808" t="s">
        <v>13589</v>
      </c>
      <c r="Y2808" t="s">
        <v>16202</v>
      </c>
      <c r="AA2808" t="s">
        <v>13591</v>
      </c>
      <c r="AB2808" t="s">
        <v>13592</v>
      </c>
      <c r="AE2808">
        <v>-36.633401800000001</v>
      </c>
      <c r="AF2808">
        <v>174.66350790000001</v>
      </c>
      <c r="AG2808" s="175">
        <v>53</v>
      </c>
      <c r="AH2808" s="175">
        <v>12</v>
      </c>
      <c r="AI2808" s="175">
        <v>2</v>
      </c>
      <c r="AJ2808" s="175">
        <v>13</v>
      </c>
      <c r="AK2808" s="175">
        <v>20</v>
      </c>
      <c r="AL2808" s="175">
        <v>14</v>
      </c>
      <c r="AM2808" s="175">
        <v>11</v>
      </c>
      <c r="AN2808" s="175">
        <v>0</v>
      </c>
      <c r="AO2808" s="175">
        <v>60</v>
      </c>
      <c r="AP2808" s="175">
        <v>45</v>
      </c>
      <c r="AQ2808" s="175">
        <v>12</v>
      </c>
      <c r="AR2808" s="175">
        <v>1</v>
      </c>
      <c r="AS2808" s="175">
        <v>15</v>
      </c>
      <c r="AT2808" s="175">
        <v>3</v>
      </c>
    </row>
    <row r="2809" spans="1:46">
      <c r="A2809">
        <v>47424</v>
      </c>
      <c r="B2809" t="s">
        <v>16203</v>
      </c>
      <c r="C2809" t="s">
        <v>16204</v>
      </c>
      <c r="D2809" t="s">
        <v>16205</v>
      </c>
      <c r="E2809" t="s">
        <v>16206</v>
      </c>
      <c r="F2809" t="s">
        <v>1511</v>
      </c>
      <c r="G2809" t="s">
        <v>1381</v>
      </c>
      <c r="H2809" t="s">
        <v>449</v>
      </c>
      <c r="J2809" t="s">
        <v>4032</v>
      </c>
      <c r="K2809" t="s">
        <v>606</v>
      </c>
      <c r="M2809" t="s">
        <v>1382</v>
      </c>
      <c r="N2809" t="s">
        <v>657</v>
      </c>
      <c r="O2809" t="s">
        <v>1383</v>
      </c>
      <c r="P2809" t="s">
        <v>739</v>
      </c>
      <c r="Q2809" t="s">
        <v>510</v>
      </c>
      <c r="R2809" t="s">
        <v>1384</v>
      </c>
      <c r="S2809" t="s">
        <v>1385</v>
      </c>
      <c r="T2809" t="s">
        <v>1320</v>
      </c>
      <c r="U2809">
        <v>181101</v>
      </c>
      <c r="V2809" t="s">
        <v>8478</v>
      </c>
      <c r="W2809" t="s">
        <v>1387</v>
      </c>
      <c r="X2809" t="s">
        <v>16207</v>
      </c>
      <c r="Y2809" t="s">
        <v>16206</v>
      </c>
      <c r="Z2809" t="s">
        <v>1511</v>
      </c>
      <c r="AA2809" t="s">
        <v>14166</v>
      </c>
      <c r="AB2809" t="s">
        <v>16204</v>
      </c>
      <c r="AE2809">
        <v>-37.824154800000002</v>
      </c>
      <c r="AF2809">
        <v>175.29611449999999</v>
      </c>
      <c r="AG2809" s="175">
        <v>13</v>
      </c>
      <c r="AH2809" s="175">
        <v>10</v>
      </c>
      <c r="AI2809" s="175">
        <v>0</v>
      </c>
      <c r="AJ2809" s="175">
        <v>4</v>
      </c>
      <c r="AK2809" s="175">
        <v>3</v>
      </c>
      <c r="AL2809" s="175">
        <v>4</v>
      </c>
      <c r="AM2809" s="175">
        <v>0</v>
      </c>
      <c r="AN2809" s="175">
        <v>0</v>
      </c>
      <c r="AO2809" s="175">
        <v>11</v>
      </c>
      <c r="AP2809" s="175">
        <v>1</v>
      </c>
      <c r="AQ2809" s="175">
        <v>2</v>
      </c>
      <c r="AR2809" s="175">
        <v>0</v>
      </c>
      <c r="AS2809" s="175">
        <v>9</v>
      </c>
      <c r="AT2809" s="175">
        <v>0</v>
      </c>
    </row>
    <row r="2810" spans="1:46">
      <c r="A2810">
        <v>47425</v>
      </c>
      <c r="B2810" t="s">
        <v>16208</v>
      </c>
      <c r="C2810" t="s">
        <v>11882</v>
      </c>
      <c r="D2810" t="s">
        <v>16209</v>
      </c>
      <c r="E2810" t="s">
        <v>4059</v>
      </c>
      <c r="F2810" t="s">
        <v>16210</v>
      </c>
      <c r="G2810" t="s">
        <v>737</v>
      </c>
      <c r="H2810" t="s">
        <v>450</v>
      </c>
      <c r="J2810" t="s">
        <v>4032</v>
      </c>
      <c r="K2810" t="s">
        <v>606</v>
      </c>
      <c r="M2810" t="s">
        <v>607</v>
      </c>
      <c r="N2810" t="s">
        <v>643</v>
      </c>
      <c r="O2810" t="s">
        <v>792</v>
      </c>
      <c r="P2810" t="s">
        <v>739</v>
      </c>
      <c r="Q2810" t="s">
        <v>467</v>
      </c>
      <c r="R2810" t="s">
        <v>793</v>
      </c>
      <c r="S2810" t="s">
        <v>863</v>
      </c>
      <c r="T2810" t="s">
        <v>794</v>
      </c>
      <c r="U2810">
        <v>156101</v>
      </c>
      <c r="V2810" t="s">
        <v>4871</v>
      </c>
      <c r="W2810" t="s">
        <v>796</v>
      </c>
      <c r="X2810" t="s">
        <v>4872</v>
      </c>
      <c r="Y2810" t="s">
        <v>4059</v>
      </c>
      <c r="Z2810" t="s">
        <v>4060</v>
      </c>
      <c r="AA2810" t="s">
        <v>4061</v>
      </c>
      <c r="AE2810">
        <v>-36.947803219999997</v>
      </c>
      <c r="AF2810">
        <v>174.91457252999999</v>
      </c>
      <c r="AG2810" s="175">
        <v>50</v>
      </c>
      <c r="AH2810" s="175">
        <v>50</v>
      </c>
      <c r="AI2810" s="175">
        <v>10</v>
      </c>
      <c r="AJ2810" s="175">
        <v>13</v>
      </c>
      <c r="AK2810" s="175">
        <v>11</v>
      </c>
      <c r="AL2810" s="175">
        <v>5</v>
      </c>
      <c r="AM2810" s="175">
        <v>10</v>
      </c>
      <c r="AN2810" s="175">
        <v>1</v>
      </c>
      <c r="AO2810" s="175">
        <v>50</v>
      </c>
      <c r="AP2810" s="175">
        <v>0</v>
      </c>
      <c r="AQ2810" s="175">
        <v>0</v>
      </c>
      <c r="AR2810" s="175">
        <v>10</v>
      </c>
      <c r="AS2810" s="175">
        <v>40</v>
      </c>
      <c r="AT2810" s="175">
        <v>0</v>
      </c>
    </row>
    <row r="2811" spans="1:46">
      <c r="A2811">
        <v>47428</v>
      </c>
      <c r="B2811" t="s">
        <v>16211</v>
      </c>
      <c r="C2811" t="s">
        <v>16212</v>
      </c>
      <c r="E2811" t="s">
        <v>16213</v>
      </c>
      <c r="F2811" t="s">
        <v>2201</v>
      </c>
      <c r="G2811" t="s">
        <v>2198</v>
      </c>
      <c r="H2811" t="s">
        <v>449</v>
      </c>
      <c r="J2811" t="s">
        <v>4032</v>
      </c>
      <c r="K2811" t="s">
        <v>606</v>
      </c>
      <c r="M2811" t="s">
        <v>1382</v>
      </c>
      <c r="N2811" t="s">
        <v>657</v>
      </c>
      <c r="O2811" t="s">
        <v>2210</v>
      </c>
      <c r="P2811" t="s">
        <v>670</v>
      </c>
      <c r="Q2811" t="s">
        <v>513</v>
      </c>
      <c r="R2811" t="s">
        <v>2164</v>
      </c>
      <c r="S2811" t="s">
        <v>2198</v>
      </c>
      <c r="T2811" t="s">
        <v>2165</v>
      </c>
      <c r="U2811">
        <v>214500</v>
      </c>
      <c r="V2811" t="s">
        <v>3701</v>
      </c>
      <c r="W2811" t="s">
        <v>2211</v>
      </c>
      <c r="X2811" t="s">
        <v>16214</v>
      </c>
      <c r="Y2811" t="s">
        <v>16215</v>
      </c>
      <c r="Z2811" t="s">
        <v>913</v>
      </c>
      <c r="AA2811" t="s">
        <v>6945</v>
      </c>
      <c r="AB2811" t="s">
        <v>16216</v>
      </c>
      <c r="AE2811">
        <v>-39.496897269999998</v>
      </c>
      <c r="AF2811">
        <v>176.90678568999999</v>
      </c>
      <c r="AG2811" s="175">
        <v>75</v>
      </c>
      <c r="AH2811" s="175">
        <v>20</v>
      </c>
      <c r="AI2811" s="175">
        <v>3</v>
      </c>
      <c r="AJ2811" s="175">
        <v>17</v>
      </c>
      <c r="AK2811" s="175">
        <v>22</v>
      </c>
      <c r="AL2811" s="175">
        <v>15</v>
      </c>
      <c r="AM2811" s="175">
        <v>19</v>
      </c>
      <c r="AN2811" s="175">
        <v>0</v>
      </c>
      <c r="AO2811" s="175">
        <v>76</v>
      </c>
      <c r="AP2811" s="175">
        <v>53</v>
      </c>
      <c r="AQ2811" s="175">
        <v>26</v>
      </c>
      <c r="AR2811" s="175">
        <v>5</v>
      </c>
      <c r="AS2811" s="175">
        <v>13</v>
      </c>
      <c r="AT2811" s="175">
        <v>8</v>
      </c>
    </row>
    <row r="2812" spans="1:46">
      <c r="A2812">
        <v>47430</v>
      </c>
      <c r="B2812" t="s">
        <v>16217</v>
      </c>
      <c r="C2812" t="s">
        <v>16218</v>
      </c>
      <c r="D2812" t="s">
        <v>16219</v>
      </c>
      <c r="E2812" t="s">
        <v>16220</v>
      </c>
      <c r="G2812" t="s">
        <v>9854</v>
      </c>
      <c r="H2812" t="s">
        <v>450</v>
      </c>
      <c r="J2812" t="s">
        <v>4032</v>
      </c>
      <c r="K2812" t="s">
        <v>606</v>
      </c>
      <c r="M2812" t="s">
        <v>1382</v>
      </c>
      <c r="N2812" t="s">
        <v>657</v>
      </c>
      <c r="O2812" t="s">
        <v>1554</v>
      </c>
      <c r="P2812" t="s">
        <v>610</v>
      </c>
      <c r="Q2812" t="s">
        <v>511</v>
      </c>
      <c r="R2812" t="s">
        <v>1555</v>
      </c>
      <c r="S2812" t="s">
        <v>1556</v>
      </c>
      <c r="T2812" t="s">
        <v>1557</v>
      </c>
      <c r="U2812">
        <v>203200</v>
      </c>
      <c r="V2812" t="s">
        <v>9855</v>
      </c>
      <c r="W2812" t="s">
        <v>1559</v>
      </c>
      <c r="X2812" t="s">
        <v>16221</v>
      </c>
      <c r="Y2812" t="s">
        <v>16220</v>
      </c>
      <c r="AA2812" t="s">
        <v>16222</v>
      </c>
      <c r="AC2812">
        <v>99016</v>
      </c>
      <c r="AD2812" t="s">
        <v>1562</v>
      </c>
      <c r="AE2812">
        <v>-37.958266680000001</v>
      </c>
      <c r="AF2812">
        <v>177.02367910000001</v>
      </c>
      <c r="AG2812" s="175">
        <v>60</v>
      </c>
      <c r="AH2812" s="175">
        <v>60</v>
      </c>
      <c r="AI2812" s="175">
        <v>2</v>
      </c>
      <c r="AJ2812" s="175">
        <v>7</v>
      </c>
      <c r="AK2812" s="175">
        <v>12</v>
      </c>
      <c r="AL2812" s="175">
        <v>9</v>
      </c>
      <c r="AM2812" s="175">
        <v>10</v>
      </c>
      <c r="AN2812" s="175">
        <v>2</v>
      </c>
      <c r="AO2812" s="175">
        <v>42</v>
      </c>
      <c r="AP2812" s="175">
        <v>36</v>
      </c>
      <c r="AQ2812" s="175">
        <v>20</v>
      </c>
      <c r="AR2812" s="175">
        <v>2</v>
      </c>
      <c r="AS2812" s="175">
        <v>1</v>
      </c>
      <c r="AT2812" s="175">
        <v>0</v>
      </c>
    </row>
    <row r="2813" spans="1:46">
      <c r="A2813">
        <v>47432</v>
      </c>
      <c r="B2813" t="s">
        <v>16223</v>
      </c>
      <c r="E2813" t="s">
        <v>16224</v>
      </c>
      <c r="G2813" t="s">
        <v>1604</v>
      </c>
      <c r="H2813" t="s">
        <v>449</v>
      </c>
      <c r="J2813" t="s">
        <v>605</v>
      </c>
      <c r="K2813" t="s">
        <v>606</v>
      </c>
      <c r="M2813" t="s">
        <v>1382</v>
      </c>
      <c r="N2813" t="s">
        <v>608</v>
      </c>
      <c r="O2813" t="s">
        <v>1605</v>
      </c>
      <c r="P2813" t="s">
        <v>670</v>
      </c>
      <c r="Q2813" t="s">
        <v>511</v>
      </c>
      <c r="R2813" t="s">
        <v>1555</v>
      </c>
      <c r="S2813" t="s">
        <v>1604</v>
      </c>
      <c r="T2813" t="s">
        <v>1557</v>
      </c>
      <c r="U2813">
        <v>200100</v>
      </c>
      <c r="V2813" t="s">
        <v>8555</v>
      </c>
      <c r="W2813" t="s">
        <v>1606</v>
      </c>
      <c r="X2813" t="s">
        <v>16225</v>
      </c>
      <c r="Y2813" t="s">
        <v>11432</v>
      </c>
      <c r="Z2813" t="s">
        <v>16226</v>
      </c>
      <c r="AA2813" t="s">
        <v>16227</v>
      </c>
      <c r="AC2813">
        <v>99019</v>
      </c>
      <c r="AD2813" t="s">
        <v>1648</v>
      </c>
      <c r="AE2813">
        <v>-38.1335598</v>
      </c>
      <c r="AF2813">
        <v>176.24717684000001</v>
      </c>
      <c r="AG2813" s="175">
        <v>36</v>
      </c>
      <c r="AH2813" s="175">
        <v>5</v>
      </c>
      <c r="AI2813" s="175">
        <v>0</v>
      </c>
      <c r="AJ2813" s="175">
        <v>0</v>
      </c>
      <c r="AK2813" s="175">
        <v>2</v>
      </c>
      <c r="AL2813" s="175">
        <v>17</v>
      </c>
      <c r="AM2813" s="175">
        <v>11</v>
      </c>
      <c r="AN2813" s="175">
        <v>1</v>
      </c>
      <c r="AO2813" s="175">
        <v>31</v>
      </c>
      <c r="AP2813" s="175">
        <v>7</v>
      </c>
      <c r="AQ2813" s="175">
        <v>30</v>
      </c>
      <c r="AR2813" s="175">
        <v>3</v>
      </c>
      <c r="AS2813" s="175">
        <v>1</v>
      </c>
      <c r="AT2813" s="175">
        <v>0</v>
      </c>
    </row>
    <row r="2814" spans="1:46">
      <c r="A2814">
        <v>47434</v>
      </c>
      <c r="B2814" t="s">
        <v>16228</v>
      </c>
      <c r="C2814" t="s">
        <v>16229</v>
      </c>
      <c r="D2814" t="s">
        <v>16230</v>
      </c>
      <c r="E2814" t="s">
        <v>16231</v>
      </c>
      <c r="G2814" t="s">
        <v>12668</v>
      </c>
      <c r="H2814" t="s">
        <v>449</v>
      </c>
      <c r="J2814" t="s">
        <v>4032</v>
      </c>
      <c r="K2814" t="s">
        <v>606</v>
      </c>
      <c r="M2814" t="s">
        <v>2366</v>
      </c>
      <c r="N2814" t="s">
        <v>657</v>
      </c>
      <c r="O2814" t="s">
        <v>3281</v>
      </c>
      <c r="P2814" t="s">
        <v>610</v>
      </c>
      <c r="Q2814" t="s">
        <v>521</v>
      </c>
      <c r="R2814" t="s">
        <v>3017</v>
      </c>
      <c r="S2814" t="s">
        <v>3252</v>
      </c>
      <c r="T2814" t="s">
        <v>2526</v>
      </c>
      <c r="U2814">
        <v>334601</v>
      </c>
      <c r="V2814" t="s">
        <v>12668</v>
      </c>
      <c r="W2814" t="s">
        <v>12669</v>
      </c>
      <c r="X2814" t="s">
        <v>11134</v>
      </c>
      <c r="Y2814" t="s">
        <v>11135</v>
      </c>
      <c r="AA2814" t="s">
        <v>11136</v>
      </c>
      <c r="AC2814">
        <v>99206</v>
      </c>
      <c r="AD2814" t="s">
        <v>3284</v>
      </c>
      <c r="AE2814">
        <v>-43.526425949999997</v>
      </c>
      <c r="AF2814">
        <v>172.374168</v>
      </c>
      <c r="AG2814" s="175">
        <v>75</v>
      </c>
      <c r="AH2814" s="175">
        <v>25</v>
      </c>
      <c r="AI2814" s="175">
        <v>2</v>
      </c>
      <c r="AJ2814" s="175">
        <v>15</v>
      </c>
      <c r="AK2814" s="175">
        <v>22</v>
      </c>
      <c r="AL2814" s="175">
        <v>18</v>
      </c>
      <c r="AM2814" s="175">
        <v>29</v>
      </c>
      <c r="AN2814" s="175">
        <v>3</v>
      </c>
      <c r="AO2814" s="175">
        <v>89</v>
      </c>
      <c r="AP2814" s="175">
        <v>86</v>
      </c>
      <c r="AQ2814" s="175">
        <v>4</v>
      </c>
      <c r="AR2814" s="175">
        <v>1</v>
      </c>
      <c r="AS2814" s="175">
        <v>1</v>
      </c>
      <c r="AT2814" s="175">
        <v>4</v>
      </c>
    </row>
    <row r="2815" spans="1:46">
      <c r="A2815">
        <v>47435</v>
      </c>
      <c r="B2815" t="s">
        <v>16232</v>
      </c>
      <c r="C2815" t="s">
        <v>16233</v>
      </c>
      <c r="D2815" t="s">
        <v>16234</v>
      </c>
      <c r="E2815" t="s">
        <v>16235</v>
      </c>
      <c r="F2815" t="s">
        <v>1004</v>
      </c>
      <c r="G2815" t="s">
        <v>737</v>
      </c>
      <c r="H2815" t="s">
        <v>449</v>
      </c>
      <c r="J2815" t="s">
        <v>4032</v>
      </c>
      <c r="K2815" t="s">
        <v>606</v>
      </c>
      <c r="M2815" t="s">
        <v>607</v>
      </c>
      <c r="N2815" t="s">
        <v>657</v>
      </c>
      <c r="O2815" t="s">
        <v>1253</v>
      </c>
      <c r="P2815" t="s">
        <v>739</v>
      </c>
      <c r="Q2815" t="s">
        <v>467</v>
      </c>
      <c r="R2815" t="s">
        <v>724</v>
      </c>
      <c r="S2815" t="s">
        <v>824</v>
      </c>
      <c r="T2815" t="s">
        <v>613</v>
      </c>
      <c r="U2815">
        <v>119201</v>
      </c>
      <c r="V2815" t="s">
        <v>1004</v>
      </c>
      <c r="W2815" t="s">
        <v>742</v>
      </c>
      <c r="X2815" t="s">
        <v>16236</v>
      </c>
      <c r="Y2815" t="s">
        <v>4051</v>
      </c>
      <c r="AA2815" t="s">
        <v>4052</v>
      </c>
      <c r="AB2815" t="s">
        <v>16233</v>
      </c>
      <c r="AE2815">
        <v>-36.806024649999998</v>
      </c>
      <c r="AF2815">
        <v>174.63523090000001</v>
      </c>
      <c r="AG2815" s="175">
        <v>120</v>
      </c>
      <c r="AH2815" s="175">
        <v>39</v>
      </c>
      <c r="AI2815" s="175">
        <v>5</v>
      </c>
      <c r="AJ2815" s="175">
        <v>27</v>
      </c>
      <c r="AK2815" s="175">
        <v>30</v>
      </c>
      <c r="AL2815" s="175">
        <v>27</v>
      </c>
      <c r="AM2815" s="175">
        <v>23</v>
      </c>
      <c r="AN2815" s="175">
        <v>0</v>
      </c>
      <c r="AO2815" s="175">
        <v>112</v>
      </c>
      <c r="AP2815" s="175">
        <v>48</v>
      </c>
      <c r="AQ2815" s="175">
        <v>8</v>
      </c>
      <c r="AR2815" s="175">
        <v>11</v>
      </c>
      <c r="AS2815" s="175">
        <v>56</v>
      </c>
      <c r="AT2815" s="175">
        <v>14</v>
      </c>
    </row>
    <row r="2816" spans="1:46">
      <c r="A2816">
        <v>47437</v>
      </c>
      <c r="B2816" t="s">
        <v>16237</v>
      </c>
      <c r="D2816" t="s">
        <v>16238</v>
      </c>
      <c r="E2816" t="s">
        <v>16239</v>
      </c>
      <c r="F2816" t="s">
        <v>1319</v>
      </c>
      <c r="G2816" t="s">
        <v>737</v>
      </c>
      <c r="H2816" t="s">
        <v>449</v>
      </c>
      <c r="J2816" t="s">
        <v>4032</v>
      </c>
      <c r="K2816" t="s">
        <v>606</v>
      </c>
      <c r="M2816" t="s">
        <v>607</v>
      </c>
      <c r="N2816" t="s">
        <v>643</v>
      </c>
      <c r="O2816" t="s">
        <v>1353</v>
      </c>
      <c r="P2816" t="s">
        <v>739</v>
      </c>
      <c r="Q2816" t="s">
        <v>467</v>
      </c>
      <c r="R2816" t="s">
        <v>814</v>
      </c>
      <c r="S2816" t="s">
        <v>1319</v>
      </c>
      <c r="T2816" t="s">
        <v>1320</v>
      </c>
      <c r="U2816">
        <v>164001</v>
      </c>
      <c r="V2816" t="s">
        <v>12412</v>
      </c>
      <c r="W2816" t="s">
        <v>1304</v>
      </c>
      <c r="X2816" t="s">
        <v>4700</v>
      </c>
      <c r="Y2816" t="s">
        <v>12058</v>
      </c>
      <c r="Z2816" t="s">
        <v>855</v>
      </c>
      <c r="AA2816" t="s">
        <v>12059</v>
      </c>
      <c r="AB2816" t="s">
        <v>4703</v>
      </c>
      <c r="AE2816">
        <v>-37.073158069999998</v>
      </c>
      <c r="AF2816">
        <v>174.94303138999999</v>
      </c>
      <c r="AG2816" s="175">
        <v>85</v>
      </c>
      <c r="AH2816" s="175">
        <v>20</v>
      </c>
      <c r="AI2816" s="175">
        <v>4</v>
      </c>
      <c r="AJ2816" s="175">
        <v>10</v>
      </c>
      <c r="AK2816" s="175">
        <v>22</v>
      </c>
      <c r="AL2816" s="175">
        <v>24</v>
      </c>
      <c r="AM2816" s="175">
        <v>25</v>
      </c>
      <c r="AN2816" s="175">
        <v>4</v>
      </c>
      <c r="AO2816" s="175">
        <v>89</v>
      </c>
      <c r="AP2816" s="175">
        <v>19</v>
      </c>
      <c r="AQ2816" s="175">
        <v>19</v>
      </c>
      <c r="AR2816" s="175">
        <v>18</v>
      </c>
      <c r="AS2816" s="175">
        <v>50</v>
      </c>
      <c r="AT2816" s="175">
        <v>8</v>
      </c>
    </row>
    <row r="2817" spans="1:46">
      <c r="A2817">
        <v>47440</v>
      </c>
      <c r="B2817" t="s">
        <v>16240</v>
      </c>
      <c r="D2817" t="s">
        <v>16241</v>
      </c>
      <c r="E2817" t="s">
        <v>16242</v>
      </c>
      <c r="F2817" t="s">
        <v>1319</v>
      </c>
      <c r="G2817" t="s">
        <v>737</v>
      </c>
      <c r="H2817" t="s">
        <v>449</v>
      </c>
      <c r="J2817" t="s">
        <v>4032</v>
      </c>
      <c r="K2817" t="s">
        <v>606</v>
      </c>
      <c r="M2817" t="s">
        <v>607</v>
      </c>
      <c r="N2817" t="s">
        <v>608</v>
      </c>
      <c r="O2817" t="s">
        <v>1353</v>
      </c>
      <c r="P2817" t="s">
        <v>739</v>
      </c>
      <c r="Q2817" t="s">
        <v>467</v>
      </c>
      <c r="R2817" t="s">
        <v>814</v>
      </c>
      <c r="S2817" t="s">
        <v>1319</v>
      </c>
      <c r="T2817" t="s">
        <v>1320</v>
      </c>
      <c r="U2817">
        <v>163502</v>
      </c>
      <c r="V2817" t="s">
        <v>7563</v>
      </c>
      <c r="W2817" t="s">
        <v>1304</v>
      </c>
      <c r="X2817" t="s">
        <v>16243</v>
      </c>
      <c r="Y2817" t="s">
        <v>16244</v>
      </c>
      <c r="Z2817" t="s">
        <v>5170</v>
      </c>
      <c r="AA2817" t="s">
        <v>5066</v>
      </c>
      <c r="AC2817">
        <v>99152</v>
      </c>
      <c r="AD2817" t="s">
        <v>1355</v>
      </c>
      <c r="AE2817">
        <v>-37.060616449999998</v>
      </c>
      <c r="AF2817">
        <v>174.96670112000001</v>
      </c>
      <c r="AG2817" s="175">
        <v>70</v>
      </c>
      <c r="AH2817" s="175">
        <v>10</v>
      </c>
      <c r="AI2817" s="175">
        <v>0</v>
      </c>
      <c r="AJ2817" s="175">
        <v>9</v>
      </c>
      <c r="AK2817" s="175">
        <v>13</v>
      </c>
      <c r="AL2817" s="175">
        <v>28</v>
      </c>
      <c r="AM2817" s="175">
        <v>16</v>
      </c>
      <c r="AN2817" s="175">
        <v>1</v>
      </c>
      <c r="AO2817" s="175">
        <v>67</v>
      </c>
      <c r="AP2817" s="175">
        <v>5</v>
      </c>
      <c r="AQ2817" s="175">
        <v>9</v>
      </c>
      <c r="AR2817" s="175">
        <v>10</v>
      </c>
      <c r="AS2817" s="175">
        <v>52</v>
      </c>
      <c r="AT2817" s="175">
        <v>0</v>
      </c>
    </row>
    <row r="2818" spans="1:46">
      <c r="A2818">
        <v>47441</v>
      </c>
      <c r="B2818" t="s">
        <v>16245</v>
      </c>
      <c r="C2818" t="s">
        <v>8825</v>
      </c>
      <c r="D2818" t="s">
        <v>8826</v>
      </c>
      <c r="E2818" t="s">
        <v>8827</v>
      </c>
      <c r="F2818" t="s">
        <v>1397</v>
      </c>
      <c r="G2818" t="s">
        <v>1381</v>
      </c>
      <c r="H2818" t="s">
        <v>450</v>
      </c>
      <c r="J2818" t="s">
        <v>4032</v>
      </c>
      <c r="K2818" t="s">
        <v>606</v>
      </c>
      <c r="M2818" t="s">
        <v>1382</v>
      </c>
      <c r="N2818" t="s">
        <v>643</v>
      </c>
      <c r="O2818" t="s">
        <v>1383</v>
      </c>
      <c r="P2818" t="s">
        <v>739</v>
      </c>
      <c r="Q2818" t="s">
        <v>510</v>
      </c>
      <c r="R2818" t="s">
        <v>1841</v>
      </c>
      <c r="S2818" t="s">
        <v>1396</v>
      </c>
      <c r="T2818" t="s">
        <v>1320</v>
      </c>
      <c r="U2818">
        <v>177300</v>
      </c>
      <c r="V2818" t="s">
        <v>1397</v>
      </c>
      <c r="W2818" t="s">
        <v>1398</v>
      </c>
      <c r="X2818" t="s">
        <v>8828</v>
      </c>
      <c r="Y2818" t="s">
        <v>8827</v>
      </c>
      <c r="Z2818" t="s">
        <v>1397</v>
      </c>
      <c r="AA2818" t="s">
        <v>8575</v>
      </c>
      <c r="AB2818" t="s">
        <v>8825</v>
      </c>
      <c r="AE2818">
        <v>-37.749582940000003</v>
      </c>
      <c r="AF2818">
        <v>175.27368405999999</v>
      </c>
      <c r="AG2818" s="175">
        <v>80</v>
      </c>
      <c r="AH2818" s="175">
        <v>80</v>
      </c>
      <c r="AI2818" s="175">
        <v>1</v>
      </c>
      <c r="AJ2818" s="175">
        <v>10</v>
      </c>
      <c r="AK2818" s="175">
        <v>15</v>
      </c>
      <c r="AL2818" s="175">
        <v>8</v>
      </c>
      <c r="AM2818" s="175">
        <v>6</v>
      </c>
      <c r="AN2818" s="175">
        <v>1</v>
      </c>
      <c r="AO2818" s="175">
        <v>41</v>
      </c>
      <c r="AP2818" s="175">
        <v>28</v>
      </c>
      <c r="AQ2818" s="175">
        <v>23</v>
      </c>
      <c r="AR2818" s="175">
        <v>4</v>
      </c>
      <c r="AS2818" s="175">
        <v>3</v>
      </c>
      <c r="AT2818" s="175">
        <v>0</v>
      </c>
    </row>
    <row r="2819" spans="1:46">
      <c r="A2819">
        <v>47443</v>
      </c>
      <c r="B2819" t="s">
        <v>16246</v>
      </c>
      <c r="C2819" t="s">
        <v>16247</v>
      </c>
      <c r="D2819" t="s">
        <v>5790</v>
      </c>
      <c r="E2819" t="s">
        <v>16248</v>
      </c>
      <c r="F2819" t="s">
        <v>4101</v>
      </c>
      <c r="G2819" t="s">
        <v>737</v>
      </c>
      <c r="H2819" t="s">
        <v>449</v>
      </c>
      <c r="J2819" t="s">
        <v>605</v>
      </c>
      <c r="K2819" t="s">
        <v>606</v>
      </c>
      <c r="M2819" t="s">
        <v>607</v>
      </c>
      <c r="N2819" t="s">
        <v>657</v>
      </c>
      <c r="O2819" t="s">
        <v>1042</v>
      </c>
      <c r="P2819" t="s">
        <v>739</v>
      </c>
      <c r="Q2819" t="s">
        <v>467</v>
      </c>
      <c r="R2819" t="s">
        <v>793</v>
      </c>
      <c r="S2819" t="s">
        <v>1043</v>
      </c>
      <c r="T2819" t="s">
        <v>794</v>
      </c>
      <c r="U2819">
        <v>136100</v>
      </c>
      <c r="V2819" t="s">
        <v>4101</v>
      </c>
      <c r="W2819" t="s">
        <v>909</v>
      </c>
      <c r="X2819" t="s">
        <v>5793</v>
      </c>
      <c r="Y2819" t="s">
        <v>5794</v>
      </c>
      <c r="AA2819" t="s">
        <v>4726</v>
      </c>
      <c r="AE2819">
        <v>-36.862356720000001</v>
      </c>
      <c r="AF2819">
        <v>174.76856448999999</v>
      </c>
      <c r="AG2819" s="175">
        <v>90</v>
      </c>
      <c r="AH2819" s="175">
        <v>30</v>
      </c>
      <c r="AI2819" s="175">
        <v>6</v>
      </c>
      <c r="AJ2819" s="175">
        <v>23</v>
      </c>
      <c r="AK2819" s="175">
        <v>27</v>
      </c>
      <c r="AL2819" s="175">
        <v>24</v>
      </c>
      <c r="AM2819" s="175">
        <v>19</v>
      </c>
      <c r="AN2819" s="175">
        <v>0</v>
      </c>
      <c r="AO2819" s="175">
        <v>99</v>
      </c>
      <c r="AP2819" s="175">
        <v>46</v>
      </c>
      <c r="AQ2819" s="175">
        <v>6</v>
      </c>
      <c r="AR2819" s="175">
        <v>4</v>
      </c>
      <c r="AS2819" s="175">
        <v>49</v>
      </c>
      <c r="AT2819" s="175">
        <v>13</v>
      </c>
    </row>
    <row r="2820" spans="1:46">
      <c r="A2820">
        <v>47444</v>
      </c>
      <c r="B2820" t="s">
        <v>16249</v>
      </c>
      <c r="C2820" t="s">
        <v>16250</v>
      </c>
      <c r="D2820" t="s">
        <v>16251</v>
      </c>
      <c r="E2820" t="s">
        <v>16252</v>
      </c>
      <c r="F2820" t="s">
        <v>5170</v>
      </c>
      <c r="G2820" t="s">
        <v>737</v>
      </c>
      <c r="H2820" t="s">
        <v>449</v>
      </c>
      <c r="J2820" t="s">
        <v>4032</v>
      </c>
      <c r="K2820" t="s">
        <v>606</v>
      </c>
      <c r="M2820" t="s">
        <v>607</v>
      </c>
      <c r="N2820" t="s">
        <v>657</v>
      </c>
      <c r="O2820" t="s">
        <v>792</v>
      </c>
      <c r="P2820" t="s">
        <v>739</v>
      </c>
      <c r="Q2820" t="s">
        <v>467</v>
      </c>
      <c r="R2820" t="s">
        <v>814</v>
      </c>
      <c r="S2820" t="s">
        <v>863</v>
      </c>
      <c r="T2820" t="s">
        <v>794</v>
      </c>
      <c r="U2820">
        <v>158002</v>
      </c>
      <c r="V2820" t="s">
        <v>16253</v>
      </c>
      <c r="W2820" t="s">
        <v>796</v>
      </c>
      <c r="X2820" t="s">
        <v>16254</v>
      </c>
      <c r="Y2820" t="s">
        <v>16252</v>
      </c>
      <c r="Z2820" t="s">
        <v>5170</v>
      </c>
      <c r="AA2820" t="s">
        <v>5066</v>
      </c>
      <c r="AE2820">
        <v>-36.982735419999997</v>
      </c>
      <c r="AF2820">
        <v>174.9085006</v>
      </c>
      <c r="AG2820" s="175">
        <v>73</v>
      </c>
      <c r="AH2820" s="175">
        <v>22</v>
      </c>
      <c r="AI2820" s="175">
        <v>3</v>
      </c>
      <c r="AJ2820" s="175">
        <v>13</v>
      </c>
      <c r="AK2820" s="175">
        <v>23</v>
      </c>
      <c r="AL2820" s="175">
        <v>18</v>
      </c>
      <c r="AM2820" s="175">
        <v>26</v>
      </c>
      <c r="AN2820" s="175">
        <v>2</v>
      </c>
      <c r="AO2820" s="175">
        <v>85</v>
      </c>
      <c r="AP2820" s="175">
        <v>17</v>
      </c>
      <c r="AQ2820" s="175">
        <v>5</v>
      </c>
      <c r="AR2820" s="175">
        <v>18</v>
      </c>
      <c r="AS2820" s="175">
        <v>69</v>
      </c>
      <c r="AT2820" s="175">
        <v>2</v>
      </c>
    </row>
    <row r="2821" spans="1:46">
      <c r="A2821">
        <v>47445</v>
      </c>
      <c r="B2821" t="s">
        <v>16255</v>
      </c>
      <c r="C2821" t="s">
        <v>15482</v>
      </c>
      <c r="D2821" t="s">
        <v>15483</v>
      </c>
      <c r="E2821" t="s">
        <v>15484</v>
      </c>
      <c r="F2821" t="s">
        <v>4060</v>
      </c>
      <c r="G2821" t="s">
        <v>737</v>
      </c>
      <c r="H2821" t="s">
        <v>450</v>
      </c>
      <c r="J2821" t="s">
        <v>4032</v>
      </c>
      <c r="K2821" t="s">
        <v>606</v>
      </c>
      <c r="M2821" t="s">
        <v>607</v>
      </c>
      <c r="N2821" t="s">
        <v>608</v>
      </c>
      <c r="O2821" t="s">
        <v>792</v>
      </c>
      <c r="P2821" t="s">
        <v>739</v>
      </c>
      <c r="Q2821" t="s">
        <v>467</v>
      </c>
      <c r="R2821" t="s">
        <v>814</v>
      </c>
      <c r="S2821" t="s">
        <v>863</v>
      </c>
      <c r="T2821" t="s">
        <v>794</v>
      </c>
      <c r="U2821">
        <v>152300</v>
      </c>
      <c r="V2821" t="s">
        <v>4060</v>
      </c>
      <c r="W2821" t="s">
        <v>796</v>
      </c>
      <c r="X2821" t="s">
        <v>15485</v>
      </c>
      <c r="Y2821" t="s">
        <v>15486</v>
      </c>
      <c r="Z2821" t="s">
        <v>863</v>
      </c>
      <c r="AA2821" t="s">
        <v>11881</v>
      </c>
      <c r="AE2821">
        <v>-36.937122799999997</v>
      </c>
      <c r="AF2821">
        <v>174.90269910000001</v>
      </c>
      <c r="AG2821" s="175">
        <v>80</v>
      </c>
      <c r="AH2821" s="175">
        <v>80</v>
      </c>
      <c r="AI2821" s="175">
        <v>10</v>
      </c>
      <c r="AJ2821" s="175">
        <v>14</v>
      </c>
      <c r="AK2821" s="175">
        <v>19</v>
      </c>
      <c r="AL2821" s="175">
        <v>18</v>
      </c>
      <c r="AM2821" s="175">
        <v>5</v>
      </c>
      <c r="AN2821" s="175">
        <v>5</v>
      </c>
      <c r="AO2821" s="175">
        <v>71</v>
      </c>
      <c r="AP2821" s="175">
        <v>0</v>
      </c>
      <c r="AQ2821" s="175">
        <v>0</v>
      </c>
      <c r="AR2821" s="175">
        <v>71</v>
      </c>
      <c r="AS2821" s="175">
        <v>1</v>
      </c>
      <c r="AT2821" s="175">
        <v>0</v>
      </c>
    </row>
    <row r="2822" spans="1:46">
      <c r="A2822">
        <v>47447</v>
      </c>
      <c r="B2822" t="s">
        <v>16256</v>
      </c>
      <c r="C2822" t="s">
        <v>16257</v>
      </c>
      <c r="D2822" t="s">
        <v>16258</v>
      </c>
      <c r="E2822" t="s">
        <v>16259</v>
      </c>
      <c r="F2822" t="s">
        <v>4987</v>
      </c>
      <c r="G2822" t="s">
        <v>737</v>
      </c>
      <c r="H2822" t="s">
        <v>449</v>
      </c>
      <c r="J2822" t="s">
        <v>4032</v>
      </c>
      <c r="K2822" t="s">
        <v>606</v>
      </c>
      <c r="M2822" t="s">
        <v>607</v>
      </c>
      <c r="N2822" t="s">
        <v>657</v>
      </c>
      <c r="O2822" t="s">
        <v>1042</v>
      </c>
      <c r="P2822" t="s">
        <v>739</v>
      </c>
      <c r="Q2822" t="s">
        <v>467</v>
      </c>
      <c r="R2822" t="s">
        <v>793</v>
      </c>
      <c r="S2822" t="s">
        <v>1043</v>
      </c>
      <c r="T2822" t="s">
        <v>794</v>
      </c>
      <c r="U2822">
        <v>132400</v>
      </c>
      <c r="V2822" t="s">
        <v>16260</v>
      </c>
      <c r="W2822" t="s">
        <v>1044</v>
      </c>
      <c r="X2822" t="s">
        <v>16261</v>
      </c>
      <c r="Y2822" t="s">
        <v>16262</v>
      </c>
      <c r="Z2822" t="s">
        <v>8075</v>
      </c>
      <c r="AA2822" t="s">
        <v>4314</v>
      </c>
      <c r="AE2822">
        <v>-36.852390159999999</v>
      </c>
      <c r="AF2822">
        <v>174.75771080000001</v>
      </c>
      <c r="AG2822" s="175">
        <v>64</v>
      </c>
      <c r="AH2822" s="175">
        <v>12</v>
      </c>
      <c r="AI2822" s="175">
        <v>1</v>
      </c>
      <c r="AJ2822" s="175">
        <v>3</v>
      </c>
      <c r="AK2822" s="175">
        <v>10</v>
      </c>
      <c r="AL2822" s="175">
        <v>12</v>
      </c>
      <c r="AM2822" s="175">
        <v>18</v>
      </c>
      <c r="AN2822" s="175">
        <v>1</v>
      </c>
      <c r="AO2822" s="175">
        <v>45</v>
      </c>
      <c r="AP2822" s="175">
        <v>6</v>
      </c>
      <c r="AQ2822" s="175">
        <v>0</v>
      </c>
      <c r="AR2822" s="175">
        <v>0</v>
      </c>
      <c r="AS2822" s="175">
        <v>37</v>
      </c>
      <c r="AT2822" s="175">
        <v>5</v>
      </c>
    </row>
    <row r="2823" spans="1:46">
      <c r="A2823">
        <v>47448</v>
      </c>
      <c r="B2823" t="s">
        <v>16263</v>
      </c>
      <c r="C2823" t="s">
        <v>7328</v>
      </c>
      <c r="D2823" t="s">
        <v>16264</v>
      </c>
      <c r="E2823" t="s">
        <v>16265</v>
      </c>
      <c r="F2823" t="s">
        <v>1319</v>
      </c>
      <c r="G2823" t="s">
        <v>737</v>
      </c>
      <c r="H2823" t="s">
        <v>449</v>
      </c>
      <c r="J2823" t="s">
        <v>4032</v>
      </c>
      <c r="K2823" t="s">
        <v>606</v>
      </c>
      <c r="M2823" t="s">
        <v>607</v>
      </c>
      <c r="N2823" t="s">
        <v>657</v>
      </c>
      <c r="O2823" t="s">
        <v>1353</v>
      </c>
      <c r="P2823" t="s">
        <v>739</v>
      </c>
      <c r="Q2823" t="s">
        <v>467</v>
      </c>
      <c r="R2823" t="s">
        <v>814</v>
      </c>
      <c r="S2823" t="s">
        <v>1319</v>
      </c>
      <c r="T2823" t="s">
        <v>1320</v>
      </c>
      <c r="U2823">
        <v>163302</v>
      </c>
      <c r="V2823" t="s">
        <v>16266</v>
      </c>
      <c r="W2823" t="s">
        <v>1304</v>
      </c>
      <c r="X2823" t="s">
        <v>16267</v>
      </c>
      <c r="Y2823" t="s">
        <v>4725</v>
      </c>
      <c r="Z2823" t="s">
        <v>1043</v>
      </c>
      <c r="AA2823" t="s">
        <v>4726</v>
      </c>
      <c r="AE2823">
        <v>-37.053169080000004</v>
      </c>
      <c r="AF2823">
        <v>174.9667129</v>
      </c>
      <c r="AG2823" s="175">
        <v>85</v>
      </c>
      <c r="AH2823" s="175">
        <v>20</v>
      </c>
      <c r="AI2823" s="175">
        <v>4</v>
      </c>
      <c r="AJ2823" s="175">
        <v>14</v>
      </c>
      <c r="AK2823" s="175">
        <v>18</v>
      </c>
      <c r="AL2823" s="175">
        <v>19</v>
      </c>
      <c r="AM2823" s="175">
        <v>37</v>
      </c>
      <c r="AN2823" s="175">
        <v>2</v>
      </c>
      <c r="AO2823" s="175">
        <v>94</v>
      </c>
      <c r="AP2823" s="175">
        <v>30</v>
      </c>
      <c r="AQ2823" s="175">
        <v>17</v>
      </c>
      <c r="AR2823" s="175">
        <v>13</v>
      </c>
      <c r="AS2823" s="175">
        <v>55</v>
      </c>
      <c r="AT2823" s="175">
        <v>5</v>
      </c>
    </row>
    <row r="2824" spans="1:46">
      <c r="A2824">
        <v>47449</v>
      </c>
      <c r="B2824" t="s">
        <v>16268</v>
      </c>
      <c r="C2824" t="s">
        <v>7008</v>
      </c>
      <c r="D2824" t="s">
        <v>16269</v>
      </c>
      <c r="E2824" t="s">
        <v>7005</v>
      </c>
      <c r="F2824" t="s">
        <v>3777</v>
      </c>
      <c r="G2824" t="s">
        <v>737</v>
      </c>
      <c r="H2824" t="s">
        <v>449</v>
      </c>
      <c r="J2824" t="s">
        <v>4032</v>
      </c>
      <c r="K2824" t="s">
        <v>606</v>
      </c>
      <c r="M2824" t="s">
        <v>607</v>
      </c>
      <c r="N2824" t="s">
        <v>657</v>
      </c>
      <c r="O2824" t="s">
        <v>1253</v>
      </c>
      <c r="P2824" t="s">
        <v>739</v>
      </c>
      <c r="Q2824" t="s">
        <v>467</v>
      </c>
      <c r="R2824" t="s">
        <v>724</v>
      </c>
      <c r="S2824" t="s">
        <v>740</v>
      </c>
      <c r="T2824" t="s">
        <v>613</v>
      </c>
      <c r="U2824">
        <v>117400</v>
      </c>
      <c r="V2824" t="s">
        <v>3778</v>
      </c>
      <c r="W2824" t="s">
        <v>742</v>
      </c>
      <c r="X2824" t="s">
        <v>16270</v>
      </c>
      <c r="Y2824" t="s">
        <v>7007</v>
      </c>
      <c r="Z2824" t="s">
        <v>3777</v>
      </c>
      <c r="AA2824" t="s">
        <v>6335</v>
      </c>
      <c r="AB2824" t="s">
        <v>7008</v>
      </c>
      <c r="AE2824">
        <v>-36.743623300000003</v>
      </c>
      <c r="AF2824">
        <v>174.69253900000001</v>
      </c>
      <c r="AG2824" s="175">
        <v>75</v>
      </c>
      <c r="AH2824" s="175">
        <v>25</v>
      </c>
      <c r="AI2824" s="175">
        <v>3</v>
      </c>
      <c r="AJ2824" s="175">
        <v>13</v>
      </c>
      <c r="AK2824" s="175">
        <v>27</v>
      </c>
      <c r="AL2824" s="175">
        <v>34</v>
      </c>
      <c r="AM2824" s="175">
        <v>1</v>
      </c>
      <c r="AN2824" s="175">
        <v>0</v>
      </c>
      <c r="AO2824" s="175">
        <v>78</v>
      </c>
      <c r="AP2824" s="175">
        <v>46</v>
      </c>
      <c r="AQ2824" s="175">
        <v>2</v>
      </c>
      <c r="AR2824" s="175">
        <v>2</v>
      </c>
      <c r="AS2824" s="175">
        <v>38</v>
      </c>
      <c r="AT2824" s="175">
        <v>5</v>
      </c>
    </row>
    <row r="2825" spans="1:46">
      <c r="A2825">
        <v>47453</v>
      </c>
      <c r="B2825" t="s">
        <v>16271</v>
      </c>
      <c r="C2825" t="s">
        <v>14109</v>
      </c>
      <c r="D2825" t="s">
        <v>13862</v>
      </c>
      <c r="E2825" t="s">
        <v>13863</v>
      </c>
      <c r="F2825" t="s">
        <v>4272</v>
      </c>
      <c r="G2825" t="s">
        <v>737</v>
      </c>
      <c r="H2825" t="s">
        <v>450</v>
      </c>
      <c r="J2825" t="s">
        <v>4032</v>
      </c>
      <c r="K2825" t="s">
        <v>606</v>
      </c>
      <c r="M2825" t="s">
        <v>607</v>
      </c>
      <c r="N2825" t="s">
        <v>625</v>
      </c>
      <c r="O2825" t="s">
        <v>813</v>
      </c>
      <c r="P2825" t="s">
        <v>739</v>
      </c>
      <c r="Q2825" t="s">
        <v>467</v>
      </c>
      <c r="R2825" t="s">
        <v>793</v>
      </c>
      <c r="S2825" t="s">
        <v>1121</v>
      </c>
      <c r="T2825" t="s">
        <v>794</v>
      </c>
      <c r="U2825">
        <v>155500</v>
      </c>
      <c r="V2825" t="s">
        <v>4405</v>
      </c>
      <c r="W2825" t="s">
        <v>817</v>
      </c>
      <c r="X2825" t="s">
        <v>13864</v>
      </c>
      <c r="Y2825" t="s">
        <v>13865</v>
      </c>
      <c r="Z2825" t="s">
        <v>5170</v>
      </c>
      <c r="AA2825" t="s">
        <v>11816</v>
      </c>
      <c r="AE2825">
        <v>-36.987939349999998</v>
      </c>
      <c r="AF2825">
        <v>174.87578780000001</v>
      </c>
      <c r="AG2825" s="175">
        <v>40</v>
      </c>
      <c r="AH2825" s="175">
        <v>40</v>
      </c>
      <c r="AI2825" s="175">
        <v>4</v>
      </c>
      <c r="AJ2825" s="175">
        <v>3</v>
      </c>
      <c r="AK2825" s="175">
        <v>8</v>
      </c>
      <c r="AL2825" s="175">
        <v>5</v>
      </c>
      <c r="AM2825" s="175">
        <v>6</v>
      </c>
      <c r="AN2825" s="175">
        <v>2</v>
      </c>
      <c r="AO2825" s="175">
        <v>28</v>
      </c>
      <c r="AP2825" s="175">
        <v>0</v>
      </c>
      <c r="AQ2825" s="175">
        <v>1</v>
      </c>
      <c r="AR2825" s="175">
        <v>27</v>
      </c>
      <c r="AS2825" s="175">
        <v>1</v>
      </c>
      <c r="AT2825" s="175">
        <v>0</v>
      </c>
    </row>
    <row r="2826" spans="1:46">
      <c r="A2826">
        <v>47454</v>
      </c>
      <c r="B2826" t="s">
        <v>16272</v>
      </c>
      <c r="E2826" t="s">
        <v>16273</v>
      </c>
      <c r="G2826" t="s">
        <v>1923</v>
      </c>
      <c r="H2826" t="s">
        <v>452</v>
      </c>
      <c r="J2826" t="s">
        <v>605</v>
      </c>
      <c r="K2826" t="s">
        <v>606</v>
      </c>
      <c r="M2826" t="s">
        <v>1382</v>
      </c>
      <c r="N2826" t="s">
        <v>657</v>
      </c>
      <c r="O2826" t="s">
        <v>1968</v>
      </c>
      <c r="P2826" t="s">
        <v>670</v>
      </c>
      <c r="Q2826" t="s">
        <v>553</v>
      </c>
      <c r="R2826" t="s">
        <v>1841</v>
      </c>
      <c r="S2826" t="s">
        <v>1923</v>
      </c>
      <c r="T2826" t="s">
        <v>1568</v>
      </c>
      <c r="U2826">
        <v>225100</v>
      </c>
      <c r="V2826" t="s">
        <v>14586</v>
      </c>
      <c r="W2826" t="s">
        <v>1734</v>
      </c>
      <c r="X2826" t="s">
        <v>1970</v>
      </c>
      <c r="Y2826" t="s">
        <v>1971</v>
      </c>
      <c r="AA2826" t="s">
        <v>1972</v>
      </c>
      <c r="AB2826" t="s">
        <v>1973</v>
      </c>
      <c r="AC2826">
        <v>99218</v>
      </c>
      <c r="AD2826" t="s">
        <v>1974</v>
      </c>
      <c r="AE2826">
        <v>-39.914298199999998</v>
      </c>
      <c r="AF2826">
        <v>175.06293278000001</v>
      </c>
      <c r="AG2826" s="175">
        <v>45</v>
      </c>
      <c r="AH2826" s="175">
        <v>15</v>
      </c>
      <c r="AI2826" s="175">
        <v>2</v>
      </c>
      <c r="AJ2826" s="175">
        <v>4</v>
      </c>
      <c r="AK2826" s="175">
        <v>7</v>
      </c>
      <c r="AL2826" s="175">
        <v>14</v>
      </c>
      <c r="AM2826" s="175">
        <v>13</v>
      </c>
      <c r="AN2826" s="175">
        <v>0</v>
      </c>
      <c r="AO2826" s="175">
        <v>40</v>
      </c>
      <c r="AP2826" s="175">
        <v>26</v>
      </c>
      <c r="AQ2826" s="175">
        <v>16</v>
      </c>
      <c r="AR2826" s="175">
        <v>4</v>
      </c>
      <c r="AS2826" s="175">
        <v>1</v>
      </c>
      <c r="AT2826" s="175">
        <v>3</v>
      </c>
    </row>
    <row r="2827" spans="1:46">
      <c r="A2827">
        <v>47456</v>
      </c>
      <c r="B2827" t="s">
        <v>16274</v>
      </c>
      <c r="C2827" t="s">
        <v>16275</v>
      </c>
      <c r="D2827" t="s">
        <v>16276</v>
      </c>
      <c r="E2827" t="s">
        <v>16277</v>
      </c>
      <c r="G2827" t="s">
        <v>737</v>
      </c>
      <c r="H2827" t="s">
        <v>449</v>
      </c>
      <c r="J2827" t="s">
        <v>4032</v>
      </c>
      <c r="K2827" t="s">
        <v>606</v>
      </c>
      <c r="M2827" t="s">
        <v>607</v>
      </c>
      <c r="N2827" t="s">
        <v>657</v>
      </c>
      <c r="O2827" t="s">
        <v>898</v>
      </c>
      <c r="P2827" t="s">
        <v>739</v>
      </c>
      <c r="Q2827" t="s">
        <v>467</v>
      </c>
      <c r="R2827" t="s">
        <v>724</v>
      </c>
      <c r="S2827" t="s">
        <v>804</v>
      </c>
      <c r="T2827" t="s">
        <v>794</v>
      </c>
      <c r="U2827">
        <v>128901</v>
      </c>
      <c r="V2827" t="s">
        <v>13979</v>
      </c>
      <c r="W2827" t="s">
        <v>900</v>
      </c>
      <c r="X2827" t="s">
        <v>16278</v>
      </c>
      <c r="Y2827" t="s">
        <v>16279</v>
      </c>
      <c r="Z2827" t="s">
        <v>4533</v>
      </c>
      <c r="AA2827" t="s">
        <v>5051</v>
      </c>
      <c r="AC2827">
        <v>99029</v>
      </c>
      <c r="AD2827" t="s">
        <v>986</v>
      </c>
      <c r="AE2827">
        <v>-36.89513882</v>
      </c>
      <c r="AF2827">
        <v>174.64558842</v>
      </c>
      <c r="AG2827" s="175">
        <v>51</v>
      </c>
      <c r="AH2827" s="175">
        <v>15</v>
      </c>
      <c r="AI2827" s="175">
        <v>3</v>
      </c>
      <c r="AJ2827" s="175">
        <v>3</v>
      </c>
      <c r="AK2827" s="175">
        <v>8</v>
      </c>
      <c r="AL2827" s="175">
        <v>8</v>
      </c>
      <c r="AM2827" s="175">
        <v>12</v>
      </c>
      <c r="AN2827" s="175">
        <v>1</v>
      </c>
      <c r="AO2827" s="175">
        <v>35</v>
      </c>
      <c r="AP2827" s="175">
        <v>2</v>
      </c>
      <c r="AQ2827" s="175">
        <v>3</v>
      </c>
      <c r="AR2827" s="175">
        <v>5</v>
      </c>
      <c r="AS2827" s="175">
        <v>29</v>
      </c>
      <c r="AT2827" s="175">
        <v>0</v>
      </c>
    </row>
    <row r="2828" spans="1:46">
      <c r="A2828">
        <v>47457</v>
      </c>
      <c r="B2828" t="s">
        <v>16280</v>
      </c>
      <c r="C2828" t="s">
        <v>16281</v>
      </c>
      <c r="D2828" t="s">
        <v>16282</v>
      </c>
      <c r="E2828" t="s">
        <v>16283</v>
      </c>
      <c r="F2828" t="s">
        <v>5170</v>
      </c>
      <c r="G2828" t="s">
        <v>737</v>
      </c>
      <c r="H2828" t="s">
        <v>449</v>
      </c>
      <c r="J2828" t="s">
        <v>4032</v>
      </c>
      <c r="K2828" t="s">
        <v>606</v>
      </c>
      <c r="M2828" t="s">
        <v>607</v>
      </c>
      <c r="N2828" t="s">
        <v>643</v>
      </c>
      <c r="O2828" t="s">
        <v>813</v>
      </c>
      <c r="P2828" t="s">
        <v>739</v>
      </c>
      <c r="Q2828" t="s">
        <v>467</v>
      </c>
      <c r="R2828" t="s">
        <v>814</v>
      </c>
      <c r="S2828" t="s">
        <v>863</v>
      </c>
      <c r="T2828" t="s">
        <v>794</v>
      </c>
      <c r="U2828">
        <v>156000</v>
      </c>
      <c r="V2828" t="s">
        <v>6473</v>
      </c>
      <c r="W2828" t="s">
        <v>817</v>
      </c>
      <c r="X2828" t="s">
        <v>16284</v>
      </c>
      <c r="Y2828" t="s">
        <v>4051</v>
      </c>
      <c r="AA2828" t="s">
        <v>4052</v>
      </c>
      <c r="AE2828">
        <v>-36.962718459999998</v>
      </c>
      <c r="AF2828">
        <v>174.898246</v>
      </c>
      <c r="AG2828" s="175">
        <v>150</v>
      </c>
      <c r="AH2828" s="175">
        <v>30</v>
      </c>
      <c r="AI2828" s="175">
        <v>4</v>
      </c>
      <c r="AJ2828" s="175">
        <v>18</v>
      </c>
      <c r="AK2828" s="175">
        <v>33</v>
      </c>
      <c r="AL2828" s="175">
        <v>40</v>
      </c>
      <c r="AM2828" s="175">
        <v>42</v>
      </c>
      <c r="AN2828" s="175">
        <v>2</v>
      </c>
      <c r="AO2828" s="175">
        <v>139</v>
      </c>
      <c r="AP2828" s="175">
        <v>22</v>
      </c>
      <c r="AQ2828" s="175">
        <v>17</v>
      </c>
      <c r="AR2828" s="175">
        <v>57</v>
      </c>
      <c r="AS2828" s="175">
        <v>66</v>
      </c>
      <c r="AT2828" s="175">
        <v>13</v>
      </c>
    </row>
    <row r="2829" spans="1:46">
      <c r="A2829">
        <v>47459</v>
      </c>
      <c r="B2829" t="s">
        <v>16285</v>
      </c>
      <c r="C2829" t="s">
        <v>4841</v>
      </c>
      <c r="D2829" t="s">
        <v>16286</v>
      </c>
      <c r="E2829" t="s">
        <v>16287</v>
      </c>
      <c r="F2829" t="s">
        <v>1193</v>
      </c>
      <c r="G2829" t="s">
        <v>737</v>
      </c>
      <c r="H2829" t="s">
        <v>449</v>
      </c>
      <c r="J2829" t="s">
        <v>4032</v>
      </c>
      <c r="K2829" t="s">
        <v>606</v>
      </c>
      <c r="M2829" t="s">
        <v>607</v>
      </c>
      <c r="N2829" t="s">
        <v>812</v>
      </c>
      <c r="O2829" t="s">
        <v>914</v>
      </c>
      <c r="P2829" t="s">
        <v>739</v>
      </c>
      <c r="Q2829" t="s">
        <v>467</v>
      </c>
      <c r="R2829" t="s">
        <v>793</v>
      </c>
      <c r="S2829" t="s">
        <v>815</v>
      </c>
      <c r="T2829" t="s">
        <v>794</v>
      </c>
      <c r="U2829">
        <v>146301</v>
      </c>
      <c r="V2829" t="s">
        <v>1194</v>
      </c>
      <c r="W2829" t="s">
        <v>892</v>
      </c>
      <c r="X2829" t="s">
        <v>16288</v>
      </c>
      <c r="Y2829" t="s">
        <v>4839</v>
      </c>
      <c r="Z2829" t="s">
        <v>964</v>
      </c>
      <c r="AA2829" t="s">
        <v>4840</v>
      </c>
      <c r="AB2829" t="s">
        <v>4841</v>
      </c>
      <c r="AE2829">
        <v>-36.883001020000002</v>
      </c>
      <c r="AF2829">
        <v>174.86534354</v>
      </c>
      <c r="AG2829" s="175">
        <v>45</v>
      </c>
      <c r="AH2829" s="175">
        <v>10</v>
      </c>
      <c r="AI2829" s="175">
        <v>0</v>
      </c>
      <c r="AJ2829" s="175">
        <v>7</v>
      </c>
      <c r="AK2829" s="175">
        <v>8</v>
      </c>
      <c r="AL2829" s="175">
        <v>12</v>
      </c>
      <c r="AM2829" s="175">
        <v>13</v>
      </c>
      <c r="AN2829" s="175">
        <v>1</v>
      </c>
      <c r="AO2829" s="175">
        <v>41</v>
      </c>
      <c r="AP2829" s="175">
        <v>3</v>
      </c>
      <c r="AQ2829" s="175">
        <v>10</v>
      </c>
      <c r="AR2829" s="175">
        <v>33</v>
      </c>
      <c r="AS2829" s="175">
        <v>2</v>
      </c>
      <c r="AT2829" s="175">
        <v>1</v>
      </c>
    </row>
    <row r="2830" spans="1:46">
      <c r="A2830">
        <v>47460</v>
      </c>
      <c r="B2830" t="s">
        <v>16289</v>
      </c>
      <c r="C2830" t="s">
        <v>16290</v>
      </c>
      <c r="D2830" t="s">
        <v>16291</v>
      </c>
      <c r="E2830" t="s">
        <v>16292</v>
      </c>
      <c r="F2830" t="s">
        <v>1916</v>
      </c>
      <c r="G2830" t="s">
        <v>1839</v>
      </c>
      <c r="H2830" t="s">
        <v>449</v>
      </c>
      <c r="J2830" t="s">
        <v>4032</v>
      </c>
      <c r="K2830" t="s">
        <v>606</v>
      </c>
      <c r="M2830" t="s">
        <v>1382</v>
      </c>
      <c r="N2830" t="s">
        <v>657</v>
      </c>
      <c r="O2830" t="s">
        <v>1840</v>
      </c>
      <c r="P2830" t="s">
        <v>670</v>
      </c>
      <c r="Q2830" t="s">
        <v>514</v>
      </c>
      <c r="R2830" t="s">
        <v>1841</v>
      </c>
      <c r="S2830" t="s">
        <v>1839</v>
      </c>
      <c r="T2830" t="s">
        <v>1568</v>
      </c>
      <c r="U2830">
        <v>217901</v>
      </c>
      <c r="V2830" t="s">
        <v>16293</v>
      </c>
      <c r="W2830" t="s">
        <v>1843</v>
      </c>
      <c r="X2830" t="s">
        <v>13972</v>
      </c>
      <c r="Y2830" t="s">
        <v>13973</v>
      </c>
      <c r="AA2830" t="s">
        <v>12635</v>
      </c>
      <c r="AB2830" t="s">
        <v>13974</v>
      </c>
      <c r="AE2830">
        <v>-39.082719660000002</v>
      </c>
      <c r="AF2830">
        <v>174.05041514000001</v>
      </c>
      <c r="AG2830" s="175">
        <v>36</v>
      </c>
      <c r="AH2830" s="175">
        <v>20</v>
      </c>
      <c r="AI2830" s="175">
        <v>3</v>
      </c>
      <c r="AJ2830" s="175">
        <v>20</v>
      </c>
      <c r="AK2830" s="175">
        <v>0</v>
      </c>
      <c r="AL2830" s="175">
        <v>0</v>
      </c>
      <c r="AM2830" s="175">
        <v>0</v>
      </c>
      <c r="AN2830" s="175">
        <v>0</v>
      </c>
      <c r="AO2830" s="175">
        <v>23</v>
      </c>
      <c r="AP2830" s="175">
        <v>20</v>
      </c>
      <c r="AQ2830" s="175">
        <v>7</v>
      </c>
      <c r="AR2830" s="175">
        <v>1</v>
      </c>
      <c r="AS2830" s="175">
        <v>2</v>
      </c>
      <c r="AT2830" s="175">
        <v>0</v>
      </c>
    </row>
    <row r="2831" spans="1:46">
      <c r="A2831">
        <v>47466</v>
      </c>
      <c r="B2831" t="s">
        <v>16294</v>
      </c>
      <c r="C2831" t="s">
        <v>16295</v>
      </c>
      <c r="E2831" t="s">
        <v>16296</v>
      </c>
      <c r="G2831" t="s">
        <v>1330</v>
      </c>
      <c r="H2831" t="s">
        <v>449</v>
      </c>
      <c r="I2831" t="s">
        <v>4134</v>
      </c>
      <c r="J2831" t="s">
        <v>4032</v>
      </c>
      <c r="K2831" t="s">
        <v>606</v>
      </c>
      <c r="M2831" t="s">
        <v>607</v>
      </c>
      <c r="N2831" t="s">
        <v>657</v>
      </c>
      <c r="O2831" t="s">
        <v>1318</v>
      </c>
      <c r="P2831" t="s">
        <v>610</v>
      </c>
      <c r="Q2831" t="s">
        <v>467</v>
      </c>
      <c r="R2831" t="s">
        <v>814</v>
      </c>
      <c r="S2831" t="s">
        <v>1331</v>
      </c>
      <c r="T2831" t="s">
        <v>1320</v>
      </c>
      <c r="U2831">
        <v>164800</v>
      </c>
      <c r="V2831" t="s">
        <v>1332</v>
      </c>
      <c r="W2831" t="s">
        <v>1322</v>
      </c>
      <c r="X2831" t="s">
        <v>15953</v>
      </c>
      <c r="Y2831" t="s">
        <v>16297</v>
      </c>
      <c r="AA2831" t="s">
        <v>13803</v>
      </c>
      <c r="AB2831" t="s">
        <v>16298</v>
      </c>
      <c r="AC2831">
        <v>99033</v>
      </c>
      <c r="AD2831" t="s">
        <v>1333</v>
      </c>
      <c r="AE2831">
        <v>-37.253810309999999</v>
      </c>
      <c r="AF2831">
        <v>174.73436235</v>
      </c>
      <c r="AG2831" s="175">
        <v>40</v>
      </c>
      <c r="AH2831" s="175">
        <v>10</v>
      </c>
      <c r="AI2831" s="175">
        <v>0</v>
      </c>
      <c r="AJ2831" s="175">
        <v>1</v>
      </c>
      <c r="AK2831" s="175">
        <v>1</v>
      </c>
      <c r="AL2831" s="175">
        <v>5</v>
      </c>
      <c r="AM2831" s="175">
        <v>4</v>
      </c>
      <c r="AN2831" s="175">
        <v>1</v>
      </c>
      <c r="AO2831" s="175">
        <v>12</v>
      </c>
      <c r="AP2831" s="175">
        <v>8</v>
      </c>
      <c r="AQ2831" s="175">
        <v>2</v>
      </c>
      <c r="AR2831" s="175">
        <v>1</v>
      </c>
      <c r="AS2831" s="175">
        <v>3</v>
      </c>
      <c r="AT2831" s="175">
        <v>0</v>
      </c>
    </row>
    <row r="2832" spans="1:46">
      <c r="A2832">
        <v>47473</v>
      </c>
      <c r="B2832" t="s">
        <v>16299</v>
      </c>
      <c r="C2832" t="s">
        <v>16300</v>
      </c>
      <c r="D2832" t="s">
        <v>16301</v>
      </c>
      <c r="E2832" t="s">
        <v>16302</v>
      </c>
      <c r="G2832" t="s">
        <v>16303</v>
      </c>
      <c r="H2832" t="s">
        <v>449</v>
      </c>
      <c r="J2832" t="s">
        <v>4032</v>
      </c>
      <c r="K2832" t="s">
        <v>606</v>
      </c>
      <c r="M2832" t="s">
        <v>2366</v>
      </c>
      <c r="N2832" t="s">
        <v>643</v>
      </c>
      <c r="O2832" t="s">
        <v>3553</v>
      </c>
      <c r="P2832" t="s">
        <v>626</v>
      </c>
      <c r="Q2832" t="s">
        <v>522</v>
      </c>
      <c r="R2832" t="s">
        <v>3410</v>
      </c>
      <c r="S2832" t="s">
        <v>3456</v>
      </c>
      <c r="T2832" t="s">
        <v>2526</v>
      </c>
      <c r="U2832">
        <v>356800</v>
      </c>
      <c r="V2832" t="s">
        <v>16304</v>
      </c>
      <c r="W2832" t="s">
        <v>16305</v>
      </c>
      <c r="X2832" t="s">
        <v>16306</v>
      </c>
      <c r="Y2832" t="s">
        <v>16302</v>
      </c>
      <c r="AA2832" t="s">
        <v>16307</v>
      </c>
      <c r="AC2832">
        <v>99080</v>
      </c>
      <c r="AD2832" t="s">
        <v>3558</v>
      </c>
      <c r="AE2832">
        <v>-46.285348620000001</v>
      </c>
      <c r="AF2832">
        <v>169.84664724999999</v>
      </c>
      <c r="AG2832" s="175">
        <v>42</v>
      </c>
      <c r="AH2832" s="175">
        <v>10</v>
      </c>
      <c r="AI2832" s="175">
        <v>1</v>
      </c>
      <c r="AJ2832" s="175">
        <v>7</v>
      </c>
      <c r="AK2832" s="175">
        <v>7</v>
      </c>
      <c r="AL2832" s="175">
        <v>11</v>
      </c>
      <c r="AM2832" s="175">
        <v>8</v>
      </c>
      <c r="AN2832" s="175">
        <v>0</v>
      </c>
      <c r="AO2832" s="175">
        <v>34</v>
      </c>
      <c r="AP2832" s="175">
        <v>32</v>
      </c>
      <c r="AQ2832" s="175">
        <v>11</v>
      </c>
      <c r="AR2832" s="175">
        <v>2</v>
      </c>
      <c r="AS2832" s="175">
        <v>2</v>
      </c>
      <c r="AT2832" s="175">
        <v>0</v>
      </c>
    </row>
    <row r="2833" spans="1:46">
      <c r="A2833">
        <v>47479</v>
      </c>
      <c r="B2833" t="s">
        <v>16308</v>
      </c>
      <c r="C2833" t="s">
        <v>16309</v>
      </c>
      <c r="D2833" t="s">
        <v>16310</v>
      </c>
      <c r="E2833" t="s">
        <v>16311</v>
      </c>
      <c r="F2833" t="s">
        <v>4272</v>
      </c>
      <c r="G2833" t="s">
        <v>737</v>
      </c>
      <c r="H2833" t="s">
        <v>449</v>
      </c>
      <c r="J2833" t="s">
        <v>4032</v>
      </c>
      <c r="K2833" t="s">
        <v>606</v>
      </c>
      <c r="M2833" t="s">
        <v>607</v>
      </c>
      <c r="N2833" t="s">
        <v>643</v>
      </c>
      <c r="O2833" t="s">
        <v>813</v>
      </c>
      <c r="P2833" t="s">
        <v>739</v>
      </c>
      <c r="Q2833" t="s">
        <v>467</v>
      </c>
      <c r="R2833" t="s">
        <v>814</v>
      </c>
      <c r="S2833" t="s">
        <v>1121</v>
      </c>
      <c r="T2833" t="s">
        <v>794</v>
      </c>
      <c r="U2833">
        <v>155500</v>
      </c>
      <c r="V2833" t="s">
        <v>4405</v>
      </c>
      <c r="W2833" t="s">
        <v>817</v>
      </c>
      <c r="X2833" t="s">
        <v>16312</v>
      </c>
      <c r="Y2833" t="s">
        <v>16313</v>
      </c>
      <c r="Z2833" t="s">
        <v>4272</v>
      </c>
      <c r="AA2833" t="s">
        <v>4652</v>
      </c>
      <c r="AB2833" t="s">
        <v>16314</v>
      </c>
      <c r="AE2833">
        <v>-36.990333669999998</v>
      </c>
      <c r="AF2833">
        <v>174.88590521</v>
      </c>
      <c r="AG2833" s="175">
        <v>130</v>
      </c>
      <c r="AH2833" s="175">
        <v>38</v>
      </c>
      <c r="AI2833" s="175">
        <v>6</v>
      </c>
      <c r="AJ2833" s="175">
        <v>23</v>
      </c>
      <c r="AK2833" s="175">
        <v>28</v>
      </c>
      <c r="AL2833" s="175">
        <v>26</v>
      </c>
      <c r="AM2833" s="175">
        <v>25</v>
      </c>
      <c r="AN2833" s="175">
        <v>5</v>
      </c>
      <c r="AO2833" s="175">
        <v>113</v>
      </c>
      <c r="AP2833" s="175">
        <v>35</v>
      </c>
      <c r="AQ2833" s="175">
        <v>26</v>
      </c>
      <c r="AR2833" s="175">
        <v>71</v>
      </c>
      <c r="AS2833" s="175">
        <v>35</v>
      </c>
      <c r="AT2833" s="175">
        <v>13</v>
      </c>
    </row>
    <row r="2834" spans="1:46">
      <c r="A2834">
        <v>47481</v>
      </c>
      <c r="B2834" t="s">
        <v>16315</v>
      </c>
      <c r="C2834" t="s">
        <v>10706</v>
      </c>
      <c r="E2834" t="s">
        <v>16316</v>
      </c>
      <c r="F2834" t="s">
        <v>9813</v>
      </c>
      <c r="G2834" t="s">
        <v>1681</v>
      </c>
      <c r="H2834" t="s">
        <v>449</v>
      </c>
      <c r="J2834" t="s">
        <v>4032</v>
      </c>
      <c r="K2834" t="s">
        <v>606</v>
      </c>
      <c r="M2834" t="s">
        <v>1382</v>
      </c>
      <c r="N2834" t="s">
        <v>657</v>
      </c>
      <c r="O2834" t="s">
        <v>1780</v>
      </c>
      <c r="P2834" t="s">
        <v>739</v>
      </c>
      <c r="Q2834" t="s">
        <v>511</v>
      </c>
      <c r="R2834" t="s">
        <v>1555</v>
      </c>
      <c r="S2834" t="s">
        <v>1681</v>
      </c>
      <c r="T2834" t="s">
        <v>1557</v>
      </c>
      <c r="U2834">
        <v>194500</v>
      </c>
      <c r="V2834" t="s">
        <v>9813</v>
      </c>
      <c r="W2834" t="s">
        <v>1799</v>
      </c>
      <c r="X2834" t="s">
        <v>10709</v>
      </c>
      <c r="Y2834" t="s">
        <v>10710</v>
      </c>
      <c r="Z2834" t="s">
        <v>1797</v>
      </c>
      <c r="AA2834" t="s">
        <v>10711</v>
      </c>
      <c r="AB2834" t="s">
        <v>10712</v>
      </c>
      <c r="AC2834">
        <v>99085</v>
      </c>
      <c r="AD2834" t="s">
        <v>1800</v>
      </c>
      <c r="AE2834">
        <v>-37.744829979999999</v>
      </c>
      <c r="AF2834">
        <v>176.10125232999999</v>
      </c>
      <c r="AG2834" s="175">
        <v>97</v>
      </c>
      <c r="AH2834" s="175">
        <v>25</v>
      </c>
      <c r="AI2834" s="175">
        <v>5</v>
      </c>
      <c r="AJ2834" s="175">
        <v>13</v>
      </c>
      <c r="AK2834" s="175">
        <v>27</v>
      </c>
      <c r="AL2834" s="175">
        <v>24</v>
      </c>
      <c r="AM2834" s="175">
        <v>32</v>
      </c>
      <c r="AN2834" s="175">
        <v>4</v>
      </c>
      <c r="AO2834" s="175">
        <v>105</v>
      </c>
      <c r="AP2834" s="175">
        <v>89</v>
      </c>
      <c r="AQ2834" s="175">
        <v>28</v>
      </c>
      <c r="AR2834" s="175">
        <v>3</v>
      </c>
      <c r="AS2834" s="175">
        <v>7</v>
      </c>
      <c r="AT2834" s="175">
        <v>1</v>
      </c>
    </row>
    <row r="2835" spans="1:46">
      <c r="A2835">
        <v>47484</v>
      </c>
      <c r="B2835" t="s">
        <v>16317</v>
      </c>
      <c r="C2835" t="s">
        <v>16318</v>
      </c>
      <c r="D2835" t="s">
        <v>16319</v>
      </c>
      <c r="E2835" t="s">
        <v>16320</v>
      </c>
      <c r="G2835" t="s">
        <v>16321</v>
      </c>
      <c r="H2835" t="s">
        <v>449</v>
      </c>
      <c r="J2835" t="s">
        <v>4032</v>
      </c>
      <c r="K2835" t="s">
        <v>606</v>
      </c>
      <c r="M2835" t="s">
        <v>2366</v>
      </c>
      <c r="N2835" t="s">
        <v>657</v>
      </c>
      <c r="O2835" t="s">
        <v>3037</v>
      </c>
      <c r="P2835" t="s">
        <v>658</v>
      </c>
      <c r="Q2835" t="s">
        <v>521</v>
      </c>
      <c r="R2835" t="s">
        <v>3017</v>
      </c>
      <c r="S2835" t="s">
        <v>3038</v>
      </c>
      <c r="T2835" t="s">
        <v>2526</v>
      </c>
      <c r="U2835">
        <v>314801</v>
      </c>
      <c r="V2835" t="s">
        <v>16322</v>
      </c>
      <c r="W2835" t="s">
        <v>11265</v>
      </c>
      <c r="X2835" t="s">
        <v>16323</v>
      </c>
      <c r="Y2835" t="s">
        <v>16320</v>
      </c>
      <c r="Z2835" t="s">
        <v>16321</v>
      </c>
      <c r="AA2835" t="s">
        <v>16324</v>
      </c>
      <c r="AB2835" t="s">
        <v>16318</v>
      </c>
      <c r="AC2835">
        <v>99061</v>
      </c>
      <c r="AD2835" t="s">
        <v>3263</v>
      </c>
      <c r="AE2835">
        <v>-43.380008930000002</v>
      </c>
      <c r="AF2835">
        <v>172.53611380000001</v>
      </c>
      <c r="AG2835" s="175">
        <v>75</v>
      </c>
      <c r="AH2835" s="175">
        <v>15</v>
      </c>
      <c r="AI2835" s="175">
        <v>1</v>
      </c>
      <c r="AJ2835" s="175">
        <v>7</v>
      </c>
      <c r="AK2835" s="175">
        <v>17</v>
      </c>
      <c r="AL2835" s="175">
        <v>5</v>
      </c>
      <c r="AM2835" s="175">
        <v>13</v>
      </c>
      <c r="AN2835" s="175">
        <v>1</v>
      </c>
      <c r="AO2835" s="175">
        <v>44</v>
      </c>
      <c r="AP2835" s="175">
        <v>42</v>
      </c>
      <c r="AQ2835" s="175">
        <v>3</v>
      </c>
      <c r="AR2835" s="175">
        <v>0</v>
      </c>
      <c r="AS2835" s="175">
        <v>4</v>
      </c>
      <c r="AT2835" s="175">
        <v>0</v>
      </c>
    </row>
    <row r="2836" spans="1:46">
      <c r="A2836">
        <v>47485</v>
      </c>
      <c r="B2836" t="s">
        <v>16325</v>
      </c>
      <c r="C2836" t="s">
        <v>14647</v>
      </c>
      <c r="E2836" t="s">
        <v>8318</v>
      </c>
      <c r="F2836" t="s">
        <v>8319</v>
      </c>
      <c r="G2836" t="s">
        <v>737</v>
      </c>
      <c r="H2836" t="s">
        <v>450</v>
      </c>
      <c r="J2836" t="s">
        <v>4032</v>
      </c>
      <c r="K2836" t="s">
        <v>606</v>
      </c>
      <c r="M2836" t="s">
        <v>607</v>
      </c>
      <c r="N2836" t="s">
        <v>657</v>
      </c>
      <c r="O2836" t="s">
        <v>1253</v>
      </c>
      <c r="P2836" t="s">
        <v>739</v>
      </c>
      <c r="Q2836" t="s">
        <v>467</v>
      </c>
      <c r="R2836" t="s">
        <v>724</v>
      </c>
      <c r="S2836" t="s">
        <v>740</v>
      </c>
      <c r="T2836" t="s">
        <v>613</v>
      </c>
      <c r="U2836">
        <v>118600</v>
      </c>
      <c r="V2836" t="s">
        <v>4082</v>
      </c>
      <c r="W2836" t="s">
        <v>742</v>
      </c>
      <c r="X2836" t="s">
        <v>6333</v>
      </c>
      <c r="Y2836" t="s">
        <v>6334</v>
      </c>
      <c r="Z2836" t="s">
        <v>3777</v>
      </c>
      <c r="AA2836" t="s">
        <v>6335</v>
      </c>
      <c r="AB2836" t="s">
        <v>6336</v>
      </c>
      <c r="AE2836">
        <v>-36.745892019999999</v>
      </c>
      <c r="AF2836">
        <v>174.7043195</v>
      </c>
      <c r="AG2836" s="175">
        <v>80</v>
      </c>
      <c r="AH2836" s="175">
        <v>80</v>
      </c>
      <c r="AI2836" s="175">
        <v>2</v>
      </c>
      <c r="AJ2836" s="175">
        <v>2</v>
      </c>
      <c r="AK2836" s="175">
        <v>3</v>
      </c>
      <c r="AL2836" s="175">
        <v>7</v>
      </c>
      <c r="AM2836" s="175">
        <v>4</v>
      </c>
      <c r="AN2836" s="175">
        <v>1</v>
      </c>
      <c r="AO2836" s="175">
        <v>19</v>
      </c>
      <c r="AP2836" s="175">
        <v>1</v>
      </c>
      <c r="AQ2836" s="175">
        <v>0</v>
      </c>
      <c r="AR2836" s="175">
        <v>0</v>
      </c>
      <c r="AS2836" s="175">
        <v>19</v>
      </c>
      <c r="AT2836" s="175">
        <v>0</v>
      </c>
    </row>
    <row r="2837" spans="1:46">
      <c r="A2837">
        <v>47486</v>
      </c>
      <c r="B2837" t="s">
        <v>16326</v>
      </c>
      <c r="C2837" t="s">
        <v>14109</v>
      </c>
      <c r="E2837" t="s">
        <v>16327</v>
      </c>
      <c r="F2837" t="s">
        <v>862</v>
      </c>
      <c r="G2837" t="s">
        <v>737</v>
      </c>
      <c r="H2837" t="s">
        <v>449</v>
      </c>
      <c r="I2837" t="s">
        <v>4134</v>
      </c>
      <c r="J2837" t="s">
        <v>4032</v>
      </c>
      <c r="K2837" t="s">
        <v>606</v>
      </c>
      <c r="M2837" t="s">
        <v>607</v>
      </c>
      <c r="N2837" t="s">
        <v>657</v>
      </c>
      <c r="O2837" t="s">
        <v>792</v>
      </c>
      <c r="P2837" t="s">
        <v>739</v>
      </c>
      <c r="Q2837" t="s">
        <v>467</v>
      </c>
      <c r="R2837" t="s">
        <v>793</v>
      </c>
      <c r="S2837" t="s">
        <v>791</v>
      </c>
      <c r="T2837" t="s">
        <v>794</v>
      </c>
      <c r="U2837">
        <v>151301</v>
      </c>
      <c r="V2837" t="s">
        <v>4192</v>
      </c>
      <c r="W2837" t="s">
        <v>796</v>
      </c>
      <c r="X2837" t="s">
        <v>14817</v>
      </c>
      <c r="Y2837" t="s">
        <v>16328</v>
      </c>
      <c r="Z2837" t="s">
        <v>996</v>
      </c>
      <c r="AA2837" t="s">
        <v>7112</v>
      </c>
      <c r="AB2837" t="s">
        <v>13873</v>
      </c>
      <c r="AE2837">
        <v>-36.902933779999998</v>
      </c>
      <c r="AF2837">
        <v>174.9047889</v>
      </c>
      <c r="AG2837" s="175">
        <v>70</v>
      </c>
      <c r="AH2837" s="175">
        <v>20</v>
      </c>
      <c r="AI2837" s="175">
        <v>3</v>
      </c>
      <c r="AJ2837" s="175">
        <v>11</v>
      </c>
      <c r="AK2837" s="175">
        <v>16</v>
      </c>
      <c r="AL2837" s="175">
        <v>18</v>
      </c>
      <c r="AM2837" s="175">
        <v>21</v>
      </c>
      <c r="AN2837" s="175">
        <v>1</v>
      </c>
      <c r="AO2837" s="175">
        <v>70</v>
      </c>
      <c r="AP2837" s="175">
        <v>12</v>
      </c>
      <c r="AQ2837" s="175">
        <v>2</v>
      </c>
      <c r="AR2837" s="175">
        <v>0</v>
      </c>
      <c r="AS2837" s="175">
        <v>58</v>
      </c>
      <c r="AT2837" s="175">
        <v>3</v>
      </c>
    </row>
    <row r="2838" spans="1:46">
      <c r="A2838">
        <v>47488</v>
      </c>
      <c r="B2838" t="s">
        <v>16329</v>
      </c>
      <c r="C2838" t="s">
        <v>4766</v>
      </c>
      <c r="D2838" t="s">
        <v>16330</v>
      </c>
      <c r="E2838" t="s">
        <v>16331</v>
      </c>
      <c r="G2838" t="s">
        <v>636</v>
      </c>
      <c r="H2838" t="s">
        <v>449</v>
      </c>
      <c r="J2838" t="s">
        <v>4032</v>
      </c>
      <c r="K2838" t="s">
        <v>606</v>
      </c>
      <c r="M2838" t="s">
        <v>607</v>
      </c>
      <c r="N2838" t="s">
        <v>608</v>
      </c>
      <c r="O2838" t="s">
        <v>609</v>
      </c>
      <c r="P2838" t="s">
        <v>610</v>
      </c>
      <c r="Q2838" t="s">
        <v>509</v>
      </c>
      <c r="R2838" t="s">
        <v>611</v>
      </c>
      <c r="S2838" t="s">
        <v>612</v>
      </c>
      <c r="T2838" t="s">
        <v>613</v>
      </c>
      <c r="U2838">
        <v>103501</v>
      </c>
      <c r="V2838" t="s">
        <v>636</v>
      </c>
      <c r="W2838" t="s">
        <v>637</v>
      </c>
      <c r="X2838" t="s">
        <v>4763</v>
      </c>
      <c r="Y2838" t="s">
        <v>4764</v>
      </c>
      <c r="AA2838" t="s">
        <v>4765</v>
      </c>
      <c r="AB2838" t="s">
        <v>4766</v>
      </c>
      <c r="AE2838">
        <v>-35.408417159999999</v>
      </c>
      <c r="AF2838">
        <v>173.80613009000001</v>
      </c>
      <c r="AG2838" s="175">
        <v>20</v>
      </c>
      <c r="AH2838" s="175">
        <v>20</v>
      </c>
      <c r="AI2838" s="175">
        <v>1</v>
      </c>
      <c r="AJ2838" s="175">
        <v>4</v>
      </c>
      <c r="AK2838" s="175">
        <v>0</v>
      </c>
      <c r="AL2838" s="175">
        <v>0</v>
      </c>
      <c r="AM2838" s="175">
        <v>0</v>
      </c>
      <c r="AN2838" s="175">
        <v>0</v>
      </c>
      <c r="AO2838" s="175">
        <v>5</v>
      </c>
      <c r="AP2838" s="175">
        <v>1</v>
      </c>
      <c r="AQ2838" s="175">
        <v>5</v>
      </c>
      <c r="AR2838" s="175">
        <v>0</v>
      </c>
      <c r="AS2838" s="175">
        <v>0</v>
      </c>
      <c r="AT2838" s="175">
        <v>0</v>
      </c>
    </row>
    <row r="2839" spans="1:46">
      <c r="A2839">
        <v>47490</v>
      </c>
      <c r="B2839" t="s">
        <v>16332</v>
      </c>
      <c r="C2839" t="s">
        <v>16333</v>
      </c>
      <c r="D2839" t="s">
        <v>16334</v>
      </c>
      <c r="E2839" t="s">
        <v>16335</v>
      </c>
      <c r="G2839" t="s">
        <v>4454</v>
      </c>
      <c r="H2839" t="s">
        <v>449</v>
      </c>
      <c r="J2839" t="s">
        <v>605</v>
      </c>
      <c r="K2839" t="s">
        <v>606</v>
      </c>
      <c r="M2839" t="s">
        <v>607</v>
      </c>
      <c r="N2839" t="s">
        <v>657</v>
      </c>
      <c r="O2839" t="s">
        <v>723</v>
      </c>
      <c r="P2839" t="s">
        <v>610</v>
      </c>
      <c r="Q2839" t="s">
        <v>467</v>
      </c>
      <c r="R2839" t="s">
        <v>724</v>
      </c>
      <c r="S2839" t="s">
        <v>725</v>
      </c>
      <c r="T2839" t="s">
        <v>613</v>
      </c>
      <c r="U2839">
        <v>115001</v>
      </c>
      <c r="V2839" t="s">
        <v>6729</v>
      </c>
      <c r="W2839" t="s">
        <v>726</v>
      </c>
      <c r="X2839" t="s">
        <v>4013</v>
      </c>
      <c r="Y2839" t="s">
        <v>4014</v>
      </c>
      <c r="Z2839" t="s">
        <v>4015</v>
      </c>
      <c r="AA2839" t="s">
        <v>4016</v>
      </c>
      <c r="AB2839" t="s">
        <v>4017</v>
      </c>
      <c r="AC2839">
        <v>99129</v>
      </c>
      <c r="AD2839" t="s">
        <v>1006</v>
      </c>
      <c r="AE2839">
        <v>-36.767868249999999</v>
      </c>
      <c r="AF2839">
        <v>174.55443099999999</v>
      </c>
      <c r="AG2839" s="175">
        <v>80</v>
      </c>
      <c r="AH2839" s="175">
        <v>20</v>
      </c>
      <c r="AI2839" s="175">
        <v>3</v>
      </c>
      <c r="AJ2839" s="175">
        <v>15</v>
      </c>
      <c r="AK2839" s="175">
        <v>15</v>
      </c>
      <c r="AL2839" s="175">
        <v>20</v>
      </c>
      <c r="AM2839" s="175">
        <v>24</v>
      </c>
      <c r="AN2839" s="175">
        <v>0</v>
      </c>
      <c r="AO2839" s="175">
        <v>77</v>
      </c>
      <c r="AP2839" s="175">
        <v>53</v>
      </c>
      <c r="AQ2839" s="175">
        <v>12</v>
      </c>
      <c r="AR2839" s="175">
        <v>6</v>
      </c>
      <c r="AS2839" s="175">
        <v>20</v>
      </c>
      <c r="AT2839" s="175">
        <v>12</v>
      </c>
    </row>
    <row r="2840" spans="1:46">
      <c r="A2840">
        <v>47491</v>
      </c>
      <c r="B2840" t="s">
        <v>14523</v>
      </c>
      <c r="C2840" t="s">
        <v>16336</v>
      </c>
      <c r="E2840" t="s">
        <v>16337</v>
      </c>
      <c r="F2840" t="s">
        <v>2746</v>
      </c>
      <c r="G2840" t="s">
        <v>2368</v>
      </c>
      <c r="H2840" t="s">
        <v>449</v>
      </c>
      <c r="I2840" t="s">
        <v>16338</v>
      </c>
      <c r="J2840" t="s">
        <v>605</v>
      </c>
      <c r="K2840" t="s">
        <v>606</v>
      </c>
      <c r="M2840" t="s">
        <v>2366</v>
      </c>
      <c r="N2840" t="s">
        <v>657</v>
      </c>
      <c r="O2840" t="s">
        <v>2614</v>
      </c>
      <c r="P2840" t="s">
        <v>739</v>
      </c>
      <c r="Q2840" t="s">
        <v>516</v>
      </c>
      <c r="R2840" t="s">
        <v>2368</v>
      </c>
      <c r="S2840" t="s">
        <v>2615</v>
      </c>
      <c r="T2840" t="s">
        <v>2526</v>
      </c>
      <c r="U2840">
        <v>253600</v>
      </c>
      <c r="V2840" t="s">
        <v>2889</v>
      </c>
      <c r="W2840" t="s">
        <v>2616</v>
      </c>
      <c r="X2840" t="s">
        <v>16339</v>
      </c>
      <c r="Y2840" t="s">
        <v>4621</v>
      </c>
      <c r="Z2840" t="s">
        <v>4622</v>
      </c>
      <c r="AA2840" t="s">
        <v>4623</v>
      </c>
      <c r="AE2840">
        <v>-41.314943110000002</v>
      </c>
      <c r="AF2840">
        <v>174.78056631000001</v>
      </c>
      <c r="AG2840" s="175">
        <v>45</v>
      </c>
      <c r="AH2840" s="175">
        <v>25</v>
      </c>
      <c r="AI2840" s="175">
        <v>18</v>
      </c>
      <c r="AJ2840" s="175">
        <v>5</v>
      </c>
      <c r="AK2840" s="175">
        <v>10</v>
      </c>
      <c r="AL2840" s="175">
        <v>5</v>
      </c>
      <c r="AM2840" s="175">
        <v>12</v>
      </c>
      <c r="AN2840" s="175">
        <v>0</v>
      </c>
      <c r="AO2840" s="175">
        <v>50</v>
      </c>
      <c r="AP2840" s="175">
        <v>39</v>
      </c>
      <c r="AQ2840" s="175">
        <v>9</v>
      </c>
      <c r="AR2840" s="175">
        <v>3</v>
      </c>
      <c r="AS2840" s="175">
        <v>10</v>
      </c>
      <c r="AT2840" s="175">
        <v>1</v>
      </c>
    </row>
    <row r="2841" spans="1:46">
      <c r="A2841">
        <v>47492</v>
      </c>
      <c r="B2841" t="s">
        <v>16340</v>
      </c>
      <c r="C2841" t="s">
        <v>16341</v>
      </c>
      <c r="D2841" t="s">
        <v>4217</v>
      </c>
      <c r="E2841" t="s">
        <v>16342</v>
      </c>
      <c r="F2841" t="s">
        <v>5832</v>
      </c>
      <c r="G2841" t="s">
        <v>737</v>
      </c>
      <c r="H2841" t="s">
        <v>449</v>
      </c>
      <c r="J2841" t="s">
        <v>4032</v>
      </c>
      <c r="K2841" t="s">
        <v>606</v>
      </c>
      <c r="M2841" t="s">
        <v>607</v>
      </c>
      <c r="N2841" t="s">
        <v>657</v>
      </c>
      <c r="O2841" t="s">
        <v>823</v>
      </c>
      <c r="P2841" t="s">
        <v>739</v>
      </c>
      <c r="Q2841" t="s">
        <v>467</v>
      </c>
      <c r="R2841" t="s">
        <v>724</v>
      </c>
      <c r="S2841" t="s">
        <v>841</v>
      </c>
      <c r="T2841" t="s">
        <v>613</v>
      </c>
      <c r="U2841">
        <v>124401</v>
      </c>
      <c r="V2841" t="s">
        <v>6770</v>
      </c>
      <c r="W2841" t="s">
        <v>826</v>
      </c>
      <c r="X2841" t="s">
        <v>4220</v>
      </c>
      <c r="Y2841" t="s">
        <v>4221</v>
      </c>
      <c r="Z2841" t="s">
        <v>4222</v>
      </c>
      <c r="AA2841" t="s">
        <v>4223</v>
      </c>
      <c r="AE2841">
        <v>-36.804064820000001</v>
      </c>
      <c r="AF2841">
        <v>174.70242428</v>
      </c>
      <c r="AG2841" s="175">
        <v>30</v>
      </c>
      <c r="AH2841" s="175">
        <v>0</v>
      </c>
      <c r="AI2841" s="175">
        <v>0</v>
      </c>
      <c r="AJ2841" s="175">
        <v>0</v>
      </c>
      <c r="AK2841" s="175">
        <v>18</v>
      </c>
      <c r="AL2841" s="175">
        <v>12</v>
      </c>
      <c r="AM2841" s="175">
        <v>0</v>
      </c>
      <c r="AN2841" s="175">
        <v>0</v>
      </c>
      <c r="AO2841" s="175">
        <v>30</v>
      </c>
      <c r="AP2841" s="175">
        <v>18</v>
      </c>
      <c r="AQ2841" s="175">
        <v>3</v>
      </c>
      <c r="AR2841" s="175">
        <v>1</v>
      </c>
      <c r="AS2841" s="175">
        <v>2</v>
      </c>
      <c r="AT2841" s="175">
        <v>12</v>
      </c>
    </row>
    <row r="2842" spans="1:46">
      <c r="A2842">
        <v>47493</v>
      </c>
      <c r="B2842" t="s">
        <v>16343</v>
      </c>
      <c r="C2842" t="s">
        <v>16344</v>
      </c>
      <c r="E2842" t="s">
        <v>16345</v>
      </c>
      <c r="F2842" t="s">
        <v>8680</v>
      </c>
      <c r="G2842" t="s">
        <v>1381</v>
      </c>
      <c r="H2842" t="s">
        <v>449</v>
      </c>
      <c r="J2842" t="s">
        <v>605</v>
      </c>
      <c r="K2842" t="s">
        <v>606</v>
      </c>
      <c r="M2842" t="s">
        <v>1382</v>
      </c>
      <c r="N2842" t="s">
        <v>657</v>
      </c>
      <c r="O2842" t="s">
        <v>1383</v>
      </c>
      <c r="P2842" t="s">
        <v>739</v>
      </c>
      <c r="Q2842" t="s">
        <v>510</v>
      </c>
      <c r="R2842" t="s">
        <v>1384</v>
      </c>
      <c r="S2842" t="s">
        <v>1384</v>
      </c>
      <c r="T2842" t="s">
        <v>1320</v>
      </c>
      <c r="U2842">
        <v>175601</v>
      </c>
      <c r="V2842" t="s">
        <v>8680</v>
      </c>
      <c r="W2842" t="s">
        <v>1398</v>
      </c>
      <c r="X2842" t="s">
        <v>8441</v>
      </c>
      <c r="Y2842" t="s">
        <v>4014</v>
      </c>
      <c r="Z2842" t="s">
        <v>4015</v>
      </c>
      <c r="AA2842" t="s">
        <v>4016</v>
      </c>
      <c r="AB2842" t="s">
        <v>8442</v>
      </c>
      <c r="AE2842">
        <v>-37.72251095</v>
      </c>
      <c r="AF2842">
        <v>175.26173616</v>
      </c>
      <c r="AG2842" s="175">
        <v>58</v>
      </c>
      <c r="AH2842" s="175">
        <v>13</v>
      </c>
      <c r="AI2842" s="175">
        <v>4</v>
      </c>
      <c r="AJ2842" s="175">
        <v>3</v>
      </c>
      <c r="AK2842" s="175">
        <v>18</v>
      </c>
      <c r="AL2842" s="175">
        <v>16</v>
      </c>
      <c r="AM2842" s="175">
        <v>18</v>
      </c>
      <c r="AN2842" s="175">
        <v>0</v>
      </c>
      <c r="AO2842" s="175">
        <v>59</v>
      </c>
      <c r="AP2842" s="175">
        <v>26</v>
      </c>
      <c r="AQ2842" s="175">
        <v>10</v>
      </c>
      <c r="AR2842" s="175">
        <v>4</v>
      </c>
      <c r="AS2842" s="175">
        <v>21</v>
      </c>
      <c r="AT2842" s="175">
        <v>11</v>
      </c>
    </row>
    <row r="2843" spans="1:46">
      <c r="A2843">
        <v>47494</v>
      </c>
      <c r="B2843" t="s">
        <v>16346</v>
      </c>
      <c r="C2843" t="s">
        <v>16347</v>
      </c>
      <c r="E2843" t="s">
        <v>16348</v>
      </c>
      <c r="G2843" t="s">
        <v>1662</v>
      </c>
      <c r="H2843" t="s">
        <v>449</v>
      </c>
      <c r="J2843" t="s">
        <v>4032</v>
      </c>
      <c r="K2843" t="s">
        <v>606</v>
      </c>
      <c r="M2843" t="s">
        <v>1382</v>
      </c>
      <c r="N2843" t="s">
        <v>657</v>
      </c>
      <c r="O2843" t="s">
        <v>1534</v>
      </c>
      <c r="P2843" t="s">
        <v>610</v>
      </c>
      <c r="Q2843" t="s">
        <v>510</v>
      </c>
      <c r="R2843" t="s">
        <v>1384</v>
      </c>
      <c r="S2843" t="s">
        <v>1384</v>
      </c>
      <c r="T2843" t="s">
        <v>1320</v>
      </c>
      <c r="U2843">
        <v>175001</v>
      </c>
      <c r="V2843" t="s">
        <v>1663</v>
      </c>
      <c r="W2843" t="s">
        <v>1664</v>
      </c>
      <c r="X2843" t="s">
        <v>13190</v>
      </c>
      <c r="Y2843" t="s">
        <v>12254</v>
      </c>
      <c r="Z2843" t="s">
        <v>12255</v>
      </c>
      <c r="AA2843" t="s">
        <v>12256</v>
      </c>
      <c r="AB2843" t="s">
        <v>13187</v>
      </c>
      <c r="AC2843">
        <v>99104</v>
      </c>
      <c r="AD2843" t="s">
        <v>1665</v>
      </c>
      <c r="AE2843">
        <v>-37.808391299999997</v>
      </c>
      <c r="AF2843">
        <v>175.76961180000001</v>
      </c>
      <c r="AG2843" s="175">
        <v>95</v>
      </c>
      <c r="AH2843" s="175">
        <v>34</v>
      </c>
      <c r="AI2843" s="175">
        <v>3</v>
      </c>
      <c r="AJ2843" s="175">
        <v>25</v>
      </c>
      <c r="AK2843" s="175">
        <v>27</v>
      </c>
      <c r="AL2843" s="175">
        <v>32</v>
      </c>
      <c r="AM2843" s="175">
        <v>31</v>
      </c>
      <c r="AN2843" s="175">
        <v>0</v>
      </c>
      <c r="AO2843" s="175">
        <v>118</v>
      </c>
      <c r="AP2843" s="175">
        <v>105</v>
      </c>
      <c r="AQ2843" s="175">
        <v>21</v>
      </c>
      <c r="AR2843" s="175">
        <v>2</v>
      </c>
      <c r="AS2843" s="175">
        <v>8</v>
      </c>
      <c r="AT2843" s="175">
        <v>5</v>
      </c>
    </row>
    <row r="2844" spans="1:46">
      <c r="A2844">
        <v>47495</v>
      </c>
      <c r="B2844" t="s">
        <v>16349</v>
      </c>
      <c r="C2844" t="s">
        <v>16350</v>
      </c>
      <c r="E2844" t="s">
        <v>16351</v>
      </c>
      <c r="F2844" t="s">
        <v>5224</v>
      </c>
      <c r="G2844" t="s">
        <v>737</v>
      </c>
      <c r="H2844" t="s">
        <v>449</v>
      </c>
      <c r="J2844" t="s">
        <v>4032</v>
      </c>
      <c r="K2844" t="s">
        <v>606</v>
      </c>
      <c r="M2844" t="s">
        <v>607</v>
      </c>
      <c r="N2844" t="s">
        <v>657</v>
      </c>
      <c r="O2844" t="s">
        <v>914</v>
      </c>
      <c r="P2844" t="s">
        <v>739</v>
      </c>
      <c r="Q2844" t="s">
        <v>467</v>
      </c>
      <c r="R2844" t="s">
        <v>793</v>
      </c>
      <c r="S2844" t="s">
        <v>890</v>
      </c>
      <c r="T2844" t="s">
        <v>794</v>
      </c>
      <c r="U2844">
        <v>143400</v>
      </c>
      <c r="V2844" t="s">
        <v>5225</v>
      </c>
      <c r="W2844" t="s">
        <v>892</v>
      </c>
      <c r="X2844" t="s">
        <v>8271</v>
      </c>
      <c r="Y2844" t="s">
        <v>16352</v>
      </c>
      <c r="AA2844" t="s">
        <v>6963</v>
      </c>
      <c r="AE2844">
        <v>-36.91028541</v>
      </c>
      <c r="AF2844">
        <v>174.77627002</v>
      </c>
      <c r="AG2844" s="175">
        <v>25</v>
      </c>
      <c r="AH2844" s="175">
        <v>10</v>
      </c>
      <c r="AI2844" s="175">
        <v>1</v>
      </c>
      <c r="AJ2844" s="175">
        <v>1</v>
      </c>
      <c r="AK2844" s="175">
        <v>5</v>
      </c>
      <c r="AL2844" s="175">
        <v>8</v>
      </c>
      <c r="AM2844" s="175">
        <v>5</v>
      </c>
      <c r="AN2844" s="175">
        <v>0</v>
      </c>
      <c r="AO2844" s="175">
        <v>20</v>
      </c>
      <c r="AP2844" s="175">
        <v>5</v>
      </c>
      <c r="AQ2844" s="175">
        <v>2</v>
      </c>
      <c r="AR2844" s="175">
        <v>4</v>
      </c>
      <c r="AS2844" s="175">
        <v>16</v>
      </c>
      <c r="AT2844" s="175">
        <v>0</v>
      </c>
    </row>
    <row r="2845" spans="1:46">
      <c r="A2845">
        <v>47496</v>
      </c>
      <c r="B2845" t="s">
        <v>16353</v>
      </c>
      <c r="C2845" t="s">
        <v>16354</v>
      </c>
      <c r="D2845" t="s">
        <v>16355</v>
      </c>
      <c r="E2845" t="s">
        <v>16356</v>
      </c>
      <c r="G2845" t="s">
        <v>9252</v>
      </c>
      <c r="H2845" t="s">
        <v>449</v>
      </c>
      <c r="I2845" t="s">
        <v>4134</v>
      </c>
      <c r="J2845" t="s">
        <v>4032</v>
      </c>
      <c r="K2845" t="s">
        <v>606</v>
      </c>
      <c r="M2845" t="s">
        <v>1382</v>
      </c>
      <c r="N2845" t="s">
        <v>657</v>
      </c>
      <c r="O2845" t="s">
        <v>1825</v>
      </c>
      <c r="P2845" t="s">
        <v>626</v>
      </c>
      <c r="Q2845" t="s">
        <v>511</v>
      </c>
      <c r="R2845" t="s">
        <v>1384</v>
      </c>
      <c r="S2845" t="s">
        <v>1522</v>
      </c>
      <c r="T2845" t="s">
        <v>1557</v>
      </c>
      <c r="U2845">
        <v>190400</v>
      </c>
      <c r="V2845" t="s">
        <v>16357</v>
      </c>
      <c r="W2845" t="s">
        <v>3860</v>
      </c>
      <c r="X2845" t="s">
        <v>16358</v>
      </c>
      <c r="Y2845" t="s">
        <v>16359</v>
      </c>
      <c r="AA2845" t="s">
        <v>16360</v>
      </c>
      <c r="AB2845" t="s">
        <v>16361</v>
      </c>
      <c r="AC2845">
        <v>99089</v>
      </c>
      <c r="AD2845" t="s">
        <v>3757</v>
      </c>
      <c r="AE2845">
        <v>-37.447097839999998</v>
      </c>
      <c r="AF2845">
        <v>175.95689668</v>
      </c>
      <c r="AG2845" s="175">
        <v>35</v>
      </c>
      <c r="AH2845" s="175">
        <v>15</v>
      </c>
      <c r="AI2845" s="175">
        <v>2</v>
      </c>
      <c r="AJ2845" s="175">
        <v>9</v>
      </c>
      <c r="AK2845" s="175">
        <v>6</v>
      </c>
      <c r="AL2845" s="175">
        <v>14</v>
      </c>
      <c r="AM2845" s="175">
        <v>11</v>
      </c>
      <c r="AN2845" s="175">
        <v>2</v>
      </c>
      <c r="AO2845" s="175">
        <v>44</v>
      </c>
      <c r="AP2845" s="175">
        <v>39</v>
      </c>
      <c r="AQ2845" s="175">
        <v>14</v>
      </c>
      <c r="AR2845" s="175">
        <v>2</v>
      </c>
      <c r="AS2845" s="175">
        <v>3</v>
      </c>
      <c r="AT2845" s="175">
        <v>1</v>
      </c>
    </row>
    <row r="2846" spans="1:46">
      <c r="A2846">
        <v>47499</v>
      </c>
      <c r="B2846" t="s">
        <v>16362</v>
      </c>
      <c r="C2846" t="s">
        <v>15294</v>
      </c>
      <c r="D2846" t="s">
        <v>15295</v>
      </c>
      <c r="E2846" t="s">
        <v>15296</v>
      </c>
      <c r="F2846" t="s">
        <v>1368</v>
      </c>
      <c r="G2846" t="s">
        <v>737</v>
      </c>
      <c r="H2846" t="s">
        <v>450</v>
      </c>
      <c r="J2846" t="s">
        <v>4032</v>
      </c>
      <c r="K2846" t="s">
        <v>606</v>
      </c>
      <c r="M2846" t="s">
        <v>607</v>
      </c>
      <c r="N2846" t="s">
        <v>608</v>
      </c>
      <c r="O2846" t="s">
        <v>813</v>
      </c>
      <c r="P2846" t="s">
        <v>739</v>
      </c>
      <c r="Q2846" t="s">
        <v>467</v>
      </c>
      <c r="R2846" t="s">
        <v>814</v>
      </c>
      <c r="S2846" t="s">
        <v>863</v>
      </c>
      <c r="T2846" t="s">
        <v>794</v>
      </c>
      <c r="U2846">
        <v>157701</v>
      </c>
      <c r="V2846" t="s">
        <v>4562</v>
      </c>
      <c r="W2846" t="s">
        <v>817</v>
      </c>
      <c r="X2846" t="s">
        <v>15297</v>
      </c>
      <c r="Y2846" t="s">
        <v>15296</v>
      </c>
      <c r="Z2846" t="s">
        <v>1368</v>
      </c>
      <c r="AA2846" t="s">
        <v>4687</v>
      </c>
      <c r="AE2846">
        <v>-36.978050039999999</v>
      </c>
      <c r="AF2846">
        <v>174.89177803000001</v>
      </c>
      <c r="AG2846" s="175">
        <v>50</v>
      </c>
      <c r="AH2846" s="175">
        <v>50</v>
      </c>
      <c r="AI2846" s="175">
        <v>6</v>
      </c>
      <c r="AJ2846" s="175">
        <v>2</v>
      </c>
      <c r="AK2846" s="175">
        <v>7</v>
      </c>
      <c r="AL2846" s="175">
        <v>3</v>
      </c>
      <c r="AM2846" s="175">
        <v>5</v>
      </c>
      <c r="AN2846" s="175">
        <v>2</v>
      </c>
      <c r="AO2846" s="175">
        <v>25</v>
      </c>
      <c r="AP2846" s="175">
        <v>0</v>
      </c>
      <c r="AQ2846" s="175">
        <v>0</v>
      </c>
      <c r="AR2846" s="175">
        <v>24</v>
      </c>
      <c r="AS2846" s="175">
        <v>1</v>
      </c>
      <c r="AT2846" s="175">
        <v>0</v>
      </c>
    </row>
    <row r="2847" spans="1:46">
      <c r="A2847">
        <v>47500</v>
      </c>
      <c r="B2847" t="s">
        <v>16363</v>
      </c>
      <c r="C2847" t="s">
        <v>16364</v>
      </c>
      <c r="E2847" t="s">
        <v>16365</v>
      </c>
      <c r="F2847" t="s">
        <v>1120</v>
      </c>
      <c r="G2847" t="s">
        <v>737</v>
      </c>
      <c r="H2847" t="s">
        <v>449</v>
      </c>
      <c r="J2847" t="s">
        <v>4032</v>
      </c>
      <c r="K2847" t="s">
        <v>606</v>
      </c>
      <c r="M2847" t="s">
        <v>607</v>
      </c>
      <c r="N2847" t="s">
        <v>625</v>
      </c>
      <c r="O2847" t="s">
        <v>813</v>
      </c>
      <c r="P2847" t="s">
        <v>739</v>
      </c>
      <c r="Q2847" t="s">
        <v>467</v>
      </c>
      <c r="R2847" t="s">
        <v>814</v>
      </c>
      <c r="S2847" t="s">
        <v>1121</v>
      </c>
      <c r="T2847" t="s">
        <v>794</v>
      </c>
      <c r="U2847">
        <v>154802</v>
      </c>
      <c r="V2847" t="s">
        <v>4414</v>
      </c>
      <c r="W2847" t="s">
        <v>817</v>
      </c>
      <c r="X2847" t="s">
        <v>16366</v>
      </c>
      <c r="Y2847" t="s">
        <v>16367</v>
      </c>
      <c r="Z2847" t="s">
        <v>5170</v>
      </c>
      <c r="AA2847" t="s">
        <v>5066</v>
      </c>
      <c r="AE2847">
        <v>-36.98170416</v>
      </c>
      <c r="AF2847">
        <v>174.84740851999999</v>
      </c>
      <c r="AG2847" s="175">
        <v>70</v>
      </c>
      <c r="AH2847" s="175">
        <v>20</v>
      </c>
      <c r="AI2847" s="175">
        <v>4</v>
      </c>
      <c r="AJ2847" s="175">
        <v>7</v>
      </c>
      <c r="AK2847" s="175">
        <v>14</v>
      </c>
      <c r="AL2847" s="175">
        <v>24</v>
      </c>
      <c r="AM2847" s="175">
        <v>19</v>
      </c>
      <c r="AN2847" s="175">
        <v>2</v>
      </c>
      <c r="AO2847" s="175">
        <v>70</v>
      </c>
      <c r="AP2847" s="175">
        <v>1</v>
      </c>
      <c r="AQ2847" s="175">
        <v>0</v>
      </c>
      <c r="AR2847" s="175">
        <v>8</v>
      </c>
      <c r="AS2847" s="175">
        <v>61</v>
      </c>
      <c r="AT2847" s="175">
        <v>1</v>
      </c>
    </row>
    <row r="2848" spans="1:46">
      <c r="A2848">
        <v>47501</v>
      </c>
      <c r="B2848" t="s">
        <v>16368</v>
      </c>
      <c r="C2848" t="s">
        <v>16369</v>
      </c>
      <c r="D2848" t="s">
        <v>16370</v>
      </c>
      <c r="E2848" t="s">
        <v>16371</v>
      </c>
      <c r="F2848" t="s">
        <v>1252</v>
      </c>
      <c r="G2848" t="s">
        <v>737</v>
      </c>
      <c r="H2848" t="s">
        <v>449</v>
      </c>
      <c r="J2848" t="s">
        <v>4032</v>
      </c>
      <c r="K2848" t="s">
        <v>606</v>
      </c>
      <c r="M2848" t="s">
        <v>607</v>
      </c>
      <c r="N2848" t="s">
        <v>657</v>
      </c>
      <c r="O2848" t="s">
        <v>1253</v>
      </c>
      <c r="P2848" t="s">
        <v>739</v>
      </c>
      <c r="Q2848" t="s">
        <v>467</v>
      </c>
      <c r="R2848" t="s">
        <v>724</v>
      </c>
      <c r="S2848" t="s">
        <v>725</v>
      </c>
      <c r="T2848" t="s">
        <v>613</v>
      </c>
      <c r="U2848">
        <v>117001</v>
      </c>
      <c r="V2848" t="s">
        <v>1252</v>
      </c>
      <c r="W2848" t="s">
        <v>742</v>
      </c>
      <c r="X2848" t="s">
        <v>15411</v>
      </c>
      <c r="Y2848" t="s">
        <v>12254</v>
      </c>
      <c r="Z2848" t="s">
        <v>12255</v>
      </c>
      <c r="AA2848" t="s">
        <v>12256</v>
      </c>
      <c r="AB2848" t="s">
        <v>15412</v>
      </c>
      <c r="AE2848">
        <v>-36.7916788</v>
      </c>
      <c r="AF2848">
        <v>174.61374860000001</v>
      </c>
      <c r="AG2848" s="175">
        <v>90</v>
      </c>
      <c r="AH2848" s="175">
        <v>33</v>
      </c>
      <c r="AI2848" s="175">
        <v>6</v>
      </c>
      <c r="AJ2848" s="175">
        <v>25</v>
      </c>
      <c r="AK2848" s="175">
        <v>21</v>
      </c>
      <c r="AL2848" s="175">
        <v>29</v>
      </c>
      <c r="AM2848" s="175">
        <v>20</v>
      </c>
      <c r="AN2848" s="175">
        <v>0</v>
      </c>
      <c r="AO2848" s="175">
        <v>101</v>
      </c>
      <c r="AP2848" s="175">
        <v>76</v>
      </c>
      <c r="AQ2848" s="175">
        <v>11</v>
      </c>
      <c r="AR2848" s="175">
        <v>6</v>
      </c>
      <c r="AS2848" s="175">
        <v>29</v>
      </c>
      <c r="AT2848" s="175">
        <v>5</v>
      </c>
    </row>
    <row r="2849" spans="1:46">
      <c r="A2849">
        <v>47503</v>
      </c>
      <c r="B2849" t="s">
        <v>16372</v>
      </c>
      <c r="C2849" t="s">
        <v>16373</v>
      </c>
      <c r="D2849" t="s">
        <v>16374</v>
      </c>
      <c r="E2849" t="s">
        <v>16375</v>
      </c>
      <c r="F2849" t="s">
        <v>2930</v>
      </c>
      <c r="G2849" t="s">
        <v>2930</v>
      </c>
      <c r="H2849" t="s">
        <v>449</v>
      </c>
      <c r="J2849" t="s">
        <v>605</v>
      </c>
      <c r="K2849" t="s">
        <v>606</v>
      </c>
      <c r="M2849" t="s">
        <v>2366</v>
      </c>
      <c r="N2849" t="s">
        <v>657</v>
      </c>
      <c r="O2849" t="s">
        <v>2931</v>
      </c>
      <c r="P2849" t="s">
        <v>670</v>
      </c>
      <c r="Q2849" t="s">
        <v>518</v>
      </c>
      <c r="R2849" t="s">
        <v>2901</v>
      </c>
      <c r="S2849" t="s">
        <v>2930</v>
      </c>
      <c r="T2849" t="s">
        <v>2526</v>
      </c>
      <c r="U2849">
        <v>305300</v>
      </c>
      <c r="V2849" t="s">
        <v>16376</v>
      </c>
      <c r="W2849" t="s">
        <v>2114</v>
      </c>
      <c r="X2849" t="s">
        <v>16377</v>
      </c>
      <c r="Y2849" t="s">
        <v>16375</v>
      </c>
      <c r="Z2849" t="s">
        <v>15360</v>
      </c>
      <c r="AA2849" t="s">
        <v>16378</v>
      </c>
      <c r="AB2849" t="s">
        <v>16373</v>
      </c>
      <c r="AC2849">
        <v>99005</v>
      </c>
      <c r="AD2849" t="s">
        <v>2953</v>
      </c>
      <c r="AE2849">
        <v>-41.280133810000002</v>
      </c>
      <c r="AF2849">
        <v>173.28085411999999</v>
      </c>
      <c r="AG2849" s="175">
        <v>32</v>
      </c>
      <c r="AH2849" s="175">
        <v>0</v>
      </c>
      <c r="AI2849" s="175">
        <v>0</v>
      </c>
      <c r="AJ2849" s="175">
        <v>0</v>
      </c>
      <c r="AK2849" s="175">
        <v>9</v>
      </c>
      <c r="AL2849" s="175">
        <v>7</v>
      </c>
      <c r="AM2849" s="175">
        <v>17</v>
      </c>
      <c r="AN2849" s="175">
        <v>0</v>
      </c>
      <c r="AO2849" s="175">
        <v>33</v>
      </c>
      <c r="AP2849" s="175">
        <v>17</v>
      </c>
      <c r="AQ2849" s="175">
        <v>5</v>
      </c>
      <c r="AR2849" s="175">
        <v>1</v>
      </c>
      <c r="AS2849" s="175">
        <v>13</v>
      </c>
      <c r="AT2849" s="175">
        <v>1</v>
      </c>
    </row>
    <row r="2850" spans="1:46">
      <c r="A2850">
        <v>47504</v>
      </c>
      <c r="B2850" t="s">
        <v>16379</v>
      </c>
      <c r="C2850" t="s">
        <v>16380</v>
      </c>
      <c r="D2850" t="s">
        <v>16381</v>
      </c>
      <c r="E2850" t="s">
        <v>16382</v>
      </c>
      <c r="F2850" t="s">
        <v>16383</v>
      </c>
      <c r="G2850" t="s">
        <v>2162</v>
      </c>
      <c r="H2850" t="s">
        <v>449</v>
      </c>
      <c r="J2850" t="s">
        <v>4032</v>
      </c>
      <c r="K2850" t="s">
        <v>606</v>
      </c>
      <c r="M2850" t="s">
        <v>1382</v>
      </c>
      <c r="N2850" t="s">
        <v>643</v>
      </c>
      <c r="O2850" t="s">
        <v>2163</v>
      </c>
      <c r="P2850" t="s">
        <v>670</v>
      </c>
      <c r="Q2850" t="s">
        <v>512</v>
      </c>
      <c r="R2850" t="s">
        <v>2164</v>
      </c>
      <c r="S2850" t="s">
        <v>1556</v>
      </c>
      <c r="T2850" t="s">
        <v>2165</v>
      </c>
      <c r="U2850">
        <v>206801</v>
      </c>
      <c r="V2850" t="s">
        <v>16384</v>
      </c>
      <c r="W2850" t="s">
        <v>2167</v>
      </c>
      <c r="X2850" t="s">
        <v>16385</v>
      </c>
      <c r="Y2850" t="s">
        <v>4176</v>
      </c>
      <c r="AA2850" t="s">
        <v>4052</v>
      </c>
      <c r="AB2850" t="s">
        <v>16386</v>
      </c>
      <c r="AC2850">
        <v>99083</v>
      </c>
      <c r="AD2850" t="s">
        <v>2179</v>
      </c>
      <c r="AE2850">
        <v>-38.670404189999999</v>
      </c>
      <c r="AF2850">
        <v>178.02670047999999</v>
      </c>
      <c r="AG2850" s="175">
        <v>100</v>
      </c>
      <c r="AH2850" s="175">
        <v>20</v>
      </c>
      <c r="AI2850" s="175">
        <v>3</v>
      </c>
      <c r="AJ2850" s="175">
        <v>9</v>
      </c>
      <c r="AK2850" s="175">
        <v>11</v>
      </c>
      <c r="AL2850" s="175">
        <v>16</v>
      </c>
      <c r="AM2850" s="175">
        <v>19</v>
      </c>
      <c r="AN2850" s="175">
        <v>4</v>
      </c>
      <c r="AO2850" s="175">
        <v>62</v>
      </c>
      <c r="AP2850" s="175">
        <v>35</v>
      </c>
      <c r="AQ2850" s="175">
        <v>29</v>
      </c>
      <c r="AR2850" s="175">
        <v>1</v>
      </c>
      <c r="AS2850" s="175">
        <v>4</v>
      </c>
      <c r="AT2850" s="175">
        <v>6</v>
      </c>
    </row>
    <row r="2851" spans="1:46">
      <c r="A2851">
        <v>47505</v>
      </c>
      <c r="B2851" t="s">
        <v>16387</v>
      </c>
      <c r="C2851" t="s">
        <v>16388</v>
      </c>
      <c r="D2851" t="s">
        <v>16389</v>
      </c>
      <c r="E2851" t="s">
        <v>16390</v>
      </c>
      <c r="G2851" t="s">
        <v>7725</v>
      </c>
      <c r="H2851" t="s">
        <v>449</v>
      </c>
      <c r="J2851" t="s">
        <v>4032</v>
      </c>
      <c r="K2851" t="s">
        <v>606</v>
      </c>
      <c r="M2851" t="s">
        <v>607</v>
      </c>
      <c r="N2851" t="s">
        <v>657</v>
      </c>
      <c r="O2851" t="s">
        <v>1318</v>
      </c>
      <c r="P2851" t="s">
        <v>626</v>
      </c>
      <c r="Q2851" t="s">
        <v>467</v>
      </c>
      <c r="R2851" t="s">
        <v>793</v>
      </c>
      <c r="S2851" t="s">
        <v>1319</v>
      </c>
      <c r="T2851" t="s">
        <v>1320</v>
      </c>
      <c r="U2851">
        <v>157101</v>
      </c>
      <c r="V2851" t="s">
        <v>7904</v>
      </c>
      <c r="W2851" t="s">
        <v>1322</v>
      </c>
      <c r="X2851" t="s">
        <v>16391</v>
      </c>
      <c r="Y2851" t="s">
        <v>16392</v>
      </c>
      <c r="Z2851" t="s">
        <v>7875</v>
      </c>
      <c r="AA2851" t="s">
        <v>15562</v>
      </c>
      <c r="AE2851">
        <v>-36.946237570000001</v>
      </c>
      <c r="AF2851">
        <v>174.96498679999999</v>
      </c>
      <c r="AG2851" s="175">
        <v>79</v>
      </c>
      <c r="AH2851" s="175">
        <v>21</v>
      </c>
      <c r="AI2851" s="175">
        <v>4</v>
      </c>
      <c r="AJ2851" s="175">
        <v>20</v>
      </c>
      <c r="AK2851" s="175">
        <v>21</v>
      </c>
      <c r="AL2851" s="175">
        <v>25</v>
      </c>
      <c r="AM2851" s="175">
        <v>15</v>
      </c>
      <c r="AN2851" s="175">
        <v>1</v>
      </c>
      <c r="AO2851" s="175">
        <v>86</v>
      </c>
      <c r="AP2851" s="175">
        <v>76</v>
      </c>
      <c r="AQ2851" s="175">
        <v>12</v>
      </c>
      <c r="AR2851" s="175">
        <v>4</v>
      </c>
      <c r="AS2851" s="175">
        <v>14</v>
      </c>
      <c r="AT2851" s="175">
        <v>8</v>
      </c>
    </row>
    <row r="2852" spans="1:46">
      <c r="A2852">
        <v>47508</v>
      </c>
      <c r="B2852" t="s">
        <v>16393</v>
      </c>
      <c r="D2852" t="s">
        <v>16394</v>
      </c>
      <c r="E2852" t="s">
        <v>16395</v>
      </c>
      <c r="F2852" t="s">
        <v>16396</v>
      </c>
      <c r="G2852" t="s">
        <v>3334</v>
      </c>
      <c r="H2852" t="s">
        <v>449</v>
      </c>
      <c r="I2852" t="s">
        <v>5017</v>
      </c>
      <c r="J2852" t="s">
        <v>605</v>
      </c>
      <c r="K2852" t="s">
        <v>606</v>
      </c>
      <c r="M2852" t="s">
        <v>2366</v>
      </c>
      <c r="N2852" t="s">
        <v>625</v>
      </c>
      <c r="O2852" t="s">
        <v>3322</v>
      </c>
      <c r="P2852" t="s">
        <v>1347</v>
      </c>
      <c r="Q2852" t="s">
        <v>521</v>
      </c>
      <c r="R2852" t="s">
        <v>3017</v>
      </c>
      <c r="S2852" t="s">
        <v>3292</v>
      </c>
      <c r="T2852" t="s">
        <v>2526</v>
      </c>
      <c r="U2852">
        <v>339800</v>
      </c>
      <c r="V2852" t="s">
        <v>16396</v>
      </c>
      <c r="W2852" t="s">
        <v>3336</v>
      </c>
      <c r="X2852" t="s">
        <v>16397</v>
      </c>
      <c r="Y2852" t="s">
        <v>16398</v>
      </c>
      <c r="Z2852" t="s">
        <v>3334</v>
      </c>
      <c r="AA2852" t="s">
        <v>16399</v>
      </c>
      <c r="AB2852" t="s">
        <v>16400</v>
      </c>
      <c r="AE2852">
        <v>-44.371253680000002</v>
      </c>
      <c r="AF2852">
        <v>171.24622789</v>
      </c>
      <c r="AG2852" s="175">
        <v>30</v>
      </c>
      <c r="AH2852" s="175">
        <v>10</v>
      </c>
      <c r="AI2852" s="175">
        <v>1</v>
      </c>
      <c r="AJ2852" s="175">
        <v>6</v>
      </c>
      <c r="AK2852" s="175">
        <v>7</v>
      </c>
      <c r="AL2852" s="175">
        <v>2</v>
      </c>
      <c r="AM2852" s="175">
        <v>4</v>
      </c>
      <c r="AN2852" s="175">
        <v>0</v>
      </c>
      <c r="AO2852" s="175">
        <v>20</v>
      </c>
      <c r="AP2852" s="175">
        <v>13</v>
      </c>
      <c r="AQ2852" s="175">
        <v>13</v>
      </c>
      <c r="AR2852" s="175">
        <v>4</v>
      </c>
      <c r="AS2852" s="175">
        <v>0</v>
      </c>
      <c r="AT2852" s="175">
        <v>0</v>
      </c>
    </row>
    <row r="2853" spans="1:46">
      <c r="A2853">
        <v>47513</v>
      </c>
      <c r="B2853" t="s">
        <v>16401</v>
      </c>
      <c r="C2853" t="s">
        <v>16402</v>
      </c>
      <c r="E2853" t="s">
        <v>16403</v>
      </c>
      <c r="F2853" t="s">
        <v>3777</v>
      </c>
      <c r="G2853" t="s">
        <v>737</v>
      </c>
      <c r="H2853" t="s">
        <v>449</v>
      </c>
      <c r="J2853" t="s">
        <v>4032</v>
      </c>
      <c r="K2853" t="s">
        <v>606</v>
      </c>
      <c r="M2853" t="s">
        <v>607</v>
      </c>
      <c r="N2853" t="s">
        <v>657</v>
      </c>
      <c r="O2853" t="s">
        <v>1253</v>
      </c>
      <c r="P2853" t="s">
        <v>739</v>
      </c>
      <c r="Q2853" t="s">
        <v>467</v>
      </c>
      <c r="R2853" t="s">
        <v>724</v>
      </c>
      <c r="S2853" t="s">
        <v>740</v>
      </c>
      <c r="T2853" t="s">
        <v>613</v>
      </c>
      <c r="U2853">
        <v>117300</v>
      </c>
      <c r="V2853" t="s">
        <v>5769</v>
      </c>
      <c r="W2853" t="s">
        <v>742</v>
      </c>
      <c r="X2853" t="s">
        <v>12754</v>
      </c>
      <c r="Y2853" t="s">
        <v>12755</v>
      </c>
      <c r="Z2853" t="s">
        <v>6227</v>
      </c>
      <c r="AA2853" t="s">
        <v>4498</v>
      </c>
      <c r="AB2853" t="s">
        <v>12756</v>
      </c>
      <c r="AE2853">
        <v>-36.732835430000002</v>
      </c>
      <c r="AF2853">
        <v>174.7118802</v>
      </c>
      <c r="AG2853" s="175">
        <v>92</v>
      </c>
      <c r="AH2853" s="175">
        <v>60</v>
      </c>
      <c r="AI2853" s="175">
        <v>8</v>
      </c>
      <c r="AJ2853" s="175">
        <v>23</v>
      </c>
      <c r="AK2853" s="175">
        <v>26</v>
      </c>
      <c r="AL2853" s="175">
        <v>0</v>
      </c>
      <c r="AM2853" s="175">
        <v>0</v>
      </c>
      <c r="AN2853" s="175">
        <v>0</v>
      </c>
      <c r="AO2853" s="175">
        <v>57</v>
      </c>
      <c r="AP2853" s="175">
        <v>31</v>
      </c>
      <c r="AQ2853" s="175">
        <v>6</v>
      </c>
      <c r="AR2853" s="175">
        <v>3</v>
      </c>
      <c r="AS2853" s="175">
        <v>24</v>
      </c>
      <c r="AT2853" s="175">
        <v>7</v>
      </c>
    </row>
    <row r="2854" spans="1:46">
      <c r="A2854">
        <v>47514</v>
      </c>
      <c r="B2854" t="s">
        <v>16404</v>
      </c>
      <c r="C2854" t="s">
        <v>16405</v>
      </c>
      <c r="E2854" t="s">
        <v>16406</v>
      </c>
      <c r="F2854" t="s">
        <v>2557</v>
      </c>
      <c r="G2854" t="s">
        <v>2505</v>
      </c>
      <c r="H2854" t="s">
        <v>449</v>
      </c>
      <c r="J2854" t="s">
        <v>4032</v>
      </c>
      <c r="K2854" t="s">
        <v>606</v>
      </c>
      <c r="M2854" t="s">
        <v>2366</v>
      </c>
      <c r="N2854" t="s">
        <v>657</v>
      </c>
      <c r="O2854" t="s">
        <v>2506</v>
      </c>
      <c r="P2854" t="s">
        <v>739</v>
      </c>
      <c r="Q2854" t="s">
        <v>516</v>
      </c>
      <c r="R2854" t="s">
        <v>2368</v>
      </c>
      <c r="S2854" t="s">
        <v>2451</v>
      </c>
      <c r="T2854" t="s">
        <v>2165</v>
      </c>
      <c r="U2854">
        <v>245400</v>
      </c>
      <c r="V2854" t="s">
        <v>2558</v>
      </c>
      <c r="W2854" t="s">
        <v>2533</v>
      </c>
      <c r="X2854" t="s">
        <v>16407</v>
      </c>
      <c r="Y2854" t="s">
        <v>16408</v>
      </c>
      <c r="Z2854" t="s">
        <v>854</v>
      </c>
      <c r="AA2854" t="s">
        <v>4604</v>
      </c>
      <c r="AE2854">
        <v>-41.201481729999998</v>
      </c>
      <c r="AF2854">
        <v>174.94464859000001</v>
      </c>
      <c r="AG2854" s="175">
        <v>60</v>
      </c>
      <c r="AH2854" s="175">
        <v>0</v>
      </c>
      <c r="AI2854" s="175">
        <v>0</v>
      </c>
      <c r="AJ2854" s="175">
        <v>0</v>
      </c>
      <c r="AK2854" s="175">
        <v>18</v>
      </c>
      <c r="AL2854" s="175">
        <v>24</v>
      </c>
      <c r="AM2854" s="175">
        <v>20</v>
      </c>
      <c r="AN2854" s="175">
        <v>0</v>
      </c>
      <c r="AO2854" s="175">
        <v>62</v>
      </c>
      <c r="AP2854" s="175">
        <v>26</v>
      </c>
      <c r="AQ2854" s="175">
        <v>13</v>
      </c>
      <c r="AR2854" s="175">
        <v>18</v>
      </c>
      <c r="AS2854" s="175">
        <v>22</v>
      </c>
      <c r="AT2854" s="175">
        <v>1</v>
      </c>
    </row>
    <row r="2855" spans="1:46">
      <c r="A2855">
        <v>47515</v>
      </c>
      <c r="B2855" t="s">
        <v>16409</v>
      </c>
      <c r="C2855" t="s">
        <v>16410</v>
      </c>
      <c r="D2855" t="s">
        <v>16411</v>
      </c>
      <c r="E2855" t="s">
        <v>16412</v>
      </c>
      <c r="G2855" t="s">
        <v>9370</v>
      </c>
      <c r="H2855" t="s">
        <v>449</v>
      </c>
      <c r="J2855" t="s">
        <v>4032</v>
      </c>
      <c r="K2855" t="s">
        <v>606</v>
      </c>
      <c r="M2855" t="s">
        <v>1382</v>
      </c>
      <c r="N2855" t="s">
        <v>657</v>
      </c>
      <c r="O2855" t="s">
        <v>1435</v>
      </c>
      <c r="P2855" t="s">
        <v>626</v>
      </c>
      <c r="Q2855" t="s">
        <v>510</v>
      </c>
      <c r="R2855" t="s">
        <v>1384</v>
      </c>
      <c r="S2855" t="s">
        <v>1501</v>
      </c>
      <c r="T2855" t="s">
        <v>1320</v>
      </c>
      <c r="U2855">
        <v>172401</v>
      </c>
      <c r="V2855" t="s">
        <v>9371</v>
      </c>
      <c r="W2855" t="s">
        <v>1437</v>
      </c>
      <c r="X2855" t="s">
        <v>16413</v>
      </c>
      <c r="Y2855" t="s">
        <v>16414</v>
      </c>
      <c r="AA2855" t="s">
        <v>16415</v>
      </c>
      <c r="AB2855" t="s">
        <v>16416</v>
      </c>
      <c r="AC2855">
        <v>99035</v>
      </c>
      <c r="AD2855" t="s">
        <v>1392</v>
      </c>
      <c r="AE2855">
        <v>-37.738130560000002</v>
      </c>
      <c r="AF2855">
        <v>175.15740700000001</v>
      </c>
      <c r="AG2855" s="175">
        <v>98</v>
      </c>
      <c r="AH2855" s="175">
        <v>24</v>
      </c>
      <c r="AI2855" s="175">
        <v>4</v>
      </c>
      <c r="AJ2855" s="175">
        <v>19</v>
      </c>
      <c r="AK2855" s="175">
        <v>25</v>
      </c>
      <c r="AL2855" s="175">
        <v>23</v>
      </c>
      <c r="AM2855" s="175">
        <v>27</v>
      </c>
      <c r="AN2855" s="175">
        <v>2</v>
      </c>
      <c r="AO2855" s="175">
        <v>100</v>
      </c>
      <c r="AP2855" s="175">
        <v>91</v>
      </c>
      <c r="AQ2855" s="175">
        <v>11</v>
      </c>
      <c r="AR2855" s="175">
        <v>4</v>
      </c>
      <c r="AS2855" s="175">
        <v>6</v>
      </c>
      <c r="AT2855" s="175">
        <v>2</v>
      </c>
    </row>
    <row r="2856" spans="1:46">
      <c r="A2856">
        <v>47518</v>
      </c>
      <c r="B2856" t="s">
        <v>16417</v>
      </c>
      <c r="C2856" t="s">
        <v>16418</v>
      </c>
      <c r="D2856" t="s">
        <v>16419</v>
      </c>
      <c r="E2856" t="s">
        <v>16420</v>
      </c>
      <c r="G2856" t="s">
        <v>2295</v>
      </c>
      <c r="H2856" t="s">
        <v>449</v>
      </c>
      <c r="J2856" t="s">
        <v>4032</v>
      </c>
      <c r="K2856" t="s">
        <v>606</v>
      </c>
      <c r="M2856" t="s">
        <v>1382</v>
      </c>
      <c r="N2856" t="s">
        <v>657</v>
      </c>
      <c r="O2856" t="s">
        <v>2277</v>
      </c>
      <c r="P2856" t="s">
        <v>1347</v>
      </c>
      <c r="Q2856" t="s">
        <v>513</v>
      </c>
      <c r="R2856" t="s">
        <v>2164</v>
      </c>
      <c r="S2856" t="s">
        <v>2278</v>
      </c>
      <c r="T2856" t="s">
        <v>2165</v>
      </c>
      <c r="U2856">
        <v>211600</v>
      </c>
      <c r="V2856" t="s">
        <v>8785</v>
      </c>
      <c r="W2856" t="s">
        <v>2279</v>
      </c>
      <c r="X2856" t="s">
        <v>13709</v>
      </c>
      <c r="Y2856" t="s">
        <v>13710</v>
      </c>
      <c r="AA2856" t="s">
        <v>13711</v>
      </c>
      <c r="AB2856" t="s">
        <v>13712</v>
      </c>
      <c r="AE2856">
        <v>-39.671081809999997</v>
      </c>
      <c r="AF2856">
        <v>176.87582635000001</v>
      </c>
      <c r="AG2856" s="175">
        <v>40</v>
      </c>
      <c r="AH2856" s="175">
        <v>34</v>
      </c>
      <c r="AI2856" s="175">
        <v>3</v>
      </c>
      <c r="AJ2856" s="175">
        <v>3</v>
      </c>
      <c r="AK2856" s="175">
        <v>7</v>
      </c>
      <c r="AL2856" s="175">
        <v>8</v>
      </c>
      <c r="AM2856" s="175">
        <v>5</v>
      </c>
      <c r="AN2856" s="175">
        <v>0</v>
      </c>
      <c r="AO2856" s="175">
        <v>26</v>
      </c>
      <c r="AP2856" s="175">
        <v>26</v>
      </c>
      <c r="AQ2856" s="175">
        <v>9</v>
      </c>
      <c r="AR2856" s="175">
        <v>0</v>
      </c>
      <c r="AS2856" s="175">
        <v>0</v>
      </c>
      <c r="AT2856" s="175">
        <v>3</v>
      </c>
    </row>
    <row r="2857" spans="1:46">
      <c r="A2857">
        <v>47519</v>
      </c>
      <c r="B2857" t="s">
        <v>16421</v>
      </c>
      <c r="C2857" t="s">
        <v>16422</v>
      </c>
      <c r="D2857" t="s">
        <v>16423</v>
      </c>
      <c r="E2857" t="s">
        <v>16424</v>
      </c>
      <c r="G2857" t="s">
        <v>1604</v>
      </c>
      <c r="H2857" t="s">
        <v>449</v>
      </c>
      <c r="J2857" t="s">
        <v>4032</v>
      </c>
      <c r="K2857" t="s">
        <v>606</v>
      </c>
      <c r="M2857" t="s">
        <v>1382</v>
      </c>
      <c r="N2857" t="s">
        <v>608</v>
      </c>
      <c r="O2857" t="s">
        <v>1605</v>
      </c>
      <c r="P2857" t="s">
        <v>670</v>
      </c>
      <c r="Q2857" t="s">
        <v>511</v>
      </c>
      <c r="R2857" t="s">
        <v>1555</v>
      </c>
      <c r="S2857" t="s">
        <v>1604</v>
      </c>
      <c r="T2857" t="s">
        <v>1557</v>
      </c>
      <c r="U2857">
        <v>200000</v>
      </c>
      <c r="V2857" t="s">
        <v>16425</v>
      </c>
      <c r="W2857" t="s">
        <v>1606</v>
      </c>
      <c r="X2857" t="s">
        <v>16426</v>
      </c>
      <c r="Y2857" t="s">
        <v>16427</v>
      </c>
      <c r="Z2857" t="s">
        <v>1688</v>
      </c>
      <c r="AA2857" t="s">
        <v>8584</v>
      </c>
      <c r="AB2857" t="s">
        <v>16422</v>
      </c>
      <c r="AE2857">
        <v>-38.148965410000002</v>
      </c>
      <c r="AF2857">
        <v>176.22288563000001</v>
      </c>
      <c r="AG2857" s="175">
        <v>40</v>
      </c>
      <c r="AH2857" s="175">
        <v>10</v>
      </c>
      <c r="AI2857" s="175">
        <v>0</v>
      </c>
      <c r="AJ2857" s="175">
        <v>4</v>
      </c>
      <c r="AK2857" s="175">
        <v>6</v>
      </c>
      <c r="AL2857" s="175">
        <v>8</v>
      </c>
      <c r="AM2857" s="175">
        <v>9</v>
      </c>
      <c r="AN2857" s="175">
        <v>0</v>
      </c>
      <c r="AO2857" s="175">
        <v>27</v>
      </c>
      <c r="AP2857" s="175">
        <v>10</v>
      </c>
      <c r="AQ2857" s="175">
        <v>13</v>
      </c>
      <c r="AR2857" s="175">
        <v>6</v>
      </c>
      <c r="AS2857" s="175">
        <v>7</v>
      </c>
      <c r="AT2857" s="175">
        <v>0</v>
      </c>
    </row>
    <row r="2858" spans="1:46">
      <c r="A2858">
        <v>47521</v>
      </c>
      <c r="B2858" t="s">
        <v>16428</v>
      </c>
      <c r="C2858" t="s">
        <v>16429</v>
      </c>
      <c r="E2858" t="s">
        <v>16430</v>
      </c>
      <c r="F2858" t="s">
        <v>932</v>
      </c>
      <c r="G2858" t="s">
        <v>737</v>
      </c>
      <c r="H2858" t="s">
        <v>450</v>
      </c>
      <c r="J2858" t="s">
        <v>4032</v>
      </c>
      <c r="K2858" t="s">
        <v>606</v>
      </c>
      <c r="M2858" t="s">
        <v>607</v>
      </c>
      <c r="N2858" t="s">
        <v>657</v>
      </c>
      <c r="O2858" t="s">
        <v>933</v>
      </c>
      <c r="P2858" t="s">
        <v>739</v>
      </c>
      <c r="Q2858" t="s">
        <v>467</v>
      </c>
      <c r="R2858" t="s">
        <v>814</v>
      </c>
      <c r="S2858" t="s">
        <v>934</v>
      </c>
      <c r="T2858" t="s">
        <v>794</v>
      </c>
      <c r="U2858">
        <v>147900</v>
      </c>
      <c r="V2858" t="s">
        <v>4805</v>
      </c>
      <c r="W2858" t="s">
        <v>817</v>
      </c>
      <c r="X2858" t="s">
        <v>16431</v>
      </c>
      <c r="Y2858" t="s">
        <v>16430</v>
      </c>
      <c r="Z2858" t="s">
        <v>932</v>
      </c>
      <c r="AA2858" t="s">
        <v>13704</v>
      </c>
      <c r="AB2858" t="s">
        <v>16429</v>
      </c>
      <c r="AE2858">
        <v>-36.972805139999998</v>
      </c>
      <c r="AF2858">
        <v>174.78768260000001</v>
      </c>
      <c r="AG2858" s="175">
        <v>80</v>
      </c>
      <c r="AH2858" s="175">
        <v>80</v>
      </c>
      <c r="AI2858" s="175">
        <v>5</v>
      </c>
      <c r="AJ2858" s="175">
        <v>21</v>
      </c>
      <c r="AK2858" s="175">
        <v>21</v>
      </c>
      <c r="AL2858" s="175">
        <v>15</v>
      </c>
      <c r="AM2858" s="175">
        <v>9</v>
      </c>
      <c r="AN2858" s="175">
        <v>4</v>
      </c>
      <c r="AO2858" s="175">
        <v>75</v>
      </c>
      <c r="AP2858" s="175">
        <v>1</v>
      </c>
      <c r="AQ2858" s="175">
        <v>4</v>
      </c>
      <c r="AR2858" s="175">
        <v>68</v>
      </c>
      <c r="AS2858" s="175">
        <v>8</v>
      </c>
      <c r="AT2858" s="175">
        <v>0</v>
      </c>
    </row>
    <row r="2859" spans="1:46">
      <c r="A2859">
        <v>47522</v>
      </c>
      <c r="B2859" t="s">
        <v>16432</v>
      </c>
      <c r="C2859" t="s">
        <v>16433</v>
      </c>
      <c r="D2859" t="s">
        <v>16434</v>
      </c>
      <c r="E2859" t="s">
        <v>16435</v>
      </c>
      <c r="G2859" t="s">
        <v>760</v>
      </c>
      <c r="H2859" t="s">
        <v>449</v>
      </c>
      <c r="J2859" t="s">
        <v>4032</v>
      </c>
      <c r="K2859" t="s">
        <v>606</v>
      </c>
      <c r="M2859" t="s">
        <v>607</v>
      </c>
      <c r="N2859" t="s">
        <v>657</v>
      </c>
      <c r="O2859" t="s">
        <v>723</v>
      </c>
      <c r="P2859" t="s">
        <v>610</v>
      </c>
      <c r="Q2859" t="s">
        <v>467</v>
      </c>
      <c r="R2859" t="s">
        <v>724</v>
      </c>
      <c r="S2859" t="s">
        <v>725</v>
      </c>
      <c r="T2859" t="s">
        <v>613</v>
      </c>
      <c r="U2859">
        <v>111300</v>
      </c>
      <c r="V2859" t="s">
        <v>6934</v>
      </c>
      <c r="W2859" t="s">
        <v>726</v>
      </c>
      <c r="X2859" t="s">
        <v>11364</v>
      </c>
      <c r="Y2859" t="s">
        <v>11365</v>
      </c>
      <c r="Z2859" t="s">
        <v>3777</v>
      </c>
      <c r="AA2859" t="s">
        <v>6335</v>
      </c>
      <c r="AB2859" t="s">
        <v>11366</v>
      </c>
      <c r="AE2859">
        <v>-36.398684459999998</v>
      </c>
      <c r="AF2859">
        <v>174.6614998</v>
      </c>
      <c r="AG2859" s="175">
        <v>48</v>
      </c>
      <c r="AH2859" s="175">
        <v>10</v>
      </c>
      <c r="AI2859" s="175">
        <v>1</v>
      </c>
      <c r="AJ2859" s="175">
        <v>3</v>
      </c>
      <c r="AK2859" s="175">
        <v>12</v>
      </c>
      <c r="AL2859" s="175">
        <v>7</v>
      </c>
      <c r="AM2859" s="175">
        <v>10</v>
      </c>
      <c r="AN2859" s="175">
        <v>3</v>
      </c>
      <c r="AO2859" s="175">
        <v>36</v>
      </c>
      <c r="AP2859" s="175">
        <v>27</v>
      </c>
      <c r="AQ2859" s="175">
        <v>3</v>
      </c>
      <c r="AR2859" s="175">
        <v>3</v>
      </c>
      <c r="AS2859" s="175">
        <v>6</v>
      </c>
      <c r="AT2859" s="175">
        <v>0</v>
      </c>
    </row>
    <row r="2860" spans="1:46">
      <c r="A2860">
        <v>47524</v>
      </c>
      <c r="B2860" t="s">
        <v>16436</v>
      </c>
      <c r="C2860" t="s">
        <v>14109</v>
      </c>
      <c r="D2860" t="s">
        <v>14440</v>
      </c>
      <c r="E2860" t="s">
        <v>6332</v>
      </c>
      <c r="F2860" t="s">
        <v>3777</v>
      </c>
      <c r="G2860" t="s">
        <v>737</v>
      </c>
      <c r="H2860" t="s">
        <v>450</v>
      </c>
      <c r="J2860" t="s">
        <v>4032</v>
      </c>
      <c r="K2860" t="s">
        <v>606</v>
      </c>
      <c r="M2860" t="s">
        <v>607</v>
      </c>
      <c r="N2860" t="s">
        <v>657</v>
      </c>
      <c r="O2860" t="s">
        <v>1253</v>
      </c>
      <c r="P2860" t="s">
        <v>739</v>
      </c>
      <c r="Q2860" t="s">
        <v>467</v>
      </c>
      <c r="R2860" t="s">
        <v>724</v>
      </c>
      <c r="S2860" t="s">
        <v>740</v>
      </c>
      <c r="T2860" t="s">
        <v>613</v>
      </c>
      <c r="U2860">
        <v>117300</v>
      </c>
      <c r="V2860" t="s">
        <v>5769</v>
      </c>
      <c r="W2860" t="s">
        <v>742</v>
      </c>
      <c r="X2860" t="s">
        <v>6333</v>
      </c>
      <c r="Y2860" t="s">
        <v>6334</v>
      </c>
      <c r="Z2860" t="s">
        <v>3777</v>
      </c>
      <c r="AA2860" t="s">
        <v>6335</v>
      </c>
      <c r="AE2860">
        <v>-36.733572909999999</v>
      </c>
      <c r="AF2860">
        <v>174.71022909999999</v>
      </c>
      <c r="AG2860" s="175">
        <v>60</v>
      </c>
      <c r="AH2860" s="175">
        <v>60</v>
      </c>
      <c r="AI2860" s="175">
        <v>2</v>
      </c>
      <c r="AJ2860" s="175">
        <v>5</v>
      </c>
      <c r="AK2860" s="175">
        <v>6</v>
      </c>
      <c r="AL2860" s="175">
        <v>10</v>
      </c>
      <c r="AM2860" s="175">
        <v>9</v>
      </c>
      <c r="AN2860" s="175">
        <v>0</v>
      </c>
      <c r="AO2860" s="175">
        <v>32</v>
      </c>
      <c r="AP2860" s="175">
        <v>27</v>
      </c>
      <c r="AQ2860" s="175">
        <v>2</v>
      </c>
      <c r="AR2860" s="175">
        <v>6</v>
      </c>
      <c r="AS2860" s="175">
        <v>2</v>
      </c>
      <c r="AT2860" s="175">
        <v>0</v>
      </c>
    </row>
    <row r="2861" spans="1:46">
      <c r="A2861">
        <v>47526</v>
      </c>
      <c r="B2861" t="s">
        <v>16437</v>
      </c>
      <c r="C2861" t="s">
        <v>16438</v>
      </c>
      <c r="E2861" t="s">
        <v>16439</v>
      </c>
      <c r="F2861" t="s">
        <v>2583</v>
      </c>
      <c r="G2861" t="s">
        <v>2505</v>
      </c>
      <c r="H2861" t="s">
        <v>449</v>
      </c>
      <c r="J2861" t="s">
        <v>605</v>
      </c>
      <c r="K2861" t="s">
        <v>606</v>
      </c>
      <c r="M2861" t="s">
        <v>2366</v>
      </c>
      <c r="N2861" t="s">
        <v>608</v>
      </c>
      <c r="O2861" t="s">
        <v>2506</v>
      </c>
      <c r="P2861" t="s">
        <v>739</v>
      </c>
      <c r="Q2861" t="s">
        <v>516</v>
      </c>
      <c r="R2861" t="s">
        <v>2368</v>
      </c>
      <c r="S2861" t="s">
        <v>2451</v>
      </c>
      <c r="T2861" t="s">
        <v>2165</v>
      </c>
      <c r="U2861">
        <v>244600</v>
      </c>
      <c r="V2861" t="s">
        <v>2584</v>
      </c>
      <c r="W2861" t="s">
        <v>2546</v>
      </c>
      <c r="X2861" t="s">
        <v>10497</v>
      </c>
      <c r="Y2861" t="s">
        <v>4014</v>
      </c>
      <c r="Z2861" t="s">
        <v>4015</v>
      </c>
      <c r="AA2861" t="s">
        <v>4016</v>
      </c>
      <c r="AC2861">
        <v>99111</v>
      </c>
      <c r="AD2861" t="s">
        <v>2547</v>
      </c>
      <c r="AE2861">
        <v>-41.178715009999998</v>
      </c>
      <c r="AF2861">
        <v>174.95953926000001</v>
      </c>
      <c r="AG2861" s="175">
        <v>87</v>
      </c>
      <c r="AH2861" s="175">
        <v>25</v>
      </c>
      <c r="AI2861" s="175">
        <v>1</v>
      </c>
      <c r="AJ2861" s="175">
        <v>15</v>
      </c>
      <c r="AK2861" s="175">
        <v>23</v>
      </c>
      <c r="AL2861" s="175">
        <v>19</v>
      </c>
      <c r="AM2861" s="175">
        <v>16</v>
      </c>
      <c r="AN2861" s="175">
        <v>1</v>
      </c>
      <c r="AO2861" s="175">
        <v>75</v>
      </c>
      <c r="AP2861" s="175">
        <v>27</v>
      </c>
      <c r="AQ2861" s="175">
        <v>21</v>
      </c>
      <c r="AR2861" s="175">
        <v>24</v>
      </c>
      <c r="AS2861" s="175">
        <v>20</v>
      </c>
      <c r="AT2861" s="175">
        <v>10</v>
      </c>
    </row>
    <row r="2862" spans="1:46">
      <c r="A2862">
        <v>47527</v>
      </c>
      <c r="B2862" t="s">
        <v>16440</v>
      </c>
      <c r="C2862" t="s">
        <v>16441</v>
      </c>
      <c r="E2862" t="s">
        <v>16442</v>
      </c>
      <c r="F2862" t="s">
        <v>2622</v>
      </c>
      <c r="G2862" t="s">
        <v>2368</v>
      </c>
      <c r="H2862" t="s">
        <v>449</v>
      </c>
      <c r="J2862" t="s">
        <v>4032</v>
      </c>
      <c r="K2862" t="s">
        <v>606</v>
      </c>
      <c r="M2862" t="s">
        <v>2366</v>
      </c>
      <c r="N2862" t="s">
        <v>657</v>
      </c>
      <c r="O2862" t="s">
        <v>2614</v>
      </c>
      <c r="P2862" t="s">
        <v>739</v>
      </c>
      <c r="Q2862" t="s">
        <v>516</v>
      </c>
      <c r="R2862" t="s">
        <v>2368</v>
      </c>
      <c r="S2862" t="s">
        <v>2623</v>
      </c>
      <c r="T2862" t="s">
        <v>1568</v>
      </c>
      <c r="U2862">
        <v>247900</v>
      </c>
      <c r="V2862" t="s">
        <v>2856</v>
      </c>
      <c r="W2862" t="s">
        <v>2625</v>
      </c>
      <c r="X2862" t="s">
        <v>16443</v>
      </c>
      <c r="Y2862" t="s">
        <v>4471</v>
      </c>
      <c r="Z2862" t="s">
        <v>4472</v>
      </c>
      <c r="AA2862" t="s">
        <v>4596</v>
      </c>
      <c r="AB2862" t="s">
        <v>16444</v>
      </c>
      <c r="AE2862">
        <v>-41.168030260000002</v>
      </c>
      <c r="AF2862">
        <v>174.82740301000001</v>
      </c>
      <c r="AG2862" s="175">
        <v>86</v>
      </c>
      <c r="AH2862" s="175">
        <v>26</v>
      </c>
      <c r="AI2862" s="175">
        <v>2</v>
      </c>
      <c r="AJ2862" s="175">
        <v>17</v>
      </c>
      <c r="AK2862" s="175">
        <v>24</v>
      </c>
      <c r="AL2862" s="175">
        <v>25</v>
      </c>
      <c r="AM2862" s="175">
        <v>16</v>
      </c>
      <c r="AN2862" s="175">
        <v>0</v>
      </c>
      <c r="AO2862" s="175">
        <v>84</v>
      </c>
      <c r="AP2862" s="175">
        <v>73</v>
      </c>
      <c r="AQ2862" s="175">
        <v>8</v>
      </c>
      <c r="AR2862" s="175">
        <v>7</v>
      </c>
      <c r="AS2862" s="175">
        <v>9</v>
      </c>
      <c r="AT2862" s="175">
        <v>5</v>
      </c>
    </row>
    <row r="2863" spans="1:46">
      <c r="A2863">
        <v>47529</v>
      </c>
      <c r="B2863" t="s">
        <v>16445</v>
      </c>
      <c r="C2863" t="s">
        <v>16446</v>
      </c>
      <c r="E2863" t="s">
        <v>16447</v>
      </c>
      <c r="F2863" t="s">
        <v>16448</v>
      </c>
      <c r="G2863" t="s">
        <v>16449</v>
      </c>
      <c r="H2863" t="s">
        <v>449</v>
      </c>
      <c r="J2863" t="s">
        <v>4032</v>
      </c>
      <c r="K2863" t="s">
        <v>606</v>
      </c>
      <c r="M2863" t="s">
        <v>2366</v>
      </c>
      <c r="N2863" t="s">
        <v>657</v>
      </c>
      <c r="O2863" t="s">
        <v>2753</v>
      </c>
      <c r="P2863" t="s">
        <v>1347</v>
      </c>
      <c r="Q2863" t="s">
        <v>516</v>
      </c>
      <c r="R2863" t="s">
        <v>2368</v>
      </c>
      <c r="S2863" t="s">
        <v>2606</v>
      </c>
      <c r="T2863" t="s">
        <v>1568</v>
      </c>
      <c r="U2863">
        <v>238000</v>
      </c>
      <c r="V2863" t="s">
        <v>2828</v>
      </c>
      <c r="W2863" t="s">
        <v>2829</v>
      </c>
      <c r="X2863" t="s">
        <v>16450</v>
      </c>
      <c r="Y2863" t="s">
        <v>16447</v>
      </c>
      <c r="AA2863" t="s">
        <v>16451</v>
      </c>
      <c r="AE2863">
        <v>-40.916702010000002</v>
      </c>
      <c r="AF2863">
        <v>174.98181883000001</v>
      </c>
      <c r="AG2863" s="175">
        <v>30</v>
      </c>
      <c r="AH2863" s="175">
        <v>10</v>
      </c>
      <c r="AI2863" s="175">
        <v>0</v>
      </c>
      <c r="AJ2863" s="175">
        <v>8</v>
      </c>
      <c r="AK2863" s="175">
        <v>14</v>
      </c>
      <c r="AL2863" s="175">
        <v>10</v>
      </c>
      <c r="AM2863" s="175">
        <v>7</v>
      </c>
      <c r="AN2863" s="175">
        <v>0</v>
      </c>
      <c r="AO2863" s="175">
        <v>39</v>
      </c>
      <c r="AP2863" s="175">
        <v>38</v>
      </c>
      <c r="AQ2863" s="175">
        <v>7</v>
      </c>
      <c r="AR2863" s="175">
        <v>0</v>
      </c>
      <c r="AS2863" s="175">
        <v>3</v>
      </c>
      <c r="AT2863" s="175">
        <v>0</v>
      </c>
    </row>
    <row r="2864" spans="1:46">
      <c r="A2864">
        <v>47530</v>
      </c>
      <c r="B2864" t="s">
        <v>16452</v>
      </c>
      <c r="C2864" t="s">
        <v>16453</v>
      </c>
      <c r="D2864" t="s">
        <v>16454</v>
      </c>
      <c r="E2864" t="s">
        <v>16455</v>
      </c>
      <c r="F2864" t="s">
        <v>802</v>
      </c>
      <c r="G2864" t="s">
        <v>737</v>
      </c>
      <c r="H2864" t="s">
        <v>449</v>
      </c>
      <c r="J2864" t="s">
        <v>4032</v>
      </c>
      <c r="K2864" t="s">
        <v>606</v>
      </c>
      <c r="M2864" t="s">
        <v>607</v>
      </c>
      <c r="N2864" t="s">
        <v>643</v>
      </c>
      <c r="O2864" t="s">
        <v>803</v>
      </c>
      <c r="P2864" t="s">
        <v>739</v>
      </c>
      <c r="Q2864" t="s">
        <v>467</v>
      </c>
      <c r="R2864" t="s">
        <v>793</v>
      </c>
      <c r="S2864" t="s">
        <v>855</v>
      </c>
      <c r="T2864" t="s">
        <v>794</v>
      </c>
      <c r="U2864">
        <v>133100</v>
      </c>
      <c r="V2864" t="s">
        <v>11642</v>
      </c>
      <c r="W2864" t="s">
        <v>806</v>
      </c>
      <c r="X2864" t="s">
        <v>16456</v>
      </c>
      <c r="Y2864" t="s">
        <v>9107</v>
      </c>
      <c r="Z2864" t="s">
        <v>8066</v>
      </c>
      <c r="AA2864" t="s">
        <v>9108</v>
      </c>
      <c r="AB2864" t="s">
        <v>16457</v>
      </c>
      <c r="AE2864">
        <v>-36.898202099999999</v>
      </c>
      <c r="AF2864">
        <v>174.69979789999999</v>
      </c>
      <c r="AG2864" s="175">
        <v>100</v>
      </c>
      <c r="AH2864" s="175">
        <v>25</v>
      </c>
      <c r="AI2864" s="175">
        <v>6</v>
      </c>
      <c r="AJ2864" s="175">
        <v>10</v>
      </c>
      <c r="AK2864" s="175">
        <v>18</v>
      </c>
      <c r="AL2864" s="175">
        <v>30</v>
      </c>
      <c r="AM2864" s="175">
        <v>30</v>
      </c>
      <c r="AN2864" s="175">
        <v>2</v>
      </c>
      <c r="AO2864" s="175">
        <v>96</v>
      </c>
      <c r="AP2864" s="175">
        <v>32</v>
      </c>
      <c r="AQ2864" s="175">
        <v>4</v>
      </c>
      <c r="AR2864" s="175">
        <v>14</v>
      </c>
      <c r="AS2864" s="175">
        <v>49</v>
      </c>
      <c r="AT2864" s="175">
        <v>13</v>
      </c>
    </row>
    <row r="2865" spans="1:46">
      <c r="A2865">
        <v>47533</v>
      </c>
      <c r="B2865" t="s">
        <v>16458</v>
      </c>
      <c r="C2865" t="s">
        <v>16459</v>
      </c>
      <c r="D2865" t="s">
        <v>16460</v>
      </c>
      <c r="E2865" t="s">
        <v>16461</v>
      </c>
      <c r="F2865" t="s">
        <v>983</v>
      </c>
      <c r="G2865" t="s">
        <v>737</v>
      </c>
      <c r="H2865" t="s">
        <v>450</v>
      </c>
      <c r="J2865" t="s">
        <v>4032</v>
      </c>
      <c r="K2865" t="s">
        <v>606</v>
      </c>
      <c r="M2865" t="s">
        <v>607</v>
      </c>
      <c r="N2865" t="s">
        <v>657</v>
      </c>
      <c r="O2865" t="s">
        <v>898</v>
      </c>
      <c r="P2865" t="s">
        <v>739</v>
      </c>
      <c r="Q2865" t="s">
        <v>467</v>
      </c>
      <c r="R2865" t="s">
        <v>724</v>
      </c>
      <c r="S2865" t="s">
        <v>984</v>
      </c>
      <c r="T2865" t="s">
        <v>613</v>
      </c>
      <c r="U2865">
        <v>126702</v>
      </c>
      <c r="V2865" t="s">
        <v>985</v>
      </c>
      <c r="W2865" t="s">
        <v>900</v>
      </c>
      <c r="X2865" t="s">
        <v>16462</v>
      </c>
      <c r="Y2865" t="s">
        <v>16461</v>
      </c>
      <c r="Z2865" t="s">
        <v>983</v>
      </c>
      <c r="AA2865" t="s">
        <v>4034</v>
      </c>
      <c r="AE2865">
        <v>-36.874804210000001</v>
      </c>
      <c r="AF2865">
        <v>174.619823</v>
      </c>
      <c r="AG2865" s="175">
        <v>50</v>
      </c>
      <c r="AH2865" s="175">
        <v>50</v>
      </c>
      <c r="AI2865" s="175">
        <v>1</v>
      </c>
      <c r="AJ2865" s="175">
        <v>3</v>
      </c>
      <c r="AK2865" s="175">
        <v>2</v>
      </c>
      <c r="AL2865" s="175">
        <v>5</v>
      </c>
      <c r="AM2865" s="175">
        <v>3</v>
      </c>
      <c r="AN2865" s="175">
        <v>0</v>
      </c>
      <c r="AO2865" s="175">
        <v>14</v>
      </c>
      <c r="AP2865" s="175">
        <v>3</v>
      </c>
      <c r="AQ2865" s="175">
        <v>3</v>
      </c>
      <c r="AR2865" s="175">
        <v>0</v>
      </c>
      <c r="AS2865" s="175">
        <v>14</v>
      </c>
      <c r="AT2865" s="175">
        <v>0</v>
      </c>
    </row>
    <row r="2866" spans="1:46">
      <c r="A2866">
        <v>47536</v>
      </c>
      <c r="B2866" t="s">
        <v>16463</v>
      </c>
      <c r="C2866" t="s">
        <v>12279</v>
      </c>
      <c r="D2866" t="s">
        <v>12273</v>
      </c>
      <c r="E2866" t="s">
        <v>16464</v>
      </c>
      <c r="F2866" t="s">
        <v>1030</v>
      </c>
      <c r="G2866" t="s">
        <v>737</v>
      </c>
      <c r="H2866" t="s">
        <v>449</v>
      </c>
      <c r="J2866" t="s">
        <v>4032</v>
      </c>
      <c r="K2866" t="s">
        <v>606</v>
      </c>
      <c r="M2866" t="s">
        <v>607</v>
      </c>
      <c r="N2866" t="s">
        <v>812</v>
      </c>
      <c r="O2866" t="s">
        <v>933</v>
      </c>
      <c r="P2866" t="s">
        <v>739</v>
      </c>
      <c r="Q2866" t="s">
        <v>467</v>
      </c>
      <c r="R2866" t="s">
        <v>814</v>
      </c>
      <c r="S2866" t="s">
        <v>934</v>
      </c>
      <c r="T2866" t="s">
        <v>794</v>
      </c>
      <c r="U2866">
        <v>151800</v>
      </c>
      <c r="V2866" t="s">
        <v>7485</v>
      </c>
      <c r="W2866" t="s">
        <v>817</v>
      </c>
      <c r="X2866" t="s">
        <v>12275</v>
      </c>
      <c r="Y2866" t="s">
        <v>12276</v>
      </c>
      <c r="Z2866" t="s">
        <v>12277</v>
      </c>
      <c r="AA2866" t="s">
        <v>12278</v>
      </c>
      <c r="AB2866" t="s">
        <v>12279</v>
      </c>
      <c r="AC2866">
        <v>99102</v>
      </c>
      <c r="AD2866" t="s">
        <v>1123</v>
      </c>
      <c r="AE2866">
        <v>-36.96486221</v>
      </c>
      <c r="AF2866">
        <v>174.82322477</v>
      </c>
      <c r="AG2866" s="175">
        <v>110</v>
      </c>
      <c r="AH2866" s="175">
        <v>60</v>
      </c>
      <c r="AI2866" s="175">
        <v>4</v>
      </c>
      <c r="AJ2866" s="175">
        <v>9</v>
      </c>
      <c r="AK2866" s="175">
        <v>19</v>
      </c>
      <c r="AL2866" s="175">
        <v>18</v>
      </c>
      <c r="AM2866" s="175">
        <v>1</v>
      </c>
      <c r="AN2866" s="175">
        <v>0</v>
      </c>
      <c r="AO2866" s="175">
        <v>51</v>
      </c>
      <c r="AP2866" s="175">
        <v>2</v>
      </c>
      <c r="AQ2866" s="175">
        <v>4</v>
      </c>
      <c r="AR2866" s="175">
        <v>26</v>
      </c>
      <c r="AS2866" s="175">
        <v>26</v>
      </c>
      <c r="AT2866" s="175">
        <v>0</v>
      </c>
    </row>
    <row r="2867" spans="1:46">
      <c r="A2867">
        <v>47537</v>
      </c>
      <c r="B2867" t="s">
        <v>16465</v>
      </c>
      <c r="C2867" t="s">
        <v>16466</v>
      </c>
      <c r="E2867" t="s">
        <v>16467</v>
      </c>
      <c r="F2867" t="s">
        <v>7875</v>
      </c>
      <c r="G2867" t="s">
        <v>737</v>
      </c>
      <c r="H2867" t="s">
        <v>449</v>
      </c>
      <c r="J2867" t="s">
        <v>4032</v>
      </c>
      <c r="K2867" t="s">
        <v>606</v>
      </c>
      <c r="M2867" t="s">
        <v>607</v>
      </c>
      <c r="N2867" t="s">
        <v>657</v>
      </c>
      <c r="O2867" t="s">
        <v>1318</v>
      </c>
      <c r="P2867" t="s">
        <v>610</v>
      </c>
      <c r="Q2867" t="s">
        <v>467</v>
      </c>
      <c r="R2867" t="s">
        <v>793</v>
      </c>
      <c r="S2867" t="s">
        <v>1319</v>
      </c>
      <c r="T2867" t="s">
        <v>1320</v>
      </c>
      <c r="U2867">
        <v>155000</v>
      </c>
      <c r="V2867" t="s">
        <v>7876</v>
      </c>
      <c r="W2867" t="s">
        <v>1322</v>
      </c>
      <c r="X2867" t="s">
        <v>16468</v>
      </c>
      <c r="Y2867" t="s">
        <v>16469</v>
      </c>
      <c r="Z2867" t="s">
        <v>7875</v>
      </c>
      <c r="AA2867" t="s">
        <v>15562</v>
      </c>
      <c r="AB2867" t="s">
        <v>16470</v>
      </c>
      <c r="AE2867">
        <v>-36.882048789999999</v>
      </c>
      <c r="AF2867">
        <v>174.99671556000001</v>
      </c>
      <c r="AG2867" s="175">
        <v>69</v>
      </c>
      <c r="AH2867" s="175">
        <v>12</v>
      </c>
      <c r="AI2867" s="175">
        <v>5</v>
      </c>
      <c r="AJ2867" s="175">
        <v>5</v>
      </c>
      <c r="AK2867" s="175">
        <v>9</v>
      </c>
      <c r="AL2867" s="175">
        <v>15</v>
      </c>
      <c r="AM2867" s="175">
        <v>8</v>
      </c>
      <c r="AN2867" s="175">
        <v>0</v>
      </c>
      <c r="AO2867" s="175">
        <v>42</v>
      </c>
      <c r="AP2867" s="175">
        <v>20</v>
      </c>
      <c r="AQ2867" s="175">
        <v>5</v>
      </c>
      <c r="AR2867" s="175">
        <v>1</v>
      </c>
      <c r="AS2867" s="175">
        <v>9</v>
      </c>
      <c r="AT2867" s="175">
        <v>9</v>
      </c>
    </row>
    <row r="2868" spans="1:46">
      <c r="A2868">
        <v>47539</v>
      </c>
      <c r="B2868" t="s">
        <v>16471</v>
      </c>
      <c r="C2868" t="s">
        <v>16472</v>
      </c>
      <c r="E2868" t="s">
        <v>16473</v>
      </c>
      <c r="G2868" t="s">
        <v>3661</v>
      </c>
      <c r="H2868" t="s">
        <v>449</v>
      </c>
      <c r="J2868" t="s">
        <v>4032</v>
      </c>
      <c r="K2868" t="s">
        <v>606</v>
      </c>
      <c r="M2868" t="s">
        <v>2366</v>
      </c>
      <c r="N2868" t="s">
        <v>657</v>
      </c>
      <c r="O2868" t="s">
        <v>3598</v>
      </c>
      <c r="P2868" t="s">
        <v>610</v>
      </c>
      <c r="Q2868" t="s">
        <v>523</v>
      </c>
      <c r="R2868" t="s">
        <v>3410</v>
      </c>
      <c r="S2868" t="s">
        <v>3433</v>
      </c>
      <c r="T2868" t="s">
        <v>2526</v>
      </c>
      <c r="U2868">
        <v>358600</v>
      </c>
      <c r="V2868" t="s">
        <v>3661</v>
      </c>
      <c r="W2868" t="s">
        <v>3662</v>
      </c>
      <c r="X2868" t="s">
        <v>16474</v>
      </c>
      <c r="Y2868" t="s">
        <v>16475</v>
      </c>
      <c r="AA2868" t="s">
        <v>16476</v>
      </c>
      <c r="AE2868">
        <v>-46.154543799999999</v>
      </c>
      <c r="AF2868">
        <v>168.32067839000001</v>
      </c>
      <c r="AG2868" s="175">
        <v>65</v>
      </c>
      <c r="AH2868" s="175">
        <v>20</v>
      </c>
      <c r="AI2868" s="175">
        <v>5</v>
      </c>
      <c r="AJ2868" s="175">
        <v>15</v>
      </c>
      <c r="AK2868" s="175">
        <v>26</v>
      </c>
      <c r="AL2868" s="175">
        <v>21</v>
      </c>
      <c r="AM2868" s="175">
        <v>29</v>
      </c>
      <c r="AN2868" s="175">
        <v>0</v>
      </c>
      <c r="AO2868" s="175">
        <v>96</v>
      </c>
      <c r="AP2868" s="175">
        <v>74</v>
      </c>
      <c r="AQ2868" s="175">
        <v>22</v>
      </c>
      <c r="AR2868" s="175">
        <v>3</v>
      </c>
      <c r="AS2868" s="175">
        <v>11</v>
      </c>
      <c r="AT2868" s="175">
        <v>4</v>
      </c>
    </row>
    <row r="2869" spans="1:46">
      <c r="A2869">
        <v>47544</v>
      </c>
      <c r="B2869" t="s">
        <v>16477</v>
      </c>
      <c r="C2869" t="s">
        <v>8825</v>
      </c>
      <c r="D2869" t="s">
        <v>11027</v>
      </c>
      <c r="E2869" t="s">
        <v>8827</v>
      </c>
      <c r="F2869" t="s">
        <v>1397</v>
      </c>
      <c r="G2869" t="s">
        <v>1381</v>
      </c>
      <c r="H2869" t="s">
        <v>450</v>
      </c>
      <c r="J2869" t="s">
        <v>4032</v>
      </c>
      <c r="K2869" t="s">
        <v>606</v>
      </c>
      <c r="M2869" t="s">
        <v>2366</v>
      </c>
      <c r="N2869" t="s">
        <v>657</v>
      </c>
      <c r="O2869" t="s">
        <v>1383</v>
      </c>
      <c r="P2869" t="s">
        <v>739</v>
      </c>
      <c r="Q2869" t="s">
        <v>510</v>
      </c>
      <c r="R2869" t="s">
        <v>2368</v>
      </c>
      <c r="S2869" t="s">
        <v>1396</v>
      </c>
      <c r="T2869" t="s">
        <v>1320</v>
      </c>
      <c r="U2869">
        <v>177300</v>
      </c>
      <c r="V2869" t="s">
        <v>1397</v>
      </c>
      <c r="W2869" t="s">
        <v>1398</v>
      </c>
      <c r="X2869" t="s">
        <v>11028</v>
      </c>
      <c r="Y2869" t="s">
        <v>8827</v>
      </c>
      <c r="Z2869" t="s">
        <v>1397</v>
      </c>
      <c r="AA2869" t="s">
        <v>8575</v>
      </c>
      <c r="AE2869">
        <v>-37.749390910000002</v>
      </c>
      <c r="AF2869">
        <v>175.27364802</v>
      </c>
      <c r="AG2869" s="175">
        <v>80</v>
      </c>
      <c r="AH2869" s="175">
        <v>80</v>
      </c>
      <c r="AI2869" s="175">
        <v>3</v>
      </c>
      <c r="AJ2869" s="175">
        <v>11</v>
      </c>
      <c r="AK2869" s="175">
        <v>9</v>
      </c>
      <c r="AL2869" s="175">
        <v>8</v>
      </c>
      <c r="AM2869" s="175">
        <v>14</v>
      </c>
      <c r="AN2869" s="175">
        <v>0</v>
      </c>
      <c r="AO2869" s="175">
        <v>45</v>
      </c>
      <c r="AP2869" s="175">
        <v>39</v>
      </c>
      <c r="AQ2869" s="175">
        <v>6</v>
      </c>
      <c r="AR2869" s="175">
        <v>0</v>
      </c>
      <c r="AS2869" s="175">
        <v>7</v>
      </c>
      <c r="AT2869" s="175">
        <v>2</v>
      </c>
    </row>
    <row r="2870" spans="1:46">
      <c r="A2870">
        <v>47548</v>
      </c>
      <c r="B2870" t="s">
        <v>16478</v>
      </c>
      <c r="C2870" t="s">
        <v>16479</v>
      </c>
      <c r="D2870" t="s">
        <v>16480</v>
      </c>
      <c r="E2870" t="s">
        <v>16481</v>
      </c>
      <c r="F2870" t="s">
        <v>4272</v>
      </c>
      <c r="G2870" t="s">
        <v>737</v>
      </c>
      <c r="H2870" t="s">
        <v>449</v>
      </c>
      <c r="I2870" t="s">
        <v>6296</v>
      </c>
      <c r="J2870" t="s">
        <v>605</v>
      </c>
      <c r="K2870" t="s">
        <v>606</v>
      </c>
      <c r="M2870" t="s">
        <v>607</v>
      </c>
      <c r="N2870" t="s">
        <v>657</v>
      </c>
      <c r="O2870" t="s">
        <v>813</v>
      </c>
      <c r="P2870" t="s">
        <v>739</v>
      </c>
      <c r="Q2870" t="s">
        <v>467</v>
      </c>
      <c r="R2870" t="s">
        <v>814</v>
      </c>
      <c r="S2870" t="s">
        <v>1121</v>
      </c>
      <c r="T2870" t="s">
        <v>794</v>
      </c>
      <c r="U2870">
        <v>157000</v>
      </c>
      <c r="V2870" t="s">
        <v>4366</v>
      </c>
      <c r="W2870" t="s">
        <v>817</v>
      </c>
      <c r="X2870" t="s">
        <v>5064</v>
      </c>
      <c r="Y2870" t="s">
        <v>16481</v>
      </c>
      <c r="Z2870" t="s">
        <v>1120</v>
      </c>
      <c r="AA2870" t="s">
        <v>16482</v>
      </c>
      <c r="AB2870" t="s">
        <v>5060</v>
      </c>
      <c r="AE2870">
        <v>-36.979373420000002</v>
      </c>
      <c r="AF2870">
        <v>174.87394375</v>
      </c>
      <c r="AG2870" s="175">
        <v>50</v>
      </c>
      <c r="AH2870" s="175">
        <v>10</v>
      </c>
      <c r="AI2870" s="175">
        <v>1</v>
      </c>
      <c r="AJ2870" s="175">
        <v>4</v>
      </c>
      <c r="AK2870" s="175">
        <v>18</v>
      </c>
      <c r="AL2870" s="175">
        <v>9</v>
      </c>
      <c r="AM2870" s="175">
        <v>9</v>
      </c>
      <c r="AN2870" s="175">
        <v>0</v>
      </c>
      <c r="AO2870" s="175">
        <v>41</v>
      </c>
      <c r="AP2870" s="175">
        <v>1</v>
      </c>
      <c r="AQ2870" s="175">
        <v>1</v>
      </c>
      <c r="AR2870" s="175">
        <v>8</v>
      </c>
      <c r="AS2870" s="175">
        <v>13</v>
      </c>
      <c r="AT2870" s="175">
        <v>19</v>
      </c>
    </row>
    <row r="2871" spans="1:46">
      <c r="A2871">
        <v>47549</v>
      </c>
      <c r="B2871" t="s">
        <v>16483</v>
      </c>
      <c r="C2871" t="s">
        <v>16484</v>
      </c>
      <c r="D2871" t="s">
        <v>16485</v>
      </c>
      <c r="E2871" t="s">
        <v>16486</v>
      </c>
      <c r="G2871" t="s">
        <v>604</v>
      </c>
      <c r="H2871" t="s">
        <v>470</v>
      </c>
      <c r="I2871" t="s">
        <v>5017</v>
      </c>
      <c r="J2871" t="s">
        <v>4032</v>
      </c>
      <c r="K2871" t="s">
        <v>606</v>
      </c>
      <c r="M2871" t="s">
        <v>607</v>
      </c>
      <c r="N2871" t="s">
        <v>608</v>
      </c>
      <c r="O2871" t="s">
        <v>609</v>
      </c>
      <c r="P2871" t="s">
        <v>610</v>
      </c>
      <c r="Q2871" t="s">
        <v>509</v>
      </c>
      <c r="R2871" t="s">
        <v>611</v>
      </c>
      <c r="S2871" t="s">
        <v>612</v>
      </c>
      <c r="T2871" t="s">
        <v>613</v>
      </c>
      <c r="U2871">
        <v>100700</v>
      </c>
      <c r="V2871" t="s">
        <v>632</v>
      </c>
      <c r="W2871" t="s">
        <v>615</v>
      </c>
      <c r="X2871" t="s">
        <v>13080</v>
      </c>
      <c r="Y2871" t="s">
        <v>13081</v>
      </c>
      <c r="AA2871" t="s">
        <v>13082</v>
      </c>
      <c r="AB2871" t="s">
        <v>13083</v>
      </c>
      <c r="AE2871">
        <v>-35.115902179999999</v>
      </c>
      <c r="AF2871">
        <v>173.26872567000001</v>
      </c>
      <c r="AG2871" s="175">
        <v>50</v>
      </c>
      <c r="AH2871" s="175">
        <v>20</v>
      </c>
      <c r="AI2871" s="175">
        <v>0</v>
      </c>
      <c r="AJ2871" s="175">
        <v>6</v>
      </c>
      <c r="AK2871" s="175">
        <v>9</v>
      </c>
      <c r="AL2871" s="175">
        <v>15</v>
      </c>
      <c r="AM2871" s="175">
        <v>7</v>
      </c>
      <c r="AN2871" s="175">
        <v>3</v>
      </c>
      <c r="AO2871" s="175">
        <v>40</v>
      </c>
      <c r="AP2871" s="175">
        <v>11</v>
      </c>
      <c r="AQ2871" s="175">
        <v>40</v>
      </c>
      <c r="AR2871" s="175">
        <v>4</v>
      </c>
      <c r="AS2871" s="175">
        <v>0</v>
      </c>
      <c r="AT2871" s="175">
        <v>0</v>
      </c>
    </row>
    <row r="2872" spans="1:46">
      <c r="A2872">
        <v>47550</v>
      </c>
      <c r="B2872" t="s">
        <v>16487</v>
      </c>
      <c r="C2872" t="s">
        <v>16488</v>
      </c>
      <c r="E2872" t="s">
        <v>16489</v>
      </c>
      <c r="F2872" t="s">
        <v>3030</v>
      </c>
      <c r="G2872" t="s">
        <v>3015</v>
      </c>
      <c r="H2872" t="s">
        <v>449</v>
      </c>
      <c r="J2872" t="s">
        <v>4032</v>
      </c>
      <c r="K2872" t="s">
        <v>606</v>
      </c>
      <c r="M2872" t="s">
        <v>2366</v>
      </c>
      <c r="N2872" t="s">
        <v>657</v>
      </c>
      <c r="O2872" t="s">
        <v>3016</v>
      </c>
      <c r="P2872" t="s">
        <v>739</v>
      </c>
      <c r="Q2872" t="s">
        <v>521</v>
      </c>
      <c r="R2872" t="s">
        <v>3017</v>
      </c>
      <c r="S2872" t="s">
        <v>3030</v>
      </c>
      <c r="T2872" t="s">
        <v>2526</v>
      </c>
      <c r="U2872">
        <v>327100</v>
      </c>
      <c r="V2872" t="s">
        <v>16490</v>
      </c>
      <c r="W2872" t="s">
        <v>2521</v>
      </c>
      <c r="X2872" t="s">
        <v>16491</v>
      </c>
      <c r="Y2872" t="s">
        <v>15181</v>
      </c>
      <c r="Z2872" t="s">
        <v>8762</v>
      </c>
      <c r="AA2872" t="s">
        <v>2283</v>
      </c>
      <c r="AC2872">
        <v>99215</v>
      </c>
      <c r="AD2872" t="s">
        <v>11035</v>
      </c>
      <c r="AE2872">
        <v>-43.538231670000002</v>
      </c>
      <c r="AF2872">
        <v>172.62551692</v>
      </c>
      <c r="AG2872" s="175">
        <v>97</v>
      </c>
      <c r="AH2872" s="175">
        <v>28</v>
      </c>
      <c r="AI2872" s="175">
        <v>2</v>
      </c>
      <c r="AJ2872" s="175">
        <v>27</v>
      </c>
      <c r="AK2872" s="175">
        <v>16</v>
      </c>
      <c r="AL2872" s="175">
        <v>25</v>
      </c>
      <c r="AM2872" s="175">
        <v>11</v>
      </c>
      <c r="AN2872" s="175">
        <v>1</v>
      </c>
      <c r="AO2872" s="175">
        <v>82</v>
      </c>
      <c r="AP2872" s="175">
        <v>69</v>
      </c>
      <c r="AQ2872" s="175">
        <v>10</v>
      </c>
      <c r="AR2872" s="175">
        <v>2</v>
      </c>
      <c r="AS2872" s="175">
        <v>17</v>
      </c>
      <c r="AT2872" s="175">
        <v>8</v>
      </c>
    </row>
    <row r="2873" spans="1:46">
      <c r="A2873">
        <v>47551</v>
      </c>
      <c r="B2873" t="s">
        <v>16492</v>
      </c>
      <c r="C2873" t="s">
        <v>16493</v>
      </c>
      <c r="E2873" t="s">
        <v>16494</v>
      </c>
      <c r="G2873" t="s">
        <v>11255</v>
      </c>
      <c r="H2873" t="s">
        <v>449</v>
      </c>
      <c r="J2873" t="s">
        <v>605</v>
      </c>
      <c r="K2873" t="s">
        <v>606</v>
      </c>
      <c r="M2873" t="s">
        <v>2366</v>
      </c>
      <c r="N2873" t="s">
        <v>657</v>
      </c>
      <c r="O2873" t="s">
        <v>3906</v>
      </c>
      <c r="P2873" t="s">
        <v>1347</v>
      </c>
      <c r="Q2873" t="s">
        <v>522</v>
      </c>
      <c r="R2873" t="s">
        <v>3410</v>
      </c>
      <c r="S2873" t="s">
        <v>3323</v>
      </c>
      <c r="T2873" t="s">
        <v>2526</v>
      </c>
      <c r="U2873">
        <v>346702</v>
      </c>
      <c r="V2873" t="s">
        <v>16495</v>
      </c>
      <c r="W2873" t="s">
        <v>11257</v>
      </c>
      <c r="X2873" t="s">
        <v>11148</v>
      </c>
      <c r="Y2873" t="s">
        <v>4014</v>
      </c>
      <c r="Z2873" t="s">
        <v>4015</v>
      </c>
      <c r="AA2873" t="s">
        <v>4016</v>
      </c>
      <c r="AE2873">
        <v>-44.675271080000002</v>
      </c>
      <c r="AF2873">
        <v>169.16426799999999</v>
      </c>
      <c r="AG2873" s="175">
        <v>80</v>
      </c>
      <c r="AH2873" s="175">
        <v>20</v>
      </c>
      <c r="AI2873" s="175">
        <v>5</v>
      </c>
      <c r="AJ2873" s="175">
        <v>19</v>
      </c>
      <c r="AK2873" s="175">
        <v>20</v>
      </c>
      <c r="AL2873" s="175">
        <v>20</v>
      </c>
      <c r="AM2873" s="175">
        <v>23</v>
      </c>
      <c r="AN2873" s="175">
        <v>1</v>
      </c>
      <c r="AO2873" s="175">
        <v>88</v>
      </c>
      <c r="AP2873" s="175">
        <v>75</v>
      </c>
      <c r="AQ2873" s="175">
        <v>8</v>
      </c>
      <c r="AR2873" s="175">
        <v>2</v>
      </c>
      <c r="AS2873" s="175">
        <v>5</v>
      </c>
      <c r="AT2873" s="175">
        <v>11</v>
      </c>
    </row>
    <row r="2874" spans="1:46">
      <c r="A2874">
        <v>47552</v>
      </c>
      <c r="B2874" t="s">
        <v>16496</v>
      </c>
      <c r="C2874" t="s">
        <v>16497</v>
      </c>
      <c r="E2874" t="s">
        <v>16498</v>
      </c>
      <c r="F2874" t="s">
        <v>888</v>
      </c>
      <c r="G2874" t="s">
        <v>737</v>
      </c>
      <c r="H2874" t="s">
        <v>449</v>
      </c>
      <c r="J2874" t="s">
        <v>4032</v>
      </c>
      <c r="K2874" t="s">
        <v>606</v>
      </c>
      <c r="M2874" t="s">
        <v>607</v>
      </c>
      <c r="N2874" t="s">
        <v>657</v>
      </c>
      <c r="O2874" t="s">
        <v>889</v>
      </c>
      <c r="P2874" t="s">
        <v>739</v>
      </c>
      <c r="Q2874" t="s">
        <v>467</v>
      </c>
      <c r="R2874" t="s">
        <v>793</v>
      </c>
      <c r="S2874" t="s">
        <v>890</v>
      </c>
      <c r="T2874" t="s">
        <v>794</v>
      </c>
      <c r="U2874">
        <v>143301</v>
      </c>
      <c r="V2874" t="s">
        <v>4299</v>
      </c>
      <c r="W2874" t="s">
        <v>892</v>
      </c>
      <c r="X2874" t="s">
        <v>16499</v>
      </c>
      <c r="Y2874" t="s">
        <v>16498</v>
      </c>
      <c r="Z2874" t="s">
        <v>888</v>
      </c>
      <c r="AA2874" t="s">
        <v>4834</v>
      </c>
      <c r="AE2874">
        <v>-36.894170440000003</v>
      </c>
      <c r="AF2874">
        <v>174.81080957</v>
      </c>
      <c r="AG2874" s="175">
        <v>50</v>
      </c>
      <c r="AH2874" s="175">
        <v>10</v>
      </c>
      <c r="AI2874" s="175">
        <v>2</v>
      </c>
      <c r="AJ2874" s="175">
        <v>10</v>
      </c>
      <c r="AK2874" s="175">
        <v>8</v>
      </c>
      <c r="AL2874" s="175">
        <v>5</v>
      </c>
      <c r="AM2874" s="175">
        <v>9</v>
      </c>
      <c r="AN2874" s="175">
        <v>0</v>
      </c>
      <c r="AO2874" s="175">
        <v>34</v>
      </c>
      <c r="AP2874" s="175">
        <v>11</v>
      </c>
      <c r="AQ2874" s="175">
        <v>2</v>
      </c>
      <c r="AR2874" s="175">
        <v>2</v>
      </c>
      <c r="AS2874" s="175">
        <v>20</v>
      </c>
      <c r="AT2874" s="175">
        <v>4</v>
      </c>
    </row>
    <row r="2875" spans="1:46">
      <c r="A2875">
        <v>47553</v>
      </c>
      <c r="B2875" t="s">
        <v>16500</v>
      </c>
      <c r="D2875" t="s">
        <v>16501</v>
      </c>
      <c r="E2875" t="s">
        <v>16502</v>
      </c>
      <c r="F2875" t="s">
        <v>1004</v>
      </c>
      <c r="G2875" t="s">
        <v>737</v>
      </c>
      <c r="H2875" t="s">
        <v>450</v>
      </c>
      <c r="J2875" t="s">
        <v>4032</v>
      </c>
      <c r="K2875" t="s">
        <v>606</v>
      </c>
      <c r="M2875" t="s">
        <v>607</v>
      </c>
      <c r="N2875" t="s">
        <v>657</v>
      </c>
      <c r="O2875" t="s">
        <v>1253</v>
      </c>
      <c r="P2875" t="s">
        <v>739</v>
      </c>
      <c r="Q2875" t="s">
        <v>467</v>
      </c>
      <c r="R2875" t="s">
        <v>724</v>
      </c>
      <c r="S2875" t="s">
        <v>824</v>
      </c>
      <c r="T2875" t="s">
        <v>613</v>
      </c>
      <c r="U2875">
        <v>119201</v>
      </c>
      <c r="V2875" t="s">
        <v>1004</v>
      </c>
      <c r="W2875" t="s">
        <v>742</v>
      </c>
      <c r="X2875" t="s">
        <v>16503</v>
      </c>
      <c r="Y2875" t="s">
        <v>16502</v>
      </c>
      <c r="Z2875" t="s">
        <v>1004</v>
      </c>
      <c r="AA2875" t="s">
        <v>4458</v>
      </c>
      <c r="AB2875" t="s">
        <v>16504</v>
      </c>
      <c r="AC2875">
        <v>99029</v>
      </c>
      <c r="AD2875" t="s">
        <v>986</v>
      </c>
      <c r="AE2875">
        <v>-36.801237989999997</v>
      </c>
      <c r="AF2875">
        <v>174.64784297</v>
      </c>
      <c r="AG2875" s="175">
        <v>80</v>
      </c>
      <c r="AH2875" s="175">
        <v>80</v>
      </c>
      <c r="AI2875" s="175">
        <v>12</v>
      </c>
      <c r="AJ2875" s="175">
        <v>20</v>
      </c>
      <c r="AK2875" s="175">
        <v>15</v>
      </c>
      <c r="AL2875" s="175">
        <v>15</v>
      </c>
      <c r="AM2875" s="175">
        <v>16</v>
      </c>
      <c r="AN2875" s="175">
        <v>0</v>
      </c>
      <c r="AO2875" s="175">
        <v>78</v>
      </c>
      <c r="AP2875" s="175">
        <v>2</v>
      </c>
      <c r="AQ2875" s="175">
        <v>0</v>
      </c>
      <c r="AR2875" s="175">
        <v>0</v>
      </c>
      <c r="AS2875" s="175">
        <v>78</v>
      </c>
      <c r="AT2875" s="175">
        <v>1</v>
      </c>
    </row>
    <row r="2876" spans="1:46">
      <c r="A2876">
        <v>47554</v>
      </c>
      <c r="B2876" t="s">
        <v>16505</v>
      </c>
      <c r="C2876" t="s">
        <v>16506</v>
      </c>
      <c r="D2876" t="s">
        <v>16507</v>
      </c>
      <c r="E2876" t="s">
        <v>16508</v>
      </c>
      <c r="F2876" t="s">
        <v>913</v>
      </c>
      <c r="G2876" t="s">
        <v>737</v>
      </c>
      <c r="H2876" t="s">
        <v>449</v>
      </c>
      <c r="J2876" t="s">
        <v>4032</v>
      </c>
      <c r="K2876" t="s">
        <v>606</v>
      </c>
      <c r="M2876" t="s">
        <v>607</v>
      </c>
      <c r="N2876" t="s">
        <v>657</v>
      </c>
      <c r="O2876" t="s">
        <v>914</v>
      </c>
      <c r="P2876" t="s">
        <v>739</v>
      </c>
      <c r="Q2876" t="s">
        <v>467</v>
      </c>
      <c r="R2876" t="s">
        <v>793</v>
      </c>
      <c r="S2876" t="s">
        <v>890</v>
      </c>
      <c r="T2876" t="s">
        <v>794</v>
      </c>
      <c r="U2876">
        <v>145000</v>
      </c>
      <c r="V2876" t="s">
        <v>915</v>
      </c>
      <c r="W2876" t="s">
        <v>892</v>
      </c>
      <c r="X2876" t="s">
        <v>16509</v>
      </c>
      <c r="Y2876" t="s">
        <v>16510</v>
      </c>
      <c r="Z2876" t="s">
        <v>906</v>
      </c>
      <c r="AA2876" t="s">
        <v>4138</v>
      </c>
      <c r="AE2876">
        <v>-36.919435540000002</v>
      </c>
      <c r="AF2876">
        <v>174.78291877000001</v>
      </c>
      <c r="AG2876" s="175">
        <v>54</v>
      </c>
      <c r="AH2876" s="175">
        <v>15</v>
      </c>
      <c r="AI2876" s="175">
        <v>1</v>
      </c>
      <c r="AJ2876" s="175">
        <v>18</v>
      </c>
      <c r="AK2876" s="175">
        <v>15</v>
      </c>
      <c r="AL2876" s="175">
        <v>13</v>
      </c>
      <c r="AM2876" s="175">
        <v>16</v>
      </c>
      <c r="AN2876" s="175">
        <v>1</v>
      </c>
      <c r="AO2876" s="175">
        <v>64</v>
      </c>
      <c r="AP2876" s="175">
        <v>50</v>
      </c>
      <c r="AQ2876" s="175">
        <v>11</v>
      </c>
      <c r="AR2876" s="175">
        <v>9</v>
      </c>
      <c r="AS2876" s="175">
        <v>15</v>
      </c>
      <c r="AT2876" s="175">
        <v>5</v>
      </c>
    </row>
    <row r="2877" spans="1:46">
      <c r="A2877">
        <v>47555</v>
      </c>
      <c r="B2877" t="s">
        <v>16511</v>
      </c>
      <c r="D2877" t="s">
        <v>16512</v>
      </c>
      <c r="E2877" t="s">
        <v>16513</v>
      </c>
      <c r="G2877" t="s">
        <v>9235</v>
      </c>
      <c r="H2877" t="s">
        <v>449</v>
      </c>
      <c r="J2877" t="s">
        <v>4032</v>
      </c>
      <c r="K2877" t="s">
        <v>606</v>
      </c>
      <c r="M2877" t="s">
        <v>607</v>
      </c>
      <c r="N2877" t="s">
        <v>643</v>
      </c>
      <c r="O2877" t="s">
        <v>1435</v>
      </c>
      <c r="P2877" t="s">
        <v>610</v>
      </c>
      <c r="Q2877" t="s">
        <v>510</v>
      </c>
      <c r="R2877" t="s">
        <v>814</v>
      </c>
      <c r="S2877" t="s">
        <v>1331</v>
      </c>
      <c r="T2877" t="s">
        <v>1320</v>
      </c>
      <c r="U2877">
        <v>170502</v>
      </c>
      <c r="V2877" t="s">
        <v>16514</v>
      </c>
      <c r="W2877" t="s">
        <v>3884</v>
      </c>
      <c r="X2877" t="s">
        <v>16515</v>
      </c>
      <c r="Y2877" t="s">
        <v>16516</v>
      </c>
      <c r="Z2877" t="s">
        <v>1302</v>
      </c>
      <c r="AA2877" t="s">
        <v>4702</v>
      </c>
      <c r="AE2877">
        <v>-37.243955100000001</v>
      </c>
      <c r="AF2877">
        <v>175.0182418</v>
      </c>
      <c r="AG2877" s="175">
        <v>60</v>
      </c>
      <c r="AH2877" s="175">
        <v>15</v>
      </c>
      <c r="AI2877" s="175">
        <v>1</v>
      </c>
      <c r="AJ2877" s="175">
        <v>12</v>
      </c>
      <c r="AK2877" s="175">
        <v>14</v>
      </c>
      <c r="AL2877" s="175">
        <v>17</v>
      </c>
      <c r="AM2877" s="175">
        <v>23</v>
      </c>
      <c r="AN2877" s="175">
        <v>0</v>
      </c>
      <c r="AO2877" s="175">
        <v>67</v>
      </c>
      <c r="AP2877" s="175">
        <v>13</v>
      </c>
      <c r="AQ2877" s="175">
        <v>7</v>
      </c>
      <c r="AR2877" s="175">
        <v>7</v>
      </c>
      <c r="AS2877" s="175">
        <v>45</v>
      </c>
      <c r="AT2877" s="175">
        <v>4</v>
      </c>
    </row>
    <row r="2878" spans="1:46">
      <c r="A2878">
        <v>47556</v>
      </c>
      <c r="B2878" t="s">
        <v>16517</v>
      </c>
      <c r="C2878" t="s">
        <v>16518</v>
      </c>
      <c r="D2878" t="s">
        <v>16519</v>
      </c>
      <c r="E2878" t="s">
        <v>12013</v>
      </c>
      <c r="F2878" t="s">
        <v>3057</v>
      </c>
      <c r="G2878" t="s">
        <v>3015</v>
      </c>
      <c r="H2878" t="s">
        <v>449</v>
      </c>
      <c r="J2878" t="s">
        <v>4032</v>
      </c>
      <c r="K2878" t="s">
        <v>606</v>
      </c>
      <c r="M2878" t="s">
        <v>2366</v>
      </c>
      <c r="N2878" t="s">
        <v>657</v>
      </c>
      <c r="O2878" t="s">
        <v>3016</v>
      </c>
      <c r="P2878" t="s">
        <v>739</v>
      </c>
      <c r="Q2878" t="s">
        <v>521</v>
      </c>
      <c r="R2878" t="s">
        <v>3017</v>
      </c>
      <c r="S2878" t="s">
        <v>3018</v>
      </c>
      <c r="T2878" t="s">
        <v>2526</v>
      </c>
      <c r="U2878">
        <v>319000</v>
      </c>
      <c r="V2878" t="s">
        <v>16520</v>
      </c>
      <c r="W2878" t="s">
        <v>3059</v>
      </c>
      <c r="X2878" t="s">
        <v>12012</v>
      </c>
      <c r="Y2878" t="s">
        <v>12013</v>
      </c>
      <c r="Z2878" t="s">
        <v>3057</v>
      </c>
      <c r="AA2878" t="s">
        <v>11584</v>
      </c>
      <c r="AB2878" t="s">
        <v>12014</v>
      </c>
      <c r="AE2878">
        <v>-43.492795430000001</v>
      </c>
      <c r="AF2878">
        <v>172.58396169</v>
      </c>
      <c r="AG2878" s="175">
        <v>40</v>
      </c>
      <c r="AH2878" s="175">
        <v>12</v>
      </c>
      <c r="AI2878" s="175">
        <v>2</v>
      </c>
      <c r="AJ2878" s="175">
        <v>9</v>
      </c>
      <c r="AK2878" s="175">
        <v>14</v>
      </c>
      <c r="AL2878" s="175">
        <v>16</v>
      </c>
      <c r="AM2878" s="175">
        <v>8</v>
      </c>
      <c r="AN2878" s="175">
        <v>0</v>
      </c>
      <c r="AO2878" s="175">
        <v>49</v>
      </c>
      <c r="AP2878" s="175">
        <v>39</v>
      </c>
      <c r="AQ2878" s="175">
        <v>13</v>
      </c>
      <c r="AR2878" s="175">
        <v>1</v>
      </c>
      <c r="AS2878" s="175">
        <v>9</v>
      </c>
      <c r="AT2878" s="175">
        <v>3</v>
      </c>
    </row>
    <row r="2879" spans="1:46">
      <c r="A2879">
        <v>47558</v>
      </c>
      <c r="B2879" t="s">
        <v>16521</v>
      </c>
      <c r="C2879" t="s">
        <v>5317</v>
      </c>
      <c r="D2879" t="s">
        <v>16522</v>
      </c>
      <c r="E2879" t="s">
        <v>16523</v>
      </c>
      <c r="F2879" t="s">
        <v>4851</v>
      </c>
      <c r="G2879" t="s">
        <v>737</v>
      </c>
      <c r="H2879" t="s">
        <v>449</v>
      </c>
      <c r="J2879" t="s">
        <v>605</v>
      </c>
      <c r="K2879" t="s">
        <v>606</v>
      </c>
      <c r="M2879" t="s">
        <v>607</v>
      </c>
      <c r="N2879" t="s">
        <v>812</v>
      </c>
      <c r="O2879" t="s">
        <v>1301</v>
      </c>
      <c r="P2879" t="s">
        <v>739</v>
      </c>
      <c r="Q2879" t="s">
        <v>467</v>
      </c>
      <c r="R2879" t="s">
        <v>814</v>
      </c>
      <c r="S2879" t="s">
        <v>1302</v>
      </c>
      <c r="T2879" t="s">
        <v>794</v>
      </c>
      <c r="U2879">
        <v>161300</v>
      </c>
      <c r="V2879" t="s">
        <v>16524</v>
      </c>
      <c r="W2879" t="s">
        <v>1304</v>
      </c>
      <c r="X2879" t="s">
        <v>5314</v>
      </c>
      <c r="Y2879" t="s">
        <v>5315</v>
      </c>
      <c r="Z2879" t="s">
        <v>1121</v>
      </c>
      <c r="AA2879" t="s">
        <v>5316</v>
      </c>
      <c r="AB2879" t="s">
        <v>5317</v>
      </c>
      <c r="AC2879">
        <v>99186</v>
      </c>
      <c r="AD2879" t="s">
        <v>1309</v>
      </c>
      <c r="AE2879">
        <v>-37.023679950000002</v>
      </c>
      <c r="AF2879">
        <v>174.9136537</v>
      </c>
      <c r="AG2879" s="175">
        <v>80</v>
      </c>
      <c r="AH2879" s="175">
        <v>15</v>
      </c>
      <c r="AI2879" s="175">
        <v>2</v>
      </c>
      <c r="AJ2879" s="175">
        <v>6</v>
      </c>
      <c r="AK2879" s="175">
        <v>10</v>
      </c>
      <c r="AL2879" s="175">
        <v>26</v>
      </c>
      <c r="AM2879" s="175">
        <v>13</v>
      </c>
      <c r="AN2879" s="175">
        <v>1</v>
      </c>
      <c r="AO2879" s="175">
        <v>58</v>
      </c>
      <c r="AP2879" s="175">
        <v>6</v>
      </c>
      <c r="AQ2879" s="175">
        <v>35</v>
      </c>
      <c r="AR2879" s="175">
        <v>34</v>
      </c>
      <c r="AS2879" s="175">
        <v>3</v>
      </c>
      <c r="AT2879" s="175">
        <v>3</v>
      </c>
    </row>
    <row r="2880" spans="1:46">
      <c r="A2880">
        <v>47559</v>
      </c>
      <c r="B2880" t="s">
        <v>16525</v>
      </c>
      <c r="C2880" t="s">
        <v>16526</v>
      </c>
      <c r="D2880" t="s">
        <v>16527</v>
      </c>
      <c r="E2880" t="s">
        <v>16528</v>
      </c>
      <c r="G2880" t="s">
        <v>4576</v>
      </c>
      <c r="H2880" t="s">
        <v>449</v>
      </c>
      <c r="J2880" t="s">
        <v>4032</v>
      </c>
      <c r="K2880" t="s">
        <v>606</v>
      </c>
      <c r="M2880" t="s">
        <v>607</v>
      </c>
      <c r="N2880" t="s">
        <v>657</v>
      </c>
      <c r="O2880" t="s">
        <v>738</v>
      </c>
      <c r="P2880" t="s">
        <v>670</v>
      </c>
      <c r="Q2880" t="s">
        <v>467</v>
      </c>
      <c r="R2880" t="s">
        <v>724</v>
      </c>
      <c r="S2880" t="s">
        <v>753</v>
      </c>
      <c r="T2880" t="s">
        <v>613</v>
      </c>
      <c r="U2880">
        <v>113800</v>
      </c>
      <c r="V2880" t="s">
        <v>7285</v>
      </c>
      <c r="W2880" t="s">
        <v>742</v>
      </c>
      <c r="X2880" t="s">
        <v>16529</v>
      </c>
      <c r="Y2880" t="s">
        <v>4051</v>
      </c>
      <c r="AA2880" t="s">
        <v>4052</v>
      </c>
      <c r="AE2880">
        <v>-36.613723919999998</v>
      </c>
      <c r="AF2880">
        <v>174.68177230000001</v>
      </c>
      <c r="AG2880" s="175">
        <v>150</v>
      </c>
      <c r="AH2880" s="175">
        <v>48</v>
      </c>
      <c r="AI2880" s="175">
        <v>7</v>
      </c>
      <c r="AJ2880" s="175">
        <v>12</v>
      </c>
      <c r="AK2880" s="175">
        <v>30</v>
      </c>
      <c r="AL2880" s="175">
        <v>28</v>
      </c>
      <c r="AM2880" s="175">
        <v>21</v>
      </c>
      <c r="AN2880" s="175">
        <v>2</v>
      </c>
      <c r="AO2880" s="175">
        <v>100</v>
      </c>
      <c r="AP2880" s="175">
        <v>67</v>
      </c>
      <c r="AQ2880" s="175">
        <v>12</v>
      </c>
      <c r="AR2880" s="175">
        <v>4</v>
      </c>
      <c r="AS2880" s="175">
        <v>23</v>
      </c>
      <c r="AT2880" s="175">
        <v>12</v>
      </c>
    </row>
    <row r="2881" spans="1:46">
      <c r="A2881">
        <v>47560</v>
      </c>
      <c r="B2881" t="s">
        <v>16530</v>
      </c>
      <c r="C2881" t="s">
        <v>16531</v>
      </c>
      <c r="E2881" t="s">
        <v>16532</v>
      </c>
      <c r="G2881" t="s">
        <v>1824</v>
      </c>
      <c r="H2881" t="s">
        <v>452</v>
      </c>
      <c r="J2881" t="s">
        <v>605</v>
      </c>
      <c r="K2881" t="s">
        <v>606</v>
      </c>
      <c r="M2881" t="s">
        <v>1382</v>
      </c>
      <c r="N2881" t="s">
        <v>643</v>
      </c>
      <c r="O2881" t="s">
        <v>1825</v>
      </c>
      <c r="P2881" t="s">
        <v>658</v>
      </c>
      <c r="Q2881" t="s">
        <v>511</v>
      </c>
      <c r="R2881" t="s">
        <v>1555</v>
      </c>
      <c r="S2881" t="s">
        <v>1556</v>
      </c>
      <c r="T2881" t="s">
        <v>1557</v>
      </c>
      <c r="U2881">
        <v>192500</v>
      </c>
      <c r="V2881" t="s">
        <v>1833</v>
      </c>
      <c r="W2881" t="s">
        <v>1827</v>
      </c>
      <c r="X2881" t="s">
        <v>1679</v>
      </c>
      <c r="Y2881" t="s">
        <v>1680</v>
      </c>
      <c r="Z2881" t="s">
        <v>1681</v>
      </c>
      <c r="AA2881" t="s">
        <v>1682</v>
      </c>
      <c r="AB2881" t="s">
        <v>1683</v>
      </c>
      <c r="AC2881">
        <v>99086</v>
      </c>
      <c r="AD2881" t="s">
        <v>1828</v>
      </c>
      <c r="AE2881">
        <v>-37.834709529999998</v>
      </c>
      <c r="AF2881">
        <v>176.59095643000001</v>
      </c>
      <c r="AG2881" s="175">
        <v>21</v>
      </c>
      <c r="AH2881" s="175">
        <v>0</v>
      </c>
      <c r="AI2881" s="175">
        <v>0</v>
      </c>
      <c r="AJ2881" s="175">
        <v>0</v>
      </c>
      <c r="AK2881" s="175">
        <v>6</v>
      </c>
      <c r="AL2881" s="175">
        <v>10</v>
      </c>
      <c r="AM2881" s="175">
        <v>11</v>
      </c>
      <c r="AN2881" s="175">
        <v>1</v>
      </c>
      <c r="AO2881" s="175">
        <v>28</v>
      </c>
      <c r="AP2881" s="175">
        <v>17</v>
      </c>
      <c r="AQ2881" s="175">
        <v>5</v>
      </c>
      <c r="AR2881" s="175">
        <v>0</v>
      </c>
      <c r="AS2881" s="175">
        <v>1</v>
      </c>
      <c r="AT2881" s="175">
        <v>6</v>
      </c>
    </row>
    <row r="2882" spans="1:46">
      <c r="A2882">
        <v>47561</v>
      </c>
      <c r="B2882" t="s">
        <v>16533</v>
      </c>
      <c r="C2882" t="s">
        <v>16534</v>
      </c>
      <c r="E2882" t="s">
        <v>16535</v>
      </c>
      <c r="G2882" t="s">
        <v>2930</v>
      </c>
      <c r="H2882" t="s">
        <v>449</v>
      </c>
      <c r="J2882" t="s">
        <v>4032</v>
      </c>
      <c r="K2882" t="s">
        <v>606</v>
      </c>
      <c r="M2882" t="s">
        <v>2366</v>
      </c>
      <c r="N2882" t="s">
        <v>657</v>
      </c>
      <c r="O2882" t="s">
        <v>2931</v>
      </c>
      <c r="P2882" t="s">
        <v>670</v>
      </c>
      <c r="Q2882" t="s">
        <v>518</v>
      </c>
      <c r="R2882" t="s">
        <v>2901</v>
      </c>
      <c r="S2882" t="s">
        <v>2930</v>
      </c>
      <c r="T2882" t="s">
        <v>2526</v>
      </c>
      <c r="U2882">
        <v>304300</v>
      </c>
      <c r="V2882" t="s">
        <v>16536</v>
      </c>
      <c r="W2882" t="s">
        <v>2114</v>
      </c>
      <c r="X2882" t="s">
        <v>16537</v>
      </c>
      <c r="Y2882" t="s">
        <v>16538</v>
      </c>
      <c r="AA2882" t="s">
        <v>16539</v>
      </c>
      <c r="AB2882" t="s">
        <v>16534</v>
      </c>
      <c r="AC2882">
        <v>99005</v>
      </c>
      <c r="AD2882" t="s">
        <v>2953</v>
      </c>
      <c r="AE2882">
        <v>-41.241975789999998</v>
      </c>
      <c r="AF2882">
        <v>173.32339397000001</v>
      </c>
      <c r="AG2882" s="175">
        <v>50</v>
      </c>
      <c r="AH2882" s="175">
        <v>10</v>
      </c>
      <c r="AI2882" s="175">
        <v>2</v>
      </c>
      <c r="AJ2882" s="175">
        <v>9</v>
      </c>
      <c r="AK2882" s="175">
        <v>10</v>
      </c>
      <c r="AL2882" s="175">
        <v>10</v>
      </c>
      <c r="AM2882" s="175">
        <v>10</v>
      </c>
      <c r="AN2882" s="175">
        <v>2</v>
      </c>
      <c r="AO2882" s="175">
        <v>43</v>
      </c>
      <c r="AP2882" s="175">
        <v>43</v>
      </c>
      <c r="AQ2882" s="175">
        <v>8</v>
      </c>
      <c r="AR2882" s="175">
        <v>0</v>
      </c>
      <c r="AS2882" s="175">
        <v>0</v>
      </c>
      <c r="AT2882" s="175">
        <v>1</v>
      </c>
    </row>
    <row r="2883" spans="1:46">
      <c r="A2883">
        <v>47563</v>
      </c>
      <c r="B2883" t="s">
        <v>16540</v>
      </c>
      <c r="C2883" t="s">
        <v>16541</v>
      </c>
      <c r="D2883" t="s">
        <v>16542</v>
      </c>
      <c r="E2883" t="s">
        <v>16543</v>
      </c>
      <c r="F2883" t="s">
        <v>1319</v>
      </c>
      <c r="G2883" t="s">
        <v>737</v>
      </c>
      <c r="H2883" t="s">
        <v>449</v>
      </c>
      <c r="J2883" t="s">
        <v>4032</v>
      </c>
      <c r="K2883" t="s">
        <v>606</v>
      </c>
      <c r="M2883" t="s">
        <v>607</v>
      </c>
      <c r="N2883" t="s">
        <v>625</v>
      </c>
      <c r="O2883" t="s">
        <v>1353</v>
      </c>
      <c r="P2883" t="s">
        <v>739</v>
      </c>
      <c r="Q2883" t="s">
        <v>467</v>
      </c>
      <c r="R2883" t="s">
        <v>814</v>
      </c>
      <c r="S2883" t="s">
        <v>1319</v>
      </c>
      <c r="T2883" t="s">
        <v>1320</v>
      </c>
      <c r="U2883">
        <v>163301</v>
      </c>
      <c r="V2883" t="s">
        <v>13639</v>
      </c>
      <c r="W2883" t="s">
        <v>1304</v>
      </c>
      <c r="X2883" t="s">
        <v>16544</v>
      </c>
      <c r="Y2883" t="s">
        <v>13388</v>
      </c>
      <c r="Z2883" t="s">
        <v>5170</v>
      </c>
      <c r="AA2883" t="s">
        <v>4061</v>
      </c>
      <c r="AB2883" t="s">
        <v>16545</v>
      </c>
      <c r="AE2883">
        <v>-37.051662219999997</v>
      </c>
      <c r="AF2883">
        <v>174.95837822999999</v>
      </c>
      <c r="AG2883" s="175">
        <v>60</v>
      </c>
      <c r="AH2883" s="175">
        <v>12</v>
      </c>
      <c r="AI2883" s="175">
        <v>4</v>
      </c>
      <c r="AJ2883" s="175">
        <v>8</v>
      </c>
      <c r="AK2883" s="175">
        <v>14</v>
      </c>
      <c r="AL2883" s="175">
        <v>21</v>
      </c>
      <c r="AM2883" s="175">
        <v>14</v>
      </c>
      <c r="AN2883" s="175">
        <v>1</v>
      </c>
      <c r="AO2883" s="175">
        <v>62</v>
      </c>
      <c r="AP2883" s="175">
        <v>14</v>
      </c>
      <c r="AQ2883" s="175">
        <v>9</v>
      </c>
      <c r="AR2883" s="175">
        <v>13</v>
      </c>
      <c r="AS2883" s="175">
        <v>38</v>
      </c>
      <c r="AT2883" s="175">
        <v>3</v>
      </c>
    </row>
    <row r="2884" spans="1:46">
      <c r="A2884">
        <v>47564</v>
      </c>
      <c r="B2884" t="s">
        <v>16546</v>
      </c>
      <c r="C2884" t="s">
        <v>16547</v>
      </c>
      <c r="D2884" t="s">
        <v>16548</v>
      </c>
      <c r="E2884" t="s">
        <v>16549</v>
      </c>
      <c r="F2884" t="s">
        <v>8680</v>
      </c>
      <c r="G2884" t="s">
        <v>1381</v>
      </c>
      <c r="H2884" t="s">
        <v>449</v>
      </c>
      <c r="J2884" t="s">
        <v>4032</v>
      </c>
      <c r="K2884" t="s">
        <v>606</v>
      </c>
      <c r="M2884" t="s">
        <v>1382</v>
      </c>
      <c r="N2884" t="s">
        <v>657</v>
      </c>
      <c r="O2884" t="s">
        <v>1383</v>
      </c>
      <c r="P2884" t="s">
        <v>739</v>
      </c>
      <c r="Q2884" t="s">
        <v>510</v>
      </c>
      <c r="R2884" t="s">
        <v>1384</v>
      </c>
      <c r="S2884" t="s">
        <v>1384</v>
      </c>
      <c r="T2884" t="s">
        <v>1320</v>
      </c>
      <c r="U2884">
        <v>175601</v>
      </c>
      <c r="V2884" t="s">
        <v>8680</v>
      </c>
      <c r="W2884" t="s">
        <v>1398</v>
      </c>
      <c r="X2884" t="s">
        <v>11660</v>
      </c>
      <c r="Y2884" t="s">
        <v>11661</v>
      </c>
      <c r="Z2884" t="s">
        <v>8574</v>
      </c>
      <c r="AA2884" t="s">
        <v>8726</v>
      </c>
      <c r="AB2884" t="s">
        <v>11662</v>
      </c>
      <c r="AC2884">
        <v>99132</v>
      </c>
      <c r="AD2884" t="s">
        <v>8577</v>
      </c>
      <c r="AE2884">
        <v>-37.71959906</v>
      </c>
      <c r="AF2884">
        <v>175.26750469999999</v>
      </c>
      <c r="AG2884" s="175">
        <v>87</v>
      </c>
      <c r="AH2884" s="175">
        <v>12</v>
      </c>
      <c r="AI2884" s="175">
        <v>0</v>
      </c>
      <c r="AJ2884" s="175">
        <v>7</v>
      </c>
      <c r="AK2884" s="175">
        <v>18</v>
      </c>
      <c r="AL2884" s="175">
        <v>20</v>
      </c>
      <c r="AM2884" s="175">
        <v>23</v>
      </c>
      <c r="AN2884" s="175">
        <v>0</v>
      </c>
      <c r="AO2884" s="175">
        <v>68</v>
      </c>
      <c r="AP2884" s="175">
        <v>36</v>
      </c>
      <c r="AQ2884" s="175">
        <v>15</v>
      </c>
      <c r="AR2884" s="175">
        <v>1</v>
      </c>
      <c r="AS2884" s="175">
        <v>32</v>
      </c>
      <c r="AT2884" s="175">
        <v>6</v>
      </c>
    </row>
    <row r="2885" spans="1:46">
      <c r="A2885">
        <v>47567</v>
      </c>
      <c r="B2885" t="s">
        <v>16550</v>
      </c>
      <c r="C2885" t="s">
        <v>16551</v>
      </c>
      <c r="D2885" t="s">
        <v>16552</v>
      </c>
      <c r="E2885" t="s">
        <v>16553</v>
      </c>
      <c r="F2885" t="s">
        <v>12226</v>
      </c>
      <c r="G2885" t="s">
        <v>2368</v>
      </c>
      <c r="H2885" t="s">
        <v>449</v>
      </c>
      <c r="J2885" t="s">
        <v>4032</v>
      </c>
      <c r="K2885" t="s">
        <v>606</v>
      </c>
      <c r="M2885" t="s">
        <v>2366</v>
      </c>
      <c r="N2885" t="s">
        <v>657</v>
      </c>
      <c r="O2885" t="s">
        <v>2614</v>
      </c>
      <c r="P2885" t="s">
        <v>739</v>
      </c>
      <c r="Q2885" t="s">
        <v>516</v>
      </c>
      <c r="R2885" t="s">
        <v>2368</v>
      </c>
      <c r="S2885" t="s">
        <v>2631</v>
      </c>
      <c r="T2885" t="s">
        <v>2526</v>
      </c>
      <c r="U2885">
        <v>250700</v>
      </c>
      <c r="V2885" t="s">
        <v>12227</v>
      </c>
      <c r="W2885" t="s">
        <v>2651</v>
      </c>
      <c r="X2885" t="s">
        <v>16554</v>
      </c>
      <c r="Y2885" t="s">
        <v>15188</v>
      </c>
      <c r="Z2885" t="s">
        <v>4622</v>
      </c>
      <c r="AA2885" t="s">
        <v>4623</v>
      </c>
      <c r="AB2885" t="s">
        <v>16555</v>
      </c>
      <c r="AE2885">
        <v>-41.273739579999997</v>
      </c>
      <c r="AF2885">
        <v>174.78347271000001</v>
      </c>
      <c r="AG2885" s="175">
        <v>99</v>
      </c>
      <c r="AH2885" s="175">
        <v>40</v>
      </c>
      <c r="AI2885" s="175">
        <v>10</v>
      </c>
      <c r="AJ2885" s="175">
        <v>29</v>
      </c>
      <c r="AK2885" s="175">
        <v>30</v>
      </c>
      <c r="AL2885" s="175">
        <v>34</v>
      </c>
      <c r="AM2885" s="175">
        <v>8</v>
      </c>
      <c r="AN2885" s="175">
        <v>0</v>
      </c>
      <c r="AO2885" s="175">
        <v>111</v>
      </c>
      <c r="AP2885" s="175">
        <v>81</v>
      </c>
      <c r="AQ2885" s="175">
        <v>9</v>
      </c>
      <c r="AR2885" s="175">
        <v>6</v>
      </c>
      <c r="AS2885" s="175">
        <v>39</v>
      </c>
      <c r="AT2885" s="175">
        <v>8</v>
      </c>
    </row>
    <row r="2886" spans="1:46">
      <c r="A2886">
        <v>47569</v>
      </c>
      <c r="B2886" t="s">
        <v>16556</v>
      </c>
      <c r="E2886" t="s">
        <v>16557</v>
      </c>
      <c r="F2886" t="s">
        <v>3188</v>
      </c>
      <c r="G2886" t="s">
        <v>3015</v>
      </c>
      <c r="H2886" t="s">
        <v>449</v>
      </c>
      <c r="I2886" t="s">
        <v>4134</v>
      </c>
      <c r="J2886" t="s">
        <v>4032</v>
      </c>
      <c r="K2886" t="s">
        <v>606</v>
      </c>
      <c r="M2886" t="s">
        <v>2366</v>
      </c>
      <c r="N2886" t="s">
        <v>643</v>
      </c>
      <c r="O2886" t="s">
        <v>3016</v>
      </c>
      <c r="P2886" t="s">
        <v>739</v>
      </c>
      <c r="Q2886" t="s">
        <v>521</v>
      </c>
      <c r="R2886" t="s">
        <v>3017</v>
      </c>
      <c r="S2886" t="s">
        <v>3030</v>
      </c>
      <c r="T2886" t="s">
        <v>2526</v>
      </c>
      <c r="U2886">
        <v>320000</v>
      </c>
      <c r="V2886" t="s">
        <v>3189</v>
      </c>
      <c r="W2886" t="s">
        <v>3171</v>
      </c>
      <c r="X2886" t="s">
        <v>16558</v>
      </c>
      <c r="Y2886" t="s">
        <v>16559</v>
      </c>
      <c r="Z2886" t="s">
        <v>13270</v>
      </c>
      <c r="AA2886" t="s">
        <v>12005</v>
      </c>
      <c r="AB2886" t="s">
        <v>16560</v>
      </c>
      <c r="AE2886">
        <v>-43.49224667</v>
      </c>
      <c r="AF2886">
        <v>172.60472652000001</v>
      </c>
      <c r="AG2886" s="175">
        <v>86</v>
      </c>
      <c r="AH2886" s="175">
        <v>25</v>
      </c>
      <c r="AI2886" s="175">
        <v>3</v>
      </c>
      <c r="AJ2886" s="175">
        <v>21</v>
      </c>
      <c r="AK2886" s="175">
        <v>20</v>
      </c>
      <c r="AL2886" s="175">
        <v>22</v>
      </c>
      <c r="AM2886" s="175">
        <v>24</v>
      </c>
      <c r="AN2886" s="175">
        <v>1</v>
      </c>
      <c r="AO2886" s="175">
        <v>91</v>
      </c>
      <c r="AP2886" s="175">
        <v>37</v>
      </c>
      <c r="AQ2886" s="175">
        <v>6</v>
      </c>
      <c r="AR2886" s="175">
        <v>4</v>
      </c>
      <c r="AS2886" s="175">
        <v>56</v>
      </c>
      <c r="AT2886" s="175">
        <v>8</v>
      </c>
    </row>
    <row r="2887" spans="1:46">
      <c r="A2887">
        <v>47570</v>
      </c>
      <c r="B2887" t="s">
        <v>16561</v>
      </c>
      <c r="C2887" t="s">
        <v>16562</v>
      </c>
      <c r="D2887" t="s">
        <v>16563</v>
      </c>
      <c r="E2887" t="s">
        <v>16564</v>
      </c>
      <c r="F2887" t="s">
        <v>897</v>
      </c>
      <c r="G2887" t="s">
        <v>737</v>
      </c>
      <c r="H2887" t="s">
        <v>449</v>
      </c>
      <c r="J2887" t="s">
        <v>4032</v>
      </c>
      <c r="K2887" t="s">
        <v>606</v>
      </c>
      <c r="M2887" t="s">
        <v>607</v>
      </c>
      <c r="N2887" t="s">
        <v>643</v>
      </c>
      <c r="O2887" t="s">
        <v>898</v>
      </c>
      <c r="P2887" t="s">
        <v>739</v>
      </c>
      <c r="Q2887" t="s">
        <v>467</v>
      </c>
      <c r="R2887" t="s">
        <v>724</v>
      </c>
      <c r="S2887" t="s">
        <v>725</v>
      </c>
      <c r="T2887" t="s">
        <v>613</v>
      </c>
      <c r="U2887">
        <v>120600</v>
      </c>
      <c r="V2887" t="s">
        <v>6817</v>
      </c>
      <c r="W2887" t="s">
        <v>900</v>
      </c>
      <c r="X2887" t="s">
        <v>5859</v>
      </c>
      <c r="Y2887" t="s">
        <v>16565</v>
      </c>
      <c r="Z2887" t="s">
        <v>4533</v>
      </c>
      <c r="AA2887" t="s">
        <v>4604</v>
      </c>
      <c r="AB2887" t="s">
        <v>5860</v>
      </c>
      <c r="AE2887">
        <v>-36.836742510000001</v>
      </c>
      <c r="AF2887">
        <v>174.60029846</v>
      </c>
      <c r="AG2887" s="175">
        <v>63</v>
      </c>
      <c r="AH2887" s="175">
        <v>18</v>
      </c>
      <c r="AI2887" s="175">
        <v>4</v>
      </c>
      <c r="AJ2887" s="175">
        <v>14</v>
      </c>
      <c r="AK2887" s="175">
        <v>18</v>
      </c>
      <c r="AL2887" s="175">
        <v>17</v>
      </c>
      <c r="AM2887" s="175">
        <v>12</v>
      </c>
      <c r="AN2887" s="175">
        <v>1</v>
      </c>
      <c r="AO2887" s="175">
        <v>66</v>
      </c>
      <c r="AP2887" s="175">
        <v>21</v>
      </c>
      <c r="AQ2887" s="175">
        <v>18</v>
      </c>
      <c r="AR2887" s="175">
        <v>19</v>
      </c>
      <c r="AS2887" s="175">
        <v>23</v>
      </c>
      <c r="AT2887" s="175">
        <v>5</v>
      </c>
    </row>
    <row r="2888" spans="1:46">
      <c r="A2888">
        <v>47571</v>
      </c>
      <c r="B2888" t="s">
        <v>16566</v>
      </c>
      <c r="C2888" t="s">
        <v>16567</v>
      </c>
      <c r="E2888" t="s">
        <v>16568</v>
      </c>
      <c r="G2888" t="s">
        <v>4201</v>
      </c>
      <c r="H2888" t="s">
        <v>449</v>
      </c>
      <c r="J2888" t="s">
        <v>4032</v>
      </c>
      <c r="K2888" t="s">
        <v>606</v>
      </c>
      <c r="M2888" t="s">
        <v>607</v>
      </c>
      <c r="N2888" t="s">
        <v>657</v>
      </c>
      <c r="O2888" t="s">
        <v>738</v>
      </c>
      <c r="P2888" t="s">
        <v>670</v>
      </c>
      <c r="Q2888" t="s">
        <v>467</v>
      </c>
      <c r="R2888" t="s">
        <v>724</v>
      </c>
      <c r="S2888" t="s">
        <v>753</v>
      </c>
      <c r="T2888" t="s">
        <v>613</v>
      </c>
      <c r="U2888">
        <v>113900</v>
      </c>
      <c r="V2888" t="s">
        <v>4795</v>
      </c>
      <c r="W2888" t="s">
        <v>742</v>
      </c>
      <c r="X2888" t="s">
        <v>11785</v>
      </c>
      <c r="Y2888" t="s">
        <v>11786</v>
      </c>
      <c r="Z2888" t="s">
        <v>11787</v>
      </c>
      <c r="AA2888" t="s">
        <v>11788</v>
      </c>
      <c r="AE2888">
        <v>-36.606582459999998</v>
      </c>
      <c r="AF2888">
        <v>174.6895586</v>
      </c>
      <c r="AG2888" s="175">
        <v>80</v>
      </c>
      <c r="AH2888" s="175">
        <v>30</v>
      </c>
      <c r="AI2888" s="175">
        <v>3</v>
      </c>
      <c r="AJ2888" s="175">
        <v>16</v>
      </c>
      <c r="AK2888" s="175">
        <v>29</v>
      </c>
      <c r="AL2888" s="175">
        <v>12</v>
      </c>
      <c r="AM2888" s="175">
        <v>21</v>
      </c>
      <c r="AN2888" s="175">
        <v>3</v>
      </c>
      <c r="AO2888" s="175">
        <v>84</v>
      </c>
      <c r="AP2888" s="175">
        <v>73</v>
      </c>
      <c r="AQ2888" s="175">
        <v>6</v>
      </c>
      <c r="AR2888" s="175">
        <v>2</v>
      </c>
      <c r="AS2888" s="175">
        <v>12</v>
      </c>
      <c r="AT2888" s="175">
        <v>3</v>
      </c>
    </row>
    <row r="2889" spans="1:46">
      <c r="A2889">
        <v>47572</v>
      </c>
      <c r="B2889" t="s">
        <v>16569</v>
      </c>
      <c r="C2889" t="s">
        <v>16570</v>
      </c>
      <c r="D2889" t="s">
        <v>16571</v>
      </c>
      <c r="E2889" t="s">
        <v>16572</v>
      </c>
      <c r="F2889" t="s">
        <v>7875</v>
      </c>
      <c r="G2889" t="s">
        <v>737</v>
      </c>
      <c r="H2889" t="s">
        <v>449</v>
      </c>
      <c r="J2889" t="s">
        <v>4032</v>
      </c>
      <c r="K2889" t="s">
        <v>606</v>
      </c>
      <c r="M2889" t="s">
        <v>607</v>
      </c>
      <c r="N2889" t="s">
        <v>657</v>
      </c>
      <c r="O2889" t="s">
        <v>1318</v>
      </c>
      <c r="P2889" t="s">
        <v>610</v>
      </c>
      <c r="Q2889" t="s">
        <v>467</v>
      </c>
      <c r="R2889" t="s">
        <v>793</v>
      </c>
      <c r="S2889" t="s">
        <v>1319</v>
      </c>
      <c r="T2889" t="s">
        <v>1320</v>
      </c>
      <c r="U2889">
        <v>156400</v>
      </c>
      <c r="V2889" t="s">
        <v>9499</v>
      </c>
      <c r="W2889" t="s">
        <v>1322</v>
      </c>
      <c r="X2889" t="s">
        <v>16573</v>
      </c>
      <c r="Y2889" t="s">
        <v>16574</v>
      </c>
      <c r="Z2889" t="s">
        <v>3973</v>
      </c>
      <c r="AA2889" t="s">
        <v>4168</v>
      </c>
      <c r="AB2889" t="s">
        <v>16575</v>
      </c>
      <c r="AE2889">
        <v>-36.8906773</v>
      </c>
      <c r="AF2889">
        <v>175.009647</v>
      </c>
      <c r="AG2889" s="175">
        <v>73</v>
      </c>
      <c r="AH2889" s="175">
        <v>20</v>
      </c>
      <c r="AI2889" s="175">
        <v>2</v>
      </c>
      <c r="AJ2889" s="175">
        <v>12</v>
      </c>
      <c r="AK2889" s="175">
        <v>12</v>
      </c>
      <c r="AL2889" s="175">
        <v>20</v>
      </c>
      <c r="AM2889" s="175">
        <v>13</v>
      </c>
      <c r="AN2889" s="175">
        <v>0</v>
      </c>
      <c r="AO2889" s="175">
        <v>59</v>
      </c>
      <c r="AP2889" s="175">
        <v>49</v>
      </c>
      <c r="AQ2889" s="175">
        <v>2</v>
      </c>
      <c r="AR2889" s="175">
        <v>1</v>
      </c>
      <c r="AS2889" s="175">
        <v>13</v>
      </c>
      <c r="AT2889" s="175">
        <v>4</v>
      </c>
    </row>
    <row r="2890" spans="1:46">
      <c r="A2890">
        <v>47574</v>
      </c>
      <c r="B2890" t="s">
        <v>16576</v>
      </c>
      <c r="E2890" t="s">
        <v>16577</v>
      </c>
      <c r="F2890" t="s">
        <v>5016</v>
      </c>
      <c r="G2890" t="s">
        <v>668</v>
      </c>
      <c r="H2890" t="s">
        <v>449</v>
      </c>
      <c r="J2890" t="s">
        <v>4032</v>
      </c>
      <c r="K2890" t="s">
        <v>606</v>
      </c>
      <c r="M2890" t="s">
        <v>607</v>
      </c>
      <c r="N2890" t="s">
        <v>643</v>
      </c>
      <c r="O2890" t="s">
        <v>669</v>
      </c>
      <c r="P2890" t="s">
        <v>670</v>
      </c>
      <c r="Q2890" t="s">
        <v>509</v>
      </c>
      <c r="R2890" t="s">
        <v>611</v>
      </c>
      <c r="S2890" t="s">
        <v>671</v>
      </c>
      <c r="T2890" t="s">
        <v>613</v>
      </c>
      <c r="U2890">
        <v>107501</v>
      </c>
      <c r="V2890" t="s">
        <v>5018</v>
      </c>
      <c r="W2890" t="s">
        <v>673</v>
      </c>
      <c r="X2890" t="s">
        <v>16578</v>
      </c>
      <c r="Y2890" t="s">
        <v>16579</v>
      </c>
      <c r="AA2890" t="s">
        <v>4473</v>
      </c>
      <c r="AB2890" t="s">
        <v>16580</v>
      </c>
      <c r="AE2890">
        <v>-35.73229465</v>
      </c>
      <c r="AF2890">
        <v>174.31897656999999</v>
      </c>
      <c r="AG2890" s="175">
        <v>22</v>
      </c>
      <c r="AH2890" s="175">
        <v>10</v>
      </c>
      <c r="AI2890" s="175">
        <v>0</v>
      </c>
      <c r="AJ2890" s="175">
        <v>9</v>
      </c>
      <c r="AK2890" s="175">
        <v>4</v>
      </c>
      <c r="AL2890" s="175">
        <v>8</v>
      </c>
      <c r="AM2890" s="175">
        <v>6</v>
      </c>
      <c r="AN2890" s="175">
        <v>4</v>
      </c>
      <c r="AO2890" s="175">
        <v>31</v>
      </c>
      <c r="AP2890" s="175">
        <v>16</v>
      </c>
      <c r="AQ2890" s="175">
        <v>18</v>
      </c>
      <c r="AR2890" s="175">
        <v>4</v>
      </c>
      <c r="AS2890" s="175">
        <v>3</v>
      </c>
      <c r="AT2890" s="175">
        <v>0</v>
      </c>
    </row>
    <row r="2891" spans="1:46">
      <c r="A2891">
        <v>47575</v>
      </c>
      <c r="B2891" t="s">
        <v>16581</v>
      </c>
      <c r="C2891" t="s">
        <v>16582</v>
      </c>
      <c r="E2891" t="s">
        <v>16583</v>
      </c>
      <c r="G2891" t="s">
        <v>1566</v>
      </c>
      <c r="H2891" t="s">
        <v>449</v>
      </c>
      <c r="I2891" t="s">
        <v>4642</v>
      </c>
      <c r="J2891" t="s">
        <v>605</v>
      </c>
      <c r="K2891" t="s">
        <v>606</v>
      </c>
      <c r="M2891" t="s">
        <v>1382</v>
      </c>
      <c r="N2891" t="s">
        <v>812</v>
      </c>
      <c r="O2891" t="s">
        <v>1567</v>
      </c>
      <c r="P2891" t="s">
        <v>1347</v>
      </c>
      <c r="Q2891" t="s">
        <v>510</v>
      </c>
      <c r="R2891" t="s">
        <v>1384</v>
      </c>
      <c r="S2891" t="s">
        <v>1404</v>
      </c>
      <c r="T2891" t="s">
        <v>1568</v>
      </c>
      <c r="U2891">
        <v>186600</v>
      </c>
      <c r="V2891" t="s">
        <v>8404</v>
      </c>
      <c r="W2891" t="s">
        <v>1570</v>
      </c>
      <c r="X2891" t="s">
        <v>16584</v>
      </c>
      <c r="Y2891" t="s">
        <v>16585</v>
      </c>
      <c r="Z2891" t="s">
        <v>1566</v>
      </c>
      <c r="AA2891" t="s">
        <v>8650</v>
      </c>
      <c r="AC2891">
        <v>99195</v>
      </c>
      <c r="AD2891" t="s">
        <v>1573</v>
      </c>
      <c r="AE2891">
        <v>-38.229118010000001</v>
      </c>
      <c r="AF2891">
        <v>175.86656467</v>
      </c>
      <c r="AG2891" s="175">
        <v>50</v>
      </c>
      <c r="AH2891" s="175">
        <v>15</v>
      </c>
      <c r="AI2891" s="175">
        <v>3</v>
      </c>
      <c r="AJ2891" s="175">
        <v>5</v>
      </c>
      <c r="AK2891" s="175">
        <v>8</v>
      </c>
      <c r="AL2891" s="175">
        <v>4</v>
      </c>
      <c r="AM2891" s="175">
        <v>5</v>
      </c>
      <c r="AN2891" s="175">
        <v>0</v>
      </c>
      <c r="AO2891" s="175">
        <v>25</v>
      </c>
      <c r="AP2891" s="175">
        <v>7</v>
      </c>
      <c r="AQ2891" s="175">
        <v>15</v>
      </c>
      <c r="AR2891" s="175">
        <v>18</v>
      </c>
      <c r="AS2891" s="175">
        <v>4</v>
      </c>
      <c r="AT2891" s="175">
        <v>1</v>
      </c>
    </row>
    <row r="2892" spans="1:46">
      <c r="A2892">
        <v>47576</v>
      </c>
      <c r="B2892" t="s">
        <v>16586</v>
      </c>
      <c r="C2892" t="s">
        <v>16587</v>
      </c>
      <c r="D2892" t="s">
        <v>16588</v>
      </c>
      <c r="E2892" t="s">
        <v>16589</v>
      </c>
      <c r="F2892" t="s">
        <v>6058</v>
      </c>
      <c r="G2892" t="s">
        <v>737</v>
      </c>
      <c r="H2892" t="s">
        <v>449</v>
      </c>
      <c r="J2892" t="s">
        <v>4032</v>
      </c>
      <c r="K2892" t="s">
        <v>606</v>
      </c>
      <c r="M2892" t="s">
        <v>607</v>
      </c>
      <c r="N2892" t="s">
        <v>657</v>
      </c>
      <c r="O2892" t="s">
        <v>833</v>
      </c>
      <c r="P2892" t="s">
        <v>739</v>
      </c>
      <c r="Q2892" t="s">
        <v>467</v>
      </c>
      <c r="R2892" t="s">
        <v>724</v>
      </c>
      <c r="S2892" t="s">
        <v>767</v>
      </c>
      <c r="T2892" t="s">
        <v>613</v>
      </c>
      <c r="U2892">
        <v>129300</v>
      </c>
      <c r="V2892" t="s">
        <v>6059</v>
      </c>
      <c r="W2892" t="s">
        <v>826</v>
      </c>
      <c r="X2892" t="s">
        <v>16590</v>
      </c>
      <c r="Y2892" t="s">
        <v>16591</v>
      </c>
      <c r="Z2892" t="s">
        <v>834</v>
      </c>
      <c r="AA2892" t="s">
        <v>4356</v>
      </c>
      <c r="AE2892">
        <v>-36.809095380000002</v>
      </c>
      <c r="AF2892">
        <v>174.78599324000001</v>
      </c>
      <c r="AG2892" s="175">
        <v>39</v>
      </c>
      <c r="AH2892" s="175">
        <v>12</v>
      </c>
      <c r="AI2892" s="175"/>
      <c r="AJ2892" s="175"/>
      <c r="AK2892" s="175"/>
      <c r="AL2892" s="175"/>
      <c r="AM2892" s="175"/>
      <c r="AN2892" s="175"/>
      <c r="AO2892" s="175"/>
      <c r="AP2892" s="175"/>
      <c r="AQ2892" s="175"/>
      <c r="AR2892" s="175"/>
      <c r="AS2892" s="175"/>
    </row>
    <row r="2893" spans="1:46">
      <c r="A2893">
        <v>47578</v>
      </c>
      <c r="B2893" t="s">
        <v>16592</v>
      </c>
      <c r="D2893" t="s">
        <v>12423</v>
      </c>
      <c r="E2893" t="s">
        <v>16593</v>
      </c>
      <c r="F2893" t="s">
        <v>6269</v>
      </c>
      <c r="G2893" t="s">
        <v>737</v>
      </c>
      <c r="H2893" t="s">
        <v>449</v>
      </c>
      <c r="J2893" t="s">
        <v>4032</v>
      </c>
      <c r="K2893" t="s">
        <v>606</v>
      </c>
      <c r="M2893" t="s">
        <v>607</v>
      </c>
      <c r="N2893" t="s">
        <v>643</v>
      </c>
      <c r="O2893" t="s">
        <v>889</v>
      </c>
      <c r="P2893" t="s">
        <v>739</v>
      </c>
      <c r="Q2893" t="s">
        <v>467</v>
      </c>
      <c r="R2893" t="s">
        <v>793</v>
      </c>
      <c r="S2893" t="s">
        <v>965</v>
      </c>
      <c r="T2893" t="s">
        <v>794</v>
      </c>
      <c r="U2893">
        <v>145700</v>
      </c>
      <c r="V2893" t="s">
        <v>16594</v>
      </c>
      <c r="W2893" t="s">
        <v>909</v>
      </c>
      <c r="X2893" t="s">
        <v>12425</v>
      </c>
      <c r="Y2893" t="s">
        <v>12426</v>
      </c>
      <c r="Z2893" t="s">
        <v>906</v>
      </c>
      <c r="AA2893" t="s">
        <v>4138</v>
      </c>
      <c r="AB2893" t="s">
        <v>12427</v>
      </c>
      <c r="AE2893">
        <v>-36.887662810000002</v>
      </c>
      <c r="AF2893">
        <v>174.8463606</v>
      </c>
      <c r="AG2893" s="175">
        <v>100</v>
      </c>
      <c r="AH2893" s="175">
        <v>25</v>
      </c>
      <c r="AI2893" s="175">
        <v>2</v>
      </c>
      <c r="AJ2893" s="175">
        <v>16</v>
      </c>
      <c r="AK2893" s="175">
        <v>13</v>
      </c>
      <c r="AL2893" s="175">
        <v>16</v>
      </c>
      <c r="AM2893" s="175">
        <v>17</v>
      </c>
      <c r="AN2893" s="175">
        <v>2</v>
      </c>
      <c r="AO2893" s="175">
        <v>66</v>
      </c>
      <c r="AP2893" s="175">
        <v>47</v>
      </c>
      <c r="AQ2893" s="175">
        <v>7</v>
      </c>
      <c r="AR2893" s="175">
        <v>1</v>
      </c>
      <c r="AS2893" s="175">
        <v>23</v>
      </c>
      <c r="AT2893" s="175">
        <v>6</v>
      </c>
    </row>
    <row r="2894" spans="1:46">
      <c r="A2894">
        <v>47580</v>
      </c>
      <c r="B2894" t="s">
        <v>16595</v>
      </c>
      <c r="C2894" t="s">
        <v>16596</v>
      </c>
      <c r="E2894" t="s">
        <v>16597</v>
      </c>
      <c r="G2894" t="s">
        <v>3408</v>
      </c>
      <c r="H2894" t="s">
        <v>449</v>
      </c>
      <c r="I2894" t="s">
        <v>4134</v>
      </c>
      <c r="J2894" t="s">
        <v>4032</v>
      </c>
      <c r="K2894" t="s">
        <v>606</v>
      </c>
      <c r="M2894" t="s">
        <v>2366</v>
      </c>
      <c r="N2894" t="s">
        <v>657</v>
      </c>
      <c r="O2894" t="s">
        <v>3409</v>
      </c>
      <c r="P2894" t="s">
        <v>1347</v>
      </c>
      <c r="Q2894" t="s">
        <v>522</v>
      </c>
      <c r="R2894" t="s">
        <v>3410</v>
      </c>
      <c r="S2894" t="s">
        <v>3323</v>
      </c>
      <c r="T2894" t="s">
        <v>2526</v>
      </c>
      <c r="U2894">
        <v>343900</v>
      </c>
      <c r="V2894" t="s">
        <v>16598</v>
      </c>
      <c r="W2894" t="s">
        <v>3412</v>
      </c>
      <c r="X2894" t="s">
        <v>16599</v>
      </c>
      <c r="Y2894" t="s">
        <v>4176</v>
      </c>
      <c r="AA2894" t="s">
        <v>4052</v>
      </c>
      <c r="AB2894" t="s">
        <v>16596</v>
      </c>
      <c r="AE2894">
        <v>-45.077929920000003</v>
      </c>
      <c r="AF2894">
        <v>170.98944526</v>
      </c>
      <c r="AG2894" s="175">
        <v>73</v>
      </c>
      <c r="AH2894" s="175">
        <v>14</v>
      </c>
      <c r="AI2894" s="175">
        <v>4</v>
      </c>
      <c r="AJ2894" s="175">
        <v>15</v>
      </c>
      <c r="AK2894" s="175">
        <v>23</v>
      </c>
      <c r="AL2894" s="175">
        <v>31</v>
      </c>
      <c r="AM2894" s="175">
        <v>21</v>
      </c>
      <c r="AN2894" s="175">
        <v>0</v>
      </c>
      <c r="AO2894" s="175">
        <v>94</v>
      </c>
      <c r="AP2894" s="175">
        <v>83</v>
      </c>
      <c r="AQ2894" s="175">
        <v>13</v>
      </c>
      <c r="AR2894" s="175">
        <v>9</v>
      </c>
      <c r="AS2894" s="175">
        <v>12</v>
      </c>
      <c r="AT2894" s="175">
        <v>3</v>
      </c>
    </row>
    <row r="2895" spans="1:46">
      <c r="A2895">
        <v>47584</v>
      </c>
      <c r="B2895" t="s">
        <v>16600</v>
      </c>
      <c r="C2895" t="s">
        <v>16601</v>
      </c>
      <c r="E2895" t="s">
        <v>16602</v>
      </c>
      <c r="F2895" t="s">
        <v>3841</v>
      </c>
      <c r="G2895" t="s">
        <v>1681</v>
      </c>
      <c r="H2895" t="s">
        <v>449</v>
      </c>
      <c r="J2895" t="s">
        <v>605</v>
      </c>
      <c r="K2895" t="s">
        <v>606</v>
      </c>
      <c r="M2895" t="s">
        <v>1382</v>
      </c>
      <c r="N2895" t="s">
        <v>657</v>
      </c>
      <c r="O2895" t="s">
        <v>1780</v>
      </c>
      <c r="P2895" t="s">
        <v>739</v>
      </c>
      <c r="Q2895" t="s">
        <v>511</v>
      </c>
      <c r="R2895" t="s">
        <v>1555</v>
      </c>
      <c r="S2895" t="s">
        <v>1781</v>
      </c>
      <c r="T2895" t="s">
        <v>1557</v>
      </c>
      <c r="U2895">
        <v>196202</v>
      </c>
      <c r="V2895" t="s">
        <v>15204</v>
      </c>
      <c r="W2895" t="s">
        <v>1783</v>
      </c>
      <c r="X2895" t="s">
        <v>8441</v>
      </c>
      <c r="Y2895" t="s">
        <v>4014</v>
      </c>
      <c r="Z2895" t="s">
        <v>4015</v>
      </c>
      <c r="AA2895" t="s">
        <v>4016</v>
      </c>
      <c r="AB2895" t="s">
        <v>8442</v>
      </c>
      <c r="AC2895">
        <v>99064</v>
      </c>
      <c r="AD2895" t="s">
        <v>1784</v>
      </c>
      <c r="AE2895">
        <v>-37.683278780000002</v>
      </c>
      <c r="AF2895">
        <v>176.25098711999999</v>
      </c>
      <c r="AG2895" s="175">
        <v>90</v>
      </c>
      <c r="AH2895" s="175">
        <v>20</v>
      </c>
      <c r="AI2895" s="175">
        <v>1</v>
      </c>
      <c r="AJ2895" s="175">
        <v>15</v>
      </c>
      <c r="AK2895" s="175">
        <v>22</v>
      </c>
      <c r="AL2895" s="175">
        <v>22</v>
      </c>
      <c r="AM2895" s="175">
        <v>28</v>
      </c>
      <c r="AN2895" s="175">
        <v>0</v>
      </c>
      <c r="AO2895" s="175">
        <v>88</v>
      </c>
      <c r="AP2895" s="175">
        <v>66</v>
      </c>
      <c r="AQ2895" s="175">
        <v>23</v>
      </c>
      <c r="AR2895" s="175">
        <v>1</v>
      </c>
      <c r="AS2895" s="175">
        <v>10</v>
      </c>
      <c r="AT2895" s="175">
        <v>10</v>
      </c>
    </row>
    <row r="2896" spans="1:46">
      <c r="A2896">
        <v>47586</v>
      </c>
      <c r="B2896" t="s">
        <v>16603</v>
      </c>
      <c r="C2896" t="s">
        <v>16604</v>
      </c>
      <c r="D2896" t="s">
        <v>16605</v>
      </c>
      <c r="E2896" t="s">
        <v>16606</v>
      </c>
      <c r="G2896" t="s">
        <v>16607</v>
      </c>
      <c r="H2896" t="s">
        <v>449</v>
      </c>
      <c r="J2896" t="s">
        <v>4032</v>
      </c>
      <c r="K2896" t="s">
        <v>606</v>
      </c>
      <c r="M2896" t="s">
        <v>607</v>
      </c>
      <c r="N2896" t="s">
        <v>657</v>
      </c>
      <c r="O2896" t="s">
        <v>738</v>
      </c>
      <c r="P2896" t="s">
        <v>670</v>
      </c>
      <c r="Q2896" t="s">
        <v>467</v>
      </c>
      <c r="R2896" t="s">
        <v>724</v>
      </c>
      <c r="S2896" t="s">
        <v>753</v>
      </c>
      <c r="T2896" t="s">
        <v>613</v>
      </c>
      <c r="U2896">
        <v>115800</v>
      </c>
      <c r="V2896" t="s">
        <v>3695</v>
      </c>
      <c r="W2896" t="s">
        <v>742</v>
      </c>
      <c r="X2896" t="s">
        <v>16608</v>
      </c>
      <c r="Y2896" t="s">
        <v>4051</v>
      </c>
      <c r="AA2896" t="s">
        <v>4052</v>
      </c>
      <c r="AB2896" t="s">
        <v>16609</v>
      </c>
      <c r="AC2896">
        <v>99095</v>
      </c>
      <c r="AD2896" t="s">
        <v>786</v>
      </c>
      <c r="AE2896">
        <v>-36.640353570000002</v>
      </c>
      <c r="AF2896">
        <v>174.75803739</v>
      </c>
      <c r="AG2896" s="175">
        <v>50</v>
      </c>
      <c r="AH2896" s="175">
        <v>10</v>
      </c>
      <c r="AI2896" s="175">
        <v>0</v>
      </c>
      <c r="AJ2896" s="175">
        <v>9</v>
      </c>
      <c r="AK2896" s="175">
        <v>16</v>
      </c>
      <c r="AL2896" s="175">
        <v>16</v>
      </c>
      <c r="AM2896" s="175">
        <v>13</v>
      </c>
      <c r="AN2896" s="175">
        <v>0</v>
      </c>
      <c r="AO2896" s="175">
        <v>54</v>
      </c>
      <c r="AP2896" s="175">
        <v>47</v>
      </c>
      <c r="AQ2896" s="175">
        <v>8</v>
      </c>
      <c r="AR2896" s="175">
        <v>5</v>
      </c>
      <c r="AS2896" s="175">
        <v>0</v>
      </c>
      <c r="AT2896" s="175">
        <v>6</v>
      </c>
    </row>
    <row r="2897" spans="1:46">
      <c r="A2897">
        <v>47587</v>
      </c>
      <c r="B2897" t="s">
        <v>16610</v>
      </c>
      <c r="C2897" t="s">
        <v>16611</v>
      </c>
      <c r="D2897" t="s">
        <v>1378</v>
      </c>
      <c r="E2897" t="s">
        <v>16612</v>
      </c>
      <c r="G2897" t="s">
        <v>1381</v>
      </c>
      <c r="H2897" t="s">
        <v>449</v>
      </c>
      <c r="J2897" t="s">
        <v>605</v>
      </c>
      <c r="K2897" t="s">
        <v>606</v>
      </c>
      <c r="M2897" t="s">
        <v>1382</v>
      </c>
      <c r="N2897" t="s">
        <v>657</v>
      </c>
      <c r="O2897" t="s">
        <v>1383</v>
      </c>
      <c r="P2897" t="s">
        <v>739</v>
      </c>
      <c r="Q2897" t="s">
        <v>510</v>
      </c>
      <c r="R2897" t="s">
        <v>1384</v>
      </c>
      <c r="S2897" t="s">
        <v>1385</v>
      </c>
      <c r="T2897" t="s">
        <v>1320</v>
      </c>
      <c r="U2897">
        <v>175201</v>
      </c>
      <c r="V2897" t="s">
        <v>9123</v>
      </c>
      <c r="W2897" t="s">
        <v>1387</v>
      </c>
      <c r="X2897" t="s">
        <v>1388</v>
      </c>
      <c r="Y2897" t="s">
        <v>1389</v>
      </c>
      <c r="Z2897" t="s">
        <v>1396</v>
      </c>
      <c r="AA2897" t="s">
        <v>1390</v>
      </c>
      <c r="AB2897" t="s">
        <v>1391</v>
      </c>
      <c r="AE2897">
        <v>-37.74398557</v>
      </c>
      <c r="AF2897">
        <v>175.21986179999999</v>
      </c>
      <c r="AG2897" s="175">
        <v>120</v>
      </c>
      <c r="AH2897" s="175">
        <v>50</v>
      </c>
      <c r="AI2897" s="175">
        <v>8</v>
      </c>
      <c r="AJ2897" s="175">
        <v>28</v>
      </c>
      <c r="AK2897" s="175">
        <v>24</v>
      </c>
      <c r="AL2897" s="175">
        <v>38</v>
      </c>
      <c r="AM2897" s="175">
        <v>25</v>
      </c>
      <c r="AN2897" s="175">
        <v>3</v>
      </c>
      <c r="AO2897" s="175">
        <v>126</v>
      </c>
      <c r="AP2897" s="175">
        <v>90</v>
      </c>
      <c r="AQ2897" s="175">
        <v>29</v>
      </c>
      <c r="AR2897" s="175">
        <v>7</v>
      </c>
      <c r="AS2897" s="175">
        <v>30</v>
      </c>
      <c r="AT2897" s="175">
        <v>8</v>
      </c>
    </row>
    <row r="2898" spans="1:46">
      <c r="A2898">
        <v>47588</v>
      </c>
      <c r="B2898" t="s">
        <v>16613</v>
      </c>
      <c r="C2898" t="s">
        <v>16614</v>
      </c>
      <c r="E2898" t="s">
        <v>16615</v>
      </c>
      <c r="F2898" t="s">
        <v>804</v>
      </c>
      <c r="G2898" t="s">
        <v>737</v>
      </c>
      <c r="H2898" t="s">
        <v>449</v>
      </c>
      <c r="J2898" t="s">
        <v>4032</v>
      </c>
      <c r="K2898" t="s">
        <v>606</v>
      </c>
      <c r="M2898" t="s">
        <v>607</v>
      </c>
      <c r="N2898" t="s">
        <v>657</v>
      </c>
      <c r="O2898" t="s">
        <v>803</v>
      </c>
      <c r="P2898" t="s">
        <v>739</v>
      </c>
      <c r="Q2898" t="s">
        <v>467</v>
      </c>
      <c r="R2898" t="s">
        <v>724</v>
      </c>
      <c r="S2898" t="s">
        <v>804</v>
      </c>
      <c r="T2898" t="s">
        <v>794</v>
      </c>
      <c r="U2898">
        <v>129501</v>
      </c>
      <c r="V2898" t="s">
        <v>7158</v>
      </c>
      <c r="W2898" t="s">
        <v>806</v>
      </c>
      <c r="X2898" t="s">
        <v>4905</v>
      </c>
      <c r="Y2898" t="s">
        <v>4906</v>
      </c>
      <c r="Z2898" t="s">
        <v>4907</v>
      </c>
      <c r="AA2898" t="s">
        <v>4551</v>
      </c>
      <c r="AE2898">
        <v>-36.900755940000003</v>
      </c>
      <c r="AF2898">
        <v>174.65624500000001</v>
      </c>
      <c r="AG2898" s="175">
        <v>76</v>
      </c>
      <c r="AH2898" s="175">
        <v>19</v>
      </c>
      <c r="AI2898" s="175">
        <v>2</v>
      </c>
      <c r="AJ2898" s="175">
        <v>10</v>
      </c>
      <c r="AK2898" s="175">
        <v>11</v>
      </c>
      <c r="AL2898" s="175">
        <v>14</v>
      </c>
      <c r="AM2898" s="175">
        <v>15</v>
      </c>
      <c r="AN2898" s="175">
        <v>2</v>
      </c>
      <c r="AO2898" s="175">
        <v>54</v>
      </c>
      <c r="AP2898" s="175">
        <v>9</v>
      </c>
      <c r="AQ2898" s="175">
        <v>20</v>
      </c>
      <c r="AR2898" s="175">
        <v>29</v>
      </c>
      <c r="AS2898" s="175">
        <v>14</v>
      </c>
      <c r="AT2898" s="175">
        <v>2</v>
      </c>
    </row>
    <row r="2899" spans="1:46">
      <c r="A2899">
        <v>47589</v>
      </c>
      <c r="B2899" t="s">
        <v>16616</v>
      </c>
      <c r="C2899" t="s">
        <v>16617</v>
      </c>
      <c r="D2899" t="s">
        <v>16618</v>
      </c>
      <c r="E2899" t="s">
        <v>16619</v>
      </c>
      <c r="G2899" t="s">
        <v>1621</v>
      </c>
      <c r="H2899" t="s">
        <v>449</v>
      </c>
      <c r="J2899" t="s">
        <v>4032</v>
      </c>
      <c r="K2899" t="s">
        <v>606</v>
      </c>
      <c r="M2899" t="s">
        <v>1382</v>
      </c>
      <c r="N2899" t="s">
        <v>657</v>
      </c>
      <c r="O2899" t="s">
        <v>1403</v>
      </c>
      <c r="P2899" t="s">
        <v>1347</v>
      </c>
      <c r="Q2899" t="s">
        <v>510</v>
      </c>
      <c r="R2899" t="s">
        <v>1384</v>
      </c>
      <c r="S2899" t="s">
        <v>1501</v>
      </c>
      <c r="T2899" t="s">
        <v>1320</v>
      </c>
      <c r="U2899">
        <v>183600</v>
      </c>
      <c r="V2899" t="s">
        <v>1742</v>
      </c>
      <c r="W2899" t="s">
        <v>1623</v>
      </c>
      <c r="X2899" t="s">
        <v>11660</v>
      </c>
      <c r="Y2899" t="s">
        <v>11661</v>
      </c>
      <c r="Z2899" t="s">
        <v>8574</v>
      </c>
      <c r="AA2899" t="s">
        <v>8726</v>
      </c>
      <c r="AB2899" t="s">
        <v>11662</v>
      </c>
      <c r="AE2899">
        <v>-38.008073189999998</v>
      </c>
      <c r="AF2899">
        <v>175.32032072000001</v>
      </c>
      <c r="AG2899" s="175">
        <v>70</v>
      </c>
      <c r="AH2899" s="175">
        <v>12</v>
      </c>
      <c r="AI2899" s="175">
        <v>0</v>
      </c>
      <c r="AJ2899" s="175">
        <v>1</v>
      </c>
      <c r="AK2899" s="175">
        <v>24</v>
      </c>
      <c r="AL2899" s="175">
        <v>18</v>
      </c>
      <c r="AM2899" s="175">
        <v>24</v>
      </c>
      <c r="AN2899" s="175">
        <v>1</v>
      </c>
      <c r="AO2899" s="175">
        <v>68</v>
      </c>
      <c r="AP2899" s="175">
        <v>49</v>
      </c>
      <c r="AQ2899" s="175">
        <v>17</v>
      </c>
      <c r="AR2899" s="175">
        <v>6</v>
      </c>
      <c r="AS2899" s="175">
        <v>8</v>
      </c>
      <c r="AT2899" s="175">
        <v>6</v>
      </c>
    </row>
    <row r="2900" spans="1:46">
      <c r="A2900">
        <v>47591</v>
      </c>
      <c r="B2900" t="s">
        <v>16620</v>
      </c>
      <c r="C2900" t="s">
        <v>16621</v>
      </c>
      <c r="E2900" t="s">
        <v>16622</v>
      </c>
      <c r="G2900" t="s">
        <v>13544</v>
      </c>
      <c r="H2900" t="s">
        <v>449</v>
      </c>
      <c r="J2900" t="s">
        <v>4032</v>
      </c>
      <c r="K2900" t="s">
        <v>606</v>
      </c>
      <c r="M2900" t="s">
        <v>2366</v>
      </c>
      <c r="N2900" t="s">
        <v>657</v>
      </c>
      <c r="O2900" t="s">
        <v>13545</v>
      </c>
      <c r="P2900" t="s">
        <v>658</v>
      </c>
      <c r="Q2900" t="s">
        <v>521</v>
      </c>
      <c r="R2900" t="s">
        <v>3017</v>
      </c>
      <c r="S2900" t="s">
        <v>2902</v>
      </c>
      <c r="T2900" t="s">
        <v>2526</v>
      </c>
      <c r="U2900">
        <v>312600</v>
      </c>
      <c r="V2900" t="s">
        <v>16623</v>
      </c>
      <c r="W2900" t="s">
        <v>13546</v>
      </c>
      <c r="X2900" t="s">
        <v>16624</v>
      </c>
      <c r="Y2900" t="s">
        <v>16625</v>
      </c>
      <c r="AA2900" t="s">
        <v>16626</v>
      </c>
      <c r="AB2900" t="s">
        <v>16627</v>
      </c>
      <c r="AC2900">
        <v>99077</v>
      </c>
      <c r="AD2900" t="s">
        <v>3041</v>
      </c>
      <c r="AE2900">
        <v>-43.114882520000002</v>
      </c>
      <c r="AF2900">
        <v>172.6863342</v>
      </c>
      <c r="AG2900" s="175">
        <v>50</v>
      </c>
      <c r="AH2900" s="175">
        <v>12</v>
      </c>
      <c r="AI2900" s="175">
        <v>3</v>
      </c>
      <c r="AJ2900" s="175">
        <v>17</v>
      </c>
      <c r="AK2900" s="175">
        <v>16</v>
      </c>
      <c r="AL2900" s="175">
        <v>20</v>
      </c>
      <c r="AM2900" s="175">
        <v>19</v>
      </c>
      <c r="AN2900" s="175">
        <v>2</v>
      </c>
      <c r="AO2900" s="175">
        <v>77</v>
      </c>
      <c r="AP2900" s="175">
        <v>73</v>
      </c>
      <c r="AQ2900" s="175">
        <v>9</v>
      </c>
      <c r="AR2900" s="175">
        <v>0</v>
      </c>
      <c r="AS2900" s="175">
        <v>1</v>
      </c>
      <c r="AT2900" s="175">
        <v>3</v>
      </c>
    </row>
    <row r="2901" spans="1:46">
      <c r="A2901">
        <v>47593</v>
      </c>
      <c r="B2901" t="s">
        <v>16628</v>
      </c>
      <c r="C2901" t="s">
        <v>16629</v>
      </c>
      <c r="D2901" t="s">
        <v>16630</v>
      </c>
      <c r="E2901" t="s">
        <v>16631</v>
      </c>
      <c r="F2901" t="s">
        <v>2260</v>
      </c>
      <c r="G2901" t="s">
        <v>2198</v>
      </c>
      <c r="H2901" t="s">
        <v>449</v>
      </c>
      <c r="I2901" t="s">
        <v>4041</v>
      </c>
      <c r="J2901" t="s">
        <v>4032</v>
      </c>
      <c r="K2901" t="s">
        <v>606</v>
      </c>
      <c r="M2901" t="s">
        <v>1382</v>
      </c>
      <c r="N2901" t="s">
        <v>657</v>
      </c>
      <c r="O2901" t="s">
        <v>2210</v>
      </c>
      <c r="P2901" t="s">
        <v>670</v>
      </c>
      <c r="Q2901" t="s">
        <v>513</v>
      </c>
      <c r="R2901" t="s">
        <v>2164</v>
      </c>
      <c r="S2901" t="s">
        <v>2198</v>
      </c>
      <c r="T2901" t="s">
        <v>2165</v>
      </c>
      <c r="U2901">
        <v>212400</v>
      </c>
      <c r="V2901" t="s">
        <v>16632</v>
      </c>
      <c r="W2901" t="s">
        <v>2219</v>
      </c>
      <c r="X2901" t="s">
        <v>16633</v>
      </c>
      <c r="Y2901" t="s">
        <v>16634</v>
      </c>
      <c r="Z2901" t="s">
        <v>2254</v>
      </c>
      <c r="AA2901" t="s">
        <v>16635</v>
      </c>
      <c r="AB2901" t="s">
        <v>16636</v>
      </c>
      <c r="AC2901">
        <v>99217</v>
      </c>
      <c r="AD2901" t="s">
        <v>2220</v>
      </c>
      <c r="AE2901">
        <v>-39.504246950000002</v>
      </c>
      <c r="AF2901">
        <v>176.8491124</v>
      </c>
      <c r="AG2901" s="175">
        <v>65</v>
      </c>
      <c r="AH2901" s="175">
        <v>0</v>
      </c>
      <c r="AI2901" s="175">
        <v>0</v>
      </c>
      <c r="AJ2901" s="175">
        <v>0</v>
      </c>
      <c r="AK2901" s="175">
        <v>13</v>
      </c>
      <c r="AL2901" s="175">
        <v>29</v>
      </c>
      <c r="AM2901" s="175">
        <v>21</v>
      </c>
      <c r="AN2901" s="175">
        <v>1</v>
      </c>
      <c r="AO2901" s="175">
        <v>64</v>
      </c>
      <c r="AP2901" s="175">
        <v>49</v>
      </c>
      <c r="AQ2901" s="175">
        <v>22</v>
      </c>
      <c r="AR2901" s="175">
        <v>2</v>
      </c>
      <c r="AS2901" s="175">
        <v>3</v>
      </c>
      <c r="AT2901" s="175">
        <v>10</v>
      </c>
    </row>
    <row r="2902" spans="1:46">
      <c r="A2902">
        <v>47595</v>
      </c>
      <c r="B2902" t="s">
        <v>16637</v>
      </c>
      <c r="C2902" t="s">
        <v>16638</v>
      </c>
      <c r="E2902" t="s">
        <v>16639</v>
      </c>
      <c r="F2902" t="s">
        <v>1506</v>
      </c>
      <c r="G2902" t="s">
        <v>1381</v>
      </c>
      <c r="H2902" t="s">
        <v>449</v>
      </c>
      <c r="J2902" t="s">
        <v>4032</v>
      </c>
      <c r="K2902" t="s">
        <v>606</v>
      </c>
      <c r="M2902" t="s">
        <v>1382</v>
      </c>
      <c r="N2902" t="s">
        <v>657</v>
      </c>
      <c r="O2902" t="s">
        <v>1383</v>
      </c>
      <c r="P2902" t="s">
        <v>739</v>
      </c>
      <c r="Q2902" t="s">
        <v>510</v>
      </c>
      <c r="R2902" t="s">
        <v>1384</v>
      </c>
      <c r="S2902" t="s">
        <v>1385</v>
      </c>
      <c r="T2902" t="s">
        <v>1320</v>
      </c>
      <c r="U2902">
        <v>176301</v>
      </c>
      <c r="V2902" t="s">
        <v>8493</v>
      </c>
      <c r="W2902" t="s">
        <v>1387</v>
      </c>
      <c r="X2902" t="s">
        <v>16640</v>
      </c>
      <c r="Y2902" t="s">
        <v>4176</v>
      </c>
      <c r="AA2902" t="s">
        <v>4052</v>
      </c>
      <c r="AB2902" t="s">
        <v>16641</v>
      </c>
      <c r="AE2902">
        <v>-37.758273699999997</v>
      </c>
      <c r="AF2902">
        <v>175.24699340000001</v>
      </c>
      <c r="AG2902" s="175">
        <v>105</v>
      </c>
      <c r="AH2902" s="175">
        <v>27</v>
      </c>
      <c r="AI2902" s="175">
        <v>2</v>
      </c>
      <c r="AJ2902" s="175">
        <v>19</v>
      </c>
      <c r="AK2902" s="175">
        <v>18</v>
      </c>
      <c r="AL2902" s="175">
        <v>19</v>
      </c>
      <c r="AM2902" s="175">
        <v>14</v>
      </c>
      <c r="AN2902" s="175">
        <v>3</v>
      </c>
      <c r="AO2902" s="175">
        <v>75</v>
      </c>
      <c r="AP2902" s="175">
        <v>20</v>
      </c>
      <c r="AQ2902" s="175">
        <v>11</v>
      </c>
      <c r="AR2902" s="175">
        <v>8</v>
      </c>
      <c r="AS2902" s="175">
        <v>52</v>
      </c>
      <c r="AT2902" s="175">
        <v>3</v>
      </c>
    </row>
    <row r="2903" spans="1:46">
      <c r="A2903">
        <v>47596</v>
      </c>
      <c r="B2903" t="s">
        <v>16642</v>
      </c>
      <c r="C2903" t="s">
        <v>16643</v>
      </c>
      <c r="D2903" t="s">
        <v>16644</v>
      </c>
      <c r="E2903" t="s">
        <v>16645</v>
      </c>
      <c r="G2903" t="s">
        <v>737</v>
      </c>
      <c r="H2903" t="s">
        <v>449</v>
      </c>
      <c r="J2903" t="s">
        <v>4032</v>
      </c>
      <c r="K2903" t="s">
        <v>606</v>
      </c>
      <c r="M2903" t="s">
        <v>607</v>
      </c>
      <c r="N2903" t="s">
        <v>643</v>
      </c>
      <c r="O2903" t="s">
        <v>997</v>
      </c>
      <c r="P2903" t="s">
        <v>739</v>
      </c>
      <c r="Q2903" t="s">
        <v>467</v>
      </c>
      <c r="R2903" t="s">
        <v>793</v>
      </c>
      <c r="S2903" t="s">
        <v>998</v>
      </c>
      <c r="T2903" t="s">
        <v>794</v>
      </c>
      <c r="U2903">
        <v>140400</v>
      </c>
      <c r="V2903" t="s">
        <v>16149</v>
      </c>
      <c r="W2903" t="s">
        <v>945</v>
      </c>
      <c r="X2903" t="s">
        <v>16646</v>
      </c>
      <c r="Y2903" t="s">
        <v>16647</v>
      </c>
      <c r="Z2903" t="s">
        <v>5224</v>
      </c>
      <c r="AA2903" t="s">
        <v>4449</v>
      </c>
      <c r="AE2903">
        <v>-36.911863080000003</v>
      </c>
      <c r="AF2903">
        <v>174.74357506999999</v>
      </c>
      <c r="AG2903" s="175">
        <v>50</v>
      </c>
      <c r="AH2903" s="175">
        <v>0</v>
      </c>
      <c r="AI2903" s="175">
        <v>0</v>
      </c>
      <c r="AJ2903" s="175">
        <v>0</v>
      </c>
      <c r="AK2903" s="175">
        <v>4</v>
      </c>
      <c r="AL2903" s="175">
        <v>14</v>
      </c>
      <c r="AM2903" s="175">
        <v>14</v>
      </c>
      <c r="AN2903" s="175">
        <v>0</v>
      </c>
      <c r="AO2903" s="175">
        <v>32</v>
      </c>
      <c r="AP2903" s="175">
        <v>0</v>
      </c>
      <c r="AQ2903" s="175">
        <v>2</v>
      </c>
      <c r="AR2903" s="175">
        <v>8</v>
      </c>
      <c r="AS2903" s="175">
        <v>21</v>
      </c>
      <c r="AT2903" s="175">
        <v>4</v>
      </c>
    </row>
    <row r="2904" spans="1:46">
      <c r="A2904">
        <v>47597</v>
      </c>
      <c r="B2904" t="s">
        <v>16648</v>
      </c>
      <c r="C2904" t="s">
        <v>16649</v>
      </c>
      <c r="E2904" t="s">
        <v>16650</v>
      </c>
      <c r="F2904" t="s">
        <v>3841</v>
      </c>
      <c r="G2904" t="s">
        <v>1681</v>
      </c>
      <c r="H2904" t="s">
        <v>449</v>
      </c>
      <c r="J2904" t="s">
        <v>4032</v>
      </c>
      <c r="K2904" t="s">
        <v>606</v>
      </c>
      <c r="M2904" t="s">
        <v>1382</v>
      </c>
      <c r="N2904" t="s">
        <v>657</v>
      </c>
      <c r="O2904" t="s">
        <v>1780</v>
      </c>
      <c r="P2904" t="s">
        <v>739</v>
      </c>
      <c r="Q2904" t="s">
        <v>511</v>
      </c>
      <c r="R2904" t="s">
        <v>1555</v>
      </c>
      <c r="S2904" t="s">
        <v>1781</v>
      </c>
      <c r="T2904" t="s">
        <v>1557</v>
      </c>
      <c r="U2904">
        <v>197200</v>
      </c>
      <c r="V2904" t="s">
        <v>16651</v>
      </c>
      <c r="W2904" t="s">
        <v>3843</v>
      </c>
      <c r="X2904" t="s">
        <v>16652</v>
      </c>
      <c r="Y2904" t="s">
        <v>16653</v>
      </c>
      <c r="Z2904" t="s">
        <v>3841</v>
      </c>
      <c r="AA2904" t="s">
        <v>16654</v>
      </c>
      <c r="AB2904" t="s">
        <v>16655</v>
      </c>
      <c r="AE2904">
        <v>-37.698682509999998</v>
      </c>
      <c r="AF2904">
        <v>176.28503082</v>
      </c>
      <c r="AG2904" s="175">
        <v>80</v>
      </c>
      <c r="AH2904" s="175">
        <v>20</v>
      </c>
      <c r="AI2904" s="175">
        <v>6</v>
      </c>
      <c r="AJ2904" s="175">
        <v>20</v>
      </c>
      <c r="AK2904" s="175">
        <v>28</v>
      </c>
      <c r="AL2904" s="175">
        <v>17</v>
      </c>
      <c r="AM2904" s="175">
        <v>13</v>
      </c>
      <c r="AN2904" s="175">
        <v>1</v>
      </c>
      <c r="AO2904" s="175">
        <v>85</v>
      </c>
      <c r="AP2904" s="175">
        <v>73</v>
      </c>
      <c r="AQ2904" s="175">
        <v>34</v>
      </c>
      <c r="AR2904" s="175">
        <v>6</v>
      </c>
      <c r="AS2904" s="175">
        <v>2</v>
      </c>
      <c r="AT2904" s="175">
        <v>0</v>
      </c>
    </row>
    <row r="2905" spans="1:46">
      <c r="A2905">
        <v>47598</v>
      </c>
      <c r="B2905" t="s">
        <v>16656</v>
      </c>
      <c r="C2905" t="s">
        <v>16657</v>
      </c>
      <c r="D2905" t="s">
        <v>16658</v>
      </c>
      <c r="E2905" t="s">
        <v>16659</v>
      </c>
      <c r="F2905" t="s">
        <v>3777</v>
      </c>
      <c r="G2905" t="s">
        <v>737</v>
      </c>
      <c r="H2905" t="s">
        <v>449</v>
      </c>
      <c r="J2905" t="s">
        <v>4032</v>
      </c>
      <c r="K2905" t="s">
        <v>606</v>
      </c>
      <c r="M2905" t="s">
        <v>607</v>
      </c>
      <c r="N2905" t="s">
        <v>657</v>
      </c>
      <c r="O2905" t="s">
        <v>1253</v>
      </c>
      <c r="P2905" t="s">
        <v>739</v>
      </c>
      <c r="Q2905" t="s">
        <v>467</v>
      </c>
      <c r="R2905" t="s">
        <v>724</v>
      </c>
      <c r="S2905" t="s">
        <v>740</v>
      </c>
      <c r="T2905" t="s">
        <v>613</v>
      </c>
      <c r="U2905">
        <v>118600</v>
      </c>
      <c r="V2905" t="s">
        <v>4082</v>
      </c>
      <c r="W2905" t="s">
        <v>742</v>
      </c>
      <c r="X2905" t="s">
        <v>16660</v>
      </c>
      <c r="Y2905" t="s">
        <v>16659</v>
      </c>
      <c r="AA2905" t="s">
        <v>4168</v>
      </c>
      <c r="AB2905" t="s">
        <v>16661</v>
      </c>
      <c r="AE2905">
        <v>-36.751929060000002</v>
      </c>
      <c r="AF2905">
        <v>174.7047144</v>
      </c>
      <c r="AG2905" s="175">
        <v>98</v>
      </c>
      <c r="AH2905" s="175">
        <v>24</v>
      </c>
      <c r="AI2905" s="175">
        <v>3</v>
      </c>
      <c r="AJ2905" s="175">
        <v>15</v>
      </c>
      <c r="AK2905" s="175">
        <v>24</v>
      </c>
      <c r="AL2905" s="175">
        <v>27</v>
      </c>
      <c r="AM2905" s="175">
        <v>17</v>
      </c>
      <c r="AN2905" s="175">
        <v>4</v>
      </c>
      <c r="AO2905" s="175">
        <v>90</v>
      </c>
      <c r="AP2905" s="175">
        <v>20</v>
      </c>
      <c r="AQ2905" s="175">
        <v>2</v>
      </c>
      <c r="AR2905" s="175">
        <v>0</v>
      </c>
      <c r="AS2905" s="175">
        <v>74</v>
      </c>
      <c r="AT2905" s="175">
        <v>4</v>
      </c>
    </row>
    <row r="2906" spans="1:46">
      <c r="A2906">
        <v>47599</v>
      </c>
      <c r="B2906" t="s">
        <v>16662</v>
      </c>
      <c r="C2906" t="s">
        <v>16663</v>
      </c>
      <c r="D2906" t="s">
        <v>16664</v>
      </c>
      <c r="E2906" t="s">
        <v>16665</v>
      </c>
      <c r="F2906" t="s">
        <v>3184</v>
      </c>
      <c r="G2906" t="s">
        <v>3015</v>
      </c>
      <c r="H2906" t="s">
        <v>449</v>
      </c>
      <c r="J2906" t="s">
        <v>4032</v>
      </c>
      <c r="K2906" t="s">
        <v>606</v>
      </c>
      <c r="M2906" t="s">
        <v>2366</v>
      </c>
      <c r="N2906" t="s">
        <v>657</v>
      </c>
      <c r="O2906" t="s">
        <v>3016</v>
      </c>
      <c r="P2906" t="s">
        <v>739</v>
      </c>
      <c r="Q2906" t="s">
        <v>521</v>
      </c>
      <c r="R2906" t="s">
        <v>3017</v>
      </c>
      <c r="S2906" t="s">
        <v>3030</v>
      </c>
      <c r="T2906" t="s">
        <v>2526</v>
      </c>
      <c r="U2906">
        <v>330900</v>
      </c>
      <c r="V2906" t="s">
        <v>3184</v>
      </c>
      <c r="W2906" t="s">
        <v>3087</v>
      </c>
      <c r="X2906" t="s">
        <v>16666</v>
      </c>
      <c r="Y2906" t="s">
        <v>16667</v>
      </c>
      <c r="Z2906" t="s">
        <v>3184</v>
      </c>
      <c r="AA2906" t="s">
        <v>14725</v>
      </c>
      <c r="AB2906" t="s">
        <v>16663</v>
      </c>
      <c r="AC2906">
        <v>99177</v>
      </c>
      <c r="AD2906" t="s">
        <v>3032</v>
      </c>
      <c r="AE2906">
        <v>-43.552921769999998</v>
      </c>
      <c r="AF2906">
        <v>172.66146008000001</v>
      </c>
      <c r="AG2906" s="175">
        <v>70</v>
      </c>
      <c r="AH2906" s="175">
        <v>16</v>
      </c>
      <c r="AI2906" s="175">
        <v>1</v>
      </c>
      <c r="AJ2906" s="175">
        <v>16</v>
      </c>
      <c r="AK2906" s="175">
        <v>20</v>
      </c>
      <c r="AL2906" s="175">
        <v>22</v>
      </c>
      <c r="AM2906" s="175">
        <v>25</v>
      </c>
      <c r="AN2906" s="175">
        <v>2</v>
      </c>
      <c r="AO2906" s="175">
        <v>86</v>
      </c>
      <c r="AP2906" s="175">
        <v>82</v>
      </c>
      <c r="AQ2906" s="175">
        <v>13</v>
      </c>
      <c r="AR2906" s="175">
        <v>1</v>
      </c>
      <c r="AS2906" s="175">
        <v>5</v>
      </c>
      <c r="AT2906" s="175">
        <v>5</v>
      </c>
    </row>
    <row r="2907" spans="1:46">
      <c r="A2907">
        <v>47601</v>
      </c>
      <c r="B2907" t="s">
        <v>16668</v>
      </c>
      <c r="C2907" t="s">
        <v>16669</v>
      </c>
      <c r="D2907" t="s">
        <v>16670</v>
      </c>
      <c r="E2907" t="s">
        <v>16671</v>
      </c>
      <c r="F2907" t="s">
        <v>862</v>
      </c>
      <c r="G2907" t="s">
        <v>737</v>
      </c>
      <c r="H2907" t="s">
        <v>449</v>
      </c>
      <c r="J2907" t="s">
        <v>4032</v>
      </c>
      <c r="K2907" t="s">
        <v>606</v>
      </c>
      <c r="M2907" t="s">
        <v>607</v>
      </c>
      <c r="N2907" t="s">
        <v>657</v>
      </c>
      <c r="O2907" t="s">
        <v>792</v>
      </c>
      <c r="P2907" t="s">
        <v>739</v>
      </c>
      <c r="Q2907" t="s">
        <v>467</v>
      </c>
      <c r="R2907" t="s">
        <v>793</v>
      </c>
      <c r="S2907" t="s">
        <v>791</v>
      </c>
      <c r="T2907" t="s">
        <v>794</v>
      </c>
      <c r="U2907">
        <v>152400</v>
      </c>
      <c r="V2907" t="s">
        <v>5234</v>
      </c>
      <c r="W2907" t="s">
        <v>796</v>
      </c>
      <c r="X2907" t="s">
        <v>14680</v>
      </c>
      <c r="Y2907" t="s">
        <v>16671</v>
      </c>
      <c r="Z2907" t="s">
        <v>862</v>
      </c>
      <c r="AA2907" t="s">
        <v>5237</v>
      </c>
      <c r="AB2907" t="s">
        <v>14677</v>
      </c>
      <c r="AE2907">
        <v>-36.899599940000002</v>
      </c>
      <c r="AF2907">
        <v>174.92873846000001</v>
      </c>
      <c r="AG2907" s="175">
        <v>44</v>
      </c>
      <c r="AH2907" s="175">
        <v>0</v>
      </c>
      <c r="AI2907" s="175">
        <v>0</v>
      </c>
      <c r="AJ2907" s="175">
        <v>0</v>
      </c>
      <c r="AK2907" s="175">
        <v>11</v>
      </c>
      <c r="AL2907" s="175">
        <v>26</v>
      </c>
      <c r="AM2907" s="175">
        <v>18</v>
      </c>
      <c r="AN2907" s="175">
        <v>1</v>
      </c>
      <c r="AO2907" s="175">
        <v>56</v>
      </c>
      <c r="AP2907" s="175">
        <v>38</v>
      </c>
      <c r="AQ2907" s="175">
        <v>9</v>
      </c>
      <c r="AR2907" s="175">
        <v>6</v>
      </c>
      <c r="AS2907" s="175">
        <v>20</v>
      </c>
      <c r="AT2907" s="175">
        <v>3</v>
      </c>
    </row>
    <row r="2908" spans="1:46">
      <c r="A2908">
        <v>47602</v>
      </c>
      <c r="B2908" t="s">
        <v>16672</v>
      </c>
      <c r="C2908" t="s">
        <v>16673</v>
      </c>
      <c r="D2908" t="s">
        <v>16674</v>
      </c>
      <c r="E2908" t="s">
        <v>16675</v>
      </c>
      <c r="G2908" t="s">
        <v>9235</v>
      </c>
      <c r="H2908" t="s">
        <v>449</v>
      </c>
      <c r="J2908" t="s">
        <v>4032</v>
      </c>
      <c r="K2908" t="s">
        <v>606</v>
      </c>
      <c r="M2908" t="s">
        <v>607</v>
      </c>
      <c r="N2908" t="s">
        <v>643</v>
      </c>
      <c r="O2908" t="s">
        <v>1435</v>
      </c>
      <c r="P2908" t="s">
        <v>610</v>
      </c>
      <c r="Q2908" t="s">
        <v>510</v>
      </c>
      <c r="R2908" t="s">
        <v>814</v>
      </c>
      <c r="S2908" t="s">
        <v>1331</v>
      </c>
      <c r="T2908" t="s">
        <v>1320</v>
      </c>
      <c r="U2908">
        <v>170501</v>
      </c>
      <c r="V2908" t="s">
        <v>14615</v>
      </c>
      <c r="W2908" t="s">
        <v>3884</v>
      </c>
      <c r="X2908" t="s">
        <v>16676</v>
      </c>
      <c r="Y2908" t="s">
        <v>4471</v>
      </c>
      <c r="Z2908" t="s">
        <v>4472</v>
      </c>
      <c r="AA2908" t="s">
        <v>4596</v>
      </c>
      <c r="AE2908">
        <v>-37.243584759999997</v>
      </c>
      <c r="AF2908">
        <v>175.013464</v>
      </c>
      <c r="AG2908" s="175">
        <v>120</v>
      </c>
      <c r="AH2908" s="175">
        <v>30</v>
      </c>
      <c r="AI2908" s="175">
        <v>1</v>
      </c>
      <c r="AJ2908" s="175">
        <v>21</v>
      </c>
      <c r="AK2908" s="175">
        <v>18</v>
      </c>
      <c r="AL2908" s="175">
        <v>38</v>
      </c>
      <c r="AM2908" s="175">
        <v>31</v>
      </c>
      <c r="AN2908" s="175">
        <v>0</v>
      </c>
      <c r="AO2908" s="175">
        <v>109</v>
      </c>
      <c r="AP2908" s="175">
        <v>41</v>
      </c>
      <c r="AQ2908" s="175">
        <v>19</v>
      </c>
      <c r="AR2908" s="175">
        <v>9</v>
      </c>
      <c r="AS2908" s="175">
        <v>61</v>
      </c>
      <c r="AT2908" s="175">
        <v>4</v>
      </c>
    </row>
    <row r="2909" spans="1:46">
      <c r="A2909">
        <v>47603</v>
      </c>
      <c r="B2909" t="s">
        <v>16677</v>
      </c>
      <c r="C2909" t="s">
        <v>16678</v>
      </c>
      <c r="D2909" t="s">
        <v>16679</v>
      </c>
      <c r="E2909" t="s">
        <v>16680</v>
      </c>
      <c r="F2909" t="s">
        <v>4057</v>
      </c>
      <c r="G2909" t="s">
        <v>737</v>
      </c>
      <c r="H2909" t="s">
        <v>449</v>
      </c>
      <c r="J2909" t="s">
        <v>4032</v>
      </c>
      <c r="K2909" t="s">
        <v>606</v>
      </c>
      <c r="M2909" t="s">
        <v>607</v>
      </c>
      <c r="N2909" t="s">
        <v>657</v>
      </c>
      <c r="O2909" t="s">
        <v>1318</v>
      </c>
      <c r="P2909" t="s">
        <v>1347</v>
      </c>
      <c r="Q2909" t="s">
        <v>467</v>
      </c>
      <c r="R2909" t="s">
        <v>814</v>
      </c>
      <c r="S2909" t="s">
        <v>1331</v>
      </c>
      <c r="T2909" t="s">
        <v>1320</v>
      </c>
      <c r="U2909">
        <v>166100</v>
      </c>
      <c r="V2909" t="s">
        <v>8175</v>
      </c>
      <c r="W2909" t="s">
        <v>1322</v>
      </c>
      <c r="X2909" t="s">
        <v>16681</v>
      </c>
      <c r="Y2909" t="s">
        <v>4471</v>
      </c>
      <c r="Z2909" t="s">
        <v>4472</v>
      </c>
      <c r="AA2909" t="s">
        <v>4596</v>
      </c>
      <c r="AE2909">
        <v>-37.217090470000002</v>
      </c>
      <c r="AF2909">
        <v>174.90074440999999</v>
      </c>
      <c r="AG2909" s="175">
        <v>105</v>
      </c>
      <c r="AH2909" s="175">
        <v>25</v>
      </c>
      <c r="AI2909" s="175">
        <v>2</v>
      </c>
      <c r="AJ2909" s="175">
        <v>6</v>
      </c>
      <c r="AK2909" s="175">
        <v>9</v>
      </c>
      <c r="AL2909" s="175">
        <v>10</v>
      </c>
      <c r="AM2909" s="175">
        <v>9</v>
      </c>
      <c r="AN2909" s="175">
        <v>0</v>
      </c>
      <c r="AO2909" s="175">
        <v>36</v>
      </c>
      <c r="AP2909" s="175">
        <v>21</v>
      </c>
      <c r="AQ2909" s="175">
        <v>9</v>
      </c>
      <c r="AR2909" s="175">
        <v>1</v>
      </c>
      <c r="AS2909" s="175">
        <v>10</v>
      </c>
      <c r="AT2909" s="175">
        <v>2</v>
      </c>
    </row>
    <row r="2910" spans="1:46">
      <c r="A2910">
        <v>47604</v>
      </c>
      <c r="B2910" t="s">
        <v>16682</v>
      </c>
      <c r="C2910" t="s">
        <v>16683</v>
      </c>
      <c r="D2910" t="s">
        <v>16684</v>
      </c>
      <c r="E2910" t="s">
        <v>16685</v>
      </c>
      <c r="F2910" t="s">
        <v>2331</v>
      </c>
      <c r="G2910" t="s">
        <v>2276</v>
      </c>
      <c r="H2910" t="s">
        <v>449</v>
      </c>
      <c r="J2910" t="s">
        <v>4032</v>
      </c>
      <c r="K2910" t="s">
        <v>606</v>
      </c>
      <c r="M2910" t="s">
        <v>1382</v>
      </c>
      <c r="N2910" t="s">
        <v>625</v>
      </c>
      <c r="O2910" t="s">
        <v>2277</v>
      </c>
      <c r="P2910" t="s">
        <v>670</v>
      </c>
      <c r="Q2910" t="s">
        <v>513</v>
      </c>
      <c r="R2910" t="s">
        <v>2164</v>
      </c>
      <c r="S2910" t="s">
        <v>2278</v>
      </c>
      <c r="T2910" t="s">
        <v>2165</v>
      </c>
      <c r="U2910">
        <v>210500</v>
      </c>
      <c r="V2910" t="s">
        <v>11711</v>
      </c>
      <c r="W2910" t="s">
        <v>2279</v>
      </c>
      <c r="X2910" t="s">
        <v>16686</v>
      </c>
      <c r="Y2910" t="s">
        <v>16685</v>
      </c>
      <c r="Z2910" t="s">
        <v>16687</v>
      </c>
      <c r="AA2910" t="s">
        <v>11713</v>
      </c>
      <c r="AB2910" t="s">
        <v>16688</v>
      </c>
      <c r="AE2910">
        <v>-39.64279423</v>
      </c>
      <c r="AF2910">
        <v>176.84995212999999</v>
      </c>
      <c r="AG2910" s="175">
        <v>66</v>
      </c>
      <c r="AH2910" s="175">
        <v>20</v>
      </c>
      <c r="AI2910" s="175">
        <v>4</v>
      </c>
      <c r="AJ2910" s="175">
        <v>9</v>
      </c>
      <c r="AK2910" s="175">
        <v>14</v>
      </c>
      <c r="AL2910" s="175">
        <v>12</v>
      </c>
      <c r="AM2910" s="175">
        <v>17</v>
      </c>
      <c r="AN2910" s="175">
        <v>0</v>
      </c>
      <c r="AO2910" s="175">
        <v>56</v>
      </c>
      <c r="AP2910" s="175">
        <v>26</v>
      </c>
      <c r="AQ2910" s="175">
        <v>11</v>
      </c>
      <c r="AR2910" s="175">
        <v>2</v>
      </c>
      <c r="AS2910" s="175">
        <v>22</v>
      </c>
      <c r="AT2910" s="175">
        <v>4</v>
      </c>
    </row>
    <row r="2911" spans="1:46">
      <c r="A2911">
        <v>47605</v>
      </c>
      <c r="B2911" t="s">
        <v>16689</v>
      </c>
      <c r="C2911" t="s">
        <v>16690</v>
      </c>
      <c r="E2911" t="s">
        <v>16691</v>
      </c>
      <c r="F2911" t="s">
        <v>1199</v>
      </c>
      <c r="G2911" t="s">
        <v>737</v>
      </c>
      <c r="H2911" t="s">
        <v>449</v>
      </c>
      <c r="J2911" t="s">
        <v>4032</v>
      </c>
      <c r="K2911" t="s">
        <v>606</v>
      </c>
      <c r="M2911" t="s">
        <v>607</v>
      </c>
      <c r="N2911" t="s">
        <v>643</v>
      </c>
      <c r="O2911" t="s">
        <v>898</v>
      </c>
      <c r="P2911" t="s">
        <v>739</v>
      </c>
      <c r="Q2911" t="s">
        <v>467</v>
      </c>
      <c r="R2911" t="s">
        <v>724</v>
      </c>
      <c r="S2911" t="s">
        <v>984</v>
      </c>
      <c r="T2911" t="s">
        <v>613</v>
      </c>
      <c r="U2911">
        <v>125000</v>
      </c>
      <c r="V2911" t="s">
        <v>16692</v>
      </c>
      <c r="W2911" t="s">
        <v>900</v>
      </c>
      <c r="X2911" t="s">
        <v>16693</v>
      </c>
      <c r="Y2911" t="s">
        <v>16694</v>
      </c>
      <c r="Z2911" t="s">
        <v>1199</v>
      </c>
      <c r="AA2911" t="s">
        <v>4034</v>
      </c>
      <c r="AB2911" t="s">
        <v>16695</v>
      </c>
      <c r="AE2911">
        <v>-36.867896620000003</v>
      </c>
      <c r="AF2911">
        <v>174.60047545</v>
      </c>
      <c r="AG2911" s="175">
        <v>47</v>
      </c>
      <c r="AH2911" s="175">
        <v>10</v>
      </c>
      <c r="AI2911" s="175">
        <v>0</v>
      </c>
      <c r="AJ2911" s="175">
        <v>5</v>
      </c>
      <c r="AK2911" s="175">
        <v>7</v>
      </c>
      <c r="AL2911" s="175">
        <v>6</v>
      </c>
      <c r="AM2911" s="175">
        <v>11</v>
      </c>
      <c r="AN2911" s="175">
        <v>0</v>
      </c>
      <c r="AO2911" s="175">
        <v>29</v>
      </c>
      <c r="AP2911" s="175">
        <v>2</v>
      </c>
      <c r="AQ2911" s="175">
        <v>5</v>
      </c>
      <c r="AR2911" s="175">
        <v>6</v>
      </c>
      <c r="AS2911" s="175">
        <v>13</v>
      </c>
      <c r="AT2911" s="175">
        <v>5</v>
      </c>
    </row>
    <row r="2912" spans="1:46">
      <c r="A2912">
        <v>47607</v>
      </c>
      <c r="B2912" t="s">
        <v>16696</v>
      </c>
      <c r="C2912" t="s">
        <v>12517</v>
      </c>
      <c r="D2912" t="s">
        <v>16697</v>
      </c>
      <c r="E2912" t="s">
        <v>16698</v>
      </c>
      <c r="G2912" t="s">
        <v>4256</v>
      </c>
      <c r="H2912" t="s">
        <v>449</v>
      </c>
      <c r="J2912" t="s">
        <v>4032</v>
      </c>
      <c r="K2912" t="s">
        <v>606</v>
      </c>
      <c r="M2912" t="s">
        <v>607</v>
      </c>
      <c r="N2912" t="s">
        <v>643</v>
      </c>
      <c r="O2912" t="s">
        <v>723</v>
      </c>
      <c r="P2912" t="s">
        <v>610</v>
      </c>
      <c r="Q2912" t="s">
        <v>467</v>
      </c>
      <c r="R2912" t="s">
        <v>724</v>
      </c>
      <c r="S2912" t="s">
        <v>725</v>
      </c>
      <c r="T2912" t="s">
        <v>613</v>
      </c>
      <c r="U2912">
        <v>112401</v>
      </c>
      <c r="V2912" t="s">
        <v>4256</v>
      </c>
      <c r="W2912" t="s">
        <v>726</v>
      </c>
      <c r="X2912" t="s">
        <v>16699</v>
      </c>
      <c r="Y2912" t="s">
        <v>4725</v>
      </c>
      <c r="Z2912" t="s">
        <v>1043</v>
      </c>
      <c r="AA2912" t="s">
        <v>4726</v>
      </c>
      <c r="AB2912" t="s">
        <v>16700</v>
      </c>
      <c r="AE2912">
        <v>-36.679256340000002</v>
      </c>
      <c r="AF2912">
        <v>174.44945923</v>
      </c>
      <c r="AG2912" s="175">
        <v>60</v>
      </c>
      <c r="AH2912" s="175">
        <v>20</v>
      </c>
      <c r="AI2912" s="175">
        <v>1</v>
      </c>
      <c r="AJ2912" s="175">
        <v>5</v>
      </c>
      <c r="AK2912" s="175">
        <v>11</v>
      </c>
      <c r="AL2912" s="175">
        <v>4</v>
      </c>
      <c r="AM2912" s="175">
        <v>10</v>
      </c>
      <c r="AN2912" s="175">
        <v>0</v>
      </c>
      <c r="AO2912" s="175">
        <v>31</v>
      </c>
      <c r="AP2912" s="175">
        <v>21</v>
      </c>
      <c r="AQ2912" s="175">
        <v>8</v>
      </c>
      <c r="AR2912" s="175">
        <v>3</v>
      </c>
      <c r="AS2912" s="175">
        <v>7</v>
      </c>
      <c r="AT2912" s="175">
        <v>0</v>
      </c>
    </row>
    <row r="2913" spans="1:46">
      <c r="A2913">
        <v>47608</v>
      </c>
      <c r="B2913" t="s">
        <v>16701</v>
      </c>
      <c r="C2913" t="s">
        <v>16702</v>
      </c>
      <c r="D2913" t="s">
        <v>16703</v>
      </c>
      <c r="E2913" t="s">
        <v>16704</v>
      </c>
      <c r="F2913" t="s">
        <v>745</v>
      </c>
      <c r="G2913" t="s">
        <v>737</v>
      </c>
      <c r="H2913" t="s">
        <v>450</v>
      </c>
      <c r="J2913" t="s">
        <v>4032</v>
      </c>
      <c r="K2913" t="s">
        <v>606</v>
      </c>
      <c r="M2913" t="s">
        <v>607</v>
      </c>
      <c r="N2913" t="s">
        <v>657</v>
      </c>
      <c r="O2913" t="s">
        <v>738</v>
      </c>
      <c r="P2913" t="s">
        <v>739</v>
      </c>
      <c r="Q2913" t="s">
        <v>467</v>
      </c>
      <c r="R2913" t="s">
        <v>724</v>
      </c>
      <c r="S2913" t="s">
        <v>740</v>
      </c>
      <c r="T2913" t="s">
        <v>613</v>
      </c>
      <c r="U2913">
        <v>118200</v>
      </c>
      <c r="V2913" t="s">
        <v>3729</v>
      </c>
      <c r="W2913" t="s">
        <v>742</v>
      </c>
      <c r="X2913" t="s">
        <v>16705</v>
      </c>
      <c r="Y2913" t="s">
        <v>16706</v>
      </c>
      <c r="Z2913" t="s">
        <v>745</v>
      </c>
      <c r="AA2913" t="s">
        <v>4153</v>
      </c>
      <c r="AB2913" t="s">
        <v>16707</v>
      </c>
      <c r="AE2913">
        <v>-36.723314999999999</v>
      </c>
      <c r="AF2913">
        <v>174.72997699999999</v>
      </c>
      <c r="AG2913" s="175">
        <v>80</v>
      </c>
      <c r="AH2913" s="175">
        <v>80</v>
      </c>
      <c r="AI2913" s="175">
        <v>11</v>
      </c>
      <c r="AJ2913" s="175">
        <v>19</v>
      </c>
      <c r="AK2913" s="175">
        <v>10</v>
      </c>
      <c r="AL2913" s="175">
        <v>7</v>
      </c>
      <c r="AM2913" s="175">
        <v>5</v>
      </c>
      <c r="AN2913" s="175">
        <v>0</v>
      </c>
      <c r="AO2913" s="175">
        <v>52</v>
      </c>
      <c r="AP2913" s="175">
        <v>2</v>
      </c>
      <c r="AQ2913" s="175">
        <v>0</v>
      </c>
      <c r="AR2913" s="175">
        <v>0</v>
      </c>
      <c r="AS2913" s="175">
        <v>52</v>
      </c>
      <c r="AT2913" s="175">
        <v>0</v>
      </c>
    </row>
    <row r="2914" spans="1:46">
      <c r="A2914">
        <v>47609</v>
      </c>
      <c r="B2914" t="s">
        <v>16708</v>
      </c>
      <c r="C2914" t="s">
        <v>16709</v>
      </c>
      <c r="D2914" t="s">
        <v>16710</v>
      </c>
      <c r="E2914" t="s">
        <v>16711</v>
      </c>
      <c r="G2914" t="s">
        <v>10974</v>
      </c>
      <c r="H2914" t="s">
        <v>449</v>
      </c>
      <c r="J2914" t="s">
        <v>4032</v>
      </c>
      <c r="K2914" t="s">
        <v>606</v>
      </c>
      <c r="M2914" t="s">
        <v>2366</v>
      </c>
      <c r="N2914" t="s">
        <v>657</v>
      </c>
      <c r="O2914" t="s">
        <v>3281</v>
      </c>
      <c r="P2914" t="s">
        <v>1347</v>
      </c>
      <c r="Q2914" t="s">
        <v>521</v>
      </c>
      <c r="R2914" t="s">
        <v>3017</v>
      </c>
      <c r="S2914" t="s">
        <v>3252</v>
      </c>
      <c r="T2914" t="s">
        <v>2526</v>
      </c>
      <c r="U2914">
        <v>335501</v>
      </c>
      <c r="V2914" t="s">
        <v>14760</v>
      </c>
      <c r="W2914" t="s">
        <v>10977</v>
      </c>
      <c r="X2914" t="s">
        <v>10978</v>
      </c>
      <c r="Y2914" t="s">
        <v>16712</v>
      </c>
      <c r="AA2914" t="s">
        <v>11636</v>
      </c>
      <c r="AC2914">
        <v>99206</v>
      </c>
      <c r="AD2914" t="s">
        <v>3284</v>
      </c>
      <c r="AE2914">
        <v>-43.609816090000002</v>
      </c>
      <c r="AF2914">
        <v>172.3912751</v>
      </c>
      <c r="AG2914" s="175">
        <v>130</v>
      </c>
      <c r="AH2914" s="175">
        <v>30</v>
      </c>
      <c r="AI2914" s="175">
        <v>6</v>
      </c>
      <c r="AJ2914" s="175">
        <v>21</v>
      </c>
      <c r="AK2914" s="175">
        <v>30</v>
      </c>
      <c r="AL2914" s="175">
        <v>44</v>
      </c>
      <c r="AM2914" s="175">
        <v>37</v>
      </c>
      <c r="AN2914" s="175">
        <v>2</v>
      </c>
      <c r="AO2914" s="175">
        <v>140</v>
      </c>
      <c r="AP2914" s="175">
        <v>118</v>
      </c>
      <c r="AQ2914" s="175">
        <v>19</v>
      </c>
      <c r="AR2914" s="175">
        <v>4</v>
      </c>
      <c r="AS2914" s="175">
        <v>22</v>
      </c>
      <c r="AT2914" s="175">
        <v>11</v>
      </c>
    </row>
    <row r="2915" spans="1:46">
      <c r="A2915">
        <v>47610</v>
      </c>
      <c r="B2915" t="s">
        <v>16713</v>
      </c>
      <c r="D2915" t="s">
        <v>16714</v>
      </c>
      <c r="E2915" t="s">
        <v>16715</v>
      </c>
      <c r="G2915" t="s">
        <v>16716</v>
      </c>
      <c r="H2915" t="s">
        <v>449</v>
      </c>
      <c r="J2915" t="s">
        <v>4032</v>
      </c>
      <c r="K2915" t="s">
        <v>606</v>
      </c>
      <c r="M2915" t="s">
        <v>1382</v>
      </c>
      <c r="N2915" t="s">
        <v>657</v>
      </c>
      <c r="O2915" t="s">
        <v>1840</v>
      </c>
      <c r="P2915" t="s">
        <v>658</v>
      </c>
      <c r="Q2915" t="s">
        <v>514</v>
      </c>
      <c r="R2915" t="s">
        <v>1841</v>
      </c>
      <c r="S2915" t="s">
        <v>1839</v>
      </c>
      <c r="T2915" t="s">
        <v>1568</v>
      </c>
      <c r="U2915">
        <v>219000</v>
      </c>
      <c r="V2915" t="s">
        <v>16717</v>
      </c>
      <c r="W2915" t="s">
        <v>1907</v>
      </c>
      <c r="X2915" t="s">
        <v>16718</v>
      </c>
      <c r="Y2915" t="s">
        <v>16719</v>
      </c>
      <c r="Z2915" t="s">
        <v>16716</v>
      </c>
      <c r="AA2915" t="s">
        <v>16720</v>
      </c>
      <c r="AE2915">
        <v>-39.035411330000002</v>
      </c>
      <c r="AF2915">
        <v>174.21069320999999</v>
      </c>
      <c r="AG2915" s="175">
        <v>54</v>
      </c>
      <c r="AH2915" s="175">
        <v>24</v>
      </c>
      <c r="AI2915" s="175">
        <v>2</v>
      </c>
      <c r="AJ2915" s="175">
        <v>13</v>
      </c>
      <c r="AK2915" s="175">
        <v>15</v>
      </c>
      <c r="AL2915" s="175">
        <v>20</v>
      </c>
      <c r="AM2915" s="175">
        <v>20</v>
      </c>
      <c r="AN2915" s="175">
        <v>3</v>
      </c>
      <c r="AO2915" s="175">
        <v>73</v>
      </c>
      <c r="AP2915" s="175">
        <v>60</v>
      </c>
      <c r="AQ2915" s="175">
        <v>17</v>
      </c>
      <c r="AR2915" s="175">
        <v>0</v>
      </c>
      <c r="AS2915" s="175">
        <v>1</v>
      </c>
      <c r="AT2915" s="175">
        <v>12</v>
      </c>
    </row>
    <row r="2916" spans="1:46">
      <c r="A2916">
        <v>47612</v>
      </c>
      <c r="B2916" t="s">
        <v>16721</v>
      </c>
      <c r="C2916" t="s">
        <v>7541</v>
      </c>
      <c r="D2916" t="s">
        <v>16722</v>
      </c>
      <c r="E2916" t="s">
        <v>16723</v>
      </c>
      <c r="F2916" t="s">
        <v>6103</v>
      </c>
      <c r="G2916" t="s">
        <v>737</v>
      </c>
      <c r="H2916" t="s">
        <v>449</v>
      </c>
      <c r="J2916" t="s">
        <v>4032</v>
      </c>
      <c r="K2916" t="s">
        <v>606</v>
      </c>
      <c r="M2916" t="s">
        <v>607</v>
      </c>
      <c r="N2916" t="s">
        <v>657</v>
      </c>
      <c r="O2916" t="s">
        <v>738</v>
      </c>
      <c r="P2916" t="s">
        <v>739</v>
      </c>
      <c r="Q2916" t="s">
        <v>467</v>
      </c>
      <c r="R2916" t="s">
        <v>724</v>
      </c>
      <c r="S2916" t="s">
        <v>767</v>
      </c>
      <c r="T2916" t="s">
        <v>613</v>
      </c>
      <c r="U2916">
        <v>122200</v>
      </c>
      <c r="V2916" t="s">
        <v>6103</v>
      </c>
      <c r="W2916" t="s">
        <v>742</v>
      </c>
      <c r="X2916" t="s">
        <v>16724</v>
      </c>
      <c r="Y2916" t="s">
        <v>7540</v>
      </c>
      <c r="Z2916" t="s">
        <v>1187</v>
      </c>
      <c r="AA2916" t="s">
        <v>6874</v>
      </c>
      <c r="AE2916">
        <v>-36.747185420000001</v>
      </c>
      <c r="AF2916">
        <v>174.76101385000001</v>
      </c>
      <c r="AG2916" s="175">
        <v>150</v>
      </c>
      <c r="AH2916" s="175">
        <v>40</v>
      </c>
      <c r="AI2916" s="175">
        <v>4</v>
      </c>
      <c r="AJ2916" s="175">
        <v>26</v>
      </c>
      <c r="AK2916" s="175">
        <v>45</v>
      </c>
      <c r="AL2916" s="175">
        <v>38</v>
      </c>
      <c r="AM2916" s="175">
        <v>39</v>
      </c>
      <c r="AN2916" s="175">
        <v>1</v>
      </c>
      <c r="AO2916" s="175">
        <v>153</v>
      </c>
      <c r="AP2916" s="175">
        <v>95</v>
      </c>
      <c r="AQ2916" s="175">
        <v>6</v>
      </c>
      <c r="AR2916" s="175">
        <v>1</v>
      </c>
      <c r="AS2916" s="175">
        <v>57</v>
      </c>
      <c r="AT2916" s="175">
        <v>14</v>
      </c>
    </row>
    <row r="2917" spans="1:46">
      <c r="A2917">
        <v>47614</v>
      </c>
      <c r="B2917" t="s">
        <v>16725</v>
      </c>
      <c r="C2917" t="s">
        <v>16726</v>
      </c>
      <c r="E2917" t="s">
        <v>16727</v>
      </c>
      <c r="G2917" t="s">
        <v>3260</v>
      </c>
      <c r="H2917" t="s">
        <v>449</v>
      </c>
      <c r="J2917" t="s">
        <v>4032</v>
      </c>
      <c r="K2917" t="s">
        <v>606</v>
      </c>
      <c r="M2917" t="s">
        <v>2366</v>
      </c>
      <c r="N2917" t="s">
        <v>657</v>
      </c>
      <c r="O2917" t="s">
        <v>3037</v>
      </c>
      <c r="P2917" t="s">
        <v>1347</v>
      </c>
      <c r="Q2917" t="s">
        <v>521</v>
      </c>
      <c r="R2917" t="s">
        <v>3017</v>
      </c>
      <c r="S2917" t="s">
        <v>3038</v>
      </c>
      <c r="T2917" t="s">
        <v>2526</v>
      </c>
      <c r="U2917">
        <v>315700</v>
      </c>
      <c r="V2917" t="s">
        <v>10913</v>
      </c>
      <c r="W2917" t="s">
        <v>3262</v>
      </c>
      <c r="X2917" t="s">
        <v>16728</v>
      </c>
      <c r="Y2917" t="s">
        <v>4471</v>
      </c>
      <c r="Z2917" t="s">
        <v>4472</v>
      </c>
      <c r="AA2917" t="s">
        <v>4596</v>
      </c>
      <c r="AB2917" t="s">
        <v>16729</v>
      </c>
      <c r="AE2917">
        <v>-43.376628789999998</v>
      </c>
      <c r="AF2917">
        <v>172.65081319999999</v>
      </c>
      <c r="AG2917" s="175">
        <v>80</v>
      </c>
      <c r="AH2917" s="175">
        <v>25</v>
      </c>
      <c r="AI2917" s="175">
        <v>2</v>
      </c>
      <c r="AJ2917" s="175">
        <v>14</v>
      </c>
      <c r="AK2917" s="175">
        <v>11</v>
      </c>
      <c r="AL2917" s="175">
        <v>15</v>
      </c>
      <c r="AM2917" s="175">
        <v>12</v>
      </c>
      <c r="AN2917" s="175">
        <v>0</v>
      </c>
      <c r="AO2917" s="175">
        <v>54</v>
      </c>
      <c r="AP2917" s="175">
        <v>45</v>
      </c>
      <c r="AQ2917" s="175">
        <v>9</v>
      </c>
      <c r="AR2917" s="175">
        <v>2</v>
      </c>
      <c r="AS2917" s="175">
        <v>6</v>
      </c>
      <c r="AT2917" s="175">
        <v>3</v>
      </c>
    </row>
    <row r="2918" spans="1:46">
      <c r="A2918">
        <v>47616</v>
      </c>
      <c r="B2918" t="s">
        <v>16730</v>
      </c>
      <c r="C2918" t="s">
        <v>16731</v>
      </c>
      <c r="E2918" t="s">
        <v>16732</v>
      </c>
      <c r="F2918" t="s">
        <v>840</v>
      </c>
      <c r="G2918" t="s">
        <v>737</v>
      </c>
      <c r="H2918" t="s">
        <v>449</v>
      </c>
      <c r="J2918" t="s">
        <v>605</v>
      </c>
      <c r="K2918" t="s">
        <v>606</v>
      </c>
      <c r="M2918" t="s">
        <v>607</v>
      </c>
      <c r="N2918" t="s">
        <v>657</v>
      </c>
      <c r="O2918" t="s">
        <v>823</v>
      </c>
      <c r="P2918" t="s">
        <v>739</v>
      </c>
      <c r="Q2918" t="s">
        <v>467</v>
      </c>
      <c r="R2918" t="s">
        <v>724</v>
      </c>
      <c r="S2918" t="s">
        <v>841</v>
      </c>
      <c r="T2918" t="s">
        <v>613</v>
      </c>
      <c r="U2918">
        <v>121800</v>
      </c>
      <c r="V2918" t="s">
        <v>5812</v>
      </c>
      <c r="W2918" t="s">
        <v>826</v>
      </c>
      <c r="X2918" t="s">
        <v>16733</v>
      </c>
      <c r="Y2918" t="s">
        <v>16734</v>
      </c>
      <c r="Z2918" t="s">
        <v>840</v>
      </c>
      <c r="AA2918" t="s">
        <v>4432</v>
      </c>
      <c r="AC2918">
        <v>99214</v>
      </c>
      <c r="AD2918" t="s">
        <v>843</v>
      </c>
      <c r="AE2918">
        <v>-36.797153379999997</v>
      </c>
      <c r="AF2918">
        <v>174.68889103000001</v>
      </c>
      <c r="AG2918" s="175">
        <v>50</v>
      </c>
      <c r="AH2918" s="175">
        <v>8</v>
      </c>
      <c r="AI2918" s="175">
        <v>4</v>
      </c>
      <c r="AJ2918" s="175">
        <v>4</v>
      </c>
      <c r="AK2918" s="175">
        <v>9</v>
      </c>
      <c r="AL2918" s="175">
        <v>11</v>
      </c>
      <c r="AM2918" s="175">
        <v>4</v>
      </c>
      <c r="AN2918" s="175">
        <v>0</v>
      </c>
      <c r="AO2918" s="175">
        <v>32</v>
      </c>
      <c r="AP2918" s="175">
        <v>17</v>
      </c>
      <c r="AQ2918" s="175">
        <v>7</v>
      </c>
      <c r="AR2918" s="175">
        <v>4</v>
      </c>
      <c r="AS2918" s="175">
        <v>10</v>
      </c>
      <c r="AT2918" s="175">
        <v>5</v>
      </c>
    </row>
    <row r="2919" spans="1:46">
      <c r="A2919">
        <v>47617</v>
      </c>
      <c r="B2919" t="s">
        <v>16735</v>
      </c>
      <c r="C2919" t="s">
        <v>16736</v>
      </c>
      <c r="E2919" t="s">
        <v>16737</v>
      </c>
      <c r="F2919" t="s">
        <v>10216</v>
      </c>
      <c r="G2919" t="s">
        <v>1681</v>
      </c>
      <c r="H2919" t="s">
        <v>449</v>
      </c>
      <c r="J2919" t="s">
        <v>4032</v>
      </c>
      <c r="K2919" t="s">
        <v>606</v>
      </c>
      <c r="M2919" t="s">
        <v>1382</v>
      </c>
      <c r="N2919" t="s">
        <v>657</v>
      </c>
      <c r="O2919" t="s">
        <v>1780</v>
      </c>
      <c r="P2919" t="s">
        <v>739</v>
      </c>
      <c r="Q2919" t="s">
        <v>511</v>
      </c>
      <c r="R2919" t="s">
        <v>1555</v>
      </c>
      <c r="S2919" t="s">
        <v>1681</v>
      </c>
      <c r="T2919" t="s">
        <v>1557</v>
      </c>
      <c r="U2919">
        <v>193600</v>
      </c>
      <c r="V2919" t="s">
        <v>1790</v>
      </c>
      <c r="W2919" t="s">
        <v>1819</v>
      </c>
      <c r="X2919" t="s">
        <v>15752</v>
      </c>
      <c r="Y2919" t="s">
        <v>15753</v>
      </c>
      <c r="Z2919" t="s">
        <v>11162</v>
      </c>
      <c r="AA2919" t="s">
        <v>11163</v>
      </c>
      <c r="AC2919">
        <v>99036</v>
      </c>
      <c r="AD2919" t="s">
        <v>1792</v>
      </c>
      <c r="AE2919">
        <v>-37.687828199999998</v>
      </c>
      <c r="AF2919">
        <v>176.13607619999999</v>
      </c>
      <c r="AG2919" s="175">
        <v>54</v>
      </c>
      <c r="AH2919" s="175">
        <v>12</v>
      </c>
      <c r="AI2919" s="175">
        <v>1</v>
      </c>
      <c r="AJ2919" s="175">
        <v>11</v>
      </c>
      <c r="AK2919" s="175">
        <v>12</v>
      </c>
      <c r="AL2919" s="175">
        <v>15</v>
      </c>
      <c r="AM2919" s="175">
        <v>19</v>
      </c>
      <c r="AN2919" s="175">
        <v>0</v>
      </c>
      <c r="AO2919" s="175">
        <v>58</v>
      </c>
      <c r="AP2919" s="175">
        <v>43</v>
      </c>
      <c r="AQ2919" s="175">
        <v>7</v>
      </c>
      <c r="AR2919" s="175">
        <v>2</v>
      </c>
      <c r="AS2919" s="175">
        <v>7</v>
      </c>
      <c r="AT2919" s="175">
        <v>8</v>
      </c>
    </row>
    <row r="2920" spans="1:46">
      <c r="A2920">
        <v>47618</v>
      </c>
      <c r="B2920" t="s">
        <v>16738</v>
      </c>
      <c r="C2920" t="s">
        <v>16739</v>
      </c>
      <c r="E2920" t="s">
        <v>16740</v>
      </c>
      <c r="G2920" t="s">
        <v>3015</v>
      </c>
      <c r="H2920" t="s">
        <v>449</v>
      </c>
      <c r="J2920" t="s">
        <v>605</v>
      </c>
      <c r="K2920" t="s">
        <v>606</v>
      </c>
      <c r="M2920" t="s">
        <v>2366</v>
      </c>
      <c r="N2920" t="s">
        <v>657</v>
      </c>
      <c r="O2920" t="s">
        <v>3281</v>
      </c>
      <c r="P2920" t="s">
        <v>1347</v>
      </c>
      <c r="Q2920" t="s">
        <v>521</v>
      </c>
      <c r="R2920" t="s">
        <v>3017</v>
      </c>
      <c r="S2920" t="s">
        <v>3252</v>
      </c>
      <c r="T2920" t="s">
        <v>2526</v>
      </c>
      <c r="U2920">
        <v>335501</v>
      </c>
      <c r="V2920" t="s">
        <v>14760</v>
      </c>
      <c r="W2920" t="s">
        <v>10977</v>
      </c>
      <c r="X2920" t="s">
        <v>10864</v>
      </c>
      <c r="Y2920" t="s">
        <v>4014</v>
      </c>
      <c r="Z2920" t="s">
        <v>4015</v>
      </c>
      <c r="AA2920" t="s">
        <v>4016</v>
      </c>
      <c r="AC2920">
        <v>99206</v>
      </c>
      <c r="AD2920" t="s">
        <v>3284</v>
      </c>
      <c r="AE2920">
        <v>-43.624844580000001</v>
      </c>
      <c r="AF2920">
        <v>172.3876994</v>
      </c>
      <c r="AG2920" s="175">
        <v>105</v>
      </c>
      <c r="AH2920" s="175">
        <v>25</v>
      </c>
      <c r="AI2920" s="175">
        <v>3</v>
      </c>
      <c r="AJ2920" s="175">
        <v>20</v>
      </c>
      <c r="AK2920" s="175">
        <v>29</v>
      </c>
      <c r="AL2920" s="175">
        <v>28</v>
      </c>
      <c r="AM2920" s="175">
        <v>30</v>
      </c>
      <c r="AN2920" s="175">
        <v>0</v>
      </c>
      <c r="AO2920" s="175">
        <v>110</v>
      </c>
      <c r="AP2920" s="175">
        <v>55</v>
      </c>
      <c r="AQ2920" s="175">
        <v>4</v>
      </c>
      <c r="AR2920" s="175">
        <v>1</v>
      </c>
      <c r="AS2920" s="175">
        <v>46</v>
      </c>
      <c r="AT2920" s="175">
        <v>22</v>
      </c>
    </row>
    <row r="2921" spans="1:46">
      <c r="A2921">
        <v>47619</v>
      </c>
      <c r="B2921" t="s">
        <v>16741</v>
      </c>
      <c r="C2921" t="s">
        <v>16742</v>
      </c>
      <c r="E2921" t="s">
        <v>16743</v>
      </c>
      <c r="F2921" t="s">
        <v>3504</v>
      </c>
      <c r="G2921" t="s">
        <v>3454</v>
      </c>
      <c r="H2921" t="s">
        <v>449</v>
      </c>
      <c r="I2921" t="s">
        <v>4134</v>
      </c>
      <c r="J2921" t="s">
        <v>4032</v>
      </c>
      <c r="K2921" t="s">
        <v>606</v>
      </c>
      <c r="M2921" t="s">
        <v>2366</v>
      </c>
      <c r="N2921" t="s">
        <v>657</v>
      </c>
      <c r="O2921" t="s">
        <v>3455</v>
      </c>
      <c r="P2921" t="s">
        <v>739</v>
      </c>
      <c r="Q2921" t="s">
        <v>522</v>
      </c>
      <c r="R2921" t="s">
        <v>3410</v>
      </c>
      <c r="S2921" t="s">
        <v>3454</v>
      </c>
      <c r="T2921" t="s">
        <v>2526</v>
      </c>
      <c r="U2921">
        <v>351000</v>
      </c>
      <c r="V2921" t="s">
        <v>3505</v>
      </c>
      <c r="W2921" t="s">
        <v>1734</v>
      </c>
      <c r="X2921" t="s">
        <v>16744</v>
      </c>
      <c r="Y2921" t="s">
        <v>16745</v>
      </c>
      <c r="Z2921" t="s">
        <v>3504</v>
      </c>
      <c r="AA2921" t="s">
        <v>11623</v>
      </c>
      <c r="AB2921" t="s">
        <v>16746</v>
      </c>
      <c r="AE2921">
        <v>-45.86449004</v>
      </c>
      <c r="AF2921">
        <v>170.48589527999999</v>
      </c>
      <c r="AG2921" s="175">
        <v>29</v>
      </c>
      <c r="AH2921" s="175">
        <v>0</v>
      </c>
      <c r="AI2921" s="175">
        <v>0</v>
      </c>
      <c r="AJ2921" s="175">
        <v>0</v>
      </c>
      <c r="AK2921" s="175">
        <v>0</v>
      </c>
      <c r="AL2921" s="175">
        <v>13</v>
      </c>
      <c r="AM2921" s="175">
        <v>13</v>
      </c>
      <c r="AN2921" s="175">
        <v>2</v>
      </c>
      <c r="AO2921" s="175">
        <v>28</v>
      </c>
      <c r="AP2921" s="175">
        <v>19</v>
      </c>
      <c r="AQ2921" s="175">
        <v>1</v>
      </c>
      <c r="AR2921" s="175">
        <v>0</v>
      </c>
      <c r="AS2921" s="175">
        <v>10</v>
      </c>
      <c r="AT2921" s="175">
        <v>1</v>
      </c>
    </row>
    <row r="2922" spans="1:46">
      <c r="A2922">
        <v>47620</v>
      </c>
      <c r="B2922" t="s">
        <v>16747</v>
      </c>
      <c r="C2922" t="s">
        <v>16748</v>
      </c>
      <c r="D2922" t="s">
        <v>13268</v>
      </c>
      <c r="E2922" t="s">
        <v>16749</v>
      </c>
      <c r="F2922" t="s">
        <v>3246</v>
      </c>
      <c r="G2922" t="s">
        <v>3015</v>
      </c>
      <c r="H2922" t="s">
        <v>449</v>
      </c>
      <c r="I2922" t="s">
        <v>13271</v>
      </c>
      <c r="J2922" t="s">
        <v>4032</v>
      </c>
      <c r="K2922" t="s">
        <v>606</v>
      </c>
      <c r="M2922" t="s">
        <v>2366</v>
      </c>
      <c r="N2922" t="s">
        <v>657</v>
      </c>
      <c r="O2922" t="s">
        <v>3016</v>
      </c>
      <c r="P2922" t="s">
        <v>739</v>
      </c>
      <c r="Q2922" t="s">
        <v>521</v>
      </c>
      <c r="R2922" t="s">
        <v>3017</v>
      </c>
      <c r="S2922" t="s">
        <v>3030</v>
      </c>
      <c r="T2922" t="s">
        <v>2526</v>
      </c>
      <c r="U2922">
        <v>324800</v>
      </c>
      <c r="V2922" t="s">
        <v>11032</v>
      </c>
      <c r="W2922" t="s">
        <v>3143</v>
      </c>
      <c r="X2922" t="s">
        <v>13272</v>
      </c>
      <c r="Y2922" t="s">
        <v>13269</v>
      </c>
      <c r="Z2922" t="s">
        <v>13273</v>
      </c>
      <c r="AA2922" t="s">
        <v>11482</v>
      </c>
      <c r="AB2922" t="s">
        <v>13274</v>
      </c>
      <c r="AE2922">
        <v>-43.51462969</v>
      </c>
      <c r="AF2922">
        <v>172.63781627</v>
      </c>
      <c r="AG2922" s="175">
        <v>37</v>
      </c>
      <c r="AH2922" s="175">
        <v>0</v>
      </c>
      <c r="AI2922" s="175">
        <v>0</v>
      </c>
      <c r="AJ2922" s="175">
        <v>0</v>
      </c>
      <c r="AK2922" s="175">
        <v>11</v>
      </c>
      <c r="AL2922" s="175">
        <v>12</v>
      </c>
      <c r="AM2922" s="175">
        <v>7</v>
      </c>
      <c r="AN2922" s="175">
        <v>1</v>
      </c>
      <c r="AO2922" s="175">
        <v>31</v>
      </c>
      <c r="AP2922" s="175">
        <v>2</v>
      </c>
      <c r="AQ2922" s="175">
        <v>1</v>
      </c>
      <c r="AR2922" s="175">
        <v>1</v>
      </c>
      <c r="AS2922" s="175">
        <v>24</v>
      </c>
      <c r="AT2922" s="175">
        <v>6</v>
      </c>
    </row>
    <row r="2923" spans="1:46">
      <c r="A2923">
        <v>47622</v>
      </c>
      <c r="B2923" t="s">
        <v>16750</v>
      </c>
      <c r="C2923" t="s">
        <v>16751</v>
      </c>
      <c r="E2923" t="s">
        <v>16752</v>
      </c>
      <c r="F2923" t="s">
        <v>10053</v>
      </c>
      <c r="G2923" t="s">
        <v>1604</v>
      </c>
      <c r="H2923" t="s">
        <v>449</v>
      </c>
      <c r="J2923" t="s">
        <v>4032</v>
      </c>
      <c r="K2923" t="s">
        <v>606</v>
      </c>
      <c r="M2923" t="s">
        <v>1382</v>
      </c>
      <c r="N2923" t="s">
        <v>625</v>
      </c>
      <c r="O2923" t="s">
        <v>1605</v>
      </c>
      <c r="P2923" t="s">
        <v>670</v>
      </c>
      <c r="Q2923" t="s">
        <v>511</v>
      </c>
      <c r="R2923" t="s">
        <v>1555</v>
      </c>
      <c r="S2923" t="s">
        <v>1604</v>
      </c>
      <c r="T2923" t="s">
        <v>1557</v>
      </c>
      <c r="U2923">
        <v>199300</v>
      </c>
      <c r="V2923" t="s">
        <v>10340</v>
      </c>
      <c r="W2923" t="s">
        <v>1606</v>
      </c>
      <c r="X2923" t="s">
        <v>16753</v>
      </c>
      <c r="Y2923" t="s">
        <v>16754</v>
      </c>
      <c r="AA2923" t="s">
        <v>9468</v>
      </c>
      <c r="AE2923">
        <v>-38.129163200000001</v>
      </c>
      <c r="AF2923">
        <v>176.2397268</v>
      </c>
      <c r="AG2923" s="175">
        <v>37</v>
      </c>
      <c r="AH2923" s="175">
        <v>10</v>
      </c>
      <c r="AI2923" s="175">
        <v>2</v>
      </c>
      <c r="AJ2923" s="175">
        <v>12</v>
      </c>
      <c r="AK2923" s="175">
        <v>11</v>
      </c>
      <c r="AL2923" s="175">
        <v>11</v>
      </c>
      <c r="AM2923" s="175">
        <v>9</v>
      </c>
      <c r="AN2923" s="175">
        <v>1</v>
      </c>
      <c r="AO2923" s="175">
        <v>46</v>
      </c>
      <c r="AP2923" s="175">
        <v>24</v>
      </c>
      <c r="AQ2923" s="175">
        <v>36</v>
      </c>
      <c r="AR2923" s="175">
        <v>5</v>
      </c>
      <c r="AS2923" s="175">
        <v>1</v>
      </c>
      <c r="AT2923" s="175">
        <v>2</v>
      </c>
    </row>
    <row r="2924" spans="1:46">
      <c r="A2924">
        <v>47625</v>
      </c>
      <c r="B2924" t="s">
        <v>16755</v>
      </c>
      <c r="C2924" t="s">
        <v>16756</v>
      </c>
      <c r="D2924" t="s">
        <v>12273</v>
      </c>
      <c r="E2924" t="s">
        <v>16464</v>
      </c>
      <c r="F2924" t="s">
        <v>1030</v>
      </c>
      <c r="G2924" t="s">
        <v>737</v>
      </c>
      <c r="H2924" t="s">
        <v>449</v>
      </c>
      <c r="J2924" t="s">
        <v>4032</v>
      </c>
      <c r="K2924" t="s">
        <v>606</v>
      </c>
      <c r="M2924" t="s">
        <v>607</v>
      </c>
      <c r="N2924" t="s">
        <v>812</v>
      </c>
      <c r="O2924" t="s">
        <v>933</v>
      </c>
      <c r="P2924" t="s">
        <v>739</v>
      </c>
      <c r="Q2924" t="s">
        <v>467</v>
      </c>
      <c r="R2924" t="s">
        <v>814</v>
      </c>
      <c r="S2924" t="s">
        <v>934</v>
      </c>
      <c r="T2924" t="s">
        <v>794</v>
      </c>
      <c r="U2924">
        <v>151800</v>
      </c>
      <c r="V2924" t="s">
        <v>7485</v>
      </c>
      <c r="W2924" t="s">
        <v>817</v>
      </c>
      <c r="X2924" t="s">
        <v>12275</v>
      </c>
      <c r="Y2924" t="s">
        <v>12276</v>
      </c>
      <c r="Z2924" t="s">
        <v>12277</v>
      </c>
      <c r="AA2924" t="s">
        <v>12278</v>
      </c>
      <c r="AB2924" t="s">
        <v>12279</v>
      </c>
      <c r="AE2924">
        <v>-36.96484469</v>
      </c>
      <c r="AF2924">
        <v>174.82319211999999</v>
      </c>
      <c r="AG2924" s="175">
        <v>110</v>
      </c>
      <c r="AH2924" s="175">
        <v>0</v>
      </c>
      <c r="AI2924" s="175">
        <v>0</v>
      </c>
      <c r="AJ2924" s="175">
        <v>0</v>
      </c>
      <c r="AK2924" s="175">
        <v>0</v>
      </c>
      <c r="AL2924" s="175">
        <v>12</v>
      </c>
      <c r="AM2924" s="175">
        <v>19</v>
      </c>
      <c r="AN2924" s="175">
        <v>1</v>
      </c>
      <c r="AO2924" s="175">
        <v>32</v>
      </c>
      <c r="AP2924" s="175">
        <v>1</v>
      </c>
      <c r="AQ2924" s="175">
        <v>3</v>
      </c>
      <c r="AR2924" s="175">
        <v>17</v>
      </c>
      <c r="AS2924" s="175">
        <v>13</v>
      </c>
      <c r="AT2924" s="175">
        <v>1</v>
      </c>
    </row>
    <row r="2925" spans="1:46">
      <c r="A2925">
        <v>47626</v>
      </c>
      <c r="B2925" t="s">
        <v>16757</v>
      </c>
      <c r="C2925" t="s">
        <v>16758</v>
      </c>
      <c r="E2925" t="s">
        <v>16759</v>
      </c>
      <c r="G2925" t="s">
        <v>8953</v>
      </c>
      <c r="H2925" t="s">
        <v>449</v>
      </c>
      <c r="J2925" t="s">
        <v>605</v>
      </c>
      <c r="K2925" t="s">
        <v>606</v>
      </c>
      <c r="M2925" t="s">
        <v>1382</v>
      </c>
      <c r="N2925" t="s">
        <v>657</v>
      </c>
      <c r="O2925" t="s">
        <v>1825</v>
      </c>
      <c r="P2925" t="s">
        <v>610</v>
      </c>
      <c r="Q2925" t="s">
        <v>511</v>
      </c>
      <c r="R2925" t="s">
        <v>1555</v>
      </c>
      <c r="S2925" t="s">
        <v>1522</v>
      </c>
      <c r="T2925" t="s">
        <v>1557</v>
      </c>
      <c r="U2925">
        <v>191101</v>
      </c>
      <c r="V2925" t="s">
        <v>9805</v>
      </c>
      <c r="W2925" t="s">
        <v>8823</v>
      </c>
      <c r="X2925" t="s">
        <v>8441</v>
      </c>
      <c r="Y2925" t="s">
        <v>4014</v>
      </c>
      <c r="Z2925" t="s">
        <v>4015</v>
      </c>
      <c r="AA2925" t="s">
        <v>4016</v>
      </c>
      <c r="AB2925" t="s">
        <v>8442</v>
      </c>
      <c r="AE2925">
        <v>-37.656001289999999</v>
      </c>
      <c r="AF2925">
        <v>176.0267054</v>
      </c>
      <c r="AG2925" s="175">
        <v>100</v>
      </c>
      <c r="AH2925" s="175">
        <v>20</v>
      </c>
      <c r="AI2925" s="175">
        <v>7</v>
      </c>
      <c r="AJ2925" s="175">
        <v>15</v>
      </c>
      <c r="AK2925" s="175">
        <v>22</v>
      </c>
      <c r="AL2925" s="175">
        <v>31</v>
      </c>
      <c r="AM2925" s="175">
        <v>33</v>
      </c>
      <c r="AN2925" s="175">
        <v>0</v>
      </c>
      <c r="AO2925" s="175">
        <v>108</v>
      </c>
      <c r="AP2925" s="175">
        <v>78</v>
      </c>
      <c r="AQ2925" s="175">
        <v>25</v>
      </c>
      <c r="AR2925" s="175">
        <v>1</v>
      </c>
      <c r="AS2925" s="175">
        <v>12</v>
      </c>
      <c r="AT2925" s="175">
        <v>25</v>
      </c>
    </row>
    <row r="2926" spans="1:46">
      <c r="A2926">
        <v>47629</v>
      </c>
      <c r="B2926" t="s">
        <v>16760</v>
      </c>
      <c r="C2926" t="s">
        <v>4017</v>
      </c>
      <c r="D2926" t="s">
        <v>16761</v>
      </c>
      <c r="E2926" t="s">
        <v>16762</v>
      </c>
      <c r="F2926" t="s">
        <v>5170</v>
      </c>
      <c r="G2926" t="s">
        <v>737</v>
      </c>
      <c r="H2926" t="s">
        <v>449</v>
      </c>
      <c r="J2926" t="s">
        <v>605</v>
      </c>
      <c r="K2926" t="s">
        <v>606</v>
      </c>
      <c r="M2926" t="s">
        <v>607</v>
      </c>
      <c r="N2926" t="s">
        <v>657</v>
      </c>
      <c r="O2926" t="s">
        <v>792</v>
      </c>
      <c r="P2926" t="s">
        <v>739</v>
      </c>
      <c r="Q2926" t="s">
        <v>467</v>
      </c>
      <c r="R2926" t="s">
        <v>814</v>
      </c>
      <c r="S2926" t="s">
        <v>863</v>
      </c>
      <c r="T2926" t="s">
        <v>794</v>
      </c>
      <c r="U2926">
        <v>157500</v>
      </c>
      <c r="V2926" t="s">
        <v>6471</v>
      </c>
      <c r="W2926" t="s">
        <v>796</v>
      </c>
      <c r="X2926" t="s">
        <v>4013</v>
      </c>
      <c r="Y2926" t="s">
        <v>4014</v>
      </c>
      <c r="Z2926" t="s">
        <v>4015</v>
      </c>
      <c r="AA2926" t="s">
        <v>4016</v>
      </c>
      <c r="AB2926" t="s">
        <v>4017</v>
      </c>
      <c r="AE2926">
        <v>-36.964554329999999</v>
      </c>
      <c r="AF2926">
        <v>174.90416396000001</v>
      </c>
      <c r="AG2926" s="175">
        <v>52</v>
      </c>
      <c r="AH2926" s="175">
        <v>0</v>
      </c>
      <c r="AI2926" s="175">
        <v>0</v>
      </c>
      <c r="AJ2926" s="175">
        <v>0</v>
      </c>
      <c r="AK2926" s="175">
        <v>10</v>
      </c>
      <c r="AL2926" s="175">
        <v>20</v>
      </c>
      <c r="AM2926" s="175">
        <v>21</v>
      </c>
      <c r="AN2926" s="175">
        <v>3</v>
      </c>
      <c r="AO2926" s="175">
        <v>54</v>
      </c>
      <c r="AP2926" s="175">
        <v>2</v>
      </c>
      <c r="AQ2926" s="175">
        <v>3</v>
      </c>
      <c r="AR2926" s="175">
        <v>8</v>
      </c>
      <c r="AS2926" s="175">
        <v>42</v>
      </c>
      <c r="AT2926" s="175">
        <v>1</v>
      </c>
    </row>
    <row r="2927" spans="1:46">
      <c r="A2927">
        <v>47630</v>
      </c>
      <c r="B2927" t="s">
        <v>16763</v>
      </c>
      <c r="E2927" t="s">
        <v>15220</v>
      </c>
      <c r="F2927" t="s">
        <v>983</v>
      </c>
      <c r="G2927" t="s">
        <v>737</v>
      </c>
      <c r="H2927" t="s">
        <v>450</v>
      </c>
      <c r="J2927" t="s">
        <v>4032</v>
      </c>
      <c r="K2927" t="s">
        <v>606</v>
      </c>
      <c r="M2927" t="s">
        <v>607</v>
      </c>
      <c r="N2927" t="s">
        <v>625</v>
      </c>
      <c r="O2927" t="s">
        <v>898</v>
      </c>
      <c r="P2927" t="s">
        <v>739</v>
      </c>
      <c r="Q2927" t="s">
        <v>467</v>
      </c>
      <c r="R2927" t="s">
        <v>724</v>
      </c>
      <c r="S2927" t="s">
        <v>984</v>
      </c>
      <c r="T2927" t="s">
        <v>613</v>
      </c>
      <c r="U2927">
        <v>126100</v>
      </c>
      <c r="V2927" t="s">
        <v>5079</v>
      </c>
      <c r="W2927" t="s">
        <v>900</v>
      </c>
      <c r="X2927" t="s">
        <v>15221</v>
      </c>
      <c r="Y2927" t="s">
        <v>15220</v>
      </c>
      <c r="Z2927" t="s">
        <v>983</v>
      </c>
      <c r="AA2927" t="s">
        <v>4034</v>
      </c>
      <c r="AB2927" t="s">
        <v>15219</v>
      </c>
      <c r="AE2927">
        <v>-36.877238579999997</v>
      </c>
      <c r="AF2927">
        <v>174.61818794999999</v>
      </c>
      <c r="AG2927" s="175">
        <v>50</v>
      </c>
      <c r="AH2927" s="175">
        <v>50</v>
      </c>
      <c r="AI2927" s="175">
        <v>1</v>
      </c>
      <c r="AJ2927" s="175">
        <v>2</v>
      </c>
      <c r="AK2927" s="175">
        <v>8</v>
      </c>
      <c r="AL2927" s="175">
        <v>9</v>
      </c>
      <c r="AM2927" s="175">
        <v>1</v>
      </c>
      <c r="AN2927" s="175">
        <v>1</v>
      </c>
      <c r="AO2927" s="175">
        <v>22</v>
      </c>
      <c r="AP2927" s="175">
        <v>0</v>
      </c>
      <c r="AQ2927" s="175">
        <v>0</v>
      </c>
      <c r="AR2927" s="175">
        <v>15</v>
      </c>
      <c r="AS2927" s="175">
        <v>0</v>
      </c>
      <c r="AT2927" s="175">
        <v>7</v>
      </c>
    </row>
    <row r="2928" spans="1:46">
      <c r="A2928">
        <v>47632</v>
      </c>
      <c r="B2928" t="s">
        <v>16764</v>
      </c>
      <c r="C2928" t="s">
        <v>14685</v>
      </c>
      <c r="D2928" t="s">
        <v>16765</v>
      </c>
      <c r="E2928" t="s">
        <v>14686</v>
      </c>
      <c r="F2928" t="s">
        <v>3092</v>
      </c>
      <c r="G2928" t="s">
        <v>3015</v>
      </c>
      <c r="H2928" t="s">
        <v>450</v>
      </c>
      <c r="J2928" t="s">
        <v>4032</v>
      </c>
      <c r="K2928" t="s">
        <v>606</v>
      </c>
      <c r="M2928" t="s">
        <v>2366</v>
      </c>
      <c r="N2928" t="s">
        <v>657</v>
      </c>
      <c r="O2928" t="s">
        <v>3016</v>
      </c>
      <c r="P2928" t="s">
        <v>739</v>
      </c>
      <c r="Q2928" t="s">
        <v>521</v>
      </c>
      <c r="R2928" t="s">
        <v>3017</v>
      </c>
      <c r="S2928" t="s">
        <v>3092</v>
      </c>
      <c r="T2928" t="s">
        <v>2526</v>
      </c>
      <c r="U2928">
        <v>321901</v>
      </c>
      <c r="V2928" t="s">
        <v>14687</v>
      </c>
      <c r="W2928" t="s">
        <v>3093</v>
      </c>
      <c r="X2928" t="s">
        <v>14688</v>
      </c>
      <c r="Y2928" t="s">
        <v>14686</v>
      </c>
      <c r="Z2928" t="s">
        <v>3092</v>
      </c>
      <c r="AA2928" t="s">
        <v>11482</v>
      </c>
      <c r="AB2928" t="s">
        <v>14685</v>
      </c>
      <c r="AE2928">
        <v>-43.551870829999999</v>
      </c>
      <c r="AF2928">
        <v>172.54133794000001</v>
      </c>
      <c r="AG2928" s="175">
        <v>80</v>
      </c>
      <c r="AH2928" s="175">
        <v>80</v>
      </c>
      <c r="AI2928" s="175">
        <v>10</v>
      </c>
      <c r="AJ2928" s="175">
        <v>6</v>
      </c>
      <c r="AK2928" s="175">
        <v>15</v>
      </c>
      <c r="AL2928" s="175">
        <v>6</v>
      </c>
      <c r="AM2928" s="175">
        <v>4</v>
      </c>
      <c r="AN2928" s="175">
        <v>0</v>
      </c>
      <c r="AO2928" s="175">
        <v>41</v>
      </c>
      <c r="AP2928" s="175">
        <v>6</v>
      </c>
      <c r="AQ2928" s="175">
        <v>0</v>
      </c>
      <c r="AR2928" s="175">
        <v>0</v>
      </c>
      <c r="AS2928" s="175">
        <v>37</v>
      </c>
      <c r="AT2928" s="175">
        <v>4</v>
      </c>
    </row>
    <row r="2929" spans="1:46">
      <c r="A2929">
        <v>47634</v>
      </c>
      <c r="B2929" t="s">
        <v>16766</v>
      </c>
      <c r="C2929" t="s">
        <v>16767</v>
      </c>
      <c r="D2929" t="s">
        <v>16768</v>
      </c>
      <c r="E2929" t="s">
        <v>16769</v>
      </c>
      <c r="F2929" t="s">
        <v>932</v>
      </c>
      <c r="G2929" t="s">
        <v>737</v>
      </c>
      <c r="H2929" t="s">
        <v>449</v>
      </c>
      <c r="J2929" t="s">
        <v>605</v>
      </c>
      <c r="K2929" t="s">
        <v>606</v>
      </c>
      <c r="M2929" t="s">
        <v>607</v>
      </c>
      <c r="N2929" t="s">
        <v>608</v>
      </c>
      <c r="O2929" t="s">
        <v>933</v>
      </c>
      <c r="P2929" t="s">
        <v>739</v>
      </c>
      <c r="Q2929" t="s">
        <v>467</v>
      </c>
      <c r="R2929" t="s">
        <v>814</v>
      </c>
      <c r="S2929" t="s">
        <v>934</v>
      </c>
      <c r="T2929" t="s">
        <v>794</v>
      </c>
      <c r="U2929">
        <v>151200</v>
      </c>
      <c r="V2929" t="s">
        <v>4643</v>
      </c>
      <c r="W2929" t="s">
        <v>817</v>
      </c>
      <c r="X2929" t="s">
        <v>16770</v>
      </c>
      <c r="Y2929" t="s">
        <v>16771</v>
      </c>
      <c r="Z2929" t="s">
        <v>932</v>
      </c>
      <c r="AA2929" t="s">
        <v>4293</v>
      </c>
      <c r="AB2929" t="s">
        <v>16767</v>
      </c>
      <c r="AC2929">
        <v>99124</v>
      </c>
      <c r="AD2929" t="s">
        <v>4646</v>
      </c>
      <c r="AE2929">
        <v>-36.96496029</v>
      </c>
      <c r="AF2929">
        <v>174.81502595000001</v>
      </c>
      <c r="AG2929" s="175">
        <v>40</v>
      </c>
      <c r="AH2929" s="175">
        <v>5</v>
      </c>
      <c r="AI2929" s="175">
        <v>0</v>
      </c>
      <c r="AJ2929" s="175">
        <v>3</v>
      </c>
      <c r="AK2929" s="175">
        <v>6</v>
      </c>
      <c r="AL2929" s="175">
        <v>10</v>
      </c>
      <c r="AM2929" s="175">
        <v>14</v>
      </c>
      <c r="AN2929" s="175">
        <v>0</v>
      </c>
      <c r="AO2929" s="175">
        <v>33</v>
      </c>
      <c r="AP2929" s="175">
        <v>3</v>
      </c>
      <c r="AQ2929" s="175">
        <v>7</v>
      </c>
      <c r="AR2929" s="175">
        <v>27</v>
      </c>
      <c r="AS2929" s="175">
        <v>3</v>
      </c>
      <c r="AT2929" s="175">
        <v>3</v>
      </c>
    </row>
    <row r="2930" spans="1:46">
      <c r="A2930">
        <v>47635</v>
      </c>
      <c r="B2930" t="s">
        <v>16772</v>
      </c>
      <c r="D2930" t="s">
        <v>16773</v>
      </c>
      <c r="E2930" t="s">
        <v>16774</v>
      </c>
      <c r="G2930" t="s">
        <v>3882</v>
      </c>
      <c r="H2930" t="s">
        <v>449</v>
      </c>
      <c r="J2930" t="s">
        <v>4032</v>
      </c>
      <c r="K2930" t="s">
        <v>606</v>
      </c>
      <c r="M2930" t="s">
        <v>607</v>
      </c>
      <c r="N2930" t="s">
        <v>643</v>
      </c>
      <c r="O2930" t="s">
        <v>1435</v>
      </c>
      <c r="P2930" t="s">
        <v>610</v>
      </c>
      <c r="Q2930" t="s">
        <v>510</v>
      </c>
      <c r="R2930" t="s">
        <v>814</v>
      </c>
      <c r="S2930" t="s">
        <v>1331</v>
      </c>
      <c r="T2930" t="s">
        <v>1320</v>
      </c>
      <c r="U2930">
        <v>170300</v>
      </c>
      <c r="V2930" t="s">
        <v>3883</v>
      </c>
      <c r="W2930" t="s">
        <v>3884</v>
      </c>
      <c r="X2930" t="s">
        <v>16775</v>
      </c>
      <c r="Y2930" t="s">
        <v>16776</v>
      </c>
      <c r="Z2930" t="s">
        <v>863</v>
      </c>
      <c r="AA2930" t="s">
        <v>11881</v>
      </c>
      <c r="AE2930">
        <v>-37.265688470000001</v>
      </c>
      <c r="AF2930">
        <v>174.94127990999999</v>
      </c>
      <c r="AG2930" s="175">
        <v>53</v>
      </c>
      <c r="AH2930" s="175">
        <v>15</v>
      </c>
      <c r="AI2930" s="175">
        <v>5</v>
      </c>
      <c r="AJ2930" s="175">
        <v>8</v>
      </c>
      <c r="AK2930" s="175">
        <v>13</v>
      </c>
      <c r="AL2930" s="175">
        <v>10</v>
      </c>
      <c r="AM2930" s="175">
        <v>18</v>
      </c>
      <c r="AN2930" s="175">
        <v>0</v>
      </c>
      <c r="AO2930" s="175">
        <v>54</v>
      </c>
      <c r="AP2930" s="175">
        <v>41</v>
      </c>
      <c r="AQ2930" s="175">
        <v>21</v>
      </c>
      <c r="AR2930" s="175">
        <v>9</v>
      </c>
      <c r="AS2930" s="175">
        <v>5</v>
      </c>
      <c r="AT2930" s="175">
        <v>4</v>
      </c>
    </row>
    <row r="2931" spans="1:46">
      <c r="A2931">
        <v>47636</v>
      </c>
      <c r="B2931" t="s">
        <v>16777</v>
      </c>
      <c r="C2931" t="s">
        <v>16778</v>
      </c>
      <c r="D2931" t="s">
        <v>16779</v>
      </c>
      <c r="E2931" t="s">
        <v>16780</v>
      </c>
      <c r="G2931" t="s">
        <v>3552</v>
      </c>
      <c r="H2931" t="s">
        <v>449</v>
      </c>
      <c r="I2931" t="s">
        <v>9155</v>
      </c>
      <c r="J2931" t="s">
        <v>605</v>
      </c>
      <c r="K2931" t="s">
        <v>606</v>
      </c>
      <c r="M2931" t="s">
        <v>2366</v>
      </c>
      <c r="N2931" t="s">
        <v>657</v>
      </c>
      <c r="O2931" t="s">
        <v>3553</v>
      </c>
      <c r="P2931" t="s">
        <v>610</v>
      </c>
      <c r="Q2931" t="s">
        <v>522</v>
      </c>
      <c r="R2931" t="s">
        <v>3410</v>
      </c>
      <c r="S2931" t="s">
        <v>3456</v>
      </c>
      <c r="T2931" t="s">
        <v>2526</v>
      </c>
      <c r="U2931">
        <v>356500</v>
      </c>
      <c r="V2931" t="s">
        <v>3554</v>
      </c>
      <c r="W2931" t="s">
        <v>3555</v>
      </c>
      <c r="X2931" t="s">
        <v>16781</v>
      </c>
      <c r="Y2931" t="s">
        <v>16782</v>
      </c>
      <c r="Z2931" t="s">
        <v>745</v>
      </c>
      <c r="AA2931" t="s">
        <v>16783</v>
      </c>
      <c r="AB2931" t="s">
        <v>16784</v>
      </c>
      <c r="AC2931">
        <v>99080</v>
      </c>
      <c r="AD2931" t="s">
        <v>3558</v>
      </c>
      <c r="AE2931">
        <v>-46.23872214</v>
      </c>
      <c r="AF2931">
        <v>169.73786813000001</v>
      </c>
      <c r="AG2931" s="175">
        <v>70</v>
      </c>
      <c r="AH2931" s="175">
        <v>20</v>
      </c>
      <c r="AI2931" s="175">
        <v>4</v>
      </c>
      <c r="AJ2931" s="175">
        <v>18</v>
      </c>
      <c r="AK2931" s="175">
        <v>23</v>
      </c>
      <c r="AL2931" s="175">
        <v>17</v>
      </c>
      <c r="AM2931" s="175">
        <v>9</v>
      </c>
      <c r="AN2931" s="175">
        <v>0</v>
      </c>
      <c r="AO2931" s="175">
        <v>71</v>
      </c>
      <c r="AP2931" s="175">
        <v>64</v>
      </c>
      <c r="AQ2931" s="175">
        <v>18</v>
      </c>
      <c r="AR2931" s="175">
        <v>8</v>
      </c>
      <c r="AS2931" s="175">
        <v>5</v>
      </c>
      <c r="AT2931" s="175">
        <v>0</v>
      </c>
    </row>
    <row r="2932" spans="1:46">
      <c r="A2932">
        <v>47638</v>
      </c>
      <c r="B2932" t="s">
        <v>16785</v>
      </c>
      <c r="C2932" t="s">
        <v>16786</v>
      </c>
      <c r="D2932" t="s">
        <v>16787</v>
      </c>
      <c r="E2932" t="s">
        <v>16788</v>
      </c>
      <c r="F2932" t="s">
        <v>1319</v>
      </c>
      <c r="G2932" t="s">
        <v>737</v>
      </c>
      <c r="H2932" t="s">
        <v>449</v>
      </c>
      <c r="J2932" t="s">
        <v>4032</v>
      </c>
      <c r="K2932" t="s">
        <v>606</v>
      </c>
      <c r="M2932" t="s">
        <v>607</v>
      </c>
      <c r="N2932" t="s">
        <v>657</v>
      </c>
      <c r="O2932" t="s">
        <v>1353</v>
      </c>
      <c r="P2932" t="s">
        <v>739</v>
      </c>
      <c r="Q2932" t="s">
        <v>467</v>
      </c>
      <c r="R2932" t="s">
        <v>814</v>
      </c>
      <c r="S2932" t="s">
        <v>1319</v>
      </c>
      <c r="T2932" t="s">
        <v>1320</v>
      </c>
      <c r="U2932">
        <v>163200</v>
      </c>
      <c r="V2932" t="s">
        <v>4113</v>
      </c>
      <c r="W2932" t="s">
        <v>1304</v>
      </c>
      <c r="X2932" t="s">
        <v>11879</v>
      </c>
      <c r="Y2932" t="s">
        <v>11880</v>
      </c>
      <c r="Z2932" t="s">
        <v>863</v>
      </c>
      <c r="AA2932" t="s">
        <v>11881</v>
      </c>
      <c r="AB2932" t="s">
        <v>11882</v>
      </c>
      <c r="AE2932">
        <v>-37.065499840000001</v>
      </c>
      <c r="AF2932">
        <v>174.94007630999999</v>
      </c>
      <c r="AG2932" s="175">
        <v>64</v>
      </c>
      <c r="AH2932" s="175">
        <v>15</v>
      </c>
      <c r="AI2932" s="175">
        <v>2</v>
      </c>
      <c r="AJ2932" s="175">
        <v>8</v>
      </c>
      <c r="AK2932" s="175">
        <v>14</v>
      </c>
      <c r="AL2932" s="175">
        <v>15</v>
      </c>
      <c r="AM2932" s="175">
        <v>21</v>
      </c>
      <c r="AN2932" s="175">
        <v>3</v>
      </c>
      <c r="AO2932" s="175">
        <v>63</v>
      </c>
      <c r="AP2932" s="175">
        <v>13</v>
      </c>
      <c r="AQ2932" s="175">
        <v>8</v>
      </c>
      <c r="AR2932" s="175">
        <v>2</v>
      </c>
      <c r="AS2932" s="175">
        <v>47</v>
      </c>
      <c r="AT2932" s="175">
        <v>1</v>
      </c>
    </row>
    <row r="2933" spans="1:46">
      <c r="A2933">
        <v>47640</v>
      </c>
      <c r="B2933" t="s">
        <v>16789</v>
      </c>
      <c r="E2933" t="s">
        <v>16790</v>
      </c>
      <c r="F2933" t="s">
        <v>2504</v>
      </c>
      <c r="G2933" t="s">
        <v>2505</v>
      </c>
      <c r="H2933" t="s">
        <v>471</v>
      </c>
      <c r="I2933" t="s">
        <v>5017</v>
      </c>
      <c r="J2933" t="s">
        <v>4032</v>
      </c>
      <c r="K2933" t="s">
        <v>606</v>
      </c>
      <c r="M2933" t="s">
        <v>2366</v>
      </c>
      <c r="N2933" t="s">
        <v>657</v>
      </c>
      <c r="O2933" t="s">
        <v>2506</v>
      </c>
      <c r="P2933" t="s">
        <v>739</v>
      </c>
      <c r="Q2933" t="s">
        <v>516</v>
      </c>
      <c r="R2933" t="s">
        <v>2368</v>
      </c>
      <c r="S2933" t="s">
        <v>2507</v>
      </c>
      <c r="T2933" t="s">
        <v>2165</v>
      </c>
      <c r="U2933">
        <v>247100</v>
      </c>
      <c r="V2933" t="s">
        <v>13399</v>
      </c>
      <c r="W2933" t="s">
        <v>2509</v>
      </c>
      <c r="X2933" t="s">
        <v>16791</v>
      </c>
      <c r="Y2933" t="s">
        <v>16792</v>
      </c>
      <c r="Z2933" t="s">
        <v>2504</v>
      </c>
      <c r="AA2933" t="s">
        <v>13402</v>
      </c>
      <c r="AB2933" t="s">
        <v>16793</v>
      </c>
      <c r="AC2933">
        <v>99090</v>
      </c>
      <c r="AD2933" t="s">
        <v>2514</v>
      </c>
      <c r="AE2933">
        <v>-41.265812680000003</v>
      </c>
      <c r="AF2933">
        <v>174.93191296000001</v>
      </c>
      <c r="AG2933" s="175">
        <v>25</v>
      </c>
      <c r="AH2933" s="175">
        <v>10</v>
      </c>
      <c r="AI2933" s="175">
        <v>0</v>
      </c>
      <c r="AJ2933" s="175">
        <v>2</v>
      </c>
      <c r="AK2933" s="175">
        <v>6</v>
      </c>
      <c r="AL2933" s="175">
        <v>7</v>
      </c>
      <c r="AM2933" s="175">
        <v>4</v>
      </c>
      <c r="AN2933" s="175">
        <v>0</v>
      </c>
      <c r="AO2933" s="175">
        <v>19</v>
      </c>
      <c r="AP2933" s="175">
        <v>8</v>
      </c>
      <c r="AQ2933" s="175">
        <v>15</v>
      </c>
      <c r="AR2933" s="175">
        <v>8</v>
      </c>
      <c r="AS2933" s="175">
        <v>0</v>
      </c>
      <c r="AT2933" s="175">
        <v>0</v>
      </c>
    </row>
    <row r="2934" spans="1:46">
      <c r="A2934">
        <v>47641</v>
      </c>
      <c r="B2934" t="s">
        <v>16794</v>
      </c>
      <c r="D2934" t="s">
        <v>16795</v>
      </c>
      <c r="E2934" t="s">
        <v>16796</v>
      </c>
      <c r="G2934" t="s">
        <v>1544</v>
      </c>
      <c r="H2934" t="s">
        <v>449</v>
      </c>
      <c r="J2934" t="s">
        <v>4032</v>
      </c>
      <c r="K2934" t="s">
        <v>606</v>
      </c>
      <c r="M2934" t="s">
        <v>1382</v>
      </c>
      <c r="N2934" t="s">
        <v>657</v>
      </c>
      <c r="O2934" t="s">
        <v>1545</v>
      </c>
      <c r="P2934" t="s">
        <v>610</v>
      </c>
      <c r="Q2934" t="s">
        <v>510</v>
      </c>
      <c r="R2934" t="s">
        <v>1384</v>
      </c>
      <c r="S2934" t="s">
        <v>1522</v>
      </c>
      <c r="T2934" t="s">
        <v>1320</v>
      </c>
      <c r="U2934">
        <v>167700</v>
      </c>
      <c r="V2934" t="s">
        <v>1546</v>
      </c>
      <c r="W2934" t="s">
        <v>1547</v>
      </c>
      <c r="X2934" t="s">
        <v>16797</v>
      </c>
      <c r="Y2934" t="s">
        <v>16798</v>
      </c>
      <c r="AA2934" t="s">
        <v>16799</v>
      </c>
      <c r="AB2934" t="s">
        <v>16800</v>
      </c>
      <c r="AC2934">
        <v>99087</v>
      </c>
      <c r="AD2934" t="s">
        <v>1548</v>
      </c>
      <c r="AE2934">
        <v>-37.139913120000003</v>
      </c>
      <c r="AF2934">
        <v>175.54207693999999</v>
      </c>
      <c r="AG2934" s="175">
        <v>30</v>
      </c>
      <c r="AH2934" s="175">
        <v>10</v>
      </c>
      <c r="AI2934" s="175">
        <v>1</v>
      </c>
      <c r="AJ2934" s="175">
        <v>10</v>
      </c>
      <c r="AK2934" s="175">
        <v>8</v>
      </c>
      <c r="AL2934" s="175">
        <v>10</v>
      </c>
      <c r="AM2934" s="175">
        <v>12</v>
      </c>
      <c r="AN2934" s="175">
        <v>0</v>
      </c>
      <c r="AO2934" s="175">
        <v>41</v>
      </c>
      <c r="AP2934" s="175">
        <v>37</v>
      </c>
      <c r="AQ2934" s="175">
        <v>8</v>
      </c>
      <c r="AR2934" s="175">
        <v>0</v>
      </c>
      <c r="AS2934" s="175">
        <v>1</v>
      </c>
      <c r="AT2934" s="175">
        <v>3</v>
      </c>
    </row>
    <row r="2935" spans="1:46">
      <c r="A2935">
        <v>47642</v>
      </c>
      <c r="B2935" t="s">
        <v>16801</v>
      </c>
      <c r="C2935" t="s">
        <v>16802</v>
      </c>
      <c r="E2935" t="s">
        <v>16803</v>
      </c>
      <c r="F2935" t="s">
        <v>4995</v>
      </c>
      <c r="G2935" t="s">
        <v>737</v>
      </c>
      <c r="H2935" t="s">
        <v>449</v>
      </c>
      <c r="J2935" t="s">
        <v>4032</v>
      </c>
      <c r="K2935" t="s">
        <v>606</v>
      </c>
      <c r="M2935" t="s">
        <v>607</v>
      </c>
      <c r="N2935" t="s">
        <v>657</v>
      </c>
      <c r="O2935" t="s">
        <v>898</v>
      </c>
      <c r="P2935" t="s">
        <v>739</v>
      </c>
      <c r="Q2935" t="s">
        <v>467</v>
      </c>
      <c r="R2935" t="s">
        <v>724</v>
      </c>
      <c r="S2935" t="s">
        <v>725</v>
      </c>
      <c r="T2935" t="s">
        <v>613</v>
      </c>
      <c r="U2935">
        <v>118800</v>
      </c>
      <c r="V2935" t="s">
        <v>14747</v>
      </c>
      <c r="W2935" t="s">
        <v>900</v>
      </c>
      <c r="X2935" t="s">
        <v>13141</v>
      </c>
      <c r="Y2935" t="s">
        <v>16804</v>
      </c>
      <c r="Z2935" t="s">
        <v>907</v>
      </c>
      <c r="AA2935" t="s">
        <v>5260</v>
      </c>
      <c r="AB2935" t="s">
        <v>13143</v>
      </c>
      <c r="AE2935">
        <v>-36.80921395</v>
      </c>
      <c r="AF2935">
        <v>174.59945590000001</v>
      </c>
      <c r="AG2935" s="175">
        <v>125</v>
      </c>
      <c r="AH2935" s="175">
        <v>40</v>
      </c>
      <c r="AI2935" s="175">
        <v>9</v>
      </c>
      <c r="AJ2935" s="175">
        <v>25</v>
      </c>
      <c r="AK2935" s="175">
        <v>26</v>
      </c>
      <c r="AL2935" s="175">
        <v>31</v>
      </c>
      <c r="AM2935" s="175">
        <v>29</v>
      </c>
      <c r="AN2935" s="175">
        <v>1</v>
      </c>
      <c r="AO2935" s="175">
        <v>121</v>
      </c>
      <c r="AP2935" s="175">
        <v>89</v>
      </c>
      <c r="AQ2935" s="175">
        <v>27</v>
      </c>
      <c r="AR2935" s="175">
        <v>20</v>
      </c>
      <c r="AS2935" s="175">
        <v>40</v>
      </c>
      <c r="AT2935" s="175">
        <v>8</v>
      </c>
    </row>
    <row r="2936" spans="1:46">
      <c r="A2936">
        <v>47645</v>
      </c>
      <c r="B2936" t="s">
        <v>16805</v>
      </c>
      <c r="C2936" t="s">
        <v>7511</v>
      </c>
      <c r="E2936" t="s">
        <v>16806</v>
      </c>
      <c r="F2936" t="s">
        <v>4271</v>
      </c>
      <c r="G2936" t="s">
        <v>737</v>
      </c>
      <c r="H2936" t="s">
        <v>449</v>
      </c>
      <c r="J2936" t="s">
        <v>605</v>
      </c>
      <c r="K2936" t="s">
        <v>606</v>
      </c>
      <c r="M2936" t="s">
        <v>607</v>
      </c>
      <c r="N2936" t="s">
        <v>625</v>
      </c>
      <c r="O2936" t="s">
        <v>1301</v>
      </c>
      <c r="P2936" t="s">
        <v>739</v>
      </c>
      <c r="Q2936" t="s">
        <v>467</v>
      </c>
      <c r="R2936" t="s">
        <v>814</v>
      </c>
      <c r="S2936" t="s">
        <v>1121</v>
      </c>
      <c r="T2936" t="s">
        <v>794</v>
      </c>
      <c r="U2936">
        <v>160202</v>
      </c>
      <c r="V2936" t="s">
        <v>7615</v>
      </c>
      <c r="W2936" t="s">
        <v>1304</v>
      </c>
      <c r="X2936" t="s">
        <v>7514</v>
      </c>
      <c r="Y2936" t="s">
        <v>7515</v>
      </c>
      <c r="Z2936" t="s">
        <v>1121</v>
      </c>
      <c r="AA2936" t="s">
        <v>7401</v>
      </c>
      <c r="AE2936">
        <v>-37.011625479999999</v>
      </c>
      <c r="AF2936">
        <v>174.92343049999999</v>
      </c>
      <c r="AG2936" s="175">
        <v>60</v>
      </c>
      <c r="AH2936" s="175">
        <v>12</v>
      </c>
      <c r="AI2936" s="175">
        <v>1</v>
      </c>
      <c r="AJ2936" s="175">
        <v>8</v>
      </c>
      <c r="AK2936" s="175">
        <v>12</v>
      </c>
      <c r="AL2936" s="175">
        <v>14</v>
      </c>
      <c r="AM2936" s="175">
        <v>22</v>
      </c>
      <c r="AN2936" s="175">
        <v>2</v>
      </c>
      <c r="AO2936" s="175">
        <v>59</v>
      </c>
      <c r="AP2936" s="175">
        <v>23</v>
      </c>
      <c r="AQ2936" s="175">
        <v>16</v>
      </c>
      <c r="AR2936" s="175">
        <v>22</v>
      </c>
      <c r="AS2936" s="175">
        <v>15</v>
      </c>
      <c r="AT2936" s="175">
        <v>5</v>
      </c>
    </row>
    <row r="2937" spans="1:46">
      <c r="A2937">
        <v>47647</v>
      </c>
      <c r="B2937" t="s">
        <v>16807</v>
      </c>
      <c r="C2937" t="s">
        <v>16808</v>
      </c>
      <c r="E2937" t="s">
        <v>16809</v>
      </c>
      <c r="G2937" t="s">
        <v>1677</v>
      </c>
      <c r="H2937" t="s">
        <v>449</v>
      </c>
      <c r="J2937" t="s">
        <v>4032</v>
      </c>
      <c r="K2937" t="s">
        <v>606</v>
      </c>
      <c r="M2937" t="s">
        <v>1382</v>
      </c>
      <c r="N2937" t="s">
        <v>812</v>
      </c>
      <c r="O2937" t="s">
        <v>1554</v>
      </c>
      <c r="P2937" t="s">
        <v>610</v>
      </c>
      <c r="Q2937" t="s">
        <v>511</v>
      </c>
      <c r="R2937" t="s">
        <v>1555</v>
      </c>
      <c r="S2937" t="s">
        <v>1556</v>
      </c>
      <c r="T2937" t="s">
        <v>1557</v>
      </c>
      <c r="U2937">
        <v>203600</v>
      </c>
      <c r="V2937" t="s">
        <v>1677</v>
      </c>
      <c r="W2937" t="s">
        <v>1678</v>
      </c>
      <c r="X2937" t="s">
        <v>16810</v>
      </c>
      <c r="Y2937" t="s">
        <v>14522</v>
      </c>
      <c r="Z2937" t="s">
        <v>6269</v>
      </c>
      <c r="AA2937" t="s">
        <v>4423</v>
      </c>
      <c r="AE2937">
        <v>-38.455728190000002</v>
      </c>
      <c r="AF2937">
        <v>176.70338498999999</v>
      </c>
      <c r="AG2937" s="175">
        <v>21</v>
      </c>
      <c r="AH2937" s="175">
        <v>4</v>
      </c>
      <c r="AI2937" s="175">
        <v>0</v>
      </c>
      <c r="AJ2937" s="175">
        <v>0</v>
      </c>
      <c r="AK2937" s="175">
        <v>4</v>
      </c>
      <c r="AL2937" s="175">
        <v>2</v>
      </c>
      <c r="AM2937" s="175">
        <v>1</v>
      </c>
      <c r="AN2937" s="175">
        <v>0</v>
      </c>
      <c r="AO2937" s="175">
        <v>7</v>
      </c>
      <c r="AP2937" s="175">
        <v>3</v>
      </c>
      <c r="AQ2937" s="175">
        <v>7</v>
      </c>
      <c r="AR2937" s="175">
        <v>1</v>
      </c>
      <c r="AS2937" s="175">
        <v>0</v>
      </c>
      <c r="AT2937" s="175">
        <v>0</v>
      </c>
    </row>
    <row r="2938" spans="1:46">
      <c r="A2938">
        <v>47648</v>
      </c>
      <c r="B2938" t="s">
        <v>16811</v>
      </c>
      <c r="C2938" t="s">
        <v>16812</v>
      </c>
      <c r="D2938" t="s">
        <v>16813</v>
      </c>
      <c r="E2938" t="s">
        <v>16814</v>
      </c>
      <c r="F2938" t="s">
        <v>957</v>
      </c>
      <c r="G2938" t="s">
        <v>737</v>
      </c>
      <c r="H2938" t="s">
        <v>449</v>
      </c>
      <c r="J2938" t="s">
        <v>4032</v>
      </c>
      <c r="K2938" t="s">
        <v>606</v>
      </c>
      <c r="M2938" t="s">
        <v>607</v>
      </c>
      <c r="N2938" t="s">
        <v>657</v>
      </c>
      <c r="O2938" t="s">
        <v>958</v>
      </c>
      <c r="P2938" t="s">
        <v>739</v>
      </c>
      <c r="Q2938" t="s">
        <v>467</v>
      </c>
      <c r="R2938" t="s">
        <v>724</v>
      </c>
      <c r="S2938" t="s">
        <v>804</v>
      </c>
      <c r="T2938" t="s">
        <v>794</v>
      </c>
      <c r="U2938">
        <v>130100</v>
      </c>
      <c r="V2938" t="s">
        <v>5049</v>
      </c>
      <c r="W2938" t="s">
        <v>900</v>
      </c>
      <c r="X2938" t="s">
        <v>16815</v>
      </c>
      <c r="Y2938" t="s">
        <v>16814</v>
      </c>
      <c r="Z2938" t="s">
        <v>957</v>
      </c>
      <c r="AA2938" t="s">
        <v>5051</v>
      </c>
      <c r="AB2938" t="s">
        <v>16816</v>
      </c>
      <c r="AC2938">
        <v>99029</v>
      </c>
      <c r="AD2938" t="s">
        <v>986</v>
      </c>
      <c r="AE2938">
        <v>-36.908753410000003</v>
      </c>
      <c r="AF2938">
        <v>174.639366</v>
      </c>
      <c r="AG2938" s="175">
        <v>120</v>
      </c>
      <c r="AH2938" s="175">
        <v>20</v>
      </c>
      <c r="AI2938" s="175">
        <v>1</v>
      </c>
      <c r="AJ2938" s="175">
        <v>12</v>
      </c>
      <c r="AK2938" s="175">
        <v>18</v>
      </c>
      <c r="AL2938" s="175">
        <v>28</v>
      </c>
      <c r="AM2938" s="175">
        <v>38</v>
      </c>
      <c r="AN2938" s="175">
        <v>1</v>
      </c>
      <c r="AO2938" s="175">
        <v>98</v>
      </c>
      <c r="AP2938" s="175">
        <v>37</v>
      </c>
      <c r="AQ2938" s="175">
        <v>13</v>
      </c>
      <c r="AR2938" s="175">
        <v>7</v>
      </c>
      <c r="AS2938" s="175">
        <v>59</v>
      </c>
      <c r="AT2938" s="175">
        <v>8</v>
      </c>
    </row>
    <row r="2939" spans="1:46">
      <c r="A2939">
        <v>47655</v>
      </c>
      <c r="B2939" t="s">
        <v>16817</v>
      </c>
      <c r="C2939" t="s">
        <v>16818</v>
      </c>
      <c r="E2939" t="s">
        <v>16819</v>
      </c>
      <c r="G2939" t="s">
        <v>1681</v>
      </c>
      <c r="H2939" t="s">
        <v>452</v>
      </c>
      <c r="J2939" t="s">
        <v>605</v>
      </c>
      <c r="K2939" t="s">
        <v>606</v>
      </c>
      <c r="M2939" t="s">
        <v>1382</v>
      </c>
      <c r="N2939" t="s">
        <v>657</v>
      </c>
      <c r="O2939" t="s">
        <v>1825</v>
      </c>
      <c r="P2939" t="s">
        <v>658</v>
      </c>
      <c r="Q2939" t="s">
        <v>511</v>
      </c>
      <c r="R2939" t="s">
        <v>1555</v>
      </c>
      <c r="S2939" t="s">
        <v>1781</v>
      </c>
      <c r="T2939" t="s">
        <v>1557</v>
      </c>
      <c r="U2939">
        <v>191300</v>
      </c>
      <c r="V2939" t="s">
        <v>16820</v>
      </c>
      <c r="W2939" t="s">
        <v>8823</v>
      </c>
      <c r="X2939" t="s">
        <v>1679</v>
      </c>
      <c r="Y2939" t="s">
        <v>1680</v>
      </c>
      <c r="Z2939" t="s">
        <v>1681</v>
      </c>
      <c r="AA2939" t="s">
        <v>1682</v>
      </c>
      <c r="AB2939" t="s">
        <v>1683</v>
      </c>
      <c r="AE2939">
        <v>-37.697280399999997</v>
      </c>
      <c r="AF2939">
        <v>176.07385807</v>
      </c>
      <c r="AG2939" s="175">
        <v>42</v>
      </c>
      <c r="AH2939" s="175">
        <v>0</v>
      </c>
      <c r="AI2939" s="175">
        <v>0</v>
      </c>
      <c r="AJ2939" s="175">
        <v>0</v>
      </c>
      <c r="AK2939" s="175">
        <v>7</v>
      </c>
      <c r="AL2939" s="175">
        <v>17</v>
      </c>
      <c r="AM2939" s="175">
        <v>24</v>
      </c>
      <c r="AN2939" s="175">
        <v>0</v>
      </c>
      <c r="AO2939" s="175">
        <v>48</v>
      </c>
      <c r="AP2939" s="175">
        <v>43</v>
      </c>
      <c r="AQ2939" s="175">
        <v>10</v>
      </c>
      <c r="AR2939" s="175">
        <v>1</v>
      </c>
      <c r="AS2939" s="175">
        <v>5</v>
      </c>
      <c r="AT2939" s="175">
        <v>0</v>
      </c>
    </row>
    <row r="2940" spans="1:46">
      <c r="A2940">
        <v>47657</v>
      </c>
      <c r="B2940" t="s">
        <v>16821</v>
      </c>
      <c r="C2940" t="s">
        <v>16822</v>
      </c>
      <c r="E2940" t="s">
        <v>16823</v>
      </c>
      <c r="G2940" t="s">
        <v>1628</v>
      </c>
      <c r="H2940" t="s">
        <v>449</v>
      </c>
      <c r="J2940" t="s">
        <v>4032</v>
      </c>
      <c r="K2940" t="s">
        <v>606</v>
      </c>
      <c r="M2940" t="s">
        <v>1382</v>
      </c>
      <c r="N2940" t="s">
        <v>657</v>
      </c>
      <c r="O2940" t="s">
        <v>1629</v>
      </c>
      <c r="P2940" t="s">
        <v>1347</v>
      </c>
      <c r="Q2940" t="s">
        <v>510</v>
      </c>
      <c r="R2940" t="s">
        <v>1555</v>
      </c>
      <c r="S2940" t="s">
        <v>1404</v>
      </c>
      <c r="T2940" t="s">
        <v>1557</v>
      </c>
      <c r="U2940">
        <v>188600</v>
      </c>
      <c r="V2940" t="s">
        <v>9899</v>
      </c>
      <c r="W2940" t="s">
        <v>1631</v>
      </c>
      <c r="X2940" t="s">
        <v>9964</v>
      </c>
      <c r="Y2940" t="s">
        <v>4176</v>
      </c>
      <c r="AA2940" t="s">
        <v>4052</v>
      </c>
      <c r="AB2940" t="s">
        <v>9965</v>
      </c>
      <c r="AE2940">
        <v>-38.682295809999999</v>
      </c>
      <c r="AF2940">
        <v>176.07615311999999</v>
      </c>
      <c r="AG2940" s="175">
        <v>80</v>
      </c>
      <c r="AH2940" s="175">
        <v>25</v>
      </c>
      <c r="AI2940" s="175">
        <v>3</v>
      </c>
      <c r="AJ2940" s="175">
        <v>21</v>
      </c>
      <c r="AK2940" s="175">
        <v>14</v>
      </c>
      <c r="AL2940" s="175">
        <v>19</v>
      </c>
      <c r="AM2940" s="175">
        <v>13</v>
      </c>
      <c r="AN2940" s="175">
        <v>0</v>
      </c>
      <c r="AO2940" s="175">
        <v>70</v>
      </c>
      <c r="AP2940" s="175">
        <v>39</v>
      </c>
      <c r="AQ2940" s="175">
        <v>18</v>
      </c>
      <c r="AR2940" s="175">
        <v>4</v>
      </c>
      <c r="AS2940" s="175">
        <v>20</v>
      </c>
      <c r="AT2940" s="175">
        <v>8</v>
      </c>
    </row>
    <row r="2941" spans="1:46">
      <c r="A2941">
        <v>47658</v>
      </c>
      <c r="B2941" t="s">
        <v>16824</v>
      </c>
      <c r="C2941" t="s">
        <v>16825</v>
      </c>
      <c r="E2941" t="s">
        <v>16826</v>
      </c>
      <c r="F2941" t="s">
        <v>1120</v>
      </c>
      <c r="G2941" t="s">
        <v>737</v>
      </c>
      <c r="H2941" t="s">
        <v>347</v>
      </c>
      <c r="J2941" t="s">
        <v>605</v>
      </c>
      <c r="K2941" t="s">
        <v>606</v>
      </c>
      <c r="L2941" t="s">
        <v>4273</v>
      </c>
      <c r="M2941" t="s">
        <v>607</v>
      </c>
      <c r="N2941" t="s">
        <v>625</v>
      </c>
      <c r="O2941" t="s">
        <v>813</v>
      </c>
      <c r="P2941" t="s">
        <v>739</v>
      </c>
      <c r="Q2941" t="s">
        <v>467</v>
      </c>
      <c r="R2941" t="s">
        <v>814</v>
      </c>
      <c r="S2941" t="s">
        <v>1121</v>
      </c>
      <c r="T2941" t="s">
        <v>794</v>
      </c>
      <c r="U2941">
        <v>155901</v>
      </c>
      <c r="V2941" t="s">
        <v>1122</v>
      </c>
      <c r="W2941" t="s">
        <v>817</v>
      </c>
      <c r="X2941" t="s">
        <v>4275</v>
      </c>
      <c r="Y2941" t="s">
        <v>4276</v>
      </c>
      <c r="Z2941" t="s">
        <v>4277</v>
      </c>
      <c r="AA2941" t="s">
        <v>4278</v>
      </c>
      <c r="AE2941">
        <v>-36.99008396</v>
      </c>
      <c r="AF2941">
        <v>174.85529278999999</v>
      </c>
      <c r="AG2941" s="175">
        <v>42</v>
      </c>
      <c r="AH2941" s="175">
        <v>18</v>
      </c>
      <c r="AI2941" s="175">
        <v>3</v>
      </c>
      <c r="AJ2941" s="175">
        <v>10</v>
      </c>
      <c r="AK2941" s="175">
        <v>9</v>
      </c>
      <c r="AL2941" s="175">
        <v>10</v>
      </c>
      <c r="AM2941" s="175">
        <v>7</v>
      </c>
      <c r="AN2941" s="175">
        <v>0</v>
      </c>
      <c r="AO2941" s="175">
        <v>39</v>
      </c>
      <c r="AP2941" s="175">
        <v>0</v>
      </c>
      <c r="AQ2941" s="175">
        <v>37</v>
      </c>
      <c r="AR2941" s="175">
        <v>2</v>
      </c>
      <c r="AS2941" s="175">
        <v>0</v>
      </c>
      <c r="AT2941" s="175">
        <v>0</v>
      </c>
    </row>
    <row r="2942" spans="1:46">
      <c r="A2942">
        <v>47659</v>
      </c>
      <c r="B2942" t="s">
        <v>16827</v>
      </c>
      <c r="C2942" t="s">
        <v>16828</v>
      </c>
      <c r="D2942" t="s">
        <v>16829</v>
      </c>
      <c r="E2942" t="s">
        <v>16830</v>
      </c>
      <c r="F2942" t="s">
        <v>1252</v>
      </c>
      <c r="G2942" t="s">
        <v>737</v>
      </c>
      <c r="H2942" t="s">
        <v>449</v>
      </c>
      <c r="J2942" t="s">
        <v>4032</v>
      </c>
      <c r="K2942" t="s">
        <v>606</v>
      </c>
      <c r="M2942" t="s">
        <v>607</v>
      </c>
      <c r="N2942" t="s">
        <v>657</v>
      </c>
      <c r="O2942" t="s">
        <v>723</v>
      </c>
      <c r="P2942" t="s">
        <v>610</v>
      </c>
      <c r="Q2942" t="s">
        <v>467</v>
      </c>
      <c r="R2942" t="s">
        <v>724</v>
      </c>
      <c r="S2942" t="s">
        <v>725</v>
      </c>
      <c r="T2942" t="s">
        <v>613</v>
      </c>
      <c r="U2942">
        <v>115002</v>
      </c>
      <c r="V2942" t="s">
        <v>7051</v>
      </c>
      <c r="W2942" t="s">
        <v>726</v>
      </c>
      <c r="X2942" t="s">
        <v>7032</v>
      </c>
      <c r="Y2942" t="s">
        <v>16831</v>
      </c>
      <c r="Z2942" t="s">
        <v>1274</v>
      </c>
      <c r="AA2942" t="s">
        <v>4374</v>
      </c>
      <c r="AE2942">
        <v>-36.772203500000003</v>
      </c>
      <c r="AF2942">
        <v>174.54354290000001</v>
      </c>
      <c r="AG2942" s="175">
        <v>43</v>
      </c>
      <c r="AH2942" s="175">
        <v>12</v>
      </c>
      <c r="AI2942" s="175">
        <v>2</v>
      </c>
      <c r="AJ2942" s="175">
        <v>7</v>
      </c>
      <c r="AK2942" s="175">
        <v>15</v>
      </c>
      <c r="AL2942" s="175">
        <v>5</v>
      </c>
      <c r="AM2942" s="175">
        <v>6</v>
      </c>
      <c r="AN2942" s="175">
        <v>1</v>
      </c>
      <c r="AO2942" s="175">
        <v>36</v>
      </c>
      <c r="AP2942" s="175">
        <v>21</v>
      </c>
      <c r="AQ2942" s="175">
        <v>10</v>
      </c>
      <c r="AR2942" s="175">
        <v>7</v>
      </c>
      <c r="AS2942" s="175">
        <v>9</v>
      </c>
      <c r="AT2942" s="175">
        <v>2</v>
      </c>
    </row>
    <row r="2943" spans="1:46">
      <c r="A2943">
        <v>47660</v>
      </c>
      <c r="B2943" t="s">
        <v>16832</v>
      </c>
      <c r="C2943" t="s">
        <v>16833</v>
      </c>
      <c r="E2943" t="s">
        <v>16834</v>
      </c>
      <c r="G2943" t="s">
        <v>12702</v>
      </c>
      <c r="H2943" t="s">
        <v>449</v>
      </c>
      <c r="J2943" t="s">
        <v>4032</v>
      </c>
      <c r="K2943" t="s">
        <v>606</v>
      </c>
      <c r="M2943" t="s">
        <v>2366</v>
      </c>
      <c r="N2943" t="s">
        <v>657</v>
      </c>
      <c r="O2943" t="s">
        <v>3432</v>
      </c>
      <c r="P2943" t="s">
        <v>626</v>
      </c>
      <c r="Q2943" t="s">
        <v>522</v>
      </c>
      <c r="R2943" t="s">
        <v>3410</v>
      </c>
      <c r="S2943" t="s">
        <v>3323</v>
      </c>
      <c r="T2943" t="s">
        <v>2526</v>
      </c>
      <c r="U2943">
        <v>345700</v>
      </c>
      <c r="V2943" t="s">
        <v>12703</v>
      </c>
      <c r="W2943" t="s">
        <v>12704</v>
      </c>
      <c r="X2943" t="s">
        <v>16835</v>
      </c>
      <c r="Y2943" t="s">
        <v>14944</v>
      </c>
      <c r="AA2943" t="s">
        <v>14945</v>
      </c>
      <c r="AB2943" t="s">
        <v>16836</v>
      </c>
      <c r="AE2943">
        <v>-45.126530039999999</v>
      </c>
      <c r="AF2943">
        <v>170.10108898999999</v>
      </c>
      <c r="AG2943" s="175">
        <v>27</v>
      </c>
      <c r="AH2943" s="175">
        <v>10</v>
      </c>
      <c r="AI2943" s="175">
        <v>0</v>
      </c>
      <c r="AJ2943" s="175">
        <v>5</v>
      </c>
      <c r="AK2943" s="175">
        <v>8</v>
      </c>
      <c r="AL2943" s="175">
        <v>9</v>
      </c>
      <c r="AM2943" s="175">
        <v>9</v>
      </c>
      <c r="AN2943" s="175">
        <v>0</v>
      </c>
      <c r="AO2943" s="175">
        <v>31</v>
      </c>
      <c r="AP2943" s="175">
        <v>31</v>
      </c>
      <c r="AQ2943" s="175">
        <v>7</v>
      </c>
      <c r="AR2943" s="175">
        <v>0</v>
      </c>
      <c r="AS2943" s="175">
        <v>0</v>
      </c>
      <c r="AT2943" s="175">
        <v>0</v>
      </c>
    </row>
    <row r="2944" spans="1:46">
      <c r="A2944">
        <v>47664</v>
      </c>
      <c r="B2944" t="s">
        <v>16837</v>
      </c>
      <c r="C2944" t="s">
        <v>16838</v>
      </c>
      <c r="E2944" t="s">
        <v>16839</v>
      </c>
      <c r="F2944" t="s">
        <v>3030</v>
      </c>
      <c r="G2944" t="s">
        <v>3015</v>
      </c>
      <c r="H2944" t="s">
        <v>449</v>
      </c>
      <c r="J2944" t="s">
        <v>4032</v>
      </c>
      <c r="K2944" t="s">
        <v>606</v>
      </c>
      <c r="M2944" t="s">
        <v>2366</v>
      </c>
      <c r="N2944" t="s">
        <v>657</v>
      </c>
      <c r="O2944" t="s">
        <v>3016</v>
      </c>
      <c r="P2944" t="s">
        <v>739</v>
      </c>
      <c r="Q2944" t="s">
        <v>521</v>
      </c>
      <c r="R2944" t="s">
        <v>3017</v>
      </c>
      <c r="S2944" t="s">
        <v>3030</v>
      </c>
      <c r="T2944" t="s">
        <v>2526</v>
      </c>
      <c r="U2944">
        <v>327100</v>
      </c>
      <c r="V2944" t="s">
        <v>16490</v>
      </c>
      <c r="W2944" t="s">
        <v>2521</v>
      </c>
      <c r="X2944" t="s">
        <v>16840</v>
      </c>
      <c r="Y2944" t="s">
        <v>15181</v>
      </c>
      <c r="Z2944" t="s">
        <v>8762</v>
      </c>
      <c r="AA2944" t="s">
        <v>2283</v>
      </c>
      <c r="AC2944">
        <v>99215</v>
      </c>
      <c r="AD2944" t="s">
        <v>11035</v>
      </c>
      <c r="AE2944">
        <v>-43.5372512</v>
      </c>
      <c r="AF2944">
        <v>172.63743600000001</v>
      </c>
      <c r="AG2944" s="175">
        <v>100</v>
      </c>
      <c r="AH2944" s="175">
        <v>30</v>
      </c>
      <c r="AI2944" s="175">
        <v>4</v>
      </c>
      <c r="AJ2944" s="175">
        <v>27</v>
      </c>
      <c r="AK2944" s="175">
        <v>32</v>
      </c>
      <c r="AL2944" s="175">
        <v>19</v>
      </c>
      <c r="AM2944" s="175">
        <v>17</v>
      </c>
      <c r="AN2944" s="175">
        <v>0</v>
      </c>
      <c r="AO2944" s="175">
        <v>99</v>
      </c>
      <c r="AP2944" s="175">
        <v>84</v>
      </c>
      <c r="AQ2944" s="175">
        <v>15</v>
      </c>
      <c r="AR2944" s="175">
        <v>2</v>
      </c>
      <c r="AS2944" s="175">
        <v>15</v>
      </c>
      <c r="AT2944" s="175">
        <v>4</v>
      </c>
    </row>
    <row r="2945" spans="1:46">
      <c r="A2945">
        <v>47666</v>
      </c>
      <c r="B2945" t="s">
        <v>16841</v>
      </c>
      <c r="C2945" t="s">
        <v>16842</v>
      </c>
      <c r="E2945" t="s">
        <v>16843</v>
      </c>
      <c r="F2945" t="s">
        <v>3841</v>
      </c>
      <c r="G2945" t="s">
        <v>1681</v>
      </c>
      <c r="H2945" t="s">
        <v>449</v>
      </c>
      <c r="J2945" t="s">
        <v>4032</v>
      </c>
      <c r="K2945" t="s">
        <v>606</v>
      </c>
      <c r="M2945" t="s">
        <v>1382</v>
      </c>
      <c r="N2945" t="s">
        <v>657</v>
      </c>
      <c r="O2945" t="s">
        <v>1780</v>
      </c>
      <c r="P2945" t="s">
        <v>739</v>
      </c>
      <c r="Q2945" t="s">
        <v>511</v>
      </c>
      <c r="R2945" t="s">
        <v>1555</v>
      </c>
      <c r="S2945" t="s">
        <v>1781</v>
      </c>
      <c r="T2945" t="s">
        <v>1557</v>
      </c>
      <c r="U2945">
        <v>197601</v>
      </c>
      <c r="V2945" t="s">
        <v>15501</v>
      </c>
      <c r="W2945" t="s">
        <v>3843</v>
      </c>
      <c r="X2945" t="s">
        <v>16844</v>
      </c>
      <c r="Y2945" t="s">
        <v>16653</v>
      </c>
      <c r="Z2945" t="s">
        <v>3841</v>
      </c>
      <c r="AA2945" t="s">
        <v>8947</v>
      </c>
      <c r="AB2945" t="s">
        <v>16842</v>
      </c>
      <c r="AE2945">
        <v>-37.719083519999998</v>
      </c>
      <c r="AF2945">
        <v>176.312648</v>
      </c>
      <c r="AG2945" s="175">
        <v>100</v>
      </c>
      <c r="AH2945" s="175">
        <v>30</v>
      </c>
      <c r="AI2945" s="175">
        <v>5</v>
      </c>
      <c r="AJ2945" s="175">
        <v>14</v>
      </c>
      <c r="AK2945" s="175">
        <v>32</v>
      </c>
      <c r="AL2945" s="175">
        <v>25</v>
      </c>
      <c r="AM2945" s="175">
        <v>31</v>
      </c>
      <c r="AN2945" s="175">
        <v>2</v>
      </c>
      <c r="AO2945" s="175">
        <v>109</v>
      </c>
      <c r="AP2945" s="175">
        <v>64</v>
      </c>
      <c r="AQ2945" s="175">
        <v>45</v>
      </c>
      <c r="AR2945" s="175">
        <v>5</v>
      </c>
      <c r="AS2945" s="175">
        <v>20</v>
      </c>
      <c r="AT2945" s="175">
        <v>4</v>
      </c>
    </row>
    <row r="2946" spans="1:46">
      <c r="A2946">
        <v>47669</v>
      </c>
      <c r="B2946" t="s">
        <v>6986</v>
      </c>
      <c r="C2946" t="s">
        <v>6992</v>
      </c>
      <c r="E2946" t="s">
        <v>16845</v>
      </c>
      <c r="F2946" t="s">
        <v>1120</v>
      </c>
      <c r="G2946" t="s">
        <v>737</v>
      </c>
      <c r="H2946" t="s">
        <v>449</v>
      </c>
      <c r="J2946" t="s">
        <v>4032</v>
      </c>
      <c r="K2946" t="s">
        <v>606</v>
      </c>
      <c r="M2946" t="s">
        <v>607</v>
      </c>
      <c r="N2946" t="s">
        <v>625</v>
      </c>
      <c r="O2946" t="s">
        <v>813</v>
      </c>
      <c r="P2946" t="s">
        <v>739</v>
      </c>
      <c r="Q2946" t="s">
        <v>467</v>
      </c>
      <c r="R2946" t="s">
        <v>814</v>
      </c>
      <c r="S2946" t="s">
        <v>815</v>
      </c>
      <c r="T2946" t="s">
        <v>794</v>
      </c>
      <c r="U2946">
        <v>155602</v>
      </c>
      <c r="V2946" t="s">
        <v>16846</v>
      </c>
      <c r="W2946" t="s">
        <v>817</v>
      </c>
      <c r="X2946" t="s">
        <v>6990</v>
      </c>
      <c r="Y2946" t="s">
        <v>16847</v>
      </c>
      <c r="Z2946" t="s">
        <v>6269</v>
      </c>
      <c r="AA2946" t="s">
        <v>4423</v>
      </c>
      <c r="AB2946" t="s">
        <v>6992</v>
      </c>
      <c r="AE2946">
        <v>-36.971414170000003</v>
      </c>
      <c r="AF2946">
        <v>174.87597629999999</v>
      </c>
      <c r="AG2946" s="175">
        <v>60</v>
      </c>
      <c r="AH2946" s="175">
        <v>12</v>
      </c>
      <c r="AI2946" s="175">
        <v>3</v>
      </c>
      <c r="AJ2946" s="175">
        <v>12</v>
      </c>
      <c r="AK2946" s="175">
        <v>14</v>
      </c>
      <c r="AL2946" s="175">
        <v>16</v>
      </c>
      <c r="AM2946" s="175">
        <v>13</v>
      </c>
      <c r="AN2946" s="175">
        <v>0</v>
      </c>
      <c r="AO2946" s="175">
        <v>58</v>
      </c>
      <c r="AP2946" s="175">
        <v>1</v>
      </c>
      <c r="AQ2946" s="175">
        <v>7</v>
      </c>
      <c r="AR2946" s="175">
        <v>17</v>
      </c>
      <c r="AS2946" s="175">
        <v>47</v>
      </c>
      <c r="AT2946" s="175">
        <v>0</v>
      </c>
    </row>
    <row r="2947" spans="1:46">
      <c r="A2947">
        <v>47671</v>
      </c>
      <c r="B2947" t="s">
        <v>16848</v>
      </c>
      <c r="D2947" t="s">
        <v>16761</v>
      </c>
      <c r="E2947" t="s">
        <v>16849</v>
      </c>
      <c r="F2947" t="s">
        <v>957</v>
      </c>
      <c r="G2947" t="s">
        <v>737</v>
      </c>
      <c r="H2947" t="s">
        <v>449</v>
      </c>
      <c r="J2947" t="s">
        <v>605</v>
      </c>
      <c r="K2947" t="s">
        <v>606</v>
      </c>
      <c r="M2947" t="s">
        <v>607</v>
      </c>
      <c r="N2947" t="s">
        <v>657</v>
      </c>
      <c r="O2947" t="s">
        <v>803</v>
      </c>
      <c r="P2947" t="s">
        <v>739</v>
      </c>
      <c r="Q2947" t="s">
        <v>467</v>
      </c>
      <c r="R2947" t="s">
        <v>724</v>
      </c>
      <c r="S2947" t="s">
        <v>804</v>
      </c>
      <c r="T2947" t="s">
        <v>794</v>
      </c>
      <c r="U2947">
        <v>129501</v>
      </c>
      <c r="V2947" t="s">
        <v>7158</v>
      </c>
      <c r="W2947" t="s">
        <v>806</v>
      </c>
      <c r="X2947" t="s">
        <v>4013</v>
      </c>
      <c r="Y2947" t="s">
        <v>4014</v>
      </c>
      <c r="Z2947" t="s">
        <v>4015</v>
      </c>
      <c r="AA2947" t="s">
        <v>4016</v>
      </c>
      <c r="AB2947" t="s">
        <v>4017</v>
      </c>
      <c r="AE2947">
        <v>-36.899988010000001</v>
      </c>
      <c r="AF2947">
        <v>174.65272231</v>
      </c>
      <c r="AG2947" s="175">
        <v>80</v>
      </c>
      <c r="AH2947" s="175">
        <v>20</v>
      </c>
      <c r="AI2947" s="175">
        <v>5</v>
      </c>
      <c r="AJ2947" s="175">
        <v>12</v>
      </c>
      <c r="AK2947" s="175">
        <v>14</v>
      </c>
      <c r="AL2947" s="175">
        <v>24</v>
      </c>
      <c r="AM2947" s="175">
        <v>25</v>
      </c>
      <c r="AN2947" s="175">
        <v>1</v>
      </c>
      <c r="AO2947" s="175">
        <v>81</v>
      </c>
      <c r="AP2947" s="175">
        <v>25</v>
      </c>
      <c r="AQ2947" s="175">
        <v>24</v>
      </c>
      <c r="AR2947" s="175">
        <v>25</v>
      </c>
      <c r="AS2947" s="175">
        <v>33</v>
      </c>
      <c r="AT2947" s="175">
        <v>4</v>
      </c>
    </row>
    <row r="2948" spans="1:46">
      <c r="A2948">
        <v>47672</v>
      </c>
      <c r="B2948" t="s">
        <v>16850</v>
      </c>
      <c r="E2948" t="s">
        <v>16851</v>
      </c>
      <c r="F2948" t="s">
        <v>3234</v>
      </c>
      <c r="G2948" t="s">
        <v>3015</v>
      </c>
      <c r="H2948" t="s">
        <v>449</v>
      </c>
      <c r="J2948" t="s">
        <v>4032</v>
      </c>
      <c r="K2948" t="s">
        <v>606</v>
      </c>
      <c r="M2948" t="s">
        <v>2366</v>
      </c>
      <c r="N2948" t="s">
        <v>657</v>
      </c>
      <c r="O2948" t="s">
        <v>3016</v>
      </c>
      <c r="P2948" t="s">
        <v>739</v>
      </c>
      <c r="Q2948" t="s">
        <v>521</v>
      </c>
      <c r="R2948" t="s">
        <v>3017</v>
      </c>
      <c r="S2948" t="s">
        <v>3046</v>
      </c>
      <c r="T2948" t="s">
        <v>2526</v>
      </c>
      <c r="U2948">
        <v>326500</v>
      </c>
      <c r="V2948" t="s">
        <v>3234</v>
      </c>
      <c r="W2948" t="s">
        <v>3199</v>
      </c>
      <c r="X2948" t="s">
        <v>13744</v>
      </c>
      <c r="Y2948" t="s">
        <v>13745</v>
      </c>
      <c r="AA2948" t="s">
        <v>13746</v>
      </c>
      <c r="AB2948" t="s">
        <v>13747</v>
      </c>
      <c r="AC2948">
        <v>99175</v>
      </c>
      <c r="AD2948" t="s">
        <v>3144</v>
      </c>
      <c r="AE2948">
        <v>-43.510428140000002</v>
      </c>
      <c r="AF2948">
        <v>172.66812394999999</v>
      </c>
      <c r="AG2948" s="175">
        <v>50</v>
      </c>
      <c r="AH2948" s="175">
        <v>14</v>
      </c>
      <c r="AI2948" s="175">
        <v>0</v>
      </c>
      <c r="AJ2948" s="175">
        <v>13</v>
      </c>
      <c r="AK2948" s="175">
        <v>6</v>
      </c>
      <c r="AL2948" s="175">
        <v>9</v>
      </c>
      <c r="AM2948" s="175">
        <v>7</v>
      </c>
      <c r="AN2948" s="175">
        <v>2</v>
      </c>
      <c r="AO2948" s="175">
        <v>37</v>
      </c>
      <c r="AP2948" s="175">
        <v>34</v>
      </c>
      <c r="AQ2948" s="175">
        <v>5</v>
      </c>
      <c r="AR2948" s="175">
        <v>4</v>
      </c>
      <c r="AS2948" s="175">
        <v>2</v>
      </c>
      <c r="AT2948" s="175">
        <v>1</v>
      </c>
    </row>
    <row r="2949" spans="1:46">
      <c r="A2949">
        <v>47673</v>
      </c>
      <c r="B2949" t="s">
        <v>16852</v>
      </c>
      <c r="C2949" t="s">
        <v>16853</v>
      </c>
      <c r="E2949" t="s">
        <v>16854</v>
      </c>
      <c r="F2949" t="s">
        <v>6666</v>
      </c>
      <c r="G2949" t="s">
        <v>737</v>
      </c>
      <c r="H2949" t="s">
        <v>449</v>
      </c>
      <c r="J2949" t="s">
        <v>4032</v>
      </c>
      <c r="K2949" t="s">
        <v>606</v>
      </c>
      <c r="M2949" t="s">
        <v>607</v>
      </c>
      <c r="N2949" t="s">
        <v>657</v>
      </c>
      <c r="O2949" t="s">
        <v>898</v>
      </c>
      <c r="P2949" t="s">
        <v>739</v>
      </c>
      <c r="Q2949" t="s">
        <v>467</v>
      </c>
      <c r="R2949" t="s">
        <v>724</v>
      </c>
      <c r="S2949" t="s">
        <v>824</v>
      </c>
      <c r="T2949" t="s">
        <v>613</v>
      </c>
      <c r="U2949">
        <v>119800</v>
      </c>
      <c r="V2949" t="s">
        <v>1005</v>
      </c>
      <c r="W2949" t="s">
        <v>900</v>
      </c>
      <c r="X2949" t="s">
        <v>14542</v>
      </c>
      <c r="Y2949" t="s">
        <v>14543</v>
      </c>
      <c r="Z2949" t="s">
        <v>888</v>
      </c>
      <c r="AA2949" t="s">
        <v>4834</v>
      </c>
      <c r="AB2949" t="s">
        <v>14544</v>
      </c>
      <c r="AE2949">
        <v>-36.816533900000003</v>
      </c>
      <c r="AF2949">
        <v>174.621983</v>
      </c>
      <c r="AG2949" s="175">
        <v>54</v>
      </c>
      <c r="AH2949" s="175">
        <v>10</v>
      </c>
      <c r="AI2949" s="175">
        <v>0</v>
      </c>
      <c r="AJ2949" s="175">
        <v>10</v>
      </c>
      <c r="AK2949" s="175">
        <v>14</v>
      </c>
      <c r="AL2949" s="175">
        <v>12</v>
      </c>
      <c r="AM2949" s="175">
        <v>12</v>
      </c>
      <c r="AN2949" s="175">
        <v>0</v>
      </c>
      <c r="AO2949" s="175">
        <v>48</v>
      </c>
      <c r="AP2949" s="175">
        <v>27</v>
      </c>
      <c r="AQ2949" s="175">
        <v>5</v>
      </c>
      <c r="AR2949" s="175">
        <v>5</v>
      </c>
      <c r="AS2949" s="175">
        <v>24</v>
      </c>
      <c r="AT2949" s="175">
        <v>1</v>
      </c>
    </row>
    <row r="2950" spans="1:46">
      <c r="A2950">
        <v>47675</v>
      </c>
      <c r="B2950" t="s">
        <v>16855</v>
      </c>
      <c r="E2950" t="s">
        <v>16856</v>
      </c>
      <c r="F2950" t="s">
        <v>1121</v>
      </c>
      <c r="G2950" t="s">
        <v>737</v>
      </c>
      <c r="H2950" t="s">
        <v>449</v>
      </c>
      <c r="J2950" t="s">
        <v>4032</v>
      </c>
      <c r="K2950" t="s">
        <v>606</v>
      </c>
      <c r="M2950" t="s">
        <v>607</v>
      </c>
      <c r="N2950" t="s">
        <v>625</v>
      </c>
      <c r="O2950" t="s">
        <v>1301</v>
      </c>
      <c r="P2950" t="s">
        <v>739</v>
      </c>
      <c r="Q2950" t="s">
        <v>467</v>
      </c>
      <c r="R2950" t="s">
        <v>814</v>
      </c>
      <c r="S2950" t="s">
        <v>1121</v>
      </c>
      <c r="T2950" t="s">
        <v>794</v>
      </c>
      <c r="U2950">
        <v>160601</v>
      </c>
      <c r="V2950" t="s">
        <v>7744</v>
      </c>
      <c r="W2950" t="s">
        <v>1304</v>
      </c>
      <c r="X2950" t="s">
        <v>16857</v>
      </c>
      <c r="Y2950" t="s">
        <v>16858</v>
      </c>
      <c r="AA2950" t="s">
        <v>16859</v>
      </c>
      <c r="AE2950">
        <v>-37.029374220000001</v>
      </c>
      <c r="AF2950">
        <v>174.88719348999999</v>
      </c>
      <c r="AG2950" s="175">
        <v>50</v>
      </c>
      <c r="AH2950" s="175">
        <v>0</v>
      </c>
      <c r="AI2950" s="175">
        <v>0</v>
      </c>
      <c r="AJ2950" s="175">
        <v>0</v>
      </c>
      <c r="AK2950" s="175">
        <v>16</v>
      </c>
      <c r="AL2950" s="175">
        <v>26</v>
      </c>
      <c r="AM2950" s="175">
        <v>25</v>
      </c>
      <c r="AN2950" s="175">
        <v>1</v>
      </c>
      <c r="AO2950" s="175">
        <v>68</v>
      </c>
      <c r="AP2950" s="175">
        <v>1</v>
      </c>
      <c r="AQ2950" s="175">
        <v>11</v>
      </c>
      <c r="AR2950" s="175">
        <v>21</v>
      </c>
      <c r="AS2950" s="175">
        <v>43</v>
      </c>
      <c r="AT2950" s="175">
        <v>1</v>
      </c>
    </row>
    <row r="2951" spans="1:46">
      <c r="A2951">
        <v>47677</v>
      </c>
      <c r="B2951" t="s">
        <v>16860</v>
      </c>
      <c r="C2951" t="s">
        <v>16861</v>
      </c>
      <c r="D2951" t="s">
        <v>16862</v>
      </c>
      <c r="E2951" t="s">
        <v>16863</v>
      </c>
      <c r="F2951" t="s">
        <v>1302</v>
      </c>
      <c r="G2951" t="s">
        <v>737</v>
      </c>
      <c r="H2951" t="s">
        <v>449</v>
      </c>
      <c r="J2951" t="s">
        <v>605</v>
      </c>
      <c r="K2951" t="s">
        <v>606</v>
      </c>
      <c r="M2951" t="s">
        <v>607</v>
      </c>
      <c r="N2951" t="s">
        <v>625</v>
      </c>
      <c r="O2951" t="s">
        <v>1353</v>
      </c>
      <c r="P2951" t="s">
        <v>739</v>
      </c>
      <c r="Q2951" t="s">
        <v>467</v>
      </c>
      <c r="R2951" t="s">
        <v>814</v>
      </c>
      <c r="S2951" t="s">
        <v>1302</v>
      </c>
      <c r="T2951" t="s">
        <v>794</v>
      </c>
      <c r="U2951">
        <v>162000</v>
      </c>
      <c r="V2951" t="s">
        <v>4118</v>
      </c>
      <c r="W2951" t="s">
        <v>1304</v>
      </c>
      <c r="X2951" t="s">
        <v>16864</v>
      </c>
      <c r="Y2951" t="s">
        <v>16865</v>
      </c>
      <c r="Z2951" t="s">
        <v>1302</v>
      </c>
      <c r="AA2951" t="s">
        <v>9566</v>
      </c>
      <c r="AE2951">
        <v>-37.036341780000001</v>
      </c>
      <c r="AF2951">
        <v>174.92104079999999</v>
      </c>
      <c r="AG2951" s="175">
        <v>35</v>
      </c>
      <c r="AH2951" s="175">
        <v>0</v>
      </c>
      <c r="AI2951" s="175">
        <v>0</v>
      </c>
      <c r="AJ2951" s="175">
        <v>0</v>
      </c>
      <c r="AK2951" s="175">
        <v>6</v>
      </c>
      <c r="AL2951" s="175">
        <v>17</v>
      </c>
      <c r="AM2951" s="175">
        <v>10</v>
      </c>
      <c r="AN2951" s="175">
        <v>0</v>
      </c>
      <c r="AO2951" s="175">
        <v>33</v>
      </c>
      <c r="AP2951" s="175">
        <v>0</v>
      </c>
      <c r="AQ2951" s="175">
        <v>0</v>
      </c>
      <c r="AR2951" s="175">
        <v>1</v>
      </c>
      <c r="AS2951" s="175">
        <v>33</v>
      </c>
      <c r="AT2951" s="175">
        <v>0</v>
      </c>
    </row>
    <row r="2952" spans="1:46">
      <c r="A2952">
        <v>47678</v>
      </c>
      <c r="B2952" t="s">
        <v>16866</v>
      </c>
      <c r="C2952" t="s">
        <v>8825</v>
      </c>
      <c r="E2952" t="s">
        <v>16867</v>
      </c>
      <c r="F2952" t="s">
        <v>11370</v>
      </c>
      <c r="G2952" t="s">
        <v>1839</v>
      </c>
      <c r="H2952" t="s">
        <v>450</v>
      </c>
      <c r="J2952" t="s">
        <v>4032</v>
      </c>
      <c r="K2952" t="s">
        <v>606</v>
      </c>
      <c r="M2952" t="s">
        <v>1382</v>
      </c>
      <c r="N2952" t="s">
        <v>643</v>
      </c>
      <c r="O2952" t="s">
        <v>1840</v>
      </c>
      <c r="P2952" t="s">
        <v>670</v>
      </c>
      <c r="Q2952" t="s">
        <v>514</v>
      </c>
      <c r="R2952" t="s">
        <v>1841</v>
      </c>
      <c r="S2952" t="s">
        <v>1839</v>
      </c>
      <c r="T2952" t="s">
        <v>1568</v>
      </c>
      <c r="U2952">
        <v>217300</v>
      </c>
      <c r="V2952" t="s">
        <v>11370</v>
      </c>
      <c r="W2952" t="s">
        <v>1843</v>
      </c>
      <c r="X2952" t="s">
        <v>8828</v>
      </c>
      <c r="Y2952" t="s">
        <v>8827</v>
      </c>
      <c r="Z2952" t="s">
        <v>1397</v>
      </c>
      <c r="AA2952" t="s">
        <v>8575</v>
      </c>
      <c r="AB2952" t="s">
        <v>8825</v>
      </c>
      <c r="AE2952">
        <v>-39.052272039999998</v>
      </c>
      <c r="AF2952">
        <v>174.08796095</v>
      </c>
      <c r="AG2952" s="175">
        <v>50</v>
      </c>
      <c r="AH2952" s="175">
        <v>50</v>
      </c>
      <c r="AI2952" s="175">
        <v>3</v>
      </c>
      <c r="AJ2952" s="175">
        <v>8</v>
      </c>
      <c r="AK2952" s="175">
        <v>14</v>
      </c>
      <c r="AL2952" s="175">
        <v>9</v>
      </c>
      <c r="AM2952" s="175">
        <v>8</v>
      </c>
      <c r="AN2952" s="175">
        <v>3</v>
      </c>
      <c r="AO2952" s="175">
        <v>45</v>
      </c>
      <c r="AP2952" s="175">
        <v>40</v>
      </c>
      <c r="AQ2952" s="175">
        <v>14</v>
      </c>
      <c r="AR2952" s="175">
        <v>1</v>
      </c>
      <c r="AS2952" s="175">
        <v>1</v>
      </c>
      <c r="AT2952" s="175">
        <v>2</v>
      </c>
    </row>
    <row r="2953" spans="1:46">
      <c r="A2953">
        <v>47679</v>
      </c>
      <c r="B2953" t="s">
        <v>16868</v>
      </c>
      <c r="C2953" t="s">
        <v>16869</v>
      </c>
      <c r="D2953" t="s">
        <v>14806</v>
      </c>
      <c r="E2953" t="s">
        <v>16870</v>
      </c>
      <c r="G2953" t="s">
        <v>2295</v>
      </c>
      <c r="H2953" t="s">
        <v>449</v>
      </c>
      <c r="J2953" t="s">
        <v>4032</v>
      </c>
      <c r="K2953" t="s">
        <v>606</v>
      </c>
      <c r="M2953" t="s">
        <v>1382</v>
      </c>
      <c r="N2953" t="s">
        <v>657</v>
      </c>
      <c r="O2953" t="s">
        <v>2277</v>
      </c>
      <c r="P2953" t="s">
        <v>1347</v>
      </c>
      <c r="Q2953" t="s">
        <v>513</v>
      </c>
      <c r="R2953" t="s">
        <v>2164</v>
      </c>
      <c r="S2953" t="s">
        <v>2278</v>
      </c>
      <c r="T2953" t="s">
        <v>2165</v>
      </c>
      <c r="U2953">
        <v>211500</v>
      </c>
      <c r="V2953" t="s">
        <v>2296</v>
      </c>
      <c r="W2953" t="s">
        <v>2279</v>
      </c>
      <c r="X2953" t="s">
        <v>14808</v>
      </c>
      <c r="Y2953" t="s">
        <v>14809</v>
      </c>
      <c r="AA2953" t="s">
        <v>16871</v>
      </c>
      <c r="AB2953" t="s">
        <v>14811</v>
      </c>
      <c r="AC2953">
        <v>99022</v>
      </c>
      <c r="AD2953" t="s">
        <v>2297</v>
      </c>
      <c r="AE2953">
        <v>-39.663191169999997</v>
      </c>
      <c r="AF2953">
        <v>176.88315721000001</v>
      </c>
      <c r="AG2953" s="175">
        <v>57</v>
      </c>
      <c r="AH2953" s="175">
        <v>28</v>
      </c>
      <c r="AI2953" s="175">
        <v>27</v>
      </c>
      <c r="AJ2953" s="175">
        <v>8</v>
      </c>
      <c r="AK2953" s="175">
        <v>14</v>
      </c>
      <c r="AL2953" s="175">
        <v>8</v>
      </c>
      <c r="AM2953" s="175">
        <v>24</v>
      </c>
      <c r="AN2953" s="175">
        <v>0</v>
      </c>
      <c r="AO2953" s="175">
        <v>81</v>
      </c>
      <c r="AP2953" s="175">
        <v>69</v>
      </c>
      <c r="AQ2953" s="175">
        <v>25</v>
      </c>
      <c r="AR2953" s="175">
        <v>1</v>
      </c>
      <c r="AS2953" s="175">
        <v>5</v>
      </c>
      <c r="AT2953" s="175">
        <v>6</v>
      </c>
    </row>
    <row r="2954" spans="1:46">
      <c r="A2954">
        <v>47680</v>
      </c>
      <c r="B2954" t="s">
        <v>16872</v>
      </c>
      <c r="C2954" t="s">
        <v>16873</v>
      </c>
      <c r="D2954" t="s">
        <v>16874</v>
      </c>
      <c r="E2954" t="s">
        <v>16875</v>
      </c>
      <c r="F2954" t="s">
        <v>1102</v>
      </c>
      <c r="G2954" t="s">
        <v>737</v>
      </c>
      <c r="H2954" t="s">
        <v>449</v>
      </c>
      <c r="J2954" t="s">
        <v>4032</v>
      </c>
      <c r="K2954" t="s">
        <v>606</v>
      </c>
      <c r="M2954" t="s">
        <v>607</v>
      </c>
      <c r="N2954" t="s">
        <v>657</v>
      </c>
      <c r="O2954" t="s">
        <v>942</v>
      </c>
      <c r="P2954" t="s">
        <v>739</v>
      </c>
      <c r="Q2954" t="s">
        <v>467</v>
      </c>
      <c r="R2954" t="s">
        <v>793</v>
      </c>
      <c r="S2954" t="s">
        <v>998</v>
      </c>
      <c r="T2954" t="s">
        <v>794</v>
      </c>
      <c r="U2954">
        <v>139300</v>
      </c>
      <c r="V2954" t="s">
        <v>6826</v>
      </c>
      <c r="W2954" t="s">
        <v>945</v>
      </c>
      <c r="X2954" t="s">
        <v>16876</v>
      </c>
      <c r="Y2954" t="s">
        <v>16877</v>
      </c>
      <c r="Z2954" t="s">
        <v>1262</v>
      </c>
      <c r="AA2954" t="s">
        <v>4356</v>
      </c>
      <c r="AE2954">
        <v>-36.892882</v>
      </c>
      <c r="AF2954">
        <v>174.7565199</v>
      </c>
      <c r="AG2954" s="175">
        <v>20</v>
      </c>
      <c r="AH2954" s="175">
        <v>0</v>
      </c>
      <c r="AI2954" s="175">
        <v>0</v>
      </c>
      <c r="AJ2954" s="175">
        <v>0</v>
      </c>
      <c r="AK2954" s="175">
        <v>4</v>
      </c>
      <c r="AL2954" s="175">
        <v>3</v>
      </c>
      <c r="AM2954" s="175">
        <v>3</v>
      </c>
      <c r="AN2954" s="175">
        <v>0</v>
      </c>
      <c r="AO2954" s="175">
        <v>10</v>
      </c>
      <c r="AP2954" s="175">
        <v>5</v>
      </c>
      <c r="AQ2954" s="175">
        <v>0</v>
      </c>
      <c r="AR2954" s="175">
        <v>0</v>
      </c>
      <c r="AS2954" s="175">
        <v>8</v>
      </c>
      <c r="AT2954" s="175">
        <v>0</v>
      </c>
    </row>
    <row r="2955" spans="1:46">
      <c r="A2955">
        <v>47681</v>
      </c>
      <c r="B2955" t="s">
        <v>16878</v>
      </c>
      <c r="C2955" t="s">
        <v>16879</v>
      </c>
      <c r="D2955" t="s">
        <v>16880</v>
      </c>
      <c r="E2955" t="s">
        <v>16881</v>
      </c>
      <c r="F2955" t="s">
        <v>4987</v>
      </c>
      <c r="G2955" t="s">
        <v>737</v>
      </c>
      <c r="H2955" t="s">
        <v>449</v>
      </c>
      <c r="J2955" t="s">
        <v>4032</v>
      </c>
      <c r="K2955" t="s">
        <v>606</v>
      </c>
      <c r="M2955" t="s">
        <v>607</v>
      </c>
      <c r="N2955" t="s">
        <v>657</v>
      </c>
      <c r="O2955" t="s">
        <v>1042</v>
      </c>
      <c r="P2955" t="s">
        <v>739</v>
      </c>
      <c r="Q2955" t="s">
        <v>467</v>
      </c>
      <c r="R2955" t="s">
        <v>793</v>
      </c>
      <c r="S2955" t="s">
        <v>1043</v>
      </c>
      <c r="T2955" t="s">
        <v>794</v>
      </c>
      <c r="U2955">
        <v>133301</v>
      </c>
      <c r="V2955" t="s">
        <v>5094</v>
      </c>
      <c r="W2955" t="s">
        <v>1044</v>
      </c>
      <c r="X2955" t="s">
        <v>4165</v>
      </c>
      <c r="Y2955" t="s">
        <v>4166</v>
      </c>
      <c r="Z2955" t="s">
        <v>4167</v>
      </c>
      <c r="AA2955" t="s">
        <v>4168</v>
      </c>
      <c r="AB2955" t="s">
        <v>4169</v>
      </c>
      <c r="AE2955">
        <v>-36.843854129999997</v>
      </c>
      <c r="AF2955">
        <v>174.76484665000001</v>
      </c>
      <c r="AG2955" s="175">
        <v>80</v>
      </c>
      <c r="AH2955" s="175">
        <v>0</v>
      </c>
      <c r="AI2955" s="175">
        <v>0</v>
      </c>
      <c r="AJ2955" s="175">
        <v>0</v>
      </c>
      <c r="AK2955" s="175">
        <v>1</v>
      </c>
      <c r="AL2955" s="175">
        <v>32</v>
      </c>
      <c r="AM2955" s="175">
        <v>23</v>
      </c>
      <c r="AN2955" s="175">
        <v>0</v>
      </c>
      <c r="AO2955" s="175">
        <v>56</v>
      </c>
      <c r="AP2955" s="175">
        <v>27</v>
      </c>
      <c r="AQ2955" s="175">
        <v>4</v>
      </c>
      <c r="AR2955" s="175">
        <v>3</v>
      </c>
      <c r="AS2955" s="175">
        <v>33</v>
      </c>
      <c r="AT2955" s="175">
        <v>3</v>
      </c>
    </row>
    <row r="2956" spans="1:46">
      <c r="A2956">
        <v>47687</v>
      </c>
      <c r="B2956" t="s">
        <v>16882</v>
      </c>
      <c r="C2956" t="s">
        <v>16883</v>
      </c>
      <c r="D2956" t="s">
        <v>8987</v>
      </c>
      <c r="E2956" t="s">
        <v>16884</v>
      </c>
      <c r="G2956" t="s">
        <v>1402</v>
      </c>
      <c r="H2956" t="s">
        <v>449</v>
      </c>
      <c r="I2956" t="s">
        <v>4134</v>
      </c>
      <c r="J2956" t="s">
        <v>4032</v>
      </c>
      <c r="K2956" t="s">
        <v>606</v>
      </c>
      <c r="M2956" t="s">
        <v>1382</v>
      </c>
      <c r="N2956" t="s">
        <v>657</v>
      </c>
      <c r="O2956" t="s">
        <v>1403</v>
      </c>
      <c r="P2956" t="s">
        <v>1347</v>
      </c>
      <c r="Q2956" t="s">
        <v>510</v>
      </c>
      <c r="R2956" t="s">
        <v>1384</v>
      </c>
      <c r="S2956" t="s">
        <v>1404</v>
      </c>
      <c r="T2956" t="s">
        <v>1320</v>
      </c>
      <c r="U2956">
        <v>182700</v>
      </c>
      <c r="V2956" t="s">
        <v>8989</v>
      </c>
      <c r="W2956" t="s">
        <v>1406</v>
      </c>
      <c r="X2956" t="s">
        <v>8990</v>
      </c>
      <c r="Y2956" t="s">
        <v>8988</v>
      </c>
      <c r="AA2956" t="s">
        <v>8991</v>
      </c>
      <c r="AB2956" t="s">
        <v>8992</v>
      </c>
      <c r="AE2956">
        <v>-37.881299409999997</v>
      </c>
      <c r="AF2956">
        <v>175.45946319000001</v>
      </c>
      <c r="AG2956" s="175">
        <v>20</v>
      </c>
      <c r="AH2956" s="175">
        <v>15</v>
      </c>
      <c r="AI2956" s="175">
        <v>2</v>
      </c>
      <c r="AJ2956" s="175">
        <v>10</v>
      </c>
      <c r="AK2956" s="175">
        <v>0</v>
      </c>
      <c r="AL2956" s="175">
        <v>0</v>
      </c>
      <c r="AM2956" s="175">
        <v>0</v>
      </c>
      <c r="AN2956" s="175">
        <v>0</v>
      </c>
      <c r="AO2956" s="175">
        <v>12</v>
      </c>
      <c r="AP2956" s="175">
        <v>11</v>
      </c>
      <c r="AQ2956" s="175">
        <v>3</v>
      </c>
      <c r="AR2956" s="175">
        <v>0</v>
      </c>
      <c r="AS2956" s="175">
        <v>1</v>
      </c>
      <c r="AT2956" s="175">
        <v>0</v>
      </c>
    </row>
    <row r="2957" spans="1:46">
      <c r="A2957">
        <v>47688</v>
      </c>
      <c r="B2957" t="s">
        <v>16885</v>
      </c>
      <c r="D2957" t="s">
        <v>16886</v>
      </c>
      <c r="E2957" t="s">
        <v>16887</v>
      </c>
      <c r="F2957" t="s">
        <v>1120</v>
      </c>
      <c r="G2957" t="s">
        <v>737</v>
      </c>
      <c r="H2957" t="s">
        <v>449</v>
      </c>
      <c r="J2957" t="s">
        <v>4032</v>
      </c>
      <c r="K2957" t="s">
        <v>606</v>
      </c>
      <c r="M2957" t="s">
        <v>607</v>
      </c>
      <c r="N2957" t="s">
        <v>625</v>
      </c>
      <c r="O2957" t="s">
        <v>813</v>
      </c>
      <c r="P2957" t="s">
        <v>739</v>
      </c>
      <c r="Q2957" t="s">
        <v>467</v>
      </c>
      <c r="R2957" t="s">
        <v>814</v>
      </c>
      <c r="S2957" t="s">
        <v>815</v>
      </c>
      <c r="T2957" t="s">
        <v>794</v>
      </c>
      <c r="U2957">
        <v>154101</v>
      </c>
      <c r="V2957" t="s">
        <v>4429</v>
      </c>
      <c r="W2957" t="s">
        <v>817</v>
      </c>
      <c r="X2957" t="s">
        <v>14650</v>
      </c>
      <c r="Y2957" t="s">
        <v>14651</v>
      </c>
      <c r="Z2957" t="s">
        <v>5170</v>
      </c>
      <c r="AA2957" t="s">
        <v>4061</v>
      </c>
      <c r="AE2957">
        <v>-36.965707049999999</v>
      </c>
      <c r="AF2957">
        <v>174.86514013999999</v>
      </c>
      <c r="AG2957" s="175">
        <v>55</v>
      </c>
      <c r="AH2957" s="175">
        <v>15</v>
      </c>
      <c r="AI2957" s="175">
        <v>5</v>
      </c>
      <c r="AJ2957" s="175">
        <v>10</v>
      </c>
      <c r="AK2957" s="175">
        <v>16</v>
      </c>
      <c r="AL2957" s="175">
        <v>21</v>
      </c>
      <c r="AM2957" s="175">
        <v>16</v>
      </c>
      <c r="AN2957" s="175">
        <v>1</v>
      </c>
      <c r="AO2957" s="175">
        <v>69</v>
      </c>
      <c r="AP2957" s="175">
        <v>5</v>
      </c>
      <c r="AQ2957" s="175">
        <v>5</v>
      </c>
      <c r="AR2957" s="175">
        <v>17</v>
      </c>
      <c r="AS2957" s="175">
        <v>52</v>
      </c>
      <c r="AT2957" s="175">
        <v>2</v>
      </c>
    </row>
    <row r="2958" spans="1:46">
      <c r="A2958">
        <v>47689</v>
      </c>
      <c r="B2958" t="s">
        <v>16888</v>
      </c>
      <c r="C2958" t="s">
        <v>16889</v>
      </c>
      <c r="D2958" t="s">
        <v>16890</v>
      </c>
      <c r="E2958" t="s">
        <v>16891</v>
      </c>
      <c r="F2958" t="s">
        <v>1302</v>
      </c>
      <c r="G2958" t="s">
        <v>737</v>
      </c>
      <c r="H2958" t="s">
        <v>449</v>
      </c>
      <c r="J2958" t="s">
        <v>605</v>
      </c>
      <c r="K2958" t="s">
        <v>606</v>
      </c>
      <c r="M2958" t="s">
        <v>607</v>
      </c>
      <c r="N2958" t="s">
        <v>643</v>
      </c>
      <c r="O2958" t="s">
        <v>1353</v>
      </c>
      <c r="P2958" t="s">
        <v>739</v>
      </c>
      <c r="Q2958" t="s">
        <v>467</v>
      </c>
      <c r="R2958" t="s">
        <v>814</v>
      </c>
      <c r="S2958" t="s">
        <v>1302</v>
      </c>
      <c r="T2958" t="s">
        <v>794</v>
      </c>
      <c r="U2958">
        <v>162102</v>
      </c>
      <c r="V2958" t="s">
        <v>14402</v>
      </c>
      <c r="W2958" t="s">
        <v>1304</v>
      </c>
      <c r="X2958" t="s">
        <v>4013</v>
      </c>
      <c r="Y2958" t="s">
        <v>4014</v>
      </c>
      <c r="Z2958" t="s">
        <v>4015</v>
      </c>
      <c r="AA2958" t="s">
        <v>4016</v>
      </c>
      <c r="AB2958" t="s">
        <v>4017</v>
      </c>
      <c r="AE2958">
        <v>-37.042203309999998</v>
      </c>
      <c r="AF2958">
        <v>174.95029510000001</v>
      </c>
      <c r="AG2958" s="175">
        <v>99</v>
      </c>
      <c r="AH2958" s="175">
        <v>20</v>
      </c>
      <c r="AI2958" s="175">
        <v>5</v>
      </c>
      <c r="AJ2958" s="175">
        <v>14</v>
      </c>
      <c r="AK2958" s="175">
        <v>26</v>
      </c>
      <c r="AL2958" s="175">
        <v>45</v>
      </c>
      <c r="AM2958" s="175">
        <v>32</v>
      </c>
      <c r="AN2958" s="175">
        <v>0</v>
      </c>
      <c r="AO2958" s="175">
        <v>122</v>
      </c>
      <c r="AP2958" s="175">
        <v>6</v>
      </c>
      <c r="AQ2958" s="175">
        <v>3</v>
      </c>
      <c r="AR2958" s="175">
        <v>5</v>
      </c>
      <c r="AS2958" s="175">
        <v>110</v>
      </c>
      <c r="AT2958" s="175">
        <v>3</v>
      </c>
    </row>
    <row r="2959" spans="1:46">
      <c r="A2959">
        <v>47690</v>
      </c>
      <c r="B2959" t="s">
        <v>16892</v>
      </c>
      <c r="C2959" t="s">
        <v>16893</v>
      </c>
      <c r="D2959" t="s">
        <v>16894</v>
      </c>
      <c r="E2959" t="s">
        <v>16895</v>
      </c>
      <c r="F2959" t="s">
        <v>16896</v>
      </c>
      <c r="G2959" t="s">
        <v>3015</v>
      </c>
      <c r="H2959" t="s">
        <v>449</v>
      </c>
      <c r="I2959" t="s">
        <v>15580</v>
      </c>
      <c r="J2959" t="s">
        <v>4032</v>
      </c>
      <c r="K2959" t="s">
        <v>606</v>
      </c>
      <c r="M2959" t="s">
        <v>2366</v>
      </c>
      <c r="N2959" t="s">
        <v>657</v>
      </c>
      <c r="O2959" t="s">
        <v>3016</v>
      </c>
      <c r="P2959" t="s">
        <v>739</v>
      </c>
      <c r="Q2959" t="s">
        <v>521</v>
      </c>
      <c r="R2959" t="s">
        <v>3017</v>
      </c>
      <c r="S2959" t="s">
        <v>3038</v>
      </c>
      <c r="T2959" t="s">
        <v>2526</v>
      </c>
      <c r="U2959">
        <v>317600</v>
      </c>
      <c r="V2959" t="s">
        <v>16897</v>
      </c>
      <c r="W2959" t="s">
        <v>3059</v>
      </c>
      <c r="X2959" t="s">
        <v>16898</v>
      </c>
      <c r="Y2959" t="s">
        <v>16895</v>
      </c>
      <c r="Z2959" t="s">
        <v>16896</v>
      </c>
      <c r="AA2959" t="s">
        <v>11705</v>
      </c>
      <c r="AB2959" t="s">
        <v>16899</v>
      </c>
      <c r="AE2959">
        <v>-43.467823369999998</v>
      </c>
      <c r="AF2959">
        <v>172.60584729999999</v>
      </c>
      <c r="AG2959" s="175">
        <v>80</v>
      </c>
      <c r="AH2959" s="175">
        <v>20</v>
      </c>
      <c r="AI2959" s="175">
        <v>4</v>
      </c>
      <c r="AJ2959" s="175">
        <v>15</v>
      </c>
      <c r="AK2959" s="175">
        <v>11</v>
      </c>
      <c r="AL2959" s="175">
        <v>18</v>
      </c>
      <c r="AM2959" s="175">
        <v>10</v>
      </c>
      <c r="AN2959" s="175">
        <v>1</v>
      </c>
      <c r="AO2959" s="175">
        <v>59</v>
      </c>
      <c r="AP2959" s="175">
        <v>55</v>
      </c>
      <c r="AQ2959" s="175">
        <v>7</v>
      </c>
      <c r="AR2959" s="175">
        <v>3</v>
      </c>
      <c r="AS2959" s="175">
        <v>6</v>
      </c>
      <c r="AT2959" s="175">
        <v>1</v>
      </c>
    </row>
    <row r="2960" spans="1:46">
      <c r="A2960">
        <v>47692</v>
      </c>
      <c r="B2960" t="s">
        <v>16900</v>
      </c>
      <c r="C2960" t="s">
        <v>16901</v>
      </c>
      <c r="E2960" t="s">
        <v>16902</v>
      </c>
      <c r="G2960" t="s">
        <v>2068</v>
      </c>
      <c r="H2960" t="s">
        <v>449</v>
      </c>
      <c r="J2960" t="s">
        <v>4032</v>
      </c>
      <c r="K2960" t="s">
        <v>606</v>
      </c>
      <c r="M2960" t="s">
        <v>1382</v>
      </c>
      <c r="N2960" t="s">
        <v>657</v>
      </c>
      <c r="O2960" t="s">
        <v>2069</v>
      </c>
      <c r="P2960" t="s">
        <v>1347</v>
      </c>
      <c r="Q2960" t="s">
        <v>553</v>
      </c>
      <c r="R2960" t="s">
        <v>1841</v>
      </c>
      <c r="S2960" t="s">
        <v>1719</v>
      </c>
      <c r="T2960" t="s">
        <v>1568</v>
      </c>
      <c r="U2960">
        <v>228300</v>
      </c>
      <c r="V2960" t="s">
        <v>16903</v>
      </c>
      <c r="W2960" t="s">
        <v>2071</v>
      </c>
      <c r="X2960" t="s">
        <v>10412</v>
      </c>
      <c r="Y2960" t="s">
        <v>16904</v>
      </c>
      <c r="AA2960" t="s">
        <v>15239</v>
      </c>
      <c r="AB2960" t="s">
        <v>10408</v>
      </c>
      <c r="AC2960">
        <v>99134</v>
      </c>
      <c r="AD2960" t="s">
        <v>2072</v>
      </c>
      <c r="AE2960">
        <v>-40.219073600000002</v>
      </c>
      <c r="AF2960">
        <v>175.5773283</v>
      </c>
      <c r="AG2960" s="175">
        <v>90</v>
      </c>
      <c r="AH2960" s="175">
        <v>26</v>
      </c>
      <c r="AI2960" s="175">
        <v>4</v>
      </c>
      <c r="AJ2960" s="175">
        <v>16</v>
      </c>
      <c r="AK2960" s="175">
        <v>16</v>
      </c>
      <c r="AL2960" s="175">
        <v>29</v>
      </c>
      <c r="AM2960" s="175">
        <v>22</v>
      </c>
      <c r="AN2960" s="175">
        <v>0</v>
      </c>
      <c r="AO2960" s="175">
        <v>87</v>
      </c>
      <c r="AP2960" s="175">
        <v>79</v>
      </c>
      <c r="AQ2960" s="175">
        <v>26</v>
      </c>
      <c r="AR2960" s="175">
        <v>7</v>
      </c>
      <c r="AS2960" s="175">
        <v>3</v>
      </c>
      <c r="AT2960" s="175">
        <v>0</v>
      </c>
    </row>
    <row r="2961" spans="1:46">
      <c r="A2961">
        <v>47693</v>
      </c>
      <c r="B2961" t="s">
        <v>16905</v>
      </c>
      <c r="C2961" t="s">
        <v>16906</v>
      </c>
      <c r="D2961" t="s">
        <v>16907</v>
      </c>
      <c r="E2961" t="s">
        <v>16908</v>
      </c>
      <c r="F2961" t="s">
        <v>6080</v>
      </c>
      <c r="G2961" t="s">
        <v>737</v>
      </c>
      <c r="H2961" t="s">
        <v>450</v>
      </c>
      <c r="J2961" t="s">
        <v>4032</v>
      </c>
      <c r="K2961" t="s">
        <v>606</v>
      </c>
      <c r="M2961" t="s">
        <v>607</v>
      </c>
      <c r="N2961" t="s">
        <v>643</v>
      </c>
      <c r="O2961" t="s">
        <v>1353</v>
      </c>
      <c r="P2961" t="s">
        <v>739</v>
      </c>
      <c r="Q2961" t="s">
        <v>467</v>
      </c>
      <c r="R2961" t="s">
        <v>814</v>
      </c>
      <c r="S2961" t="s">
        <v>1319</v>
      </c>
      <c r="T2961" t="s">
        <v>1320</v>
      </c>
      <c r="U2961">
        <v>163700</v>
      </c>
      <c r="V2961" t="s">
        <v>7661</v>
      </c>
      <c r="W2961" t="s">
        <v>1304</v>
      </c>
      <c r="X2961" t="s">
        <v>16909</v>
      </c>
      <c r="Y2961" t="s">
        <v>16910</v>
      </c>
      <c r="Z2961" t="s">
        <v>4272</v>
      </c>
      <c r="AA2961" t="s">
        <v>4652</v>
      </c>
      <c r="AE2961">
        <v>-37.07768875</v>
      </c>
      <c r="AF2961">
        <v>174.94052675</v>
      </c>
      <c r="AG2961" s="175">
        <v>50</v>
      </c>
      <c r="AH2961" s="175">
        <v>50</v>
      </c>
      <c r="AI2961" s="175">
        <v>4</v>
      </c>
      <c r="AJ2961" s="175">
        <v>11</v>
      </c>
      <c r="AK2961" s="175">
        <v>9</v>
      </c>
      <c r="AL2961" s="175">
        <v>8</v>
      </c>
      <c r="AM2961" s="175">
        <v>6</v>
      </c>
      <c r="AN2961" s="175">
        <v>1</v>
      </c>
      <c r="AO2961" s="175">
        <v>39</v>
      </c>
      <c r="AP2961" s="175">
        <v>2</v>
      </c>
      <c r="AQ2961" s="175">
        <v>0</v>
      </c>
      <c r="AR2961" s="175">
        <v>0</v>
      </c>
      <c r="AS2961" s="175">
        <v>37</v>
      </c>
      <c r="AT2961" s="175">
        <v>0</v>
      </c>
    </row>
    <row r="2962" spans="1:46">
      <c r="A2962">
        <v>47694</v>
      </c>
      <c r="B2962" t="s">
        <v>16911</v>
      </c>
      <c r="C2962" t="s">
        <v>16912</v>
      </c>
      <c r="D2962" t="s">
        <v>13621</v>
      </c>
      <c r="E2962" t="s">
        <v>16913</v>
      </c>
      <c r="F2962" t="s">
        <v>13170</v>
      </c>
      <c r="G2962" t="s">
        <v>737</v>
      </c>
      <c r="H2962" t="s">
        <v>449</v>
      </c>
      <c r="J2962" t="s">
        <v>4032</v>
      </c>
      <c r="K2962" t="s">
        <v>606</v>
      </c>
      <c r="M2962" t="s">
        <v>607</v>
      </c>
      <c r="N2962" t="s">
        <v>625</v>
      </c>
      <c r="O2962" t="s">
        <v>914</v>
      </c>
      <c r="P2962" t="s">
        <v>739</v>
      </c>
      <c r="Q2962" t="s">
        <v>467</v>
      </c>
      <c r="R2962" t="s">
        <v>814</v>
      </c>
      <c r="S2962" t="s">
        <v>815</v>
      </c>
      <c r="T2962" t="s">
        <v>794</v>
      </c>
      <c r="U2962">
        <v>149100</v>
      </c>
      <c r="V2962" t="s">
        <v>14803</v>
      </c>
      <c r="W2962" t="s">
        <v>892</v>
      </c>
      <c r="X2962" t="s">
        <v>16914</v>
      </c>
      <c r="Y2962" t="s">
        <v>13624</v>
      </c>
      <c r="Z2962" t="s">
        <v>8282</v>
      </c>
      <c r="AA2962" t="s">
        <v>13625</v>
      </c>
      <c r="AE2962">
        <v>-36.927829410000001</v>
      </c>
      <c r="AF2962">
        <v>174.84273526999999</v>
      </c>
      <c r="AG2962" s="175">
        <v>56</v>
      </c>
      <c r="AH2962" s="175">
        <v>15</v>
      </c>
      <c r="AI2962" s="175">
        <v>2</v>
      </c>
      <c r="AJ2962" s="175">
        <v>13</v>
      </c>
      <c r="AK2962" s="175">
        <v>10</v>
      </c>
      <c r="AL2962" s="175">
        <v>20</v>
      </c>
      <c r="AM2962" s="175">
        <v>12</v>
      </c>
      <c r="AN2962" s="175">
        <v>0</v>
      </c>
      <c r="AO2962" s="175">
        <v>57</v>
      </c>
      <c r="AP2962" s="175">
        <v>10</v>
      </c>
      <c r="AQ2962" s="175">
        <v>7</v>
      </c>
      <c r="AR2962" s="175">
        <v>10</v>
      </c>
      <c r="AS2962" s="175">
        <v>40</v>
      </c>
      <c r="AT2962" s="175">
        <v>6</v>
      </c>
    </row>
    <row r="2963" spans="1:46">
      <c r="A2963">
        <v>47695</v>
      </c>
      <c r="B2963" t="s">
        <v>16915</v>
      </c>
      <c r="C2963" t="s">
        <v>16916</v>
      </c>
      <c r="D2963" t="s">
        <v>16917</v>
      </c>
      <c r="E2963" t="s">
        <v>16918</v>
      </c>
      <c r="F2963" t="s">
        <v>4057</v>
      </c>
      <c r="G2963" t="s">
        <v>737</v>
      </c>
      <c r="H2963" t="s">
        <v>449</v>
      </c>
      <c r="J2963" t="s">
        <v>4032</v>
      </c>
      <c r="K2963" t="s">
        <v>606</v>
      </c>
      <c r="M2963" t="s">
        <v>607</v>
      </c>
      <c r="N2963" t="s">
        <v>657</v>
      </c>
      <c r="O2963" t="s">
        <v>1318</v>
      </c>
      <c r="P2963" t="s">
        <v>1347</v>
      </c>
      <c r="Q2963" t="s">
        <v>467</v>
      </c>
      <c r="R2963" t="s">
        <v>814</v>
      </c>
      <c r="S2963" t="s">
        <v>1331</v>
      </c>
      <c r="T2963" t="s">
        <v>1320</v>
      </c>
      <c r="U2963">
        <v>165302</v>
      </c>
      <c r="V2963" t="s">
        <v>5141</v>
      </c>
      <c r="W2963" t="s">
        <v>1322</v>
      </c>
      <c r="X2963" t="s">
        <v>16919</v>
      </c>
      <c r="Y2963" t="s">
        <v>4471</v>
      </c>
      <c r="Z2963" t="s">
        <v>4472</v>
      </c>
      <c r="AA2963" t="s">
        <v>4596</v>
      </c>
      <c r="AE2963">
        <v>-37.198005260000002</v>
      </c>
      <c r="AF2963">
        <v>174.90252224</v>
      </c>
      <c r="AG2963" s="175">
        <v>85</v>
      </c>
      <c r="AH2963" s="175">
        <v>25</v>
      </c>
      <c r="AI2963" s="175">
        <v>3</v>
      </c>
      <c r="AJ2963" s="175">
        <v>5</v>
      </c>
      <c r="AK2963" s="175">
        <v>8</v>
      </c>
      <c r="AL2963" s="175">
        <v>13</v>
      </c>
      <c r="AM2963" s="175">
        <v>10</v>
      </c>
      <c r="AN2963" s="175">
        <v>1</v>
      </c>
      <c r="AO2963" s="175">
        <v>40</v>
      </c>
      <c r="AP2963" s="175">
        <v>8</v>
      </c>
      <c r="AQ2963" s="175">
        <v>1</v>
      </c>
      <c r="AR2963" s="175">
        <v>4</v>
      </c>
      <c r="AS2963" s="175">
        <v>28</v>
      </c>
      <c r="AT2963" s="175">
        <v>1</v>
      </c>
    </row>
    <row r="2964" spans="1:46">
      <c r="A2964">
        <v>47700</v>
      </c>
      <c r="B2964" t="s">
        <v>16920</v>
      </c>
      <c r="C2964" t="s">
        <v>16921</v>
      </c>
      <c r="E2964" t="s">
        <v>16922</v>
      </c>
      <c r="F2964" t="s">
        <v>3015</v>
      </c>
      <c r="G2964" t="s">
        <v>3015</v>
      </c>
      <c r="H2964" t="s">
        <v>449</v>
      </c>
      <c r="J2964" t="s">
        <v>4032</v>
      </c>
      <c r="K2964" t="s">
        <v>606</v>
      </c>
      <c r="M2964" t="s">
        <v>2366</v>
      </c>
      <c r="N2964" t="s">
        <v>657</v>
      </c>
      <c r="O2964" t="s">
        <v>3016</v>
      </c>
      <c r="P2964" t="s">
        <v>739</v>
      </c>
      <c r="Q2964" t="s">
        <v>521</v>
      </c>
      <c r="R2964" t="s">
        <v>3017</v>
      </c>
      <c r="S2964" t="s">
        <v>3030</v>
      </c>
      <c r="T2964" t="s">
        <v>2526</v>
      </c>
      <c r="U2964">
        <v>326600</v>
      </c>
      <c r="V2964" t="s">
        <v>3030</v>
      </c>
      <c r="W2964" t="s">
        <v>2521</v>
      </c>
      <c r="X2964" t="s">
        <v>16923</v>
      </c>
      <c r="Y2964" t="s">
        <v>16924</v>
      </c>
      <c r="Z2964" t="s">
        <v>3030</v>
      </c>
      <c r="AA2964" t="s">
        <v>12388</v>
      </c>
      <c r="AC2964">
        <v>99215</v>
      </c>
      <c r="AD2964" t="s">
        <v>11035</v>
      </c>
      <c r="AE2964">
        <v>-43.528592660000001</v>
      </c>
      <c r="AF2964">
        <v>172.63420607</v>
      </c>
      <c r="AG2964" s="175">
        <v>100</v>
      </c>
      <c r="AH2964" s="175">
        <v>42</v>
      </c>
      <c r="AI2964" s="175">
        <v>8</v>
      </c>
      <c r="AJ2964" s="175">
        <v>33</v>
      </c>
      <c r="AK2964" s="175">
        <v>19</v>
      </c>
      <c r="AL2964" s="175">
        <v>18</v>
      </c>
      <c r="AM2964" s="175">
        <v>19</v>
      </c>
      <c r="AN2964" s="175">
        <v>2</v>
      </c>
      <c r="AO2964" s="175">
        <v>99</v>
      </c>
      <c r="AP2964" s="175">
        <v>78</v>
      </c>
      <c r="AQ2964" s="175">
        <v>13</v>
      </c>
      <c r="AR2964" s="175">
        <v>1</v>
      </c>
      <c r="AS2964" s="175">
        <v>24</v>
      </c>
      <c r="AT2964" s="175">
        <v>6</v>
      </c>
    </row>
    <row r="2965" spans="1:46">
      <c r="A2965">
        <v>47701</v>
      </c>
      <c r="B2965" t="s">
        <v>16925</v>
      </c>
      <c r="C2965" t="s">
        <v>16926</v>
      </c>
      <c r="E2965" t="s">
        <v>16927</v>
      </c>
      <c r="G2965" t="s">
        <v>2899</v>
      </c>
      <c r="H2965" t="s">
        <v>449</v>
      </c>
      <c r="J2965" t="s">
        <v>4032</v>
      </c>
      <c r="K2965" t="s">
        <v>606</v>
      </c>
      <c r="M2965" t="s">
        <v>2366</v>
      </c>
      <c r="N2965" t="s">
        <v>657</v>
      </c>
      <c r="O2965" t="s">
        <v>2900</v>
      </c>
      <c r="P2965" t="s">
        <v>1347</v>
      </c>
      <c r="Q2965" t="s">
        <v>519</v>
      </c>
      <c r="R2965" t="s">
        <v>2901</v>
      </c>
      <c r="S2965" t="s">
        <v>2902</v>
      </c>
      <c r="T2965" t="s">
        <v>2526</v>
      </c>
      <c r="U2965">
        <v>307802</v>
      </c>
      <c r="V2965" t="s">
        <v>16928</v>
      </c>
      <c r="W2965" t="s">
        <v>2903</v>
      </c>
      <c r="X2965" t="s">
        <v>16929</v>
      </c>
      <c r="Y2965" t="s">
        <v>16927</v>
      </c>
      <c r="Z2965" t="s">
        <v>16930</v>
      </c>
      <c r="AA2965" t="s">
        <v>2906</v>
      </c>
      <c r="AE2965">
        <v>-41.53174568</v>
      </c>
      <c r="AF2965">
        <v>173.93026860000001</v>
      </c>
      <c r="AG2965" s="175">
        <v>80</v>
      </c>
      <c r="AH2965" s="175">
        <v>27</v>
      </c>
      <c r="AI2965" s="175">
        <v>6</v>
      </c>
      <c r="AJ2965" s="175">
        <v>17</v>
      </c>
      <c r="AK2965" s="175">
        <v>18</v>
      </c>
      <c r="AL2965" s="175">
        <v>16</v>
      </c>
      <c r="AM2965" s="175">
        <v>12</v>
      </c>
      <c r="AN2965" s="175">
        <v>0</v>
      </c>
      <c r="AO2965" s="175">
        <v>69</v>
      </c>
      <c r="AP2965" s="175">
        <v>56</v>
      </c>
      <c r="AQ2965" s="175">
        <v>12</v>
      </c>
      <c r="AR2965" s="175">
        <v>1</v>
      </c>
      <c r="AS2965" s="175">
        <v>8</v>
      </c>
      <c r="AT2965" s="175">
        <v>7</v>
      </c>
    </row>
    <row r="2966" spans="1:46">
      <c r="A2966">
        <v>47703</v>
      </c>
      <c r="B2966" t="s">
        <v>16931</v>
      </c>
      <c r="C2966" t="s">
        <v>16932</v>
      </c>
      <c r="E2966" t="s">
        <v>16933</v>
      </c>
      <c r="G2966" t="s">
        <v>1681</v>
      </c>
      <c r="H2966" t="s">
        <v>449</v>
      </c>
      <c r="J2966" t="s">
        <v>4032</v>
      </c>
      <c r="K2966" t="s">
        <v>606</v>
      </c>
      <c r="M2966" t="s">
        <v>1382</v>
      </c>
      <c r="N2966" t="s">
        <v>657</v>
      </c>
      <c r="O2966" t="s">
        <v>1780</v>
      </c>
      <c r="P2966" t="s">
        <v>739</v>
      </c>
      <c r="Q2966" t="s">
        <v>511</v>
      </c>
      <c r="R2966" t="s">
        <v>1555</v>
      </c>
      <c r="S2966" t="s">
        <v>1681</v>
      </c>
      <c r="T2966" t="s">
        <v>1557</v>
      </c>
      <c r="U2966">
        <v>195200</v>
      </c>
      <c r="V2966" t="s">
        <v>8945</v>
      </c>
      <c r="W2966" t="s">
        <v>1799</v>
      </c>
      <c r="X2966" t="s">
        <v>16934</v>
      </c>
      <c r="Y2966" t="s">
        <v>16935</v>
      </c>
      <c r="AA2966" t="s">
        <v>10589</v>
      </c>
      <c r="AB2966" t="s">
        <v>16932</v>
      </c>
      <c r="AC2966">
        <v>99085</v>
      </c>
      <c r="AD2966" t="s">
        <v>1800</v>
      </c>
      <c r="AE2966">
        <v>-37.728319689999999</v>
      </c>
      <c r="AF2966">
        <v>176.13432334000001</v>
      </c>
      <c r="AG2966" s="175">
        <v>56</v>
      </c>
      <c r="AH2966" s="175">
        <v>16</v>
      </c>
      <c r="AI2966" s="175">
        <v>0</v>
      </c>
      <c r="AJ2966" s="175">
        <v>0</v>
      </c>
      <c r="AK2966" s="175">
        <v>6</v>
      </c>
      <c r="AL2966" s="175">
        <v>20</v>
      </c>
      <c r="AM2966" s="175">
        <v>23</v>
      </c>
      <c r="AN2966" s="175">
        <v>2</v>
      </c>
      <c r="AO2966" s="175">
        <v>51</v>
      </c>
      <c r="AP2966" s="175">
        <v>45</v>
      </c>
      <c r="AQ2966" s="175">
        <v>10</v>
      </c>
      <c r="AR2966" s="175">
        <v>3</v>
      </c>
      <c r="AS2966" s="175">
        <v>5</v>
      </c>
      <c r="AT2966" s="175">
        <v>0</v>
      </c>
    </row>
    <row r="2967" spans="1:46">
      <c r="A2967">
        <v>47704</v>
      </c>
      <c r="B2967" t="s">
        <v>16936</v>
      </c>
      <c r="C2967" t="s">
        <v>16937</v>
      </c>
      <c r="D2967" t="s">
        <v>16938</v>
      </c>
      <c r="E2967" t="s">
        <v>16939</v>
      </c>
      <c r="F2967" t="s">
        <v>2337</v>
      </c>
      <c r="G2967" t="s">
        <v>2276</v>
      </c>
      <c r="H2967" t="s">
        <v>347</v>
      </c>
      <c r="J2967" t="s">
        <v>605</v>
      </c>
      <c r="K2967" t="s">
        <v>606</v>
      </c>
      <c r="L2967" t="s">
        <v>4273</v>
      </c>
      <c r="M2967" t="s">
        <v>1382</v>
      </c>
      <c r="N2967" t="s">
        <v>608</v>
      </c>
      <c r="O2967" t="s">
        <v>2277</v>
      </c>
      <c r="P2967" t="s">
        <v>670</v>
      </c>
      <c r="Q2967" t="s">
        <v>513</v>
      </c>
      <c r="R2967" t="s">
        <v>2164</v>
      </c>
      <c r="S2967" t="s">
        <v>2278</v>
      </c>
      <c r="T2967" t="s">
        <v>2165</v>
      </c>
      <c r="U2967">
        <v>210300</v>
      </c>
      <c r="V2967" t="s">
        <v>16940</v>
      </c>
      <c r="W2967" t="s">
        <v>2279</v>
      </c>
      <c r="X2967" t="s">
        <v>8868</v>
      </c>
      <c r="Y2967" t="s">
        <v>4276</v>
      </c>
      <c r="Z2967" t="s">
        <v>4277</v>
      </c>
      <c r="AA2967" t="s">
        <v>4278</v>
      </c>
      <c r="AB2967" t="s">
        <v>8869</v>
      </c>
      <c r="AE2967">
        <v>-39.648730749999999</v>
      </c>
      <c r="AF2967">
        <v>176.82981519000001</v>
      </c>
      <c r="AG2967" s="175">
        <v>25</v>
      </c>
      <c r="AH2967" s="175">
        <v>5</v>
      </c>
      <c r="AI2967" s="175">
        <v>1</v>
      </c>
      <c r="AJ2967" s="175">
        <v>4</v>
      </c>
      <c r="AK2967" s="175">
        <v>5</v>
      </c>
      <c r="AL2967" s="175">
        <v>3</v>
      </c>
      <c r="AM2967" s="175">
        <v>3</v>
      </c>
      <c r="AN2967" s="175">
        <v>0</v>
      </c>
      <c r="AO2967" s="175">
        <v>16</v>
      </c>
      <c r="AP2967" s="175">
        <v>0</v>
      </c>
      <c r="AQ2967" s="175">
        <v>15</v>
      </c>
      <c r="AR2967" s="175">
        <v>0</v>
      </c>
      <c r="AS2967" s="175">
        <v>0</v>
      </c>
      <c r="AT2967" s="175">
        <v>1</v>
      </c>
    </row>
    <row r="2968" spans="1:46">
      <c r="A2968">
        <v>47705</v>
      </c>
      <c r="B2968" t="s">
        <v>16941</v>
      </c>
      <c r="D2968" t="s">
        <v>13942</v>
      </c>
      <c r="E2968" t="s">
        <v>16942</v>
      </c>
      <c r="F2968" t="s">
        <v>6042</v>
      </c>
      <c r="G2968" t="s">
        <v>737</v>
      </c>
      <c r="H2968" t="s">
        <v>450</v>
      </c>
      <c r="J2968" t="s">
        <v>4032</v>
      </c>
      <c r="K2968" t="s">
        <v>606</v>
      </c>
      <c r="M2968" t="s">
        <v>607</v>
      </c>
      <c r="N2968" t="s">
        <v>657</v>
      </c>
      <c r="O2968" t="s">
        <v>942</v>
      </c>
      <c r="P2968" t="s">
        <v>739</v>
      </c>
      <c r="Q2968" t="s">
        <v>467</v>
      </c>
      <c r="R2968" t="s">
        <v>793</v>
      </c>
      <c r="S2968" t="s">
        <v>943</v>
      </c>
      <c r="T2968" t="s">
        <v>794</v>
      </c>
      <c r="U2968">
        <v>129902</v>
      </c>
      <c r="V2968" t="s">
        <v>6585</v>
      </c>
      <c r="W2968" t="s">
        <v>945</v>
      </c>
      <c r="X2968" t="s">
        <v>13944</v>
      </c>
      <c r="Y2968" t="s">
        <v>13945</v>
      </c>
      <c r="AA2968" t="s">
        <v>6587</v>
      </c>
      <c r="AE2968">
        <v>-36.86544842</v>
      </c>
      <c r="AF2968">
        <v>174.70683951999999</v>
      </c>
      <c r="AG2968" s="175">
        <v>80</v>
      </c>
      <c r="AH2968" s="175">
        <v>80</v>
      </c>
      <c r="AI2968" s="175">
        <v>9</v>
      </c>
      <c r="AJ2968" s="175">
        <v>16</v>
      </c>
      <c r="AK2968" s="175">
        <v>14</v>
      </c>
      <c r="AL2968" s="175">
        <v>7</v>
      </c>
      <c r="AM2968" s="175">
        <v>2</v>
      </c>
      <c r="AN2968" s="175">
        <v>0</v>
      </c>
      <c r="AO2968" s="175">
        <v>48</v>
      </c>
      <c r="AP2968" s="175">
        <v>47</v>
      </c>
      <c r="AQ2968" s="175">
        <v>2</v>
      </c>
      <c r="AR2968" s="175">
        <v>1</v>
      </c>
      <c r="AS2968" s="175">
        <v>5</v>
      </c>
      <c r="AT2968" s="175">
        <v>0</v>
      </c>
    </row>
    <row r="2969" spans="1:46">
      <c r="A2969">
        <v>47706</v>
      </c>
      <c r="B2969" t="s">
        <v>16943</v>
      </c>
      <c r="C2969" t="s">
        <v>16944</v>
      </c>
      <c r="E2969" t="s">
        <v>16945</v>
      </c>
      <c r="F2969" t="s">
        <v>1463</v>
      </c>
      <c r="G2969" t="s">
        <v>1402</v>
      </c>
      <c r="H2969" t="s">
        <v>449</v>
      </c>
      <c r="J2969" t="s">
        <v>605</v>
      </c>
      <c r="K2969" t="s">
        <v>606</v>
      </c>
      <c r="M2969" t="s">
        <v>1382</v>
      </c>
      <c r="N2969" t="s">
        <v>657</v>
      </c>
      <c r="O2969" t="s">
        <v>1403</v>
      </c>
      <c r="P2969" t="s">
        <v>1347</v>
      </c>
      <c r="Q2969" t="s">
        <v>510</v>
      </c>
      <c r="R2969" t="s">
        <v>1384</v>
      </c>
      <c r="S2969" t="s">
        <v>1404</v>
      </c>
      <c r="T2969" t="s">
        <v>1320</v>
      </c>
      <c r="U2969">
        <v>183500</v>
      </c>
      <c r="V2969" t="s">
        <v>1473</v>
      </c>
      <c r="W2969" t="s">
        <v>1406</v>
      </c>
      <c r="X2969" t="s">
        <v>8441</v>
      </c>
      <c r="Y2969" t="s">
        <v>4014</v>
      </c>
      <c r="Z2969" t="s">
        <v>4015</v>
      </c>
      <c r="AA2969" t="s">
        <v>4016</v>
      </c>
      <c r="AB2969" t="s">
        <v>8442</v>
      </c>
      <c r="AE2969">
        <v>-37.900044479999998</v>
      </c>
      <c r="AF2969">
        <v>175.47803675</v>
      </c>
      <c r="AG2969" s="175">
        <v>60</v>
      </c>
      <c r="AH2969" s="175">
        <v>12</v>
      </c>
      <c r="AI2969" s="175">
        <v>3</v>
      </c>
      <c r="AJ2969" s="175">
        <v>9</v>
      </c>
      <c r="AK2969" s="175">
        <v>9</v>
      </c>
      <c r="AL2969" s="175">
        <v>20</v>
      </c>
      <c r="AM2969" s="175">
        <v>19</v>
      </c>
      <c r="AN2969" s="175">
        <v>0</v>
      </c>
      <c r="AO2969" s="175">
        <v>60</v>
      </c>
      <c r="AP2969" s="175">
        <v>48</v>
      </c>
      <c r="AQ2969" s="175">
        <v>12</v>
      </c>
      <c r="AR2969" s="175">
        <v>1</v>
      </c>
      <c r="AS2969" s="175">
        <v>7</v>
      </c>
      <c r="AT2969" s="175">
        <v>5</v>
      </c>
    </row>
    <row r="2970" spans="1:46">
      <c r="A2970">
        <v>47707</v>
      </c>
      <c r="B2970" t="s">
        <v>16946</v>
      </c>
      <c r="C2970" t="s">
        <v>7729</v>
      </c>
      <c r="E2970" t="s">
        <v>7724</v>
      </c>
      <c r="F2970" t="s">
        <v>862</v>
      </c>
      <c r="G2970" t="s">
        <v>737</v>
      </c>
      <c r="H2970" t="s">
        <v>449</v>
      </c>
      <c r="J2970" t="s">
        <v>4032</v>
      </c>
      <c r="K2970" t="s">
        <v>606</v>
      </c>
      <c r="M2970" t="s">
        <v>607</v>
      </c>
      <c r="N2970" t="s">
        <v>657</v>
      </c>
      <c r="O2970" t="s">
        <v>792</v>
      </c>
      <c r="P2970" t="s">
        <v>739</v>
      </c>
      <c r="Q2970" t="s">
        <v>467</v>
      </c>
      <c r="R2970" t="s">
        <v>793</v>
      </c>
      <c r="S2970" t="s">
        <v>863</v>
      </c>
      <c r="T2970" t="s">
        <v>794</v>
      </c>
      <c r="U2970">
        <v>154701</v>
      </c>
      <c r="V2970" t="s">
        <v>7726</v>
      </c>
      <c r="W2970" t="s">
        <v>796</v>
      </c>
      <c r="X2970" t="s">
        <v>7727</v>
      </c>
      <c r="Y2970" t="s">
        <v>7728</v>
      </c>
      <c r="Z2970" t="s">
        <v>729</v>
      </c>
      <c r="AA2970" t="s">
        <v>730</v>
      </c>
      <c r="AB2970" t="s">
        <v>7729</v>
      </c>
      <c r="AE2970">
        <v>-36.921013459999998</v>
      </c>
      <c r="AF2970">
        <v>174.93123484</v>
      </c>
      <c r="AG2970" s="175">
        <v>50</v>
      </c>
      <c r="AH2970" s="175">
        <v>0</v>
      </c>
      <c r="AI2970" s="175">
        <v>0</v>
      </c>
      <c r="AJ2970" s="175">
        <v>0</v>
      </c>
      <c r="AK2970" s="175">
        <v>0</v>
      </c>
      <c r="AL2970" s="175">
        <v>6</v>
      </c>
      <c r="AM2970" s="175">
        <v>32</v>
      </c>
      <c r="AN2970" s="175">
        <v>0</v>
      </c>
      <c r="AO2970" s="175">
        <v>38</v>
      </c>
      <c r="AP2970" s="175">
        <v>4</v>
      </c>
      <c r="AQ2970" s="175">
        <v>1</v>
      </c>
      <c r="AR2970" s="175">
        <v>0</v>
      </c>
      <c r="AS2970" s="175">
        <v>33</v>
      </c>
      <c r="AT2970" s="175">
        <v>2</v>
      </c>
    </row>
    <row r="2971" spans="1:46">
      <c r="A2971">
        <v>47708</v>
      </c>
      <c r="B2971" t="s">
        <v>16947</v>
      </c>
      <c r="C2971" t="s">
        <v>16948</v>
      </c>
      <c r="E2971" t="s">
        <v>16949</v>
      </c>
      <c r="F2971" t="s">
        <v>2675</v>
      </c>
      <c r="G2971" t="s">
        <v>2368</v>
      </c>
      <c r="H2971" t="s">
        <v>449</v>
      </c>
      <c r="J2971" t="s">
        <v>4032</v>
      </c>
      <c r="K2971" t="s">
        <v>606</v>
      </c>
      <c r="M2971" t="s">
        <v>2366</v>
      </c>
      <c r="N2971" t="s">
        <v>657</v>
      </c>
      <c r="O2971" t="s">
        <v>2614</v>
      </c>
      <c r="P2971" t="s">
        <v>739</v>
      </c>
      <c r="Q2971" t="s">
        <v>516</v>
      </c>
      <c r="R2971" t="s">
        <v>2368</v>
      </c>
      <c r="S2971" t="s">
        <v>2623</v>
      </c>
      <c r="T2971" t="s">
        <v>2526</v>
      </c>
      <c r="U2971">
        <v>248600</v>
      </c>
      <c r="V2971" t="s">
        <v>16950</v>
      </c>
      <c r="W2971" t="s">
        <v>2625</v>
      </c>
      <c r="X2971" t="s">
        <v>16951</v>
      </c>
      <c r="Y2971" t="s">
        <v>16952</v>
      </c>
      <c r="Z2971" t="s">
        <v>2675</v>
      </c>
      <c r="AA2971" t="s">
        <v>12467</v>
      </c>
      <c r="AB2971" t="s">
        <v>16953</v>
      </c>
      <c r="AE2971">
        <v>-41.22154544</v>
      </c>
      <c r="AF2971">
        <v>174.80300507000001</v>
      </c>
      <c r="AG2971" s="175">
        <v>30</v>
      </c>
      <c r="AH2971" s="175">
        <v>0</v>
      </c>
      <c r="AI2971" s="175">
        <v>0</v>
      </c>
      <c r="AJ2971" s="175">
        <v>0</v>
      </c>
      <c r="AK2971" s="175">
        <v>6</v>
      </c>
      <c r="AL2971" s="175">
        <v>13</v>
      </c>
      <c r="AM2971" s="175">
        <v>12</v>
      </c>
      <c r="AN2971" s="175">
        <v>0</v>
      </c>
      <c r="AO2971" s="175">
        <v>31</v>
      </c>
      <c r="AP2971" s="175">
        <v>21</v>
      </c>
      <c r="AQ2971" s="175">
        <v>1</v>
      </c>
      <c r="AR2971" s="175">
        <v>1</v>
      </c>
      <c r="AS2971" s="175">
        <v>13</v>
      </c>
      <c r="AT2971" s="175">
        <v>1</v>
      </c>
    </row>
    <row r="2972" spans="1:46">
      <c r="A2972">
        <v>47709</v>
      </c>
      <c r="B2972" t="s">
        <v>16954</v>
      </c>
      <c r="E2972" t="s">
        <v>16955</v>
      </c>
      <c r="F2972" t="s">
        <v>1004</v>
      </c>
      <c r="G2972" t="s">
        <v>737</v>
      </c>
      <c r="H2972" t="s">
        <v>449</v>
      </c>
      <c r="J2972" t="s">
        <v>4032</v>
      </c>
      <c r="K2972" t="s">
        <v>606</v>
      </c>
      <c r="M2972" t="s">
        <v>607</v>
      </c>
      <c r="N2972" t="s">
        <v>657</v>
      </c>
      <c r="O2972" t="s">
        <v>1253</v>
      </c>
      <c r="P2972" t="s">
        <v>739</v>
      </c>
      <c r="Q2972" t="s">
        <v>467</v>
      </c>
      <c r="R2972" t="s">
        <v>724</v>
      </c>
      <c r="S2972" t="s">
        <v>824</v>
      </c>
      <c r="T2972" t="s">
        <v>613</v>
      </c>
      <c r="U2972">
        <v>120201</v>
      </c>
      <c r="V2972" t="s">
        <v>14088</v>
      </c>
      <c r="W2972" t="s">
        <v>742</v>
      </c>
      <c r="X2972" t="s">
        <v>5302</v>
      </c>
      <c r="Y2972" t="s">
        <v>4756</v>
      </c>
      <c r="Z2972" t="s">
        <v>4757</v>
      </c>
      <c r="AA2972" t="s">
        <v>4758</v>
      </c>
      <c r="AB2972" t="s">
        <v>5303</v>
      </c>
      <c r="AE2972">
        <v>-36.78710134</v>
      </c>
      <c r="AF2972">
        <v>174.66533240000001</v>
      </c>
      <c r="AG2972" s="175">
        <v>75</v>
      </c>
      <c r="AH2972" s="175">
        <v>25</v>
      </c>
      <c r="AI2972" s="175">
        <v>5</v>
      </c>
      <c r="AJ2972" s="175">
        <v>23</v>
      </c>
      <c r="AK2972" s="175">
        <v>25</v>
      </c>
      <c r="AL2972" s="175">
        <v>23</v>
      </c>
      <c r="AM2972" s="175">
        <v>11</v>
      </c>
      <c r="AN2972" s="175">
        <v>0</v>
      </c>
      <c r="AO2972" s="175">
        <v>87</v>
      </c>
      <c r="AP2972" s="175">
        <v>65</v>
      </c>
      <c r="AQ2972" s="175">
        <v>6</v>
      </c>
      <c r="AR2972" s="175">
        <v>1</v>
      </c>
      <c r="AS2972" s="175">
        <v>16</v>
      </c>
      <c r="AT2972" s="175">
        <v>12</v>
      </c>
    </row>
    <row r="2973" spans="1:46">
      <c r="A2973">
        <v>47710</v>
      </c>
      <c r="B2973" t="s">
        <v>16956</v>
      </c>
      <c r="C2973" t="s">
        <v>16957</v>
      </c>
      <c r="E2973" t="s">
        <v>16958</v>
      </c>
      <c r="F2973" t="s">
        <v>791</v>
      </c>
      <c r="G2973" t="s">
        <v>737</v>
      </c>
      <c r="H2973" t="s">
        <v>449</v>
      </c>
      <c r="J2973" t="s">
        <v>4032</v>
      </c>
      <c r="K2973" t="s">
        <v>606</v>
      </c>
      <c r="M2973" t="s">
        <v>607</v>
      </c>
      <c r="N2973" t="s">
        <v>657</v>
      </c>
      <c r="O2973" t="s">
        <v>792</v>
      </c>
      <c r="P2973" t="s">
        <v>739</v>
      </c>
      <c r="Q2973" t="s">
        <v>467</v>
      </c>
      <c r="R2973" t="s">
        <v>793</v>
      </c>
      <c r="S2973" t="s">
        <v>791</v>
      </c>
      <c r="T2973" t="s">
        <v>794</v>
      </c>
      <c r="U2973">
        <v>150700</v>
      </c>
      <c r="V2973" t="s">
        <v>882</v>
      </c>
      <c r="W2973" t="s">
        <v>796</v>
      </c>
      <c r="X2973" t="s">
        <v>16959</v>
      </c>
      <c r="Y2973" t="s">
        <v>16960</v>
      </c>
      <c r="Z2973" t="s">
        <v>791</v>
      </c>
      <c r="AA2973" t="s">
        <v>4551</v>
      </c>
      <c r="AE2973">
        <v>-36.914965789999997</v>
      </c>
      <c r="AF2973">
        <v>174.8991067</v>
      </c>
      <c r="AG2973" s="175">
        <v>43</v>
      </c>
      <c r="AH2973" s="175">
        <v>20</v>
      </c>
      <c r="AI2973" s="175">
        <v>3</v>
      </c>
      <c r="AJ2973" s="175">
        <v>8</v>
      </c>
      <c r="AK2973" s="175">
        <v>8</v>
      </c>
      <c r="AL2973" s="175">
        <v>9</v>
      </c>
      <c r="AM2973" s="175">
        <v>7</v>
      </c>
      <c r="AN2973" s="175">
        <v>0</v>
      </c>
      <c r="AO2973" s="175">
        <v>35</v>
      </c>
      <c r="AP2973" s="175">
        <v>21</v>
      </c>
      <c r="AQ2973" s="175">
        <v>2</v>
      </c>
      <c r="AR2973" s="175">
        <v>4</v>
      </c>
      <c r="AS2973" s="175">
        <v>14</v>
      </c>
      <c r="AT2973" s="175">
        <v>2</v>
      </c>
    </row>
    <row r="2974" spans="1:46">
      <c r="A2974">
        <v>47711</v>
      </c>
      <c r="B2974" t="s">
        <v>16961</v>
      </c>
      <c r="E2974" t="s">
        <v>16962</v>
      </c>
      <c r="G2974" t="s">
        <v>5608</v>
      </c>
      <c r="H2974" t="s">
        <v>449</v>
      </c>
      <c r="J2974" t="s">
        <v>4032</v>
      </c>
      <c r="K2974" t="s">
        <v>606</v>
      </c>
      <c r="M2974" t="s">
        <v>607</v>
      </c>
      <c r="N2974" t="s">
        <v>657</v>
      </c>
      <c r="O2974" t="s">
        <v>669</v>
      </c>
      <c r="P2974" t="s">
        <v>610</v>
      </c>
      <c r="Q2974" t="s">
        <v>509</v>
      </c>
      <c r="R2974" t="s">
        <v>611</v>
      </c>
      <c r="S2974" t="s">
        <v>671</v>
      </c>
      <c r="T2974" t="s">
        <v>613</v>
      </c>
      <c r="U2974">
        <v>108800</v>
      </c>
      <c r="V2974" t="s">
        <v>3812</v>
      </c>
      <c r="W2974" t="s">
        <v>704</v>
      </c>
      <c r="X2974" t="s">
        <v>16963</v>
      </c>
      <c r="Y2974" t="s">
        <v>16964</v>
      </c>
      <c r="AA2974" t="s">
        <v>16965</v>
      </c>
      <c r="AE2974">
        <v>-35.864381420000001</v>
      </c>
      <c r="AF2974">
        <v>174.44037761000001</v>
      </c>
      <c r="AG2974" s="175">
        <v>80</v>
      </c>
      <c r="AH2974" s="175">
        <v>20</v>
      </c>
      <c r="AI2974" s="175">
        <v>4</v>
      </c>
      <c r="AJ2974" s="175">
        <v>19</v>
      </c>
      <c r="AK2974" s="175">
        <v>19</v>
      </c>
      <c r="AL2974" s="175">
        <v>22</v>
      </c>
      <c r="AM2974" s="175">
        <v>29</v>
      </c>
      <c r="AN2974" s="175">
        <v>0</v>
      </c>
      <c r="AO2974" s="175">
        <v>93</v>
      </c>
      <c r="AP2974" s="175">
        <v>88</v>
      </c>
      <c r="AQ2974" s="175">
        <v>27</v>
      </c>
      <c r="AR2974" s="175">
        <v>8</v>
      </c>
      <c r="AS2974" s="175">
        <v>2</v>
      </c>
      <c r="AT2974" s="175">
        <v>4</v>
      </c>
    </row>
    <row r="2975" spans="1:46">
      <c r="A2975">
        <v>47714</v>
      </c>
      <c r="B2975" t="s">
        <v>16966</v>
      </c>
      <c r="D2975" t="s">
        <v>16967</v>
      </c>
      <c r="E2975" t="s">
        <v>16968</v>
      </c>
      <c r="F2975" t="s">
        <v>957</v>
      </c>
      <c r="G2975" t="s">
        <v>737</v>
      </c>
      <c r="H2975" t="s">
        <v>449</v>
      </c>
      <c r="J2975" t="s">
        <v>4032</v>
      </c>
      <c r="K2975" t="s">
        <v>606</v>
      </c>
      <c r="M2975" t="s">
        <v>607</v>
      </c>
      <c r="N2975" t="s">
        <v>657</v>
      </c>
      <c r="O2975" t="s">
        <v>958</v>
      </c>
      <c r="P2975" t="s">
        <v>739</v>
      </c>
      <c r="Q2975" t="s">
        <v>467</v>
      </c>
      <c r="R2975" t="s">
        <v>724</v>
      </c>
      <c r="S2975" t="s">
        <v>804</v>
      </c>
      <c r="T2975" t="s">
        <v>794</v>
      </c>
      <c r="U2975">
        <v>131500</v>
      </c>
      <c r="V2975" t="s">
        <v>6311</v>
      </c>
      <c r="W2975" t="s">
        <v>900</v>
      </c>
      <c r="X2975" t="s">
        <v>5947</v>
      </c>
      <c r="Y2975" t="s">
        <v>5948</v>
      </c>
      <c r="Z2975" t="s">
        <v>1268</v>
      </c>
      <c r="AA2975" t="s">
        <v>4374</v>
      </c>
      <c r="AB2975" t="s">
        <v>5949</v>
      </c>
      <c r="AE2975">
        <v>-36.918003929999998</v>
      </c>
      <c r="AF2975">
        <v>174.65700049</v>
      </c>
      <c r="AG2975" s="175">
        <v>60</v>
      </c>
      <c r="AH2975" s="175">
        <v>18</v>
      </c>
      <c r="AI2975" s="175">
        <v>1</v>
      </c>
      <c r="AJ2975" s="175">
        <v>16</v>
      </c>
      <c r="AK2975" s="175">
        <v>13</v>
      </c>
      <c r="AL2975" s="175">
        <v>16</v>
      </c>
      <c r="AM2975" s="175">
        <v>17</v>
      </c>
      <c r="AN2975" s="175">
        <v>1</v>
      </c>
      <c r="AO2975" s="175">
        <v>64</v>
      </c>
      <c r="AP2975" s="175">
        <v>51</v>
      </c>
      <c r="AQ2975" s="175">
        <v>8</v>
      </c>
      <c r="AR2975" s="175">
        <v>7</v>
      </c>
      <c r="AS2975" s="175">
        <v>14</v>
      </c>
      <c r="AT2975" s="175">
        <v>2</v>
      </c>
    </row>
    <row r="2976" spans="1:46">
      <c r="A2976">
        <v>47715</v>
      </c>
      <c r="B2976" t="s">
        <v>16969</v>
      </c>
      <c r="C2976" t="s">
        <v>8825</v>
      </c>
      <c r="E2976" t="s">
        <v>8827</v>
      </c>
      <c r="F2976" t="s">
        <v>1397</v>
      </c>
      <c r="G2976" t="s">
        <v>1381</v>
      </c>
      <c r="H2976" t="s">
        <v>450</v>
      </c>
      <c r="J2976" t="s">
        <v>4032</v>
      </c>
      <c r="K2976" t="s">
        <v>606</v>
      </c>
      <c r="M2976" t="s">
        <v>2366</v>
      </c>
      <c r="N2976" t="s">
        <v>657</v>
      </c>
      <c r="O2976" t="s">
        <v>1383</v>
      </c>
      <c r="P2976" t="s">
        <v>739</v>
      </c>
      <c r="Q2976" t="s">
        <v>510</v>
      </c>
      <c r="R2976" t="s">
        <v>2368</v>
      </c>
      <c r="S2976" t="s">
        <v>1396</v>
      </c>
      <c r="T2976" t="s">
        <v>1320</v>
      </c>
      <c r="U2976">
        <v>177300</v>
      </c>
      <c r="V2976" t="s">
        <v>1397</v>
      </c>
      <c r="W2976" t="s">
        <v>1398</v>
      </c>
      <c r="X2976" t="s">
        <v>11028</v>
      </c>
      <c r="Y2976" t="s">
        <v>8827</v>
      </c>
      <c r="Z2976" t="s">
        <v>1397</v>
      </c>
      <c r="AA2976" t="s">
        <v>8575</v>
      </c>
      <c r="AE2976">
        <v>-37.749390910000002</v>
      </c>
      <c r="AF2976">
        <v>175.27364802</v>
      </c>
      <c r="AG2976" s="175">
        <v>80</v>
      </c>
      <c r="AH2976" s="175">
        <v>80</v>
      </c>
      <c r="AI2976" s="175">
        <v>3</v>
      </c>
      <c r="AJ2976" s="175">
        <v>12</v>
      </c>
      <c r="AK2976" s="175">
        <v>14</v>
      </c>
      <c r="AL2976" s="175">
        <v>11</v>
      </c>
      <c r="AM2976" s="175">
        <v>6</v>
      </c>
      <c r="AN2976" s="175">
        <v>1</v>
      </c>
      <c r="AO2976" s="175">
        <v>47</v>
      </c>
      <c r="AP2976" s="175">
        <v>37</v>
      </c>
      <c r="AQ2976" s="175">
        <v>12</v>
      </c>
      <c r="AR2976" s="175">
        <v>6</v>
      </c>
      <c r="AS2976" s="175">
        <v>4</v>
      </c>
      <c r="AT2976" s="175">
        <v>2</v>
      </c>
    </row>
    <row r="2977" spans="1:46">
      <c r="A2977">
        <v>47720</v>
      </c>
      <c r="B2977" t="s">
        <v>16970</v>
      </c>
      <c r="C2977" t="s">
        <v>16971</v>
      </c>
      <c r="D2977" t="s">
        <v>16972</v>
      </c>
      <c r="E2977" t="s">
        <v>16973</v>
      </c>
      <c r="F2977" t="s">
        <v>804</v>
      </c>
      <c r="G2977" t="s">
        <v>737</v>
      </c>
      <c r="H2977" t="s">
        <v>449</v>
      </c>
      <c r="J2977" t="s">
        <v>4032</v>
      </c>
      <c r="K2977" t="s">
        <v>606</v>
      </c>
      <c r="M2977" t="s">
        <v>607</v>
      </c>
      <c r="N2977" t="s">
        <v>625</v>
      </c>
      <c r="O2977" t="s">
        <v>803</v>
      </c>
      <c r="P2977" t="s">
        <v>739</v>
      </c>
      <c r="Q2977" t="s">
        <v>467</v>
      </c>
      <c r="R2977" t="s">
        <v>724</v>
      </c>
      <c r="S2977" t="s">
        <v>804</v>
      </c>
      <c r="T2977" t="s">
        <v>794</v>
      </c>
      <c r="U2977">
        <v>131000</v>
      </c>
      <c r="V2977" t="s">
        <v>4183</v>
      </c>
      <c r="W2977" t="s">
        <v>806</v>
      </c>
      <c r="X2977" t="s">
        <v>16974</v>
      </c>
      <c r="Y2977" t="s">
        <v>16975</v>
      </c>
      <c r="Z2977" t="s">
        <v>1199</v>
      </c>
      <c r="AA2977" t="s">
        <v>5051</v>
      </c>
      <c r="AE2977">
        <v>-36.901656160000002</v>
      </c>
      <c r="AF2977">
        <v>174.66566405</v>
      </c>
      <c r="AG2977" s="175">
        <v>42</v>
      </c>
      <c r="AH2977" s="175">
        <v>8</v>
      </c>
      <c r="AI2977" s="175">
        <v>2</v>
      </c>
      <c r="AJ2977" s="175">
        <v>5</v>
      </c>
      <c r="AK2977" s="175">
        <v>8</v>
      </c>
      <c r="AL2977" s="175">
        <v>11</v>
      </c>
      <c r="AM2977" s="175">
        <v>11</v>
      </c>
      <c r="AN2977" s="175">
        <v>0</v>
      </c>
      <c r="AO2977" s="175">
        <v>37</v>
      </c>
      <c r="AP2977" s="175">
        <v>6</v>
      </c>
      <c r="AQ2977" s="175">
        <v>11</v>
      </c>
      <c r="AR2977" s="175">
        <v>15</v>
      </c>
      <c r="AS2977" s="175">
        <v>18</v>
      </c>
      <c r="AT2977" s="175">
        <v>0</v>
      </c>
    </row>
    <row r="2978" spans="1:46">
      <c r="A2978">
        <v>47722</v>
      </c>
      <c r="B2978" t="s">
        <v>16976</v>
      </c>
      <c r="C2978" t="s">
        <v>16977</v>
      </c>
      <c r="E2978" t="s">
        <v>16978</v>
      </c>
      <c r="G2978" t="s">
        <v>9026</v>
      </c>
      <c r="H2978" t="s">
        <v>449</v>
      </c>
      <c r="J2978" t="s">
        <v>4032</v>
      </c>
      <c r="K2978" t="s">
        <v>606</v>
      </c>
      <c r="M2978" t="s">
        <v>1382</v>
      </c>
      <c r="N2978" t="s">
        <v>657</v>
      </c>
      <c r="O2978" t="s">
        <v>1403</v>
      </c>
      <c r="P2978" t="s">
        <v>610</v>
      </c>
      <c r="Q2978" t="s">
        <v>510</v>
      </c>
      <c r="R2978" t="s">
        <v>1384</v>
      </c>
      <c r="S2978" t="s">
        <v>1501</v>
      </c>
      <c r="T2978" t="s">
        <v>1320</v>
      </c>
      <c r="U2978">
        <v>181900</v>
      </c>
      <c r="V2978" t="s">
        <v>9026</v>
      </c>
      <c r="W2978" t="s">
        <v>9027</v>
      </c>
      <c r="X2978" t="s">
        <v>16979</v>
      </c>
      <c r="Y2978" t="s">
        <v>16980</v>
      </c>
      <c r="AA2978" t="s">
        <v>16981</v>
      </c>
      <c r="AB2978" t="s">
        <v>16977</v>
      </c>
      <c r="AE2978">
        <v>-37.999326400000001</v>
      </c>
      <c r="AF2978">
        <v>175.2051611</v>
      </c>
      <c r="AG2978" s="175">
        <v>50</v>
      </c>
      <c r="AH2978" s="175">
        <v>20</v>
      </c>
      <c r="AI2978" s="175">
        <v>2</v>
      </c>
      <c r="AJ2978" s="175">
        <v>7</v>
      </c>
      <c r="AK2978" s="175">
        <v>13</v>
      </c>
      <c r="AL2978" s="175">
        <v>16</v>
      </c>
      <c r="AM2978" s="175">
        <v>16</v>
      </c>
      <c r="AN2978" s="175">
        <v>0</v>
      </c>
      <c r="AO2978" s="175">
        <v>54</v>
      </c>
      <c r="AP2978" s="175">
        <v>45</v>
      </c>
      <c r="AQ2978" s="175">
        <v>16</v>
      </c>
      <c r="AR2978" s="175">
        <v>1</v>
      </c>
      <c r="AS2978" s="175">
        <v>1</v>
      </c>
      <c r="AT2978" s="175">
        <v>3</v>
      </c>
    </row>
    <row r="2979" spans="1:46">
      <c r="A2979">
        <v>47724</v>
      </c>
      <c r="B2979" t="s">
        <v>16982</v>
      </c>
      <c r="C2979" t="s">
        <v>16983</v>
      </c>
      <c r="D2979" t="s">
        <v>16984</v>
      </c>
      <c r="E2979" t="s">
        <v>16985</v>
      </c>
      <c r="F2979" t="s">
        <v>16293</v>
      </c>
      <c r="G2979" t="s">
        <v>1839</v>
      </c>
      <c r="H2979" t="s">
        <v>449</v>
      </c>
      <c r="J2979" t="s">
        <v>4032</v>
      </c>
      <c r="K2979" t="s">
        <v>606</v>
      </c>
      <c r="M2979" t="s">
        <v>1382</v>
      </c>
      <c r="N2979" t="s">
        <v>657</v>
      </c>
      <c r="O2979" t="s">
        <v>1840</v>
      </c>
      <c r="P2979" t="s">
        <v>670</v>
      </c>
      <c r="Q2979" t="s">
        <v>514</v>
      </c>
      <c r="R2979" t="s">
        <v>1841</v>
      </c>
      <c r="S2979" t="s">
        <v>1839</v>
      </c>
      <c r="T2979" t="s">
        <v>1568</v>
      </c>
      <c r="U2979">
        <v>217901</v>
      </c>
      <c r="V2979" t="s">
        <v>16293</v>
      </c>
      <c r="W2979" t="s">
        <v>1843</v>
      </c>
      <c r="X2979" t="s">
        <v>16986</v>
      </c>
      <c r="Y2979" t="s">
        <v>16987</v>
      </c>
      <c r="Z2979" t="s">
        <v>16293</v>
      </c>
      <c r="AA2979" t="s">
        <v>14399</v>
      </c>
      <c r="AB2979" t="s">
        <v>16983</v>
      </c>
      <c r="AE2979">
        <v>-39.090067429999998</v>
      </c>
      <c r="AF2979">
        <v>174.05456035</v>
      </c>
      <c r="AG2979" s="175">
        <v>24</v>
      </c>
      <c r="AH2979" s="175">
        <v>0</v>
      </c>
      <c r="AI2979" s="175">
        <v>0</v>
      </c>
      <c r="AJ2979" s="175">
        <v>0</v>
      </c>
      <c r="AK2979" s="175">
        <v>0</v>
      </c>
      <c r="AL2979" s="175">
        <v>17</v>
      </c>
      <c r="AM2979" s="175">
        <v>18</v>
      </c>
      <c r="AN2979" s="175">
        <v>0</v>
      </c>
      <c r="AO2979" s="175">
        <v>35</v>
      </c>
      <c r="AP2979" s="175">
        <v>33</v>
      </c>
      <c r="AQ2979" s="175">
        <v>6</v>
      </c>
      <c r="AR2979" s="175">
        <v>0</v>
      </c>
      <c r="AS2979" s="175">
        <v>0</v>
      </c>
      <c r="AT2979" s="175">
        <v>1</v>
      </c>
    </row>
    <row r="2980" spans="1:46">
      <c r="A2980">
        <v>47725</v>
      </c>
      <c r="B2980" t="s">
        <v>16988</v>
      </c>
      <c r="C2980" t="s">
        <v>16989</v>
      </c>
      <c r="E2980" t="s">
        <v>16990</v>
      </c>
      <c r="F2980" t="s">
        <v>3229</v>
      </c>
      <c r="G2980" t="s">
        <v>3015</v>
      </c>
      <c r="H2980" t="s">
        <v>449</v>
      </c>
      <c r="J2980" t="s">
        <v>605</v>
      </c>
      <c r="K2980" t="s">
        <v>606</v>
      </c>
      <c r="M2980" t="s">
        <v>2366</v>
      </c>
      <c r="N2980" t="s">
        <v>657</v>
      </c>
      <c r="O2980" t="s">
        <v>3016</v>
      </c>
      <c r="P2980" t="s">
        <v>739</v>
      </c>
      <c r="Q2980" t="s">
        <v>521</v>
      </c>
      <c r="R2980" t="s">
        <v>3017</v>
      </c>
      <c r="S2980" t="s">
        <v>3092</v>
      </c>
      <c r="T2980" t="s">
        <v>2526</v>
      </c>
      <c r="U2980">
        <v>326900</v>
      </c>
      <c r="V2980" t="s">
        <v>12327</v>
      </c>
      <c r="W2980" t="s">
        <v>3161</v>
      </c>
      <c r="X2980" t="s">
        <v>10864</v>
      </c>
      <c r="Y2980" t="s">
        <v>4014</v>
      </c>
      <c r="Z2980" t="s">
        <v>4015</v>
      </c>
      <c r="AA2980" t="s">
        <v>4016</v>
      </c>
      <c r="AE2980">
        <v>-43.552138999999997</v>
      </c>
      <c r="AF2980">
        <v>172.61275777</v>
      </c>
      <c r="AG2980" s="175">
        <v>115</v>
      </c>
      <c r="AH2980" s="175">
        <v>25</v>
      </c>
      <c r="AI2980" s="175">
        <v>6</v>
      </c>
      <c r="AJ2980" s="175">
        <v>21</v>
      </c>
      <c r="AK2980" s="175">
        <v>25</v>
      </c>
      <c r="AL2980" s="175">
        <v>36</v>
      </c>
      <c r="AM2980" s="175">
        <v>34</v>
      </c>
      <c r="AN2980" s="175">
        <v>1</v>
      </c>
      <c r="AO2980" s="175">
        <v>123</v>
      </c>
      <c r="AP2980" s="175">
        <v>82</v>
      </c>
      <c r="AQ2980" s="175">
        <v>25</v>
      </c>
      <c r="AR2980" s="175">
        <v>8</v>
      </c>
      <c r="AS2980" s="175">
        <v>34</v>
      </c>
      <c r="AT2980" s="175">
        <v>13</v>
      </c>
    </row>
    <row r="2981" spans="1:46">
      <c r="A2981">
        <v>47726</v>
      </c>
      <c r="B2981" t="s">
        <v>16991</v>
      </c>
      <c r="C2981" t="s">
        <v>16992</v>
      </c>
      <c r="D2981" t="s">
        <v>13264</v>
      </c>
      <c r="E2981" t="s">
        <v>16993</v>
      </c>
      <c r="F2981" t="s">
        <v>4472</v>
      </c>
      <c r="G2981" t="s">
        <v>668</v>
      </c>
      <c r="H2981" t="s">
        <v>449</v>
      </c>
      <c r="J2981" t="s">
        <v>4032</v>
      </c>
      <c r="K2981" t="s">
        <v>606</v>
      </c>
      <c r="M2981" t="s">
        <v>607</v>
      </c>
      <c r="N2981" t="s">
        <v>657</v>
      </c>
      <c r="O2981" t="s">
        <v>669</v>
      </c>
      <c r="P2981" t="s">
        <v>670</v>
      </c>
      <c r="Q2981" t="s">
        <v>509</v>
      </c>
      <c r="R2981" t="s">
        <v>611</v>
      </c>
      <c r="S2981" t="s">
        <v>671</v>
      </c>
      <c r="T2981" t="s">
        <v>613</v>
      </c>
      <c r="U2981">
        <v>106600</v>
      </c>
      <c r="V2981" t="s">
        <v>5100</v>
      </c>
      <c r="W2981" t="s">
        <v>673</v>
      </c>
      <c r="X2981" t="s">
        <v>13237</v>
      </c>
      <c r="Y2981" t="s">
        <v>13238</v>
      </c>
      <c r="Z2981" t="s">
        <v>822</v>
      </c>
      <c r="AA2981" t="s">
        <v>13239</v>
      </c>
      <c r="AE2981">
        <v>-35.713686719999998</v>
      </c>
      <c r="AF2981">
        <v>174.32523671000001</v>
      </c>
      <c r="AG2981" s="175">
        <v>19</v>
      </c>
      <c r="AH2981" s="175">
        <v>19</v>
      </c>
      <c r="AI2981" s="175">
        <v>4</v>
      </c>
      <c r="AJ2981" s="175">
        <v>16</v>
      </c>
      <c r="AK2981" s="175">
        <v>0</v>
      </c>
      <c r="AL2981" s="175">
        <v>0</v>
      </c>
      <c r="AM2981" s="175">
        <v>0</v>
      </c>
      <c r="AN2981" s="175">
        <v>0</v>
      </c>
      <c r="AO2981" s="175">
        <v>20</v>
      </c>
      <c r="AP2981" s="175">
        <v>14</v>
      </c>
      <c r="AQ2981" s="175">
        <v>4</v>
      </c>
      <c r="AR2981" s="175">
        <v>0</v>
      </c>
      <c r="AS2981" s="175">
        <v>4</v>
      </c>
      <c r="AT2981" s="175">
        <v>3</v>
      </c>
    </row>
    <row r="2982" spans="1:46">
      <c r="A2982">
        <v>47728</v>
      </c>
      <c r="B2982" t="s">
        <v>16994</v>
      </c>
      <c r="C2982" t="s">
        <v>16995</v>
      </c>
      <c r="D2982" t="s">
        <v>16996</v>
      </c>
      <c r="E2982" t="s">
        <v>16997</v>
      </c>
      <c r="F2982" t="s">
        <v>13270</v>
      </c>
      <c r="G2982" t="s">
        <v>3015</v>
      </c>
      <c r="H2982" t="s">
        <v>449</v>
      </c>
      <c r="J2982" t="s">
        <v>605</v>
      </c>
      <c r="K2982" t="s">
        <v>606</v>
      </c>
      <c r="M2982" t="s">
        <v>2366</v>
      </c>
      <c r="N2982" t="s">
        <v>657</v>
      </c>
      <c r="O2982" t="s">
        <v>3016</v>
      </c>
      <c r="P2982" t="s">
        <v>739</v>
      </c>
      <c r="Q2982" t="s">
        <v>521</v>
      </c>
      <c r="R2982" t="s">
        <v>3017</v>
      </c>
      <c r="S2982" t="s">
        <v>3092</v>
      </c>
      <c r="T2982" t="s">
        <v>2526</v>
      </c>
      <c r="U2982">
        <v>321000</v>
      </c>
      <c r="V2982" t="s">
        <v>16998</v>
      </c>
      <c r="W2982" t="s">
        <v>3149</v>
      </c>
      <c r="X2982" t="s">
        <v>16999</v>
      </c>
      <c r="Y2982" t="s">
        <v>5169</v>
      </c>
      <c r="Z2982" t="s">
        <v>5170</v>
      </c>
      <c r="AA2982" t="s">
        <v>5171</v>
      </c>
      <c r="AB2982" t="s">
        <v>16995</v>
      </c>
      <c r="AE2982">
        <v>-43.531169390000002</v>
      </c>
      <c r="AF2982">
        <v>172.56894141999999</v>
      </c>
      <c r="AG2982" s="175">
        <v>44</v>
      </c>
      <c r="AH2982" s="175">
        <v>8</v>
      </c>
      <c r="AI2982" s="175">
        <v>0</v>
      </c>
      <c r="AJ2982" s="175">
        <v>2</v>
      </c>
      <c r="AK2982" s="175">
        <v>6</v>
      </c>
      <c r="AL2982" s="175">
        <v>10</v>
      </c>
      <c r="AM2982" s="175">
        <v>14</v>
      </c>
      <c r="AN2982" s="175">
        <v>3</v>
      </c>
      <c r="AO2982" s="175">
        <v>35</v>
      </c>
      <c r="AP2982" s="175">
        <v>6</v>
      </c>
      <c r="AQ2982" s="175">
        <v>1</v>
      </c>
      <c r="AR2982" s="175">
        <v>1</v>
      </c>
      <c r="AS2982" s="175">
        <v>26</v>
      </c>
      <c r="AT2982" s="175">
        <v>4</v>
      </c>
    </row>
    <row r="2983" spans="1:46">
      <c r="A2983">
        <v>47729</v>
      </c>
      <c r="B2983" t="s">
        <v>17000</v>
      </c>
      <c r="C2983" t="s">
        <v>17001</v>
      </c>
      <c r="E2983" t="s">
        <v>17002</v>
      </c>
      <c r="F2983" t="s">
        <v>9813</v>
      </c>
      <c r="G2983" t="s">
        <v>1681</v>
      </c>
      <c r="H2983" t="s">
        <v>449</v>
      </c>
      <c r="J2983" t="s">
        <v>4032</v>
      </c>
      <c r="K2983" t="s">
        <v>606</v>
      </c>
      <c r="M2983" t="s">
        <v>1382</v>
      </c>
      <c r="N2983" t="s">
        <v>657</v>
      </c>
      <c r="O2983" t="s">
        <v>1780</v>
      </c>
      <c r="P2983" t="s">
        <v>739</v>
      </c>
      <c r="Q2983" t="s">
        <v>511</v>
      </c>
      <c r="R2983" t="s">
        <v>1555</v>
      </c>
      <c r="S2983" t="s">
        <v>1781</v>
      </c>
      <c r="T2983" t="s">
        <v>1557</v>
      </c>
      <c r="U2983">
        <v>194500</v>
      </c>
      <c r="V2983" t="s">
        <v>9813</v>
      </c>
      <c r="W2983" t="s">
        <v>1799</v>
      </c>
      <c r="X2983" t="s">
        <v>17003</v>
      </c>
      <c r="Y2983" t="s">
        <v>17004</v>
      </c>
      <c r="Z2983" t="s">
        <v>13213</v>
      </c>
      <c r="AA2983" t="s">
        <v>9985</v>
      </c>
      <c r="AB2983" t="s">
        <v>17005</v>
      </c>
      <c r="AC2983">
        <v>99085</v>
      </c>
      <c r="AD2983" t="s">
        <v>1800</v>
      </c>
      <c r="AE2983">
        <v>-37.750838420000001</v>
      </c>
      <c r="AF2983">
        <v>176.09710000000001</v>
      </c>
      <c r="AG2983" s="175">
        <v>80</v>
      </c>
      <c r="AH2983" s="175">
        <v>18</v>
      </c>
      <c r="AI2983" s="175">
        <v>2</v>
      </c>
      <c r="AJ2983" s="175">
        <v>11</v>
      </c>
      <c r="AK2983" s="175">
        <v>10</v>
      </c>
      <c r="AL2983" s="175">
        <v>22</v>
      </c>
      <c r="AM2983" s="175">
        <v>11</v>
      </c>
      <c r="AN2983" s="175">
        <v>1</v>
      </c>
      <c r="AO2983" s="175">
        <v>57</v>
      </c>
      <c r="AP2983" s="175">
        <v>27</v>
      </c>
      <c r="AQ2983" s="175">
        <v>14</v>
      </c>
      <c r="AR2983" s="175">
        <v>5</v>
      </c>
      <c r="AS2983" s="175">
        <v>25</v>
      </c>
      <c r="AT2983" s="175">
        <v>1</v>
      </c>
    </row>
    <row r="2984" spans="1:46">
      <c r="A2984">
        <v>47730</v>
      </c>
      <c r="B2984" t="s">
        <v>17006</v>
      </c>
      <c r="C2984" t="s">
        <v>17007</v>
      </c>
      <c r="D2984" t="s">
        <v>17008</v>
      </c>
      <c r="E2984" t="s">
        <v>17009</v>
      </c>
      <c r="F2984" t="s">
        <v>2754</v>
      </c>
      <c r="G2984" t="s">
        <v>2752</v>
      </c>
      <c r="H2984" t="s">
        <v>449</v>
      </c>
      <c r="J2984" t="s">
        <v>4032</v>
      </c>
      <c r="K2984" t="s">
        <v>606</v>
      </c>
      <c r="M2984" t="s">
        <v>2366</v>
      </c>
      <c r="N2984" t="s">
        <v>657</v>
      </c>
      <c r="O2984" t="s">
        <v>2753</v>
      </c>
      <c r="P2984" t="s">
        <v>1347</v>
      </c>
      <c r="Q2984" t="s">
        <v>516</v>
      </c>
      <c r="R2984" t="s">
        <v>2368</v>
      </c>
      <c r="S2984" t="s">
        <v>2148</v>
      </c>
      <c r="T2984" t="s">
        <v>1568</v>
      </c>
      <c r="U2984">
        <v>237500</v>
      </c>
      <c r="V2984" t="s">
        <v>14427</v>
      </c>
      <c r="W2984" t="s">
        <v>2755</v>
      </c>
      <c r="X2984" t="s">
        <v>12085</v>
      </c>
      <c r="Y2984" t="s">
        <v>4166</v>
      </c>
      <c r="Z2984" t="s">
        <v>4167</v>
      </c>
      <c r="AA2984" t="s">
        <v>4168</v>
      </c>
      <c r="AE2984">
        <v>-40.892563119999998</v>
      </c>
      <c r="AF2984">
        <v>175.0063107</v>
      </c>
      <c r="AG2984" s="175">
        <v>110</v>
      </c>
      <c r="AH2984" s="175">
        <v>35</v>
      </c>
      <c r="AI2984" s="175">
        <v>8</v>
      </c>
      <c r="AJ2984" s="175">
        <v>38</v>
      </c>
      <c r="AK2984" s="175">
        <v>26</v>
      </c>
      <c r="AL2984" s="175">
        <v>37</v>
      </c>
      <c r="AM2984" s="175">
        <v>24</v>
      </c>
      <c r="AN2984" s="175">
        <v>1</v>
      </c>
      <c r="AO2984" s="175">
        <v>134</v>
      </c>
      <c r="AP2984" s="175">
        <v>121</v>
      </c>
      <c r="AQ2984" s="175">
        <v>18</v>
      </c>
      <c r="AR2984" s="175">
        <v>8</v>
      </c>
      <c r="AS2984" s="175">
        <v>14</v>
      </c>
      <c r="AT2984" s="175">
        <v>7</v>
      </c>
    </row>
    <row r="2985" spans="1:46">
      <c r="A2985">
        <v>47731</v>
      </c>
      <c r="B2985" t="s">
        <v>17010</v>
      </c>
      <c r="C2985" t="s">
        <v>17011</v>
      </c>
      <c r="D2985" t="s">
        <v>17012</v>
      </c>
      <c r="E2985" t="s">
        <v>17013</v>
      </c>
      <c r="G2985" t="s">
        <v>2295</v>
      </c>
      <c r="H2985" t="s">
        <v>449</v>
      </c>
      <c r="J2985" t="s">
        <v>4032</v>
      </c>
      <c r="K2985" t="s">
        <v>606</v>
      </c>
      <c r="M2985" t="s">
        <v>1382</v>
      </c>
      <c r="N2985" t="s">
        <v>657</v>
      </c>
      <c r="O2985" t="s">
        <v>2277</v>
      </c>
      <c r="P2985" t="s">
        <v>1347</v>
      </c>
      <c r="Q2985" t="s">
        <v>513</v>
      </c>
      <c r="R2985" t="s">
        <v>2164</v>
      </c>
      <c r="S2985" t="s">
        <v>2278</v>
      </c>
      <c r="T2985" t="s">
        <v>2165</v>
      </c>
      <c r="U2985">
        <v>211800</v>
      </c>
      <c r="V2985" t="s">
        <v>17014</v>
      </c>
      <c r="W2985" t="s">
        <v>2279</v>
      </c>
      <c r="X2985" t="s">
        <v>17015</v>
      </c>
      <c r="Y2985" t="s">
        <v>17016</v>
      </c>
      <c r="Z2985" t="s">
        <v>2337</v>
      </c>
      <c r="AA2985" t="s">
        <v>2283</v>
      </c>
      <c r="AB2985" t="s">
        <v>17017</v>
      </c>
      <c r="AC2985">
        <v>99022</v>
      </c>
      <c r="AD2985" t="s">
        <v>2297</v>
      </c>
      <c r="AE2985">
        <v>-39.671756600000002</v>
      </c>
      <c r="AF2985">
        <v>176.87983636999999</v>
      </c>
      <c r="AG2985" s="175">
        <v>60</v>
      </c>
      <c r="AH2985" s="175">
        <v>10</v>
      </c>
      <c r="AI2985" s="175">
        <v>3</v>
      </c>
      <c r="AJ2985" s="175">
        <v>8</v>
      </c>
      <c r="AK2985" s="175">
        <v>11</v>
      </c>
      <c r="AL2985" s="175">
        <v>17</v>
      </c>
      <c r="AM2985" s="175">
        <v>12</v>
      </c>
      <c r="AN2985" s="175">
        <v>1</v>
      </c>
      <c r="AO2985" s="175">
        <v>52</v>
      </c>
      <c r="AP2985" s="175">
        <v>41</v>
      </c>
      <c r="AQ2985" s="175">
        <v>21</v>
      </c>
      <c r="AR2985" s="175">
        <v>0</v>
      </c>
      <c r="AS2985" s="175">
        <v>2</v>
      </c>
      <c r="AT2985" s="175">
        <v>0</v>
      </c>
    </row>
    <row r="2986" spans="1:46">
      <c r="A2986">
        <v>47732</v>
      </c>
      <c r="B2986" t="s">
        <v>17018</v>
      </c>
      <c r="C2986" t="s">
        <v>13356</v>
      </c>
      <c r="E2986" t="s">
        <v>5215</v>
      </c>
      <c r="F2986" t="s">
        <v>1030</v>
      </c>
      <c r="G2986" t="s">
        <v>737</v>
      </c>
      <c r="H2986" t="s">
        <v>449</v>
      </c>
      <c r="I2986" t="s">
        <v>5017</v>
      </c>
      <c r="J2986" t="s">
        <v>605</v>
      </c>
      <c r="K2986" t="s">
        <v>606</v>
      </c>
      <c r="M2986" t="s">
        <v>607</v>
      </c>
      <c r="N2986" t="s">
        <v>812</v>
      </c>
      <c r="O2986" t="s">
        <v>933</v>
      </c>
      <c r="P2986" t="s">
        <v>739</v>
      </c>
      <c r="Q2986" t="s">
        <v>467</v>
      </c>
      <c r="R2986" t="s">
        <v>814</v>
      </c>
      <c r="S2986" t="s">
        <v>934</v>
      </c>
      <c r="T2986" t="s">
        <v>794</v>
      </c>
      <c r="U2986">
        <v>151200</v>
      </c>
      <c r="V2986" t="s">
        <v>4643</v>
      </c>
      <c r="W2986" t="s">
        <v>817</v>
      </c>
      <c r="X2986" t="s">
        <v>13354</v>
      </c>
      <c r="Y2986" t="s">
        <v>13355</v>
      </c>
      <c r="Z2986" t="s">
        <v>4272</v>
      </c>
      <c r="AA2986" t="s">
        <v>4652</v>
      </c>
      <c r="AB2986" t="s">
        <v>13356</v>
      </c>
      <c r="AE2986">
        <v>-36.965569299999999</v>
      </c>
      <c r="AF2986">
        <v>174.81119179999999</v>
      </c>
      <c r="AG2986" s="175">
        <v>40</v>
      </c>
      <c r="AH2986" s="175">
        <v>10</v>
      </c>
      <c r="AI2986" s="175">
        <v>1</v>
      </c>
      <c r="AJ2986" s="175">
        <v>8</v>
      </c>
      <c r="AK2986" s="175">
        <v>12</v>
      </c>
      <c r="AL2986" s="175">
        <v>6</v>
      </c>
      <c r="AM2986" s="175">
        <v>10</v>
      </c>
      <c r="AN2986" s="175">
        <v>1</v>
      </c>
      <c r="AO2986" s="175">
        <v>38</v>
      </c>
      <c r="AP2986" s="175">
        <v>0</v>
      </c>
      <c r="AQ2986" s="175">
        <v>3</v>
      </c>
      <c r="AR2986" s="175">
        <v>36</v>
      </c>
      <c r="AS2986" s="175">
        <v>2</v>
      </c>
      <c r="AT2986" s="175">
        <v>0</v>
      </c>
    </row>
    <row r="2987" spans="1:46">
      <c r="A2987">
        <v>47733</v>
      </c>
      <c r="B2987" t="s">
        <v>17019</v>
      </c>
      <c r="C2987" t="s">
        <v>17020</v>
      </c>
      <c r="D2987" t="s">
        <v>17021</v>
      </c>
      <c r="E2987" t="s">
        <v>17022</v>
      </c>
      <c r="G2987" t="s">
        <v>2068</v>
      </c>
      <c r="H2987" t="s">
        <v>450</v>
      </c>
      <c r="J2987" t="s">
        <v>4032</v>
      </c>
      <c r="K2987" t="s">
        <v>606</v>
      </c>
      <c r="M2987" t="s">
        <v>1382</v>
      </c>
      <c r="N2987" t="s">
        <v>657</v>
      </c>
      <c r="O2987" t="s">
        <v>2069</v>
      </c>
      <c r="P2987" t="s">
        <v>1347</v>
      </c>
      <c r="Q2987" t="s">
        <v>553</v>
      </c>
      <c r="R2987" t="s">
        <v>1841</v>
      </c>
      <c r="S2987" t="s">
        <v>1719</v>
      </c>
      <c r="T2987" t="s">
        <v>1568</v>
      </c>
      <c r="U2987">
        <v>228400</v>
      </c>
      <c r="V2987" t="s">
        <v>12614</v>
      </c>
      <c r="W2987" t="s">
        <v>2071</v>
      </c>
      <c r="X2987" t="s">
        <v>17023</v>
      </c>
      <c r="Y2987" t="s">
        <v>8787</v>
      </c>
      <c r="Z2987" t="s">
        <v>2295</v>
      </c>
      <c r="AA2987" t="s">
        <v>8788</v>
      </c>
      <c r="AB2987" t="s">
        <v>17024</v>
      </c>
      <c r="AE2987">
        <v>-40.229630460000003</v>
      </c>
      <c r="AF2987">
        <v>175.56974367000001</v>
      </c>
      <c r="AG2987" s="175">
        <v>50</v>
      </c>
      <c r="AH2987" s="175">
        <v>50</v>
      </c>
      <c r="AI2987" s="175">
        <v>0</v>
      </c>
      <c r="AJ2987" s="175">
        <v>9</v>
      </c>
      <c r="AK2987" s="175">
        <v>11</v>
      </c>
      <c r="AL2987" s="175">
        <v>7</v>
      </c>
      <c r="AM2987" s="175">
        <v>7</v>
      </c>
      <c r="AN2987" s="175">
        <v>1</v>
      </c>
      <c r="AO2987" s="175">
        <v>35</v>
      </c>
      <c r="AP2987" s="175">
        <v>31</v>
      </c>
      <c r="AQ2987" s="175">
        <v>19</v>
      </c>
      <c r="AR2987" s="175">
        <v>2</v>
      </c>
      <c r="AS2987" s="175">
        <v>2</v>
      </c>
      <c r="AT2987" s="175">
        <v>0</v>
      </c>
    </row>
    <row r="2988" spans="1:46">
      <c r="A2988">
        <v>47734</v>
      </c>
      <c r="B2988" t="s">
        <v>17025</v>
      </c>
      <c r="E2988" t="s">
        <v>17026</v>
      </c>
      <c r="G2988" t="s">
        <v>17027</v>
      </c>
      <c r="H2988" t="s">
        <v>452</v>
      </c>
      <c r="J2988" t="s">
        <v>605</v>
      </c>
      <c r="K2988" t="s">
        <v>606</v>
      </c>
      <c r="M2988" t="s">
        <v>1382</v>
      </c>
      <c r="N2988" t="s">
        <v>657</v>
      </c>
      <c r="O2988" t="s">
        <v>1629</v>
      </c>
      <c r="P2988" t="s">
        <v>610</v>
      </c>
      <c r="Q2988" t="s">
        <v>510</v>
      </c>
      <c r="R2988" t="s">
        <v>1555</v>
      </c>
      <c r="S2988" t="s">
        <v>1404</v>
      </c>
      <c r="T2988" t="s">
        <v>1557</v>
      </c>
      <c r="U2988">
        <v>188002</v>
      </c>
      <c r="V2988" t="s">
        <v>17028</v>
      </c>
      <c r="W2988" t="s">
        <v>1631</v>
      </c>
      <c r="X2988" t="s">
        <v>1632</v>
      </c>
      <c r="Y2988" t="s">
        <v>1525</v>
      </c>
      <c r="AA2988" t="s">
        <v>1526</v>
      </c>
      <c r="AC2988">
        <v>99020</v>
      </c>
      <c r="AD2988" t="s">
        <v>1633</v>
      </c>
      <c r="AE2988">
        <v>-38.661237100000001</v>
      </c>
      <c r="AF2988">
        <v>175.92088593</v>
      </c>
      <c r="AG2988" s="175">
        <v>20</v>
      </c>
      <c r="AH2988" s="175">
        <v>0</v>
      </c>
      <c r="AI2988" s="175">
        <v>0</v>
      </c>
      <c r="AJ2988" s="175">
        <v>0</v>
      </c>
      <c r="AK2988" s="175">
        <v>2</v>
      </c>
      <c r="AL2988" s="175">
        <v>4</v>
      </c>
      <c r="AM2988" s="175">
        <v>6</v>
      </c>
      <c r="AN2988" s="175">
        <v>2</v>
      </c>
      <c r="AO2988" s="175">
        <v>14</v>
      </c>
      <c r="AP2988" s="175">
        <v>10</v>
      </c>
      <c r="AQ2988" s="175">
        <v>2</v>
      </c>
      <c r="AR2988" s="175">
        <v>0</v>
      </c>
      <c r="AS2988" s="175">
        <v>2</v>
      </c>
      <c r="AT2988" s="175">
        <v>3</v>
      </c>
    </row>
    <row r="2989" spans="1:46">
      <c r="A2989">
        <v>47735</v>
      </c>
      <c r="B2989" t="s">
        <v>17029</v>
      </c>
      <c r="C2989" t="s">
        <v>17030</v>
      </c>
      <c r="E2989" t="s">
        <v>14821</v>
      </c>
      <c r="G2989" t="s">
        <v>604</v>
      </c>
      <c r="H2989" t="s">
        <v>450</v>
      </c>
      <c r="J2989" t="s">
        <v>4032</v>
      </c>
      <c r="K2989" t="s">
        <v>606</v>
      </c>
      <c r="M2989" t="s">
        <v>607</v>
      </c>
      <c r="N2989" t="s">
        <v>608</v>
      </c>
      <c r="O2989" t="s">
        <v>609</v>
      </c>
      <c r="P2989" t="s">
        <v>610</v>
      </c>
      <c r="Q2989" t="s">
        <v>509</v>
      </c>
      <c r="R2989" t="s">
        <v>611</v>
      </c>
      <c r="S2989" t="s">
        <v>612</v>
      </c>
      <c r="T2989" t="s">
        <v>613</v>
      </c>
      <c r="U2989">
        <v>100700</v>
      </c>
      <c r="V2989" t="s">
        <v>632</v>
      </c>
      <c r="W2989" t="s">
        <v>615</v>
      </c>
      <c r="X2989" t="s">
        <v>14822</v>
      </c>
      <c r="Y2989" t="s">
        <v>14821</v>
      </c>
      <c r="AA2989" t="s">
        <v>5449</v>
      </c>
      <c r="AE2989">
        <v>-35.112010480000002</v>
      </c>
      <c r="AF2989">
        <v>173.26136639999999</v>
      </c>
      <c r="AG2989" s="175">
        <v>50</v>
      </c>
      <c r="AH2989" s="175">
        <v>50</v>
      </c>
      <c r="AI2989" s="175">
        <v>4</v>
      </c>
      <c r="AJ2989" s="175">
        <v>6</v>
      </c>
      <c r="AK2989" s="175">
        <v>11</v>
      </c>
      <c r="AL2989" s="175">
        <v>3</v>
      </c>
      <c r="AM2989" s="175">
        <v>10</v>
      </c>
      <c r="AN2989" s="175">
        <v>4</v>
      </c>
      <c r="AO2989" s="175">
        <v>38</v>
      </c>
      <c r="AP2989" s="175">
        <v>4</v>
      </c>
      <c r="AQ2989" s="175">
        <v>38</v>
      </c>
      <c r="AR2989" s="175">
        <v>1</v>
      </c>
      <c r="AS2989" s="175">
        <v>0</v>
      </c>
      <c r="AT2989" s="175">
        <v>0</v>
      </c>
    </row>
    <row r="2990" spans="1:46">
      <c r="A2990">
        <v>47737</v>
      </c>
      <c r="B2990" t="s">
        <v>17031</v>
      </c>
      <c r="C2990" t="s">
        <v>17032</v>
      </c>
      <c r="D2990" t="s">
        <v>17033</v>
      </c>
      <c r="E2990" t="s">
        <v>17034</v>
      </c>
      <c r="F2990" t="s">
        <v>3267</v>
      </c>
      <c r="G2990" t="s">
        <v>3015</v>
      </c>
      <c r="H2990" t="s">
        <v>449</v>
      </c>
      <c r="I2990" t="s">
        <v>4134</v>
      </c>
      <c r="J2990" t="s">
        <v>4032</v>
      </c>
      <c r="K2990" t="s">
        <v>606</v>
      </c>
      <c r="M2990" t="s">
        <v>2366</v>
      </c>
      <c r="N2990" t="s">
        <v>657</v>
      </c>
      <c r="O2990" t="s">
        <v>3016</v>
      </c>
      <c r="P2990" t="s">
        <v>739</v>
      </c>
      <c r="Q2990" t="s">
        <v>521</v>
      </c>
      <c r="R2990" t="s">
        <v>3017</v>
      </c>
      <c r="S2990" t="s">
        <v>3052</v>
      </c>
      <c r="T2990" t="s">
        <v>2526</v>
      </c>
      <c r="U2990">
        <v>326701</v>
      </c>
      <c r="V2990" t="s">
        <v>3160</v>
      </c>
      <c r="W2990" t="s">
        <v>3269</v>
      </c>
      <c r="X2990" t="s">
        <v>11480</v>
      </c>
      <c r="Y2990" t="s">
        <v>11481</v>
      </c>
      <c r="Z2990" t="s">
        <v>3092</v>
      </c>
      <c r="AA2990" t="s">
        <v>11482</v>
      </c>
      <c r="AB2990" t="s">
        <v>11483</v>
      </c>
      <c r="AE2990">
        <v>-43.563282170000001</v>
      </c>
      <c r="AF2990">
        <v>172.58093439999999</v>
      </c>
      <c r="AG2990" s="175">
        <v>120</v>
      </c>
      <c r="AH2990" s="175">
        <v>30</v>
      </c>
      <c r="AI2990" s="175">
        <v>4</v>
      </c>
      <c r="AJ2990" s="175">
        <v>21</v>
      </c>
      <c r="AK2990" s="175">
        <v>32</v>
      </c>
      <c r="AL2990" s="175">
        <v>44</v>
      </c>
      <c r="AM2990" s="175">
        <v>41</v>
      </c>
      <c r="AN2990" s="175">
        <v>1</v>
      </c>
      <c r="AO2990" s="175">
        <v>143</v>
      </c>
      <c r="AP2990" s="175">
        <v>94</v>
      </c>
      <c r="AQ2990" s="175">
        <v>14</v>
      </c>
      <c r="AR2990" s="175">
        <v>6</v>
      </c>
      <c r="AS2990" s="175">
        <v>49</v>
      </c>
      <c r="AT2990" s="175">
        <v>7</v>
      </c>
    </row>
    <row r="2991" spans="1:46">
      <c r="A2991">
        <v>47739</v>
      </c>
      <c r="B2991" t="s">
        <v>17035</v>
      </c>
      <c r="C2991" t="s">
        <v>17036</v>
      </c>
      <c r="E2991" t="s">
        <v>17037</v>
      </c>
      <c r="F2991" t="s">
        <v>2130</v>
      </c>
      <c r="G2991" t="s">
        <v>2055</v>
      </c>
      <c r="H2991" t="s">
        <v>449</v>
      </c>
      <c r="J2991" t="s">
        <v>4032</v>
      </c>
      <c r="K2991" t="s">
        <v>606</v>
      </c>
      <c r="M2991" t="s">
        <v>1382</v>
      </c>
      <c r="N2991" t="s">
        <v>657</v>
      </c>
      <c r="O2991" t="s">
        <v>2037</v>
      </c>
      <c r="P2991" t="s">
        <v>670</v>
      </c>
      <c r="Q2991" t="s">
        <v>553</v>
      </c>
      <c r="R2991" t="s">
        <v>1841</v>
      </c>
      <c r="S2991" t="s">
        <v>2055</v>
      </c>
      <c r="T2991" t="s">
        <v>1568</v>
      </c>
      <c r="U2991">
        <v>230200</v>
      </c>
      <c r="V2991" t="s">
        <v>10453</v>
      </c>
      <c r="W2991" t="s">
        <v>2038</v>
      </c>
      <c r="X2991" t="s">
        <v>17038</v>
      </c>
      <c r="Y2991" t="s">
        <v>4176</v>
      </c>
      <c r="AA2991" t="s">
        <v>4052</v>
      </c>
      <c r="AB2991" t="s">
        <v>17039</v>
      </c>
      <c r="AE2991">
        <v>-40.337514409999997</v>
      </c>
      <c r="AF2991">
        <v>175.63082272</v>
      </c>
      <c r="AG2991" s="175">
        <v>75</v>
      </c>
      <c r="AH2991" s="175">
        <v>30</v>
      </c>
      <c r="AI2991" s="175">
        <v>2</v>
      </c>
      <c r="AJ2991" s="175">
        <v>16</v>
      </c>
      <c r="AK2991" s="175">
        <v>21</v>
      </c>
      <c r="AL2991" s="175">
        <v>22</v>
      </c>
      <c r="AM2991" s="175">
        <v>19</v>
      </c>
      <c r="AN2991" s="175">
        <v>0</v>
      </c>
      <c r="AO2991" s="175">
        <v>80</v>
      </c>
      <c r="AP2991" s="175">
        <v>63</v>
      </c>
      <c r="AQ2991" s="175">
        <v>22</v>
      </c>
      <c r="AR2991" s="175">
        <v>2</v>
      </c>
      <c r="AS2991" s="175">
        <v>6</v>
      </c>
      <c r="AT2991" s="175">
        <v>4</v>
      </c>
    </row>
    <row r="2992" spans="1:46">
      <c r="A2992">
        <v>47741</v>
      </c>
      <c r="B2992" t="s">
        <v>17040</v>
      </c>
      <c r="C2992" t="s">
        <v>17041</v>
      </c>
      <c r="D2992" t="s">
        <v>17042</v>
      </c>
      <c r="E2992" t="s">
        <v>6828</v>
      </c>
      <c r="F2992" t="s">
        <v>6269</v>
      </c>
      <c r="G2992" t="s">
        <v>737</v>
      </c>
      <c r="H2992" t="s">
        <v>450</v>
      </c>
      <c r="J2992" t="s">
        <v>4032</v>
      </c>
      <c r="K2992" t="s">
        <v>606</v>
      </c>
      <c r="M2992" t="s">
        <v>607</v>
      </c>
      <c r="N2992" t="s">
        <v>657</v>
      </c>
      <c r="O2992" t="s">
        <v>889</v>
      </c>
      <c r="P2992" t="s">
        <v>739</v>
      </c>
      <c r="Q2992" t="s">
        <v>467</v>
      </c>
      <c r="R2992" t="s">
        <v>793</v>
      </c>
      <c r="S2992" t="s">
        <v>965</v>
      </c>
      <c r="T2992" t="s">
        <v>794</v>
      </c>
      <c r="U2992">
        <v>144900</v>
      </c>
      <c r="V2992" t="s">
        <v>17043</v>
      </c>
      <c r="W2992" t="s">
        <v>909</v>
      </c>
      <c r="X2992" t="s">
        <v>6827</v>
      </c>
      <c r="Y2992" t="s">
        <v>6828</v>
      </c>
      <c r="Z2992" t="s">
        <v>6269</v>
      </c>
      <c r="AA2992" t="s">
        <v>4423</v>
      </c>
      <c r="AB2992" t="s">
        <v>6829</v>
      </c>
      <c r="AE2992">
        <v>-36.886397100000003</v>
      </c>
      <c r="AF2992">
        <v>174.83488363000001</v>
      </c>
      <c r="AG2992" s="175">
        <v>100</v>
      </c>
      <c r="AH2992" s="175">
        <v>100</v>
      </c>
      <c r="AI2992" s="175">
        <v>11</v>
      </c>
      <c r="AJ2992" s="175">
        <v>15</v>
      </c>
      <c r="AK2992" s="175">
        <v>11</v>
      </c>
      <c r="AL2992" s="175">
        <v>15</v>
      </c>
      <c r="AM2992" s="175">
        <v>11</v>
      </c>
      <c r="AN2992" s="175">
        <v>0</v>
      </c>
      <c r="AO2992" s="175">
        <v>63</v>
      </c>
      <c r="AP2992" s="175">
        <v>4</v>
      </c>
      <c r="AQ2992" s="175">
        <v>1</v>
      </c>
      <c r="AR2992" s="175">
        <v>0</v>
      </c>
      <c r="AS2992" s="175">
        <v>62</v>
      </c>
      <c r="AT2992" s="175">
        <v>4</v>
      </c>
    </row>
    <row r="2993" spans="1:46">
      <c r="A2993">
        <v>47742</v>
      </c>
      <c r="B2993" t="s">
        <v>17044</v>
      </c>
      <c r="C2993" t="s">
        <v>17045</v>
      </c>
      <c r="E2993" t="s">
        <v>17046</v>
      </c>
      <c r="F2993" t="s">
        <v>13213</v>
      </c>
      <c r="G2993" t="s">
        <v>1681</v>
      </c>
      <c r="H2993" t="s">
        <v>449</v>
      </c>
      <c r="J2993" t="s">
        <v>4032</v>
      </c>
      <c r="K2993" t="s">
        <v>606</v>
      </c>
      <c r="M2993" t="s">
        <v>1382</v>
      </c>
      <c r="N2993" t="s">
        <v>657</v>
      </c>
      <c r="O2993" t="s">
        <v>1780</v>
      </c>
      <c r="P2993" t="s">
        <v>739</v>
      </c>
      <c r="Q2993" t="s">
        <v>511</v>
      </c>
      <c r="R2993" t="s">
        <v>1555</v>
      </c>
      <c r="S2993" t="s">
        <v>1781</v>
      </c>
      <c r="T2993" t="s">
        <v>1557</v>
      </c>
      <c r="U2993">
        <v>195102</v>
      </c>
      <c r="V2993" t="s">
        <v>15004</v>
      </c>
      <c r="W2993" t="s">
        <v>1799</v>
      </c>
      <c r="X2993" t="s">
        <v>12253</v>
      </c>
      <c r="Y2993" t="s">
        <v>12254</v>
      </c>
      <c r="Z2993" t="s">
        <v>12255</v>
      </c>
      <c r="AA2993" t="s">
        <v>12256</v>
      </c>
      <c r="AB2993" t="s">
        <v>12250</v>
      </c>
      <c r="AC2993">
        <v>99085</v>
      </c>
      <c r="AD2993" t="s">
        <v>1800</v>
      </c>
      <c r="AE2993">
        <v>-37.754521199999999</v>
      </c>
      <c r="AF2993">
        <v>176.11127870000001</v>
      </c>
      <c r="AG2993" s="175">
        <v>90</v>
      </c>
      <c r="AH2993" s="175">
        <v>30</v>
      </c>
      <c r="AI2993" s="175">
        <v>6</v>
      </c>
      <c r="AJ2993" s="175">
        <v>24</v>
      </c>
      <c r="AK2993" s="175">
        <v>22</v>
      </c>
      <c r="AL2993" s="175">
        <v>27</v>
      </c>
      <c r="AM2993" s="175">
        <v>29</v>
      </c>
      <c r="AN2993" s="175">
        <v>0</v>
      </c>
      <c r="AO2993" s="175">
        <v>108</v>
      </c>
      <c r="AP2993" s="175">
        <v>98</v>
      </c>
      <c r="AQ2993" s="175">
        <v>13</v>
      </c>
      <c r="AR2993" s="175">
        <v>4</v>
      </c>
      <c r="AS2993" s="175">
        <v>9</v>
      </c>
      <c r="AT2993" s="175">
        <v>2</v>
      </c>
    </row>
    <row r="2994" spans="1:46">
      <c r="A2994">
        <v>47745</v>
      </c>
      <c r="B2994" t="s">
        <v>17047</v>
      </c>
      <c r="C2994" t="s">
        <v>17048</v>
      </c>
      <c r="D2994" t="s">
        <v>17049</v>
      </c>
      <c r="E2994" t="s">
        <v>17050</v>
      </c>
      <c r="F2994" t="s">
        <v>1049</v>
      </c>
      <c r="G2994" t="s">
        <v>737</v>
      </c>
      <c r="H2994" t="s">
        <v>449</v>
      </c>
      <c r="I2994" t="s">
        <v>4134</v>
      </c>
      <c r="J2994" t="s">
        <v>4032</v>
      </c>
      <c r="K2994" t="s">
        <v>606</v>
      </c>
      <c r="M2994" t="s">
        <v>607</v>
      </c>
      <c r="N2994" t="s">
        <v>657</v>
      </c>
      <c r="O2994" t="s">
        <v>997</v>
      </c>
      <c r="P2994" t="s">
        <v>739</v>
      </c>
      <c r="Q2994" t="s">
        <v>467</v>
      </c>
      <c r="R2994" t="s">
        <v>793</v>
      </c>
      <c r="S2994" t="s">
        <v>998</v>
      </c>
      <c r="T2994" t="s">
        <v>794</v>
      </c>
      <c r="U2994">
        <v>140901</v>
      </c>
      <c r="V2994" t="s">
        <v>1050</v>
      </c>
      <c r="W2994" t="s">
        <v>945</v>
      </c>
      <c r="X2994" t="s">
        <v>17051</v>
      </c>
      <c r="Y2994" t="s">
        <v>17052</v>
      </c>
      <c r="Z2994" t="s">
        <v>888</v>
      </c>
      <c r="AA2994" t="s">
        <v>4834</v>
      </c>
      <c r="AE2994">
        <v>-36.930861210000003</v>
      </c>
      <c r="AF2994">
        <v>174.72549979999999</v>
      </c>
      <c r="AG2994" s="175">
        <v>40</v>
      </c>
      <c r="AH2994" s="175">
        <v>10</v>
      </c>
      <c r="AI2994" s="175">
        <v>1</v>
      </c>
      <c r="AJ2994" s="175">
        <v>9</v>
      </c>
      <c r="AK2994" s="175">
        <v>13</v>
      </c>
      <c r="AL2994" s="175">
        <v>14</v>
      </c>
      <c r="AM2994" s="175">
        <v>12</v>
      </c>
      <c r="AN2994" s="175">
        <v>0</v>
      </c>
      <c r="AO2994" s="175">
        <v>49</v>
      </c>
      <c r="AP2994" s="175">
        <v>6</v>
      </c>
      <c r="AQ2994" s="175">
        <v>1</v>
      </c>
      <c r="AR2994" s="175">
        <v>1</v>
      </c>
      <c r="AS2994" s="175">
        <v>42</v>
      </c>
      <c r="AT2994" s="175">
        <v>6</v>
      </c>
    </row>
    <row r="2995" spans="1:46">
      <c r="A2995">
        <v>47748</v>
      </c>
      <c r="B2995" t="s">
        <v>17053</v>
      </c>
      <c r="C2995" t="s">
        <v>17054</v>
      </c>
      <c r="E2995" t="s">
        <v>17055</v>
      </c>
      <c r="G2995" t="s">
        <v>5375</v>
      </c>
      <c r="H2995" t="s">
        <v>449</v>
      </c>
      <c r="J2995" t="s">
        <v>4032</v>
      </c>
      <c r="K2995" t="s">
        <v>606</v>
      </c>
      <c r="M2995" t="s">
        <v>607</v>
      </c>
      <c r="N2995" t="s">
        <v>657</v>
      </c>
      <c r="O2995" t="s">
        <v>650</v>
      </c>
      <c r="P2995" t="s">
        <v>658</v>
      </c>
      <c r="Q2995" t="s">
        <v>509</v>
      </c>
      <c r="R2995" t="s">
        <v>611</v>
      </c>
      <c r="S2995" t="s">
        <v>612</v>
      </c>
      <c r="T2995" t="s">
        <v>613</v>
      </c>
      <c r="U2995">
        <v>109800</v>
      </c>
      <c r="V2995" t="s">
        <v>17056</v>
      </c>
      <c r="W2995" t="s">
        <v>5376</v>
      </c>
      <c r="X2995" t="s">
        <v>17057</v>
      </c>
      <c r="Y2995" t="s">
        <v>17058</v>
      </c>
      <c r="AA2995" t="s">
        <v>17059</v>
      </c>
      <c r="AB2995" t="s">
        <v>17054</v>
      </c>
      <c r="AC2995">
        <v>99118</v>
      </c>
      <c r="AD2995" t="s">
        <v>5381</v>
      </c>
      <c r="AE2995">
        <v>-36.080517909999998</v>
      </c>
      <c r="AF2995">
        <v>174.57114622</v>
      </c>
      <c r="AG2995" s="175">
        <v>50</v>
      </c>
      <c r="AH2995" s="175">
        <v>12</v>
      </c>
      <c r="AI2995" s="175">
        <v>4</v>
      </c>
      <c r="AJ2995" s="175">
        <v>9</v>
      </c>
      <c r="AK2995" s="175">
        <v>24</v>
      </c>
      <c r="AL2995" s="175">
        <v>19</v>
      </c>
      <c r="AM2995" s="175">
        <v>11</v>
      </c>
      <c r="AN2995" s="175">
        <v>0</v>
      </c>
      <c r="AO2995" s="175">
        <v>67</v>
      </c>
      <c r="AP2995" s="175">
        <v>63</v>
      </c>
      <c r="AQ2995" s="175">
        <v>15</v>
      </c>
      <c r="AR2995" s="175">
        <v>2</v>
      </c>
      <c r="AS2995" s="175">
        <v>2</v>
      </c>
      <c r="AT2995" s="175">
        <v>1</v>
      </c>
    </row>
    <row r="2996" spans="1:46">
      <c r="A2996">
        <v>47750</v>
      </c>
      <c r="B2996" t="s">
        <v>17060</v>
      </c>
      <c r="C2996" t="s">
        <v>17061</v>
      </c>
      <c r="E2996" t="s">
        <v>17062</v>
      </c>
      <c r="G2996" t="s">
        <v>9480</v>
      </c>
      <c r="H2996" t="s">
        <v>347</v>
      </c>
      <c r="J2996" t="s">
        <v>605</v>
      </c>
      <c r="K2996" t="s">
        <v>606</v>
      </c>
      <c r="L2996" t="s">
        <v>4273</v>
      </c>
      <c r="M2996" t="s">
        <v>1382</v>
      </c>
      <c r="N2996" t="s">
        <v>657</v>
      </c>
      <c r="O2996" t="s">
        <v>1435</v>
      </c>
      <c r="P2996" t="s">
        <v>658</v>
      </c>
      <c r="Q2996" t="s">
        <v>510</v>
      </c>
      <c r="R2996" t="s">
        <v>1384</v>
      </c>
      <c r="S2996" t="s">
        <v>1384</v>
      </c>
      <c r="T2996" t="s">
        <v>1320</v>
      </c>
      <c r="U2996">
        <v>173300</v>
      </c>
      <c r="V2996" t="s">
        <v>9491</v>
      </c>
      <c r="W2996" t="s">
        <v>8422</v>
      </c>
      <c r="X2996" t="s">
        <v>7695</v>
      </c>
      <c r="Y2996" t="s">
        <v>4276</v>
      </c>
      <c r="Z2996" t="s">
        <v>4277</v>
      </c>
      <c r="AA2996" t="s">
        <v>4278</v>
      </c>
      <c r="AB2996" t="s">
        <v>7696</v>
      </c>
      <c r="AE2996">
        <v>-37.784694999999999</v>
      </c>
      <c r="AF2996">
        <v>175.42019250000001</v>
      </c>
      <c r="AG2996" s="175">
        <v>15</v>
      </c>
      <c r="AH2996" s="175">
        <v>4</v>
      </c>
      <c r="AI2996" s="175">
        <v>0</v>
      </c>
      <c r="AJ2996" s="175">
        <v>2</v>
      </c>
      <c r="AK2996" s="175">
        <v>1</v>
      </c>
      <c r="AL2996" s="175">
        <v>1</v>
      </c>
      <c r="AM2996" s="175">
        <v>4</v>
      </c>
      <c r="AN2996" s="175">
        <v>0</v>
      </c>
      <c r="AO2996" s="175">
        <v>8</v>
      </c>
      <c r="AP2996" s="175">
        <v>0</v>
      </c>
      <c r="AQ2996" s="175">
        <v>8</v>
      </c>
      <c r="AR2996" s="175">
        <v>0</v>
      </c>
      <c r="AS2996" s="175">
        <v>0</v>
      </c>
      <c r="AT2996" s="175">
        <v>0</v>
      </c>
    </row>
    <row r="2997" spans="1:46">
      <c r="A2997">
        <v>47751</v>
      </c>
      <c r="B2997" t="s">
        <v>17063</v>
      </c>
      <c r="C2997" t="s">
        <v>17064</v>
      </c>
      <c r="E2997" t="s">
        <v>17065</v>
      </c>
      <c r="G2997" t="s">
        <v>1779</v>
      </c>
      <c r="H2997" t="s">
        <v>449</v>
      </c>
      <c r="J2997" t="s">
        <v>4032</v>
      </c>
      <c r="K2997" t="s">
        <v>606</v>
      </c>
      <c r="M2997" t="s">
        <v>1382</v>
      </c>
      <c r="N2997" t="s">
        <v>657</v>
      </c>
      <c r="O2997" t="s">
        <v>1780</v>
      </c>
      <c r="P2997" t="s">
        <v>739</v>
      </c>
      <c r="Q2997" t="s">
        <v>511</v>
      </c>
      <c r="R2997" t="s">
        <v>1555</v>
      </c>
      <c r="S2997" t="s">
        <v>1681</v>
      </c>
      <c r="T2997" t="s">
        <v>1557</v>
      </c>
      <c r="U2997">
        <v>192800</v>
      </c>
      <c r="V2997" t="s">
        <v>10101</v>
      </c>
      <c r="W2997" t="s">
        <v>1806</v>
      </c>
      <c r="X2997" t="s">
        <v>14289</v>
      </c>
      <c r="Y2997" t="s">
        <v>14290</v>
      </c>
      <c r="Z2997" t="s">
        <v>10100</v>
      </c>
      <c r="AA2997" t="s">
        <v>13375</v>
      </c>
      <c r="AE2997">
        <v>-37.647615029999997</v>
      </c>
      <c r="AF2997">
        <v>176.19072198999999</v>
      </c>
      <c r="AG2997" s="175">
        <v>60</v>
      </c>
      <c r="AH2997" s="175">
        <v>15</v>
      </c>
      <c r="AI2997" s="175">
        <v>3</v>
      </c>
      <c r="AJ2997" s="175">
        <v>14</v>
      </c>
      <c r="AK2997" s="175">
        <v>24</v>
      </c>
      <c r="AL2997" s="175">
        <v>17</v>
      </c>
      <c r="AM2997" s="175">
        <v>13</v>
      </c>
      <c r="AN2997" s="175">
        <v>1</v>
      </c>
      <c r="AO2997" s="175">
        <v>72</v>
      </c>
      <c r="AP2997" s="175">
        <v>69</v>
      </c>
      <c r="AQ2997" s="175">
        <v>9</v>
      </c>
      <c r="AR2997" s="175">
        <v>1</v>
      </c>
      <c r="AS2997" s="175">
        <v>3</v>
      </c>
      <c r="AT2997" s="175">
        <v>1</v>
      </c>
    </row>
    <row r="2998" spans="1:46">
      <c r="A2998">
        <v>47752</v>
      </c>
      <c r="B2998" t="s">
        <v>17066</v>
      </c>
      <c r="C2998" t="s">
        <v>4017</v>
      </c>
      <c r="E2998" t="s">
        <v>17067</v>
      </c>
      <c r="F2998" t="s">
        <v>8680</v>
      </c>
      <c r="G2998" t="s">
        <v>1381</v>
      </c>
      <c r="H2998" t="s">
        <v>449</v>
      </c>
      <c r="J2998" t="s">
        <v>605</v>
      </c>
      <c r="K2998" t="s">
        <v>606</v>
      </c>
      <c r="M2998" t="s">
        <v>1382</v>
      </c>
      <c r="N2998" t="s">
        <v>657</v>
      </c>
      <c r="O2998" t="s">
        <v>1383</v>
      </c>
      <c r="P2998" t="s">
        <v>739</v>
      </c>
      <c r="Q2998" t="s">
        <v>510</v>
      </c>
      <c r="R2998" t="s">
        <v>1384</v>
      </c>
      <c r="S2998" t="s">
        <v>1396</v>
      </c>
      <c r="T2998" t="s">
        <v>1320</v>
      </c>
      <c r="U2998">
        <v>176101</v>
      </c>
      <c r="V2998" t="s">
        <v>9039</v>
      </c>
      <c r="W2998" t="s">
        <v>1398</v>
      </c>
      <c r="X2998" t="s">
        <v>8441</v>
      </c>
      <c r="Y2998" t="s">
        <v>4014</v>
      </c>
      <c r="Z2998" t="s">
        <v>4015</v>
      </c>
      <c r="AA2998" t="s">
        <v>4016</v>
      </c>
      <c r="AB2998" t="s">
        <v>8442</v>
      </c>
      <c r="AE2998">
        <v>-37.721769100000003</v>
      </c>
      <c r="AF2998">
        <v>175.28017249999999</v>
      </c>
      <c r="AG2998" s="175">
        <v>100</v>
      </c>
      <c r="AH2998" s="175">
        <v>25</v>
      </c>
      <c r="AI2998" s="175">
        <v>1</v>
      </c>
      <c r="AJ2998" s="175">
        <v>16</v>
      </c>
      <c r="AK2998" s="175">
        <v>23</v>
      </c>
      <c r="AL2998" s="175">
        <v>25</v>
      </c>
      <c r="AM2998" s="175">
        <v>35</v>
      </c>
      <c r="AN2998" s="175">
        <v>1</v>
      </c>
      <c r="AO2998" s="175">
        <v>101</v>
      </c>
      <c r="AP2998" s="175">
        <v>34</v>
      </c>
      <c r="AQ2998" s="175">
        <v>21</v>
      </c>
      <c r="AR2998" s="175">
        <v>3</v>
      </c>
      <c r="AS2998" s="175">
        <v>49</v>
      </c>
      <c r="AT2998" s="175">
        <v>9</v>
      </c>
    </row>
    <row r="2999" spans="1:46">
      <c r="A2999">
        <v>47754</v>
      </c>
      <c r="B2999" t="s">
        <v>17068</v>
      </c>
      <c r="C2999" t="s">
        <v>17069</v>
      </c>
      <c r="E2999" t="s">
        <v>17070</v>
      </c>
      <c r="G2999" t="s">
        <v>3744</v>
      </c>
      <c r="H2999" t="s">
        <v>449</v>
      </c>
      <c r="I2999" t="s">
        <v>4134</v>
      </c>
      <c r="J2999" t="s">
        <v>4032</v>
      </c>
      <c r="K2999" t="s">
        <v>606</v>
      </c>
      <c r="M2999" t="s">
        <v>607</v>
      </c>
      <c r="N2999" t="s">
        <v>657</v>
      </c>
      <c r="O2999" t="s">
        <v>609</v>
      </c>
      <c r="P2999" t="s">
        <v>610</v>
      </c>
      <c r="Q2999" t="s">
        <v>509</v>
      </c>
      <c r="R2999" t="s">
        <v>611</v>
      </c>
      <c r="S2999" t="s">
        <v>612</v>
      </c>
      <c r="T2999" t="s">
        <v>613</v>
      </c>
      <c r="U2999">
        <v>103000</v>
      </c>
      <c r="V2999" t="s">
        <v>3745</v>
      </c>
      <c r="W2999" t="s">
        <v>644</v>
      </c>
      <c r="X2999" t="s">
        <v>17071</v>
      </c>
      <c r="Y2999" t="s">
        <v>17070</v>
      </c>
      <c r="AA2999" t="s">
        <v>5456</v>
      </c>
      <c r="AB2999" t="s">
        <v>17069</v>
      </c>
      <c r="AE2999">
        <v>-35.229769300000001</v>
      </c>
      <c r="AF2999">
        <v>173.949985</v>
      </c>
      <c r="AG2999" s="175">
        <v>44</v>
      </c>
      <c r="AH2999" s="175">
        <v>10</v>
      </c>
      <c r="AI2999" s="175">
        <v>1</v>
      </c>
      <c r="AJ2999" s="175">
        <v>8</v>
      </c>
      <c r="AK2999" s="175">
        <v>9</v>
      </c>
      <c r="AL2999" s="175">
        <v>12</v>
      </c>
      <c r="AM2999" s="175">
        <v>7</v>
      </c>
      <c r="AN2999" s="175">
        <v>1</v>
      </c>
      <c r="AO2999" s="175">
        <v>38</v>
      </c>
      <c r="AP2999" s="175">
        <v>29</v>
      </c>
      <c r="AQ2999" s="175">
        <v>13</v>
      </c>
      <c r="AR2999" s="175">
        <v>2</v>
      </c>
      <c r="AS2999" s="175">
        <v>4</v>
      </c>
      <c r="AT2999" s="175">
        <v>3</v>
      </c>
    </row>
    <row r="3000" spans="1:46">
      <c r="A3000">
        <v>47755</v>
      </c>
      <c r="B3000" t="s">
        <v>17072</v>
      </c>
      <c r="E3000" t="s">
        <v>17073</v>
      </c>
      <c r="G3000" t="s">
        <v>17074</v>
      </c>
      <c r="H3000" t="s">
        <v>347</v>
      </c>
      <c r="J3000" t="s">
        <v>605</v>
      </c>
      <c r="K3000" t="s">
        <v>606</v>
      </c>
      <c r="L3000" t="s">
        <v>4273</v>
      </c>
      <c r="M3000" t="s">
        <v>607</v>
      </c>
      <c r="N3000" t="s">
        <v>625</v>
      </c>
      <c r="O3000" t="s">
        <v>609</v>
      </c>
      <c r="P3000" t="s">
        <v>658</v>
      </c>
      <c r="Q3000" t="s">
        <v>509</v>
      </c>
      <c r="R3000" t="s">
        <v>611</v>
      </c>
      <c r="S3000" t="s">
        <v>612</v>
      </c>
      <c r="T3000" t="s">
        <v>613</v>
      </c>
      <c r="U3000">
        <v>103200</v>
      </c>
      <c r="V3000" t="s">
        <v>5641</v>
      </c>
      <c r="W3000" t="s">
        <v>637</v>
      </c>
      <c r="X3000" t="s">
        <v>4520</v>
      </c>
      <c r="Y3000" t="s">
        <v>4276</v>
      </c>
      <c r="Z3000" t="s">
        <v>4277</v>
      </c>
      <c r="AA3000" t="s">
        <v>4278</v>
      </c>
      <c r="AB3000" t="s">
        <v>4521</v>
      </c>
      <c r="AE3000">
        <v>-35.304783120000003</v>
      </c>
      <c r="AF3000">
        <v>173.87146149</v>
      </c>
      <c r="AG3000" s="175">
        <v>18</v>
      </c>
      <c r="AH3000" s="175">
        <v>6</v>
      </c>
      <c r="AI3000" s="175">
        <v>0</v>
      </c>
      <c r="AJ3000" s="175">
        <v>6</v>
      </c>
      <c r="AK3000" s="175">
        <v>3</v>
      </c>
      <c r="AL3000" s="175">
        <v>2</v>
      </c>
      <c r="AM3000" s="175">
        <v>3</v>
      </c>
      <c r="AN3000" s="175">
        <v>0</v>
      </c>
      <c r="AO3000" s="175">
        <v>14</v>
      </c>
      <c r="AP3000" s="175">
        <v>0</v>
      </c>
      <c r="AQ3000" s="175">
        <v>14</v>
      </c>
      <c r="AR3000" s="175">
        <v>0</v>
      </c>
      <c r="AS3000" s="175">
        <v>0</v>
      </c>
      <c r="AT3000" s="175">
        <v>0</v>
      </c>
    </row>
    <row r="3001" spans="1:46">
      <c r="A3001">
        <v>47757</v>
      </c>
      <c r="B3001" t="s">
        <v>17075</v>
      </c>
      <c r="E3001" t="s">
        <v>17076</v>
      </c>
      <c r="F3001" t="s">
        <v>4057</v>
      </c>
      <c r="G3001" t="s">
        <v>737</v>
      </c>
      <c r="H3001" t="s">
        <v>449</v>
      </c>
      <c r="J3001" t="s">
        <v>4032</v>
      </c>
      <c r="K3001" t="s">
        <v>606</v>
      </c>
      <c r="M3001" t="s">
        <v>607</v>
      </c>
      <c r="N3001" t="s">
        <v>657</v>
      </c>
      <c r="O3001" t="s">
        <v>1318</v>
      </c>
      <c r="P3001" t="s">
        <v>1347</v>
      </c>
      <c r="Q3001" t="s">
        <v>467</v>
      </c>
      <c r="R3001" t="s">
        <v>814</v>
      </c>
      <c r="S3001" t="s">
        <v>1331</v>
      </c>
      <c r="T3001" t="s">
        <v>1320</v>
      </c>
      <c r="U3001">
        <v>165501</v>
      </c>
      <c r="V3001" t="s">
        <v>4057</v>
      </c>
      <c r="W3001" t="s">
        <v>1322</v>
      </c>
      <c r="X3001" t="s">
        <v>17077</v>
      </c>
      <c r="Y3001" t="s">
        <v>17078</v>
      </c>
      <c r="Z3001" t="s">
        <v>1108</v>
      </c>
      <c r="AA3001" t="s">
        <v>7577</v>
      </c>
      <c r="AE3001">
        <v>-37.201231749999998</v>
      </c>
      <c r="AF3001">
        <v>174.89464608</v>
      </c>
      <c r="AG3001" s="175">
        <v>110</v>
      </c>
      <c r="AH3001" s="175">
        <v>30</v>
      </c>
      <c r="AI3001" s="175">
        <v>3</v>
      </c>
      <c r="AJ3001" s="175">
        <v>17</v>
      </c>
      <c r="AK3001" s="175">
        <v>22</v>
      </c>
      <c r="AL3001" s="175">
        <v>24</v>
      </c>
      <c r="AM3001" s="175">
        <v>26</v>
      </c>
      <c r="AN3001" s="175">
        <v>1</v>
      </c>
      <c r="AO3001" s="175">
        <v>93</v>
      </c>
      <c r="AP3001" s="175">
        <v>59</v>
      </c>
      <c r="AQ3001" s="175">
        <v>13</v>
      </c>
      <c r="AR3001" s="175">
        <v>10</v>
      </c>
      <c r="AS3001" s="175">
        <v>31</v>
      </c>
      <c r="AT3001" s="175">
        <v>4</v>
      </c>
    </row>
    <row r="3002" spans="1:46">
      <c r="A3002">
        <v>47758</v>
      </c>
      <c r="B3002" t="s">
        <v>17079</v>
      </c>
      <c r="C3002" t="s">
        <v>2937</v>
      </c>
      <c r="E3002" t="s">
        <v>17080</v>
      </c>
      <c r="G3002" t="s">
        <v>17081</v>
      </c>
      <c r="H3002" t="s">
        <v>452</v>
      </c>
      <c r="J3002" t="s">
        <v>605</v>
      </c>
      <c r="K3002" t="s">
        <v>606</v>
      </c>
      <c r="M3002" t="s">
        <v>2366</v>
      </c>
      <c r="N3002" t="s">
        <v>657</v>
      </c>
      <c r="O3002" t="s">
        <v>2944</v>
      </c>
      <c r="P3002" t="s">
        <v>626</v>
      </c>
      <c r="Q3002" t="s">
        <v>517</v>
      </c>
      <c r="R3002" t="s">
        <v>2901</v>
      </c>
      <c r="S3002" t="s">
        <v>2945</v>
      </c>
      <c r="T3002" t="s">
        <v>2526</v>
      </c>
      <c r="U3002">
        <v>301500</v>
      </c>
      <c r="V3002" t="s">
        <v>17082</v>
      </c>
      <c r="W3002" t="s">
        <v>15588</v>
      </c>
      <c r="X3002" t="s">
        <v>2934</v>
      </c>
      <c r="Y3002" t="s">
        <v>2935</v>
      </c>
      <c r="Z3002" t="s">
        <v>2930</v>
      </c>
      <c r="AA3002" t="s">
        <v>2936</v>
      </c>
      <c r="AB3002" t="s">
        <v>2937</v>
      </c>
      <c r="AE3002">
        <v>-41.392902470000003</v>
      </c>
      <c r="AF3002">
        <v>172.82382774000001</v>
      </c>
      <c r="AG3002" s="175">
        <v>35</v>
      </c>
      <c r="AH3002" s="175">
        <v>0</v>
      </c>
      <c r="AI3002" s="175">
        <v>0</v>
      </c>
      <c r="AJ3002" s="175">
        <v>0</v>
      </c>
      <c r="AK3002" s="175">
        <v>9</v>
      </c>
      <c r="AL3002" s="175">
        <v>11</v>
      </c>
      <c r="AM3002" s="175">
        <v>11</v>
      </c>
      <c r="AN3002" s="175">
        <v>3</v>
      </c>
      <c r="AO3002" s="175">
        <v>34</v>
      </c>
      <c r="AP3002" s="175">
        <v>31</v>
      </c>
      <c r="AQ3002" s="175">
        <v>6</v>
      </c>
      <c r="AR3002" s="175">
        <v>0</v>
      </c>
      <c r="AS3002" s="175">
        <v>2</v>
      </c>
      <c r="AT3002" s="175">
        <v>1</v>
      </c>
    </row>
    <row r="3003" spans="1:46">
      <c r="A3003">
        <v>47759</v>
      </c>
      <c r="B3003" t="s">
        <v>17083</v>
      </c>
      <c r="E3003" t="s">
        <v>17084</v>
      </c>
      <c r="F3003" t="s">
        <v>1477</v>
      </c>
      <c r="G3003" t="s">
        <v>1381</v>
      </c>
      <c r="H3003" t="s">
        <v>449</v>
      </c>
      <c r="I3003" t="s">
        <v>4134</v>
      </c>
      <c r="J3003" t="s">
        <v>4032</v>
      </c>
      <c r="K3003" t="s">
        <v>606</v>
      </c>
      <c r="M3003" t="s">
        <v>1382</v>
      </c>
      <c r="N3003" t="s">
        <v>657</v>
      </c>
      <c r="O3003" t="s">
        <v>1383</v>
      </c>
      <c r="P3003" t="s">
        <v>739</v>
      </c>
      <c r="Q3003" t="s">
        <v>510</v>
      </c>
      <c r="R3003" t="s">
        <v>1384</v>
      </c>
      <c r="S3003" t="s">
        <v>1385</v>
      </c>
      <c r="T3003" t="s">
        <v>1320</v>
      </c>
      <c r="U3003">
        <v>178901</v>
      </c>
      <c r="V3003" t="s">
        <v>8416</v>
      </c>
      <c r="W3003" t="s">
        <v>1387</v>
      </c>
      <c r="X3003" t="s">
        <v>15054</v>
      </c>
      <c r="Y3003" t="s">
        <v>15055</v>
      </c>
      <c r="Z3003" t="s">
        <v>1477</v>
      </c>
      <c r="AA3003" t="s">
        <v>8481</v>
      </c>
      <c r="AB3003" t="s">
        <v>15052</v>
      </c>
      <c r="AE3003">
        <v>-37.811465390000002</v>
      </c>
      <c r="AF3003">
        <v>175.27241524999999</v>
      </c>
      <c r="AG3003" s="175">
        <v>107</v>
      </c>
      <c r="AH3003" s="175">
        <v>25</v>
      </c>
      <c r="AI3003" s="175">
        <v>3</v>
      </c>
      <c r="AJ3003" s="175">
        <v>11</v>
      </c>
      <c r="AK3003" s="175">
        <v>13</v>
      </c>
      <c r="AL3003" s="175">
        <v>21</v>
      </c>
      <c r="AM3003" s="175">
        <v>15</v>
      </c>
      <c r="AN3003" s="175">
        <v>0</v>
      </c>
      <c r="AO3003" s="175">
        <v>63</v>
      </c>
      <c r="AP3003" s="175">
        <v>18</v>
      </c>
      <c r="AQ3003" s="175">
        <v>6</v>
      </c>
      <c r="AR3003" s="175">
        <v>0</v>
      </c>
      <c r="AS3003" s="175">
        <v>43</v>
      </c>
      <c r="AT3003" s="175">
        <v>7</v>
      </c>
    </row>
    <row r="3004" spans="1:46">
      <c r="A3004">
        <v>47761</v>
      </c>
      <c r="B3004" t="s">
        <v>17085</v>
      </c>
      <c r="C3004" t="s">
        <v>17086</v>
      </c>
      <c r="E3004" t="s">
        <v>11710</v>
      </c>
      <c r="G3004" t="s">
        <v>2276</v>
      </c>
      <c r="H3004" t="s">
        <v>450</v>
      </c>
      <c r="J3004" t="s">
        <v>4032</v>
      </c>
      <c r="K3004" t="s">
        <v>606</v>
      </c>
      <c r="M3004" t="s">
        <v>1382</v>
      </c>
      <c r="N3004" t="s">
        <v>657</v>
      </c>
      <c r="O3004" t="s">
        <v>2277</v>
      </c>
      <c r="P3004" t="s">
        <v>670</v>
      </c>
      <c r="Q3004" t="s">
        <v>513</v>
      </c>
      <c r="R3004" t="s">
        <v>2164</v>
      </c>
      <c r="S3004" t="s">
        <v>2278</v>
      </c>
      <c r="T3004" t="s">
        <v>2165</v>
      </c>
      <c r="U3004">
        <v>210500</v>
      </c>
      <c r="V3004" t="s">
        <v>11711</v>
      </c>
      <c r="W3004" t="s">
        <v>2279</v>
      </c>
      <c r="X3004" t="s">
        <v>17087</v>
      </c>
      <c r="Y3004" t="s">
        <v>11710</v>
      </c>
      <c r="AA3004" t="s">
        <v>11713</v>
      </c>
      <c r="AE3004">
        <v>-39.641762450000002</v>
      </c>
      <c r="AF3004">
        <v>176.84593545000001</v>
      </c>
      <c r="AG3004" s="175">
        <v>80</v>
      </c>
      <c r="AH3004" s="175">
        <v>80</v>
      </c>
      <c r="AI3004" s="175">
        <v>2</v>
      </c>
      <c r="AJ3004" s="175">
        <v>4</v>
      </c>
      <c r="AK3004" s="175">
        <v>5</v>
      </c>
      <c r="AL3004" s="175">
        <v>5</v>
      </c>
      <c r="AM3004" s="175">
        <v>1</v>
      </c>
      <c r="AN3004" s="175">
        <v>0</v>
      </c>
      <c r="AO3004" s="175">
        <v>17</v>
      </c>
      <c r="AP3004" s="175">
        <v>16</v>
      </c>
      <c r="AQ3004" s="175">
        <v>2</v>
      </c>
      <c r="AR3004" s="175">
        <v>0</v>
      </c>
      <c r="AS3004" s="175">
        <v>3</v>
      </c>
      <c r="AT3004" s="175">
        <v>2</v>
      </c>
    </row>
    <row r="3005" spans="1:46">
      <c r="A3005">
        <v>47762</v>
      </c>
      <c r="B3005" t="s">
        <v>17088</v>
      </c>
      <c r="C3005" t="s">
        <v>17089</v>
      </c>
      <c r="D3005" t="s">
        <v>17090</v>
      </c>
      <c r="E3005" t="s">
        <v>17091</v>
      </c>
      <c r="G3005" t="s">
        <v>17092</v>
      </c>
      <c r="H3005" t="s">
        <v>449</v>
      </c>
      <c r="J3005" t="s">
        <v>4032</v>
      </c>
      <c r="K3005" t="s">
        <v>606</v>
      </c>
      <c r="M3005" t="s">
        <v>607</v>
      </c>
      <c r="N3005" t="s">
        <v>657</v>
      </c>
      <c r="O3005" t="s">
        <v>723</v>
      </c>
      <c r="P3005" t="s">
        <v>658</v>
      </c>
      <c r="Q3005" t="s">
        <v>467</v>
      </c>
      <c r="R3005" t="s">
        <v>724</v>
      </c>
      <c r="S3005" t="s">
        <v>725</v>
      </c>
      <c r="T3005" t="s">
        <v>613</v>
      </c>
      <c r="U3005">
        <v>111602</v>
      </c>
      <c r="V3005" t="s">
        <v>17093</v>
      </c>
      <c r="W3005" t="s">
        <v>726</v>
      </c>
      <c r="X3005" t="s">
        <v>16076</v>
      </c>
      <c r="Y3005" t="s">
        <v>17094</v>
      </c>
      <c r="AA3005" t="s">
        <v>17095</v>
      </c>
      <c r="AE3005">
        <v>-36.633924440000001</v>
      </c>
      <c r="AF3005">
        <v>174.5439915</v>
      </c>
      <c r="AG3005" s="175">
        <v>70</v>
      </c>
      <c r="AH3005" s="175">
        <v>20</v>
      </c>
      <c r="AI3005" s="175">
        <v>2</v>
      </c>
      <c r="AJ3005" s="175">
        <v>14</v>
      </c>
      <c r="AK3005" s="175">
        <v>19</v>
      </c>
      <c r="AL3005" s="175">
        <v>21</v>
      </c>
      <c r="AM3005" s="175">
        <v>17</v>
      </c>
      <c r="AN3005" s="175">
        <v>0</v>
      </c>
      <c r="AO3005" s="175">
        <v>73</v>
      </c>
      <c r="AP3005" s="175">
        <v>69</v>
      </c>
      <c r="AQ3005" s="175">
        <v>3</v>
      </c>
      <c r="AR3005" s="175">
        <v>7</v>
      </c>
      <c r="AS3005" s="175">
        <v>9</v>
      </c>
      <c r="AT3005" s="175">
        <v>0</v>
      </c>
    </row>
    <row r="3006" spans="1:46">
      <c r="A3006">
        <v>47764</v>
      </c>
      <c r="B3006" t="s">
        <v>17096</v>
      </c>
      <c r="C3006" t="s">
        <v>17097</v>
      </c>
      <c r="D3006" t="s">
        <v>17098</v>
      </c>
      <c r="E3006" t="s">
        <v>17099</v>
      </c>
      <c r="F3006" t="s">
        <v>1302</v>
      </c>
      <c r="G3006" t="s">
        <v>737</v>
      </c>
      <c r="H3006" t="s">
        <v>449</v>
      </c>
      <c r="J3006" t="s">
        <v>605</v>
      </c>
      <c r="K3006" t="s">
        <v>606</v>
      </c>
      <c r="M3006" t="s">
        <v>607</v>
      </c>
      <c r="N3006" t="s">
        <v>657</v>
      </c>
      <c r="O3006" t="s">
        <v>1353</v>
      </c>
      <c r="P3006" t="s">
        <v>739</v>
      </c>
      <c r="Q3006" t="s">
        <v>467</v>
      </c>
      <c r="R3006" t="s">
        <v>814</v>
      </c>
      <c r="S3006" t="s">
        <v>1302</v>
      </c>
      <c r="T3006" t="s">
        <v>794</v>
      </c>
      <c r="U3006">
        <v>161800</v>
      </c>
      <c r="V3006" t="s">
        <v>3957</v>
      </c>
      <c r="W3006" t="s">
        <v>1304</v>
      </c>
      <c r="X3006" t="s">
        <v>4013</v>
      </c>
      <c r="Y3006" t="s">
        <v>4014</v>
      </c>
      <c r="Z3006" t="s">
        <v>4015</v>
      </c>
      <c r="AA3006" t="s">
        <v>4016</v>
      </c>
      <c r="AB3006" t="s">
        <v>4017</v>
      </c>
      <c r="AE3006">
        <v>-37.0375388</v>
      </c>
      <c r="AF3006">
        <v>174.90849936999999</v>
      </c>
      <c r="AG3006" s="175">
        <v>120</v>
      </c>
      <c r="AH3006" s="175">
        <v>25</v>
      </c>
      <c r="AI3006" s="175">
        <v>3</v>
      </c>
      <c r="AJ3006" s="175">
        <v>24</v>
      </c>
      <c r="AK3006" s="175">
        <v>25</v>
      </c>
      <c r="AL3006" s="175">
        <v>24</v>
      </c>
      <c r="AM3006" s="175">
        <v>29</v>
      </c>
      <c r="AN3006" s="175">
        <v>1</v>
      </c>
      <c r="AO3006" s="175">
        <v>106</v>
      </c>
      <c r="AP3006" s="175">
        <v>29</v>
      </c>
      <c r="AQ3006" s="175">
        <v>10</v>
      </c>
      <c r="AR3006" s="175">
        <v>13</v>
      </c>
      <c r="AS3006" s="175">
        <v>72</v>
      </c>
      <c r="AT3006" s="175">
        <v>5</v>
      </c>
    </row>
    <row r="3007" spans="1:46">
      <c r="A3007">
        <v>47765</v>
      </c>
      <c r="B3007" t="s">
        <v>17100</v>
      </c>
      <c r="C3007" t="s">
        <v>15763</v>
      </c>
      <c r="E3007" t="s">
        <v>17101</v>
      </c>
      <c r="G3007" t="s">
        <v>3905</v>
      </c>
      <c r="H3007" t="s">
        <v>449</v>
      </c>
      <c r="J3007" t="s">
        <v>4032</v>
      </c>
      <c r="K3007" t="s">
        <v>606</v>
      </c>
      <c r="M3007" t="s">
        <v>2366</v>
      </c>
      <c r="N3007" t="s">
        <v>657</v>
      </c>
      <c r="O3007" t="s">
        <v>3906</v>
      </c>
      <c r="P3007" t="s">
        <v>1347</v>
      </c>
      <c r="Q3007" t="s">
        <v>522</v>
      </c>
      <c r="R3007" t="s">
        <v>3410</v>
      </c>
      <c r="S3007" t="s">
        <v>3433</v>
      </c>
      <c r="T3007" t="s">
        <v>2526</v>
      </c>
      <c r="U3007">
        <v>348700</v>
      </c>
      <c r="V3007" t="s">
        <v>15766</v>
      </c>
      <c r="W3007" t="s">
        <v>11569</v>
      </c>
      <c r="X3007" t="s">
        <v>17102</v>
      </c>
      <c r="Y3007" t="s">
        <v>12459</v>
      </c>
      <c r="Z3007" t="s">
        <v>4622</v>
      </c>
      <c r="AA3007" t="s">
        <v>4623</v>
      </c>
      <c r="AB3007" t="s">
        <v>17103</v>
      </c>
      <c r="AE3007">
        <v>-45.001670140000002</v>
      </c>
      <c r="AF3007">
        <v>168.78219970000001</v>
      </c>
      <c r="AG3007" s="175">
        <v>67</v>
      </c>
      <c r="AH3007" s="175">
        <v>14</v>
      </c>
      <c r="AI3007" s="175">
        <v>1</v>
      </c>
      <c r="AJ3007" s="175">
        <v>15</v>
      </c>
      <c r="AK3007" s="175">
        <v>13</v>
      </c>
      <c r="AL3007" s="175">
        <v>17</v>
      </c>
      <c r="AM3007" s="175">
        <v>25</v>
      </c>
      <c r="AN3007" s="175">
        <v>0</v>
      </c>
      <c r="AO3007" s="175">
        <v>71</v>
      </c>
      <c r="AP3007" s="175">
        <v>57</v>
      </c>
      <c r="AQ3007" s="175">
        <v>4</v>
      </c>
      <c r="AR3007" s="175">
        <v>1</v>
      </c>
      <c r="AS3007" s="175">
        <v>15</v>
      </c>
      <c r="AT3007" s="175">
        <v>1</v>
      </c>
    </row>
    <row r="3008" spans="1:46">
      <c r="A3008">
        <v>47767</v>
      </c>
      <c r="B3008" t="s">
        <v>17104</v>
      </c>
      <c r="C3008" t="s">
        <v>17105</v>
      </c>
      <c r="D3008" t="s">
        <v>17106</v>
      </c>
      <c r="E3008" t="s">
        <v>17107</v>
      </c>
      <c r="F3008" t="s">
        <v>1319</v>
      </c>
      <c r="G3008" t="s">
        <v>737</v>
      </c>
      <c r="H3008" t="s">
        <v>449</v>
      </c>
      <c r="J3008" t="s">
        <v>4032</v>
      </c>
      <c r="K3008" t="s">
        <v>606</v>
      </c>
      <c r="M3008" t="s">
        <v>607</v>
      </c>
      <c r="N3008" t="s">
        <v>643</v>
      </c>
      <c r="O3008" t="s">
        <v>1353</v>
      </c>
      <c r="P3008" t="s">
        <v>739</v>
      </c>
      <c r="Q3008" t="s">
        <v>467</v>
      </c>
      <c r="R3008" t="s">
        <v>814</v>
      </c>
      <c r="S3008" t="s">
        <v>1319</v>
      </c>
      <c r="T3008" t="s">
        <v>1320</v>
      </c>
      <c r="U3008">
        <v>163700</v>
      </c>
      <c r="V3008" t="s">
        <v>7661</v>
      </c>
      <c r="W3008" t="s">
        <v>1304</v>
      </c>
      <c r="X3008" t="s">
        <v>11214</v>
      </c>
      <c r="Y3008" t="s">
        <v>17107</v>
      </c>
      <c r="Z3008" t="s">
        <v>1319</v>
      </c>
      <c r="AA3008" t="s">
        <v>7805</v>
      </c>
      <c r="AB3008" t="s">
        <v>11211</v>
      </c>
      <c r="AE3008">
        <v>-37.073262110000002</v>
      </c>
      <c r="AF3008">
        <v>174.93903201000001</v>
      </c>
      <c r="AG3008" s="175">
        <v>65</v>
      </c>
      <c r="AH3008" s="175">
        <v>10</v>
      </c>
      <c r="AI3008" s="175">
        <v>3</v>
      </c>
      <c r="AJ3008" s="175">
        <v>9</v>
      </c>
      <c r="AK3008" s="175">
        <v>16</v>
      </c>
      <c r="AL3008" s="175">
        <v>12</v>
      </c>
      <c r="AM3008" s="175">
        <v>24</v>
      </c>
      <c r="AN3008" s="175">
        <v>2</v>
      </c>
      <c r="AO3008" s="175">
        <v>66</v>
      </c>
      <c r="AP3008" s="175">
        <v>35</v>
      </c>
      <c r="AQ3008" s="175">
        <v>15</v>
      </c>
      <c r="AR3008" s="175">
        <v>8</v>
      </c>
      <c r="AS3008" s="175">
        <v>25</v>
      </c>
      <c r="AT3008" s="175">
        <v>2</v>
      </c>
    </row>
    <row r="3009" spans="1:46">
      <c r="A3009">
        <v>47768</v>
      </c>
      <c r="B3009" t="s">
        <v>17108</v>
      </c>
      <c r="C3009" t="s">
        <v>17109</v>
      </c>
      <c r="D3009" t="s">
        <v>17110</v>
      </c>
      <c r="E3009" t="s">
        <v>17111</v>
      </c>
      <c r="G3009" t="s">
        <v>17112</v>
      </c>
      <c r="H3009" t="s">
        <v>449</v>
      </c>
      <c r="J3009" t="s">
        <v>4032</v>
      </c>
      <c r="K3009" t="s">
        <v>606</v>
      </c>
      <c r="M3009" t="s">
        <v>607</v>
      </c>
      <c r="N3009" t="s">
        <v>657</v>
      </c>
      <c r="O3009" t="s">
        <v>669</v>
      </c>
      <c r="P3009" t="s">
        <v>610</v>
      </c>
      <c r="Q3009" t="s">
        <v>509</v>
      </c>
      <c r="R3009" t="s">
        <v>611</v>
      </c>
      <c r="S3009" t="s">
        <v>671</v>
      </c>
      <c r="T3009" t="s">
        <v>613</v>
      </c>
      <c r="U3009">
        <v>108701</v>
      </c>
      <c r="V3009" t="s">
        <v>17112</v>
      </c>
      <c r="W3009" t="s">
        <v>704</v>
      </c>
      <c r="X3009" t="s">
        <v>4470</v>
      </c>
      <c r="Y3009" t="s">
        <v>4471</v>
      </c>
      <c r="Z3009" t="s">
        <v>4472</v>
      </c>
      <c r="AA3009" t="s">
        <v>4596</v>
      </c>
      <c r="AB3009" t="s">
        <v>4474</v>
      </c>
      <c r="AE3009">
        <v>-35.827574849999998</v>
      </c>
      <c r="AF3009">
        <v>174.4592653</v>
      </c>
      <c r="AG3009" s="175">
        <v>80</v>
      </c>
      <c r="AH3009" s="175">
        <v>20</v>
      </c>
      <c r="AI3009" s="175">
        <v>1</v>
      </c>
      <c r="AJ3009" s="175">
        <v>11</v>
      </c>
      <c r="AK3009" s="175">
        <v>10</v>
      </c>
      <c r="AL3009" s="175">
        <v>13</v>
      </c>
      <c r="AM3009" s="175">
        <v>12</v>
      </c>
      <c r="AN3009" s="175">
        <v>0</v>
      </c>
      <c r="AO3009" s="175">
        <v>47</v>
      </c>
      <c r="AP3009" s="175">
        <v>37</v>
      </c>
      <c r="AQ3009" s="175">
        <v>15</v>
      </c>
      <c r="AR3009" s="175">
        <v>6</v>
      </c>
      <c r="AS3009" s="175">
        <v>4</v>
      </c>
      <c r="AT3009" s="175">
        <v>2</v>
      </c>
    </row>
    <row r="3010" spans="1:46">
      <c r="A3010">
        <v>47769</v>
      </c>
      <c r="B3010" t="s">
        <v>17113</v>
      </c>
      <c r="E3010" t="s">
        <v>17114</v>
      </c>
      <c r="F3010" t="s">
        <v>17115</v>
      </c>
      <c r="G3010" t="s">
        <v>3334</v>
      </c>
      <c r="H3010" t="s">
        <v>449</v>
      </c>
      <c r="J3010" t="s">
        <v>4032</v>
      </c>
      <c r="K3010" t="s">
        <v>606</v>
      </c>
      <c r="M3010" t="s">
        <v>2366</v>
      </c>
      <c r="N3010" t="s">
        <v>657</v>
      </c>
      <c r="O3010" t="s">
        <v>3322</v>
      </c>
      <c r="P3010" t="s">
        <v>1347</v>
      </c>
      <c r="Q3010" t="s">
        <v>521</v>
      </c>
      <c r="R3010" t="s">
        <v>3017</v>
      </c>
      <c r="S3010" t="s">
        <v>3292</v>
      </c>
      <c r="T3010" t="s">
        <v>2526</v>
      </c>
      <c r="U3010">
        <v>340000</v>
      </c>
      <c r="V3010" t="s">
        <v>3335</v>
      </c>
      <c r="W3010" t="s">
        <v>3336</v>
      </c>
      <c r="X3010" t="s">
        <v>17116</v>
      </c>
      <c r="Y3010" t="s">
        <v>17117</v>
      </c>
      <c r="Z3010" t="s">
        <v>17115</v>
      </c>
      <c r="AA3010" t="s">
        <v>17118</v>
      </c>
      <c r="AB3010" t="s">
        <v>17119</v>
      </c>
      <c r="AC3010">
        <v>99174</v>
      </c>
      <c r="AD3010" t="s">
        <v>3341</v>
      </c>
      <c r="AE3010">
        <v>-44.380197959999997</v>
      </c>
      <c r="AF3010">
        <v>171.19193794</v>
      </c>
      <c r="AG3010" s="175">
        <v>70</v>
      </c>
      <c r="AH3010" s="175">
        <v>20</v>
      </c>
      <c r="AI3010" s="175">
        <v>3</v>
      </c>
      <c r="AJ3010" s="175">
        <v>13</v>
      </c>
      <c r="AK3010" s="175">
        <v>16</v>
      </c>
      <c r="AL3010" s="175">
        <v>21</v>
      </c>
      <c r="AM3010" s="175">
        <v>21</v>
      </c>
      <c r="AN3010" s="175">
        <v>0</v>
      </c>
      <c r="AO3010" s="175">
        <v>74</v>
      </c>
      <c r="AP3010" s="175">
        <v>63</v>
      </c>
      <c r="AQ3010" s="175">
        <v>12</v>
      </c>
      <c r="AR3010" s="175">
        <v>2</v>
      </c>
      <c r="AS3010" s="175">
        <v>1</v>
      </c>
      <c r="AT3010" s="175">
        <v>11</v>
      </c>
    </row>
    <row r="3011" spans="1:46">
      <c r="A3011">
        <v>47770</v>
      </c>
      <c r="B3011" t="s">
        <v>17120</v>
      </c>
      <c r="C3011" t="s">
        <v>17121</v>
      </c>
      <c r="D3011" t="s">
        <v>17122</v>
      </c>
      <c r="E3011" t="s">
        <v>17123</v>
      </c>
      <c r="G3011" t="s">
        <v>4454</v>
      </c>
      <c r="H3011" t="s">
        <v>449</v>
      </c>
      <c r="J3011" t="s">
        <v>4032</v>
      </c>
      <c r="K3011" t="s">
        <v>606</v>
      </c>
      <c r="M3011" t="s">
        <v>607</v>
      </c>
      <c r="N3011" t="s">
        <v>657</v>
      </c>
      <c r="O3011" t="s">
        <v>723</v>
      </c>
      <c r="P3011" t="s">
        <v>610</v>
      </c>
      <c r="Q3011" t="s">
        <v>467</v>
      </c>
      <c r="R3011" t="s">
        <v>724</v>
      </c>
      <c r="S3011" t="s">
        <v>725</v>
      </c>
      <c r="T3011" t="s">
        <v>613</v>
      </c>
      <c r="U3011">
        <v>115002</v>
      </c>
      <c r="V3011" t="s">
        <v>7051</v>
      </c>
      <c r="W3011" t="s">
        <v>726</v>
      </c>
      <c r="X3011" t="s">
        <v>17124</v>
      </c>
      <c r="Y3011" t="s">
        <v>17125</v>
      </c>
      <c r="Z3011" t="s">
        <v>4722</v>
      </c>
      <c r="AA3011" t="s">
        <v>4314</v>
      </c>
      <c r="AE3011">
        <v>-36.771870190000001</v>
      </c>
      <c r="AF3011">
        <v>174.54024480000001</v>
      </c>
      <c r="AG3011" s="175">
        <v>145</v>
      </c>
      <c r="AH3011" s="175">
        <v>40</v>
      </c>
      <c r="AI3011" s="175">
        <v>5</v>
      </c>
      <c r="AJ3011" s="175">
        <v>26</v>
      </c>
      <c r="AK3011" s="175">
        <v>39</v>
      </c>
      <c r="AL3011" s="175">
        <v>26</v>
      </c>
      <c r="AM3011" s="175">
        <v>35</v>
      </c>
      <c r="AN3011" s="175">
        <v>3</v>
      </c>
      <c r="AO3011" s="175">
        <v>134</v>
      </c>
      <c r="AP3011" s="175">
        <v>94</v>
      </c>
      <c r="AQ3011" s="175">
        <v>20</v>
      </c>
      <c r="AR3011" s="175">
        <v>6</v>
      </c>
      <c r="AS3011" s="175">
        <v>25</v>
      </c>
      <c r="AT3011" s="175">
        <v>24</v>
      </c>
    </row>
    <row r="3012" spans="1:46">
      <c r="A3012">
        <v>47771</v>
      </c>
      <c r="B3012" t="s">
        <v>17126</v>
      </c>
      <c r="C3012" t="s">
        <v>17127</v>
      </c>
      <c r="E3012" t="s">
        <v>17128</v>
      </c>
      <c r="G3012" t="s">
        <v>11255</v>
      </c>
      <c r="H3012" t="s">
        <v>450</v>
      </c>
      <c r="J3012" t="s">
        <v>4032</v>
      </c>
      <c r="K3012" t="s">
        <v>606</v>
      </c>
      <c r="M3012" t="s">
        <v>2366</v>
      </c>
      <c r="N3012" t="s">
        <v>657</v>
      </c>
      <c r="O3012" t="s">
        <v>3906</v>
      </c>
      <c r="P3012" t="s">
        <v>1347</v>
      </c>
      <c r="Q3012" t="s">
        <v>522</v>
      </c>
      <c r="R3012" t="s">
        <v>3410</v>
      </c>
      <c r="S3012" t="s">
        <v>3323</v>
      </c>
      <c r="T3012" t="s">
        <v>2526</v>
      </c>
      <c r="U3012">
        <v>346800</v>
      </c>
      <c r="V3012" t="s">
        <v>17129</v>
      </c>
      <c r="W3012" t="s">
        <v>11257</v>
      </c>
      <c r="X3012" t="s">
        <v>17130</v>
      </c>
      <c r="Y3012" t="s">
        <v>17128</v>
      </c>
      <c r="AA3012" t="s">
        <v>11259</v>
      </c>
      <c r="AB3012" t="s">
        <v>17131</v>
      </c>
      <c r="AE3012">
        <v>-44.714637140000001</v>
      </c>
      <c r="AF3012">
        <v>169.13540219999999</v>
      </c>
      <c r="AG3012" s="175">
        <v>50</v>
      </c>
      <c r="AH3012" s="175">
        <v>50</v>
      </c>
      <c r="AI3012" s="175">
        <v>2</v>
      </c>
      <c r="AJ3012" s="175">
        <v>12</v>
      </c>
      <c r="AK3012" s="175">
        <v>5</v>
      </c>
      <c r="AL3012" s="175">
        <v>2</v>
      </c>
      <c r="AM3012" s="175">
        <v>4</v>
      </c>
      <c r="AN3012" s="175">
        <v>0</v>
      </c>
      <c r="AO3012" s="175">
        <v>25</v>
      </c>
      <c r="AP3012" s="175">
        <v>24</v>
      </c>
      <c r="AQ3012" s="175">
        <v>1</v>
      </c>
      <c r="AR3012" s="175">
        <v>0</v>
      </c>
      <c r="AS3012" s="175">
        <v>2</v>
      </c>
      <c r="AT3012" s="175">
        <v>0</v>
      </c>
    </row>
    <row r="3013" spans="1:46">
      <c r="A3013">
        <v>47772</v>
      </c>
      <c r="B3013" t="s">
        <v>17132</v>
      </c>
      <c r="C3013" t="s">
        <v>17133</v>
      </c>
      <c r="D3013" t="s">
        <v>17134</v>
      </c>
      <c r="E3013" t="s">
        <v>17135</v>
      </c>
      <c r="F3013" t="s">
        <v>7875</v>
      </c>
      <c r="G3013" t="s">
        <v>737</v>
      </c>
      <c r="H3013" t="s">
        <v>449</v>
      </c>
      <c r="J3013" t="s">
        <v>605</v>
      </c>
      <c r="K3013" t="s">
        <v>606</v>
      </c>
      <c r="M3013" t="s">
        <v>607</v>
      </c>
      <c r="N3013" t="s">
        <v>657</v>
      </c>
      <c r="O3013" t="s">
        <v>1318</v>
      </c>
      <c r="P3013" t="s">
        <v>610</v>
      </c>
      <c r="Q3013" t="s">
        <v>467</v>
      </c>
      <c r="R3013" t="s">
        <v>793</v>
      </c>
      <c r="S3013" t="s">
        <v>1319</v>
      </c>
      <c r="T3013" t="s">
        <v>1320</v>
      </c>
      <c r="U3013">
        <v>155000</v>
      </c>
      <c r="V3013" t="s">
        <v>7876</v>
      </c>
      <c r="W3013" t="s">
        <v>1322</v>
      </c>
      <c r="X3013" t="s">
        <v>4013</v>
      </c>
      <c r="Y3013" t="s">
        <v>4014</v>
      </c>
      <c r="Z3013" t="s">
        <v>4015</v>
      </c>
      <c r="AA3013" t="s">
        <v>4016</v>
      </c>
      <c r="AB3013" t="s">
        <v>4017</v>
      </c>
      <c r="AE3013">
        <v>-36.884984209999999</v>
      </c>
      <c r="AF3013">
        <v>175.00437735</v>
      </c>
      <c r="AG3013" s="175">
        <v>84</v>
      </c>
      <c r="AH3013" s="175">
        <v>20</v>
      </c>
      <c r="AI3013" s="175">
        <v>2</v>
      </c>
      <c r="AJ3013" s="175">
        <v>15</v>
      </c>
      <c r="AK3013" s="175">
        <v>23</v>
      </c>
      <c r="AL3013" s="175">
        <v>21</v>
      </c>
      <c r="AM3013" s="175">
        <v>22</v>
      </c>
      <c r="AN3013" s="175">
        <v>0</v>
      </c>
      <c r="AO3013" s="175">
        <v>83</v>
      </c>
      <c r="AP3013" s="175">
        <v>71</v>
      </c>
      <c r="AQ3013" s="175">
        <v>8</v>
      </c>
      <c r="AR3013" s="175">
        <v>3</v>
      </c>
      <c r="AS3013" s="175">
        <v>6</v>
      </c>
      <c r="AT3013" s="175">
        <v>14</v>
      </c>
    </row>
    <row r="3014" spans="1:46">
      <c r="A3014">
        <v>47774</v>
      </c>
      <c r="B3014" t="s">
        <v>17136</v>
      </c>
      <c r="C3014" t="s">
        <v>17137</v>
      </c>
      <c r="D3014" t="s">
        <v>4855</v>
      </c>
      <c r="E3014" t="s">
        <v>17138</v>
      </c>
      <c r="G3014" t="s">
        <v>1346</v>
      </c>
      <c r="H3014" t="s">
        <v>449</v>
      </c>
      <c r="J3014" t="s">
        <v>4032</v>
      </c>
      <c r="K3014" t="s">
        <v>606</v>
      </c>
      <c r="M3014" t="s">
        <v>607</v>
      </c>
      <c r="N3014" t="s">
        <v>657</v>
      </c>
      <c r="O3014" t="s">
        <v>1318</v>
      </c>
      <c r="P3014" t="s">
        <v>1347</v>
      </c>
      <c r="Q3014" t="s">
        <v>467</v>
      </c>
      <c r="R3014" t="s">
        <v>814</v>
      </c>
      <c r="S3014" t="s">
        <v>1331</v>
      </c>
      <c r="T3014" t="s">
        <v>1320</v>
      </c>
      <c r="U3014">
        <v>165301</v>
      </c>
      <c r="V3014" t="s">
        <v>7686</v>
      </c>
      <c r="W3014" t="s">
        <v>1322</v>
      </c>
      <c r="X3014" t="s">
        <v>4858</v>
      </c>
      <c r="Y3014" t="s">
        <v>17139</v>
      </c>
      <c r="Z3014" t="s">
        <v>1346</v>
      </c>
      <c r="AA3014" t="s">
        <v>17140</v>
      </c>
      <c r="AB3014" t="s">
        <v>4862</v>
      </c>
      <c r="AE3014">
        <v>-37.183697420000001</v>
      </c>
      <c r="AF3014">
        <v>174.89921371</v>
      </c>
      <c r="AG3014" s="175">
        <v>100</v>
      </c>
      <c r="AH3014" s="175">
        <v>22</v>
      </c>
      <c r="AI3014" s="175">
        <v>2</v>
      </c>
      <c r="AJ3014" s="175">
        <v>12</v>
      </c>
      <c r="AK3014" s="175">
        <v>8</v>
      </c>
      <c r="AL3014" s="175">
        <v>15</v>
      </c>
      <c r="AM3014" s="175">
        <v>23</v>
      </c>
      <c r="AN3014" s="175">
        <v>0</v>
      </c>
      <c r="AO3014" s="175">
        <v>60</v>
      </c>
      <c r="AP3014" s="175">
        <v>42</v>
      </c>
      <c r="AQ3014" s="175">
        <v>15</v>
      </c>
      <c r="AR3014" s="175">
        <v>3</v>
      </c>
      <c r="AS3014" s="175">
        <v>16</v>
      </c>
      <c r="AT3014" s="175">
        <v>2</v>
      </c>
    </row>
    <row r="3015" spans="1:46">
      <c r="A3015">
        <v>47776</v>
      </c>
      <c r="B3015" t="s">
        <v>17141</v>
      </c>
      <c r="C3015" t="s">
        <v>4098</v>
      </c>
      <c r="D3015" t="s">
        <v>4092</v>
      </c>
      <c r="E3015" t="s">
        <v>17142</v>
      </c>
      <c r="G3015" t="s">
        <v>3986</v>
      </c>
      <c r="H3015" t="s">
        <v>449</v>
      </c>
      <c r="J3015" t="s">
        <v>4032</v>
      </c>
      <c r="K3015" t="s">
        <v>606</v>
      </c>
      <c r="M3015" t="s">
        <v>607</v>
      </c>
      <c r="N3015" t="s">
        <v>657</v>
      </c>
      <c r="O3015" t="s">
        <v>1318</v>
      </c>
      <c r="P3015" t="s">
        <v>658</v>
      </c>
      <c r="Q3015" t="s">
        <v>467</v>
      </c>
      <c r="R3015" t="s">
        <v>814</v>
      </c>
      <c r="S3015" t="s">
        <v>1331</v>
      </c>
      <c r="T3015" t="s">
        <v>1320</v>
      </c>
      <c r="U3015">
        <v>159801</v>
      </c>
      <c r="V3015" t="s">
        <v>3987</v>
      </c>
      <c r="W3015" t="s">
        <v>1322</v>
      </c>
      <c r="X3015" t="s">
        <v>8087</v>
      </c>
      <c r="Y3015" t="s">
        <v>4096</v>
      </c>
      <c r="Z3015" t="s">
        <v>3986</v>
      </c>
      <c r="AA3015" t="s">
        <v>4097</v>
      </c>
      <c r="AB3015" t="s">
        <v>4098</v>
      </c>
      <c r="AE3015">
        <v>-37.137335880000002</v>
      </c>
      <c r="AF3015">
        <v>174.78414362000001</v>
      </c>
      <c r="AG3015" s="175">
        <v>54</v>
      </c>
      <c r="AH3015" s="175">
        <v>10</v>
      </c>
      <c r="AI3015" s="175">
        <v>0</v>
      </c>
      <c r="AJ3015" s="175">
        <v>8</v>
      </c>
      <c r="AK3015" s="175">
        <v>8</v>
      </c>
      <c r="AL3015" s="175">
        <v>15</v>
      </c>
      <c r="AM3015" s="175">
        <v>10</v>
      </c>
      <c r="AN3015" s="175">
        <v>0</v>
      </c>
      <c r="AO3015" s="175">
        <v>41</v>
      </c>
      <c r="AP3015" s="175">
        <v>36</v>
      </c>
      <c r="AQ3015" s="175">
        <v>17</v>
      </c>
      <c r="AR3015" s="175">
        <v>6</v>
      </c>
      <c r="AS3015" s="175">
        <v>3</v>
      </c>
      <c r="AT3015" s="175">
        <v>1</v>
      </c>
    </row>
    <row r="3016" spans="1:46">
      <c r="A3016">
        <v>47777</v>
      </c>
      <c r="B3016" t="s">
        <v>17143</v>
      </c>
      <c r="C3016" t="s">
        <v>17144</v>
      </c>
      <c r="D3016" t="s">
        <v>17145</v>
      </c>
      <c r="E3016" t="s">
        <v>17146</v>
      </c>
      <c r="F3016" t="s">
        <v>940</v>
      </c>
      <c r="G3016" t="s">
        <v>737</v>
      </c>
      <c r="H3016" t="s">
        <v>449</v>
      </c>
      <c r="J3016" t="s">
        <v>4032</v>
      </c>
      <c r="K3016" t="s">
        <v>606</v>
      </c>
      <c r="M3016" t="s">
        <v>607</v>
      </c>
      <c r="N3016" t="s">
        <v>657</v>
      </c>
      <c r="O3016" t="s">
        <v>942</v>
      </c>
      <c r="P3016" t="s">
        <v>739</v>
      </c>
      <c r="Q3016" t="s">
        <v>467</v>
      </c>
      <c r="R3016" t="s">
        <v>793</v>
      </c>
      <c r="S3016" t="s">
        <v>943</v>
      </c>
      <c r="T3016" t="s">
        <v>794</v>
      </c>
      <c r="U3016">
        <v>134200</v>
      </c>
      <c r="V3016" t="s">
        <v>944</v>
      </c>
      <c r="W3016" t="s">
        <v>945</v>
      </c>
      <c r="X3016" t="s">
        <v>17147</v>
      </c>
      <c r="Y3016" t="s">
        <v>17146</v>
      </c>
      <c r="Z3016" t="s">
        <v>940</v>
      </c>
      <c r="AA3016" t="s">
        <v>4942</v>
      </c>
      <c r="AE3016">
        <v>-36.888819959999999</v>
      </c>
      <c r="AF3016">
        <v>174.72300122999999</v>
      </c>
      <c r="AG3016" s="175">
        <v>43</v>
      </c>
      <c r="AH3016" s="175">
        <v>8</v>
      </c>
      <c r="AI3016" s="175">
        <v>1</v>
      </c>
      <c r="AJ3016" s="175">
        <v>5</v>
      </c>
      <c r="AK3016" s="175">
        <v>11</v>
      </c>
      <c r="AL3016" s="175">
        <v>14</v>
      </c>
      <c r="AM3016" s="175">
        <v>11</v>
      </c>
      <c r="AN3016" s="175">
        <v>0</v>
      </c>
      <c r="AO3016" s="175">
        <v>42</v>
      </c>
      <c r="AP3016" s="175">
        <v>21</v>
      </c>
      <c r="AQ3016" s="175">
        <v>6</v>
      </c>
      <c r="AR3016" s="175">
        <v>2</v>
      </c>
      <c r="AS3016" s="175">
        <v>17</v>
      </c>
      <c r="AT3016" s="175">
        <v>9</v>
      </c>
    </row>
    <row r="3017" spans="1:46">
      <c r="A3017">
        <v>47778</v>
      </c>
      <c r="B3017" t="s">
        <v>17148</v>
      </c>
      <c r="E3017" t="s">
        <v>17149</v>
      </c>
      <c r="G3017" t="s">
        <v>17150</v>
      </c>
      <c r="H3017" t="s">
        <v>449</v>
      </c>
      <c r="J3017" t="s">
        <v>4032</v>
      </c>
      <c r="K3017" t="s">
        <v>606</v>
      </c>
      <c r="M3017" t="s">
        <v>1382</v>
      </c>
      <c r="N3017" t="s">
        <v>657</v>
      </c>
      <c r="O3017" t="s">
        <v>1825</v>
      </c>
      <c r="P3017" t="s">
        <v>658</v>
      </c>
      <c r="Q3017" t="s">
        <v>511</v>
      </c>
      <c r="R3017" t="s">
        <v>1555</v>
      </c>
      <c r="S3017" t="s">
        <v>1556</v>
      </c>
      <c r="T3017" t="s">
        <v>1557</v>
      </c>
      <c r="U3017">
        <v>192500</v>
      </c>
      <c r="V3017" t="s">
        <v>1833</v>
      </c>
      <c r="W3017" t="s">
        <v>1827</v>
      </c>
      <c r="X3017" t="s">
        <v>13303</v>
      </c>
      <c r="Y3017" t="s">
        <v>13304</v>
      </c>
      <c r="AA3017" t="s">
        <v>5144</v>
      </c>
      <c r="AE3017">
        <v>-37.845649700000003</v>
      </c>
      <c r="AF3017">
        <v>176.54270600000001</v>
      </c>
      <c r="AG3017" s="175">
        <v>22</v>
      </c>
      <c r="AH3017" s="175">
        <v>0</v>
      </c>
      <c r="AI3017" s="175">
        <v>0</v>
      </c>
      <c r="AJ3017" s="175">
        <v>0</v>
      </c>
      <c r="AK3017" s="175">
        <v>11</v>
      </c>
      <c r="AL3017" s="175">
        <v>13</v>
      </c>
      <c r="AM3017" s="175">
        <v>7</v>
      </c>
      <c r="AN3017" s="175">
        <v>0</v>
      </c>
      <c r="AO3017" s="175">
        <v>31</v>
      </c>
      <c r="AP3017" s="175">
        <v>27</v>
      </c>
      <c r="AQ3017" s="175">
        <v>12</v>
      </c>
      <c r="AR3017" s="175">
        <v>1</v>
      </c>
      <c r="AS3017" s="175">
        <v>1</v>
      </c>
      <c r="AT3017" s="175">
        <v>0</v>
      </c>
    </row>
    <row r="3018" spans="1:46">
      <c r="A3018">
        <v>47779</v>
      </c>
      <c r="B3018" t="s">
        <v>17151</v>
      </c>
      <c r="C3018" t="s">
        <v>17152</v>
      </c>
      <c r="E3018" t="s">
        <v>17153</v>
      </c>
      <c r="F3018" t="s">
        <v>7019</v>
      </c>
      <c r="G3018" t="s">
        <v>737</v>
      </c>
      <c r="H3018" t="s">
        <v>450</v>
      </c>
      <c r="J3018" t="s">
        <v>4032</v>
      </c>
      <c r="K3018" t="s">
        <v>606</v>
      </c>
      <c r="M3018" t="s">
        <v>607</v>
      </c>
      <c r="N3018" t="s">
        <v>657</v>
      </c>
      <c r="O3018" t="s">
        <v>889</v>
      </c>
      <c r="P3018" t="s">
        <v>739</v>
      </c>
      <c r="Q3018" t="s">
        <v>467</v>
      </c>
      <c r="R3018" t="s">
        <v>793</v>
      </c>
      <c r="S3018" t="s">
        <v>965</v>
      </c>
      <c r="T3018" t="s">
        <v>794</v>
      </c>
      <c r="U3018">
        <v>144500</v>
      </c>
      <c r="V3018" t="s">
        <v>1237</v>
      </c>
      <c r="W3018" t="s">
        <v>892</v>
      </c>
      <c r="X3018" t="s">
        <v>17154</v>
      </c>
      <c r="Y3018" t="s">
        <v>17155</v>
      </c>
      <c r="Z3018" t="s">
        <v>940</v>
      </c>
      <c r="AA3018" t="s">
        <v>4942</v>
      </c>
      <c r="AE3018">
        <v>-36.872770350000003</v>
      </c>
      <c r="AF3018">
        <v>174.84419586000001</v>
      </c>
      <c r="AG3018" s="175">
        <v>50</v>
      </c>
      <c r="AH3018" s="175">
        <v>50</v>
      </c>
      <c r="AI3018" s="175">
        <v>8</v>
      </c>
      <c r="AJ3018" s="175">
        <v>13</v>
      </c>
      <c r="AK3018" s="175">
        <v>11</v>
      </c>
      <c r="AL3018" s="175">
        <v>11</v>
      </c>
      <c r="AM3018" s="175">
        <v>7</v>
      </c>
      <c r="AN3018" s="175">
        <v>0</v>
      </c>
      <c r="AO3018" s="175">
        <v>50</v>
      </c>
      <c r="AP3018" s="175">
        <v>0</v>
      </c>
      <c r="AQ3018" s="175">
        <v>0</v>
      </c>
      <c r="AR3018" s="175">
        <v>0</v>
      </c>
      <c r="AS3018" s="175">
        <v>50</v>
      </c>
      <c r="AT3018" s="175">
        <v>0</v>
      </c>
    </row>
    <row r="3019" spans="1:46">
      <c r="A3019">
        <v>47780</v>
      </c>
      <c r="B3019" t="s">
        <v>17156</v>
      </c>
      <c r="C3019" t="s">
        <v>17157</v>
      </c>
      <c r="D3019" t="s">
        <v>17158</v>
      </c>
      <c r="E3019" t="s">
        <v>17159</v>
      </c>
      <c r="G3019" t="s">
        <v>4526</v>
      </c>
      <c r="H3019" t="s">
        <v>449</v>
      </c>
      <c r="J3019" t="s">
        <v>4032</v>
      </c>
      <c r="K3019" t="s">
        <v>606</v>
      </c>
      <c r="M3019" t="s">
        <v>607</v>
      </c>
      <c r="N3019" t="s">
        <v>657</v>
      </c>
      <c r="O3019" t="s">
        <v>723</v>
      </c>
      <c r="P3019" t="s">
        <v>658</v>
      </c>
      <c r="Q3019" t="s">
        <v>467</v>
      </c>
      <c r="R3019" t="s">
        <v>724</v>
      </c>
      <c r="S3019" t="s">
        <v>753</v>
      </c>
      <c r="T3019" t="s">
        <v>613</v>
      </c>
      <c r="U3019">
        <v>113402</v>
      </c>
      <c r="V3019" t="s">
        <v>17160</v>
      </c>
      <c r="W3019" t="s">
        <v>726</v>
      </c>
      <c r="X3019" t="s">
        <v>4578</v>
      </c>
      <c r="Y3019" t="s">
        <v>4579</v>
      </c>
      <c r="AA3019" t="s">
        <v>4580</v>
      </c>
      <c r="AB3019" t="s">
        <v>4581</v>
      </c>
      <c r="AE3019">
        <v>-36.62960253</v>
      </c>
      <c r="AF3019">
        <v>174.65368806000001</v>
      </c>
      <c r="AG3019" s="175">
        <v>150</v>
      </c>
      <c r="AH3019" s="175">
        <v>50</v>
      </c>
      <c r="AI3019" s="175">
        <v>2</v>
      </c>
      <c r="AJ3019" s="175">
        <v>29</v>
      </c>
      <c r="AK3019" s="175">
        <v>37</v>
      </c>
      <c r="AL3019" s="175">
        <v>41</v>
      </c>
      <c r="AM3019" s="175">
        <v>36</v>
      </c>
      <c r="AN3019" s="175">
        <v>1</v>
      </c>
      <c r="AO3019" s="175">
        <v>146</v>
      </c>
      <c r="AP3019" s="175">
        <v>99</v>
      </c>
      <c r="AQ3019" s="175">
        <v>15</v>
      </c>
      <c r="AR3019" s="175">
        <v>3</v>
      </c>
      <c r="AS3019" s="175">
        <v>48</v>
      </c>
      <c r="AT3019" s="175">
        <v>9</v>
      </c>
    </row>
    <row r="3020" spans="1:46">
      <c r="A3020">
        <v>47781</v>
      </c>
      <c r="B3020" t="s">
        <v>17161</v>
      </c>
      <c r="C3020" t="s">
        <v>17162</v>
      </c>
      <c r="E3020" t="s">
        <v>17163</v>
      </c>
      <c r="G3020" t="s">
        <v>1621</v>
      </c>
      <c r="H3020" t="s">
        <v>449</v>
      </c>
      <c r="J3020" t="s">
        <v>4032</v>
      </c>
      <c r="K3020" t="s">
        <v>17164</v>
      </c>
      <c r="M3020" t="s">
        <v>1382</v>
      </c>
      <c r="N3020" t="s">
        <v>643</v>
      </c>
      <c r="O3020" t="s">
        <v>1403</v>
      </c>
      <c r="P3020" t="s">
        <v>1347</v>
      </c>
      <c r="Q3020" t="s">
        <v>510</v>
      </c>
      <c r="R3020" t="s">
        <v>1384</v>
      </c>
      <c r="S3020" t="s">
        <v>1501</v>
      </c>
      <c r="T3020" t="s">
        <v>1320</v>
      </c>
      <c r="U3020">
        <v>184100</v>
      </c>
      <c r="V3020" t="s">
        <v>9416</v>
      </c>
      <c r="W3020" t="s">
        <v>1623</v>
      </c>
      <c r="X3020" t="s">
        <v>11660</v>
      </c>
      <c r="Y3020" t="s">
        <v>11661</v>
      </c>
      <c r="Z3020" t="s">
        <v>8574</v>
      </c>
      <c r="AA3020" t="s">
        <v>8726</v>
      </c>
      <c r="AB3020" t="s">
        <v>11662</v>
      </c>
      <c r="AE3020">
        <v>-38.009417679999999</v>
      </c>
      <c r="AF3020">
        <v>175.32051050000001</v>
      </c>
      <c r="AG3020" s="175">
        <v>29</v>
      </c>
      <c r="AH3020" s="175">
        <v>25</v>
      </c>
      <c r="AI3020" s="175">
        <v>6</v>
      </c>
      <c r="AJ3020" s="175">
        <v>23</v>
      </c>
      <c r="AK3020" s="175">
        <v>0</v>
      </c>
      <c r="AL3020" s="175">
        <v>0</v>
      </c>
      <c r="AM3020" s="175">
        <v>0</v>
      </c>
      <c r="AN3020" s="175">
        <v>0</v>
      </c>
      <c r="AO3020" s="175">
        <v>29</v>
      </c>
      <c r="AP3020" s="175">
        <v>19</v>
      </c>
      <c r="AQ3020" s="175">
        <v>6</v>
      </c>
      <c r="AR3020" s="175">
        <v>1</v>
      </c>
      <c r="AS3020" s="175">
        <v>4</v>
      </c>
      <c r="AT3020" s="175">
        <v>5</v>
      </c>
    </row>
    <row r="3021" spans="1:46">
      <c r="A3021">
        <v>47783</v>
      </c>
      <c r="B3021" t="s">
        <v>17165</v>
      </c>
      <c r="C3021" t="s">
        <v>17166</v>
      </c>
      <c r="D3021" t="s">
        <v>17167</v>
      </c>
      <c r="E3021" t="s">
        <v>17168</v>
      </c>
      <c r="F3021" t="s">
        <v>4508</v>
      </c>
      <c r="G3021" t="s">
        <v>737</v>
      </c>
      <c r="H3021" t="s">
        <v>449</v>
      </c>
      <c r="J3021" t="s">
        <v>4032</v>
      </c>
      <c r="K3021" t="s">
        <v>606</v>
      </c>
      <c r="M3021" t="s">
        <v>607</v>
      </c>
      <c r="N3021" t="s">
        <v>625</v>
      </c>
      <c r="O3021" t="s">
        <v>914</v>
      </c>
      <c r="P3021" t="s">
        <v>739</v>
      </c>
      <c r="Q3021" t="s">
        <v>467</v>
      </c>
      <c r="R3021" t="s">
        <v>793</v>
      </c>
      <c r="S3021" t="s">
        <v>815</v>
      </c>
      <c r="T3021" t="s">
        <v>794</v>
      </c>
      <c r="U3021">
        <v>147001</v>
      </c>
      <c r="V3021" t="s">
        <v>6685</v>
      </c>
      <c r="W3021" t="s">
        <v>892</v>
      </c>
      <c r="X3021" t="s">
        <v>17169</v>
      </c>
      <c r="Y3021" t="s">
        <v>17168</v>
      </c>
      <c r="Z3021" t="s">
        <v>4508</v>
      </c>
      <c r="AA3021" t="s">
        <v>4423</v>
      </c>
      <c r="AB3021" t="s">
        <v>17170</v>
      </c>
      <c r="AE3021">
        <v>-36.891698699999999</v>
      </c>
      <c r="AF3021">
        <v>174.85652336999999</v>
      </c>
      <c r="AG3021" s="175">
        <v>55</v>
      </c>
      <c r="AH3021" s="175">
        <v>10</v>
      </c>
      <c r="AI3021" s="175">
        <v>2</v>
      </c>
      <c r="AJ3021" s="175">
        <v>12</v>
      </c>
      <c r="AK3021" s="175">
        <v>10</v>
      </c>
      <c r="AL3021" s="175">
        <v>19</v>
      </c>
      <c r="AM3021" s="175">
        <v>11</v>
      </c>
      <c r="AN3021" s="175">
        <v>0</v>
      </c>
      <c r="AO3021" s="175">
        <v>54</v>
      </c>
      <c r="AP3021" s="175">
        <v>14</v>
      </c>
      <c r="AQ3021" s="175">
        <v>7</v>
      </c>
      <c r="AR3021" s="175">
        <v>15</v>
      </c>
      <c r="AS3021" s="175">
        <v>27</v>
      </c>
      <c r="AT3021" s="175">
        <v>2</v>
      </c>
    </row>
    <row r="3022" spans="1:46">
      <c r="A3022">
        <v>47784</v>
      </c>
      <c r="B3022" t="s">
        <v>17171</v>
      </c>
      <c r="C3022" t="s">
        <v>15868</v>
      </c>
      <c r="D3022" t="s">
        <v>17172</v>
      </c>
      <c r="E3022" t="s">
        <v>17173</v>
      </c>
      <c r="F3022" t="s">
        <v>1838</v>
      </c>
      <c r="G3022" t="s">
        <v>1839</v>
      </c>
      <c r="H3022" t="s">
        <v>449</v>
      </c>
      <c r="J3022" t="s">
        <v>4032</v>
      </c>
      <c r="K3022" t="s">
        <v>606</v>
      </c>
      <c r="M3022" t="s">
        <v>1382</v>
      </c>
      <c r="N3022" t="s">
        <v>657</v>
      </c>
      <c r="O3022" t="s">
        <v>1840</v>
      </c>
      <c r="P3022" t="s">
        <v>670</v>
      </c>
      <c r="Q3022" t="s">
        <v>514</v>
      </c>
      <c r="R3022" t="s">
        <v>1841</v>
      </c>
      <c r="S3022" t="s">
        <v>1839</v>
      </c>
      <c r="T3022" t="s">
        <v>1568</v>
      </c>
      <c r="U3022">
        <v>217701</v>
      </c>
      <c r="V3022" t="s">
        <v>12632</v>
      </c>
      <c r="W3022" t="s">
        <v>1843</v>
      </c>
      <c r="X3022" t="s">
        <v>17174</v>
      </c>
      <c r="AB3022" t="s">
        <v>17175</v>
      </c>
      <c r="AE3022">
        <v>-39.034550940000003</v>
      </c>
      <c r="AF3022">
        <v>174.15810590000001</v>
      </c>
      <c r="AG3022" s="175">
        <v>120</v>
      </c>
      <c r="AH3022" s="175">
        <v>41</v>
      </c>
      <c r="AI3022" s="175">
        <v>12</v>
      </c>
      <c r="AJ3022" s="175">
        <v>37</v>
      </c>
      <c r="AK3022" s="175">
        <v>38</v>
      </c>
      <c r="AL3022" s="175">
        <v>22</v>
      </c>
      <c r="AM3022" s="175">
        <v>34</v>
      </c>
      <c r="AN3022" s="175">
        <v>2</v>
      </c>
      <c r="AO3022" s="175">
        <v>145</v>
      </c>
      <c r="AP3022" s="175">
        <v>132</v>
      </c>
      <c r="AQ3022" s="175">
        <v>45</v>
      </c>
      <c r="AR3022" s="175">
        <v>2</v>
      </c>
      <c r="AS3022" s="175">
        <v>5</v>
      </c>
      <c r="AT3022" s="175">
        <v>1</v>
      </c>
    </row>
    <row r="3023" spans="1:46">
      <c r="A3023">
        <v>47785</v>
      </c>
      <c r="B3023" t="s">
        <v>17176</v>
      </c>
      <c r="C3023" t="s">
        <v>17177</v>
      </c>
      <c r="D3023" t="s">
        <v>17178</v>
      </c>
      <c r="E3023" t="s">
        <v>17179</v>
      </c>
      <c r="F3023" t="s">
        <v>791</v>
      </c>
      <c r="G3023" t="s">
        <v>737</v>
      </c>
      <c r="H3023" t="s">
        <v>449</v>
      </c>
      <c r="J3023" t="s">
        <v>4032</v>
      </c>
      <c r="K3023" t="s">
        <v>606</v>
      </c>
      <c r="M3023" t="s">
        <v>607</v>
      </c>
      <c r="N3023" t="s">
        <v>657</v>
      </c>
      <c r="O3023" t="s">
        <v>792</v>
      </c>
      <c r="P3023" t="s">
        <v>739</v>
      </c>
      <c r="Q3023" t="s">
        <v>467</v>
      </c>
      <c r="R3023" t="s">
        <v>793</v>
      </c>
      <c r="S3023" t="s">
        <v>791</v>
      </c>
      <c r="T3023" t="s">
        <v>794</v>
      </c>
      <c r="U3023">
        <v>150700</v>
      </c>
      <c r="V3023" t="s">
        <v>882</v>
      </c>
      <c r="W3023" t="s">
        <v>796</v>
      </c>
      <c r="X3023" t="s">
        <v>17180</v>
      </c>
      <c r="Y3023" t="s">
        <v>17179</v>
      </c>
      <c r="Z3023" t="s">
        <v>791</v>
      </c>
      <c r="AA3023" t="s">
        <v>4551</v>
      </c>
      <c r="AB3023" t="s">
        <v>17177</v>
      </c>
      <c r="AE3023">
        <v>-36.90854641</v>
      </c>
      <c r="AF3023">
        <v>174.89811872000001</v>
      </c>
      <c r="AG3023" s="175">
        <v>34</v>
      </c>
      <c r="AH3023" s="175">
        <v>10</v>
      </c>
      <c r="AI3023" s="175">
        <v>0</v>
      </c>
      <c r="AJ3023" s="175">
        <v>9</v>
      </c>
      <c r="AK3023" s="175">
        <v>6</v>
      </c>
      <c r="AL3023" s="175">
        <v>12</v>
      </c>
      <c r="AM3023" s="175">
        <v>9</v>
      </c>
      <c r="AN3023" s="175">
        <v>0</v>
      </c>
      <c r="AO3023" s="175">
        <v>36</v>
      </c>
      <c r="AP3023" s="175">
        <v>30</v>
      </c>
      <c r="AQ3023" s="175">
        <v>5</v>
      </c>
      <c r="AR3023" s="175">
        <v>0</v>
      </c>
      <c r="AS3023" s="175">
        <v>5</v>
      </c>
      <c r="AT3023" s="175">
        <v>4</v>
      </c>
    </row>
    <row r="3024" spans="1:46">
      <c r="A3024">
        <v>47787</v>
      </c>
      <c r="B3024" t="s">
        <v>17181</v>
      </c>
      <c r="C3024" t="s">
        <v>17182</v>
      </c>
      <c r="E3024" t="s">
        <v>17183</v>
      </c>
      <c r="F3024" t="s">
        <v>3018</v>
      </c>
      <c r="G3024" t="s">
        <v>3015</v>
      </c>
      <c r="H3024" t="s">
        <v>449</v>
      </c>
      <c r="I3024" t="s">
        <v>4134</v>
      </c>
      <c r="J3024" t="s">
        <v>4032</v>
      </c>
      <c r="K3024" t="s">
        <v>606</v>
      </c>
      <c r="M3024" t="s">
        <v>2366</v>
      </c>
      <c r="N3024" t="s">
        <v>657</v>
      </c>
      <c r="O3024" t="s">
        <v>3016</v>
      </c>
      <c r="P3024" t="s">
        <v>739</v>
      </c>
      <c r="Q3024" t="s">
        <v>521</v>
      </c>
      <c r="R3024" t="s">
        <v>3017</v>
      </c>
      <c r="S3024" t="s">
        <v>3018</v>
      </c>
      <c r="T3024" t="s">
        <v>2526</v>
      </c>
      <c r="U3024">
        <v>320200</v>
      </c>
      <c r="V3024" t="s">
        <v>17184</v>
      </c>
      <c r="W3024" t="s">
        <v>3072</v>
      </c>
      <c r="X3024" t="s">
        <v>17185</v>
      </c>
      <c r="Y3024" t="s">
        <v>17186</v>
      </c>
      <c r="Z3024" t="s">
        <v>3106</v>
      </c>
      <c r="AA3024" t="s">
        <v>11482</v>
      </c>
      <c r="AB3024" t="s">
        <v>17187</v>
      </c>
      <c r="AE3024">
        <v>-43.517825109999997</v>
      </c>
      <c r="AF3024">
        <v>172.5780877</v>
      </c>
      <c r="AG3024" s="175">
        <v>29</v>
      </c>
      <c r="AH3024" s="175">
        <v>0</v>
      </c>
      <c r="AI3024" s="175">
        <v>0</v>
      </c>
      <c r="AJ3024" s="175">
        <v>0</v>
      </c>
      <c r="AK3024" s="175">
        <v>3</v>
      </c>
      <c r="AL3024" s="175">
        <v>7</v>
      </c>
      <c r="AM3024" s="175">
        <v>11</v>
      </c>
      <c r="AN3024" s="175">
        <v>0</v>
      </c>
      <c r="AO3024" s="175">
        <v>21</v>
      </c>
      <c r="AP3024" s="175">
        <v>5</v>
      </c>
      <c r="AQ3024" s="175">
        <v>1</v>
      </c>
      <c r="AR3024" s="175">
        <v>0</v>
      </c>
      <c r="AS3024" s="175">
        <v>13</v>
      </c>
      <c r="AT3024" s="175">
        <v>6</v>
      </c>
    </row>
    <row r="3025" spans="1:46">
      <c r="A3025">
        <v>47788</v>
      </c>
      <c r="B3025" t="s">
        <v>17188</v>
      </c>
      <c r="E3025" t="s">
        <v>17189</v>
      </c>
      <c r="F3025" t="s">
        <v>9034</v>
      </c>
      <c r="G3025" t="s">
        <v>1381</v>
      </c>
      <c r="H3025" t="s">
        <v>449</v>
      </c>
      <c r="J3025" t="s">
        <v>4032</v>
      </c>
      <c r="K3025" t="s">
        <v>606</v>
      </c>
      <c r="M3025" t="s">
        <v>1382</v>
      </c>
      <c r="N3025" t="s">
        <v>657</v>
      </c>
      <c r="O3025" t="s">
        <v>1435</v>
      </c>
      <c r="P3025" t="s">
        <v>658</v>
      </c>
      <c r="Q3025" t="s">
        <v>510</v>
      </c>
      <c r="R3025" t="s">
        <v>1384</v>
      </c>
      <c r="S3025" t="s">
        <v>1384</v>
      </c>
      <c r="T3025" t="s">
        <v>1320</v>
      </c>
      <c r="U3025">
        <v>173201</v>
      </c>
      <c r="V3025" t="s">
        <v>17190</v>
      </c>
      <c r="W3025" t="s">
        <v>8422</v>
      </c>
      <c r="X3025" t="s">
        <v>17191</v>
      </c>
      <c r="Y3025" t="s">
        <v>17189</v>
      </c>
      <c r="AA3025" t="s">
        <v>17192</v>
      </c>
      <c r="AB3025" t="s">
        <v>17193</v>
      </c>
      <c r="AE3025">
        <v>-37.803296979999999</v>
      </c>
      <c r="AF3025">
        <v>175.34638262999999</v>
      </c>
      <c r="AG3025" s="175">
        <v>95</v>
      </c>
      <c r="AH3025" s="175">
        <v>25</v>
      </c>
      <c r="AI3025" s="175">
        <v>2</v>
      </c>
      <c r="AJ3025" s="175">
        <v>19</v>
      </c>
      <c r="AK3025" s="175">
        <v>31</v>
      </c>
      <c r="AL3025" s="175">
        <v>18</v>
      </c>
      <c r="AM3025" s="175">
        <v>21</v>
      </c>
      <c r="AN3025" s="175">
        <v>1</v>
      </c>
      <c r="AO3025" s="175">
        <v>92</v>
      </c>
      <c r="AP3025" s="175">
        <v>70</v>
      </c>
      <c r="AQ3025" s="175">
        <v>20</v>
      </c>
      <c r="AR3025" s="175">
        <v>10</v>
      </c>
      <c r="AS3025" s="175">
        <v>5</v>
      </c>
      <c r="AT3025" s="175">
        <v>18</v>
      </c>
    </row>
    <row r="3026" spans="1:46">
      <c r="A3026">
        <v>47789</v>
      </c>
      <c r="B3026" t="s">
        <v>17194</v>
      </c>
      <c r="C3026" t="s">
        <v>16661</v>
      </c>
      <c r="D3026" t="s">
        <v>17195</v>
      </c>
      <c r="E3026" t="s">
        <v>17196</v>
      </c>
      <c r="F3026" t="s">
        <v>957</v>
      </c>
      <c r="G3026" t="s">
        <v>737</v>
      </c>
      <c r="H3026" t="s">
        <v>449</v>
      </c>
      <c r="J3026" t="s">
        <v>4032</v>
      </c>
      <c r="K3026" t="s">
        <v>606</v>
      </c>
      <c r="M3026" t="s">
        <v>607</v>
      </c>
      <c r="N3026" t="s">
        <v>643</v>
      </c>
      <c r="O3026" t="s">
        <v>803</v>
      </c>
      <c r="P3026" t="s">
        <v>739</v>
      </c>
      <c r="Q3026" t="s">
        <v>467</v>
      </c>
      <c r="R3026" t="s">
        <v>724</v>
      </c>
      <c r="S3026" t="s">
        <v>804</v>
      </c>
      <c r="T3026" t="s">
        <v>794</v>
      </c>
      <c r="U3026">
        <v>131000</v>
      </c>
      <c r="V3026" t="s">
        <v>4183</v>
      </c>
      <c r="W3026" t="s">
        <v>806</v>
      </c>
      <c r="X3026" t="s">
        <v>16660</v>
      </c>
      <c r="Y3026" t="s">
        <v>17197</v>
      </c>
      <c r="Z3026" t="s">
        <v>4082</v>
      </c>
      <c r="AA3026" t="s">
        <v>13913</v>
      </c>
      <c r="AB3026" t="s">
        <v>16661</v>
      </c>
      <c r="AE3026">
        <v>-36.90979428</v>
      </c>
      <c r="AF3026">
        <v>174.66279949</v>
      </c>
      <c r="AG3026" s="175">
        <v>90</v>
      </c>
      <c r="AH3026" s="175">
        <v>22</v>
      </c>
      <c r="AI3026" s="175">
        <v>1</v>
      </c>
      <c r="AJ3026" s="175">
        <v>18</v>
      </c>
      <c r="AK3026" s="175">
        <v>16</v>
      </c>
      <c r="AL3026" s="175">
        <v>25</v>
      </c>
      <c r="AM3026" s="175">
        <v>22</v>
      </c>
      <c r="AN3026" s="175">
        <v>1</v>
      </c>
      <c r="AO3026" s="175">
        <v>83</v>
      </c>
      <c r="AP3026" s="175">
        <v>12</v>
      </c>
      <c r="AQ3026" s="175">
        <v>10</v>
      </c>
      <c r="AR3026" s="175">
        <v>21</v>
      </c>
      <c r="AS3026" s="175">
        <v>56</v>
      </c>
      <c r="AT3026" s="175">
        <v>5</v>
      </c>
    </row>
    <row r="3027" spans="1:46">
      <c r="A3027">
        <v>47793</v>
      </c>
      <c r="B3027" t="s">
        <v>17198</v>
      </c>
      <c r="C3027" t="s">
        <v>17199</v>
      </c>
      <c r="D3027" t="s">
        <v>17200</v>
      </c>
      <c r="E3027" t="s">
        <v>17201</v>
      </c>
      <c r="G3027" t="s">
        <v>1596</v>
      </c>
      <c r="H3027" t="s">
        <v>449</v>
      </c>
      <c r="J3027" t="s">
        <v>4032</v>
      </c>
      <c r="K3027" t="s">
        <v>606</v>
      </c>
      <c r="M3027" t="s">
        <v>1382</v>
      </c>
      <c r="N3027" t="s">
        <v>643</v>
      </c>
      <c r="O3027" t="s">
        <v>1554</v>
      </c>
      <c r="P3027" t="s">
        <v>610</v>
      </c>
      <c r="Q3027" t="s">
        <v>511</v>
      </c>
      <c r="R3027" t="s">
        <v>1555</v>
      </c>
      <c r="S3027" t="s">
        <v>1556</v>
      </c>
      <c r="T3027" t="s">
        <v>1557</v>
      </c>
      <c r="U3027">
        <v>202200</v>
      </c>
      <c r="V3027" t="s">
        <v>1596</v>
      </c>
      <c r="W3027" t="s">
        <v>1597</v>
      </c>
      <c r="X3027" t="s">
        <v>17202</v>
      </c>
      <c r="Y3027" t="s">
        <v>17203</v>
      </c>
      <c r="AA3027" t="s">
        <v>11730</v>
      </c>
      <c r="AB3027" t="s">
        <v>17204</v>
      </c>
      <c r="AE3027">
        <v>-37.982192640000001</v>
      </c>
      <c r="AF3027">
        <v>176.82674663</v>
      </c>
      <c r="AG3027" s="175">
        <v>32</v>
      </c>
      <c r="AH3027" s="175">
        <v>10</v>
      </c>
      <c r="AI3027" s="175">
        <v>3</v>
      </c>
      <c r="AJ3027" s="175">
        <v>8</v>
      </c>
      <c r="AK3027" s="175">
        <v>11</v>
      </c>
      <c r="AL3027" s="175">
        <v>10</v>
      </c>
      <c r="AM3027" s="175">
        <v>12</v>
      </c>
      <c r="AN3027" s="175">
        <v>2</v>
      </c>
      <c r="AO3027" s="175">
        <v>46</v>
      </c>
      <c r="AP3027" s="175">
        <v>35</v>
      </c>
      <c r="AQ3027" s="175">
        <v>20</v>
      </c>
      <c r="AR3027" s="175">
        <v>2</v>
      </c>
      <c r="AS3027" s="175">
        <v>0</v>
      </c>
      <c r="AT3027" s="175">
        <v>2</v>
      </c>
    </row>
    <row r="3028" spans="1:46">
      <c r="A3028">
        <v>47794</v>
      </c>
      <c r="B3028" t="s">
        <v>17205</v>
      </c>
      <c r="C3028" t="s">
        <v>17206</v>
      </c>
      <c r="E3028" t="s">
        <v>17207</v>
      </c>
      <c r="F3028" t="s">
        <v>10675</v>
      </c>
      <c r="G3028" t="s">
        <v>1681</v>
      </c>
      <c r="H3028" t="s">
        <v>449</v>
      </c>
      <c r="J3028" t="s">
        <v>4032</v>
      </c>
      <c r="K3028" t="s">
        <v>606</v>
      </c>
      <c r="M3028" t="s">
        <v>1382</v>
      </c>
      <c r="N3028" t="s">
        <v>657</v>
      </c>
      <c r="O3028" t="s">
        <v>1780</v>
      </c>
      <c r="P3028" t="s">
        <v>739</v>
      </c>
      <c r="Q3028" t="s">
        <v>511</v>
      </c>
      <c r="R3028" t="s">
        <v>1555</v>
      </c>
      <c r="S3028" t="s">
        <v>1681</v>
      </c>
      <c r="T3028" t="s">
        <v>1557</v>
      </c>
      <c r="U3028">
        <v>193600</v>
      </c>
      <c r="V3028" t="s">
        <v>1790</v>
      </c>
      <c r="W3028" t="s">
        <v>1791</v>
      </c>
      <c r="X3028" t="s">
        <v>17208</v>
      </c>
      <c r="Y3028" t="s">
        <v>17207</v>
      </c>
      <c r="Z3028" t="s">
        <v>10675</v>
      </c>
      <c r="AA3028" t="s">
        <v>8468</v>
      </c>
      <c r="AC3028">
        <v>99036</v>
      </c>
      <c r="AD3028" t="s">
        <v>1792</v>
      </c>
      <c r="AE3028">
        <v>-37.695122699999999</v>
      </c>
      <c r="AF3028">
        <v>176.13659380000001</v>
      </c>
      <c r="AG3028" s="175">
        <v>54</v>
      </c>
      <c r="AH3028" s="175">
        <v>17</v>
      </c>
      <c r="AI3028" s="175">
        <v>0</v>
      </c>
      <c r="AJ3028" s="175">
        <v>22</v>
      </c>
      <c r="AK3028" s="175">
        <v>9</v>
      </c>
      <c r="AL3028" s="175">
        <v>11</v>
      </c>
      <c r="AM3028" s="175">
        <v>15</v>
      </c>
      <c r="AN3028" s="175">
        <v>2</v>
      </c>
      <c r="AO3028" s="175">
        <v>59</v>
      </c>
      <c r="AP3028" s="175">
        <v>55</v>
      </c>
      <c r="AQ3028" s="175">
        <v>11</v>
      </c>
      <c r="AR3028" s="175">
        <v>2</v>
      </c>
      <c r="AS3028" s="175">
        <v>2</v>
      </c>
      <c r="AT3028" s="175">
        <v>1</v>
      </c>
    </row>
    <row r="3029" spans="1:46">
      <c r="A3029">
        <v>47795</v>
      </c>
      <c r="B3029" t="s">
        <v>17209</v>
      </c>
      <c r="C3029" t="s">
        <v>17210</v>
      </c>
      <c r="D3029" t="s">
        <v>17211</v>
      </c>
      <c r="E3029" t="s">
        <v>17212</v>
      </c>
      <c r="F3029" t="s">
        <v>2489</v>
      </c>
      <c r="G3029" t="s">
        <v>2449</v>
      </c>
      <c r="H3029" t="s">
        <v>449</v>
      </c>
      <c r="J3029" t="s">
        <v>605</v>
      </c>
      <c r="K3029" t="s">
        <v>606</v>
      </c>
      <c r="M3029" t="s">
        <v>2366</v>
      </c>
      <c r="N3029" t="s">
        <v>657</v>
      </c>
      <c r="O3029" t="s">
        <v>2450</v>
      </c>
      <c r="P3029" t="s">
        <v>670</v>
      </c>
      <c r="Q3029" t="s">
        <v>516</v>
      </c>
      <c r="R3029" t="s">
        <v>2368</v>
      </c>
      <c r="S3029" t="s">
        <v>2451</v>
      </c>
      <c r="T3029" t="s">
        <v>2165</v>
      </c>
      <c r="U3029">
        <v>242100</v>
      </c>
      <c r="V3029" t="s">
        <v>2489</v>
      </c>
      <c r="W3029" t="s">
        <v>1734</v>
      </c>
      <c r="X3029" t="s">
        <v>10497</v>
      </c>
      <c r="Y3029" t="s">
        <v>4014</v>
      </c>
      <c r="Z3029" t="s">
        <v>4015</v>
      </c>
      <c r="AA3029" t="s">
        <v>4016</v>
      </c>
      <c r="AE3029">
        <v>-41.110277920000001</v>
      </c>
      <c r="AF3029">
        <v>175.08187222000001</v>
      </c>
      <c r="AG3029" s="175">
        <v>73</v>
      </c>
      <c r="AH3029" s="175">
        <v>14</v>
      </c>
      <c r="AI3029" s="175">
        <v>3</v>
      </c>
      <c r="AJ3029" s="175">
        <v>14</v>
      </c>
      <c r="AK3029" s="175">
        <v>18</v>
      </c>
      <c r="AL3029" s="175">
        <v>26</v>
      </c>
      <c r="AM3029" s="175">
        <v>25</v>
      </c>
      <c r="AN3029" s="175">
        <v>0</v>
      </c>
      <c r="AO3029" s="175">
        <v>86</v>
      </c>
      <c r="AP3029" s="175">
        <v>75</v>
      </c>
      <c r="AQ3029" s="175">
        <v>16</v>
      </c>
      <c r="AR3029" s="175">
        <v>7</v>
      </c>
      <c r="AS3029" s="175">
        <v>16</v>
      </c>
      <c r="AT3029" s="175">
        <v>0</v>
      </c>
    </row>
    <row r="3030" spans="1:46">
      <c r="A3030">
        <v>47796</v>
      </c>
      <c r="B3030" t="s">
        <v>17213</v>
      </c>
      <c r="C3030" t="s">
        <v>17214</v>
      </c>
      <c r="D3030" t="s">
        <v>17215</v>
      </c>
      <c r="E3030" t="s">
        <v>17216</v>
      </c>
      <c r="F3030" t="s">
        <v>17217</v>
      </c>
      <c r="G3030" t="s">
        <v>1839</v>
      </c>
      <c r="H3030" t="s">
        <v>449</v>
      </c>
      <c r="J3030" t="s">
        <v>4032</v>
      </c>
      <c r="K3030" t="s">
        <v>606</v>
      </c>
      <c r="M3030" t="s">
        <v>1382</v>
      </c>
      <c r="N3030" t="s">
        <v>657</v>
      </c>
      <c r="O3030" t="s">
        <v>1840</v>
      </c>
      <c r="P3030" t="s">
        <v>670</v>
      </c>
      <c r="Q3030" t="s">
        <v>514</v>
      </c>
      <c r="R3030" t="s">
        <v>1841</v>
      </c>
      <c r="S3030" t="s">
        <v>1839</v>
      </c>
      <c r="T3030" t="s">
        <v>1568</v>
      </c>
      <c r="U3030">
        <v>217201</v>
      </c>
      <c r="V3030" t="s">
        <v>17217</v>
      </c>
      <c r="W3030" t="s">
        <v>1843</v>
      </c>
      <c r="X3030" t="s">
        <v>17218</v>
      </c>
      <c r="Y3030" t="s">
        <v>17219</v>
      </c>
      <c r="AA3030" t="s">
        <v>7554</v>
      </c>
      <c r="AB3030" t="s">
        <v>17220</v>
      </c>
      <c r="AE3030">
        <v>-39.081225539999998</v>
      </c>
      <c r="AF3030">
        <v>174.0349985</v>
      </c>
      <c r="AG3030" s="175">
        <v>83</v>
      </c>
      <c r="AH3030" s="175">
        <v>25</v>
      </c>
      <c r="AI3030" s="175">
        <v>2</v>
      </c>
      <c r="AJ3030" s="175">
        <v>14</v>
      </c>
      <c r="AK3030" s="175">
        <v>25</v>
      </c>
      <c r="AL3030" s="175">
        <v>17</v>
      </c>
      <c r="AM3030" s="175">
        <v>19</v>
      </c>
      <c r="AN3030" s="175">
        <v>0</v>
      </c>
      <c r="AO3030" s="175">
        <v>77</v>
      </c>
      <c r="AP3030" s="175">
        <v>65</v>
      </c>
      <c r="AQ3030" s="175">
        <v>7</v>
      </c>
      <c r="AR3030" s="175">
        <v>1</v>
      </c>
      <c r="AS3030" s="175">
        <v>13</v>
      </c>
      <c r="AT3030" s="175">
        <v>5</v>
      </c>
    </row>
    <row r="3031" spans="1:46">
      <c r="A3031">
        <v>47797</v>
      </c>
      <c r="B3031" t="s">
        <v>17221</v>
      </c>
      <c r="C3031" t="s">
        <v>17222</v>
      </c>
      <c r="D3031" t="s">
        <v>17223</v>
      </c>
      <c r="E3031" t="s">
        <v>17224</v>
      </c>
      <c r="G3031" t="s">
        <v>11933</v>
      </c>
      <c r="H3031" t="s">
        <v>449</v>
      </c>
      <c r="J3031" t="s">
        <v>4032</v>
      </c>
      <c r="K3031" t="s">
        <v>606</v>
      </c>
      <c r="M3031" t="s">
        <v>2366</v>
      </c>
      <c r="N3031" t="s">
        <v>657</v>
      </c>
      <c r="O3031" t="s">
        <v>3281</v>
      </c>
      <c r="P3031" t="s">
        <v>610</v>
      </c>
      <c r="Q3031" t="s">
        <v>521</v>
      </c>
      <c r="R3031" t="s">
        <v>3017</v>
      </c>
      <c r="S3031" t="s">
        <v>3252</v>
      </c>
      <c r="T3031" t="s">
        <v>2526</v>
      </c>
      <c r="U3031">
        <v>335701</v>
      </c>
      <c r="V3031" t="s">
        <v>11930</v>
      </c>
      <c r="W3031" t="s">
        <v>3735</v>
      </c>
      <c r="X3031" t="s">
        <v>17225</v>
      </c>
      <c r="Y3031" t="s">
        <v>17226</v>
      </c>
      <c r="AA3031" t="s">
        <v>17227</v>
      </c>
      <c r="AB3031" t="s">
        <v>17222</v>
      </c>
      <c r="AC3031">
        <v>99113</v>
      </c>
      <c r="AD3031" t="s">
        <v>3736</v>
      </c>
      <c r="AE3031">
        <v>-43.57897088</v>
      </c>
      <c r="AF3031">
        <v>172.51107983</v>
      </c>
      <c r="AG3031" s="175">
        <v>60</v>
      </c>
      <c r="AH3031" s="175">
        <v>12</v>
      </c>
      <c r="AI3031" s="175">
        <v>2</v>
      </c>
      <c r="AJ3031" s="175">
        <v>14</v>
      </c>
      <c r="AK3031" s="175">
        <v>17</v>
      </c>
      <c r="AL3031" s="175">
        <v>19</v>
      </c>
      <c r="AM3031" s="175">
        <v>24</v>
      </c>
      <c r="AN3031" s="175">
        <v>0</v>
      </c>
      <c r="AO3031" s="175">
        <v>76</v>
      </c>
      <c r="AP3031" s="175">
        <v>70</v>
      </c>
      <c r="AQ3031" s="175">
        <v>7</v>
      </c>
      <c r="AR3031" s="175">
        <v>1</v>
      </c>
      <c r="AS3031" s="175">
        <v>5</v>
      </c>
      <c r="AT3031" s="175">
        <v>0</v>
      </c>
    </row>
    <row r="3032" spans="1:46">
      <c r="A3032">
        <v>47798</v>
      </c>
      <c r="B3032" t="s">
        <v>17228</v>
      </c>
      <c r="C3032" t="s">
        <v>17229</v>
      </c>
      <c r="D3032" t="s">
        <v>17230</v>
      </c>
      <c r="E3032" t="s">
        <v>17231</v>
      </c>
      <c r="G3032" t="s">
        <v>1921</v>
      </c>
      <c r="H3032" t="s">
        <v>449</v>
      </c>
      <c r="J3032" t="s">
        <v>4032</v>
      </c>
      <c r="K3032" t="s">
        <v>606</v>
      </c>
      <c r="M3032" t="s">
        <v>1382</v>
      </c>
      <c r="N3032" t="s">
        <v>657</v>
      </c>
      <c r="O3032" t="s">
        <v>1922</v>
      </c>
      <c r="P3032" t="s">
        <v>610</v>
      </c>
      <c r="Q3032" t="s">
        <v>514</v>
      </c>
      <c r="R3032" t="s">
        <v>1841</v>
      </c>
      <c r="S3032" t="s">
        <v>1923</v>
      </c>
      <c r="T3032" t="s">
        <v>1568</v>
      </c>
      <c r="U3032">
        <v>220301</v>
      </c>
      <c r="V3032" t="s">
        <v>1958</v>
      </c>
      <c r="W3032" t="s">
        <v>1925</v>
      </c>
      <c r="X3032" t="s">
        <v>17232</v>
      </c>
      <c r="Y3032" t="s">
        <v>17231</v>
      </c>
      <c r="AA3032" t="s">
        <v>17233</v>
      </c>
      <c r="AB3032" t="s">
        <v>17229</v>
      </c>
      <c r="AE3032">
        <v>-39.336521550000001</v>
      </c>
      <c r="AF3032">
        <v>174.28331969999999</v>
      </c>
      <c r="AG3032" s="175">
        <v>75</v>
      </c>
      <c r="AH3032" s="175">
        <v>16</v>
      </c>
      <c r="AI3032" s="175">
        <v>1</v>
      </c>
      <c r="AJ3032" s="175">
        <v>22</v>
      </c>
      <c r="AK3032" s="175">
        <v>17</v>
      </c>
      <c r="AL3032" s="175">
        <v>27</v>
      </c>
      <c r="AM3032" s="175">
        <v>23</v>
      </c>
      <c r="AN3032" s="175">
        <v>0</v>
      </c>
      <c r="AO3032" s="175">
        <v>90</v>
      </c>
      <c r="AP3032" s="175">
        <v>81</v>
      </c>
      <c r="AQ3032" s="175">
        <v>10</v>
      </c>
      <c r="AR3032" s="175">
        <v>0</v>
      </c>
      <c r="AS3032" s="175">
        <v>2</v>
      </c>
      <c r="AT3032" s="175">
        <v>9</v>
      </c>
    </row>
    <row r="3033" spans="1:46">
      <c r="A3033">
        <v>47799</v>
      </c>
      <c r="B3033" t="s">
        <v>17234</v>
      </c>
      <c r="C3033" t="s">
        <v>11562</v>
      </c>
      <c r="D3033" t="s">
        <v>17235</v>
      </c>
      <c r="E3033" t="s">
        <v>17236</v>
      </c>
      <c r="G3033" t="s">
        <v>2358</v>
      </c>
      <c r="H3033" t="s">
        <v>449</v>
      </c>
      <c r="J3033" t="s">
        <v>4032</v>
      </c>
      <c r="K3033" t="s">
        <v>606</v>
      </c>
      <c r="M3033" t="s">
        <v>1382</v>
      </c>
      <c r="N3033" t="s">
        <v>643</v>
      </c>
      <c r="O3033" t="s">
        <v>2347</v>
      </c>
      <c r="P3033" t="s">
        <v>610</v>
      </c>
      <c r="Q3033" t="s">
        <v>513</v>
      </c>
      <c r="R3033" t="s">
        <v>2164</v>
      </c>
      <c r="S3033" t="s">
        <v>2348</v>
      </c>
      <c r="T3033" t="s">
        <v>2165</v>
      </c>
      <c r="U3033">
        <v>215700</v>
      </c>
      <c r="V3033" t="s">
        <v>2359</v>
      </c>
      <c r="W3033" t="s">
        <v>2350</v>
      </c>
      <c r="X3033" t="s">
        <v>8997</v>
      </c>
      <c r="Y3033" t="s">
        <v>8998</v>
      </c>
      <c r="Z3033" t="s">
        <v>2346</v>
      </c>
      <c r="AA3033" t="s">
        <v>8999</v>
      </c>
      <c r="AB3033" t="s">
        <v>9000</v>
      </c>
      <c r="AE3033">
        <v>-39.928492429999999</v>
      </c>
      <c r="AF3033">
        <v>176.59572155000001</v>
      </c>
      <c r="AG3033" s="175">
        <v>30</v>
      </c>
      <c r="AH3033" s="175">
        <v>10</v>
      </c>
      <c r="AI3033" s="175">
        <v>1</v>
      </c>
      <c r="AJ3033" s="175">
        <v>2</v>
      </c>
      <c r="AK3033" s="175">
        <v>11</v>
      </c>
      <c r="AL3033" s="175">
        <v>10</v>
      </c>
      <c r="AM3033" s="175">
        <v>6</v>
      </c>
      <c r="AN3033" s="175">
        <v>0</v>
      </c>
      <c r="AO3033" s="175">
        <v>30</v>
      </c>
      <c r="AP3033" s="175">
        <v>21</v>
      </c>
      <c r="AQ3033" s="175">
        <v>16</v>
      </c>
      <c r="AR3033" s="175">
        <v>4</v>
      </c>
      <c r="AS3033" s="175">
        <v>0</v>
      </c>
      <c r="AT3033" s="175">
        <v>0</v>
      </c>
    </row>
    <row r="3034" spans="1:46">
      <c r="A3034">
        <v>47801</v>
      </c>
      <c r="B3034" t="s">
        <v>17237</v>
      </c>
      <c r="C3034" t="s">
        <v>17238</v>
      </c>
      <c r="E3034" t="s">
        <v>17239</v>
      </c>
      <c r="F3034" t="s">
        <v>8439</v>
      </c>
      <c r="G3034" t="s">
        <v>1681</v>
      </c>
      <c r="H3034" t="s">
        <v>449</v>
      </c>
      <c r="J3034" t="s">
        <v>4032</v>
      </c>
      <c r="K3034" t="s">
        <v>606</v>
      </c>
      <c r="M3034" t="s">
        <v>1382</v>
      </c>
      <c r="N3034" t="s">
        <v>657</v>
      </c>
      <c r="O3034" t="s">
        <v>1780</v>
      </c>
      <c r="P3034" t="s">
        <v>739</v>
      </c>
      <c r="Q3034" t="s">
        <v>511</v>
      </c>
      <c r="R3034" t="s">
        <v>1555</v>
      </c>
      <c r="S3034" t="s">
        <v>1681</v>
      </c>
      <c r="T3034" t="s">
        <v>1557</v>
      </c>
      <c r="U3034">
        <v>193700</v>
      </c>
      <c r="V3034" t="s">
        <v>10100</v>
      </c>
      <c r="W3034" t="s">
        <v>1806</v>
      </c>
      <c r="X3034" t="s">
        <v>17240</v>
      </c>
      <c r="Y3034" t="s">
        <v>17241</v>
      </c>
      <c r="Z3034" t="s">
        <v>3944</v>
      </c>
      <c r="AA3034" t="s">
        <v>8947</v>
      </c>
      <c r="AB3034" t="s">
        <v>17242</v>
      </c>
      <c r="AC3034">
        <v>99064</v>
      </c>
      <c r="AD3034" t="s">
        <v>1784</v>
      </c>
      <c r="AE3034">
        <v>-37.647064</v>
      </c>
      <c r="AF3034">
        <v>176.19106909999999</v>
      </c>
      <c r="AG3034" s="175">
        <v>60</v>
      </c>
      <c r="AH3034" s="175">
        <v>15</v>
      </c>
      <c r="AI3034" s="175">
        <v>2</v>
      </c>
      <c r="AJ3034" s="175">
        <v>18</v>
      </c>
      <c r="AK3034" s="175">
        <v>18</v>
      </c>
      <c r="AL3034" s="175">
        <v>13</v>
      </c>
      <c r="AM3034" s="175">
        <v>20</v>
      </c>
      <c r="AN3034" s="175">
        <v>0</v>
      </c>
      <c r="AO3034" s="175">
        <v>71</v>
      </c>
      <c r="AP3034" s="175">
        <v>66</v>
      </c>
      <c r="AQ3034" s="175">
        <v>12</v>
      </c>
      <c r="AR3034" s="175">
        <v>2</v>
      </c>
      <c r="AS3034" s="175">
        <v>6</v>
      </c>
      <c r="AT3034" s="175">
        <v>4</v>
      </c>
    </row>
    <row r="3035" spans="1:46">
      <c r="A3035">
        <v>47802</v>
      </c>
      <c r="B3035" t="s">
        <v>17243</v>
      </c>
      <c r="C3035" t="s">
        <v>17244</v>
      </c>
      <c r="E3035" t="s">
        <v>17245</v>
      </c>
      <c r="F3035" t="s">
        <v>1396</v>
      </c>
      <c r="G3035" t="s">
        <v>1381</v>
      </c>
      <c r="H3035" t="s">
        <v>449</v>
      </c>
      <c r="J3035" t="s">
        <v>4032</v>
      </c>
      <c r="K3035" t="s">
        <v>606</v>
      </c>
      <c r="M3035" t="s">
        <v>1382</v>
      </c>
      <c r="N3035" t="s">
        <v>657</v>
      </c>
      <c r="O3035" t="s">
        <v>1383</v>
      </c>
      <c r="P3035" t="s">
        <v>739</v>
      </c>
      <c r="Q3035" t="s">
        <v>510</v>
      </c>
      <c r="R3035" t="s">
        <v>1384</v>
      </c>
      <c r="S3035" t="s">
        <v>1396</v>
      </c>
      <c r="T3035" t="s">
        <v>1320</v>
      </c>
      <c r="U3035">
        <v>179600</v>
      </c>
      <c r="V3035" t="s">
        <v>8874</v>
      </c>
      <c r="W3035" t="s">
        <v>1398</v>
      </c>
      <c r="X3035" t="s">
        <v>17246</v>
      </c>
      <c r="Y3035" t="s">
        <v>4176</v>
      </c>
      <c r="AA3035" t="s">
        <v>4052</v>
      </c>
      <c r="AB3035" t="s">
        <v>17244</v>
      </c>
      <c r="AE3035">
        <v>-37.786906199999997</v>
      </c>
      <c r="AF3035">
        <v>175.29885189999999</v>
      </c>
      <c r="AG3035" s="175">
        <v>110</v>
      </c>
      <c r="AH3035" s="175">
        <v>25</v>
      </c>
      <c r="AI3035" s="175">
        <v>6</v>
      </c>
      <c r="AJ3035" s="175">
        <v>14</v>
      </c>
      <c r="AK3035" s="175">
        <v>24</v>
      </c>
      <c r="AL3035" s="175">
        <v>31</v>
      </c>
      <c r="AM3035" s="175">
        <v>26</v>
      </c>
      <c r="AN3035" s="175">
        <v>1</v>
      </c>
      <c r="AO3035" s="175">
        <v>102</v>
      </c>
      <c r="AP3035" s="175">
        <v>34</v>
      </c>
      <c r="AQ3035" s="175">
        <v>31</v>
      </c>
      <c r="AR3035" s="175">
        <v>13</v>
      </c>
      <c r="AS3035" s="175">
        <v>47</v>
      </c>
      <c r="AT3035" s="175">
        <v>10</v>
      </c>
    </row>
    <row r="3036" spans="1:46">
      <c r="A3036">
        <v>47803</v>
      </c>
      <c r="B3036" t="s">
        <v>17247</v>
      </c>
      <c r="E3036" t="s">
        <v>17248</v>
      </c>
      <c r="F3036" t="s">
        <v>14233</v>
      </c>
      <c r="G3036" t="s">
        <v>737</v>
      </c>
      <c r="H3036" t="s">
        <v>449</v>
      </c>
      <c r="J3036" t="s">
        <v>4032</v>
      </c>
      <c r="K3036" t="s">
        <v>606</v>
      </c>
      <c r="M3036" t="s">
        <v>607</v>
      </c>
      <c r="N3036" t="s">
        <v>608</v>
      </c>
      <c r="O3036" t="s">
        <v>1301</v>
      </c>
      <c r="P3036" t="s">
        <v>739</v>
      </c>
      <c r="Q3036" t="s">
        <v>467</v>
      </c>
      <c r="R3036" t="s">
        <v>814</v>
      </c>
      <c r="S3036" t="s">
        <v>1121</v>
      </c>
      <c r="T3036" t="s">
        <v>794</v>
      </c>
      <c r="U3036">
        <v>158700</v>
      </c>
      <c r="V3036" t="s">
        <v>1372</v>
      </c>
      <c r="W3036" t="s">
        <v>1304</v>
      </c>
      <c r="X3036" t="s">
        <v>16288</v>
      </c>
      <c r="Y3036" t="s">
        <v>4839</v>
      </c>
      <c r="Z3036" t="s">
        <v>964</v>
      </c>
      <c r="AA3036" t="s">
        <v>4840</v>
      </c>
      <c r="AB3036" t="s">
        <v>4841</v>
      </c>
      <c r="AE3036">
        <v>-37.027909200000003</v>
      </c>
      <c r="AF3036">
        <v>174.86087409999999</v>
      </c>
      <c r="AG3036" s="175">
        <v>45</v>
      </c>
      <c r="AH3036" s="175">
        <v>5</v>
      </c>
      <c r="AI3036" s="175">
        <v>0</v>
      </c>
      <c r="AJ3036" s="175">
        <v>5</v>
      </c>
      <c r="AK3036" s="175">
        <v>10</v>
      </c>
      <c r="AL3036" s="175">
        <v>10</v>
      </c>
      <c r="AM3036" s="175">
        <v>13</v>
      </c>
      <c r="AN3036" s="175">
        <v>2</v>
      </c>
      <c r="AO3036" s="175">
        <v>40</v>
      </c>
      <c r="AP3036" s="175">
        <v>0</v>
      </c>
      <c r="AQ3036" s="175">
        <v>8</v>
      </c>
      <c r="AR3036" s="175">
        <v>25</v>
      </c>
      <c r="AS3036" s="175">
        <v>9</v>
      </c>
      <c r="AT3036" s="175">
        <v>3</v>
      </c>
    </row>
    <row r="3037" spans="1:46">
      <c r="A3037">
        <v>47805</v>
      </c>
      <c r="B3037" t="s">
        <v>17249</v>
      </c>
      <c r="C3037" t="s">
        <v>17250</v>
      </c>
      <c r="D3037" t="s">
        <v>17251</v>
      </c>
      <c r="E3037" t="s">
        <v>17252</v>
      </c>
      <c r="G3037" t="s">
        <v>3321</v>
      </c>
      <c r="H3037" t="s">
        <v>449</v>
      </c>
      <c r="I3037" t="s">
        <v>4134</v>
      </c>
      <c r="J3037" t="s">
        <v>4032</v>
      </c>
      <c r="K3037" t="s">
        <v>606</v>
      </c>
      <c r="M3037" t="s">
        <v>2366</v>
      </c>
      <c r="N3037" t="s">
        <v>657</v>
      </c>
      <c r="O3037" t="s">
        <v>3322</v>
      </c>
      <c r="P3037" t="s">
        <v>610</v>
      </c>
      <c r="Q3037" t="s">
        <v>521</v>
      </c>
      <c r="R3037" t="s">
        <v>3017</v>
      </c>
      <c r="S3037" t="s">
        <v>3323</v>
      </c>
      <c r="T3037" t="s">
        <v>2526</v>
      </c>
      <c r="U3037">
        <v>338901</v>
      </c>
      <c r="V3037" t="s">
        <v>3321</v>
      </c>
      <c r="W3037" t="s">
        <v>3324</v>
      </c>
      <c r="X3037" t="s">
        <v>14081</v>
      </c>
      <c r="Y3037" t="s">
        <v>14080</v>
      </c>
      <c r="AA3037" t="s">
        <v>14082</v>
      </c>
      <c r="AB3037" t="s">
        <v>14083</v>
      </c>
      <c r="AE3037">
        <v>-44.096568400000002</v>
      </c>
      <c r="AF3037">
        <v>171.24458440000001</v>
      </c>
      <c r="AG3037" s="175">
        <v>20</v>
      </c>
      <c r="AH3037" s="175">
        <v>20</v>
      </c>
      <c r="AI3037" s="175">
        <v>2</v>
      </c>
      <c r="AJ3037" s="175">
        <v>6</v>
      </c>
      <c r="AK3037" s="175">
        <v>5</v>
      </c>
      <c r="AL3037" s="175">
        <v>0</v>
      </c>
      <c r="AM3037" s="175">
        <v>0</v>
      </c>
      <c r="AN3037" s="175">
        <v>0</v>
      </c>
      <c r="AO3037" s="175">
        <v>13</v>
      </c>
      <c r="AP3037" s="175">
        <v>9</v>
      </c>
      <c r="AQ3037" s="175">
        <v>0</v>
      </c>
      <c r="AR3037" s="175">
        <v>0</v>
      </c>
      <c r="AS3037" s="175">
        <v>1</v>
      </c>
      <c r="AT3037" s="175">
        <v>3</v>
      </c>
    </row>
    <row r="3038" spans="1:46">
      <c r="A3038">
        <v>47806</v>
      </c>
      <c r="B3038" t="s">
        <v>17253</v>
      </c>
      <c r="C3038" t="s">
        <v>17254</v>
      </c>
      <c r="D3038" t="s">
        <v>17255</v>
      </c>
      <c r="E3038" t="s">
        <v>17256</v>
      </c>
      <c r="G3038" t="s">
        <v>1402</v>
      </c>
      <c r="H3038" t="s">
        <v>449</v>
      </c>
      <c r="J3038" t="s">
        <v>4032</v>
      </c>
      <c r="K3038" t="s">
        <v>606</v>
      </c>
      <c r="M3038" t="s">
        <v>1382</v>
      </c>
      <c r="N3038" t="s">
        <v>657</v>
      </c>
      <c r="O3038" t="s">
        <v>1403</v>
      </c>
      <c r="P3038" t="s">
        <v>1347</v>
      </c>
      <c r="Q3038" t="s">
        <v>510</v>
      </c>
      <c r="R3038" t="s">
        <v>1384</v>
      </c>
      <c r="S3038" t="s">
        <v>1404</v>
      </c>
      <c r="T3038" t="s">
        <v>1320</v>
      </c>
      <c r="U3038">
        <v>183200</v>
      </c>
      <c r="V3038" t="s">
        <v>8564</v>
      </c>
      <c r="W3038" t="s">
        <v>1406</v>
      </c>
      <c r="X3038" t="s">
        <v>17257</v>
      </c>
      <c r="Y3038" t="s">
        <v>4176</v>
      </c>
      <c r="AA3038" t="s">
        <v>4052</v>
      </c>
      <c r="AB3038" t="s">
        <v>17258</v>
      </c>
      <c r="AC3038">
        <v>99034</v>
      </c>
      <c r="AD3038" t="s">
        <v>8567</v>
      </c>
      <c r="AE3038">
        <v>-37.890876059999997</v>
      </c>
      <c r="AF3038">
        <v>175.47103195</v>
      </c>
      <c r="AG3038" s="175">
        <v>90</v>
      </c>
      <c r="AH3038" s="175">
        <v>25</v>
      </c>
      <c r="AI3038" s="175">
        <v>6</v>
      </c>
      <c r="AJ3038" s="175">
        <v>18</v>
      </c>
      <c r="AK3038" s="175">
        <v>29</v>
      </c>
      <c r="AL3038" s="175">
        <v>21</v>
      </c>
      <c r="AM3038" s="175">
        <v>19</v>
      </c>
      <c r="AN3038" s="175">
        <v>2</v>
      </c>
      <c r="AO3038" s="175">
        <v>95</v>
      </c>
      <c r="AP3038" s="175">
        <v>67</v>
      </c>
      <c r="AQ3038" s="175">
        <v>17</v>
      </c>
      <c r="AR3038" s="175">
        <v>5</v>
      </c>
      <c r="AS3038" s="175">
        <v>26</v>
      </c>
      <c r="AT3038" s="175">
        <v>4</v>
      </c>
    </row>
    <row r="3039" spans="1:46">
      <c r="A3039">
        <v>47807</v>
      </c>
      <c r="B3039" t="s">
        <v>17259</v>
      </c>
      <c r="C3039" t="s">
        <v>17260</v>
      </c>
      <c r="D3039" t="s">
        <v>17261</v>
      </c>
      <c r="E3039" t="s">
        <v>17262</v>
      </c>
      <c r="G3039" t="s">
        <v>4576</v>
      </c>
      <c r="H3039" t="s">
        <v>449</v>
      </c>
      <c r="J3039" t="s">
        <v>4032</v>
      </c>
      <c r="K3039" t="s">
        <v>606</v>
      </c>
      <c r="M3039" t="s">
        <v>607</v>
      </c>
      <c r="N3039" t="s">
        <v>657</v>
      </c>
      <c r="O3039" t="s">
        <v>738</v>
      </c>
      <c r="P3039" t="s">
        <v>670</v>
      </c>
      <c r="Q3039" t="s">
        <v>467</v>
      </c>
      <c r="R3039" t="s">
        <v>724</v>
      </c>
      <c r="S3039" t="s">
        <v>753</v>
      </c>
      <c r="T3039" t="s">
        <v>613</v>
      </c>
      <c r="U3039">
        <v>113300</v>
      </c>
      <c r="V3039" t="s">
        <v>6148</v>
      </c>
      <c r="W3039" t="s">
        <v>742</v>
      </c>
      <c r="X3039" t="s">
        <v>17263</v>
      </c>
      <c r="Y3039" t="s">
        <v>17262</v>
      </c>
      <c r="AA3039" t="s">
        <v>12449</v>
      </c>
      <c r="AE3039">
        <v>-36.612337259999997</v>
      </c>
      <c r="AF3039">
        <v>174.6663015</v>
      </c>
      <c r="AG3039" s="175">
        <v>120</v>
      </c>
      <c r="AH3039" s="175">
        <v>45</v>
      </c>
      <c r="AI3039" s="175">
        <v>3</v>
      </c>
      <c r="AJ3039" s="175">
        <v>23</v>
      </c>
      <c r="AK3039" s="175">
        <v>24</v>
      </c>
      <c r="AL3039" s="175">
        <v>26</v>
      </c>
      <c r="AM3039" s="175">
        <v>24</v>
      </c>
      <c r="AN3039" s="175">
        <v>0</v>
      </c>
      <c r="AO3039" s="175">
        <v>100</v>
      </c>
      <c r="AP3039" s="175">
        <v>67</v>
      </c>
      <c r="AQ3039" s="175">
        <v>8</v>
      </c>
      <c r="AR3039" s="175">
        <v>2</v>
      </c>
      <c r="AS3039" s="175">
        <v>24</v>
      </c>
      <c r="AT3039" s="175">
        <v>7</v>
      </c>
    </row>
    <row r="3040" spans="1:46">
      <c r="A3040">
        <v>47808</v>
      </c>
      <c r="B3040" t="s">
        <v>17264</v>
      </c>
      <c r="C3040" t="s">
        <v>17265</v>
      </c>
      <c r="E3040" t="s">
        <v>17266</v>
      </c>
      <c r="G3040" t="s">
        <v>2346</v>
      </c>
      <c r="H3040" t="s">
        <v>449</v>
      </c>
      <c r="J3040" t="s">
        <v>4032</v>
      </c>
      <c r="K3040" t="s">
        <v>606</v>
      </c>
      <c r="M3040" t="s">
        <v>1382</v>
      </c>
      <c r="N3040" t="s">
        <v>657</v>
      </c>
      <c r="O3040" t="s">
        <v>2347</v>
      </c>
      <c r="P3040" t="s">
        <v>610</v>
      </c>
      <c r="Q3040" t="s">
        <v>513</v>
      </c>
      <c r="R3040" t="s">
        <v>2164</v>
      </c>
      <c r="S3040" t="s">
        <v>2348</v>
      </c>
      <c r="T3040" t="s">
        <v>2165</v>
      </c>
      <c r="U3040">
        <v>215801</v>
      </c>
      <c r="V3040" t="s">
        <v>2349</v>
      </c>
      <c r="W3040" t="s">
        <v>2350</v>
      </c>
      <c r="X3040" t="s">
        <v>17267</v>
      </c>
      <c r="Y3040" t="s">
        <v>15181</v>
      </c>
      <c r="Z3040" t="s">
        <v>8762</v>
      </c>
      <c r="AA3040" t="s">
        <v>2283</v>
      </c>
      <c r="AB3040" t="s">
        <v>17265</v>
      </c>
      <c r="AC3040">
        <v>99160</v>
      </c>
      <c r="AD3040" t="s">
        <v>2351</v>
      </c>
      <c r="AE3040">
        <v>-39.9934735</v>
      </c>
      <c r="AF3040">
        <v>176.5458605</v>
      </c>
      <c r="AG3040" s="175">
        <v>100</v>
      </c>
      <c r="AH3040" s="175">
        <v>40</v>
      </c>
      <c r="AI3040" s="175">
        <v>8</v>
      </c>
      <c r="AJ3040" s="175">
        <v>21</v>
      </c>
      <c r="AK3040" s="175">
        <v>32</v>
      </c>
      <c r="AL3040" s="175">
        <v>20</v>
      </c>
      <c r="AM3040" s="175">
        <v>18</v>
      </c>
      <c r="AN3040" s="175">
        <v>0</v>
      </c>
      <c r="AO3040" s="175">
        <v>99</v>
      </c>
      <c r="AP3040" s="175">
        <v>91</v>
      </c>
      <c r="AQ3040" s="175">
        <v>17</v>
      </c>
      <c r="AR3040" s="175">
        <v>0</v>
      </c>
      <c r="AS3040" s="175">
        <v>7</v>
      </c>
      <c r="AT3040" s="175">
        <v>1</v>
      </c>
    </row>
    <row r="3041" spans="1:46">
      <c r="A3041">
        <v>47809</v>
      </c>
      <c r="B3041" t="s">
        <v>17268</v>
      </c>
      <c r="C3041" t="s">
        <v>17269</v>
      </c>
      <c r="E3041" t="s">
        <v>17270</v>
      </c>
      <c r="F3041" t="s">
        <v>1468</v>
      </c>
      <c r="G3041" t="s">
        <v>1381</v>
      </c>
      <c r="H3041" t="s">
        <v>449</v>
      </c>
      <c r="J3041" t="s">
        <v>605</v>
      </c>
      <c r="K3041" t="s">
        <v>606</v>
      </c>
      <c r="M3041" t="s">
        <v>1382</v>
      </c>
      <c r="N3041" t="s">
        <v>657</v>
      </c>
      <c r="O3041" t="s">
        <v>1383</v>
      </c>
      <c r="P3041" t="s">
        <v>739</v>
      </c>
      <c r="Q3041" t="s">
        <v>510</v>
      </c>
      <c r="R3041" t="s">
        <v>1384</v>
      </c>
      <c r="S3041" t="s">
        <v>1385</v>
      </c>
      <c r="T3041" t="s">
        <v>1320</v>
      </c>
      <c r="U3041">
        <v>177400</v>
      </c>
      <c r="V3041" t="s">
        <v>1469</v>
      </c>
      <c r="W3041" t="s">
        <v>1387</v>
      </c>
      <c r="X3041" t="s">
        <v>17271</v>
      </c>
      <c r="Y3041" t="s">
        <v>6434</v>
      </c>
      <c r="Z3041" t="s">
        <v>4622</v>
      </c>
      <c r="AA3041" t="s">
        <v>4623</v>
      </c>
      <c r="AE3041">
        <v>-37.7676406</v>
      </c>
      <c r="AF3041">
        <v>175.25980630000001</v>
      </c>
      <c r="AG3041" s="175">
        <v>42</v>
      </c>
      <c r="AH3041" s="175">
        <v>12</v>
      </c>
      <c r="AI3041" s="175">
        <v>0</v>
      </c>
      <c r="AJ3041" s="175">
        <v>6</v>
      </c>
      <c r="AK3041" s="175">
        <v>6</v>
      </c>
      <c r="AL3041" s="175">
        <v>6</v>
      </c>
      <c r="AM3041" s="175">
        <v>8</v>
      </c>
      <c r="AN3041" s="175">
        <v>0</v>
      </c>
      <c r="AO3041" s="175">
        <v>26</v>
      </c>
      <c r="AP3041" s="175">
        <v>10</v>
      </c>
      <c r="AQ3041" s="175">
        <v>7</v>
      </c>
      <c r="AR3041" s="175">
        <v>3</v>
      </c>
      <c r="AS3041" s="175">
        <v>11</v>
      </c>
      <c r="AT3041" s="175">
        <v>0</v>
      </c>
    </row>
    <row r="3042" spans="1:46">
      <c r="A3042">
        <v>47811</v>
      </c>
      <c r="B3042" t="s">
        <v>17272</v>
      </c>
      <c r="C3042" t="s">
        <v>17273</v>
      </c>
      <c r="D3042" t="s">
        <v>17274</v>
      </c>
      <c r="E3042" t="s">
        <v>17275</v>
      </c>
      <c r="F3042" t="s">
        <v>888</v>
      </c>
      <c r="G3042" t="s">
        <v>737</v>
      </c>
      <c r="H3042" t="s">
        <v>450</v>
      </c>
      <c r="J3042" t="s">
        <v>4032</v>
      </c>
      <c r="K3042" t="s">
        <v>606</v>
      </c>
      <c r="M3042" t="s">
        <v>607</v>
      </c>
      <c r="N3042" t="s">
        <v>657</v>
      </c>
      <c r="O3042" t="s">
        <v>889</v>
      </c>
      <c r="P3042" t="s">
        <v>739</v>
      </c>
      <c r="Q3042" t="s">
        <v>467</v>
      </c>
      <c r="R3042" t="s">
        <v>793</v>
      </c>
      <c r="S3042" t="s">
        <v>890</v>
      </c>
      <c r="T3042" t="s">
        <v>794</v>
      </c>
      <c r="U3042">
        <v>143301</v>
      </c>
      <c r="V3042" t="s">
        <v>4299</v>
      </c>
      <c r="W3042" t="s">
        <v>892</v>
      </c>
      <c r="X3042" t="s">
        <v>17276</v>
      </c>
      <c r="Y3042" t="s">
        <v>17275</v>
      </c>
      <c r="Z3042" t="s">
        <v>888</v>
      </c>
      <c r="AA3042" t="s">
        <v>4834</v>
      </c>
      <c r="AE3042">
        <v>-36.891588650000003</v>
      </c>
      <c r="AF3042">
        <v>174.81122689</v>
      </c>
      <c r="AG3042" s="175">
        <v>80</v>
      </c>
      <c r="AH3042" s="175">
        <v>80</v>
      </c>
      <c r="AI3042" s="175">
        <v>10</v>
      </c>
      <c r="AJ3042" s="175">
        <v>20</v>
      </c>
      <c r="AK3042" s="175">
        <v>19</v>
      </c>
      <c r="AL3042" s="175">
        <v>13</v>
      </c>
      <c r="AM3042" s="175">
        <v>13</v>
      </c>
      <c r="AN3042" s="175">
        <v>0</v>
      </c>
      <c r="AO3042" s="175">
        <v>75</v>
      </c>
      <c r="AP3042" s="175">
        <v>0</v>
      </c>
      <c r="AQ3042" s="175">
        <v>0</v>
      </c>
      <c r="AR3042" s="175">
        <v>0</v>
      </c>
      <c r="AS3042" s="175">
        <v>75</v>
      </c>
      <c r="AT3042" s="175">
        <v>2</v>
      </c>
    </row>
    <row r="3043" spans="1:46">
      <c r="A3043">
        <v>47812</v>
      </c>
      <c r="B3043" t="s">
        <v>17277</v>
      </c>
      <c r="C3043" t="s">
        <v>17278</v>
      </c>
      <c r="D3043" t="s">
        <v>17279</v>
      </c>
      <c r="E3043" t="s">
        <v>17280</v>
      </c>
      <c r="F3043" t="s">
        <v>4101</v>
      </c>
      <c r="G3043" t="s">
        <v>737</v>
      </c>
      <c r="H3043" t="s">
        <v>449</v>
      </c>
      <c r="J3043" t="s">
        <v>4032</v>
      </c>
      <c r="K3043" t="s">
        <v>606</v>
      </c>
      <c r="M3043" t="s">
        <v>607</v>
      </c>
      <c r="N3043" t="s">
        <v>657</v>
      </c>
      <c r="O3043" t="s">
        <v>958</v>
      </c>
      <c r="P3043" t="s">
        <v>739</v>
      </c>
      <c r="Q3043" t="s">
        <v>467</v>
      </c>
      <c r="R3043" t="s">
        <v>793</v>
      </c>
      <c r="S3043" t="s">
        <v>855</v>
      </c>
      <c r="T3043" t="s">
        <v>794</v>
      </c>
      <c r="U3043">
        <v>136700</v>
      </c>
      <c r="V3043" t="s">
        <v>7236</v>
      </c>
      <c r="W3043" t="s">
        <v>900</v>
      </c>
      <c r="X3043" t="s">
        <v>17281</v>
      </c>
      <c r="Y3043" t="s">
        <v>7728</v>
      </c>
      <c r="Z3043" t="s">
        <v>729</v>
      </c>
      <c r="AA3043" t="s">
        <v>730</v>
      </c>
      <c r="AB3043" t="s">
        <v>17278</v>
      </c>
      <c r="AE3043">
        <v>-36.864964280000002</v>
      </c>
      <c r="AF3043">
        <v>174.77091899999999</v>
      </c>
      <c r="AG3043" s="175">
        <v>118</v>
      </c>
      <c r="AH3043" s="175">
        <v>20</v>
      </c>
      <c r="AI3043" s="175">
        <v>3</v>
      </c>
      <c r="AJ3043" s="175">
        <v>11</v>
      </c>
      <c r="AK3043" s="175">
        <v>19</v>
      </c>
      <c r="AL3043" s="175">
        <v>21</v>
      </c>
      <c r="AM3043" s="175">
        <v>23</v>
      </c>
      <c r="AN3043" s="175">
        <v>1</v>
      </c>
      <c r="AO3043" s="175">
        <v>78</v>
      </c>
      <c r="AP3043" s="175">
        <v>19</v>
      </c>
      <c r="AQ3043" s="175">
        <v>3</v>
      </c>
      <c r="AR3043" s="175">
        <v>0</v>
      </c>
      <c r="AS3043" s="175">
        <v>66</v>
      </c>
      <c r="AT3043" s="175">
        <v>1</v>
      </c>
    </row>
    <row r="3044" spans="1:46">
      <c r="A3044">
        <v>47814</v>
      </c>
      <c r="B3044" t="s">
        <v>17282</v>
      </c>
      <c r="C3044" t="s">
        <v>17283</v>
      </c>
      <c r="E3044" t="s">
        <v>17284</v>
      </c>
      <c r="F3044" t="s">
        <v>1319</v>
      </c>
      <c r="G3044" t="s">
        <v>737</v>
      </c>
      <c r="H3044" t="s">
        <v>449</v>
      </c>
      <c r="J3044" t="s">
        <v>4032</v>
      </c>
      <c r="K3044" t="s">
        <v>606</v>
      </c>
      <c r="M3044" t="s">
        <v>607</v>
      </c>
      <c r="N3044" t="s">
        <v>608</v>
      </c>
      <c r="O3044" t="s">
        <v>1353</v>
      </c>
      <c r="P3044" t="s">
        <v>739</v>
      </c>
      <c r="Q3044" t="s">
        <v>467</v>
      </c>
      <c r="R3044" t="s">
        <v>814</v>
      </c>
      <c r="S3044" t="s">
        <v>1319</v>
      </c>
      <c r="T3044" t="s">
        <v>1320</v>
      </c>
      <c r="U3044">
        <v>163001</v>
      </c>
      <c r="V3044" t="s">
        <v>1362</v>
      </c>
      <c r="W3044" t="s">
        <v>1304</v>
      </c>
      <c r="X3044" t="s">
        <v>17285</v>
      </c>
      <c r="Y3044" t="s">
        <v>17284</v>
      </c>
      <c r="Z3044" t="s">
        <v>1319</v>
      </c>
      <c r="AA3044" t="s">
        <v>11088</v>
      </c>
      <c r="AE3044">
        <v>-37.054561649999997</v>
      </c>
      <c r="AF3044">
        <v>174.95044224</v>
      </c>
      <c r="AG3044" s="175">
        <v>64</v>
      </c>
      <c r="AH3044" s="175">
        <v>16</v>
      </c>
      <c r="AI3044" s="175">
        <v>3</v>
      </c>
      <c r="AJ3044" s="175">
        <v>10</v>
      </c>
      <c r="AK3044" s="175">
        <v>16</v>
      </c>
      <c r="AL3044" s="175">
        <v>21</v>
      </c>
      <c r="AM3044" s="175">
        <v>13</v>
      </c>
      <c r="AN3044" s="175">
        <v>0</v>
      </c>
      <c r="AO3044" s="175">
        <v>63</v>
      </c>
      <c r="AP3044" s="175">
        <v>5</v>
      </c>
      <c r="AQ3044" s="175">
        <v>4</v>
      </c>
      <c r="AR3044" s="175">
        <v>5</v>
      </c>
      <c r="AS3044" s="175">
        <v>55</v>
      </c>
      <c r="AT3044" s="175">
        <v>0</v>
      </c>
    </row>
    <row r="3045" spans="1:46">
      <c r="A3045">
        <v>47816</v>
      </c>
      <c r="B3045" t="s">
        <v>17286</v>
      </c>
      <c r="C3045" t="s">
        <v>17287</v>
      </c>
      <c r="E3045" t="s">
        <v>17288</v>
      </c>
      <c r="F3045" t="s">
        <v>3841</v>
      </c>
      <c r="G3045" t="s">
        <v>1681</v>
      </c>
      <c r="H3045" t="s">
        <v>449</v>
      </c>
      <c r="J3045" t="s">
        <v>605</v>
      </c>
      <c r="K3045" t="s">
        <v>606</v>
      </c>
      <c r="M3045" t="s">
        <v>1382</v>
      </c>
      <c r="N3045" t="s">
        <v>657</v>
      </c>
      <c r="O3045" t="s">
        <v>1780</v>
      </c>
      <c r="P3045" t="s">
        <v>739</v>
      </c>
      <c r="Q3045" t="s">
        <v>511</v>
      </c>
      <c r="R3045" t="s">
        <v>1555</v>
      </c>
      <c r="S3045" t="s">
        <v>1781</v>
      </c>
      <c r="T3045" t="s">
        <v>1557</v>
      </c>
      <c r="U3045">
        <v>197100</v>
      </c>
      <c r="V3045" t="s">
        <v>17289</v>
      </c>
      <c r="W3045" t="s">
        <v>3843</v>
      </c>
      <c r="X3045" t="s">
        <v>8441</v>
      </c>
      <c r="Y3045" t="s">
        <v>4014</v>
      </c>
      <c r="Z3045" t="s">
        <v>4015</v>
      </c>
      <c r="AA3045" t="s">
        <v>4016</v>
      </c>
      <c r="AB3045" t="s">
        <v>8442</v>
      </c>
      <c r="AE3045">
        <v>-37.700498029999999</v>
      </c>
      <c r="AF3045">
        <v>176.28382894000001</v>
      </c>
      <c r="AG3045" s="175">
        <v>90</v>
      </c>
      <c r="AH3045" s="175">
        <v>20</v>
      </c>
      <c r="AI3045" s="175">
        <v>2</v>
      </c>
      <c r="AJ3045" s="175">
        <v>12</v>
      </c>
      <c r="AK3045" s="175">
        <v>32</v>
      </c>
      <c r="AL3045" s="175">
        <v>23</v>
      </c>
      <c r="AM3045" s="175">
        <v>24</v>
      </c>
      <c r="AN3045" s="175">
        <v>6</v>
      </c>
      <c r="AO3045" s="175">
        <v>99</v>
      </c>
      <c r="AP3045" s="175">
        <v>45</v>
      </c>
      <c r="AQ3045" s="175">
        <v>44</v>
      </c>
      <c r="AR3045" s="175">
        <v>7</v>
      </c>
      <c r="AS3045" s="175">
        <v>19</v>
      </c>
      <c r="AT3045" s="175">
        <v>17</v>
      </c>
    </row>
    <row r="3046" spans="1:46">
      <c r="A3046">
        <v>47818</v>
      </c>
      <c r="B3046" t="s">
        <v>17290</v>
      </c>
      <c r="C3046" t="s">
        <v>17291</v>
      </c>
      <c r="D3046" t="s">
        <v>17292</v>
      </c>
      <c r="E3046" t="s">
        <v>17293</v>
      </c>
      <c r="F3046" t="s">
        <v>1252</v>
      </c>
      <c r="G3046" t="s">
        <v>737</v>
      </c>
      <c r="H3046" t="s">
        <v>449</v>
      </c>
      <c r="J3046" t="s">
        <v>4032</v>
      </c>
      <c r="K3046" t="s">
        <v>606</v>
      </c>
      <c r="M3046" t="s">
        <v>607</v>
      </c>
      <c r="N3046" t="s">
        <v>657</v>
      </c>
      <c r="O3046" t="s">
        <v>898</v>
      </c>
      <c r="P3046" t="s">
        <v>739</v>
      </c>
      <c r="Q3046" t="s">
        <v>467</v>
      </c>
      <c r="R3046" t="s">
        <v>724</v>
      </c>
      <c r="S3046" t="s">
        <v>725</v>
      </c>
      <c r="T3046" t="s">
        <v>613</v>
      </c>
      <c r="U3046">
        <v>118800</v>
      </c>
      <c r="V3046" t="s">
        <v>14747</v>
      </c>
      <c r="W3046" t="s">
        <v>900</v>
      </c>
      <c r="X3046" t="s">
        <v>17294</v>
      </c>
      <c r="Y3046" t="s">
        <v>17293</v>
      </c>
      <c r="Z3046" t="s">
        <v>1252</v>
      </c>
      <c r="AA3046" t="s">
        <v>6116</v>
      </c>
      <c r="AB3046" t="s">
        <v>17291</v>
      </c>
      <c r="AE3046">
        <v>-36.80672071</v>
      </c>
      <c r="AF3046">
        <v>174.6006691</v>
      </c>
      <c r="AG3046" s="175">
        <v>100</v>
      </c>
      <c r="AH3046" s="175">
        <v>25</v>
      </c>
      <c r="AI3046" s="175">
        <v>2</v>
      </c>
      <c r="AJ3046" s="175">
        <v>15</v>
      </c>
      <c r="AK3046" s="175">
        <v>20</v>
      </c>
      <c r="AL3046" s="175">
        <v>16</v>
      </c>
      <c r="AM3046" s="175">
        <v>11</v>
      </c>
      <c r="AN3046" s="175">
        <v>2</v>
      </c>
      <c r="AO3046" s="175">
        <v>66</v>
      </c>
      <c r="AP3046" s="175">
        <v>13</v>
      </c>
      <c r="AQ3046" s="175">
        <v>1</v>
      </c>
      <c r="AR3046" s="175">
        <v>6</v>
      </c>
      <c r="AS3046" s="175">
        <v>51</v>
      </c>
      <c r="AT3046" s="175">
        <v>4</v>
      </c>
    </row>
    <row r="3047" spans="1:46">
      <c r="A3047">
        <v>47820</v>
      </c>
      <c r="B3047" t="s">
        <v>17295</v>
      </c>
      <c r="C3047" t="s">
        <v>17296</v>
      </c>
      <c r="E3047" t="s">
        <v>17297</v>
      </c>
      <c r="F3047" t="s">
        <v>745</v>
      </c>
      <c r="G3047" t="s">
        <v>737</v>
      </c>
      <c r="H3047" t="s">
        <v>449</v>
      </c>
      <c r="J3047" t="s">
        <v>605</v>
      </c>
      <c r="K3047" t="s">
        <v>606</v>
      </c>
      <c r="M3047" t="s">
        <v>607</v>
      </c>
      <c r="N3047" t="s">
        <v>657</v>
      </c>
      <c r="O3047" t="s">
        <v>1253</v>
      </c>
      <c r="P3047" t="s">
        <v>739</v>
      </c>
      <c r="Q3047" t="s">
        <v>467</v>
      </c>
      <c r="R3047" t="s">
        <v>724</v>
      </c>
      <c r="S3047" t="s">
        <v>740</v>
      </c>
      <c r="T3047" t="s">
        <v>613</v>
      </c>
      <c r="U3047">
        <v>117600</v>
      </c>
      <c r="V3047" t="s">
        <v>4067</v>
      </c>
      <c r="W3047" t="s">
        <v>742</v>
      </c>
      <c r="X3047" t="s">
        <v>17298</v>
      </c>
      <c r="Y3047" t="s">
        <v>4069</v>
      </c>
      <c r="Z3047" t="s">
        <v>745</v>
      </c>
      <c r="AA3047" t="s">
        <v>6191</v>
      </c>
      <c r="AB3047" t="s">
        <v>4064</v>
      </c>
      <c r="AE3047">
        <v>-36.722118520000002</v>
      </c>
      <c r="AF3047">
        <v>174.72313294</v>
      </c>
      <c r="AG3047" s="175">
        <v>150</v>
      </c>
      <c r="AH3047" s="175">
        <v>30</v>
      </c>
      <c r="AI3047" s="175">
        <v>6</v>
      </c>
      <c r="AJ3047" s="175">
        <v>16</v>
      </c>
      <c r="AK3047" s="175">
        <v>32</v>
      </c>
      <c r="AL3047" s="175">
        <v>33</v>
      </c>
      <c r="AM3047" s="175">
        <v>44</v>
      </c>
      <c r="AN3047" s="175">
        <v>6</v>
      </c>
      <c r="AO3047" s="175">
        <v>137</v>
      </c>
      <c r="AP3047" s="175">
        <v>43</v>
      </c>
      <c r="AQ3047" s="175">
        <v>3</v>
      </c>
      <c r="AR3047" s="175">
        <v>1</v>
      </c>
      <c r="AS3047" s="175">
        <v>90</v>
      </c>
      <c r="AT3047" s="175">
        <v>7</v>
      </c>
    </row>
    <row r="3048" spans="1:46">
      <c r="A3048">
        <v>47821</v>
      </c>
      <c r="B3048" t="s">
        <v>17299</v>
      </c>
      <c r="C3048" t="s">
        <v>15945</v>
      </c>
      <c r="D3048" t="s">
        <v>15946</v>
      </c>
      <c r="E3048" t="s">
        <v>17300</v>
      </c>
      <c r="F3048" t="s">
        <v>1102</v>
      </c>
      <c r="G3048" t="s">
        <v>737</v>
      </c>
      <c r="H3048" t="s">
        <v>450</v>
      </c>
      <c r="J3048" t="s">
        <v>4032</v>
      </c>
      <c r="K3048" t="s">
        <v>606</v>
      </c>
      <c r="M3048" t="s">
        <v>607</v>
      </c>
      <c r="N3048" t="s">
        <v>657</v>
      </c>
      <c r="O3048" t="s">
        <v>942</v>
      </c>
      <c r="P3048" t="s">
        <v>739</v>
      </c>
      <c r="Q3048" t="s">
        <v>467</v>
      </c>
      <c r="R3048" t="s">
        <v>793</v>
      </c>
      <c r="S3048" t="s">
        <v>943</v>
      </c>
      <c r="T3048" t="s">
        <v>794</v>
      </c>
      <c r="U3048">
        <v>136900</v>
      </c>
      <c r="V3048" t="s">
        <v>5888</v>
      </c>
      <c r="W3048" t="s">
        <v>945</v>
      </c>
      <c r="X3048" t="s">
        <v>17301</v>
      </c>
      <c r="Y3048" t="s">
        <v>9089</v>
      </c>
      <c r="Z3048" t="s">
        <v>2505</v>
      </c>
      <c r="AA3048" t="s">
        <v>9092</v>
      </c>
      <c r="AE3048">
        <v>-36.871378890000003</v>
      </c>
      <c r="AF3048">
        <v>174.75240645</v>
      </c>
      <c r="AG3048" s="175">
        <v>50</v>
      </c>
      <c r="AH3048" s="175">
        <v>50</v>
      </c>
      <c r="AI3048" s="175">
        <v>1</v>
      </c>
      <c r="AJ3048" s="175">
        <v>5</v>
      </c>
      <c r="AK3048" s="175">
        <v>2</v>
      </c>
      <c r="AL3048" s="175">
        <v>2</v>
      </c>
      <c r="AM3048" s="175">
        <v>3</v>
      </c>
      <c r="AN3048" s="175">
        <v>0</v>
      </c>
      <c r="AO3048" s="175">
        <v>13</v>
      </c>
      <c r="AP3048" s="175">
        <v>3</v>
      </c>
      <c r="AQ3048" s="175">
        <v>0</v>
      </c>
      <c r="AR3048" s="175">
        <v>0</v>
      </c>
      <c r="AS3048" s="175">
        <v>13</v>
      </c>
      <c r="AT3048" s="175">
        <v>0</v>
      </c>
    </row>
    <row r="3049" spans="1:46">
      <c r="A3049">
        <v>47822</v>
      </c>
      <c r="B3049" t="s">
        <v>17302</v>
      </c>
      <c r="C3049" t="s">
        <v>17303</v>
      </c>
      <c r="E3049" t="s">
        <v>17304</v>
      </c>
      <c r="F3049" t="s">
        <v>736</v>
      </c>
      <c r="G3049" t="s">
        <v>737</v>
      </c>
      <c r="H3049" t="s">
        <v>450</v>
      </c>
      <c r="J3049" t="s">
        <v>4032</v>
      </c>
      <c r="K3049" t="s">
        <v>606</v>
      </c>
      <c r="M3049" t="s">
        <v>607</v>
      </c>
      <c r="N3049" t="s">
        <v>657</v>
      </c>
      <c r="O3049" t="s">
        <v>738</v>
      </c>
      <c r="P3049" t="s">
        <v>739</v>
      </c>
      <c r="Q3049" t="s">
        <v>467</v>
      </c>
      <c r="R3049" t="s">
        <v>793</v>
      </c>
      <c r="S3049" t="s">
        <v>740</v>
      </c>
      <c r="T3049" t="s">
        <v>613</v>
      </c>
      <c r="U3049">
        <v>117201</v>
      </c>
      <c r="V3049" t="s">
        <v>7297</v>
      </c>
      <c r="W3049" t="s">
        <v>742</v>
      </c>
      <c r="X3049" t="s">
        <v>17305</v>
      </c>
      <c r="Y3049" t="s">
        <v>17304</v>
      </c>
      <c r="Z3049" t="s">
        <v>736</v>
      </c>
      <c r="AA3049" t="s">
        <v>4153</v>
      </c>
      <c r="AE3049">
        <v>-36.69505942</v>
      </c>
      <c r="AF3049">
        <v>174.74532843</v>
      </c>
      <c r="AG3049" s="175">
        <v>80</v>
      </c>
      <c r="AH3049" s="175">
        <v>80</v>
      </c>
      <c r="AI3049" s="175">
        <v>5</v>
      </c>
      <c r="AJ3049" s="175">
        <v>10</v>
      </c>
      <c r="AK3049" s="175">
        <v>13</v>
      </c>
      <c r="AL3049" s="175">
        <v>14</v>
      </c>
      <c r="AM3049" s="175">
        <v>10</v>
      </c>
      <c r="AN3049" s="175">
        <v>0</v>
      </c>
      <c r="AO3049" s="175">
        <v>52</v>
      </c>
      <c r="AP3049" s="175">
        <v>3</v>
      </c>
      <c r="AQ3049" s="175">
        <v>0</v>
      </c>
      <c r="AR3049" s="175">
        <v>0</v>
      </c>
      <c r="AS3049" s="175">
        <v>51</v>
      </c>
      <c r="AT3049" s="175">
        <v>0</v>
      </c>
    </row>
    <row r="3050" spans="1:46">
      <c r="A3050">
        <v>47826</v>
      </c>
      <c r="B3050" t="s">
        <v>17306</v>
      </c>
      <c r="C3050" t="s">
        <v>17307</v>
      </c>
      <c r="D3050" t="s">
        <v>11709</v>
      </c>
      <c r="E3050" t="s">
        <v>14239</v>
      </c>
      <c r="G3050" t="s">
        <v>2276</v>
      </c>
      <c r="H3050" t="s">
        <v>450</v>
      </c>
      <c r="J3050" t="s">
        <v>4032</v>
      </c>
      <c r="K3050" t="s">
        <v>606</v>
      </c>
      <c r="M3050" t="s">
        <v>1382</v>
      </c>
      <c r="N3050" t="s">
        <v>657</v>
      </c>
      <c r="O3050" t="s">
        <v>2277</v>
      </c>
      <c r="P3050" t="s">
        <v>670</v>
      </c>
      <c r="Q3050" t="s">
        <v>513</v>
      </c>
      <c r="R3050" t="s">
        <v>1841</v>
      </c>
      <c r="S3050" t="s">
        <v>2278</v>
      </c>
      <c r="T3050" t="s">
        <v>2165</v>
      </c>
      <c r="U3050">
        <v>210500</v>
      </c>
      <c r="V3050" t="s">
        <v>11711</v>
      </c>
      <c r="W3050" t="s">
        <v>2279</v>
      </c>
      <c r="X3050" t="s">
        <v>17308</v>
      </c>
      <c r="Y3050" t="s">
        <v>11710</v>
      </c>
      <c r="AA3050" t="s">
        <v>11713</v>
      </c>
      <c r="AB3050" t="s">
        <v>17309</v>
      </c>
      <c r="AE3050">
        <v>-39.641397910000002</v>
      </c>
      <c r="AF3050">
        <v>176.84700644</v>
      </c>
      <c r="AG3050" s="175">
        <v>80</v>
      </c>
      <c r="AH3050" s="175">
        <v>80</v>
      </c>
      <c r="AI3050" s="175">
        <v>2</v>
      </c>
      <c r="AJ3050" s="175">
        <v>10</v>
      </c>
      <c r="AK3050" s="175">
        <v>12</v>
      </c>
      <c r="AL3050" s="175">
        <v>14</v>
      </c>
      <c r="AM3050" s="175">
        <v>11</v>
      </c>
      <c r="AN3050" s="175">
        <v>1</v>
      </c>
      <c r="AO3050" s="175">
        <v>50</v>
      </c>
      <c r="AP3050" s="175">
        <v>48</v>
      </c>
      <c r="AQ3050" s="175">
        <v>9</v>
      </c>
      <c r="AR3050" s="175">
        <v>1</v>
      </c>
      <c r="AS3050" s="175">
        <v>1</v>
      </c>
      <c r="AT3050" s="175">
        <v>0</v>
      </c>
    </row>
    <row r="3051" spans="1:46">
      <c r="A3051">
        <v>47827</v>
      </c>
      <c r="B3051" t="s">
        <v>17310</v>
      </c>
      <c r="C3051" t="s">
        <v>17311</v>
      </c>
      <c r="E3051" t="s">
        <v>17312</v>
      </c>
      <c r="F3051" t="s">
        <v>8439</v>
      </c>
      <c r="G3051" t="s">
        <v>1681</v>
      </c>
      <c r="H3051" t="s">
        <v>449</v>
      </c>
      <c r="J3051" t="s">
        <v>4032</v>
      </c>
      <c r="K3051" t="s">
        <v>606</v>
      </c>
      <c r="M3051" t="s">
        <v>1382</v>
      </c>
      <c r="N3051" t="s">
        <v>643</v>
      </c>
      <c r="O3051" t="s">
        <v>1780</v>
      </c>
      <c r="P3051" t="s">
        <v>739</v>
      </c>
      <c r="Q3051" t="s">
        <v>511</v>
      </c>
      <c r="R3051" t="s">
        <v>1555</v>
      </c>
      <c r="S3051" t="s">
        <v>1781</v>
      </c>
      <c r="T3051" t="s">
        <v>1557</v>
      </c>
      <c r="U3051">
        <v>195500</v>
      </c>
      <c r="V3051" t="s">
        <v>9933</v>
      </c>
      <c r="W3051" t="s">
        <v>1806</v>
      </c>
      <c r="X3051" t="s">
        <v>12253</v>
      </c>
      <c r="Y3051" t="s">
        <v>12254</v>
      </c>
      <c r="Z3051" t="s">
        <v>12255</v>
      </c>
      <c r="AA3051" t="s">
        <v>12256</v>
      </c>
      <c r="AB3051" t="s">
        <v>12250</v>
      </c>
      <c r="AC3051">
        <v>99064</v>
      </c>
      <c r="AD3051" t="s">
        <v>1784</v>
      </c>
      <c r="AE3051">
        <v>-37.672013210000003</v>
      </c>
      <c r="AF3051">
        <v>176.2304192</v>
      </c>
      <c r="AG3051" s="175">
        <v>85</v>
      </c>
      <c r="AH3051" s="175">
        <v>35</v>
      </c>
      <c r="AI3051" s="175">
        <v>7</v>
      </c>
      <c r="AJ3051" s="175">
        <v>18</v>
      </c>
      <c r="AK3051" s="175">
        <v>33</v>
      </c>
      <c r="AL3051" s="175">
        <v>20</v>
      </c>
      <c r="AM3051" s="175">
        <v>19</v>
      </c>
      <c r="AN3051" s="175">
        <v>1</v>
      </c>
      <c r="AO3051" s="175">
        <v>98</v>
      </c>
      <c r="AP3051" s="175">
        <v>79</v>
      </c>
      <c r="AQ3051" s="175">
        <v>21</v>
      </c>
      <c r="AR3051" s="175">
        <v>0</v>
      </c>
      <c r="AS3051" s="175">
        <v>11</v>
      </c>
      <c r="AT3051" s="175">
        <v>12</v>
      </c>
    </row>
    <row r="3052" spans="1:46">
      <c r="A3052">
        <v>47828</v>
      </c>
      <c r="B3052" t="s">
        <v>17313</v>
      </c>
      <c r="C3052" t="s">
        <v>17314</v>
      </c>
      <c r="D3052" t="s">
        <v>17315</v>
      </c>
      <c r="E3052" t="s">
        <v>17316</v>
      </c>
      <c r="F3052" t="s">
        <v>17317</v>
      </c>
      <c r="G3052" t="s">
        <v>2055</v>
      </c>
      <c r="H3052" t="s">
        <v>452</v>
      </c>
      <c r="J3052" t="s">
        <v>605</v>
      </c>
      <c r="K3052" t="s">
        <v>606</v>
      </c>
      <c r="M3052" t="s">
        <v>1382</v>
      </c>
      <c r="N3052" t="s">
        <v>657</v>
      </c>
      <c r="O3052" t="s">
        <v>2037</v>
      </c>
      <c r="P3052" t="s">
        <v>670</v>
      </c>
      <c r="Q3052" t="s">
        <v>553</v>
      </c>
      <c r="R3052" t="s">
        <v>1841</v>
      </c>
      <c r="S3052" t="s">
        <v>1719</v>
      </c>
      <c r="T3052" t="s">
        <v>1568</v>
      </c>
      <c r="U3052">
        <v>232701</v>
      </c>
      <c r="V3052" t="s">
        <v>17318</v>
      </c>
      <c r="W3052" t="s">
        <v>2038</v>
      </c>
      <c r="X3052" t="s">
        <v>2039</v>
      </c>
      <c r="Y3052" t="s">
        <v>2040</v>
      </c>
      <c r="AA3052" t="s">
        <v>2041</v>
      </c>
      <c r="AB3052" t="s">
        <v>2042</v>
      </c>
      <c r="AE3052">
        <v>-40.386927360000001</v>
      </c>
      <c r="AF3052">
        <v>175.63973684999999</v>
      </c>
      <c r="AG3052" s="175">
        <v>65</v>
      </c>
      <c r="AH3052" s="175">
        <v>20</v>
      </c>
      <c r="AI3052" s="175">
        <v>1</v>
      </c>
      <c r="AJ3052" s="175">
        <v>20</v>
      </c>
      <c r="AK3052" s="175">
        <v>11</v>
      </c>
      <c r="AL3052" s="175">
        <v>18</v>
      </c>
      <c r="AM3052" s="175">
        <v>16</v>
      </c>
      <c r="AN3052" s="175">
        <v>1</v>
      </c>
      <c r="AO3052" s="175">
        <v>67</v>
      </c>
      <c r="AP3052" s="175">
        <v>58</v>
      </c>
      <c r="AQ3052" s="175">
        <v>21</v>
      </c>
      <c r="AR3052" s="175">
        <v>2</v>
      </c>
      <c r="AS3052" s="175">
        <v>13</v>
      </c>
      <c r="AT3052" s="175">
        <v>3</v>
      </c>
    </row>
    <row r="3053" spans="1:46">
      <c r="A3053">
        <v>47829</v>
      </c>
      <c r="B3053" t="s">
        <v>17319</v>
      </c>
      <c r="C3053" t="s">
        <v>16457</v>
      </c>
      <c r="D3053" t="s">
        <v>17320</v>
      </c>
      <c r="E3053" t="s">
        <v>17321</v>
      </c>
      <c r="F3053" t="s">
        <v>1152</v>
      </c>
      <c r="G3053" t="s">
        <v>737</v>
      </c>
      <c r="H3053" t="s">
        <v>449</v>
      </c>
      <c r="J3053" t="s">
        <v>4032</v>
      </c>
      <c r="K3053" t="s">
        <v>606</v>
      </c>
      <c r="M3053" t="s">
        <v>607</v>
      </c>
      <c r="N3053" t="s">
        <v>657</v>
      </c>
      <c r="O3053" t="s">
        <v>723</v>
      </c>
      <c r="P3053" t="s">
        <v>610</v>
      </c>
      <c r="Q3053" t="s">
        <v>467</v>
      </c>
      <c r="R3053" t="s">
        <v>724</v>
      </c>
      <c r="S3053" t="s">
        <v>725</v>
      </c>
      <c r="T3053" t="s">
        <v>613</v>
      </c>
      <c r="U3053">
        <v>115002</v>
      </c>
      <c r="V3053" t="s">
        <v>7051</v>
      </c>
      <c r="W3053" t="s">
        <v>726</v>
      </c>
      <c r="X3053" t="s">
        <v>16456</v>
      </c>
      <c r="Y3053" t="s">
        <v>9107</v>
      </c>
      <c r="Z3053" t="s">
        <v>8066</v>
      </c>
      <c r="AA3053" t="s">
        <v>9108</v>
      </c>
      <c r="AB3053" t="s">
        <v>16457</v>
      </c>
      <c r="AE3053">
        <v>-36.778497960000003</v>
      </c>
      <c r="AF3053">
        <v>174.55603840000001</v>
      </c>
      <c r="AG3053" s="175">
        <v>100</v>
      </c>
      <c r="AH3053" s="175">
        <v>25</v>
      </c>
      <c r="AI3053" s="175">
        <v>1</v>
      </c>
      <c r="AJ3053" s="175">
        <v>14</v>
      </c>
      <c r="AK3053" s="175">
        <v>14</v>
      </c>
      <c r="AL3053" s="175">
        <v>15</v>
      </c>
      <c r="AM3053" s="175">
        <v>15</v>
      </c>
      <c r="AN3053" s="175">
        <v>2</v>
      </c>
      <c r="AO3053" s="175">
        <v>61</v>
      </c>
      <c r="AP3053" s="175">
        <v>48</v>
      </c>
      <c r="AQ3053" s="175">
        <v>10</v>
      </c>
      <c r="AR3053" s="175">
        <v>1</v>
      </c>
      <c r="AS3053" s="175">
        <v>14</v>
      </c>
      <c r="AT3053" s="175">
        <v>3</v>
      </c>
    </row>
    <row r="3054" spans="1:46">
      <c r="A3054">
        <v>47830</v>
      </c>
      <c r="B3054" t="s">
        <v>17322</v>
      </c>
      <c r="C3054" t="s">
        <v>17323</v>
      </c>
      <c r="D3054" t="s">
        <v>17324</v>
      </c>
      <c r="E3054" t="s">
        <v>17325</v>
      </c>
      <c r="F3054" t="s">
        <v>855</v>
      </c>
      <c r="G3054" t="s">
        <v>737</v>
      </c>
      <c r="H3054" t="s">
        <v>449</v>
      </c>
      <c r="J3054" t="s">
        <v>4032</v>
      </c>
      <c r="K3054" t="s">
        <v>606</v>
      </c>
      <c r="M3054" t="s">
        <v>607</v>
      </c>
      <c r="N3054" t="s">
        <v>657</v>
      </c>
      <c r="O3054" t="s">
        <v>803</v>
      </c>
      <c r="P3054" t="s">
        <v>739</v>
      </c>
      <c r="Q3054" t="s">
        <v>467</v>
      </c>
      <c r="R3054" t="s">
        <v>724</v>
      </c>
      <c r="S3054" t="s">
        <v>855</v>
      </c>
      <c r="T3054" t="s">
        <v>794</v>
      </c>
      <c r="U3054">
        <v>136501</v>
      </c>
      <c r="V3054" t="s">
        <v>4692</v>
      </c>
      <c r="W3054" t="s">
        <v>806</v>
      </c>
      <c r="X3054" t="s">
        <v>17326</v>
      </c>
      <c r="Y3054" t="s">
        <v>17325</v>
      </c>
      <c r="Z3054" t="s">
        <v>855</v>
      </c>
      <c r="AA3054" t="s">
        <v>4400</v>
      </c>
      <c r="AB3054" t="s">
        <v>17323</v>
      </c>
      <c r="AE3054">
        <v>-36.926360639999999</v>
      </c>
      <c r="AF3054">
        <v>174.67911341999999</v>
      </c>
      <c r="AG3054" s="175">
        <v>66</v>
      </c>
      <c r="AH3054" s="175">
        <v>15</v>
      </c>
      <c r="AI3054" s="175">
        <v>2</v>
      </c>
      <c r="AJ3054" s="175">
        <v>13</v>
      </c>
      <c r="AK3054" s="175">
        <v>15</v>
      </c>
      <c r="AL3054" s="175">
        <v>9</v>
      </c>
      <c r="AM3054" s="175">
        <v>7</v>
      </c>
      <c r="AN3054" s="175">
        <v>0</v>
      </c>
      <c r="AO3054" s="175">
        <v>46</v>
      </c>
      <c r="AP3054" s="175">
        <v>11</v>
      </c>
      <c r="AQ3054" s="175">
        <v>5</v>
      </c>
      <c r="AR3054" s="175">
        <v>6</v>
      </c>
      <c r="AS3054" s="175">
        <v>31</v>
      </c>
      <c r="AT3054" s="175">
        <v>4</v>
      </c>
    </row>
    <row r="3055" spans="1:46">
      <c r="A3055">
        <v>47832</v>
      </c>
      <c r="B3055" t="s">
        <v>17327</v>
      </c>
      <c r="C3055" t="s">
        <v>17328</v>
      </c>
      <c r="D3055" t="s">
        <v>17329</v>
      </c>
      <c r="E3055" t="s">
        <v>17330</v>
      </c>
      <c r="F3055" t="s">
        <v>964</v>
      </c>
      <c r="G3055" t="s">
        <v>737</v>
      </c>
      <c r="H3055" t="s">
        <v>449</v>
      </c>
      <c r="J3055" t="s">
        <v>4032</v>
      </c>
      <c r="K3055" t="s">
        <v>606</v>
      </c>
      <c r="M3055" t="s">
        <v>607</v>
      </c>
      <c r="N3055" t="s">
        <v>657</v>
      </c>
      <c r="O3055" t="s">
        <v>914</v>
      </c>
      <c r="P3055" t="s">
        <v>739</v>
      </c>
      <c r="Q3055" t="s">
        <v>467</v>
      </c>
      <c r="R3055" t="s">
        <v>793</v>
      </c>
      <c r="S3055" t="s">
        <v>965</v>
      </c>
      <c r="T3055" t="s">
        <v>794</v>
      </c>
      <c r="U3055">
        <v>144700</v>
      </c>
      <c r="V3055" t="s">
        <v>4892</v>
      </c>
      <c r="W3055" t="s">
        <v>892</v>
      </c>
      <c r="X3055" t="s">
        <v>17331</v>
      </c>
      <c r="Y3055" t="s">
        <v>17332</v>
      </c>
      <c r="Z3055" t="s">
        <v>6227</v>
      </c>
      <c r="AA3055" t="s">
        <v>6228</v>
      </c>
      <c r="AB3055" t="s">
        <v>17333</v>
      </c>
      <c r="AE3055">
        <v>-36.872199029999997</v>
      </c>
      <c r="AF3055">
        <v>174.85731290999999</v>
      </c>
      <c r="AG3055" s="175">
        <v>112</v>
      </c>
      <c r="AH3055" s="175">
        <v>35</v>
      </c>
      <c r="AI3055" s="175">
        <v>5</v>
      </c>
      <c r="AJ3055" s="175">
        <v>27</v>
      </c>
      <c r="AK3055" s="175">
        <v>32</v>
      </c>
      <c r="AL3055" s="175">
        <v>38</v>
      </c>
      <c r="AM3055" s="175">
        <v>22</v>
      </c>
      <c r="AN3055" s="175">
        <v>2</v>
      </c>
      <c r="AO3055" s="175">
        <v>126</v>
      </c>
      <c r="AP3055" s="175">
        <v>93</v>
      </c>
      <c r="AQ3055" s="175">
        <v>10</v>
      </c>
      <c r="AR3055" s="175">
        <v>1</v>
      </c>
      <c r="AS3055" s="175">
        <v>22</v>
      </c>
      <c r="AT3055" s="175">
        <v>16</v>
      </c>
    </row>
    <row r="3056" spans="1:46">
      <c r="A3056">
        <v>47834</v>
      </c>
      <c r="B3056" t="s">
        <v>17334</v>
      </c>
      <c r="C3056" t="s">
        <v>17335</v>
      </c>
      <c r="E3056" t="s">
        <v>12094</v>
      </c>
      <c r="F3056" t="s">
        <v>1429</v>
      </c>
      <c r="G3056" t="s">
        <v>1381</v>
      </c>
      <c r="H3056" t="s">
        <v>450</v>
      </c>
      <c r="J3056" t="s">
        <v>4032</v>
      </c>
      <c r="K3056" t="s">
        <v>606</v>
      </c>
      <c r="M3056" t="s">
        <v>1382</v>
      </c>
      <c r="N3056" t="s">
        <v>643</v>
      </c>
      <c r="O3056" t="s">
        <v>1383</v>
      </c>
      <c r="P3056" t="s">
        <v>739</v>
      </c>
      <c r="Q3056" t="s">
        <v>510</v>
      </c>
      <c r="R3056" t="s">
        <v>1384</v>
      </c>
      <c r="S3056" t="s">
        <v>1385</v>
      </c>
      <c r="T3056" t="s">
        <v>1320</v>
      </c>
      <c r="U3056">
        <v>178901</v>
      </c>
      <c r="V3056" t="s">
        <v>8416</v>
      </c>
      <c r="W3056" t="s">
        <v>1387</v>
      </c>
      <c r="X3056" t="s">
        <v>8467</v>
      </c>
      <c r="Y3056" t="s">
        <v>8465</v>
      </c>
      <c r="AA3056" t="s">
        <v>8468</v>
      </c>
      <c r="AE3056">
        <v>-37.80308866</v>
      </c>
      <c r="AF3056">
        <v>175.25596379999999</v>
      </c>
      <c r="AG3056" s="175">
        <v>50</v>
      </c>
      <c r="AH3056" s="175">
        <v>50</v>
      </c>
      <c r="AI3056" s="175">
        <v>3</v>
      </c>
      <c r="AJ3056" s="175">
        <v>6</v>
      </c>
      <c r="AK3056" s="175">
        <v>8</v>
      </c>
      <c r="AL3056" s="175">
        <v>4</v>
      </c>
      <c r="AM3056" s="175">
        <v>5</v>
      </c>
      <c r="AN3056" s="175">
        <v>0</v>
      </c>
      <c r="AO3056" s="175">
        <v>26</v>
      </c>
      <c r="AP3056" s="175">
        <v>20</v>
      </c>
      <c r="AQ3056" s="175">
        <v>6</v>
      </c>
      <c r="AR3056" s="175">
        <v>1</v>
      </c>
      <c r="AS3056" s="175">
        <v>4</v>
      </c>
      <c r="AT3056" s="175">
        <v>2</v>
      </c>
    </row>
    <row r="3057" spans="1:46">
      <c r="A3057">
        <v>47835</v>
      </c>
      <c r="B3057" t="s">
        <v>17336</v>
      </c>
      <c r="C3057" t="s">
        <v>14573</v>
      </c>
      <c r="E3057" t="s">
        <v>17337</v>
      </c>
      <c r="F3057" t="s">
        <v>14570</v>
      </c>
      <c r="G3057" t="s">
        <v>1923</v>
      </c>
      <c r="H3057" t="s">
        <v>449</v>
      </c>
      <c r="J3057" t="s">
        <v>4032</v>
      </c>
      <c r="K3057" t="s">
        <v>606</v>
      </c>
      <c r="M3057" t="s">
        <v>1382</v>
      </c>
      <c r="N3057" t="s">
        <v>625</v>
      </c>
      <c r="O3057" t="s">
        <v>1968</v>
      </c>
      <c r="P3057" t="s">
        <v>670</v>
      </c>
      <c r="Q3057" t="s">
        <v>553</v>
      </c>
      <c r="R3057" t="s">
        <v>1841</v>
      </c>
      <c r="S3057" t="s">
        <v>1923</v>
      </c>
      <c r="T3057" t="s">
        <v>1568</v>
      </c>
      <c r="U3057">
        <v>225300</v>
      </c>
      <c r="V3057" t="s">
        <v>1993</v>
      </c>
      <c r="W3057" t="s">
        <v>1734</v>
      </c>
      <c r="X3057" t="s">
        <v>14571</v>
      </c>
      <c r="Y3057" t="s">
        <v>14569</v>
      </c>
      <c r="Z3057" t="s">
        <v>14570</v>
      </c>
      <c r="AA3057" t="s">
        <v>13905</v>
      </c>
      <c r="AB3057" t="s">
        <v>14573</v>
      </c>
      <c r="AE3057">
        <v>-39.936374479999998</v>
      </c>
      <c r="AF3057">
        <v>175.0303917</v>
      </c>
      <c r="AG3057" s="175">
        <v>20</v>
      </c>
      <c r="AH3057" s="175">
        <v>20</v>
      </c>
      <c r="AI3057" s="175">
        <v>7</v>
      </c>
      <c r="AJ3057" s="175">
        <v>14</v>
      </c>
      <c r="AK3057" s="175">
        <v>6</v>
      </c>
      <c r="AL3057" s="175">
        <v>0</v>
      </c>
      <c r="AM3057" s="175">
        <v>0</v>
      </c>
      <c r="AN3057" s="175">
        <v>0</v>
      </c>
      <c r="AO3057" s="175">
        <v>27</v>
      </c>
      <c r="AP3057" s="175">
        <v>20</v>
      </c>
      <c r="AQ3057" s="175">
        <v>5</v>
      </c>
      <c r="AR3057" s="175">
        <v>1</v>
      </c>
      <c r="AS3057" s="175">
        <v>1</v>
      </c>
      <c r="AT3057" s="175">
        <v>5</v>
      </c>
    </row>
    <row r="3058" spans="1:46">
      <c r="A3058">
        <v>47836</v>
      </c>
      <c r="B3058" t="s">
        <v>17338</v>
      </c>
      <c r="C3058" t="s">
        <v>14667</v>
      </c>
      <c r="E3058" t="s">
        <v>8318</v>
      </c>
      <c r="F3058" t="s">
        <v>8319</v>
      </c>
      <c r="G3058" t="s">
        <v>737</v>
      </c>
      <c r="H3058" t="s">
        <v>450</v>
      </c>
      <c r="J3058" t="s">
        <v>4032</v>
      </c>
      <c r="K3058" t="s">
        <v>606</v>
      </c>
      <c r="M3058" t="s">
        <v>607</v>
      </c>
      <c r="N3058" t="s">
        <v>657</v>
      </c>
      <c r="O3058" t="s">
        <v>1253</v>
      </c>
      <c r="P3058" t="s">
        <v>739</v>
      </c>
      <c r="Q3058" t="s">
        <v>467</v>
      </c>
      <c r="R3058" t="s">
        <v>724</v>
      </c>
      <c r="S3058" t="s">
        <v>740</v>
      </c>
      <c r="T3058" t="s">
        <v>613</v>
      </c>
      <c r="U3058">
        <v>118600</v>
      </c>
      <c r="V3058" t="s">
        <v>4082</v>
      </c>
      <c r="W3058" t="s">
        <v>742</v>
      </c>
      <c r="X3058" t="s">
        <v>6333</v>
      </c>
      <c r="Y3058" t="s">
        <v>6334</v>
      </c>
      <c r="Z3058" t="s">
        <v>3777</v>
      </c>
      <c r="AA3058" t="s">
        <v>6335</v>
      </c>
      <c r="AB3058" t="s">
        <v>6336</v>
      </c>
      <c r="AE3058">
        <v>-36.745908890000003</v>
      </c>
      <c r="AF3058">
        <v>174.70435560000001</v>
      </c>
      <c r="AG3058" s="175">
        <v>50</v>
      </c>
      <c r="AH3058" s="175">
        <v>50</v>
      </c>
      <c r="AI3058" s="175">
        <v>2</v>
      </c>
      <c r="AJ3058" s="175">
        <v>1</v>
      </c>
      <c r="AK3058" s="175">
        <v>2</v>
      </c>
      <c r="AL3058" s="175">
        <v>7</v>
      </c>
      <c r="AM3058" s="175">
        <v>7</v>
      </c>
      <c r="AN3058" s="175">
        <v>0</v>
      </c>
      <c r="AO3058" s="175">
        <v>19</v>
      </c>
      <c r="AP3058" s="175">
        <v>0</v>
      </c>
      <c r="AQ3058" s="175">
        <v>0</v>
      </c>
      <c r="AR3058" s="175">
        <v>0</v>
      </c>
      <c r="AS3058" s="175">
        <v>19</v>
      </c>
      <c r="AT3058" s="175">
        <v>0</v>
      </c>
    </row>
    <row r="3059" spans="1:46">
      <c r="A3059">
        <v>47837</v>
      </c>
      <c r="B3059" t="s">
        <v>17339</v>
      </c>
      <c r="C3059" t="s">
        <v>17340</v>
      </c>
      <c r="D3059" t="s">
        <v>17341</v>
      </c>
      <c r="E3059" t="s">
        <v>17342</v>
      </c>
      <c r="F3059" t="s">
        <v>854</v>
      </c>
      <c r="G3059" t="s">
        <v>737</v>
      </c>
      <c r="H3059" t="s">
        <v>449</v>
      </c>
      <c r="J3059" t="s">
        <v>4032</v>
      </c>
      <c r="K3059" t="s">
        <v>606</v>
      </c>
      <c r="M3059" t="s">
        <v>607</v>
      </c>
      <c r="N3059" t="s">
        <v>657</v>
      </c>
      <c r="O3059" t="s">
        <v>803</v>
      </c>
      <c r="P3059" t="s">
        <v>739</v>
      </c>
      <c r="Q3059" t="s">
        <v>467</v>
      </c>
      <c r="R3059" t="s">
        <v>793</v>
      </c>
      <c r="S3059" t="s">
        <v>855</v>
      </c>
      <c r="T3059" t="s">
        <v>794</v>
      </c>
      <c r="U3059">
        <v>138901</v>
      </c>
      <c r="V3059" t="s">
        <v>6905</v>
      </c>
      <c r="W3059" t="s">
        <v>806</v>
      </c>
      <c r="X3059" t="s">
        <v>17343</v>
      </c>
      <c r="Y3059" t="s">
        <v>17344</v>
      </c>
      <c r="Z3059" t="s">
        <v>6227</v>
      </c>
      <c r="AA3059" t="s">
        <v>4498</v>
      </c>
      <c r="AB3059" t="s">
        <v>17345</v>
      </c>
      <c r="AE3059">
        <v>-36.923077370000001</v>
      </c>
      <c r="AF3059">
        <v>174.70027260000001</v>
      </c>
      <c r="AG3059" s="175">
        <v>65</v>
      </c>
      <c r="AH3059" s="175">
        <v>20</v>
      </c>
      <c r="AI3059" s="175">
        <v>2</v>
      </c>
      <c r="AJ3059" s="175">
        <v>10</v>
      </c>
      <c r="AK3059" s="175">
        <v>22</v>
      </c>
      <c r="AL3059" s="175">
        <v>11</v>
      </c>
      <c r="AM3059" s="175">
        <v>24</v>
      </c>
      <c r="AN3059" s="175">
        <v>0</v>
      </c>
      <c r="AO3059" s="175">
        <v>69</v>
      </c>
      <c r="AP3059" s="175">
        <v>28</v>
      </c>
      <c r="AQ3059" s="175">
        <v>4</v>
      </c>
      <c r="AR3059" s="175">
        <v>3</v>
      </c>
      <c r="AS3059" s="175">
        <v>47</v>
      </c>
      <c r="AT3059" s="175">
        <v>6</v>
      </c>
    </row>
    <row r="3060" spans="1:46">
      <c r="A3060">
        <v>47839</v>
      </c>
      <c r="B3060" t="s">
        <v>17346</v>
      </c>
      <c r="C3060" t="s">
        <v>17347</v>
      </c>
      <c r="D3060" t="s">
        <v>17348</v>
      </c>
      <c r="E3060" t="s">
        <v>17349</v>
      </c>
      <c r="F3060" t="s">
        <v>1121</v>
      </c>
      <c r="G3060" t="s">
        <v>737</v>
      </c>
      <c r="H3060" t="s">
        <v>452</v>
      </c>
      <c r="J3060" t="s">
        <v>605</v>
      </c>
      <c r="K3060" t="s">
        <v>606</v>
      </c>
      <c r="M3060" t="s">
        <v>607</v>
      </c>
      <c r="N3060" t="s">
        <v>812</v>
      </c>
      <c r="O3060" t="s">
        <v>1301</v>
      </c>
      <c r="P3060" t="s">
        <v>739</v>
      </c>
      <c r="Q3060" t="s">
        <v>467</v>
      </c>
      <c r="R3060" t="s">
        <v>814</v>
      </c>
      <c r="S3060" t="s">
        <v>1121</v>
      </c>
      <c r="T3060" t="s">
        <v>794</v>
      </c>
      <c r="U3060">
        <v>159201</v>
      </c>
      <c r="V3060" t="s">
        <v>12555</v>
      </c>
      <c r="W3060" t="s">
        <v>1304</v>
      </c>
      <c r="X3060" t="s">
        <v>1305</v>
      </c>
      <c r="Y3060" t="s">
        <v>1306</v>
      </c>
      <c r="Z3060" t="s">
        <v>1302</v>
      </c>
      <c r="AA3060" t="s">
        <v>1307</v>
      </c>
      <c r="AB3060" t="s">
        <v>1308</v>
      </c>
      <c r="AE3060">
        <v>-37.020742480000003</v>
      </c>
      <c r="AF3060">
        <v>174.87228236999999</v>
      </c>
      <c r="AG3060" s="175">
        <v>30</v>
      </c>
      <c r="AH3060" s="175">
        <v>0</v>
      </c>
      <c r="AI3060" s="175">
        <v>0</v>
      </c>
      <c r="AJ3060" s="175">
        <v>0</v>
      </c>
      <c r="AK3060" s="175">
        <v>5</v>
      </c>
      <c r="AL3060" s="175">
        <v>9</v>
      </c>
      <c r="AM3060" s="175">
        <v>14</v>
      </c>
      <c r="AN3060" s="175">
        <v>1</v>
      </c>
      <c r="AO3060" s="175">
        <v>29</v>
      </c>
      <c r="AP3060" s="175">
        <v>8</v>
      </c>
      <c r="AQ3060" s="175">
        <v>17</v>
      </c>
      <c r="AR3060" s="175">
        <v>17</v>
      </c>
      <c r="AS3060" s="175">
        <v>6</v>
      </c>
      <c r="AT3060" s="175">
        <v>0</v>
      </c>
    </row>
    <row r="3061" spans="1:46">
      <c r="A3061">
        <v>47840</v>
      </c>
      <c r="B3061" t="s">
        <v>17350</v>
      </c>
      <c r="C3061" t="s">
        <v>17351</v>
      </c>
      <c r="D3061" t="s">
        <v>17352</v>
      </c>
      <c r="E3061" t="s">
        <v>17353</v>
      </c>
      <c r="F3061" t="s">
        <v>3700</v>
      </c>
      <c r="G3061" t="s">
        <v>2198</v>
      </c>
      <c r="H3061" t="s">
        <v>449</v>
      </c>
      <c r="J3061" t="s">
        <v>4032</v>
      </c>
      <c r="K3061" t="s">
        <v>606</v>
      </c>
      <c r="M3061" t="s">
        <v>1382</v>
      </c>
      <c r="N3061" t="s">
        <v>657</v>
      </c>
      <c r="O3061" t="s">
        <v>2210</v>
      </c>
      <c r="P3061" t="s">
        <v>670</v>
      </c>
      <c r="Q3061" t="s">
        <v>513</v>
      </c>
      <c r="R3061" t="s">
        <v>2164</v>
      </c>
      <c r="S3061" t="s">
        <v>2198</v>
      </c>
      <c r="T3061" t="s">
        <v>2165</v>
      </c>
      <c r="U3061">
        <v>213400</v>
      </c>
      <c r="V3061" t="s">
        <v>17354</v>
      </c>
      <c r="W3061" t="s">
        <v>3807</v>
      </c>
      <c r="X3061" t="s">
        <v>17355</v>
      </c>
      <c r="Y3061" t="s">
        <v>17356</v>
      </c>
      <c r="Z3061" t="s">
        <v>1181</v>
      </c>
      <c r="AA3061" t="s">
        <v>4146</v>
      </c>
      <c r="AB3061" t="s">
        <v>17357</v>
      </c>
      <c r="AE3061">
        <v>-39.493750120000001</v>
      </c>
      <c r="AF3061">
        <v>176.90399907</v>
      </c>
      <c r="AG3061" s="175">
        <v>75</v>
      </c>
      <c r="AH3061" s="175">
        <v>20</v>
      </c>
      <c r="AI3061" s="175">
        <v>3</v>
      </c>
      <c r="AJ3061" s="175">
        <v>20</v>
      </c>
      <c r="AK3061" s="175">
        <v>16</v>
      </c>
      <c r="AL3061" s="175">
        <v>19</v>
      </c>
      <c r="AM3061" s="175">
        <v>18</v>
      </c>
      <c r="AN3061" s="175">
        <v>0</v>
      </c>
      <c r="AO3061" s="175">
        <v>76</v>
      </c>
      <c r="AP3061" s="175">
        <v>69</v>
      </c>
      <c r="AQ3061" s="175">
        <v>11</v>
      </c>
      <c r="AR3061" s="175">
        <v>4</v>
      </c>
      <c r="AS3061" s="175">
        <v>5</v>
      </c>
      <c r="AT3061" s="175">
        <v>2</v>
      </c>
    </row>
    <row r="3062" spans="1:46">
      <c r="A3062">
        <v>47841</v>
      </c>
      <c r="B3062" t="s">
        <v>17358</v>
      </c>
      <c r="C3062" t="s">
        <v>17359</v>
      </c>
      <c r="D3062" t="s">
        <v>17360</v>
      </c>
      <c r="E3062" t="s">
        <v>17361</v>
      </c>
      <c r="F3062" t="s">
        <v>17362</v>
      </c>
      <c r="G3062" t="s">
        <v>3015</v>
      </c>
      <c r="H3062" t="s">
        <v>449</v>
      </c>
      <c r="J3062" t="s">
        <v>4032</v>
      </c>
      <c r="K3062" t="s">
        <v>606</v>
      </c>
      <c r="M3062" t="s">
        <v>2366</v>
      </c>
      <c r="N3062" t="s">
        <v>625</v>
      </c>
      <c r="O3062" t="s">
        <v>3016</v>
      </c>
      <c r="P3062" t="s">
        <v>739</v>
      </c>
      <c r="Q3062" t="s">
        <v>521</v>
      </c>
      <c r="R3062" t="s">
        <v>3017</v>
      </c>
      <c r="S3062" t="s">
        <v>3030</v>
      </c>
      <c r="T3062" t="s">
        <v>2526</v>
      </c>
      <c r="U3062">
        <v>328800</v>
      </c>
      <c r="V3062" t="s">
        <v>17363</v>
      </c>
      <c r="W3062" t="s">
        <v>2521</v>
      </c>
      <c r="X3062" t="s">
        <v>17364</v>
      </c>
      <c r="Y3062" t="s">
        <v>15181</v>
      </c>
      <c r="Z3062" t="s">
        <v>8762</v>
      </c>
      <c r="AA3062" t="s">
        <v>2283</v>
      </c>
      <c r="AB3062" t="s">
        <v>17365</v>
      </c>
      <c r="AC3062">
        <v>99215</v>
      </c>
      <c r="AD3062" t="s">
        <v>11035</v>
      </c>
      <c r="AE3062">
        <v>-43.533655979999999</v>
      </c>
      <c r="AF3062">
        <v>172.65259545000001</v>
      </c>
      <c r="AG3062" s="175">
        <v>100</v>
      </c>
      <c r="AH3062" s="175">
        <v>30</v>
      </c>
      <c r="AI3062" s="175">
        <v>6</v>
      </c>
      <c r="AJ3062" s="175">
        <v>25</v>
      </c>
      <c r="AK3062" s="175">
        <v>23</v>
      </c>
      <c r="AL3062" s="175">
        <v>27</v>
      </c>
      <c r="AM3062" s="175">
        <v>17</v>
      </c>
      <c r="AN3062" s="175">
        <v>2</v>
      </c>
      <c r="AO3062" s="175">
        <v>100</v>
      </c>
      <c r="AP3062" s="175">
        <v>81</v>
      </c>
      <c r="AQ3062" s="175">
        <v>16</v>
      </c>
      <c r="AR3062" s="175">
        <v>2</v>
      </c>
      <c r="AS3062" s="175">
        <v>20</v>
      </c>
      <c r="AT3062" s="175">
        <v>7</v>
      </c>
    </row>
    <row r="3063" spans="1:46">
      <c r="A3063">
        <v>47842</v>
      </c>
      <c r="B3063" t="s">
        <v>17366</v>
      </c>
      <c r="C3063" t="s">
        <v>17367</v>
      </c>
      <c r="D3063" t="s">
        <v>17368</v>
      </c>
      <c r="E3063" t="s">
        <v>17369</v>
      </c>
      <c r="G3063" t="s">
        <v>1520</v>
      </c>
      <c r="H3063" t="s">
        <v>449</v>
      </c>
      <c r="J3063" t="s">
        <v>4032</v>
      </c>
      <c r="K3063" t="s">
        <v>606</v>
      </c>
      <c r="M3063" t="s">
        <v>1382</v>
      </c>
      <c r="N3063" t="s">
        <v>643</v>
      </c>
      <c r="O3063" t="s">
        <v>1521</v>
      </c>
      <c r="P3063" t="s">
        <v>610</v>
      </c>
      <c r="Q3063" t="s">
        <v>510</v>
      </c>
      <c r="R3063" t="s">
        <v>1384</v>
      </c>
      <c r="S3063" t="s">
        <v>1522</v>
      </c>
      <c r="T3063" t="s">
        <v>1320</v>
      </c>
      <c r="U3063">
        <v>169200</v>
      </c>
      <c r="V3063" t="s">
        <v>1520</v>
      </c>
      <c r="W3063" t="s">
        <v>1523</v>
      </c>
      <c r="X3063" t="s">
        <v>14042</v>
      </c>
      <c r="Y3063" t="s">
        <v>17369</v>
      </c>
      <c r="AA3063" t="s">
        <v>9410</v>
      </c>
      <c r="AB3063" t="s">
        <v>14039</v>
      </c>
      <c r="AE3063">
        <v>-37.375272940000002</v>
      </c>
      <c r="AF3063">
        <v>175.68200265999999</v>
      </c>
      <c r="AG3063" s="175">
        <v>60</v>
      </c>
      <c r="AH3063" s="175">
        <v>20</v>
      </c>
      <c r="AI3063" s="175">
        <v>0</v>
      </c>
      <c r="AJ3063" s="175">
        <v>9</v>
      </c>
      <c r="AK3063" s="175">
        <v>11</v>
      </c>
      <c r="AL3063" s="175">
        <v>19</v>
      </c>
      <c r="AM3063" s="175">
        <v>14</v>
      </c>
      <c r="AN3063" s="175">
        <v>1</v>
      </c>
      <c r="AO3063" s="175">
        <v>54</v>
      </c>
      <c r="AP3063" s="175">
        <v>42</v>
      </c>
      <c r="AQ3063" s="175">
        <v>15</v>
      </c>
      <c r="AR3063" s="175">
        <v>4</v>
      </c>
      <c r="AS3063" s="175">
        <v>6</v>
      </c>
      <c r="AT3063" s="175">
        <v>2</v>
      </c>
    </row>
    <row r="3064" spans="1:46">
      <c r="A3064">
        <v>47845</v>
      </c>
      <c r="B3064" t="s">
        <v>17370</v>
      </c>
      <c r="C3064" t="s">
        <v>17371</v>
      </c>
      <c r="D3064" t="s">
        <v>17372</v>
      </c>
      <c r="E3064" t="s">
        <v>17373</v>
      </c>
      <c r="G3064" t="s">
        <v>4454</v>
      </c>
      <c r="H3064" t="s">
        <v>449</v>
      </c>
      <c r="J3064" t="s">
        <v>4032</v>
      </c>
      <c r="K3064" t="s">
        <v>606</v>
      </c>
      <c r="M3064" t="s">
        <v>607</v>
      </c>
      <c r="N3064" t="s">
        <v>657</v>
      </c>
      <c r="O3064" t="s">
        <v>723</v>
      </c>
      <c r="P3064" t="s">
        <v>658</v>
      </c>
      <c r="Q3064" t="s">
        <v>467</v>
      </c>
      <c r="R3064" t="s">
        <v>724</v>
      </c>
      <c r="S3064" t="s">
        <v>725</v>
      </c>
      <c r="T3064" t="s">
        <v>613</v>
      </c>
      <c r="U3064">
        <v>116101</v>
      </c>
      <c r="V3064" t="s">
        <v>4455</v>
      </c>
      <c r="W3064" t="s">
        <v>726</v>
      </c>
      <c r="X3064" t="s">
        <v>17374</v>
      </c>
      <c r="Y3064" t="s">
        <v>17375</v>
      </c>
      <c r="AA3064" t="s">
        <v>17376</v>
      </c>
      <c r="AB3064" t="s">
        <v>17371</v>
      </c>
      <c r="AE3064">
        <v>-36.788900419999997</v>
      </c>
      <c r="AF3064">
        <v>174.57652282999999</v>
      </c>
      <c r="AG3064" s="175">
        <v>120</v>
      </c>
      <c r="AH3064" s="175">
        <v>32</v>
      </c>
      <c r="AI3064" s="175">
        <v>6</v>
      </c>
      <c r="AJ3064" s="175">
        <v>25</v>
      </c>
      <c r="AK3064" s="175">
        <v>21</v>
      </c>
      <c r="AL3064" s="175">
        <v>39</v>
      </c>
      <c r="AM3064" s="175">
        <v>30</v>
      </c>
      <c r="AN3064" s="175">
        <v>1</v>
      </c>
      <c r="AO3064" s="175">
        <v>122</v>
      </c>
      <c r="AP3064" s="175">
        <v>107</v>
      </c>
      <c r="AQ3064" s="175">
        <v>22</v>
      </c>
      <c r="AR3064" s="175">
        <v>12</v>
      </c>
      <c r="AS3064" s="175">
        <v>13</v>
      </c>
      <c r="AT3064" s="175">
        <v>10</v>
      </c>
    </row>
    <row r="3065" spans="1:46">
      <c r="A3065">
        <v>47846</v>
      </c>
      <c r="B3065" t="s">
        <v>17377</v>
      </c>
      <c r="C3065" t="s">
        <v>17378</v>
      </c>
      <c r="E3065" t="s">
        <v>17379</v>
      </c>
      <c r="F3065" t="s">
        <v>1004</v>
      </c>
      <c r="G3065" t="s">
        <v>737</v>
      </c>
      <c r="H3065" t="s">
        <v>449</v>
      </c>
      <c r="J3065" t="s">
        <v>4032</v>
      </c>
      <c r="K3065" t="s">
        <v>606</v>
      </c>
      <c r="M3065" t="s">
        <v>607</v>
      </c>
      <c r="N3065" t="s">
        <v>657</v>
      </c>
      <c r="O3065" t="s">
        <v>1253</v>
      </c>
      <c r="P3065" t="s">
        <v>739</v>
      </c>
      <c r="Q3065" t="s">
        <v>467</v>
      </c>
      <c r="R3065" t="s">
        <v>724</v>
      </c>
      <c r="S3065" t="s">
        <v>824</v>
      </c>
      <c r="T3065" t="s">
        <v>613</v>
      </c>
      <c r="U3065">
        <v>119201</v>
      </c>
      <c r="V3065" t="s">
        <v>1004</v>
      </c>
      <c r="W3065" t="s">
        <v>742</v>
      </c>
      <c r="X3065" t="s">
        <v>17380</v>
      </c>
      <c r="Y3065" t="s">
        <v>17356</v>
      </c>
      <c r="Z3065" t="s">
        <v>1181</v>
      </c>
      <c r="AA3065" t="s">
        <v>4146</v>
      </c>
      <c r="AB3065" t="s">
        <v>17381</v>
      </c>
      <c r="AE3065">
        <v>-36.804835310000001</v>
      </c>
      <c r="AF3065">
        <v>174.63760439999999</v>
      </c>
      <c r="AG3065" s="175">
        <v>150</v>
      </c>
      <c r="AH3065" s="175">
        <v>35</v>
      </c>
      <c r="AI3065" s="175">
        <v>10</v>
      </c>
      <c r="AJ3065" s="175">
        <v>26</v>
      </c>
      <c r="AK3065" s="175">
        <v>37</v>
      </c>
      <c r="AL3065" s="175">
        <v>33</v>
      </c>
      <c r="AM3065" s="175">
        <v>36</v>
      </c>
      <c r="AN3065" s="175">
        <v>0</v>
      </c>
      <c r="AO3065" s="175">
        <v>142</v>
      </c>
      <c r="AP3065" s="175">
        <v>75</v>
      </c>
      <c r="AQ3065" s="175">
        <v>8</v>
      </c>
      <c r="AR3065" s="175">
        <v>7</v>
      </c>
      <c r="AS3065" s="175">
        <v>64</v>
      </c>
      <c r="AT3065" s="175">
        <v>11</v>
      </c>
    </row>
    <row r="3066" spans="1:46">
      <c r="A3066">
        <v>47847</v>
      </c>
      <c r="B3066" t="s">
        <v>17382</v>
      </c>
      <c r="C3066" t="s">
        <v>17383</v>
      </c>
      <c r="D3066" t="s">
        <v>17384</v>
      </c>
      <c r="E3066" t="s">
        <v>17385</v>
      </c>
      <c r="F3066" t="s">
        <v>1121</v>
      </c>
      <c r="G3066" t="s">
        <v>737</v>
      </c>
      <c r="H3066" t="s">
        <v>449</v>
      </c>
      <c r="J3066" t="s">
        <v>4032</v>
      </c>
      <c r="K3066" t="s">
        <v>606</v>
      </c>
      <c r="M3066" t="s">
        <v>607</v>
      </c>
      <c r="N3066" t="s">
        <v>608</v>
      </c>
      <c r="O3066" t="s">
        <v>1301</v>
      </c>
      <c r="P3066" t="s">
        <v>739</v>
      </c>
      <c r="Q3066" t="s">
        <v>467</v>
      </c>
      <c r="R3066" t="s">
        <v>814</v>
      </c>
      <c r="S3066" t="s">
        <v>1302</v>
      </c>
      <c r="T3066" t="s">
        <v>794</v>
      </c>
      <c r="U3066">
        <v>161201</v>
      </c>
      <c r="V3066" t="s">
        <v>7973</v>
      </c>
      <c r="W3066" t="s">
        <v>1304</v>
      </c>
      <c r="X3066" t="s">
        <v>7681</v>
      </c>
      <c r="Y3066" t="s">
        <v>7682</v>
      </c>
      <c r="Z3066" t="s">
        <v>4015</v>
      </c>
      <c r="AA3066" t="s">
        <v>4652</v>
      </c>
      <c r="AE3066">
        <v>-37.035610570000003</v>
      </c>
      <c r="AF3066">
        <v>174.89752594000001</v>
      </c>
      <c r="AG3066" s="175">
        <v>60</v>
      </c>
      <c r="AH3066" s="175">
        <v>10</v>
      </c>
      <c r="AI3066" s="175">
        <v>2</v>
      </c>
      <c r="AJ3066" s="175">
        <v>8</v>
      </c>
      <c r="AK3066" s="175">
        <v>6</v>
      </c>
      <c r="AL3066" s="175">
        <v>10</v>
      </c>
      <c r="AM3066" s="175">
        <v>22</v>
      </c>
      <c r="AN3066" s="175">
        <v>0</v>
      </c>
      <c r="AO3066" s="175">
        <v>48</v>
      </c>
      <c r="AP3066" s="175">
        <v>6</v>
      </c>
      <c r="AQ3066" s="175">
        <v>10</v>
      </c>
      <c r="AR3066" s="175">
        <v>28</v>
      </c>
      <c r="AS3066" s="175">
        <v>14</v>
      </c>
      <c r="AT3066" s="175">
        <v>2</v>
      </c>
    </row>
    <row r="3067" spans="1:46">
      <c r="A3067">
        <v>47849</v>
      </c>
      <c r="B3067" t="s">
        <v>17386</v>
      </c>
      <c r="C3067" t="s">
        <v>17387</v>
      </c>
      <c r="E3067" t="s">
        <v>17388</v>
      </c>
      <c r="G3067" t="s">
        <v>2068</v>
      </c>
      <c r="H3067" t="s">
        <v>449</v>
      </c>
      <c r="J3067" t="s">
        <v>4032</v>
      </c>
      <c r="K3067" t="s">
        <v>606</v>
      </c>
      <c r="M3067" t="s">
        <v>1382</v>
      </c>
      <c r="N3067" t="s">
        <v>657</v>
      </c>
      <c r="O3067" t="s">
        <v>2069</v>
      </c>
      <c r="P3067" t="s">
        <v>1347</v>
      </c>
      <c r="Q3067" t="s">
        <v>553</v>
      </c>
      <c r="R3067" t="s">
        <v>1841</v>
      </c>
      <c r="S3067" t="s">
        <v>1719</v>
      </c>
      <c r="T3067" t="s">
        <v>1568</v>
      </c>
      <c r="U3067">
        <v>228400</v>
      </c>
      <c r="V3067" t="s">
        <v>12614</v>
      </c>
      <c r="W3067" t="s">
        <v>2071</v>
      </c>
      <c r="X3067" t="s">
        <v>17389</v>
      </c>
      <c r="Y3067" t="s">
        <v>4176</v>
      </c>
      <c r="AA3067" t="s">
        <v>4052</v>
      </c>
      <c r="AB3067" t="s">
        <v>17390</v>
      </c>
      <c r="AE3067">
        <v>-40.229140209999997</v>
      </c>
      <c r="AF3067">
        <v>175.56868752</v>
      </c>
      <c r="AG3067" s="175">
        <v>79</v>
      </c>
      <c r="AH3067" s="175">
        <v>30</v>
      </c>
      <c r="AI3067" s="175">
        <v>3</v>
      </c>
      <c r="AJ3067" s="175">
        <v>22</v>
      </c>
      <c r="AK3067" s="175">
        <v>23</v>
      </c>
      <c r="AL3067" s="175">
        <v>26</v>
      </c>
      <c r="AM3067" s="175">
        <v>13</v>
      </c>
      <c r="AN3067" s="175">
        <v>0</v>
      </c>
      <c r="AO3067" s="175">
        <v>87</v>
      </c>
      <c r="AP3067" s="175">
        <v>72</v>
      </c>
      <c r="AQ3067" s="175">
        <v>16</v>
      </c>
      <c r="AR3067" s="175">
        <v>2</v>
      </c>
      <c r="AS3067" s="175">
        <v>8</v>
      </c>
      <c r="AT3067" s="175">
        <v>4</v>
      </c>
    </row>
    <row r="3068" spans="1:46">
      <c r="A3068">
        <v>47850</v>
      </c>
      <c r="B3068" t="s">
        <v>17391</v>
      </c>
      <c r="C3068" t="s">
        <v>11312</v>
      </c>
      <c r="D3068" t="s">
        <v>17392</v>
      </c>
      <c r="E3068" t="s">
        <v>17393</v>
      </c>
      <c r="F3068" t="s">
        <v>983</v>
      </c>
      <c r="G3068" t="s">
        <v>737</v>
      </c>
      <c r="H3068" t="s">
        <v>449</v>
      </c>
      <c r="J3068" t="s">
        <v>4032</v>
      </c>
      <c r="K3068" t="s">
        <v>606</v>
      </c>
      <c r="M3068" t="s">
        <v>607</v>
      </c>
      <c r="N3068" t="s">
        <v>625</v>
      </c>
      <c r="O3068" t="s">
        <v>898</v>
      </c>
      <c r="P3068" t="s">
        <v>739</v>
      </c>
      <c r="Q3068" t="s">
        <v>467</v>
      </c>
      <c r="R3068" t="s">
        <v>724</v>
      </c>
      <c r="S3068" t="s">
        <v>984</v>
      </c>
      <c r="T3068" t="s">
        <v>613</v>
      </c>
      <c r="U3068">
        <v>125701</v>
      </c>
      <c r="V3068" t="s">
        <v>5858</v>
      </c>
      <c r="W3068" t="s">
        <v>900</v>
      </c>
      <c r="X3068" t="s">
        <v>11311</v>
      </c>
      <c r="Y3068" t="s">
        <v>17393</v>
      </c>
      <c r="Z3068" t="s">
        <v>983</v>
      </c>
      <c r="AA3068" t="s">
        <v>4374</v>
      </c>
      <c r="AB3068" t="s">
        <v>11312</v>
      </c>
      <c r="AE3068">
        <v>-36.865839540000003</v>
      </c>
      <c r="AF3068">
        <v>174.62147078000001</v>
      </c>
      <c r="AG3068" s="175">
        <v>56</v>
      </c>
      <c r="AH3068" s="175">
        <v>9</v>
      </c>
      <c r="AI3068" s="175">
        <v>0</v>
      </c>
      <c r="AJ3068" s="175">
        <v>2</v>
      </c>
      <c r="AK3068" s="175">
        <v>9</v>
      </c>
      <c r="AL3068" s="175">
        <v>13</v>
      </c>
      <c r="AM3068" s="175">
        <v>7</v>
      </c>
      <c r="AN3068" s="175">
        <v>1</v>
      </c>
      <c r="AO3068" s="175">
        <v>32</v>
      </c>
      <c r="AP3068" s="175">
        <v>8</v>
      </c>
      <c r="AQ3068" s="175">
        <v>5</v>
      </c>
      <c r="AR3068" s="175">
        <v>5</v>
      </c>
      <c r="AS3068" s="175">
        <v>19</v>
      </c>
      <c r="AT3068" s="175">
        <v>2</v>
      </c>
    </row>
    <row r="3069" spans="1:46">
      <c r="A3069">
        <v>47851</v>
      </c>
      <c r="B3069" t="s">
        <v>17394</v>
      </c>
      <c r="C3069" t="s">
        <v>17395</v>
      </c>
      <c r="D3069" t="s">
        <v>17396</v>
      </c>
      <c r="E3069" t="s">
        <v>17397</v>
      </c>
      <c r="G3069" t="s">
        <v>4576</v>
      </c>
      <c r="H3069" t="s">
        <v>449</v>
      </c>
      <c r="J3069" t="s">
        <v>4032</v>
      </c>
      <c r="K3069" t="s">
        <v>606</v>
      </c>
      <c r="M3069" t="s">
        <v>607</v>
      </c>
      <c r="N3069" t="s">
        <v>657</v>
      </c>
      <c r="O3069" t="s">
        <v>738</v>
      </c>
      <c r="P3069" t="s">
        <v>670</v>
      </c>
      <c r="Q3069" t="s">
        <v>467</v>
      </c>
      <c r="R3069" t="s">
        <v>724</v>
      </c>
      <c r="S3069" t="s">
        <v>753</v>
      </c>
      <c r="T3069" t="s">
        <v>613</v>
      </c>
      <c r="U3069">
        <v>113800</v>
      </c>
      <c r="V3069" t="s">
        <v>7285</v>
      </c>
      <c r="W3069" t="s">
        <v>742</v>
      </c>
      <c r="X3069" t="s">
        <v>17380</v>
      </c>
      <c r="Y3069" t="s">
        <v>17356</v>
      </c>
      <c r="Z3069" t="s">
        <v>1181</v>
      </c>
      <c r="AA3069" t="s">
        <v>4146</v>
      </c>
      <c r="AB3069" t="s">
        <v>17381</v>
      </c>
      <c r="AE3069">
        <v>-36.620094289999997</v>
      </c>
      <c r="AF3069">
        <v>174.67047889</v>
      </c>
      <c r="AG3069" s="175">
        <v>150</v>
      </c>
      <c r="AH3069" s="175">
        <v>32</v>
      </c>
      <c r="AI3069" s="175">
        <v>5</v>
      </c>
      <c r="AJ3069" s="175">
        <v>35</v>
      </c>
      <c r="AK3069" s="175">
        <v>28</v>
      </c>
      <c r="AL3069" s="175">
        <v>28</v>
      </c>
      <c r="AM3069" s="175">
        <v>24</v>
      </c>
      <c r="AN3069" s="175">
        <v>1</v>
      </c>
      <c r="AO3069" s="175">
        <v>121</v>
      </c>
      <c r="AP3069" s="175">
        <v>105</v>
      </c>
      <c r="AQ3069" s="175">
        <v>13</v>
      </c>
      <c r="AR3069" s="175">
        <v>8</v>
      </c>
      <c r="AS3069" s="175">
        <v>15</v>
      </c>
      <c r="AT3069" s="175">
        <v>5</v>
      </c>
    </row>
    <row r="3070" spans="1:46">
      <c r="A3070">
        <v>47852</v>
      </c>
      <c r="B3070" t="s">
        <v>17398</v>
      </c>
      <c r="C3070" t="s">
        <v>17399</v>
      </c>
      <c r="E3070" t="s">
        <v>12201</v>
      </c>
      <c r="F3070" t="s">
        <v>2929</v>
      </c>
      <c r="G3070" t="s">
        <v>2930</v>
      </c>
      <c r="H3070" t="s">
        <v>450</v>
      </c>
      <c r="J3070" t="s">
        <v>4032</v>
      </c>
      <c r="K3070" t="s">
        <v>606</v>
      </c>
      <c r="M3070" t="s">
        <v>2366</v>
      </c>
      <c r="N3070" t="s">
        <v>657</v>
      </c>
      <c r="O3070" t="s">
        <v>2931</v>
      </c>
      <c r="P3070" t="s">
        <v>670</v>
      </c>
      <c r="Q3070" t="s">
        <v>518</v>
      </c>
      <c r="R3070" t="s">
        <v>2901</v>
      </c>
      <c r="S3070" t="s">
        <v>2930</v>
      </c>
      <c r="T3070" t="s">
        <v>2526</v>
      </c>
      <c r="U3070">
        <v>304400</v>
      </c>
      <c r="V3070" t="s">
        <v>2932</v>
      </c>
      <c r="W3070" t="s">
        <v>2933</v>
      </c>
      <c r="X3070" t="s">
        <v>14124</v>
      </c>
      <c r="Y3070" t="s">
        <v>12201</v>
      </c>
      <c r="Z3070" t="s">
        <v>2929</v>
      </c>
      <c r="AA3070" t="s">
        <v>11591</v>
      </c>
      <c r="AB3070" t="s">
        <v>14125</v>
      </c>
      <c r="AE3070">
        <v>-41.307494429999998</v>
      </c>
      <c r="AF3070">
        <v>173.22951463999999</v>
      </c>
      <c r="AG3070" s="175">
        <v>50</v>
      </c>
      <c r="AH3070" s="175">
        <v>50</v>
      </c>
      <c r="AI3070" s="175">
        <v>0</v>
      </c>
      <c r="AJ3070" s="175">
        <v>4</v>
      </c>
      <c r="AK3070" s="175">
        <v>7</v>
      </c>
      <c r="AL3070" s="175">
        <v>1</v>
      </c>
      <c r="AM3070" s="175">
        <v>3</v>
      </c>
      <c r="AN3070" s="175">
        <v>2</v>
      </c>
      <c r="AO3070" s="175">
        <v>17</v>
      </c>
      <c r="AP3070" s="175">
        <v>16</v>
      </c>
      <c r="AQ3070" s="175">
        <v>3</v>
      </c>
      <c r="AR3070" s="175">
        <v>0</v>
      </c>
      <c r="AS3070" s="175">
        <v>1</v>
      </c>
      <c r="AT3070" s="175">
        <v>0</v>
      </c>
    </row>
    <row r="3071" spans="1:46">
      <c r="A3071">
        <v>47853</v>
      </c>
      <c r="B3071" t="s">
        <v>17400</v>
      </c>
      <c r="C3071" t="s">
        <v>13854</v>
      </c>
      <c r="E3071" t="s">
        <v>17401</v>
      </c>
      <c r="F3071" t="s">
        <v>17402</v>
      </c>
      <c r="G3071" t="s">
        <v>3334</v>
      </c>
      <c r="H3071" t="s">
        <v>301</v>
      </c>
      <c r="J3071" t="s">
        <v>605</v>
      </c>
      <c r="K3071" t="s">
        <v>606</v>
      </c>
      <c r="M3071" t="s">
        <v>2366</v>
      </c>
      <c r="N3071" t="s">
        <v>657</v>
      </c>
      <c r="O3071" t="s">
        <v>3322</v>
      </c>
      <c r="P3071" t="s">
        <v>1347</v>
      </c>
      <c r="Q3071" t="s">
        <v>521</v>
      </c>
      <c r="R3071" t="s">
        <v>3017</v>
      </c>
      <c r="S3071" t="s">
        <v>3292</v>
      </c>
      <c r="T3071" t="s">
        <v>2526</v>
      </c>
      <c r="U3071">
        <v>341300</v>
      </c>
      <c r="V3071" t="s">
        <v>17402</v>
      </c>
      <c r="W3071" t="s">
        <v>3336</v>
      </c>
      <c r="X3071" t="s">
        <v>13858</v>
      </c>
      <c r="Y3071" t="s">
        <v>5253</v>
      </c>
      <c r="AA3071" t="s">
        <v>5254</v>
      </c>
      <c r="AB3071" t="s">
        <v>13859</v>
      </c>
      <c r="AE3071">
        <v>-44.404114300000003</v>
      </c>
      <c r="AF3071">
        <v>171.24215172999999</v>
      </c>
      <c r="AG3071" s="175">
        <v>30</v>
      </c>
      <c r="AH3071" s="175">
        <v>15</v>
      </c>
      <c r="AI3071" s="175">
        <v>1</v>
      </c>
      <c r="AJ3071" s="175">
        <v>4</v>
      </c>
      <c r="AK3071" s="175">
        <v>4</v>
      </c>
      <c r="AL3071" s="175">
        <v>3</v>
      </c>
      <c r="AM3071" s="175">
        <v>3</v>
      </c>
      <c r="AN3071" s="175">
        <v>0</v>
      </c>
      <c r="AO3071" s="175">
        <v>15</v>
      </c>
      <c r="AP3071" s="175">
        <v>15</v>
      </c>
      <c r="AQ3071" s="175">
        <v>0</v>
      </c>
      <c r="AR3071" s="175">
        <v>0</v>
      </c>
      <c r="AS3071" s="175">
        <v>0</v>
      </c>
      <c r="AT3071" s="175">
        <v>0</v>
      </c>
    </row>
    <row r="3072" spans="1:46">
      <c r="A3072">
        <v>47854</v>
      </c>
      <c r="B3072" t="s">
        <v>17403</v>
      </c>
      <c r="C3072" t="s">
        <v>17404</v>
      </c>
      <c r="E3072" t="s">
        <v>17405</v>
      </c>
      <c r="F3072" t="s">
        <v>1511</v>
      </c>
      <c r="G3072" t="s">
        <v>1381</v>
      </c>
      <c r="H3072" t="s">
        <v>449</v>
      </c>
      <c r="J3072" t="s">
        <v>605</v>
      </c>
      <c r="K3072" t="s">
        <v>606</v>
      </c>
      <c r="M3072" t="s">
        <v>1382</v>
      </c>
      <c r="N3072" t="s">
        <v>657</v>
      </c>
      <c r="O3072" t="s">
        <v>1383</v>
      </c>
      <c r="P3072" t="s">
        <v>739</v>
      </c>
      <c r="Q3072" t="s">
        <v>510</v>
      </c>
      <c r="R3072" t="s">
        <v>1384</v>
      </c>
      <c r="S3072" t="s">
        <v>1385</v>
      </c>
      <c r="T3072" t="s">
        <v>1320</v>
      </c>
      <c r="U3072">
        <v>181101</v>
      </c>
      <c r="V3072" t="s">
        <v>8478</v>
      </c>
      <c r="W3072" t="s">
        <v>1387</v>
      </c>
      <c r="X3072" t="s">
        <v>8441</v>
      </c>
      <c r="Y3072" t="s">
        <v>4014</v>
      </c>
      <c r="Z3072" t="s">
        <v>4015</v>
      </c>
      <c r="AA3072" t="s">
        <v>4016</v>
      </c>
      <c r="AB3072" t="s">
        <v>8442</v>
      </c>
      <c r="AE3072">
        <v>-37.822900869999998</v>
      </c>
      <c r="AF3072">
        <v>175.3017304</v>
      </c>
      <c r="AG3072" s="175">
        <v>70</v>
      </c>
      <c r="AH3072" s="175">
        <v>13</v>
      </c>
      <c r="AI3072" s="175">
        <v>3</v>
      </c>
      <c r="AJ3072" s="175">
        <v>15</v>
      </c>
      <c r="AK3072" s="175">
        <v>19</v>
      </c>
      <c r="AL3072" s="175">
        <v>23</v>
      </c>
      <c r="AM3072" s="175">
        <v>29</v>
      </c>
      <c r="AN3072" s="175">
        <v>1</v>
      </c>
      <c r="AO3072" s="175">
        <v>90</v>
      </c>
      <c r="AP3072" s="175">
        <v>28</v>
      </c>
      <c r="AQ3072" s="175">
        <v>14</v>
      </c>
      <c r="AR3072" s="175">
        <v>6</v>
      </c>
      <c r="AS3072" s="175">
        <v>62</v>
      </c>
      <c r="AT3072" s="175">
        <v>4</v>
      </c>
    </row>
    <row r="3073" spans="1:46">
      <c r="A3073">
        <v>47857</v>
      </c>
      <c r="B3073" t="s">
        <v>17406</v>
      </c>
      <c r="C3073" t="s">
        <v>17407</v>
      </c>
      <c r="E3073" t="s">
        <v>17408</v>
      </c>
      <c r="F3073" t="s">
        <v>848</v>
      </c>
      <c r="G3073" t="s">
        <v>737</v>
      </c>
      <c r="H3073" t="s">
        <v>347</v>
      </c>
      <c r="J3073" t="s">
        <v>605</v>
      </c>
      <c r="K3073" t="s">
        <v>606</v>
      </c>
      <c r="L3073" t="s">
        <v>4273</v>
      </c>
      <c r="M3073" t="s">
        <v>607</v>
      </c>
      <c r="N3073" t="s">
        <v>657</v>
      </c>
      <c r="O3073" t="s">
        <v>823</v>
      </c>
      <c r="P3073" t="s">
        <v>739</v>
      </c>
      <c r="Q3073" t="s">
        <v>467</v>
      </c>
      <c r="R3073" t="s">
        <v>724</v>
      </c>
      <c r="S3073" t="s">
        <v>841</v>
      </c>
      <c r="T3073" t="s">
        <v>613</v>
      </c>
      <c r="U3073">
        <v>122802</v>
      </c>
      <c r="V3073" t="s">
        <v>5833</v>
      </c>
      <c r="W3073" t="s">
        <v>826</v>
      </c>
      <c r="X3073" t="s">
        <v>6672</v>
      </c>
      <c r="Y3073" t="s">
        <v>4276</v>
      </c>
      <c r="Z3073" t="s">
        <v>4277</v>
      </c>
      <c r="AA3073" t="s">
        <v>4278</v>
      </c>
      <c r="AB3073" t="s">
        <v>6673</v>
      </c>
      <c r="AE3073">
        <v>-36.799328520000003</v>
      </c>
      <c r="AF3073">
        <v>174.70144733999999</v>
      </c>
      <c r="AG3073" s="175">
        <v>45</v>
      </c>
      <c r="AH3073" s="175">
        <v>12</v>
      </c>
      <c r="AI3073" s="175">
        <v>1</v>
      </c>
      <c r="AJ3073" s="175">
        <v>6</v>
      </c>
      <c r="AK3073" s="175">
        <v>14</v>
      </c>
      <c r="AL3073" s="175">
        <v>10</v>
      </c>
      <c r="AM3073" s="175">
        <v>8</v>
      </c>
      <c r="AN3073" s="175">
        <v>0</v>
      </c>
      <c r="AO3073" s="175">
        <v>39</v>
      </c>
      <c r="AP3073" s="175">
        <v>0</v>
      </c>
      <c r="AQ3073" s="175">
        <v>38</v>
      </c>
      <c r="AR3073" s="175">
        <v>0</v>
      </c>
      <c r="AS3073" s="175">
        <v>0</v>
      </c>
      <c r="AT3073" s="175">
        <v>1</v>
      </c>
    </row>
    <row r="3074" spans="1:46">
      <c r="A3074">
        <v>47861</v>
      </c>
      <c r="B3074" t="s">
        <v>17409</v>
      </c>
      <c r="C3074" t="s">
        <v>17410</v>
      </c>
      <c r="D3074" t="s">
        <v>17411</v>
      </c>
      <c r="E3074" t="s">
        <v>17412</v>
      </c>
      <c r="F3074" t="s">
        <v>1262</v>
      </c>
      <c r="G3074" t="s">
        <v>737</v>
      </c>
      <c r="H3074" t="s">
        <v>450</v>
      </c>
      <c r="J3074" t="s">
        <v>4032</v>
      </c>
      <c r="K3074" t="s">
        <v>606</v>
      </c>
      <c r="M3074" t="s">
        <v>607</v>
      </c>
      <c r="N3074" t="s">
        <v>657</v>
      </c>
      <c r="O3074" t="s">
        <v>833</v>
      </c>
      <c r="P3074" t="s">
        <v>739</v>
      </c>
      <c r="Q3074" t="s">
        <v>467</v>
      </c>
      <c r="R3074" t="s">
        <v>724</v>
      </c>
      <c r="S3074" t="s">
        <v>767</v>
      </c>
      <c r="T3074" t="s">
        <v>613</v>
      </c>
      <c r="U3074">
        <v>126801</v>
      </c>
      <c r="V3074" t="s">
        <v>1263</v>
      </c>
      <c r="W3074" t="s">
        <v>826</v>
      </c>
      <c r="X3074" t="s">
        <v>4975</v>
      </c>
      <c r="Y3074" t="s">
        <v>17412</v>
      </c>
      <c r="Z3074" t="s">
        <v>1262</v>
      </c>
      <c r="AA3074" t="s">
        <v>4356</v>
      </c>
      <c r="AE3074">
        <v>-36.792996029999998</v>
      </c>
      <c r="AF3074">
        <v>174.77127770000001</v>
      </c>
      <c r="AG3074" s="175">
        <v>80</v>
      </c>
      <c r="AH3074" s="175">
        <v>80</v>
      </c>
      <c r="AI3074" s="175">
        <v>15</v>
      </c>
      <c r="AJ3074" s="175">
        <v>17</v>
      </c>
      <c r="AK3074" s="175">
        <v>13</v>
      </c>
      <c r="AL3074" s="175">
        <v>9</v>
      </c>
      <c r="AM3074" s="175">
        <v>8</v>
      </c>
      <c r="AN3074" s="175">
        <v>0</v>
      </c>
      <c r="AO3074" s="175">
        <v>62</v>
      </c>
      <c r="AP3074" s="175">
        <v>4</v>
      </c>
      <c r="AQ3074" s="175">
        <v>0</v>
      </c>
      <c r="AR3074" s="175">
        <v>0</v>
      </c>
      <c r="AS3074" s="175">
        <v>61</v>
      </c>
      <c r="AT3074" s="175">
        <v>0</v>
      </c>
    </row>
    <row r="3075" spans="1:46">
      <c r="A3075">
        <v>47862</v>
      </c>
      <c r="B3075" t="s">
        <v>17413</v>
      </c>
      <c r="C3075" t="s">
        <v>17414</v>
      </c>
      <c r="E3075" t="s">
        <v>17415</v>
      </c>
      <c r="G3075" t="s">
        <v>8881</v>
      </c>
      <c r="H3075" t="s">
        <v>449</v>
      </c>
      <c r="J3075" t="s">
        <v>4032</v>
      </c>
      <c r="K3075" t="s">
        <v>606</v>
      </c>
      <c r="M3075" t="s">
        <v>1382</v>
      </c>
      <c r="N3075" t="s">
        <v>643</v>
      </c>
      <c r="O3075" t="s">
        <v>1435</v>
      </c>
      <c r="P3075" t="s">
        <v>626</v>
      </c>
      <c r="Q3075" t="s">
        <v>510</v>
      </c>
      <c r="R3075" t="s">
        <v>1384</v>
      </c>
      <c r="S3075" t="s">
        <v>1501</v>
      </c>
      <c r="T3075" t="s">
        <v>1320</v>
      </c>
      <c r="U3075">
        <v>172601</v>
      </c>
      <c r="V3075" t="s">
        <v>8881</v>
      </c>
      <c r="W3075" t="s">
        <v>1437</v>
      </c>
      <c r="X3075" t="s">
        <v>9178</v>
      </c>
      <c r="Y3075" t="s">
        <v>9179</v>
      </c>
      <c r="Z3075" t="s">
        <v>4194</v>
      </c>
      <c r="AA3075" t="s">
        <v>4631</v>
      </c>
      <c r="AB3075" t="s">
        <v>9180</v>
      </c>
      <c r="AE3075">
        <v>-37.70588497</v>
      </c>
      <c r="AF3075">
        <v>175.20270360999999</v>
      </c>
      <c r="AG3075" s="175">
        <v>100</v>
      </c>
      <c r="AH3075" s="175">
        <v>30</v>
      </c>
      <c r="AI3075" s="175">
        <v>1</v>
      </c>
      <c r="AJ3075" s="175">
        <v>11</v>
      </c>
      <c r="AK3075" s="175">
        <v>14</v>
      </c>
      <c r="AL3075" s="175">
        <v>14</v>
      </c>
      <c r="AM3075" s="175">
        <v>16</v>
      </c>
      <c r="AN3075" s="175">
        <v>0</v>
      </c>
      <c r="AO3075" s="175">
        <v>56</v>
      </c>
      <c r="AP3075" s="175">
        <v>23</v>
      </c>
      <c r="AQ3075" s="175">
        <v>11</v>
      </c>
      <c r="AR3075" s="175">
        <v>2</v>
      </c>
      <c r="AS3075" s="175">
        <v>20</v>
      </c>
      <c r="AT3075" s="175">
        <v>0</v>
      </c>
    </row>
    <row r="3076" spans="1:46">
      <c r="A3076">
        <v>47863</v>
      </c>
      <c r="B3076" t="s">
        <v>17416</v>
      </c>
      <c r="C3076" t="s">
        <v>17417</v>
      </c>
      <c r="D3076" t="s">
        <v>17418</v>
      </c>
      <c r="E3076" t="s">
        <v>11710</v>
      </c>
      <c r="F3076" t="s">
        <v>11711</v>
      </c>
      <c r="G3076" t="s">
        <v>2276</v>
      </c>
      <c r="H3076" t="s">
        <v>450</v>
      </c>
      <c r="J3076" t="s">
        <v>4032</v>
      </c>
      <c r="K3076" t="s">
        <v>606</v>
      </c>
      <c r="M3076" t="s">
        <v>2366</v>
      </c>
      <c r="N3076" t="s">
        <v>657</v>
      </c>
      <c r="O3076" t="s">
        <v>2277</v>
      </c>
      <c r="P3076" t="s">
        <v>670</v>
      </c>
      <c r="Q3076" t="s">
        <v>513</v>
      </c>
      <c r="R3076" t="s">
        <v>2901</v>
      </c>
      <c r="S3076" t="s">
        <v>2278</v>
      </c>
      <c r="T3076" t="s">
        <v>2165</v>
      </c>
      <c r="U3076">
        <v>210500</v>
      </c>
      <c r="V3076" t="s">
        <v>11711</v>
      </c>
      <c r="W3076" t="s">
        <v>2279</v>
      </c>
      <c r="X3076" t="s">
        <v>17419</v>
      </c>
      <c r="Y3076" t="s">
        <v>11710</v>
      </c>
      <c r="AA3076" t="s">
        <v>11713</v>
      </c>
      <c r="AE3076">
        <v>-39.641745919999998</v>
      </c>
      <c r="AF3076">
        <v>176.84603200999999</v>
      </c>
      <c r="AG3076" s="175">
        <v>50</v>
      </c>
      <c r="AH3076" s="175">
        <v>50</v>
      </c>
      <c r="AI3076" s="175">
        <v>0</v>
      </c>
      <c r="AJ3076" s="175">
        <v>8</v>
      </c>
      <c r="AK3076" s="175">
        <v>8</v>
      </c>
      <c r="AL3076" s="175">
        <v>7</v>
      </c>
      <c r="AM3076" s="175">
        <v>11</v>
      </c>
      <c r="AN3076" s="175">
        <v>0</v>
      </c>
      <c r="AO3076" s="175">
        <v>34</v>
      </c>
      <c r="AP3076" s="175">
        <v>34</v>
      </c>
      <c r="AQ3076" s="175">
        <v>4</v>
      </c>
      <c r="AR3076" s="175">
        <v>3</v>
      </c>
      <c r="AS3076" s="175">
        <v>1</v>
      </c>
      <c r="AT3076" s="175">
        <v>0</v>
      </c>
    </row>
    <row r="3077" spans="1:46">
      <c r="A3077">
        <v>47864</v>
      </c>
      <c r="B3077" t="s">
        <v>17420</v>
      </c>
      <c r="C3077" t="s">
        <v>10706</v>
      </c>
      <c r="E3077" t="s">
        <v>17421</v>
      </c>
      <c r="G3077" t="s">
        <v>1681</v>
      </c>
      <c r="H3077" t="s">
        <v>449</v>
      </c>
      <c r="J3077" t="s">
        <v>4032</v>
      </c>
      <c r="K3077" t="s">
        <v>606</v>
      </c>
      <c r="M3077" t="s">
        <v>1382</v>
      </c>
      <c r="N3077" t="s">
        <v>657</v>
      </c>
      <c r="O3077" t="s">
        <v>1780</v>
      </c>
      <c r="P3077" t="s">
        <v>739</v>
      </c>
      <c r="Q3077" t="s">
        <v>511</v>
      </c>
      <c r="R3077" t="s">
        <v>1555</v>
      </c>
      <c r="S3077" t="s">
        <v>1681</v>
      </c>
      <c r="T3077" t="s">
        <v>1557</v>
      </c>
      <c r="U3077">
        <v>193800</v>
      </c>
      <c r="V3077" t="s">
        <v>8466</v>
      </c>
      <c r="W3077" t="s">
        <v>3795</v>
      </c>
      <c r="X3077" t="s">
        <v>15005</v>
      </c>
      <c r="Y3077" t="s">
        <v>10710</v>
      </c>
      <c r="Z3077" t="s">
        <v>1797</v>
      </c>
      <c r="AA3077" t="s">
        <v>8947</v>
      </c>
      <c r="AB3077" t="s">
        <v>10706</v>
      </c>
      <c r="AE3077">
        <v>-37.68490998</v>
      </c>
      <c r="AF3077">
        <v>176.16476728000001</v>
      </c>
      <c r="AG3077" s="175">
        <v>50</v>
      </c>
      <c r="AH3077" s="175">
        <v>18</v>
      </c>
      <c r="AI3077" s="175">
        <v>3</v>
      </c>
      <c r="AJ3077" s="175">
        <v>14</v>
      </c>
      <c r="AK3077" s="175">
        <v>14</v>
      </c>
      <c r="AL3077" s="175">
        <v>7</v>
      </c>
      <c r="AM3077" s="175">
        <v>12</v>
      </c>
      <c r="AN3077" s="175">
        <v>0</v>
      </c>
      <c r="AO3077" s="175">
        <v>50</v>
      </c>
      <c r="AP3077" s="175">
        <v>44</v>
      </c>
      <c r="AQ3077" s="175">
        <v>11</v>
      </c>
      <c r="AR3077" s="175">
        <v>1</v>
      </c>
      <c r="AS3077" s="175">
        <v>5</v>
      </c>
      <c r="AT3077" s="175">
        <v>2</v>
      </c>
    </row>
    <row r="3078" spans="1:46">
      <c r="A3078">
        <v>47865</v>
      </c>
      <c r="B3078" t="s">
        <v>17422</v>
      </c>
      <c r="C3078" t="s">
        <v>17423</v>
      </c>
      <c r="E3078" t="s">
        <v>17424</v>
      </c>
      <c r="F3078" t="s">
        <v>10430</v>
      </c>
      <c r="G3078" t="s">
        <v>1522</v>
      </c>
      <c r="H3078" t="s">
        <v>449</v>
      </c>
      <c r="I3078" t="s">
        <v>470</v>
      </c>
      <c r="J3078" t="s">
        <v>605</v>
      </c>
      <c r="K3078" t="s">
        <v>606</v>
      </c>
      <c r="M3078" t="s">
        <v>1382</v>
      </c>
      <c r="N3078" t="s">
        <v>625</v>
      </c>
      <c r="O3078" t="s">
        <v>1545</v>
      </c>
      <c r="P3078" t="s">
        <v>658</v>
      </c>
      <c r="Q3078" t="s">
        <v>510</v>
      </c>
      <c r="R3078" t="s">
        <v>1384</v>
      </c>
      <c r="S3078" t="s">
        <v>1522</v>
      </c>
      <c r="T3078" t="s">
        <v>1320</v>
      </c>
      <c r="U3078">
        <v>166500</v>
      </c>
      <c r="V3078" t="s">
        <v>9390</v>
      </c>
      <c r="W3078" t="s">
        <v>9045</v>
      </c>
      <c r="X3078" t="s">
        <v>17425</v>
      </c>
      <c r="Y3078" t="s">
        <v>17424</v>
      </c>
      <c r="AA3078" t="s">
        <v>17426</v>
      </c>
      <c r="AB3078" t="s">
        <v>17423</v>
      </c>
      <c r="AE3078">
        <v>-36.851249369999998</v>
      </c>
      <c r="AF3078">
        <v>175.47916850999999</v>
      </c>
      <c r="AG3078" s="175">
        <v>25</v>
      </c>
      <c r="AH3078" s="175">
        <v>5</v>
      </c>
      <c r="AI3078" s="175">
        <v>1</v>
      </c>
      <c r="AJ3078" s="175">
        <v>0</v>
      </c>
      <c r="AK3078" s="175">
        <v>0</v>
      </c>
      <c r="AL3078" s="175">
        <v>6</v>
      </c>
      <c r="AM3078" s="175">
        <v>3</v>
      </c>
      <c r="AN3078" s="175">
        <v>0</v>
      </c>
      <c r="AO3078" s="175">
        <v>10</v>
      </c>
      <c r="AP3078" s="175">
        <v>1</v>
      </c>
      <c r="AQ3078" s="175">
        <v>7</v>
      </c>
      <c r="AR3078" s="175">
        <v>1</v>
      </c>
      <c r="AS3078" s="175">
        <v>0</v>
      </c>
      <c r="AT3078" s="175">
        <v>3</v>
      </c>
    </row>
    <row r="3079" spans="1:46">
      <c r="A3079">
        <v>47866</v>
      </c>
      <c r="B3079" t="s">
        <v>17427</v>
      </c>
      <c r="C3079" t="s">
        <v>17428</v>
      </c>
      <c r="E3079" t="s">
        <v>17429</v>
      </c>
      <c r="F3079" t="s">
        <v>3656</v>
      </c>
      <c r="G3079" t="s">
        <v>3569</v>
      </c>
      <c r="H3079" t="s">
        <v>449</v>
      </c>
      <c r="I3079" t="s">
        <v>4134</v>
      </c>
      <c r="J3079" t="s">
        <v>4032</v>
      </c>
      <c r="K3079" t="s">
        <v>606</v>
      </c>
      <c r="M3079" t="s">
        <v>2366</v>
      </c>
      <c r="N3079" t="s">
        <v>657</v>
      </c>
      <c r="O3079" t="s">
        <v>3568</v>
      </c>
      <c r="P3079" t="s">
        <v>670</v>
      </c>
      <c r="Q3079" t="s">
        <v>523</v>
      </c>
      <c r="R3079" t="s">
        <v>3410</v>
      </c>
      <c r="S3079" t="s">
        <v>3569</v>
      </c>
      <c r="T3079" t="s">
        <v>2526</v>
      </c>
      <c r="U3079">
        <v>361501</v>
      </c>
      <c r="V3079" t="s">
        <v>3656</v>
      </c>
      <c r="W3079" t="s">
        <v>1734</v>
      </c>
      <c r="X3079" t="s">
        <v>17430</v>
      </c>
      <c r="Y3079" t="s">
        <v>17431</v>
      </c>
      <c r="Z3079" t="s">
        <v>3656</v>
      </c>
      <c r="AA3079" t="s">
        <v>11966</v>
      </c>
      <c r="AB3079" t="s">
        <v>17428</v>
      </c>
      <c r="AE3079">
        <v>-46.392079340000002</v>
      </c>
      <c r="AF3079">
        <v>168.37041146999999</v>
      </c>
      <c r="AG3079" s="175">
        <v>20</v>
      </c>
      <c r="AH3079" s="175">
        <v>0</v>
      </c>
      <c r="AI3079" s="175">
        <v>0</v>
      </c>
      <c r="AJ3079" s="175">
        <v>0</v>
      </c>
      <c r="AK3079" s="175">
        <v>2</v>
      </c>
      <c r="AL3079" s="175">
        <v>6</v>
      </c>
      <c r="AM3079" s="175">
        <v>9</v>
      </c>
      <c r="AN3079" s="175">
        <v>1</v>
      </c>
      <c r="AO3079" s="175">
        <v>18</v>
      </c>
      <c r="AP3079" s="175">
        <v>14</v>
      </c>
      <c r="AQ3079" s="175">
        <v>2</v>
      </c>
      <c r="AR3079" s="175">
        <v>1</v>
      </c>
      <c r="AS3079" s="175">
        <v>2</v>
      </c>
      <c r="AT3079" s="175">
        <v>0</v>
      </c>
    </row>
    <row r="3080" spans="1:46">
      <c r="A3080">
        <v>47869</v>
      </c>
      <c r="B3080" t="s">
        <v>17432</v>
      </c>
      <c r="C3080" t="s">
        <v>17433</v>
      </c>
      <c r="E3080" t="s">
        <v>17434</v>
      </c>
      <c r="G3080" t="s">
        <v>2803</v>
      </c>
      <c r="H3080" t="s">
        <v>449</v>
      </c>
      <c r="J3080" t="s">
        <v>4032</v>
      </c>
      <c r="K3080" t="s">
        <v>606</v>
      </c>
      <c r="M3080" t="s">
        <v>2366</v>
      </c>
      <c r="N3080" t="s">
        <v>643</v>
      </c>
      <c r="O3080" t="s">
        <v>2147</v>
      </c>
      <c r="P3080" t="s">
        <v>658</v>
      </c>
      <c r="Q3080" t="s">
        <v>553</v>
      </c>
      <c r="R3080" t="s">
        <v>2368</v>
      </c>
      <c r="S3080" t="s">
        <v>2148</v>
      </c>
      <c r="T3080" t="s">
        <v>1568</v>
      </c>
      <c r="U3080">
        <v>234400</v>
      </c>
      <c r="V3080" t="s">
        <v>17435</v>
      </c>
      <c r="W3080" t="s">
        <v>10475</v>
      </c>
      <c r="X3080" t="s">
        <v>10355</v>
      </c>
      <c r="Y3080" t="s">
        <v>10356</v>
      </c>
      <c r="AA3080" t="s">
        <v>10357</v>
      </c>
      <c r="AB3080" t="s">
        <v>10358</v>
      </c>
      <c r="AE3080">
        <v>-40.613729550000002</v>
      </c>
      <c r="AF3080">
        <v>175.31714270000001</v>
      </c>
      <c r="AG3080" s="175">
        <v>115</v>
      </c>
      <c r="AH3080" s="175">
        <v>25</v>
      </c>
      <c r="AI3080" s="175">
        <v>6</v>
      </c>
      <c r="AJ3080" s="175">
        <v>16</v>
      </c>
      <c r="AK3080" s="175">
        <v>22</v>
      </c>
      <c r="AL3080" s="175">
        <v>37</v>
      </c>
      <c r="AM3080" s="175">
        <v>21</v>
      </c>
      <c r="AN3080" s="175">
        <v>0</v>
      </c>
      <c r="AO3080" s="175">
        <v>102</v>
      </c>
      <c r="AP3080" s="175">
        <v>78</v>
      </c>
      <c r="AQ3080" s="175">
        <v>48</v>
      </c>
      <c r="AR3080" s="175">
        <v>16</v>
      </c>
      <c r="AS3080" s="175">
        <v>7</v>
      </c>
      <c r="AT3080" s="175">
        <v>0</v>
      </c>
    </row>
    <row r="3081" spans="1:46">
      <c r="A3081">
        <v>47870</v>
      </c>
      <c r="B3081" t="s">
        <v>17436</v>
      </c>
      <c r="E3081" t="s">
        <v>17437</v>
      </c>
      <c r="F3081" t="s">
        <v>13170</v>
      </c>
      <c r="G3081" t="s">
        <v>737</v>
      </c>
      <c r="H3081" t="s">
        <v>449</v>
      </c>
      <c r="J3081" t="s">
        <v>4032</v>
      </c>
      <c r="K3081" t="s">
        <v>606</v>
      </c>
      <c r="M3081" t="s">
        <v>607</v>
      </c>
      <c r="N3081" t="s">
        <v>657</v>
      </c>
      <c r="O3081" t="s">
        <v>914</v>
      </c>
      <c r="P3081" t="s">
        <v>739</v>
      </c>
      <c r="Q3081" t="s">
        <v>467</v>
      </c>
      <c r="R3081" t="s">
        <v>793</v>
      </c>
      <c r="S3081" t="s">
        <v>815</v>
      </c>
      <c r="T3081" t="s">
        <v>794</v>
      </c>
      <c r="U3081">
        <v>146700</v>
      </c>
      <c r="V3081" t="s">
        <v>13652</v>
      </c>
      <c r="W3081" t="s">
        <v>892</v>
      </c>
      <c r="X3081" t="s">
        <v>17438</v>
      </c>
      <c r="Y3081" t="s">
        <v>17439</v>
      </c>
      <c r="Z3081" t="s">
        <v>876</v>
      </c>
      <c r="AA3081" t="s">
        <v>7383</v>
      </c>
      <c r="AE3081">
        <v>-36.898264500000003</v>
      </c>
      <c r="AF3081">
        <v>174.84594915</v>
      </c>
      <c r="AG3081" s="175">
        <v>100</v>
      </c>
      <c r="AH3081" s="175">
        <v>24</v>
      </c>
      <c r="AI3081" s="175">
        <v>0</v>
      </c>
      <c r="AJ3081" s="175">
        <v>18</v>
      </c>
      <c r="AK3081" s="175">
        <v>22</v>
      </c>
      <c r="AL3081" s="175">
        <v>15</v>
      </c>
      <c r="AM3081" s="175">
        <v>23</v>
      </c>
      <c r="AN3081" s="175">
        <v>2</v>
      </c>
      <c r="AO3081" s="175">
        <v>80</v>
      </c>
      <c r="AP3081" s="175">
        <v>25</v>
      </c>
      <c r="AQ3081" s="175">
        <v>3</v>
      </c>
      <c r="AR3081" s="175">
        <v>1</v>
      </c>
      <c r="AS3081" s="175">
        <v>65</v>
      </c>
      <c r="AT3081" s="175">
        <v>4</v>
      </c>
    </row>
    <row r="3082" spans="1:46">
      <c r="A3082">
        <v>47871</v>
      </c>
      <c r="B3082" t="s">
        <v>17440</v>
      </c>
      <c r="C3082" t="s">
        <v>17441</v>
      </c>
      <c r="D3082" t="s">
        <v>11860</v>
      </c>
      <c r="E3082" t="s">
        <v>17442</v>
      </c>
      <c r="F3082" t="s">
        <v>2557</v>
      </c>
      <c r="G3082" t="s">
        <v>2505</v>
      </c>
      <c r="H3082" t="s">
        <v>449</v>
      </c>
      <c r="I3082" t="s">
        <v>3715</v>
      </c>
      <c r="J3082" t="s">
        <v>4032</v>
      </c>
      <c r="K3082" t="s">
        <v>606</v>
      </c>
      <c r="M3082" t="s">
        <v>2366</v>
      </c>
      <c r="N3082" t="s">
        <v>625</v>
      </c>
      <c r="O3082" t="s">
        <v>2506</v>
      </c>
      <c r="P3082" t="s">
        <v>739</v>
      </c>
      <c r="Q3082" t="s">
        <v>516</v>
      </c>
      <c r="R3082" t="s">
        <v>2368</v>
      </c>
      <c r="S3082" t="s">
        <v>2451</v>
      </c>
      <c r="T3082" t="s">
        <v>2165</v>
      </c>
      <c r="U3082">
        <v>245400</v>
      </c>
      <c r="V3082" t="s">
        <v>2558</v>
      </c>
      <c r="W3082" t="s">
        <v>2533</v>
      </c>
      <c r="X3082" t="s">
        <v>17443</v>
      </c>
      <c r="Y3082" t="s">
        <v>4651</v>
      </c>
      <c r="Z3082" t="s">
        <v>4015</v>
      </c>
      <c r="AA3082" t="s">
        <v>4652</v>
      </c>
      <c r="AB3082" t="s">
        <v>17444</v>
      </c>
      <c r="AE3082">
        <v>-41.203679340000001</v>
      </c>
      <c r="AF3082">
        <v>174.94595819</v>
      </c>
      <c r="AG3082" s="175">
        <v>27</v>
      </c>
      <c r="AH3082" s="175">
        <v>5</v>
      </c>
      <c r="AI3082" s="175">
        <v>0</v>
      </c>
      <c r="AJ3082" s="175">
        <v>3</v>
      </c>
      <c r="AK3082" s="175">
        <v>8</v>
      </c>
      <c r="AL3082" s="175">
        <v>5</v>
      </c>
      <c r="AM3082" s="175">
        <v>7</v>
      </c>
      <c r="AN3082" s="175">
        <v>0</v>
      </c>
      <c r="AO3082" s="175">
        <v>23</v>
      </c>
      <c r="AP3082" s="175">
        <v>7</v>
      </c>
      <c r="AQ3082" s="175">
        <v>6</v>
      </c>
      <c r="AR3082" s="175">
        <v>18</v>
      </c>
      <c r="AS3082" s="175">
        <v>1</v>
      </c>
      <c r="AT3082" s="175">
        <v>0</v>
      </c>
    </row>
    <row r="3083" spans="1:46">
      <c r="A3083">
        <v>47872</v>
      </c>
      <c r="B3083" t="s">
        <v>17445</v>
      </c>
      <c r="C3083" t="s">
        <v>17446</v>
      </c>
      <c r="E3083" t="s">
        <v>17447</v>
      </c>
      <c r="F3083" t="s">
        <v>1362</v>
      </c>
      <c r="G3083" t="s">
        <v>737</v>
      </c>
      <c r="H3083" t="s">
        <v>347</v>
      </c>
      <c r="J3083" t="s">
        <v>605</v>
      </c>
      <c r="K3083" t="s">
        <v>606</v>
      </c>
      <c r="L3083" t="s">
        <v>4273</v>
      </c>
      <c r="M3083" t="s">
        <v>607</v>
      </c>
      <c r="N3083" t="s">
        <v>625</v>
      </c>
      <c r="O3083" t="s">
        <v>1353</v>
      </c>
      <c r="P3083" t="s">
        <v>739</v>
      </c>
      <c r="Q3083" t="s">
        <v>467</v>
      </c>
      <c r="R3083" t="s">
        <v>814</v>
      </c>
      <c r="S3083" t="s">
        <v>1319</v>
      </c>
      <c r="T3083" t="s">
        <v>1320</v>
      </c>
      <c r="U3083">
        <v>163600</v>
      </c>
      <c r="V3083" t="s">
        <v>7620</v>
      </c>
      <c r="W3083" t="s">
        <v>1304</v>
      </c>
      <c r="X3083" t="s">
        <v>4275</v>
      </c>
      <c r="Y3083" t="s">
        <v>4276</v>
      </c>
      <c r="Z3083" t="s">
        <v>4277</v>
      </c>
      <c r="AA3083" t="s">
        <v>4278</v>
      </c>
      <c r="AE3083">
        <v>-37.066068919999999</v>
      </c>
      <c r="AF3083">
        <v>174.95401892999999</v>
      </c>
      <c r="AG3083" s="175">
        <v>25</v>
      </c>
      <c r="AH3083" s="175">
        <v>8</v>
      </c>
      <c r="AI3083" s="175">
        <v>2</v>
      </c>
      <c r="AJ3083" s="175">
        <v>2</v>
      </c>
      <c r="AK3083" s="175">
        <v>5</v>
      </c>
      <c r="AL3083" s="175">
        <v>4</v>
      </c>
      <c r="AM3083" s="175">
        <v>6</v>
      </c>
      <c r="AN3083" s="175">
        <v>0</v>
      </c>
      <c r="AO3083" s="175">
        <v>19</v>
      </c>
      <c r="AP3083" s="175">
        <v>0</v>
      </c>
      <c r="AQ3083" s="175">
        <v>19</v>
      </c>
      <c r="AR3083" s="175">
        <v>0</v>
      </c>
      <c r="AS3083" s="175">
        <v>0</v>
      </c>
      <c r="AT3083" s="175">
        <v>0</v>
      </c>
    </row>
    <row r="3084" spans="1:46">
      <c r="A3084">
        <v>47873</v>
      </c>
      <c r="B3084" t="s">
        <v>17448</v>
      </c>
      <c r="D3084" t="s">
        <v>9176</v>
      </c>
      <c r="E3084" t="s">
        <v>17449</v>
      </c>
      <c r="F3084" t="s">
        <v>1114</v>
      </c>
      <c r="G3084" t="s">
        <v>737</v>
      </c>
      <c r="H3084" t="s">
        <v>449</v>
      </c>
      <c r="J3084" t="s">
        <v>4032</v>
      </c>
      <c r="K3084" t="s">
        <v>606</v>
      </c>
      <c r="M3084" t="s">
        <v>607</v>
      </c>
      <c r="N3084" t="s">
        <v>643</v>
      </c>
      <c r="O3084" t="s">
        <v>914</v>
      </c>
      <c r="P3084" t="s">
        <v>739</v>
      </c>
      <c r="Q3084" t="s">
        <v>467</v>
      </c>
      <c r="R3084" t="s">
        <v>793</v>
      </c>
      <c r="S3084" t="s">
        <v>890</v>
      </c>
      <c r="T3084" t="s">
        <v>794</v>
      </c>
      <c r="U3084">
        <v>147201</v>
      </c>
      <c r="V3084" t="s">
        <v>17450</v>
      </c>
      <c r="W3084" t="s">
        <v>892</v>
      </c>
      <c r="X3084" t="s">
        <v>17451</v>
      </c>
      <c r="Y3084" t="s">
        <v>9179</v>
      </c>
      <c r="Z3084" t="s">
        <v>4194</v>
      </c>
      <c r="AA3084" t="s">
        <v>5237</v>
      </c>
      <c r="AB3084" t="s">
        <v>17452</v>
      </c>
      <c r="AE3084">
        <v>-36.90824258</v>
      </c>
      <c r="AF3084">
        <v>174.8393451</v>
      </c>
      <c r="AG3084" s="175">
        <v>80</v>
      </c>
      <c r="AH3084" s="175">
        <v>20</v>
      </c>
      <c r="AI3084" s="175">
        <v>1</v>
      </c>
      <c r="AJ3084" s="175">
        <v>6</v>
      </c>
      <c r="AK3084" s="175">
        <v>8</v>
      </c>
      <c r="AL3084" s="175">
        <v>13</v>
      </c>
      <c r="AM3084" s="175">
        <v>13</v>
      </c>
      <c r="AN3084" s="175">
        <v>0</v>
      </c>
      <c r="AO3084" s="175">
        <v>41</v>
      </c>
      <c r="AP3084" s="175">
        <v>2</v>
      </c>
      <c r="AQ3084" s="175">
        <v>3</v>
      </c>
      <c r="AR3084" s="175">
        <v>10</v>
      </c>
      <c r="AS3084" s="175">
        <v>31</v>
      </c>
      <c r="AT3084" s="175">
        <v>2</v>
      </c>
    </row>
    <row r="3085" spans="1:46">
      <c r="A3085">
        <v>47874</v>
      </c>
      <c r="B3085" t="s">
        <v>17453</v>
      </c>
      <c r="C3085" t="s">
        <v>17454</v>
      </c>
      <c r="D3085" t="s">
        <v>17455</v>
      </c>
      <c r="E3085" t="s">
        <v>17456</v>
      </c>
      <c r="F3085" t="s">
        <v>983</v>
      </c>
      <c r="G3085" t="s">
        <v>737</v>
      </c>
      <c r="H3085" t="s">
        <v>449</v>
      </c>
      <c r="J3085" t="s">
        <v>4032</v>
      </c>
      <c r="K3085" t="s">
        <v>606</v>
      </c>
      <c r="M3085" t="s">
        <v>607</v>
      </c>
      <c r="N3085" t="s">
        <v>643</v>
      </c>
      <c r="O3085" t="s">
        <v>898</v>
      </c>
      <c r="P3085" t="s">
        <v>739</v>
      </c>
      <c r="Q3085" t="s">
        <v>467</v>
      </c>
      <c r="R3085" t="s">
        <v>724</v>
      </c>
      <c r="S3085" t="s">
        <v>984</v>
      </c>
      <c r="T3085" t="s">
        <v>613</v>
      </c>
      <c r="U3085">
        <v>125100</v>
      </c>
      <c r="V3085" t="s">
        <v>4372</v>
      </c>
      <c r="W3085" t="s">
        <v>900</v>
      </c>
      <c r="X3085" t="s">
        <v>17457</v>
      </c>
      <c r="Y3085" t="s">
        <v>17456</v>
      </c>
      <c r="Z3085" t="s">
        <v>983</v>
      </c>
      <c r="AA3085" t="s">
        <v>4034</v>
      </c>
      <c r="AE3085">
        <v>-36.863799999999998</v>
      </c>
      <c r="AF3085">
        <v>174.62950000000001</v>
      </c>
      <c r="AG3085" s="175">
        <v>44</v>
      </c>
      <c r="AH3085" s="175">
        <v>12</v>
      </c>
      <c r="AI3085" s="175">
        <v>1</v>
      </c>
      <c r="AJ3085" s="175">
        <v>5</v>
      </c>
      <c r="AK3085" s="175">
        <v>8</v>
      </c>
      <c r="AL3085" s="175">
        <v>9</v>
      </c>
      <c r="AM3085" s="175">
        <v>7</v>
      </c>
      <c r="AN3085" s="175">
        <v>0</v>
      </c>
      <c r="AO3085" s="175">
        <v>30</v>
      </c>
      <c r="AP3085" s="175">
        <v>2</v>
      </c>
      <c r="AQ3085" s="175">
        <v>0</v>
      </c>
      <c r="AR3085" s="175">
        <v>9</v>
      </c>
      <c r="AS3085" s="175">
        <v>21</v>
      </c>
      <c r="AT3085" s="175">
        <v>1</v>
      </c>
    </row>
    <row r="3086" spans="1:46">
      <c r="A3086">
        <v>47875</v>
      </c>
      <c r="B3086" t="s">
        <v>17458</v>
      </c>
      <c r="D3086" t="s">
        <v>9176</v>
      </c>
      <c r="E3086" t="s">
        <v>17459</v>
      </c>
      <c r="F3086" t="s">
        <v>4191</v>
      </c>
      <c r="G3086" t="s">
        <v>737</v>
      </c>
      <c r="H3086" t="s">
        <v>449</v>
      </c>
      <c r="J3086" t="s">
        <v>4032</v>
      </c>
      <c r="K3086" t="s">
        <v>606</v>
      </c>
      <c r="M3086" t="s">
        <v>607</v>
      </c>
      <c r="N3086" t="s">
        <v>657</v>
      </c>
      <c r="O3086" t="s">
        <v>792</v>
      </c>
      <c r="P3086" t="s">
        <v>739</v>
      </c>
      <c r="Q3086" t="s">
        <v>467</v>
      </c>
      <c r="R3086" t="s">
        <v>793</v>
      </c>
      <c r="S3086" t="s">
        <v>791</v>
      </c>
      <c r="T3086" t="s">
        <v>794</v>
      </c>
      <c r="U3086">
        <v>150700</v>
      </c>
      <c r="V3086" t="s">
        <v>882</v>
      </c>
      <c r="W3086" t="s">
        <v>796</v>
      </c>
      <c r="X3086" t="s">
        <v>17451</v>
      </c>
      <c r="Y3086" t="s">
        <v>9179</v>
      </c>
      <c r="Z3086" t="s">
        <v>4194</v>
      </c>
      <c r="AA3086" t="s">
        <v>5237</v>
      </c>
      <c r="AB3086" t="s">
        <v>17452</v>
      </c>
      <c r="AE3086">
        <v>-36.898986350000001</v>
      </c>
      <c r="AF3086">
        <v>174.9040085</v>
      </c>
      <c r="AG3086" s="175">
        <v>100</v>
      </c>
      <c r="AH3086" s="175">
        <v>25</v>
      </c>
      <c r="AI3086" s="175">
        <v>2</v>
      </c>
      <c r="AJ3086" s="175">
        <v>8</v>
      </c>
      <c r="AK3086" s="175">
        <v>24</v>
      </c>
      <c r="AL3086" s="175">
        <v>26</v>
      </c>
      <c r="AM3086" s="175">
        <v>19</v>
      </c>
      <c r="AN3086" s="175">
        <v>2</v>
      </c>
      <c r="AO3086" s="175">
        <v>81</v>
      </c>
      <c r="AP3086" s="175">
        <v>6</v>
      </c>
      <c r="AQ3086" s="175">
        <v>4</v>
      </c>
      <c r="AR3086" s="175">
        <v>7</v>
      </c>
      <c r="AS3086" s="175">
        <v>66</v>
      </c>
      <c r="AT3086" s="175">
        <v>8</v>
      </c>
    </row>
    <row r="3087" spans="1:46">
      <c r="A3087">
        <v>47876</v>
      </c>
      <c r="B3087" t="s">
        <v>17460</v>
      </c>
      <c r="C3087" t="s">
        <v>17461</v>
      </c>
      <c r="D3087" t="s">
        <v>9176</v>
      </c>
      <c r="E3087" t="s">
        <v>17462</v>
      </c>
      <c r="F3087" t="s">
        <v>767</v>
      </c>
      <c r="G3087" t="s">
        <v>737</v>
      </c>
      <c r="H3087" t="s">
        <v>449</v>
      </c>
      <c r="J3087" t="s">
        <v>4032</v>
      </c>
      <c r="K3087" t="s">
        <v>606</v>
      </c>
      <c r="M3087" t="s">
        <v>607</v>
      </c>
      <c r="N3087" t="s">
        <v>657</v>
      </c>
      <c r="O3087" t="s">
        <v>823</v>
      </c>
      <c r="P3087" t="s">
        <v>739</v>
      </c>
      <c r="Q3087" t="s">
        <v>467</v>
      </c>
      <c r="R3087" t="s">
        <v>724</v>
      </c>
      <c r="S3087" t="s">
        <v>824</v>
      </c>
      <c r="T3087" t="s">
        <v>613</v>
      </c>
      <c r="U3087">
        <v>123500</v>
      </c>
      <c r="V3087" t="s">
        <v>17463</v>
      </c>
      <c r="W3087" t="s">
        <v>826</v>
      </c>
      <c r="X3087" t="s">
        <v>17451</v>
      </c>
      <c r="Y3087" t="s">
        <v>9179</v>
      </c>
      <c r="Z3087" t="s">
        <v>4194</v>
      </c>
      <c r="AA3087" t="s">
        <v>5237</v>
      </c>
      <c r="AB3087" t="s">
        <v>17452</v>
      </c>
      <c r="AE3087">
        <v>-36.766473900000001</v>
      </c>
      <c r="AF3087">
        <v>174.73480369999999</v>
      </c>
      <c r="AG3087" s="175">
        <v>100</v>
      </c>
      <c r="AH3087" s="175">
        <v>25</v>
      </c>
      <c r="AI3087" s="175">
        <v>2</v>
      </c>
      <c r="AJ3087" s="175">
        <v>10</v>
      </c>
      <c r="AK3087" s="175">
        <v>9</v>
      </c>
      <c r="AL3087" s="175">
        <v>30</v>
      </c>
      <c r="AM3087" s="175">
        <v>25</v>
      </c>
      <c r="AN3087" s="175">
        <v>2</v>
      </c>
      <c r="AO3087" s="175">
        <v>78</v>
      </c>
      <c r="AP3087" s="175">
        <v>3</v>
      </c>
      <c r="AQ3087" s="175">
        <v>4</v>
      </c>
      <c r="AR3087" s="175">
        <v>8</v>
      </c>
      <c r="AS3087" s="175">
        <v>61</v>
      </c>
      <c r="AT3087" s="175">
        <v>8</v>
      </c>
    </row>
    <row r="3088" spans="1:46">
      <c r="A3088">
        <v>47878</v>
      </c>
      <c r="B3088" t="s">
        <v>17464</v>
      </c>
      <c r="D3088" t="s">
        <v>9176</v>
      </c>
      <c r="E3088" t="s">
        <v>17465</v>
      </c>
      <c r="F3088" t="s">
        <v>983</v>
      </c>
      <c r="G3088" t="s">
        <v>737</v>
      </c>
      <c r="H3088" t="s">
        <v>449</v>
      </c>
      <c r="J3088" t="s">
        <v>4032</v>
      </c>
      <c r="K3088" t="s">
        <v>606</v>
      </c>
      <c r="M3088" t="s">
        <v>607</v>
      </c>
      <c r="N3088" t="s">
        <v>657</v>
      </c>
      <c r="O3088" t="s">
        <v>898</v>
      </c>
      <c r="P3088" t="s">
        <v>739</v>
      </c>
      <c r="Q3088" t="s">
        <v>467</v>
      </c>
      <c r="R3088" t="s">
        <v>724</v>
      </c>
      <c r="S3088" t="s">
        <v>984</v>
      </c>
      <c r="T3088" t="s">
        <v>613</v>
      </c>
      <c r="U3088">
        <v>124500</v>
      </c>
      <c r="V3088" t="s">
        <v>1269</v>
      </c>
      <c r="W3088" t="s">
        <v>900</v>
      </c>
      <c r="X3088" t="s">
        <v>17466</v>
      </c>
      <c r="Y3088" t="s">
        <v>9179</v>
      </c>
      <c r="Z3088" t="s">
        <v>4194</v>
      </c>
      <c r="AA3088" t="s">
        <v>5237</v>
      </c>
      <c r="AB3088" t="s">
        <v>17467</v>
      </c>
      <c r="AE3088">
        <v>-36.844668300000002</v>
      </c>
      <c r="AF3088">
        <v>174.65196309999999</v>
      </c>
      <c r="AG3088" s="175">
        <v>55</v>
      </c>
      <c r="AH3088" s="175">
        <v>15</v>
      </c>
      <c r="AI3088" s="175">
        <v>0</v>
      </c>
      <c r="AJ3088" s="175">
        <v>9</v>
      </c>
      <c r="AK3088" s="175">
        <v>5</v>
      </c>
      <c r="AL3088" s="175">
        <v>11</v>
      </c>
      <c r="AM3088" s="175">
        <v>10</v>
      </c>
      <c r="AN3088" s="175">
        <v>0</v>
      </c>
      <c r="AO3088" s="175">
        <v>35</v>
      </c>
      <c r="AP3088" s="175">
        <v>6</v>
      </c>
      <c r="AQ3088" s="175">
        <v>8</v>
      </c>
      <c r="AR3088" s="175">
        <v>9</v>
      </c>
      <c r="AS3088" s="175">
        <v>19</v>
      </c>
      <c r="AT3088" s="175">
        <v>3</v>
      </c>
    </row>
    <row r="3089" spans="1:46">
      <c r="A3089">
        <v>47879</v>
      </c>
      <c r="B3089" t="s">
        <v>17468</v>
      </c>
      <c r="D3089" t="s">
        <v>9176</v>
      </c>
      <c r="E3089" t="s">
        <v>17469</v>
      </c>
      <c r="F3089" t="s">
        <v>804</v>
      </c>
      <c r="G3089" t="s">
        <v>737</v>
      </c>
      <c r="H3089" t="s">
        <v>449</v>
      </c>
      <c r="J3089" t="s">
        <v>4032</v>
      </c>
      <c r="K3089" t="s">
        <v>606</v>
      </c>
      <c r="M3089" t="s">
        <v>607</v>
      </c>
      <c r="N3089" t="s">
        <v>643</v>
      </c>
      <c r="O3089" t="s">
        <v>958</v>
      </c>
      <c r="P3089" t="s">
        <v>739</v>
      </c>
      <c r="Q3089" t="s">
        <v>467</v>
      </c>
      <c r="R3089" t="s">
        <v>724</v>
      </c>
      <c r="S3089" t="s">
        <v>804</v>
      </c>
      <c r="T3089" t="s">
        <v>794</v>
      </c>
      <c r="U3089">
        <v>130801</v>
      </c>
      <c r="V3089" t="s">
        <v>959</v>
      </c>
      <c r="W3089" t="s">
        <v>900</v>
      </c>
      <c r="X3089" t="s">
        <v>17466</v>
      </c>
      <c r="Y3089" t="s">
        <v>9179</v>
      </c>
      <c r="Z3089" t="s">
        <v>4194</v>
      </c>
      <c r="AA3089" t="s">
        <v>5237</v>
      </c>
      <c r="AB3089" t="s">
        <v>17467</v>
      </c>
      <c r="AE3089">
        <v>-36.906496519999997</v>
      </c>
      <c r="AF3089">
        <v>174.6611073</v>
      </c>
      <c r="AG3089" s="175">
        <v>60</v>
      </c>
      <c r="AH3089" s="175">
        <v>20</v>
      </c>
      <c r="AI3089" s="175">
        <v>0</v>
      </c>
      <c r="AJ3089" s="175">
        <v>4</v>
      </c>
      <c r="AK3089" s="175">
        <v>8</v>
      </c>
      <c r="AL3089" s="175">
        <v>13</v>
      </c>
      <c r="AM3089" s="175">
        <v>13</v>
      </c>
      <c r="AN3089" s="175">
        <v>0</v>
      </c>
      <c r="AO3089" s="175">
        <v>38</v>
      </c>
      <c r="AP3089" s="175">
        <v>2</v>
      </c>
      <c r="AQ3089" s="175">
        <v>4</v>
      </c>
      <c r="AR3089" s="175">
        <v>2</v>
      </c>
      <c r="AS3089" s="175">
        <v>32</v>
      </c>
      <c r="AT3089" s="175">
        <v>1</v>
      </c>
    </row>
    <row r="3090" spans="1:46">
      <c r="A3090">
        <v>47880</v>
      </c>
      <c r="B3090" t="s">
        <v>17470</v>
      </c>
      <c r="D3090" t="s">
        <v>9176</v>
      </c>
      <c r="E3090" t="s">
        <v>17471</v>
      </c>
      <c r="F3090" t="s">
        <v>1120</v>
      </c>
      <c r="G3090" t="s">
        <v>737</v>
      </c>
      <c r="H3090" t="s">
        <v>449</v>
      </c>
      <c r="J3090" t="s">
        <v>4032</v>
      </c>
      <c r="K3090" t="s">
        <v>606</v>
      </c>
      <c r="M3090" t="s">
        <v>607</v>
      </c>
      <c r="N3090" t="s">
        <v>657</v>
      </c>
      <c r="O3090" t="s">
        <v>813</v>
      </c>
      <c r="P3090" t="s">
        <v>739</v>
      </c>
      <c r="Q3090" t="s">
        <v>467</v>
      </c>
      <c r="R3090" t="s">
        <v>814</v>
      </c>
      <c r="S3090" t="s">
        <v>815</v>
      </c>
      <c r="T3090" t="s">
        <v>794</v>
      </c>
      <c r="U3090">
        <v>154902</v>
      </c>
      <c r="V3090" t="s">
        <v>7897</v>
      </c>
      <c r="W3090" t="s">
        <v>817</v>
      </c>
      <c r="X3090" t="s">
        <v>17451</v>
      </c>
      <c r="Y3090" t="s">
        <v>9179</v>
      </c>
      <c r="Z3090" t="s">
        <v>4194</v>
      </c>
      <c r="AA3090" t="s">
        <v>5237</v>
      </c>
      <c r="AB3090" t="s">
        <v>17452</v>
      </c>
      <c r="AE3090">
        <v>-36.974119010000003</v>
      </c>
      <c r="AF3090">
        <v>174.85681869999999</v>
      </c>
      <c r="AG3090" s="175">
        <v>58</v>
      </c>
      <c r="AH3090" s="175">
        <v>20</v>
      </c>
      <c r="AI3090" s="175">
        <v>2</v>
      </c>
      <c r="AJ3090" s="175">
        <v>9</v>
      </c>
      <c r="AK3090" s="175">
        <v>5</v>
      </c>
      <c r="AL3090" s="175">
        <v>15</v>
      </c>
      <c r="AM3090" s="175">
        <v>22</v>
      </c>
      <c r="AN3090" s="175">
        <v>1</v>
      </c>
      <c r="AO3090" s="175">
        <v>54</v>
      </c>
      <c r="AP3090" s="175">
        <v>0</v>
      </c>
      <c r="AQ3090" s="175">
        <v>0</v>
      </c>
      <c r="AR3090" s="175">
        <v>7</v>
      </c>
      <c r="AS3090" s="175">
        <v>50</v>
      </c>
      <c r="AT3090" s="175">
        <v>0</v>
      </c>
    </row>
    <row r="3091" spans="1:46">
      <c r="A3091">
        <v>47881</v>
      </c>
      <c r="B3091" t="s">
        <v>17472</v>
      </c>
      <c r="D3091" t="s">
        <v>9176</v>
      </c>
      <c r="E3091" t="s">
        <v>17473</v>
      </c>
      <c r="F3091" t="s">
        <v>855</v>
      </c>
      <c r="G3091" t="s">
        <v>737</v>
      </c>
      <c r="H3091" t="s">
        <v>449</v>
      </c>
      <c r="J3091" t="s">
        <v>4032</v>
      </c>
      <c r="K3091" t="s">
        <v>606</v>
      </c>
      <c r="M3091" t="s">
        <v>607</v>
      </c>
      <c r="N3091" t="s">
        <v>657</v>
      </c>
      <c r="O3091" t="s">
        <v>803</v>
      </c>
      <c r="P3091" t="s">
        <v>739</v>
      </c>
      <c r="Q3091" t="s">
        <v>467</v>
      </c>
      <c r="R3091" t="s">
        <v>724</v>
      </c>
      <c r="S3091" t="s">
        <v>855</v>
      </c>
      <c r="T3091" t="s">
        <v>794</v>
      </c>
      <c r="U3091">
        <v>133900</v>
      </c>
      <c r="V3091" t="s">
        <v>4397</v>
      </c>
      <c r="W3091" t="s">
        <v>806</v>
      </c>
      <c r="X3091" t="s">
        <v>17466</v>
      </c>
      <c r="Y3091" t="s">
        <v>9179</v>
      </c>
      <c r="Z3091" t="s">
        <v>4194</v>
      </c>
      <c r="AA3091" t="s">
        <v>5237</v>
      </c>
      <c r="AB3091" t="s">
        <v>17467</v>
      </c>
      <c r="AE3091">
        <v>-36.907302000000001</v>
      </c>
      <c r="AF3091">
        <v>174.67865409999999</v>
      </c>
      <c r="AG3091" s="175">
        <v>40</v>
      </c>
      <c r="AH3091" s="175">
        <v>8</v>
      </c>
      <c r="AI3091" s="175">
        <v>0</v>
      </c>
      <c r="AJ3091" s="175">
        <v>9</v>
      </c>
      <c r="AK3091" s="175">
        <v>6</v>
      </c>
      <c r="AL3091" s="175">
        <v>9</v>
      </c>
      <c r="AM3091" s="175">
        <v>12</v>
      </c>
      <c r="AN3091" s="175">
        <v>1</v>
      </c>
      <c r="AO3091" s="175">
        <v>37</v>
      </c>
      <c r="AP3091" s="175">
        <v>0</v>
      </c>
      <c r="AQ3091" s="175">
        <v>0</v>
      </c>
      <c r="AR3091" s="175">
        <v>1</v>
      </c>
      <c r="AS3091" s="175">
        <v>35</v>
      </c>
      <c r="AT3091" s="175">
        <v>4</v>
      </c>
    </row>
    <row r="3092" spans="1:46">
      <c r="A3092">
        <v>47884</v>
      </c>
      <c r="B3092" t="s">
        <v>17474</v>
      </c>
      <c r="C3092" t="s">
        <v>17475</v>
      </c>
      <c r="E3092" t="s">
        <v>17476</v>
      </c>
      <c r="F3092" t="s">
        <v>811</v>
      </c>
      <c r="G3092" t="s">
        <v>737</v>
      </c>
      <c r="H3092" t="s">
        <v>449</v>
      </c>
      <c r="J3092" t="s">
        <v>4032</v>
      </c>
      <c r="K3092" t="s">
        <v>606</v>
      </c>
      <c r="M3092" t="s">
        <v>607</v>
      </c>
      <c r="N3092" t="s">
        <v>812</v>
      </c>
      <c r="O3092" t="s">
        <v>813</v>
      </c>
      <c r="P3092" t="s">
        <v>739</v>
      </c>
      <c r="Q3092" t="s">
        <v>467</v>
      </c>
      <c r="R3092" t="s">
        <v>814</v>
      </c>
      <c r="S3092" t="s">
        <v>815</v>
      </c>
      <c r="T3092" t="s">
        <v>794</v>
      </c>
      <c r="U3092">
        <v>155701</v>
      </c>
      <c r="V3092" t="s">
        <v>5071</v>
      </c>
      <c r="W3092" t="s">
        <v>817</v>
      </c>
      <c r="X3092" t="s">
        <v>8102</v>
      </c>
      <c r="Y3092" t="s">
        <v>15630</v>
      </c>
      <c r="Z3092" t="s">
        <v>15631</v>
      </c>
      <c r="AA3092" t="s">
        <v>15632</v>
      </c>
      <c r="AB3092" t="s">
        <v>8105</v>
      </c>
      <c r="AE3092">
        <v>-36.964505209999999</v>
      </c>
      <c r="AF3092">
        <v>174.87412236</v>
      </c>
      <c r="AG3092" s="175">
        <v>100</v>
      </c>
      <c r="AH3092" s="175">
        <v>30</v>
      </c>
      <c r="AI3092" s="175">
        <v>7</v>
      </c>
      <c r="AJ3092" s="175">
        <v>15</v>
      </c>
      <c r="AK3092" s="175">
        <v>23</v>
      </c>
      <c r="AL3092" s="175">
        <v>24</v>
      </c>
      <c r="AM3092" s="175">
        <v>21</v>
      </c>
      <c r="AN3092" s="175">
        <v>3</v>
      </c>
      <c r="AO3092" s="175">
        <v>93</v>
      </c>
      <c r="AP3092" s="175">
        <v>7</v>
      </c>
      <c r="AQ3092" s="175">
        <v>24</v>
      </c>
      <c r="AR3092" s="175">
        <v>65</v>
      </c>
      <c r="AS3092" s="175">
        <v>18</v>
      </c>
      <c r="AT3092" s="175">
        <v>7</v>
      </c>
    </row>
    <row r="3093" spans="1:46">
      <c r="A3093">
        <v>47885</v>
      </c>
      <c r="B3093" t="s">
        <v>17477</v>
      </c>
      <c r="C3093" t="s">
        <v>17478</v>
      </c>
      <c r="E3093" t="s">
        <v>17479</v>
      </c>
      <c r="F3093" t="s">
        <v>1199</v>
      </c>
      <c r="G3093" t="s">
        <v>737</v>
      </c>
      <c r="H3093" t="s">
        <v>449</v>
      </c>
      <c r="J3093" t="s">
        <v>605</v>
      </c>
      <c r="K3093" t="s">
        <v>606</v>
      </c>
      <c r="M3093" t="s">
        <v>607</v>
      </c>
      <c r="N3093" t="s">
        <v>608</v>
      </c>
      <c r="O3093" t="s">
        <v>898</v>
      </c>
      <c r="P3093" t="s">
        <v>739</v>
      </c>
      <c r="Q3093" t="s">
        <v>467</v>
      </c>
      <c r="R3093" t="s">
        <v>724</v>
      </c>
      <c r="S3093" t="s">
        <v>984</v>
      </c>
      <c r="T3093" t="s">
        <v>613</v>
      </c>
      <c r="U3093">
        <v>123800</v>
      </c>
      <c r="V3093" t="s">
        <v>1200</v>
      </c>
      <c r="W3093" t="s">
        <v>900</v>
      </c>
      <c r="X3093" t="s">
        <v>17480</v>
      </c>
      <c r="Y3093" t="s">
        <v>5169</v>
      </c>
      <c r="Z3093" t="s">
        <v>5170</v>
      </c>
      <c r="AA3093" t="s">
        <v>5171</v>
      </c>
      <c r="AB3093" t="s">
        <v>17481</v>
      </c>
      <c r="AE3093">
        <v>-36.864745470000003</v>
      </c>
      <c r="AF3093">
        <v>174.60282140000001</v>
      </c>
      <c r="AG3093" s="175">
        <v>52</v>
      </c>
      <c r="AH3093" s="175">
        <v>0</v>
      </c>
      <c r="AI3093" s="175">
        <v>0</v>
      </c>
      <c r="AJ3093" s="175">
        <v>0</v>
      </c>
      <c r="AK3093" s="175">
        <v>9</v>
      </c>
      <c r="AL3093" s="175">
        <v>16</v>
      </c>
      <c r="AM3093" s="175">
        <v>14</v>
      </c>
      <c r="AN3093" s="175">
        <v>8</v>
      </c>
      <c r="AO3093" s="175">
        <v>47</v>
      </c>
      <c r="AP3093" s="175">
        <v>7</v>
      </c>
      <c r="AQ3093" s="175">
        <v>21</v>
      </c>
      <c r="AR3093" s="175">
        <v>30</v>
      </c>
      <c r="AS3093" s="175">
        <v>8</v>
      </c>
      <c r="AT3093" s="175">
        <v>3</v>
      </c>
    </row>
    <row r="3094" spans="1:46">
      <c r="A3094">
        <v>47886</v>
      </c>
      <c r="B3094" t="s">
        <v>17482</v>
      </c>
      <c r="C3094" t="s">
        <v>17483</v>
      </c>
      <c r="D3094" t="s">
        <v>17484</v>
      </c>
      <c r="E3094" t="s">
        <v>17485</v>
      </c>
      <c r="F3094" t="s">
        <v>862</v>
      </c>
      <c r="G3094" t="s">
        <v>737</v>
      </c>
      <c r="H3094" t="s">
        <v>449</v>
      </c>
      <c r="J3094" t="s">
        <v>4032</v>
      </c>
      <c r="K3094" t="s">
        <v>606</v>
      </c>
      <c r="M3094" t="s">
        <v>607</v>
      </c>
      <c r="N3094" t="s">
        <v>657</v>
      </c>
      <c r="O3094" t="s">
        <v>792</v>
      </c>
      <c r="P3094" t="s">
        <v>739</v>
      </c>
      <c r="Q3094" t="s">
        <v>467</v>
      </c>
      <c r="R3094" t="s">
        <v>793</v>
      </c>
      <c r="S3094" t="s">
        <v>791</v>
      </c>
      <c r="T3094" t="s">
        <v>794</v>
      </c>
      <c r="U3094">
        <v>152000</v>
      </c>
      <c r="V3094" t="s">
        <v>1011</v>
      </c>
      <c r="W3094" t="s">
        <v>796</v>
      </c>
      <c r="X3094" t="s">
        <v>14838</v>
      </c>
      <c r="Y3094" t="s">
        <v>15818</v>
      </c>
      <c r="Z3094" t="s">
        <v>4870</v>
      </c>
      <c r="AA3094" t="s">
        <v>4061</v>
      </c>
      <c r="AB3094" t="s">
        <v>14839</v>
      </c>
      <c r="AE3094">
        <v>-36.895637010000002</v>
      </c>
      <c r="AF3094">
        <v>174.92269285</v>
      </c>
      <c r="AG3094" s="175">
        <v>110</v>
      </c>
      <c r="AH3094" s="175">
        <v>23</v>
      </c>
      <c r="AI3094" s="175">
        <v>2</v>
      </c>
      <c r="AJ3094" s="175">
        <v>10</v>
      </c>
      <c r="AK3094" s="175">
        <v>23</v>
      </c>
      <c r="AL3094" s="175">
        <v>26</v>
      </c>
      <c r="AM3094" s="175">
        <v>33</v>
      </c>
      <c r="AN3094" s="175">
        <v>0</v>
      </c>
      <c r="AO3094" s="175">
        <v>94</v>
      </c>
      <c r="AP3094" s="175">
        <v>50</v>
      </c>
      <c r="AQ3094" s="175">
        <v>6</v>
      </c>
      <c r="AR3094" s="175">
        <v>3</v>
      </c>
      <c r="AS3094" s="175">
        <v>50</v>
      </c>
      <c r="AT3094" s="175">
        <v>2</v>
      </c>
    </row>
    <row r="3095" spans="1:46">
      <c r="A3095">
        <v>47887</v>
      </c>
      <c r="B3095" t="s">
        <v>17486</v>
      </c>
      <c r="E3095" t="s">
        <v>11710</v>
      </c>
      <c r="G3095" t="s">
        <v>2276</v>
      </c>
      <c r="H3095" t="s">
        <v>450</v>
      </c>
      <c r="J3095" t="s">
        <v>4032</v>
      </c>
      <c r="K3095" t="s">
        <v>606</v>
      </c>
      <c r="M3095" t="s">
        <v>2366</v>
      </c>
      <c r="N3095" t="s">
        <v>657</v>
      </c>
      <c r="O3095" t="s">
        <v>2277</v>
      </c>
      <c r="P3095" t="s">
        <v>670</v>
      </c>
      <c r="Q3095" t="s">
        <v>513</v>
      </c>
      <c r="R3095" t="s">
        <v>3410</v>
      </c>
      <c r="S3095" t="s">
        <v>2278</v>
      </c>
      <c r="T3095" t="s">
        <v>2165</v>
      </c>
      <c r="U3095">
        <v>210500</v>
      </c>
      <c r="V3095" t="s">
        <v>11711</v>
      </c>
      <c r="W3095" t="s">
        <v>2279</v>
      </c>
      <c r="X3095" t="s">
        <v>17487</v>
      </c>
      <c r="Y3095" t="s">
        <v>11710</v>
      </c>
      <c r="AA3095" t="s">
        <v>11713</v>
      </c>
      <c r="AE3095">
        <v>-39.641745919999998</v>
      </c>
      <c r="AF3095">
        <v>176.84603200999999</v>
      </c>
      <c r="AG3095" s="175">
        <v>80</v>
      </c>
      <c r="AH3095" s="175">
        <v>80</v>
      </c>
      <c r="AI3095" s="175">
        <v>5</v>
      </c>
      <c r="AJ3095" s="175">
        <v>6</v>
      </c>
      <c r="AK3095" s="175">
        <v>18</v>
      </c>
      <c r="AL3095" s="175">
        <v>17</v>
      </c>
      <c r="AM3095" s="175">
        <v>8</v>
      </c>
      <c r="AN3095" s="175">
        <v>0</v>
      </c>
      <c r="AO3095" s="175">
        <v>54</v>
      </c>
      <c r="AP3095" s="175">
        <v>41</v>
      </c>
      <c r="AQ3095" s="175">
        <v>13</v>
      </c>
      <c r="AR3095" s="175">
        <v>1</v>
      </c>
      <c r="AS3095" s="175">
        <v>3</v>
      </c>
      <c r="AT3095" s="175">
        <v>0</v>
      </c>
    </row>
    <row r="3096" spans="1:46">
      <c r="A3096">
        <v>47889</v>
      </c>
      <c r="B3096" t="s">
        <v>17488</v>
      </c>
      <c r="C3096" t="s">
        <v>17489</v>
      </c>
      <c r="D3096" t="s">
        <v>17490</v>
      </c>
      <c r="E3096" t="s">
        <v>17491</v>
      </c>
      <c r="F3096" t="s">
        <v>3267</v>
      </c>
      <c r="G3096" t="s">
        <v>3015</v>
      </c>
      <c r="H3096" t="s">
        <v>449</v>
      </c>
      <c r="J3096" t="s">
        <v>4032</v>
      </c>
      <c r="K3096" t="s">
        <v>606</v>
      </c>
      <c r="M3096" t="s">
        <v>2366</v>
      </c>
      <c r="N3096" t="s">
        <v>657</v>
      </c>
      <c r="O3096" t="s">
        <v>3016</v>
      </c>
      <c r="P3096" t="s">
        <v>739</v>
      </c>
      <c r="Q3096" t="s">
        <v>521</v>
      </c>
      <c r="R3096" t="s">
        <v>3017</v>
      </c>
      <c r="S3096" t="s">
        <v>3052</v>
      </c>
      <c r="T3096" t="s">
        <v>2526</v>
      </c>
      <c r="U3096">
        <v>324502</v>
      </c>
      <c r="V3096" t="s">
        <v>17492</v>
      </c>
      <c r="W3096" t="s">
        <v>3269</v>
      </c>
      <c r="X3096" t="s">
        <v>17493</v>
      </c>
      <c r="Y3096" t="s">
        <v>17491</v>
      </c>
      <c r="Z3096" t="s">
        <v>3267</v>
      </c>
      <c r="AA3096" t="s">
        <v>13017</v>
      </c>
      <c r="AB3096" t="s">
        <v>17494</v>
      </c>
      <c r="AE3096">
        <v>-43.580925049999998</v>
      </c>
      <c r="AF3096">
        <v>172.54986410000001</v>
      </c>
      <c r="AG3096" s="175">
        <v>55</v>
      </c>
      <c r="AH3096" s="175">
        <v>15</v>
      </c>
      <c r="AI3096" s="175">
        <v>0</v>
      </c>
      <c r="AJ3096" s="175">
        <v>6</v>
      </c>
      <c r="AK3096" s="175">
        <v>11</v>
      </c>
      <c r="AL3096" s="175">
        <v>4</v>
      </c>
      <c r="AM3096" s="175">
        <v>13</v>
      </c>
      <c r="AN3096" s="175">
        <v>0</v>
      </c>
      <c r="AO3096" s="175">
        <v>34</v>
      </c>
      <c r="AP3096" s="175">
        <v>28</v>
      </c>
      <c r="AQ3096" s="175">
        <v>3</v>
      </c>
      <c r="AR3096" s="175">
        <v>0</v>
      </c>
      <c r="AS3096" s="175">
        <v>9</v>
      </c>
      <c r="AT3096" s="175">
        <v>2</v>
      </c>
    </row>
    <row r="3097" spans="1:46">
      <c r="A3097">
        <v>47891</v>
      </c>
      <c r="B3097" t="s">
        <v>17495</v>
      </c>
      <c r="C3097" t="s">
        <v>17496</v>
      </c>
      <c r="D3097" t="s">
        <v>11709</v>
      </c>
      <c r="E3097" t="s">
        <v>11710</v>
      </c>
      <c r="G3097" t="s">
        <v>2276</v>
      </c>
      <c r="H3097" t="s">
        <v>450</v>
      </c>
      <c r="J3097" t="s">
        <v>4032</v>
      </c>
      <c r="K3097" t="s">
        <v>606</v>
      </c>
      <c r="M3097" t="s">
        <v>2366</v>
      </c>
      <c r="N3097" t="s">
        <v>657</v>
      </c>
      <c r="O3097" t="s">
        <v>2277</v>
      </c>
      <c r="P3097" t="s">
        <v>670</v>
      </c>
      <c r="Q3097" t="s">
        <v>513</v>
      </c>
      <c r="R3097" t="s">
        <v>2368</v>
      </c>
      <c r="S3097" t="s">
        <v>2278</v>
      </c>
      <c r="T3097" t="s">
        <v>2165</v>
      </c>
      <c r="U3097">
        <v>210500</v>
      </c>
      <c r="V3097" t="s">
        <v>11711</v>
      </c>
      <c r="W3097" t="s">
        <v>2279</v>
      </c>
      <c r="X3097" t="s">
        <v>17497</v>
      </c>
      <c r="Y3097" t="s">
        <v>11710</v>
      </c>
      <c r="AA3097" t="s">
        <v>11713</v>
      </c>
      <c r="AB3097" t="s">
        <v>17498</v>
      </c>
      <c r="AE3097">
        <v>-39.641745919999998</v>
      </c>
      <c r="AF3097">
        <v>176.84603200999999</v>
      </c>
      <c r="AG3097" s="175">
        <v>100</v>
      </c>
      <c r="AH3097" s="175">
        <v>100</v>
      </c>
      <c r="AI3097" s="175">
        <v>2</v>
      </c>
      <c r="AJ3097" s="175">
        <v>12</v>
      </c>
      <c r="AK3097" s="175">
        <v>21</v>
      </c>
      <c r="AL3097" s="175">
        <v>17</v>
      </c>
      <c r="AM3097" s="175">
        <v>3</v>
      </c>
      <c r="AN3097" s="175">
        <v>2</v>
      </c>
      <c r="AO3097" s="175">
        <v>57</v>
      </c>
      <c r="AP3097" s="175">
        <v>47</v>
      </c>
      <c r="AQ3097" s="175">
        <v>10</v>
      </c>
      <c r="AR3097" s="175">
        <v>6</v>
      </c>
      <c r="AS3097" s="175">
        <v>2</v>
      </c>
      <c r="AT3097" s="175">
        <v>3</v>
      </c>
    </row>
    <row r="3098" spans="1:46">
      <c r="A3098">
        <v>47894</v>
      </c>
      <c r="B3098" t="s">
        <v>17499</v>
      </c>
      <c r="C3098" t="s">
        <v>17500</v>
      </c>
      <c r="D3098" t="s">
        <v>17501</v>
      </c>
      <c r="E3098" t="s">
        <v>17502</v>
      </c>
      <c r="F3098" t="s">
        <v>3267</v>
      </c>
      <c r="G3098" t="s">
        <v>3015</v>
      </c>
      <c r="H3098" t="s">
        <v>449</v>
      </c>
      <c r="J3098" t="s">
        <v>4032</v>
      </c>
      <c r="K3098" t="s">
        <v>606</v>
      </c>
      <c r="M3098" t="s">
        <v>2366</v>
      </c>
      <c r="N3098" t="s">
        <v>657</v>
      </c>
      <c r="O3098" t="s">
        <v>3016</v>
      </c>
      <c r="P3098" t="s">
        <v>739</v>
      </c>
      <c r="Q3098" t="s">
        <v>521</v>
      </c>
      <c r="R3098" t="s">
        <v>3017</v>
      </c>
      <c r="S3098" t="s">
        <v>3052</v>
      </c>
      <c r="T3098" t="s">
        <v>2526</v>
      </c>
      <c r="U3098">
        <v>329002</v>
      </c>
      <c r="V3098" t="s">
        <v>17503</v>
      </c>
      <c r="W3098" t="s">
        <v>3269</v>
      </c>
      <c r="X3098" t="s">
        <v>17504</v>
      </c>
      <c r="Y3098" t="s">
        <v>17505</v>
      </c>
      <c r="Z3098" t="s">
        <v>3267</v>
      </c>
      <c r="AA3098" t="s">
        <v>13017</v>
      </c>
      <c r="AB3098" t="s">
        <v>17506</v>
      </c>
      <c r="AE3098">
        <v>-43.587591959999997</v>
      </c>
      <c r="AF3098">
        <v>172.57174447</v>
      </c>
      <c r="AG3098" s="175">
        <v>104</v>
      </c>
      <c r="AH3098" s="175">
        <v>25</v>
      </c>
      <c r="AI3098" s="175">
        <v>7</v>
      </c>
      <c r="AJ3098" s="175">
        <v>25</v>
      </c>
      <c r="AK3098" s="175">
        <v>29</v>
      </c>
      <c r="AL3098" s="175">
        <v>26</v>
      </c>
      <c r="AM3098" s="175">
        <v>29</v>
      </c>
      <c r="AN3098" s="175">
        <v>2</v>
      </c>
      <c r="AO3098" s="175">
        <v>118</v>
      </c>
      <c r="AP3098" s="175">
        <v>98</v>
      </c>
      <c r="AQ3098" s="175">
        <v>13</v>
      </c>
      <c r="AR3098" s="175">
        <v>3</v>
      </c>
      <c r="AS3098" s="175">
        <v>18</v>
      </c>
      <c r="AT3098" s="175">
        <v>6</v>
      </c>
    </row>
    <row r="3099" spans="1:46">
      <c r="A3099">
        <v>47899</v>
      </c>
      <c r="B3099" t="s">
        <v>17507</v>
      </c>
      <c r="C3099" t="s">
        <v>17508</v>
      </c>
      <c r="E3099" t="s">
        <v>17509</v>
      </c>
      <c r="F3099" t="s">
        <v>6624</v>
      </c>
      <c r="G3099" t="s">
        <v>737</v>
      </c>
      <c r="H3099" t="s">
        <v>449</v>
      </c>
      <c r="J3099" t="s">
        <v>4032</v>
      </c>
      <c r="K3099" t="s">
        <v>606</v>
      </c>
      <c r="M3099" t="s">
        <v>607</v>
      </c>
      <c r="N3099" t="s">
        <v>643</v>
      </c>
      <c r="O3099" t="s">
        <v>958</v>
      </c>
      <c r="P3099" t="s">
        <v>739</v>
      </c>
      <c r="Q3099" t="s">
        <v>467</v>
      </c>
      <c r="R3099" t="s">
        <v>724</v>
      </c>
      <c r="S3099" t="s">
        <v>804</v>
      </c>
      <c r="T3099" t="s">
        <v>794</v>
      </c>
      <c r="U3099">
        <v>129000</v>
      </c>
      <c r="V3099" t="s">
        <v>6020</v>
      </c>
      <c r="W3099" t="s">
        <v>900</v>
      </c>
      <c r="X3099" t="s">
        <v>12039</v>
      </c>
      <c r="Y3099" t="s">
        <v>17510</v>
      </c>
      <c r="Z3099" t="s">
        <v>854</v>
      </c>
      <c r="AA3099" t="s">
        <v>4400</v>
      </c>
      <c r="AE3099">
        <v>-36.904497149999997</v>
      </c>
      <c r="AF3099">
        <v>174.62709942000001</v>
      </c>
      <c r="AG3099" s="175">
        <v>63</v>
      </c>
      <c r="AH3099" s="175">
        <v>12</v>
      </c>
      <c r="AI3099" s="175">
        <v>4</v>
      </c>
      <c r="AJ3099" s="175">
        <v>9</v>
      </c>
      <c r="AK3099" s="175">
        <v>17</v>
      </c>
      <c r="AL3099" s="175">
        <v>18</v>
      </c>
      <c r="AM3099" s="175">
        <v>24</v>
      </c>
      <c r="AN3099" s="175">
        <v>0</v>
      </c>
      <c r="AO3099" s="175">
        <v>72</v>
      </c>
      <c r="AP3099" s="175">
        <v>31</v>
      </c>
      <c r="AQ3099" s="175">
        <v>13</v>
      </c>
      <c r="AR3099" s="175">
        <v>11</v>
      </c>
      <c r="AS3099" s="175">
        <v>42</v>
      </c>
      <c r="AT3099" s="175">
        <v>1</v>
      </c>
    </row>
    <row r="3100" spans="1:46">
      <c r="A3100">
        <v>47900</v>
      </c>
      <c r="B3100" t="s">
        <v>17511</v>
      </c>
      <c r="C3100" t="s">
        <v>17512</v>
      </c>
      <c r="E3100" t="s">
        <v>17513</v>
      </c>
      <c r="F3100" t="s">
        <v>5832</v>
      </c>
      <c r="G3100" t="s">
        <v>737</v>
      </c>
      <c r="H3100" t="s">
        <v>449</v>
      </c>
      <c r="J3100" t="s">
        <v>4032</v>
      </c>
      <c r="K3100" t="s">
        <v>606</v>
      </c>
      <c r="M3100" t="s">
        <v>607</v>
      </c>
      <c r="N3100" t="s">
        <v>657</v>
      </c>
      <c r="O3100" t="s">
        <v>823</v>
      </c>
      <c r="P3100" t="s">
        <v>739</v>
      </c>
      <c r="Q3100" t="s">
        <v>467</v>
      </c>
      <c r="R3100" t="s">
        <v>724</v>
      </c>
      <c r="S3100" t="s">
        <v>841</v>
      </c>
      <c r="T3100" t="s">
        <v>613</v>
      </c>
      <c r="U3100">
        <v>122802</v>
      </c>
      <c r="V3100" t="s">
        <v>5833</v>
      </c>
      <c r="W3100" t="s">
        <v>826</v>
      </c>
      <c r="X3100" t="s">
        <v>17514</v>
      </c>
      <c r="Y3100" t="s">
        <v>14693</v>
      </c>
      <c r="Z3100" t="s">
        <v>848</v>
      </c>
      <c r="AA3100" t="s">
        <v>4432</v>
      </c>
      <c r="AB3100" t="s">
        <v>14694</v>
      </c>
      <c r="AE3100">
        <v>-36.800258929999998</v>
      </c>
      <c r="AF3100">
        <v>174.70232024000001</v>
      </c>
      <c r="AG3100" s="175">
        <v>54</v>
      </c>
      <c r="AH3100" s="175">
        <v>14</v>
      </c>
      <c r="AI3100" s="175">
        <v>0</v>
      </c>
      <c r="AJ3100" s="175">
        <v>17</v>
      </c>
      <c r="AK3100" s="175">
        <v>17</v>
      </c>
      <c r="AL3100" s="175">
        <v>11</v>
      </c>
      <c r="AM3100" s="175">
        <v>10</v>
      </c>
      <c r="AN3100" s="175">
        <v>1</v>
      </c>
      <c r="AO3100" s="175">
        <v>56</v>
      </c>
      <c r="AP3100" s="175">
        <v>53</v>
      </c>
      <c r="AQ3100" s="175">
        <v>4</v>
      </c>
      <c r="AR3100" s="175">
        <v>4</v>
      </c>
      <c r="AS3100" s="175">
        <v>4</v>
      </c>
      <c r="AT3100" s="175">
        <v>2</v>
      </c>
    </row>
    <row r="3101" spans="1:46">
      <c r="A3101">
        <v>47901</v>
      </c>
      <c r="B3101" t="s">
        <v>17515</v>
      </c>
      <c r="C3101" t="s">
        <v>17516</v>
      </c>
      <c r="E3101" t="s">
        <v>17517</v>
      </c>
      <c r="F3101" t="s">
        <v>17518</v>
      </c>
      <c r="G3101" t="s">
        <v>2505</v>
      </c>
      <c r="H3101" t="s">
        <v>452</v>
      </c>
      <c r="J3101" t="s">
        <v>605</v>
      </c>
      <c r="K3101" t="s">
        <v>606</v>
      </c>
      <c r="M3101" t="s">
        <v>2366</v>
      </c>
      <c r="N3101" t="s">
        <v>657</v>
      </c>
      <c r="O3101" t="s">
        <v>2506</v>
      </c>
      <c r="P3101" t="s">
        <v>739</v>
      </c>
      <c r="Q3101" t="s">
        <v>516</v>
      </c>
      <c r="R3101" t="s">
        <v>2368</v>
      </c>
      <c r="S3101" t="s">
        <v>2507</v>
      </c>
      <c r="T3101" t="s">
        <v>2526</v>
      </c>
      <c r="U3101">
        <v>245100</v>
      </c>
      <c r="V3101" t="s">
        <v>2527</v>
      </c>
      <c r="W3101" t="s">
        <v>2521</v>
      </c>
      <c r="X3101" t="s">
        <v>2510</v>
      </c>
      <c r="Y3101" t="s">
        <v>2511</v>
      </c>
      <c r="AA3101" t="s">
        <v>2512</v>
      </c>
      <c r="AB3101" t="s">
        <v>2513</v>
      </c>
      <c r="AE3101">
        <v>-41.204799280000003</v>
      </c>
      <c r="AF3101">
        <v>174.92668137000001</v>
      </c>
      <c r="AG3101" s="175">
        <v>60</v>
      </c>
      <c r="AH3101" s="175">
        <v>0</v>
      </c>
      <c r="AI3101" s="175">
        <v>0</v>
      </c>
      <c r="AJ3101" s="175">
        <v>0</v>
      </c>
      <c r="AK3101" s="175">
        <v>4</v>
      </c>
      <c r="AL3101" s="175">
        <v>28</v>
      </c>
      <c r="AM3101" s="175">
        <v>19</v>
      </c>
      <c r="AN3101" s="175">
        <v>0</v>
      </c>
      <c r="AO3101" s="175">
        <v>51</v>
      </c>
      <c r="AP3101" s="175">
        <v>30</v>
      </c>
      <c r="AQ3101" s="175">
        <v>11</v>
      </c>
      <c r="AR3101" s="175">
        <v>5</v>
      </c>
      <c r="AS3101" s="175">
        <v>20</v>
      </c>
      <c r="AT3101" s="175">
        <v>2</v>
      </c>
    </row>
    <row r="3102" spans="1:46">
      <c r="A3102">
        <v>47903</v>
      </c>
      <c r="B3102" t="s">
        <v>17519</v>
      </c>
      <c r="C3102" t="s">
        <v>17520</v>
      </c>
      <c r="E3102" t="s">
        <v>17521</v>
      </c>
      <c r="F3102" t="s">
        <v>2505</v>
      </c>
      <c r="G3102" t="s">
        <v>2505</v>
      </c>
      <c r="H3102" t="s">
        <v>449</v>
      </c>
      <c r="J3102" t="s">
        <v>605</v>
      </c>
      <c r="K3102" t="s">
        <v>606</v>
      </c>
      <c r="M3102" t="s">
        <v>2366</v>
      </c>
      <c r="N3102" t="s">
        <v>657</v>
      </c>
      <c r="O3102" t="s">
        <v>2506</v>
      </c>
      <c r="P3102" t="s">
        <v>739</v>
      </c>
      <c r="Q3102" t="s">
        <v>516</v>
      </c>
      <c r="R3102" t="s">
        <v>2368</v>
      </c>
      <c r="S3102" t="s">
        <v>2507</v>
      </c>
      <c r="T3102" t="s">
        <v>2526</v>
      </c>
      <c r="U3102">
        <v>245500</v>
      </c>
      <c r="V3102" t="s">
        <v>2598</v>
      </c>
      <c r="W3102" t="s">
        <v>2521</v>
      </c>
      <c r="X3102" t="s">
        <v>17522</v>
      </c>
      <c r="Y3102" t="s">
        <v>6434</v>
      </c>
      <c r="Z3102" t="s">
        <v>4622</v>
      </c>
      <c r="AA3102" t="s">
        <v>4623</v>
      </c>
      <c r="AE3102">
        <v>-41.211727539999998</v>
      </c>
      <c r="AF3102">
        <v>174.92164102999999</v>
      </c>
      <c r="AG3102" s="175">
        <v>60</v>
      </c>
      <c r="AH3102" s="175">
        <v>20</v>
      </c>
      <c r="AI3102" s="175">
        <v>1</v>
      </c>
      <c r="AJ3102" s="175">
        <v>19</v>
      </c>
      <c r="AK3102" s="175">
        <v>21</v>
      </c>
      <c r="AL3102" s="175">
        <v>11</v>
      </c>
      <c r="AM3102" s="175">
        <v>22</v>
      </c>
      <c r="AN3102" s="175">
        <v>1</v>
      </c>
      <c r="AO3102" s="175">
        <v>75</v>
      </c>
      <c r="AP3102" s="175">
        <v>48</v>
      </c>
      <c r="AQ3102" s="175">
        <v>3</v>
      </c>
      <c r="AR3102" s="175">
        <v>6</v>
      </c>
      <c r="AS3102" s="175">
        <v>26</v>
      </c>
      <c r="AT3102" s="175">
        <v>4</v>
      </c>
    </row>
    <row r="3103" spans="1:46">
      <c r="A3103">
        <v>47905</v>
      </c>
      <c r="B3103" t="s">
        <v>17523</v>
      </c>
      <c r="C3103" t="s">
        <v>17524</v>
      </c>
      <c r="E3103" t="s">
        <v>17525</v>
      </c>
      <c r="F3103" t="s">
        <v>8547</v>
      </c>
      <c r="G3103" t="s">
        <v>1681</v>
      </c>
      <c r="H3103" t="s">
        <v>452</v>
      </c>
      <c r="J3103" t="s">
        <v>605</v>
      </c>
      <c r="K3103" t="s">
        <v>606</v>
      </c>
      <c r="M3103" t="s">
        <v>1382</v>
      </c>
      <c r="N3103" t="s">
        <v>643</v>
      </c>
      <c r="O3103" t="s">
        <v>1780</v>
      </c>
      <c r="P3103" t="s">
        <v>739</v>
      </c>
      <c r="Q3103" t="s">
        <v>511</v>
      </c>
      <c r="R3103" t="s">
        <v>1555</v>
      </c>
      <c r="S3103" t="s">
        <v>1681</v>
      </c>
      <c r="T3103" t="s">
        <v>1557</v>
      </c>
      <c r="U3103">
        <v>194802</v>
      </c>
      <c r="V3103" t="s">
        <v>3794</v>
      </c>
      <c r="W3103" t="s">
        <v>3795</v>
      </c>
      <c r="X3103" t="s">
        <v>1679</v>
      </c>
      <c r="Y3103" t="s">
        <v>1680</v>
      </c>
      <c r="Z3103" t="s">
        <v>1681</v>
      </c>
      <c r="AA3103" t="s">
        <v>1682</v>
      </c>
      <c r="AB3103" t="s">
        <v>1683</v>
      </c>
      <c r="AC3103">
        <v>99085</v>
      </c>
      <c r="AD3103" t="s">
        <v>1800</v>
      </c>
      <c r="AE3103">
        <v>-37.714374300000003</v>
      </c>
      <c r="AF3103">
        <v>176.1450116</v>
      </c>
      <c r="AG3103" s="175">
        <v>30</v>
      </c>
      <c r="AH3103" s="175">
        <v>5</v>
      </c>
      <c r="AI3103" s="175">
        <v>0</v>
      </c>
      <c r="AJ3103" s="175">
        <v>5</v>
      </c>
      <c r="AK3103" s="175">
        <v>7</v>
      </c>
      <c r="AL3103" s="175">
        <v>10</v>
      </c>
      <c r="AM3103" s="175">
        <v>6</v>
      </c>
      <c r="AN3103" s="175">
        <v>0</v>
      </c>
      <c r="AO3103" s="175">
        <v>28</v>
      </c>
      <c r="AP3103" s="175">
        <v>7</v>
      </c>
      <c r="AQ3103" s="175">
        <v>5</v>
      </c>
      <c r="AR3103" s="175">
        <v>26</v>
      </c>
      <c r="AS3103" s="175">
        <v>0</v>
      </c>
      <c r="AT3103" s="175">
        <v>1</v>
      </c>
    </row>
    <row r="3104" spans="1:46">
      <c r="A3104">
        <v>47907</v>
      </c>
      <c r="B3104" t="s">
        <v>17526</v>
      </c>
      <c r="C3104" t="s">
        <v>17527</v>
      </c>
      <c r="E3104" t="s">
        <v>17528</v>
      </c>
      <c r="G3104" t="s">
        <v>3744</v>
      </c>
      <c r="H3104" t="s">
        <v>449</v>
      </c>
      <c r="J3104" t="s">
        <v>4032</v>
      </c>
      <c r="K3104" t="s">
        <v>606</v>
      </c>
      <c r="M3104" t="s">
        <v>607</v>
      </c>
      <c r="N3104" t="s">
        <v>657</v>
      </c>
      <c r="O3104" t="s">
        <v>609</v>
      </c>
      <c r="P3104" t="s">
        <v>610</v>
      </c>
      <c r="Q3104" t="s">
        <v>509</v>
      </c>
      <c r="R3104" t="s">
        <v>611</v>
      </c>
      <c r="S3104" t="s">
        <v>612</v>
      </c>
      <c r="T3104" t="s">
        <v>613</v>
      </c>
      <c r="U3104">
        <v>103000</v>
      </c>
      <c r="V3104" t="s">
        <v>3745</v>
      </c>
      <c r="W3104" t="s">
        <v>644</v>
      </c>
      <c r="X3104" t="s">
        <v>17529</v>
      </c>
      <c r="Y3104" t="s">
        <v>12254</v>
      </c>
      <c r="Z3104" t="s">
        <v>12255</v>
      </c>
      <c r="AA3104" t="s">
        <v>12256</v>
      </c>
      <c r="AB3104" t="s">
        <v>17530</v>
      </c>
      <c r="AE3104">
        <v>-35.230446039999997</v>
      </c>
      <c r="AF3104">
        <v>173.94586902</v>
      </c>
      <c r="AG3104" s="175">
        <v>90</v>
      </c>
      <c r="AH3104" s="175">
        <v>30</v>
      </c>
      <c r="AI3104" s="175">
        <v>3</v>
      </c>
      <c r="AJ3104" s="175">
        <v>28</v>
      </c>
      <c r="AK3104" s="175">
        <v>13</v>
      </c>
      <c r="AL3104" s="175">
        <v>27</v>
      </c>
      <c r="AM3104" s="175">
        <v>18</v>
      </c>
      <c r="AN3104" s="175">
        <v>1</v>
      </c>
      <c r="AO3104" s="175">
        <v>90</v>
      </c>
      <c r="AP3104" s="175">
        <v>71</v>
      </c>
      <c r="AQ3104" s="175">
        <v>37</v>
      </c>
      <c r="AR3104" s="175">
        <v>1</v>
      </c>
      <c r="AS3104" s="175">
        <v>8</v>
      </c>
      <c r="AT3104" s="175">
        <v>3</v>
      </c>
    </row>
    <row r="3105" spans="1:46">
      <c r="A3105">
        <v>47908</v>
      </c>
      <c r="B3105" t="s">
        <v>17531</v>
      </c>
      <c r="C3105" t="s">
        <v>17532</v>
      </c>
      <c r="E3105" t="s">
        <v>17533</v>
      </c>
      <c r="F3105" t="s">
        <v>811</v>
      </c>
      <c r="G3105" t="s">
        <v>737</v>
      </c>
      <c r="H3105" t="s">
        <v>449</v>
      </c>
      <c r="J3105" t="s">
        <v>4032</v>
      </c>
      <c r="K3105" t="s">
        <v>606</v>
      </c>
      <c r="M3105" t="s">
        <v>607</v>
      </c>
      <c r="N3105" t="s">
        <v>812</v>
      </c>
      <c r="O3105" t="s">
        <v>813</v>
      </c>
      <c r="P3105" t="s">
        <v>739</v>
      </c>
      <c r="Q3105" t="s">
        <v>467</v>
      </c>
      <c r="R3105" t="s">
        <v>814</v>
      </c>
      <c r="S3105" t="s">
        <v>815</v>
      </c>
      <c r="T3105" t="s">
        <v>794</v>
      </c>
      <c r="U3105">
        <v>155801</v>
      </c>
      <c r="V3105" t="s">
        <v>1297</v>
      </c>
      <c r="W3105" t="s">
        <v>817</v>
      </c>
      <c r="X3105" t="s">
        <v>15068</v>
      </c>
      <c r="Y3105" t="s">
        <v>17534</v>
      </c>
      <c r="Z3105" t="s">
        <v>4060</v>
      </c>
      <c r="AA3105" t="s">
        <v>17535</v>
      </c>
      <c r="AB3105" t="s">
        <v>15069</v>
      </c>
      <c r="AE3105">
        <v>-36.96547365</v>
      </c>
      <c r="AF3105">
        <v>174.88111819</v>
      </c>
      <c r="AG3105" s="175">
        <v>62</v>
      </c>
      <c r="AH3105" s="175">
        <v>13</v>
      </c>
      <c r="AI3105" s="175">
        <v>2</v>
      </c>
      <c r="AJ3105" s="175">
        <v>10</v>
      </c>
      <c r="AK3105" s="175">
        <v>3</v>
      </c>
      <c r="AL3105" s="175">
        <v>17</v>
      </c>
      <c r="AM3105" s="175">
        <v>26</v>
      </c>
      <c r="AN3105" s="175">
        <v>0</v>
      </c>
      <c r="AO3105" s="175">
        <v>58</v>
      </c>
      <c r="AP3105" s="175">
        <v>1</v>
      </c>
      <c r="AQ3105" s="175">
        <v>7</v>
      </c>
      <c r="AR3105" s="175">
        <v>51</v>
      </c>
      <c r="AS3105" s="175">
        <v>6</v>
      </c>
      <c r="AT3105" s="175">
        <v>1</v>
      </c>
    </row>
    <row r="3106" spans="1:46">
      <c r="A3106">
        <v>47910</v>
      </c>
      <c r="B3106" t="s">
        <v>17536</v>
      </c>
      <c r="C3106" t="s">
        <v>17537</v>
      </c>
      <c r="D3106" t="s">
        <v>17538</v>
      </c>
      <c r="E3106" t="s">
        <v>17539</v>
      </c>
      <c r="F3106" t="s">
        <v>1121</v>
      </c>
      <c r="G3106" t="s">
        <v>737</v>
      </c>
      <c r="H3106" t="s">
        <v>450</v>
      </c>
      <c r="J3106" t="s">
        <v>4032</v>
      </c>
      <c r="K3106" t="s">
        <v>606</v>
      </c>
      <c r="M3106" t="s">
        <v>607</v>
      </c>
      <c r="N3106" t="s">
        <v>608</v>
      </c>
      <c r="O3106" t="s">
        <v>1301</v>
      </c>
      <c r="P3106" t="s">
        <v>739</v>
      </c>
      <c r="Q3106" t="s">
        <v>467</v>
      </c>
      <c r="R3106" t="s">
        <v>814</v>
      </c>
      <c r="S3106" t="s">
        <v>1302</v>
      </c>
      <c r="T3106" t="s">
        <v>794</v>
      </c>
      <c r="U3106">
        <v>160800</v>
      </c>
      <c r="V3106" t="s">
        <v>1303</v>
      </c>
      <c r="W3106" t="s">
        <v>1304</v>
      </c>
      <c r="X3106" t="s">
        <v>17540</v>
      </c>
      <c r="Y3106" t="s">
        <v>17541</v>
      </c>
      <c r="Z3106" t="s">
        <v>1121</v>
      </c>
      <c r="AA3106" t="s">
        <v>5268</v>
      </c>
      <c r="AE3106">
        <v>-37.031044960000003</v>
      </c>
      <c r="AF3106">
        <v>174.90671394</v>
      </c>
      <c r="AG3106" s="175">
        <v>50</v>
      </c>
      <c r="AH3106" s="175">
        <v>50</v>
      </c>
      <c r="AI3106" s="175">
        <v>3</v>
      </c>
      <c r="AJ3106" s="175">
        <v>2</v>
      </c>
      <c r="AK3106" s="175">
        <v>2</v>
      </c>
      <c r="AL3106" s="175">
        <v>1</v>
      </c>
      <c r="AM3106" s="175">
        <v>1</v>
      </c>
      <c r="AN3106" s="175">
        <v>0</v>
      </c>
      <c r="AO3106" s="175">
        <v>9</v>
      </c>
      <c r="AP3106" s="175">
        <v>0</v>
      </c>
      <c r="AQ3106" s="175">
        <v>0</v>
      </c>
      <c r="AR3106" s="175">
        <v>9</v>
      </c>
      <c r="AS3106" s="175">
        <v>0</v>
      </c>
      <c r="AT3106" s="175">
        <v>0</v>
      </c>
    </row>
    <row r="3107" spans="1:46">
      <c r="A3107">
        <v>47911</v>
      </c>
      <c r="B3107" t="s">
        <v>17542</v>
      </c>
      <c r="C3107" t="s">
        <v>8825</v>
      </c>
      <c r="D3107" t="s">
        <v>11027</v>
      </c>
      <c r="E3107" t="s">
        <v>8827</v>
      </c>
      <c r="F3107" t="s">
        <v>1397</v>
      </c>
      <c r="G3107" t="s">
        <v>1381</v>
      </c>
      <c r="H3107" t="s">
        <v>450</v>
      </c>
      <c r="J3107" t="s">
        <v>4032</v>
      </c>
      <c r="K3107" t="s">
        <v>606</v>
      </c>
      <c r="M3107" t="s">
        <v>2366</v>
      </c>
      <c r="N3107" t="s">
        <v>657</v>
      </c>
      <c r="O3107" t="s">
        <v>1383</v>
      </c>
      <c r="P3107" t="s">
        <v>739</v>
      </c>
      <c r="Q3107" t="s">
        <v>510</v>
      </c>
      <c r="R3107" t="s">
        <v>2368</v>
      </c>
      <c r="S3107" t="s">
        <v>1396</v>
      </c>
      <c r="T3107" t="s">
        <v>1320</v>
      </c>
      <c r="U3107">
        <v>177300</v>
      </c>
      <c r="V3107" t="s">
        <v>1397</v>
      </c>
      <c r="W3107" t="s">
        <v>1398</v>
      </c>
      <c r="X3107" t="s">
        <v>11028</v>
      </c>
      <c r="Y3107" t="s">
        <v>8827</v>
      </c>
      <c r="Z3107" t="s">
        <v>1397</v>
      </c>
      <c r="AA3107" t="s">
        <v>8575</v>
      </c>
      <c r="AE3107">
        <v>-37.749390910000002</v>
      </c>
      <c r="AF3107">
        <v>175.27364802</v>
      </c>
      <c r="AG3107" s="175">
        <v>80</v>
      </c>
      <c r="AH3107" s="175">
        <v>80</v>
      </c>
      <c r="AI3107" s="175">
        <v>1</v>
      </c>
      <c r="AJ3107" s="175">
        <v>11</v>
      </c>
      <c r="AK3107" s="175">
        <v>18</v>
      </c>
      <c r="AL3107" s="175">
        <v>15</v>
      </c>
      <c r="AM3107" s="175">
        <v>14</v>
      </c>
      <c r="AN3107" s="175">
        <v>0</v>
      </c>
      <c r="AO3107" s="175">
        <v>59</v>
      </c>
      <c r="AP3107" s="175">
        <v>47</v>
      </c>
      <c r="AQ3107" s="175">
        <v>22</v>
      </c>
      <c r="AR3107" s="175">
        <v>6</v>
      </c>
      <c r="AS3107" s="175">
        <v>4</v>
      </c>
      <c r="AT3107" s="175">
        <v>2</v>
      </c>
    </row>
    <row r="3108" spans="1:46">
      <c r="A3108">
        <v>47913</v>
      </c>
      <c r="B3108" t="s">
        <v>17543</v>
      </c>
      <c r="D3108" t="s">
        <v>17544</v>
      </c>
      <c r="E3108" t="s">
        <v>17545</v>
      </c>
      <c r="G3108" t="s">
        <v>5645</v>
      </c>
      <c r="H3108" t="s">
        <v>347</v>
      </c>
      <c r="J3108" t="s">
        <v>605</v>
      </c>
      <c r="K3108" t="s">
        <v>606</v>
      </c>
      <c r="L3108" t="s">
        <v>4273</v>
      </c>
      <c r="M3108" t="s">
        <v>607</v>
      </c>
      <c r="N3108" t="s">
        <v>812</v>
      </c>
      <c r="O3108" t="s">
        <v>609</v>
      </c>
      <c r="P3108" t="s">
        <v>658</v>
      </c>
      <c r="Q3108" t="s">
        <v>509</v>
      </c>
      <c r="R3108" t="s">
        <v>611</v>
      </c>
      <c r="S3108" t="s">
        <v>612</v>
      </c>
      <c r="T3108" t="s">
        <v>613</v>
      </c>
      <c r="U3108">
        <v>102900</v>
      </c>
      <c r="V3108" t="s">
        <v>5646</v>
      </c>
      <c r="W3108" t="s">
        <v>637</v>
      </c>
      <c r="X3108" t="s">
        <v>4520</v>
      </c>
      <c r="Y3108" t="s">
        <v>4276</v>
      </c>
      <c r="Z3108" t="s">
        <v>4277</v>
      </c>
      <c r="AA3108" t="s">
        <v>4278</v>
      </c>
      <c r="AB3108" t="s">
        <v>4521</v>
      </c>
      <c r="AE3108">
        <v>-35.561268069999997</v>
      </c>
      <c r="AF3108">
        <v>173.41663148999999</v>
      </c>
      <c r="AG3108" s="175">
        <v>25</v>
      </c>
      <c r="AH3108" s="175">
        <v>6</v>
      </c>
      <c r="AI3108" s="175">
        <v>2</v>
      </c>
      <c r="AJ3108" s="175">
        <v>3</v>
      </c>
      <c r="AK3108" s="175">
        <v>9</v>
      </c>
      <c r="AL3108" s="175">
        <v>5</v>
      </c>
      <c r="AM3108" s="175">
        <v>4</v>
      </c>
      <c r="AN3108" s="175">
        <v>0</v>
      </c>
      <c r="AO3108" s="175">
        <v>23</v>
      </c>
      <c r="AP3108" s="175">
        <v>0</v>
      </c>
      <c r="AQ3108" s="175">
        <v>18</v>
      </c>
      <c r="AR3108" s="175">
        <v>0</v>
      </c>
      <c r="AS3108" s="175">
        <v>0</v>
      </c>
      <c r="AT3108" s="175">
        <v>5</v>
      </c>
    </row>
    <row r="3109" spans="1:46">
      <c r="A3109">
        <v>47914</v>
      </c>
      <c r="B3109" t="s">
        <v>17546</v>
      </c>
      <c r="C3109" t="s">
        <v>17547</v>
      </c>
      <c r="D3109" t="s">
        <v>17548</v>
      </c>
      <c r="E3109" t="s">
        <v>17549</v>
      </c>
      <c r="F3109" t="s">
        <v>2185</v>
      </c>
      <c r="G3109" t="s">
        <v>2162</v>
      </c>
      <c r="H3109" t="s">
        <v>471</v>
      </c>
      <c r="J3109" t="s">
        <v>4032</v>
      </c>
      <c r="K3109" t="s">
        <v>606</v>
      </c>
      <c r="M3109" t="s">
        <v>1382</v>
      </c>
      <c r="N3109" t="s">
        <v>608</v>
      </c>
      <c r="O3109" t="s">
        <v>2163</v>
      </c>
      <c r="P3109" t="s">
        <v>670</v>
      </c>
      <c r="Q3109" t="s">
        <v>512</v>
      </c>
      <c r="R3109" t="s">
        <v>2164</v>
      </c>
      <c r="S3109" t="s">
        <v>1556</v>
      </c>
      <c r="T3109" t="s">
        <v>2165</v>
      </c>
      <c r="U3109">
        <v>207200</v>
      </c>
      <c r="V3109" t="s">
        <v>17550</v>
      </c>
      <c r="W3109" t="s">
        <v>2167</v>
      </c>
      <c r="X3109" t="s">
        <v>17551</v>
      </c>
      <c r="Y3109" t="s">
        <v>17552</v>
      </c>
      <c r="Z3109" t="s">
        <v>2184</v>
      </c>
      <c r="AA3109" t="s">
        <v>10927</v>
      </c>
      <c r="AB3109" t="s">
        <v>17553</v>
      </c>
      <c r="AE3109">
        <v>-38.67915309</v>
      </c>
      <c r="AF3109">
        <v>178.05454495000001</v>
      </c>
      <c r="AG3109" s="175">
        <v>40</v>
      </c>
      <c r="AH3109" s="175">
        <v>10</v>
      </c>
      <c r="AI3109" s="175">
        <v>1</v>
      </c>
      <c r="AJ3109" s="175">
        <v>6</v>
      </c>
      <c r="AK3109" s="175">
        <v>7</v>
      </c>
      <c r="AL3109" s="175">
        <v>10</v>
      </c>
      <c r="AM3109" s="175">
        <v>11</v>
      </c>
      <c r="AN3109" s="175">
        <v>0</v>
      </c>
      <c r="AO3109" s="175">
        <v>35</v>
      </c>
      <c r="AP3109" s="175">
        <v>13</v>
      </c>
      <c r="AQ3109" s="175">
        <v>35</v>
      </c>
      <c r="AR3109" s="175">
        <v>8</v>
      </c>
      <c r="AS3109" s="175">
        <v>0</v>
      </c>
      <c r="AT3109" s="175">
        <v>0</v>
      </c>
    </row>
    <row r="3110" spans="1:46">
      <c r="A3110">
        <v>47915</v>
      </c>
      <c r="B3110" t="s">
        <v>17554</v>
      </c>
      <c r="C3110" t="s">
        <v>17555</v>
      </c>
      <c r="E3110" t="s">
        <v>17556</v>
      </c>
      <c r="G3110" t="s">
        <v>1923</v>
      </c>
      <c r="H3110" t="s">
        <v>449</v>
      </c>
      <c r="J3110" t="s">
        <v>4032</v>
      </c>
      <c r="K3110" t="s">
        <v>606</v>
      </c>
      <c r="M3110" t="s">
        <v>1382</v>
      </c>
      <c r="N3110" t="s">
        <v>625</v>
      </c>
      <c r="O3110" t="s">
        <v>1968</v>
      </c>
      <c r="P3110" t="s">
        <v>670</v>
      </c>
      <c r="Q3110" t="s">
        <v>553</v>
      </c>
      <c r="R3110" t="s">
        <v>1841</v>
      </c>
      <c r="S3110" t="s">
        <v>1923</v>
      </c>
      <c r="T3110" t="s">
        <v>1568</v>
      </c>
      <c r="U3110">
        <v>225400</v>
      </c>
      <c r="V3110" t="s">
        <v>16132</v>
      </c>
      <c r="W3110" t="s">
        <v>1734</v>
      </c>
      <c r="X3110" t="s">
        <v>17557</v>
      </c>
      <c r="Y3110" t="s">
        <v>17556</v>
      </c>
      <c r="AA3110" t="s">
        <v>14572</v>
      </c>
      <c r="AB3110" t="s">
        <v>17558</v>
      </c>
      <c r="AC3110">
        <v>99218</v>
      </c>
      <c r="AD3110" t="s">
        <v>1974</v>
      </c>
      <c r="AE3110">
        <v>-39.924625550000002</v>
      </c>
      <c r="AF3110">
        <v>175.0482026</v>
      </c>
      <c r="AG3110" s="175">
        <v>36</v>
      </c>
      <c r="AH3110" s="175">
        <v>13</v>
      </c>
      <c r="AI3110" s="175">
        <v>4</v>
      </c>
      <c r="AJ3110" s="175">
        <v>9</v>
      </c>
      <c r="AK3110" s="175">
        <v>13</v>
      </c>
      <c r="AL3110" s="175">
        <v>5</v>
      </c>
      <c r="AM3110" s="175">
        <v>7</v>
      </c>
      <c r="AN3110" s="175">
        <v>0</v>
      </c>
      <c r="AO3110" s="175">
        <v>38</v>
      </c>
      <c r="AP3110" s="175">
        <v>32</v>
      </c>
      <c r="AQ3110" s="175">
        <v>10</v>
      </c>
      <c r="AR3110" s="175">
        <v>2</v>
      </c>
      <c r="AS3110" s="175">
        <v>1</v>
      </c>
      <c r="AT3110" s="175">
        <v>0</v>
      </c>
    </row>
    <row r="3111" spans="1:46">
      <c r="A3111">
        <v>47916</v>
      </c>
      <c r="B3111" t="s">
        <v>17559</v>
      </c>
      <c r="C3111" t="s">
        <v>17560</v>
      </c>
      <c r="E3111" t="s">
        <v>17561</v>
      </c>
      <c r="G3111" t="s">
        <v>17562</v>
      </c>
      <c r="H3111" t="s">
        <v>452</v>
      </c>
      <c r="J3111" t="s">
        <v>605</v>
      </c>
      <c r="K3111" t="s">
        <v>606</v>
      </c>
      <c r="M3111" t="s">
        <v>2366</v>
      </c>
      <c r="N3111" t="s">
        <v>657</v>
      </c>
      <c r="O3111" t="s">
        <v>3553</v>
      </c>
      <c r="P3111" t="s">
        <v>626</v>
      </c>
      <c r="Q3111" t="s">
        <v>522</v>
      </c>
      <c r="R3111" t="s">
        <v>3410</v>
      </c>
      <c r="S3111" t="s">
        <v>3433</v>
      </c>
      <c r="T3111" t="s">
        <v>2526</v>
      </c>
      <c r="U3111">
        <v>356000</v>
      </c>
      <c r="V3111" t="s">
        <v>17562</v>
      </c>
      <c r="W3111" t="s">
        <v>17563</v>
      </c>
      <c r="X3111" t="s">
        <v>3556</v>
      </c>
      <c r="Y3111" t="s">
        <v>1971</v>
      </c>
      <c r="AA3111" t="s">
        <v>1972</v>
      </c>
      <c r="AB3111" t="s">
        <v>3557</v>
      </c>
      <c r="AC3111">
        <v>99080</v>
      </c>
      <c r="AD3111" t="s">
        <v>3558</v>
      </c>
      <c r="AE3111">
        <v>-46.201653569999998</v>
      </c>
      <c r="AF3111">
        <v>169.37540455000001</v>
      </c>
      <c r="AG3111" s="175">
        <v>40</v>
      </c>
      <c r="AH3111" s="175">
        <v>10</v>
      </c>
      <c r="AI3111" s="175">
        <v>0</v>
      </c>
      <c r="AJ3111" s="175">
        <v>6</v>
      </c>
      <c r="AK3111" s="175">
        <v>6</v>
      </c>
      <c r="AL3111" s="175">
        <v>11</v>
      </c>
      <c r="AM3111" s="175">
        <v>15</v>
      </c>
      <c r="AN3111" s="175">
        <v>1</v>
      </c>
      <c r="AO3111" s="175">
        <v>39</v>
      </c>
      <c r="AP3111" s="175">
        <v>36</v>
      </c>
      <c r="AQ3111" s="175">
        <v>14</v>
      </c>
      <c r="AR3111" s="175">
        <v>1</v>
      </c>
      <c r="AS3111" s="175">
        <v>3</v>
      </c>
      <c r="AT3111" s="175">
        <v>2</v>
      </c>
    </row>
    <row r="3112" spans="1:46">
      <c r="A3112">
        <v>47918</v>
      </c>
      <c r="B3112" t="s">
        <v>17564</v>
      </c>
      <c r="C3112" t="s">
        <v>17565</v>
      </c>
      <c r="D3112" t="s">
        <v>17134</v>
      </c>
      <c r="E3112" t="s">
        <v>17566</v>
      </c>
      <c r="G3112" t="s">
        <v>17567</v>
      </c>
      <c r="H3112" t="s">
        <v>449</v>
      </c>
      <c r="J3112" t="s">
        <v>605</v>
      </c>
      <c r="K3112" t="s">
        <v>606</v>
      </c>
      <c r="M3112" t="s">
        <v>607</v>
      </c>
      <c r="N3112" t="s">
        <v>657</v>
      </c>
      <c r="O3112" t="s">
        <v>738</v>
      </c>
      <c r="P3112" t="s">
        <v>670</v>
      </c>
      <c r="Q3112" t="s">
        <v>467</v>
      </c>
      <c r="R3112" t="s">
        <v>724</v>
      </c>
      <c r="S3112" t="s">
        <v>753</v>
      </c>
      <c r="T3112" t="s">
        <v>613</v>
      </c>
      <c r="U3112">
        <v>114901</v>
      </c>
      <c r="V3112" t="s">
        <v>5134</v>
      </c>
      <c r="W3112" t="s">
        <v>742</v>
      </c>
      <c r="X3112" t="s">
        <v>4013</v>
      </c>
      <c r="Y3112" t="s">
        <v>4014</v>
      </c>
      <c r="Z3112" t="s">
        <v>4015</v>
      </c>
      <c r="AA3112" t="s">
        <v>4016</v>
      </c>
      <c r="AB3112" t="s">
        <v>4017</v>
      </c>
      <c r="AE3112">
        <v>-36.636258269999999</v>
      </c>
      <c r="AF3112">
        <v>174.74813187000001</v>
      </c>
      <c r="AG3112" s="175">
        <v>125</v>
      </c>
      <c r="AH3112" s="175">
        <v>25</v>
      </c>
      <c r="AI3112" s="175">
        <v>3</v>
      </c>
      <c r="AJ3112" s="175">
        <v>25</v>
      </c>
      <c r="AK3112" s="175">
        <v>35</v>
      </c>
      <c r="AL3112" s="175">
        <v>29</v>
      </c>
      <c r="AM3112" s="175">
        <v>32</v>
      </c>
      <c r="AN3112" s="175">
        <v>1</v>
      </c>
      <c r="AO3112" s="175">
        <v>125</v>
      </c>
      <c r="AP3112" s="175">
        <v>93</v>
      </c>
      <c r="AQ3112" s="175">
        <v>24</v>
      </c>
      <c r="AR3112" s="175">
        <v>6</v>
      </c>
      <c r="AS3112" s="175">
        <v>24</v>
      </c>
      <c r="AT3112" s="175">
        <v>16</v>
      </c>
    </row>
    <row r="3113" spans="1:46">
      <c r="A3113">
        <v>47920</v>
      </c>
      <c r="B3113" t="s">
        <v>17568</v>
      </c>
      <c r="C3113" t="s">
        <v>17569</v>
      </c>
      <c r="D3113" t="s">
        <v>17570</v>
      </c>
      <c r="E3113" t="s">
        <v>17571</v>
      </c>
      <c r="F3113" t="s">
        <v>736</v>
      </c>
      <c r="G3113" t="s">
        <v>737</v>
      </c>
      <c r="H3113" t="s">
        <v>449</v>
      </c>
      <c r="J3113" t="s">
        <v>605</v>
      </c>
      <c r="K3113" t="s">
        <v>606</v>
      </c>
      <c r="M3113" t="s">
        <v>607</v>
      </c>
      <c r="N3113" t="s">
        <v>657</v>
      </c>
      <c r="O3113" t="s">
        <v>738</v>
      </c>
      <c r="P3113" t="s">
        <v>739</v>
      </c>
      <c r="Q3113" t="s">
        <v>467</v>
      </c>
      <c r="R3113" t="s">
        <v>724</v>
      </c>
      <c r="S3113" t="s">
        <v>740</v>
      </c>
      <c r="T3113" t="s">
        <v>613</v>
      </c>
      <c r="U3113">
        <v>116801</v>
      </c>
      <c r="V3113" t="s">
        <v>17572</v>
      </c>
      <c r="W3113" t="s">
        <v>742</v>
      </c>
      <c r="X3113" t="s">
        <v>17573</v>
      </c>
      <c r="Y3113" t="s">
        <v>17571</v>
      </c>
      <c r="Z3113" t="s">
        <v>736</v>
      </c>
      <c r="AA3113" t="s">
        <v>4153</v>
      </c>
      <c r="AB3113" t="s">
        <v>17574</v>
      </c>
      <c r="AC3113">
        <v>99121</v>
      </c>
      <c r="AD3113" t="s">
        <v>747</v>
      </c>
      <c r="AE3113">
        <v>-36.6944157</v>
      </c>
      <c r="AF3113">
        <v>174.72868174999999</v>
      </c>
      <c r="AG3113" s="175">
        <v>74</v>
      </c>
      <c r="AH3113" s="175">
        <v>14</v>
      </c>
      <c r="AI3113" s="175">
        <v>3</v>
      </c>
      <c r="AJ3113" s="175">
        <v>12</v>
      </c>
      <c r="AK3113" s="175">
        <v>16</v>
      </c>
      <c r="AL3113" s="175">
        <v>22</v>
      </c>
      <c r="AM3113" s="175">
        <v>18</v>
      </c>
      <c r="AN3113" s="175">
        <v>3</v>
      </c>
      <c r="AO3113" s="175">
        <v>74</v>
      </c>
      <c r="AP3113" s="175">
        <v>51</v>
      </c>
      <c r="AQ3113" s="175">
        <v>3</v>
      </c>
      <c r="AR3113" s="175">
        <v>0</v>
      </c>
      <c r="AS3113" s="175">
        <v>26</v>
      </c>
      <c r="AT3113" s="175">
        <v>5</v>
      </c>
    </row>
    <row r="3114" spans="1:46">
      <c r="A3114">
        <v>47922</v>
      </c>
      <c r="B3114" t="s">
        <v>17575</v>
      </c>
      <c r="C3114" t="s">
        <v>15299</v>
      </c>
      <c r="D3114" t="s">
        <v>12383</v>
      </c>
      <c r="E3114" t="s">
        <v>12384</v>
      </c>
      <c r="F3114" t="s">
        <v>12385</v>
      </c>
      <c r="G3114" t="s">
        <v>3015</v>
      </c>
      <c r="H3114" t="s">
        <v>450</v>
      </c>
      <c r="J3114" t="s">
        <v>4032</v>
      </c>
      <c r="K3114" t="s">
        <v>606</v>
      </c>
      <c r="M3114" t="s">
        <v>2366</v>
      </c>
      <c r="N3114" t="s">
        <v>657</v>
      </c>
      <c r="O3114" t="s">
        <v>3016</v>
      </c>
      <c r="P3114" t="s">
        <v>739</v>
      </c>
      <c r="Q3114" t="s">
        <v>521</v>
      </c>
      <c r="R3114" t="s">
        <v>3017</v>
      </c>
      <c r="S3114" t="s">
        <v>3046</v>
      </c>
      <c r="T3114" t="s">
        <v>2526</v>
      </c>
      <c r="U3114">
        <v>326000</v>
      </c>
      <c r="V3114" t="s">
        <v>12385</v>
      </c>
      <c r="W3114" t="s">
        <v>3047</v>
      </c>
      <c r="X3114" t="s">
        <v>12386</v>
      </c>
      <c r="Y3114" t="s">
        <v>12387</v>
      </c>
      <c r="Z3114" t="s">
        <v>3045</v>
      </c>
      <c r="AA3114" t="s">
        <v>12388</v>
      </c>
      <c r="AB3114" t="s">
        <v>12389</v>
      </c>
      <c r="AE3114">
        <v>-43.480276699999997</v>
      </c>
      <c r="AF3114">
        <v>172.71740036</v>
      </c>
      <c r="AG3114" s="175">
        <v>80</v>
      </c>
      <c r="AH3114" s="175">
        <v>80</v>
      </c>
      <c r="AI3114" s="175">
        <v>5</v>
      </c>
      <c r="AJ3114" s="175">
        <v>7</v>
      </c>
      <c r="AK3114" s="175">
        <v>12</v>
      </c>
      <c r="AL3114" s="175">
        <v>10</v>
      </c>
      <c r="AM3114" s="175">
        <v>12</v>
      </c>
      <c r="AN3114" s="175">
        <v>1</v>
      </c>
      <c r="AO3114" s="175">
        <v>47</v>
      </c>
      <c r="AP3114" s="175">
        <v>22</v>
      </c>
      <c r="AQ3114" s="175">
        <v>0</v>
      </c>
      <c r="AR3114" s="175">
        <v>2</v>
      </c>
      <c r="AS3114" s="175">
        <v>31</v>
      </c>
      <c r="AT3114" s="175">
        <v>0</v>
      </c>
    </row>
    <row r="3115" spans="1:46">
      <c r="A3115">
        <v>47923</v>
      </c>
      <c r="B3115" t="s">
        <v>17576</v>
      </c>
      <c r="C3115" t="s">
        <v>17577</v>
      </c>
      <c r="D3115" t="s">
        <v>17578</v>
      </c>
      <c r="E3115" t="s">
        <v>17579</v>
      </c>
      <c r="G3115" t="s">
        <v>4526</v>
      </c>
      <c r="H3115" t="s">
        <v>449</v>
      </c>
      <c r="J3115" t="s">
        <v>4032</v>
      </c>
      <c r="K3115" t="s">
        <v>606</v>
      </c>
      <c r="M3115" t="s">
        <v>607</v>
      </c>
      <c r="N3115" t="s">
        <v>657</v>
      </c>
      <c r="O3115" t="s">
        <v>723</v>
      </c>
      <c r="P3115" t="s">
        <v>670</v>
      </c>
      <c r="Q3115" t="s">
        <v>467</v>
      </c>
      <c r="R3115" t="s">
        <v>724</v>
      </c>
      <c r="S3115" t="s">
        <v>725</v>
      </c>
      <c r="T3115" t="s">
        <v>613</v>
      </c>
      <c r="U3115">
        <v>113401</v>
      </c>
      <c r="V3115" t="s">
        <v>4577</v>
      </c>
      <c r="W3115" t="s">
        <v>726</v>
      </c>
      <c r="X3115" t="s">
        <v>16076</v>
      </c>
      <c r="Y3115" t="s">
        <v>17579</v>
      </c>
      <c r="AA3115" t="s">
        <v>7948</v>
      </c>
      <c r="AE3115">
        <v>-36.611372279999998</v>
      </c>
      <c r="AF3115">
        <v>174.65759700000001</v>
      </c>
      <c r="AG3115" s="175">
        <v>108</v>
      </c>
      <c r="AH3115" s="175">
        <v>20</v>
      </c>
      <c r="AI3115" s="175">
        <v>2</v>
      </c>
      <c r="AJ3115" s="175">
        <v>16</v>
      </c>
      <c r="AK3115" s="175">
        <v>24</v>
      </c>
      <c r="AL3115" s="175">
        <v>24</v>
      </c>
      <c r="AM3115" s="175">
        <v>27</v>
      </c>
      <c r="AN3115" s="175">
        <v>2</v>
      </c>
      <c r="AO3115" s="175">
        <v>95</v>
      </c>
      <c r="AP3115" s="175">
        <v>62</v>
      </c>
      <c r="AQ3115" s="175">
        <v>6</v>
      </c>
      <c r="AR3115" s="175">
        <v>0</v>
      </c>
      <c r="AS3115" s="175">
        <v>37</v>
      </c>
      <c r="AT3115" s="175">
        <v>3</v>
      </c>
    </row>
    <row r="3116" spans="1:46">
      <c r="A3116">
        <v>47924</v>
      </c>
      <c r="B3116" t="s">
        <v>17580</v>
      </c>
      <c r="C3116" t="s">
        <v>17581</v>
      </c>
      <c r="D3116" t="s">
        <v>17582</v>
      </c>
      <c r="E3116" t="s">
        <v>17583</v>
      </c>
      <c r="G3116" t="s">
        <v>1669</v>
      </c>
      <c r="H3116" t="s">
        <v>449</v>
      </c>
      <c r="J3116" t="s">
        <v>4032</v>
      </c>
      <c r="K3116" t="s">
        <v>606</v>
      </c>
      <c r="M3116" t="s">
        <v>1382</v>
      </c>
      <c r="N3116" t="s">
        <v>657</v>
      </c>
      <c r="O3116" t="s">
        <v>1534</v>
      </c>
      <c r="P3116" t="s">
        <v>610</v>
      </c>
      <c r="Q3116" t="s">
        <v>510</v>
      </c>
      <c r="R3116" t="s">
        <v>1384</v>
      </c>
      <c r="S3116" t="s">
        <v>1384</v>
      </c>
      <c r="T3116" t="s">
        <v>1320</v>
      </c>
      <c r="U3116">
        <v>174001</v>
      </c>
      <c r="V3116" t="s">
        <v>3893</v>
      </c>
      <c r="W3116" t="s">
        <v>1671</v>
      </c>
      <c r="X3116" t="s">
        <v>17584</v>
      </c>
      <c r="Y3116" t="s">
        <v>17585</v>
      </c>
      <c r="AA3116" t="s">
        <v>17586</v>
      </c>
      <c r="AB3116" t="s">
        <v>17581</v>
      </c>
      <c r="AC3116">
        <v>99131</v>
      </c>
      <c r="AD3116" t="s">
        <v>1672</v>
      </c>
      <c r="AE3116">
        <v>-37.667270129999999</v>
      </c>
      <c r="AF3116">
        <v>175.5268284</v>
      </c>
      <c r="AG3116" s="175">
        <v>120</v>
      </c>
      <c r="AH3116" s="175">
        <v>20</v>
      </c>
      <c r="AI3116" s="175">
        <v>5</v>
      </c>
      <c r="AJ3116" s="175">
        <v>19</v>
      </c>
      <c r="AK3116" s="175">
        <v>27</v>
      </c>
      <c r="AL3116" s="175">
        <v>37</v>
      </c>
      <c r="AM3116" s="175">
        <v>35</v>
      </c>
      <c r="AN3116" s="175">
        <v>0</v>
      </c>
      <c r="AO3116" s="175">
        <v>123</v>
      </c>
      <c r="AP3116" s="175">
        <v>107</v>
      </c>
      <c r="AQ3116" s="175">
        <v>23</v>
      </c>
      <c r="AR3116" s="175">
        <v>1</v>
      </c>
      <c r="AS3116" s="175">
        <v>9</v>
      </c>
      <c r="AT3116" s="175">
        <v>5</v>
      </c>
    </row>
    <row r="3117" spans="1:46">
      <c r="A3117">
        <v>47925</v>
      </c>
      <c r="B3117" t="s">
        <v>17587</v>
      </c>
      <c r="C3117" t="s">
        <v>17588</v>
      </c>
      <c r="E3117" t="s">
        <v>17589</v>
      </c>
      <c r="G3117" t="s">
        <v>10242</v>
      </c>
      <c r="H3117" t="s">
        <v>449</v>
      </c>
      <c r="I3117" t="s">
        <v>17590</v>
      </c>
      <c r="J3117" t="s">
        <v>4032</v>
      </c>
      <c r="K3117" t="s">
        <v>606</v>
      </c>
      <c r="M3117" t="s">
        <v>1382</v>
      </c>
      <c r="N3117" t="s">
        <v>812</v>
      </c>
      <c r="O3117" t="s">
        <v>1554</v>
      </c>
      <c r="P3117" t="s">
        <v>626</v>
      </c>
      <c r="Q3117" t="s">
        <v>511</v>
      </c>
      <c r="R3117" t="s">
        <v>1555</v>
      </c>
      <c r="S3117" t="s">
        <v>1556</v>
      </c>
      <c r="T3117" t="s">
        <v>1557</v>
      </c>
      <c r="U3117">
        <v>203100</v>
      </c>
      <c r="V3117" t="s">
        <v>10243</v>
      </c>
      <c r="W3117" t="s">
        <v>1678</v>
      </c>
      <c r="X3117" t="s">
        <v>17591</v>
      </c>
      <c r="Y3117" t="s">
        <v>17589</v>
      </c>
      <c r="AA3117" t="s">
        <v>17592</v>
      </c>
      <c r="AB3117" t="s">
        <v>17588</v>
      </c>
      <c r="AE3117">
        <v>-38.065011470000002</v>
      </c>
      <c r="AF3117">
        <v>177.01013141000001</v>
      </c>
      <c r="AG3117" s="175">
        <v>20</v>
      </c>
      <c r="AH3117" s="175">
        <v>0</v>
      </c>
      <c r="AI3117" s="175">
        <v>0</v>
      </c>
      <c r="AJ3117" s="175">
        <v>0</v>
      </c>
      <c r="AK3117" s="175">
        <v>0</v>
      </c>
      <c r="AL3117" s="175">
        <v>4</v>
      </c>
      <c r="AM3117" s="175">
        <v>12</v>
      </c>
      <c r="AN3117" s="175">
        <v>2</v>
      </c>
      <c r="AO3117" s="175">
        <v>18</v>
      </c>
      <c r="AP3117" s="175">
        <v>2</v>
      </c>
      <c r="AQ3117" s="175">
        <v>16</v>
      </c>
      <c r="AR3117" s="175">
        <v>0</v>
      </c>
      <c r="AS3117" s="175">
        <v>0</v>
      </c>
      <c r="AT3117" s="175">
        <v>2</v>
      </c>
    </row>
    <row r="3118" spans="1:46">
      <c r="A3118">
        <v>47926</v>
      </c>
      <c r="B3118" t="s">
        <v>17593</v>
      </c>
      <c r="C3118" t="s">
        <v>17594</v>
      </c>
      <c r="D3118" t="s">
        <v>17595</v>
      </c>
      <c r="E3118" t="s">
        <v>17596</v>
      </c>
      <c r="G3118" t="s">
        <v>2055</v>
      </c>
      <c r="H3118" t="s">
        <v>449</v>
      </c>
      <c r="J3118" t="s">
        <v>4032</v>
      </c>
      <c r="K3118" t="s">
        <v>606</v>
      </c>
      <c r="M3118" t="s">
        <v>1382</v>
      </c>
      <c r="N3118" t="s">
        <v>657</v>
      </c>
      <c r="O3118" t="s">
        <v>2037</v>
      </c>
      <c r="P3118" t="s">
        <v>670</v>
      </c>
      <c r="Q3118" t="s">
        <v>553</v>
      </c>
      <c r="R3118" t="s">
        <v>1841</v>
      </c>
      <c r="S3118" t="s">
        <v>2055</v>
      </c>
      <c r="T3118" t="s">
        <v>1568</v>
      </c>
      <c r="U3118">
        <v>230600</v>
      </c>
      <c r="V3118" t="s">
        <v>2056</v>
      </c>
      <c r="W3118" t="s">
        <v>2038</v>
      </c>
      <c r="X3118" t="s">
        <v>12879</v>
      </c>
      <c r="Y3118" t="s">
        <v>4701</v>
      </c>
      <c r="AA3118" t="s">
        <v>4702</v>
      </c>
      <c r="AB3118" t="s">
        <v>12880</v>
      </c>
      <c r="AE3118">
        <v>-40.349989090000001</v>
      </c>
      <c r="AF3118">
        <v>175.62117828999999</v>
      </c>
      <c r="AG3118" s="175">
        <v>75</v>
      </c>
      <c r="AH3118" s="175">
        <v>25</v>
      </c>
      <c r="AI3118" s="175">
        <v>2</v>
      </c>
      <c r="AJ3118" s="175">
        <v>15</v>
      </c>
      <c r="AK3118" s="175">
        <v>24</v>
      </c>
      <c r="AL3118" s="175">
        <v>29</v>
      </c>
      <c r="AM3118" s="175">
        <v>19</v>
      </c>
      <c r="AN3118" s="175">
        <v>0</v>
      </c>
      <c r="AO3118" s="175">
        <v>89</v>
      </c>
      <c r="AP3118" s="175">
        <v>56</v>
      </c>
      <c r="AQ3118" s="175">
        <v>25</v>
      </c>
      <c r="AR3118" s="175">
        <v>8</v>
      </c>
      <c r="AS3118" s="175">
        <v>23</v>
      </c>
      <c r="AT3118" s="175">
        <v>4</v>
      </c>
    </row>
    <row r="3119" spans="1:46">
      <c r="A3119">
        <v>47928</v>
      </c>
      <c r="B3119" t="s">
        <v>17597</v>
      </c>
      <c r="C3119" t="s">
        <v>17598</v>
      </c>
      <c r="D3119" t="s">
        <v>17599</v>
      </c>
      <c r="E3119" t="s">
        <v>17600</v>
      </c>
      <c r="F3119" t="s">
        <v>3267</v>
      </c>
      <c r="G3119" t="s">
        <v>3015</v>
      </c>
      <c r="H3119" t="s">
        <v>449</v>
      </c>
      <c r="J3119" t="s">
        <v>605</v>
      </c>
      <c r="K3119" t="s">
        <v>606</v>
      </c>
      <c r="M3119" t="s">
        <v>2366</v>
      </c>
      <c r="N3119" t="s">
        <v>657</v>
      </c>
      <c r="O3119" t="s">
        <v>3016</v>
      </c>
      <c r="P3119" t="s">
        <v>739</v>
      </c>
      <c r="Q3119" t="s">
        <v>521</v>
      </c>
      <c r="R3119" t="s">
        <v>3017</v>
      </c>
      <c r="S3119" t="s">
        <v>3092</v>
      </c>
      <c r="T3119" t="s">
        <v>2526</v>
      </c>
      <c r="U3119">
        <v>324300</v>
      </c>
      <c r="V3119" t="s">
        <v>17601</v>
      </c>
      <c r="W3119" t="s">
        <v>3269</v>
      </c>
      <c r="X3119" t="s">
        <v>10864</v>
      </c>
      <c r="Y3119" t="s">
        <v>4014</v>
      </c>
      <c r="Z3119" t="s">
        <v>4015</v>
      </c>
      <c r="AA3119" t="s">
        <v>4016</v>
      </c>
      <c r="AE3119">
        <v>-43.567430469999998</v>
      </c>
      <c r="AF3119">
        <v>172.53851</v>
      </c>
      <c r="AG3119" s="175">
        <v>103</v>
      </c>
      <c r="AH3119" s="175">
        <v>24</v>
      </c>
      <c r="AI3119" s="175">
        <v>4</v>
      </c>
      <c r="AJ3119" s="175">
        <v>22</v>
      </c>
      <c r="AK3119" s="175">
        <v>23</v>
      </c>
      <c r="AL3119" s="175">
        <v>27</v>
      </c>
      <c r="AM3119" s="175">
        <v>34</v>
      </c>
      <c r="AN3119" s="175">
        <v>1</v>
      </c>
      <c r="AO3119" s="175">
        <v>111</v>
      </c>
      <c r="AP3119" s="175">
        <v>55</v>
      </c>
      <c r="AQ3119" s="175">
        <v>13</v>
      </c>
      <c r="AR3119" s="175">
        <v>6</v>
      </c>
      <c r="AS3119" s="175">
        <v>45</v>
      </c>
      <c r="AT3119" s="175">
        <v>16</v>
      </c>
    </row>
    <row r="3120" spans="1:46">
      <c r="A3120">
        <v>47929</v>
      </c>
      <c r="B3120" t="s">
        <v>17602</v>
      </c>
      <c r="C3120" t="s">
        <v>17603</v>
      </c>
      <c r="D3120" t="s">
        <v>17604</v>
      </c>
      <c r="E3120" t="s">
        <v>17605</v>
      </c>
      <c r="G3120" t="s">
        <v>10974</v>
      </c>
      <c r="H3120" t="s">
        <v>449</v>
      </c>
      <c r="J3120" t="s">
        <v>605</v>
      </c>
      <c r="K3120" t="s">
        <v>606</v>
      </c>
      <c r="M3120" t="s">
        <v>2366</v>
      </c>
      <c r="N3120" t="s">
        <v>657</v>
      </c>
      <c r="O3120" t="s">
        <v>3281</v>
      </c>
      <c r="P3120" t="s">
        <v>1347</v>
      </c>
      <c r="Q3120" t="s">
        <v>521</v>
      </c>
      <c r="R3120" t="s">
        <v>3017</v>
      </c>
      <c r="S3120" t="s">
        <v>3252</v>
      </c>
      <c r="T3120" t="s">
        <v>2526</v>
      </c>
      <c r="U3120">
        <v>335502</v>
      </c>
      <c r="V3120" t="s">
        <v>17606</v>
      </c>
      <c r="W3120" t="s">
        <v>10977</v>
      </c>
      <c r="X3120" t="s">
        <v>10864</v>
      </c>
      <c r="Y3120" t="s">
        <v>4014</v>
      </c>
      <c r="Z3120" t="s">
        <v>4015</v>
      </c>
      <c r="AA3120" t="s">
        <v>4016</v>
      </c>
      <c r="AC3120">
        <v>99206</v>
      </c>
      <c r="AD3120" t="s">
        <v>3284</v>
      </c>
      <c r="AE3120">
        <v>-43.606515469999998</v>
      </c>
      <c r="AF3120">
        <v>172.40134330000001</v>
      </c>
      <c r="AG3120" s="175">
        <v>70</v>
      </c>
      <c r="AH3120" s="175">
        <v>20</v>
      </c>
      <c r="AI3120" s="175">
        <v>3</v>
      </c>
      <c r="AJ3120" s="175">
        <v>17</v>
      </c>
      <c r="AK3120" s="175">
        <v>20</v>
      </c>
      <c r="AL3120" s="175">
        <v>24</v>
      </c>
      <c r="AM3120" s="175">
        <v>26</v>
      </c>
      <c r="AN3120" s="175">
        <v>0</v>
      </c>
      <c r="AO3120" s="175">
        <v>90</v>
      </c>
      <c r="AP3120" s="175">
        <v>69</v>
      </c>
      <c r="AQ3120" s="175">
        <v>7</v>
      </c>
      <c r="AR3120" s="175">
        <v>3</v>
      </c>
      <c r="AS3120" s="175">
        <v>21</v>
      </c>
      <c r="AT3120" s="175">
        <v>5</v>
      </c>
    </row>
    <row r="3121" spans="1:46">
      <c r="A3121">
        <v>47930</v>
      </c>
      <c r="B3121" t="s">
        <v>17607</v>
      </c>
      <c r="C3121" t="s">
        <v>17608</v>
      </c>
      <c r="D3121" t="s">
        <v>17609</v>
      </c>
      <c r="E3121" t="s">
        <v>17610</v>
      </c>
      <c r="F3121" t="s">
        <v>1121</v>
      </c>
      <c r="G3121" t="s">
        <v>737</v>
      </c>
      <c r="H3121" t="s">
        <v>449</v>
      </c>
      <c r="J3121" t="s">
        <v>4032</v>
      </c>
      <c r="K3121" t="s">
        <v>606</v>
      </c>
      <c r="M3121" t="s">
        <v>607</v>
      </c>
      <c r="N3121" t="s">
        <v>608</v>
      </c>
      <c r="O3121" t="s">
        <v>1301</v>
      </c>
      <c r="P3121" t="s">
        <v>739</v>
      </c>
      <c r="Q3121" t="s">
        <v>467</v>
      </c>
      <c r="R3121" t="s">
        <v>814</v>
      </c>
      <c r="S3121" t="s">
        <v>1121</v>
      </c>
      <c r="T3121" t="s">
        <v>794</v>
      </c>
      <c r="U3121">
        <v>158800</v>
      </c>
      <c r="V3121" t="s">
        <v>17611</v>
      </c>
      <c r="W3121" t="s">
        <v>1304</v>
      </c>
      <c r="X3121" t="s">
        <v>17612</v>
      </c>
      <c r="Y3121" t="s">
        <v>17610</v>
      </c>
      <c r="Z3121" t="s">
        <v>1121</v>
      </c>
      <c r="AA3121" t="s">
        <v>5268</v>
      </c>
      <c r="AB3121" t="s">
        <v>17613</v>
      </c>
      <c r="AE3121">
        <v>-37.018500000000003</v>
      </c>
      <c r="AF3121">
        <v>174.86410000000001</v>
      </c>
      <c r="AG3121" s="175">
        <v>40</v>
      </c>
      <c r="AH3121" s="175">
        <v>10</v>
      </c>
      <c r="AI3121" s="175">
        <v>1</v>
      </c>
      <c r="AJ3121" s="175">
        <v>8</v>
      </c>
      <c r="AK3121" s="175">
        <v>10</v>
      </c>
      <c r="AL3121" s="175">
        <v>10</v>
      </c>
      <c r="AM3121" s="175">
        <v>19</v>
      </c>
      <c r="AN3121" s="175">
        <v>0</v>
      </c>
      <c r="AO3121" s="175">
        <v>48</v>
      </c>
      <c r="AP3121" s="175">
        <v>8</v>
      </c>
      <c r="AQ3121" s="175">
        <v>4</v>
      </c>
      <c r="AR3121" s="175">
        <v>15</v>
      </c>
      <c r="AS3121" s="175">
        <v>30</v>
      </c>
      <c r="AT3121" s="175">
        <v>0</v>
      </c>
    </row>
    <row r="3122" spans="1:46">
      <c r="A3122">
        <v>47932</v>
      </c>
      <c r="B3122" t="s">
        <v>17614</v>
      </c>
      <c r="C3122" t="s">
        <v>17615</v>
      </c>
      <c r="D3122" t="s">
        <v>17616</v>
      </c>
      <c r="E3122" t="s">
        <v>17617</v>
      </c>
      <c r="F3122" t="s">
        <v>998</v>
      </c>
      <c r="G3122" t="s">
        <v>737</v>
      </c>
      <c r="H3122" t="s">
        <v>449</v>
      </c>
      <c r="J3122" t="s">
        <v>4032</v>
      </c>
      <c r="K3122" t="s">
        <v>606</v>
      </c>
      <c r="M3122" t="s">
        <v>607</v>
      </c>
      <c r="N3122" t="s">
        <v>625</v>
      </c>
      <c r="O3122" t="s">
        <v>997</v>
      </c>
      <c r="P3122" t="s">
        <v>739</v>
      </c>
      <c r="Q3122" t="s">
        <v>467</v>
      </c>
      <c r="R3122" t="s">
        <v>793</v>
      </c>
      <c r="S3122" t="s">
        <v>998</v>
      </c>
      <c r="T3122" t="s">
        <v>794</v>
      </c>
      <c r="U3122">
        <v>137901</v>
      </c>
      <c r="V3122" t="s">
        <v>3979</v>
      </c>
      <c r="W3122" t="s">
        <v>945</v>
      </c>
      <c r="X3122" t="s">
        <v>17618</v>
      </c>
      <c r="Y3122" t="s">
        <v>17619</v>
      </c>
      <c r="Z3122" t="s">
        <v>854</v>
      </c>
      <c r="AA3122" t="s">
        <v>4604</v>
      </c>
      <c r="AB3122" t="s">
        <v>17620</v>
      </c>
      <c r="AE3122">
        <v>-36.900637369999998</v>
      </c>
      <c r="AF3122">
        <v>174.72366905999999</v>
      </c>
      <c r="AG3122" s="175">
        <v>58</v>
      </c>
      <c r="AH3122" s="175">
        <v>10</v>
      </c>
      <c r="AI3122" s="175">
        <v>2</v>
      </c>
      <c r="AJ3122" s="175">
        <v>10</v>
      </c>
      <c r="AK3122" s="175">
        <v>10</v>
      </c>
      <c r="AL3122" s="175">
        <v>26</v>
      </c>
      <c r="AM3122" s="175">
        <v>18</v>
      </c>
      <c r="AN3122" s="175">
        <v>0</v>
      </c>
      <c r="AO3122" s="175">
        <v>66</v>
      </c>
      <c r="AP3122" s="175">
        <v>1</v>
      </c>
      <c r="AQ3122" s="175">
        <v>1</v>
      </c>
      <c r="AR3122" s="175">
        <v>9</v>
      </c>
      <c r="AS3122" s="175">
        <v>50</v>
      </c>
      <c r="AT3122" s="175">
        <v>7</v>
      </c>
    </row>
    <row r="3123" spans="1:46">
      <c r="A3123">
        <v>47933</v>
      </c>
      <c r="B3123" t="s">
        <v>17621</v>
      </c>
      <c r="C3123" t="s">
        <v>17622</v>
      </c>
      <c r="D3123" t="s">
        <v>17623</v>
      </c>
      <c r="E3123" t="s">
        <v>17624</v>
      </c>
      <c r="F3123" t="s">
        <v>7875</v>
      </c>
      <c r="G3123" t="s">
        <v>737</v>
      </c>
      <c r="H3123" t="s">
        <v>449</v>
      </c>
      <c r="J3123" t="s">
        <v>4032</v>
      </c>
      <c r="K3123" t="s">
        <v>606</v>
      </c>
      <c r="M3123" t="s">
        <v>607</v>
      </c>
      <c r="N3123" t="s">
        <v>657</v>
      </c>
      <c r="O3123" t="s">
        <v>1318</v>
      </c>
      <c r="P3123" t="s">
        <v>610</v>
      </c>
      <c r="Q3123" t="s">
        <v>467</v>
      </c>
      <c r="R3123" t="s">
        <v>793</v>
      </c>
      <c r="S3123" t="s">
        <v>1319</v>
      </c>
      <c r="T3123" t="s">
        <v>1320</v>
      </c>
      <c r="U3123">
        <v>155000</v>
      </c>
      <c r="V3123" t="s">
        <v>7876</v>
      </c>
      <c r="W3123" t="s">
        <v>1322</v>
      </c>
      <c r="X3123" t="s">
        <v>17625</v>
      </c>
      <c r="Y3123" t="s">
        <v>17624</v>
      </c>
      <c r="AA3123" t="s">
        <v>17626</v>
      </c>
      <c r="AE3123">
        <v>-36.882712640000001</v>
      </c>
      <c r="AF3123">
        <v>174.99859726</v>
      </c>
      <c r="AG3123" s="175">
        <v>40</v>
      </c>
      <c r="AH3123" s="175">
        <v>12</v>
      </c>
      <c r="AI3123" s="175">
        <v>0</v>
      </c>
      <c r="AJ3123" s="175">
        <v>7</v>
      </c>
      <c r="AK3123" s="175">
        <v>7</v>
      </c>
      <c r="AL3123" s="175">
        <v>8</v>
      </c>
      <c r="AM3123" s="175">
        <v>10</v>
      </c>
      <c r="AN3123" s="175">
        <v>0</v>
      </c>
      <c r="AO3123" s="175">
        <v>32</v>
      </c>
      <c r="AP3123" s="175">
        <v>30</v>
      </c>
      <c r="AQ3123" s="175">
        <v>6</v>
      </c>
      <c r="AR3123" s="175">
        <v>3</v>
      </c>
      <c r="AS3123" s="175">
        <v>1</v>
      </c>
      <c r="AT3123" s="175">
        <v>4</v>
      </c>
    </row>
    <row r="3124" spans="1:46">
      <c r="A3124">
        <v>47934</v>
      </c>
      <c r="B3124" t="s">
        <v>17627</v>
      </c>
      <c r="C3124" t="s">
        <v>17628</v>
      </c>
      <c r="E3124" t="s">
        <v>17629</v>
      </c>
      <c r="F3124" t="s">
        <v>802</v>
      </c>
      <c r="G3124" t="s">
        <v>737</v>
      </c>
      <c r="H3124" t="s">
        <v>449</v>
      </c>
      <c r="J3124" t="s">
        <v>4032</v>
      </c>
      <c r="K3124" t="s">
        <v>606</v>
      </c>
      <c r="M3124" t="s">
        <v>607</v>
      </c>
      <c r="N3124" t="s">
        <v>643</v>
      </c>
      <c r="O3124" t="s">
        <v>803</v>
      </c>
      <c r="P3124" t="s">
        <v>739</v>
      </c>
      <c r="Q3124" t="s">
        <v>467</v>
      </c>
      <c r="R3124" t="s">
        <v>793</v>
      </c>
      <c r="S3124" t="s">
        <v>855</v>
      </c>
      <c r="T3124" t="s">
        <v>794</v>
      </c>
      <c r="U3124">
        <v>135000</v>
      </c>
      <c r="V3124" t="s">
        <v>5799</v>
      </c>
      <c r="W3124" t="s">
        <v>806</v>
      </c>
      <c r="X3124" t="s">
        <v>17630</v>
      </c>
      <c r="Y3124" t="s">
        <v>16804</v>
      </c>
      <c r="Z3124" t="s">
        <v>907</v>
      </c>
      <c r="AA3124" t="s">
        <v>5260</v>
      </c>
      <c r="AE3124">
        <v>-36.90407424</v>
      </c>
      <c r="AF3124">
        <v>174.69879760000001</v>
      </c>
      <c r="AG3124" s="175">
        <v>40</v>
      </c>
      <c r="AH3124" s="175">
        <v>10</v>
      </c>
      <c r="AI3124" s="175">
        <v>1</v>
      </c>
      <c r="AJ3124" s="175">
        <v>6</v>
      </c>
      <c r="AK3124" s="175">
        <v>6</v>
      </c>
      <c r="AL3124" s="175">
        <v>5</v>
      </c>
      <c r="AM3124" s="175">
        <v>10</v>
      </c>
      <c r="AN3124" s="175">
        <v>0</v>
      </c>
      <c r="AO3124" s="175">
        <v>28</v>
      </c>
      <c r="AP3124" s="175">
        <v>2</v>
      </c>
      <c r="AQ3124" s="175">
        <v>1</v>
      </c>
      <c r="AR3124" s="175">
        <v>26</v>
      </c>
      <c r="AS3124" s="175">
        <v>2</v>
      </c>
      <c r="AT3124" s="175">
        <v>1</v>
      </c>
    </row>
    <row r="3125" spans="1:46">
      <c r="A3125">
        <v>47936</v>
      </c>
      <c r="B3125" t="s">
        <v>17631</v>
      </c>
      <c r="C3125" t="s">
        <v>17632</v>
      </c>
      <c r="E3125" t="s">
        <v>17633</v>
      </c>
      <c r="F3125" t="s">
        <v>3973</v>
      </c>
      <c r="G3125" t="s">
        <v>737</v>
      </c>
      <c r="H3125" t="s">
        <v>449</v>
      </c>
      <c r="J3125" t="s">
        <v>4032</v>
      </c>
      <c r="K3125" t="s">
        <v>606</v>
      </c>
      <c r="M3125" t="s">
        <v>607</v>
      </c>
      <c r="N3125" t="s">
        <v>657</v>
      </c>
      <c r="O3125" t="s">
        <v>1253</v>
      </c>
      <c r="P3125" t="s">
        <v>739</v>
      </c>
      <c r="Q3125" t="s">
        <v>467</v>
      </c>
      <c r="R3125" t="s">
        <v>724</v>
      </c>
      <c r="S3125" t="s">
        <v>740</v>
      </c>
      <c r="T3125" t="s">
        <v>613</v>
      </c>
      <c r="U3125">
        <v>119100</v>
      </c>
      <c r="V3125" t="s">
        <v>7038</v>
      </c>
      <c r="W3125" t="s">
        <v>742</v>
      </c>
      <c r="X3125" t="s">
        <v>17634</v>
      </c>
      <c r="Y3125" t="s">
        <v>12254</v>
      </c>
      <c r="Z3125" t="s">
        <v>12255</v>
      </c>
      <c r="AA3125" t="s">
        <v>12256</v>
      </c>
      <c r="AB3125" t="s">
        <v>17635</v>
      </c>
      <c r="AE3125">
        <v>-36.759421519999997</v>
      </c>
      <c r="AF3125">
        <v>174.70027942999999</v>
      </c>
      <c r="AG3125" s="175">
        <v>99</v>
      </c>
      <c r="AH3125" s="175">
        <v>35</v>
      </c>
      <c r="AI3125" s="175">
        <v>5</v>
      </c>
      <c r="AJ3125" s="175">
        <v>17</v>
      </c>
      <c r="AK3125" s="175">
        <v>26</v>
      </c>
      <c r="AL3125" s="175">
        <v>20</v>
      </c>
      <c r="AM3125" s="175">
        <v>25</v>
      </c>
      <c r="AN3125" s="175">
        <v>1</v>
      </c>
      <c r="AO3125" s="175">
        <v>94</v>
      </c>
      <c r="AP3125" s="175">
        <v>46</v>
      </c>
      <c r="AQ3125" s="175">
        <v>12</v>
      </c>
      <c r="AR3125" s="175">
        <v>1</v>
      </c>
      <c r="AS3125" s="175">
        <v>51</v>
      </c>
      <c r="AT3125" s="175">
        <v>4</v>
      </c>
    </row>
    <row r="3126" spans="1:46">
      <c r="A3126">
        <v>47937</v>
      </c>
      <c r="B3126" t="s">
        <v>17636</v>
      </c>
      <c r="E3126" t="s">
        <v>17637</v>
      </c>
      <c r="F3126" t="s">
        <v>8655</v>
      </c>
      <c r="G3126" t="s">
        <v>1381</v>
      </c>
      <c r="H3126" t="s">
        <v>449</v>
      </c>
      <c r="J3126" t="s">
        <v>4032</v>
      </c>
      <c r="K3126" t="s">
        <v>606</v>
      </c>
      <c r="M3126" t="s">
        <v>1382</v>
      </c>
      <c r="N3126" t="s">
        <v>657</v>
      </c>
      <c r="O3126" t="s">
        <v>1383</v>
      </c>
      <c r="P3126" t="s">
        <v>739</v>
      </c>
      <c r="Q3126" t="s">
        <v>510</v>
      </c>
      <c r="R3126" t="s">
        <v>1384</v>
      </c>
      <c r="S3126" t="s">
        <v>1396</v>
      </c>
      <c r="T3126" t="s">
        <v>1320</v>
      </c>
      <c r="U3126">
        <v>175801</v>
      </c>
      <c r="V3126" t="s">
        <v>8656</v>
      </c>
      <c r="W3126" t="s">
        <v>1398</v>
      </c>
      <c r="X3126" t="s">
        <v>9564</v>
      </c>
      <c r="Y3126" t="s">
        <v>16516</v>
      </c>
      <c r="Z3126" t="s">
        <v>1319</v>
      </c>
      <c r="AA3126" t="s">
        <v>5228</v>
      </c>
      <c r="AB3126" t="s">
        <v>9561</v>
      </c>
      <c r="AE3126">
        <v>-37.736797240000001</v>
      </c>
      <c r="AF3126">
        <v>175.25243563999999</v>
      </c>
      <c r="AG3126" s="175">
        <v>40</v>
      </c>
      <c r="AH3126" s="175">
        <v>10</v>
      </c>
      <c r="AI3126" s="175">
        <v>1</v>
      </c>
      <c r="AJ3126" s="175">
        <v>7</v>
      </c>
      <c r="AK3126" s="175">
        <v>9</v>
      </c>
      <c r="AL3126" s="175">
        <v>17</v>
      </c>
      <c r="AM3126" s="175">
        <v>3</v>
      </c>
      <c r="AN3126" s="175">
        <v>1</v>
      </c>
      <c r="AO3126" s="175">
        <v>38</v>
      </c>
      <c r="AP3126" s="175">
        <v>6</v>
      </c>
      <c r="AQ3126" s="175">
        <v>5</v>
      </c>
      <c r="AR3126" s="175">
        <v>0</v>
      </c>
      <c r="AS3126" s="175">
        <v>31</v>
      </c>
      <c r="AT3126" s="175">
        <v>1</v>
      </c>
    </row>
    <row r="3127" spans="1:46">
      <c r="A3127">
        <v>47940</v>
      </c>
      <c r="B3127" t="s">
        <v>17638</v>
      </c>
      <c r="C3127" t="s">
        <v>17639</v>
      </c>
      <c r="D3127" t="s">
        <v>17640</v>
      </c>
      <c r="E3127" t="s">
        <v>17641</v>
      </c>
      <c r="F3127" t="s">
        <v>1157</v>
      </c>
      <c r="G3127" t="s">
        <v>737</v>
      </c>
      <c r="H3127" t="s">
        <v>449</v>
      </c>
      <c r="J3127" t="s">
        <v>4032</v>
      </c>
      <c r="K3127" t="s">
        <v>606</v>
      </c>
      <c r="M3127" t="s">
        <v>607</v>
      </c>
      <c r="N3127" t="s">
        <v>608</v>
      </c>
      <c r="O3127" t="s">
        <v>933</v>
      </c>
      <c r="P3127" t="s">
        <v>739</v>
      </c>
      <c r="Q3127" t="s">
        <v>467</v>
      </c>
      <c r="R3127" t="s">
        <v>814</v>
      </c>
      <c r="S3127" t="s">
        <v>815</v>
      </c>
      <c r="T3127" t="s">
        <v>794</v>
      </c>
      <c r="U3127">
        <v>150302</v>
      </c>
      <c r="V3127" t="s">
        <v>17642</v>
      </c>
      <c r="W3127" t="s">
        <v>817</v>
      </c>
      <c r="X3127" t="s">
        <v>17643</v>
      </c>
      <c r="Y3127" t="s">
        <v>13388</v>
      </c>
      <c r="Z3127" t="s">
        <v>5170</v>
      </c>
      <c r="AA3127" t="s">
        <v>4061</v>
      </c>
      <c r="AE3127">
        <v>-36.938501160000001</v>
      </c>
      <c r="AF3127">
        <v>174.85094910000001</v>
      </c>
      <c r="AG3127" s="175">
        <v>60</v>
      </c>
      <c r="AH3127" s="175">
        <v>10</v>
      </c>
      <c r="AI3127" s="175">
        <v>1</v>
      </c>
      <c r="AJ3127" s="175">
        <v>7</v>
      </c>
      <c r="AK3127" s="175">
        <v>18</v>
      </c>
      <c r="AL3127" s="175">
        <v>17</v>
      </c>
      <c r="AM3127" s="175">
        <v>16</v>
      </c>
      <c r="AN3127" s="175">
        <v>2</v>
      </c>
      <c r="AO3127" s="175">
        <v>61</v>
      </c>
      <c r="AP3127" s="175">
        <v>11</v>
      </c>
      <c r="AQ3127" s="175">
        <v>7</v>
      </c>
      <c r="AR3127" s="175">
        <v>24</v>
      </c>
      <c r="AS3127" s="175">
        <v>30</v>
      </c>
      <c r="AT3127" s="175">
        <v>1</v>
      </c>
    </row>
    <row r="3128" spans="1:46">
      <c r="A3128">
        <v>47941</v>
      </c>
      <c r="B3128" t="s">
        <v>17644</v>
      </c>
      <c r="C3128" t="s">
        <v>17645</v>
      </c>
      <c r="E3128" t="s">
        <v>17646</v>
      </c>
      <c r="F3128" t="s">
        <v>3777</v>
      </c>
      <c r="G3128" t="s">
        <v>737</v>
      </c>
      <c r="H3128" t="s">
        <v>449</v>
      </c>
      <c r="J3128" t="s">
        <v>605</v>
      </c>
      <c r="K3128" t="s">
        <v>606</v>
      </c>
      <c r="M3128" t="s">
        <v>607</v>
      </c>
      <c r="N3128" t="s">
        <v>657</v>
      </c>
      <c r="O3128" t="s">
        <v>1253</v>
      </c>
      <c r="P3128" t="s">
        <v>739</v>
      </c>
      <c r="Q3128" t="s">
        <v>467</v>
      </c>
      <c r="R3128" t="s">
        <v>724</v>
      </c>
      <c r="S3128" t="s">
        <v>740</v>
      </c>
      <c r="T3128" t="s">
        <v>613</v>
      </c>
      <c r="U3128">
        <v>117300</v>
      </c>
      <c r="V3128" t="s">
        <v>5769</v>
      </c>
      <c r="W3128" t="s">
        <v>742</v>
      </c>
      <c r="X3128" t="s">
        <v>17647</v>
      </c>
      <c r="Y3128" t="s">
        <v>17648</v>
      </c>
      <c r="AA3128" t="s">
        <v>17649</v>
      </c>
      <c r="AB3128" t="s">
        <v>17650</v>
      </c>
      <c r="AE3128">
        <v>-36.730222599999998</v>
      </c>
      <c r="AF3128">
        <v>174.69783071000001</v>
      </c>
      <c r="AG3128" s="175">
        <v>60</v>
      </c>
      <c r="AH3128" s="175">
        <v>16</v>
      </c>
      <c r="AI3128" s="175">
        <v>0</v>
      </c>
      <c r="AJ3128" s="175">
        <v>6</v>
      </c>
      <c r="AK3128" s="175">
        <v>12</v>
      </c>
      <c r="AL3128" s="175">
        <v>6</v>
      </c>
      <c r="AM3128" s="175">
        <v>9</v>
      </c>
      <c r="AN3128" s="175">
        <v>1</v>
      </c>
      <c r="AO3128" s="175">
        <v>34</v>
      </c>
      <c r="AP3128" s="175">
        <v>15</v>
      </c>
      <c r="AQ3128" s="175">
        <v>2</v>
      </c>
      <c r="AR3128" s="175">
        <v>1</v>
      </c>
      <c r="AS3128" s="175">
        <v>20</v>
      </c>
      <c r="AT3128" s="175">
        <v>6</v>
      </c>
    </row>
    <row r="3129" spans="1:46">
      <c r="A3129">
        <v>47942</v>
      </c>
      <c r="B3129" t="s">
        <v>17651</v>
      </c>
      <c r="E3129" t="s">
        <v>17652</v>
      </c>
      <c r="G3129" t="s">
        <v>17653</v>
      </c>
      <c r="H3129" t="s">
        <v>449</v>
      </c>
      <c r="J3129" t="s">
        <v>4032</v>
      </c>
      <c r="K3129" t="s">
        <v>606</v>
      </c>
      <c r="M3129" t="s">
        <v>2366</v>
      </c>
      <c r="N3129" t="s">
        <v>657</v>
      </c>
      <c r="O3129" t="s">
        <v>3281</v>
      </c>
      <c r="P3129" t="s">
        <v>626</v>
      </c>
      <c r="Q3129" t="s">
        <v>521</v>
      </c>
      <c r="R3129" t="s">
        <v>3017</v>
      </c>
      <c r="S3129" t="s">
        <v>3252</v>
      </c>
      <c r="T3129" t="s">
        <v>2526</v>
      </c>
      <c r="U3129">
        <v>334100</v>
      </c>
      <c r="V3129" t="s">
        <v>17653</v>
      </c>
      <c r="W3129" t="s">
        <v>12669</v>
      </c>
      <c r="X3129" t="s">
        <v>17654</v>
      </c>
      <c r="Y3129" t="s">
        <v>9351</v>
      </c>
      <c r="Z3129" t="s">
        <v>17653</v>
      </c>
      <c r="AA3129" t="s">
        <v>17655</v>
      </c>
      <c r="AC3129">
        <v>99008</v>
      </c>
      <c r="AD3129" t="s">
        <v>17656</v>
      </c>
      <c r="AE3129">
        <v>-43.496998099999999</v>
      </c>
      <c r="AF3129">
        <v>172.21954170000001</v>
      </c>
      <c r="AG3129" s="175">
        <v>100</v>
      </c>
      <c r="AH3129" s="175">
        <v>20</v>
      </c>
      <c r="AI3129" s="175">
        <v>4</v>
      </c>
      <c r="AJ3129" s="175">
        <v>18</v>
      </c>
      <c r="AK3129" s="175">
        <v>22</v>
      </c>
      <c r="AL3129" s="175">
        <v>24</v>
      </c>
      <c r="AM3129" s="175">
        <v>29</v>
      </c>
      <c r="AN3129" s="175">
        <v>1</v>
      </c>
      <c r="AO3129" s="175">
        <v>98</v>
      </c>
      <c r="AP3129" s="175">
        <v>93</v>
      </c>
      <c r="AQ3129" s="175">
        <v>12</v>
      </c>
      <c r="AR3129" s="175">
        <v>2</v>
      </c>
      <c r="AS3129" s="175">
        <v>2</v>
      </c>
      <c r="AT3129" s="175">
        <v>0</v>
      </c>
    </row>
    <row r="3130" spans="1:46">
      <c r="A3130">
        <v>47944</v>
      </c>
      <c r="B3130" t="s">
        <v>17657</v>
      </c>
      <c r="C3130" t="s">
        <v>4521</v>
      </c>
      <c r="E3130" t="s">
        <v>17658</v>
      </c>
      <c r="G3130" t="s">
        <v>624</v>
      </c>
      <c r="H3130" t="s">
        <v>347</v>
      </c>
      <c r="J3130" t="s">
        <v>605</v>
      </c>
      <c r="K3130" t="s">
        <v>606</v>
      </c>
      <c r="L3130" t="s">
        <v>4273</v>
      </c>
      <c r="M3130" t="s">
        <v>607</v>
      </c>
      <c r="N3130" t="s">
        <v>608</v>
      </c>
      <c r="O3130" t="s">
        <v>609</v>
      </c>
      <c r="P3130" t="s">
        <v>626</v>
      </c>
      <c r="Q3130" t="s">
        <v>509</v>
      </c>
      <c r="R3130" t="s">
        <v>611</v>
      </c>
      <c r="S3130" t="s">
        <v>612</v>
      </c>
      <c r="T3130" t="s">
        <v>613</v>
      </c>
      <c r="U3130">
        <v>101101</v>
      </c>
      <c r="V3130" t="s">
        <v>627</v>
      </c>
      <c r="W3130" t="s">
        <v>615</v>
      </c>
      <c r="X3130" t="s">
        <v>4520</v>
      </c>
      <c r="Y3130" t="s">
        <v>4276</v>
      </c>
      <c r="Z3130" t="s">
        <v>4277</v>
      </c>
      <c r="AA3130" t="s">
        <v>4278</v>
      </c>
      <c r="AB3130" t="s">
        <v>4521</v>
      </c>
      <c r="AE3130">
        <v>-34.993789679999999</v>
      </c>
      <c r="AF3130">
        <v>173.46265106999999</v>
      </c>
      <c r="AG3130" s="175">
        <v>30</v>
      </c>
      <c r="AH3130" s="175">
        <v>10</v>
      </c>
      <c r="AI3130" s="175">
        <v>0</v>
      </c>
      <c r="AJ3130" s="175">
        <v>3</v>
      </c>
      <c r="AK3130" s="175">
        <v>6</v>
      </c>
      <c r="AL3130" s="175">
        <v>3</v>
      </c>
      <c r="AM3130" s="175">
        <v>4</v>
      </c>
      <c r="AN3130" s="175">
        <v>0</v>
      </c>
      <c r="AO3130" s="175">
        <v>16</v>
      </c>
      <c r="AP3130" s="175">
        <v>0</v>
      </c>
      <c r="AQ3130" s="175">
        <v>15</v>
      </c>
      <c r="AR3130" s="175">
        <v>0</v>
      </c>
      <c r="AS3130" s="175">
        <v>0</v>
      </c>
      <c r="AT3130" s="175">
        <v>1</v>
      </c>
    </row>
    <row r="3131" spans="1:46">
      <c r="A3131">
        <v>47947</v>
      </c>
      <c r="B3131" t="s">
        <v>17659</v>
      </c>
      <c r="C3131" t="s">
        <v>17660</v>
      </c>
      <c r="D3131" t="s">
        <v>17661</v>
      </c>
      <c r="E3131" t="s">
        <v>17662</v>
      </c>
      <c r="F3131" t="s">
        <v>1199</v>
      </c>
      <c r="G3131" t="s">
        <v>737</v>
      </c>
      <c r="H3131" t="s">
        <v>449</v>
      </c>
      <c r="J3131" t="s">
        <v>4032</v>
      </c>
      <c r="K3131" t="s">
        <v>606</v>
      </c>
      <c r="M3131" t="s">
        <v>607</v>
      </c>
      <c r="N3131" t="s">
        <v>643</v>
      </c>
      <c r="O3131" t="s">
        <v>898</v>
      </c>
      <c r="P3131" t="s">
        <v>739</v>
      </c>
      <c r="Q3131" t="s">
        <v>467</v>
      </c>
      <c r="R3131" t="s">
        <v>724</v>
      </c>
      <c r="S3131" t="s">
        <v>984</v>
      </c>
      <c r="T3131" t="s">
        <v>613</v>
      </c>
      <c r="U3131">
        <v>123800</v>
      </c>
      <c r="V3131" t="s">
        <v>1200</v>
      </c>
      <c r="W3131" t="s">
        <v>900</v>
      </c>
      <c r="X3131" t="s">
        <v>17663</v>
      </c>
      <c r="Y3131" t="s">
        <v>17664</v>
      </c>
      <c r="Z3131" t="s">
        <v>1319</v>
      </c>
      <c r="AA3131" t="s">
        <v>11088</v>
      </c>
      <c r="AB3131" t="s">
        <v>17665</v>
      </c>
      <c r="AE3131">
        <v>-36.864444329999998</v>
      </c>
      <c r="AF3131">
        <v>174.59830976999999</v>
      </c>
      <c r="AG3131" s="175">
        <v>50</v>
      </c>
      <c r="AH3131" s="175">
        <v>10</v>
      </c>
      <c r="AI3131" s="175">
        <v>3</v>
      </c>
      <c r="AJ3131" s="175">
        <v>9</v>
      </c>
      <c r="AK3131" s="175">
        <v>6</v>
      </c>
      <c r="AL3131" s="175">
        <v>17</v>
      </c>
      <c r="AM3131" s="175">
        <v>11</v>
      </c>
      <c r="AN3131" s="175">
        <v>1</v>
      </c>
      <c r="AO3131" s="175">
        <v>47</v>
      </c>
      <c r="AP3131" s="175">
        <v>16</v>
      </c>
      <c r="AQ3131" s="175">
        <v>6</v>
      </c>
      <c r="AR3131" s="175">
        <v>14</v>
      </c>
      <c r="AS3131" s="175">
        <v>19</v>
      </c>
      <c r="AT3131" s="175">
        <v>4</v>
      </c>
    </row>
    <row r="3132" spans="1:46">
      <c r="A3132">
        <v>47948</v>
      </c>
      <c r="B3132" t="s">
        <v>17666</v>
      </c>
      <c r="C3132" t="s">
        <v>17667</v>
      </c>
      <c r="E3132" t="s">
        <v>17668</v>
      </c>
      <c r="F3132" t="s">
        <v>1463</v>
      </c>
      <c r="G3132" t="s">
        <v>1402</v>
      </c>
      <c r="H3132" t="s">
        <v>449</v>
      </c>
      <c r="J3132" t="s">
        <v>4032</v>
      </c>
      <c r="K3132" t="s">
        <v>606</v>
      </c>
      <c r="M3132" t="s">
        <v>1382</v>
      </c>
      <c r="N3132" t="s">
        <v>657</v>
      </c>
      <c r="O3132" t="s">
        <v>1403</v>
      </c>
      <c r="P3132" t="s">
        <v>1347</v>
      </c>
      <c r="Q3132" t="s">
        <v>510</v>
      </c>
      <c r="R3132" t="s">
        <v>1384</v>
      </c>
      <c r="S3132" t="s">
        <v>1404</v>
      </c>
      <c r="T3132" t="s">
        <v>1320</v>
      </c>
      <c r="U3132">
        <v>183701</v>
      </c>
      <c r="V3132" t="s">
        <v>16160</v>
      </c>
      <c r="W3132" t="s">
        <v>1406</v>
      </c>
      <c r="X3132" t="s">
        <v>16161</v>
      </c>
      <c r="Y3132" t="s">
        <v>16162</v>
      </c>
      <c r="Z3132" t="s">
        <v>1450</v>
      </c>
      <c r="AA3132" t="s">
        <v>9315</v>
      </c>
      <c r="AB3132" t="s">
        <v>16157</v>
      </c>
      <c r="AE3132">
        <v>-37.917014389999999</v>
      </c>
      <c r="AF3132">
        <v>175.47212578</v>
      </c>
      <c r="AG3132" s="175">
        <v>40</v>
      </c>
      <c r="AH3132" s="175">
        <v>0</v>
      </c>
      <c r="AI3132" s="175">
        <v>0</v>
      </c>
      <c r="AJ3132" s="175">
        <v>0</v>
      </c>
      <c r="AK3132" s="175">
        <v>0</v>
      </c>
      <c r="AL3132" s="175">
        <v>16</v>
      </c>
      <c r="AM3132" s="175">
        <v>16</v>
      </c>
      <c r="AN3132" s="175">
        <v>0</v>
      </c>
      <c r="AO3132" s="175">
        <v>32</v>
      </c>
      <c r="AP3132" s="175">
        <v>28</v>
      </c>
      <c r="AQ3132" s="175">
        <v>6</v>
      </c>
      <c r="AR3132" s="175">
        <v>3</v>
      </c>
      <c r="AS3132" s="175">
        <v>2</v>
      </c>
      <c r="AT3132" s="175">
        <v>2</v>
      </c>
    </row>
    <row r="3133" spans="1:46">
      <c r="A3133">
        <v>47950</v>
      </c>
      <c r="B3133" t="s">
        <v>17669</v>
      </c>
      <c r="C3133" t="s">
        <v>17670</v>
      </c>
      <c r="E3133" t="s">
        <v>17671</v>
      </c>
      <c r="F3133" t="s">
        <v>3030</v>
      </c>
      <c r="G3133" t="s">
        <v>3015</v>
      </c>
      <c r="H3133" t="s">
        <v>449</v>
      </c>
      <c r="J3133" t="s">
        <v>4032</v>
      </c>
      <c r="K3133" t="s">
        <v>606</v>
      </c>
      <c r="M3133" t="s">
        <v>2366</v>
      </c>
      <c r="N3133" t="s">
        <v>657</v>
      </c>
      <c r="O3133" t="s">
        <v>3016</v>
      </c>
      <c r="P3133" t="s">
        <v>739</v>
      </c>
      <c r="Q3133" t="s">
        <v>521</v>
      </c>
      <c r="R3133" t="s">
        <v>3017</v>
      </c>
      <c r="S3133" t="s">
        <v>3030</v>
      </c>
      <c r="T3133" t="s">
        <v>2526</v>
      </c>
      <c r="U3133">
        <v>327000</v>
      </c>
      <c r="V3133" t="s">
        <v>16046</v>
      </c>
      <c r="W3133" t="s">
        <v>2521</v>
      </c>
      <c r="X3133" t="s">
        <v>17672</v>
      </c>
      <c r="Y3133" t="s">
        <v>4176</v>
      </c>
      <c r="AA3133" t="s">
        <v>4052</v>
      </c>
      <c r="AB3133" t="s">
        <v>17670</v>
      </c>
      <c r="AE3133">
        <v>-43.526341029999998</v>
      </c>
      <c r="AF3133">
        <v>172.64907171999999</v>
      </c>
      <c r="AG3133" s="175">
        <v>125</v>
      </c>
      <c r="AH3133" s="175">
        <v>32</v>
      </c>
      <c r="AI3133" s="175">
        <v>10</v>
      </c>
      <c r="AJ3133" s="175">
        <v>28</v>
      </c>
      <c r="AK3133" s="175">
        <v>39</v>
      </c>
      <c r="AL3133" s="175">
        <v>37</v>
      </c>
      <c r="AM3133" s="175">
        <v>41</v>
      </c>
      <c r="AN3133" s="175">
        <v>1</v>
      </c>
      <c r="AO3133" s="175">
        <v>156</v>
      </c>
      <c r="AP3133" s="175">
        <v>129</v>
      </c>
      <c r="AQ3133" s="175">
        <v>25</v>
      </c>
      <c r="AR3133" s="175">
        <v>8</v>
      </c>
      <c r="AS3133" s="175">
        <v>32</v>
      </c>
      <c r="AT3133" s="175">
        <v>10</v>
      </c>
    </row>
    <row r="3134" spans="1:46">
      <c r="A3134">
        <v>47952</v>
      </c>
      <c r="B3134" t="s">
        <v>17673</v>
      </c>
      <c r="C3134" t="s">
        <v>17674</v>
      </c>
      <c r="D3134" t="s">
        <v>17134</v>
      </c>
      <c r="E3134" t="s">
        <v>17675</v>
      </c>
      <c r="F3134" t="s">
        <v>4057</v>
      </c>
      <c r="G3134" t="s">
        <v>737</v>
      </c>
      <c r="H3134" t="s">
        <v>449</v>
      </c>
      <c r="J3134" t="s">
        <v>605</v>
      </c>
      <c r="K3134" t="s">
        <v>606</v>
      </c>
      <c r="M3134" t="s">
        <v>607</v>
      </c>
      <c r="N3134" t="s">
        <v>657</v>
      </c>
      <c r="O3134" t="s">
        <v>1318</v>
      </c>
      <c r="P3134" t="s">
        <v>1347</v>
      </c>
      <c r="Q3134" t="s">
        <v>467</v>
      </c>
      <c r="R3134" t="s">
        <v>814</v>
      </c>
      <c r="S3134" t="s">
        <v>1331</v>
      </c>
      <c r="T3134" t="s">
        <v>1320</v>
      </c>
      <c r="U3134">
        <v>165502</v>
      </c>
      <c r="V3134" t="s">
        <v>7859</v>
      </c>
      <c r="W3134" t="s">
        <v>1322</v>
      </c>
      <c r="X3134" t="s">
        <v>17676</v>
      </c>
      <c r="Y3134" t="s">
        <v>4014</v>
      </c>
      <c r="Z3134" t="s">
        <v>4015</v>
      </c>
      <c r="AA3134" t="s">
        <v>4016</v>
      </c>
      <c r="AB3134" t="s">
        <v>17674</v>
      </c>
      <c r="AE3134">
        <v>-37.201973219999999</v>
      </c>
      <c r="AF3134">
        <v>174.88524799999999</v>
      </c>
      <c r="AG3134" s="175">
        <v>100</v>
      </c>
      <c r="AH3134" s="175">
        <v>25</v>
      </c>
      <c r="AI3134" s="175">
        <v>0</v>
      </c>
      <c r="AJ3134" s="175">
        <v>18</v>
      </c>
      <c r="AK3134" s="175">
        <v>23</v>
      </c>
      <c r="AL3134" s="175">
        <v>21</v>
      </c>
      <c r="AM3134" s="175">
        <v>29</v>
      </c>
      <c r="AN3134" s="175">
        <v>0</v>
      </c>
      <c r="AO3134" s="175">
        <v>91</v>
      </c>
      <c r="AP3134" s="175">
        <v>25</v>
      </c>
      <c r="AQ3134" s="175">
        <v>4</v>
      </c>
      <c r="AR3134" s="175">
        <v>6</v>
      </c>
      <c r="AS3134" s="175">
        <v>66</v>
      </c>
      <c r="AT3134" s="175">
        <v>1</v>
      </c>
    </row>
    <row r="3135" spans="1:46">
      <c r="A3135">
        <v>47953</v>
      </c>
      <c r="B3135" t="s">
        <v>17677</v>
      </c>
      <c r="C3135" t="s">
        <v>17678</v>
      </c>
      <c r="D3135" t="s">
        <v>17679</v>
      </c>
      <c r="E3135" t="s">
        <v>17680</v>
      </c>
      <c r="F3135" t="s">
        <v>1450</v>
      </c>
      <c r="G3135" t="s">
        <v>737</v>
      </c>
      <c r="H3135" t="s">
        <v>449</v>
      </c>
      <c r="J3135" t="s">
        <v>4032</v>
      </c>
      <c r="K3135" t="s">
        <v>606</v>
      </c>
      <c r="M3135" t="s">
        <v>607</v>
      </c>
      <c r="N3135" t="s">
        <v>657</v>
      </c>
      <c r="O3135" t="s">
        <v>823</v>
      </c>
      <c r="P3135" t="s">
        <v>739</v>
      </c>
      <c r="Q3135" t="s">
        <v>467</v>
      </c>
      <c r="R3135" t="s">
        <v>724</v>
      </c>
      <c r="S3135" t="s">
        <v>841</v>
      </c>
      <c r="T3135" t="s">
        <v>613</v>
      </c>
      <c r="U3135">
        <v>123500</v>
      </c>
      <c r="V3135" t="s">
        <v>17463</v>
      </c>
      <c r="W3135" t="s">
        <v>826</v>
      </c>
      <c r="X3135" t="s">
        <v>17634</v>
      </c>
      <c r="Y3135" t="s">
        <v>12254</v>
      </c>
      <c r="Z3135" t="s">
        <v>12255</v>
      </c>
      <c r="AA3135" t="s">
        <v>12256</v>
      </c>
      <c r="AB3135" t="s">
        <v>17635</v>
      </c>
      <c r="AE3135">
        <v>-36.785154980000002</v>
      </c>
      <c r="AF3135">
        <v>174.7422636</v>
      </c>
      <c r="AG3135" s="175">
        <v>125</v>
      </c>
      <c r="AH3135" s="175">
        <v>40</v>
      </c>
      <c r="AI3135" s="175">
        <v>2</v>
      </c>
      <c r="AJ3135" s="175">
        <v>32</v>
      </c>
      <c r="AK3135" s="175">
        <v>34</v>
      </c>
      <c r="AL3135" s="175">
        <v>35</v>
      </c>
      <c r="AM3135" s="175">
        <v>34</v>
      </c>
      <c r="AN3135" s="175">
        <v>0</v>
      </c>
      <c r="AO3135" s="175">
        <v>137</v>
      </c>
      <c r="AP3135" s="175">
        <v>83</v>
      </c>
      <c r="AQ3135" s="175">
        <v>3</v>
      </c>
      <c r="AR3135" s="175">
        <v>8</v>
      </c>
      <c r="AS3135" s="175">
        <v>44</v>
      </c>
      <c r="AT3135" s="175">
        <v>17</v>
      </c>
    </row>
    <row r="3136" spans="1:46">
      <c r="A3136">
        <v>47954</v>
      </c>
      <c r="B3136" t="s">
        <v>17681</v>
      </c>
      <c r="C3136" t="s">
        <v>17682</v>
      </c>
      <c r="D3136" t="s">
        <v>17683</v>
      </c>
      <c r="E3136" t="s">
        <v>17684</v>
      </c>
      <c r="F3136" t="s">
        <v>11317</v>
      </c>
      <c r="G3136" t="s">
        <v>737</v>
      </c>
      <c r="H3136" t="s">
        <v>449</v>
      </c>
      <c r="J3136" t="s">
        <v>4032</v>
      </c>
      <c r="K3136" t="s">
        <v>606</v>
      </c>
      <c r="M3136" t="s">
        <v>607</v>
      </c>
      <c r="N3136" t="s">
        <v>657</v>
      </c>
      <c r="O3136" t="s">
        <v>997</v>
      </c>
      <c r="P3136" t="s">
        <v>739</v>
      </c>
      <c r="Q3136" t="s">
        <v>467</v>
      </c>
      <c r="R3136" t="s">
        <v>793</v>
      </c>
      <c r="S3136" t="s">
        <v>998</v>
      </c>
      <c r="T3136" t="s">
        <v>794</v>
      </c>
      <c r="U3136">
        <v>142001</v>
      </c>
      <c r="V3136" t="s">
        <v>13434</v>
      </c>
      <c r="W3136" t="s">
        <v>945</v>
      </c>
      <c r="X3136" t="s">
        <v>17685</v>
      </c>
      <c r="Y3136" t="s">
        <v>17686</v>
      </c>
      <c r="Z3136" t="s">
        <v>1080</v>
      </c>
      <c r="AA3136" t="s">
        <v>4138</v>
      </c>
      <c r="AB3136" t="s">
        <v>17682</v>
      </c>
      <c r="AE3136">
        <v>-36.909329999999997</v>
      </c>
      <c r="AF3136">
        <v>174.75729000000001</v>
      </c>
      <c r="AG3136" s="175">
        <v>110</v>
      </c>
      <c r="AH3136" s="175">
        <v>40</v>
      </c>
      <c r="AI3136" s="175">
        <v>2</v>
      </c>
      <c r="AJ3136" s="175">
        <v>26</v>
      </c>
      <c r="AK3136" s="175">
        <v>29</v>
      </c>
      <c r="AL3136" s="175">
        <v>30</v>
      </c>
      <c r="AM3136" s="175">
        <v>33</v>
      </c>
      <c r="AN3136" s="175">
        <v>0</v>
      </c>
      <c r="AO3136" s="175">
        <v>120</v>
      </c>
      <c r="AP3136" s="175">
        <v>46</v>
      </c>
      <c r="AQ3136" s="175">
        <v>14</v>
      </c>
      <c r="AR3136" s="175">
        <v>15</v>
      </c>
      <c r="AS3136" s="175">
        <v>76</v>
      </c>
      <c r="AT3136" s="175">
        <v>6</v>
      </c>
    </row>
    <row r="3137" spans="1:46">
      <c r="A3137">
        <v>47955</v>
      </c>
      <c r="B3137" t="s">
        <v>17687</v>
      </c>
      <c r="C3137" t="s">
        <v>17688</v>
      </c>
      <c r="D3137" t="s">
        <v>17689</v>
      </c>
      <c r="E3137" t="s">
        <v>17690</v>
      </c>
      <c r="F3137" t="s">
        <v>906</v>
      </c>
      <c r="G3137" t="s">
        <v>737</v>
      </c>
      <c r="H3137" t="s">
        <v>450</v>
      </c>
      <c r="J3137" t="s">
        <v>4032</v>
      </c>
      <c r="K3137" t="s">
        <v>606</v>
      </c>
      <c r="M3137" t="s">
        <v>607</v>
      </c>
      <c r="N3137" t="s">
        <v>657</v>
      </c>
      <c r="O3137" t="s">
        <v>889</v>
      </c>
      <c r="P3137" t="s">
        <v>739</v>
      </c>
      <c r="Q3137" t="s">
        <v>467</v>
      </c>
      <c r="R3137" t="s">
        <v>793</v>
      </c>
      <c r="S3137" t="s">
        <v>907</v>
      </c>
      <c r="T3137" t="s">
        <v>794</v>
      </c>
      <c r="U3137">
        <v>141600</v>
      </c>
      <c r="V3137" t="s">
        <v>17691</v>
      </c>
      <c r="W3137" t="s">
        <v>909</v>
      </c>
      <c r="X3137" t="s">
        <v>17692</v>
      </c>
      <c r="Y3137" t="s">
        <v>17690</v>
      </c>
      <c r="Z3137" t="s">
        <v>906</v>
      </c>
      <c r="AA3137" t="s">
        <v>4834</v>
      </c>
      <c r="AE3137">
        <v>-36.875296820000003</v>
      </c>
      <c r="AF3137">
        <v>174.80795006</v>
      </c>
      <c r="AG3137" s="175">
        <v>80</v>
      </c>
      <c r="AH3137" s="175">
        <v>80</v>
      </c>
      <c r="AI3137" s="175">
        <v>10</v>
      </c>
      <c r="AJ3137" s="175">
        <v>14</v>
      </c>
      <c r="AK3137" s="175">
        <v>10</v>
      </c>
      <c r="AL3137" s="175">
        <v>4</v>
      </c>
      <c r="AM3137" s="175">
        <v>5</v>
      </c>
      <c r="AN3137" s="175">
        <v>0</v>
      </c>
      <c r="AO3137" s="175">
        <v>43</v>
      </c>
      <c r="AP3137" s="175">
        <v>1</v>
      </c>
      <c r="AQ3137" s="175">
        <v>0</v>
      </c>
      <c r="AR3137" s="175">
        <v>0</v>
      </c>
      <c r="AS3137" s="175">
        <v>42</v>
      </c>
      <c r="AT3137" s="175">
        <v>0</v>
      </c>
    </row>
    <row r="3138" spans="1:46">
      <c r="A3138">
        <v>47956</v>
      </c>
      <c r="B3138" t="s">
        <v>17693</v>
      </c>
      <c r="C3138" t="s">
        <v>17694</v>
      </c>
      <c r="D3138" t="s">
        <v>17695</v>
      </c>
      <c r="E3138" t="s">
        <v>17696</v>
      </c>
      <c r="F3138" t="s">
        <v>2631</v>
      </c>
      <c r="G3138" t="s">
        <v>2368</v>
      </c>
      <c r="H3138" t="s">
        <v>449</v>
      </c>
      <c r="J3138" t="s">
        <v>4032</v>
      </c>
      <c r="K3138" t="s">
        <v>606</v>
      </c>
      <c r="M3138" t="s">
        <v>2366</v>
      </c>
      <c r="N3138" t="s">
        <v>657</v>
      </c>
      <c r="O3138" t="s">
        <v>2614</v>
      </c>
      <c r="P3138" t="s">
        <v>739</v>
      </c>
      <c r="Q3138" t="s">
        <v>516</v>
      </c>
      <c r="R3138" t="s">
        <v>2368</v>
      </c>
      <c r="S3138" t="s">
        <v>2631</v>
      </c>
      <c r="T3138" t="s">
        <v>2526</v>
      </c>
      <c r="U3138">
        <v>251400</v>
      </c>
      <c r="V3138" t="s">
        <v>2631</v>
      </c>
      <c r="W3138" t="s">
        <v>2651</v>
      </c>
      <c r="X3138" t="s">
        <v>17697</v>
      </c>
      <c r="Y3138" t="s">
        <v>17356</v>
      </c>
      <c r="Z3138" t="s">
        <v>1181</v>
      </c>
      <c r="AA3138" t="s">
        <v>4146</v>
      </c>
      <c r="AE3138">
        <v>-41.286713200000001</v>
      </c>
      <c r="AF3138">
        <v>174.7747464</v>
      </c>
      <c r="AG3138" s="175">
        <v>95</v>
      </c>
      <c r="AH3138" s="175">
        <v>20</v>
      </c>
      <c r="AI3138" s="175">
        <v>6</v>
      </c>
      <c r="AJ3138" s="175">
        <v>17</v>
      </c>
      <c r="AK3138" s="175">
        <v>27</v>
      </c>
      <c r="AL3138" s="175">
        <v>26</v>
      </c>
      <c r="AM3138" s="175">
        <v>23</v>
      </c>
      <c r="AN3138" s="175">
        <v>0</v>
      </c>
      <c r="AO3138" s="175">
        <v>99</v>
      </c>
      <c r="AP3138" s="175">
        <v>60</v>
      </c>
      <c r="AQ3138" s="175">
        <v>4</v>
      </c>
      <c r="AR3138" s="175">
        <v>2</v>
      </c>
      <c r="AS3138" s="175">
        <v>38</v>
      </c>
      <c r="AT3138" s="175">
        <v>11</v>
      </c>
    </row>
    <row r="3139" spans="1:46">
      <c r="A3139">
        <v>47957</v>
      </c>
      <c r="B3139" t="s">
        <v>17698</v>
      </c>
      <c r="C3139" t="s">
        <v>17699</v>
      </c>
      <c r="E3139" t="s">
        <v>17700</v>
      </c>
      <c r="F3139" t="s">
        <v>4123</v>
      </c>
      <c r="G3139" t="s">
        <v>737</v>
      </c>
      <c r="H3139" t="s">
        <v>449</v>
      </c>
      <c r="J3139" t="s">
        <v>4032</v>
      </c>
      <c r="K3139" t="s">
        <v>606</v>
      </c>
      <c r="M3139" t="s">
        <v>607</v>
      </c>
      <c r="N3139" t="s">
        <v>657</v>
      </c>
      <c r="O3139" t="s">
        <v>833</v>
      </c>
      <c r="P3139" t="s">
        <v>739</v>
      </c>
      <c r="Q3139" t="s">
        <v>467</v>
      </c>
      <c r="R3139" t="s">
        <v>724</v>
      </c>
      <c r="S3139" t="s">
        <v>767</v>
      </c>
      <c r="T3139" t="s">
        <v>613</v>
      </c>
      <c r="U3139">
        <v>123600</v>
      </c>
      <c r="V3139" t="s">
        <v>1281</v>
      </c>
      <c r="W3139" t="s">
        <v>826</v>
      </c>
      <c r="X3139" t="s">
        <v>5153</v>
      </c>
      <c r="Y3139" t="s">
        <v>17701</v>
      </c>
      <c r="Z3139" t="s">
        <v>4082</v>
      </c>
      <c r="AA3139" t="s">
        <v>4153</v>
      </c>
      <c r="AE3139">
        <v>-36.767035159999999</v>
      </c>
      <c r="AF3139">
        <v>174.75481762999999</v>
      </c>
      <c r="AG3139" s="175">
        <v>70</v>
      </c>
      <c r="AH3139" s="175">
        <v>20</v>
      </c>
      <c r="AI3139" s="175">
        <v>2</v>
      </c>
      <c r="AJ3139" s="175">
        <v>16</v>
      </c>
      <c r="AK3139" s="175">
        <v>19</v>
      </c>
      <c r="AL3139" s="175">
        <v>19</v>
      </c>
      <c r="AM3139" s="175">
        <v>15</v>
      </c>
      <c r="AN3139" s="175">
        <v>0</v>
      </c>
      <c r="AO3139" s="175">
        <v>71</v>
      </c>
      <c r="AP3139" s="175">
        <v>50</v>
      </c>
      <c r="AQ3139" s="175">
        <v>2</v>
      </c>
      <c r="AR3139" s="175">
        <v>4</v>
      </c>
      <c r="AS3139" s="175">
        <v>21</v>
      </c>
      <c r="AT3139" s="175">
        <v>3</v>
      </c>
    </row>
    <row r="3140" spans="1:46">
      <c r="A3140">
        <v>47958</v>
      </c>
      <c r="B3140" t="s">
        <v>17702</v>
      </c>
      <c r="C3140" t="s">
        <v>1308</v>
      </c>
      <c r="E3140" t="s">
        <v>17703</v>
      </c>
      <c r="F3140" t="s">
        <v>1319</v>
      </c>
      <c r="G3140" t="s">
        <v>737</v>
      </c>
      <c r="H3140" t="s">
        <v>452</v>
      </c>
      <c r="J3140" t="s">
        <v>605</v>
      </c>
      <c r="K3140" t="s">
        <v>606</v>
      </c>
      <c r="M3140" t="s">
        <v>607</v>
      </c>
      <c r="N3140" t="s">
        <v>657</v>
      </c>
      <c r="O3140" t="s">
        <v>1353</v>
      </c>
      <c r="P3140" t="s">
        <v>739</v>
      </c>
      <c r="Q3140" t="s">
        <v>467</v>
      </c>
      <c r="R3140" t="s">
        <v>814</v>
      </c>
      <c r="S3140" t="s">
        <v>1319</v>
      </c>
      <c r="T3140" t="s">
        <v>1320</v>
      </c>
      <c r="U3140">
        <v>163700</v>
      </c>
      <c r="V3140" t="s">
        <v>7661</v>
      </c>
      <c r="W3140" t="s">
        <v>1304</v>
      </c>
      <c r="X3140" t="s">
        <v>1305</v>
      </c>
      <c r="Y3140" t="s">
        <v>1306</v>
      </c>
      <c r="Z3140" t="s">
        <v>1302</v>
      </c>
      <c r="AA3140" t="s">
        <v>1307</v>
      </c>
      <c r="AB3140" t="s">
        <v>1308</v>
      </c>
      <c r="AE3140">
        <v>-37.084874999999997</v>
      </c>
      <c r="AF3140">
        <v>174.93866399999999</v>
      </c>
      <c r="AG3140" s="175">
        <v>50</v>
      </c>
      <c r="AH3140" s="175">
        <v>8</v>
      </c>
      <c r="AI3140" s="175">
        <v>1</v>
      </c>
      <c r="AJ3140" s="175">
        <v>7</v>
      </c>
      <c r="AK3140" s="175">
        <v>11</v>
      </c>
      <c r="AL3140" s="175">
        <v>18</v>
      </c>
      <c r="AM3140" s="175">
        <v>10</v>
      </c>
      <c r="AN3140" s="175">
        <v>1</v>
      </c>
      <c r="AO3140" s="175">
        <v>48</v>
      </c>
      <c r="AP3140" s="175">
        <v>24</v>
      </c>
      <c r="AQ3140" s="175">
        <v>12</v>
      </c>
      <c r="AR3140" s="175">
        <v>6</v>
      </c>
      <c r="AS3140" s="175">
        <v>17</v>
      </c>
      <c r="AT3140" s="175">
        <v>0</v>
      </c>
    </row>
    <row r="3141" spans="1:46">
      <c r="A3141">
        <v>47959</v>
      </c>
      <c r="B3141" t="s">
        <v>17704</v>
      </c>
      <c r="C3141" t="s">
        <v>17705</v>
      </c>
      <c r="E3141" t="s">
        <v>17706</v>
      </c>
      <c r="F3141" t="s">
        <v>897</v>
      </c>
      <c r="G3141" t="s">
        <v>737</v>
      </c>
      <c r="H3141" t="s">
        <v>449</v>
      </c>
      <c r="J3141" t="s">
        <v>4032</v>
      </c>
      <c r="K3141" t="s">
        <v>606</v>
      </c>
      <c r="M3141" t="s">
        <v>607</v>
      </c>
      <c r="N3141" t="s">
        <v>643</v>
      </c>
      <c r="O3141" t="s">
        <v>898</v>
      </c>
      <c r="P3141" t="s">
        <v>739</v>
      </c>
      <c r="Q3141" t="s">
        <v>467</v>
      </c>
      <c r="R3141" t="s">
        <v>724</v>
      </c>
      <c r="S3141" t="s">
        <v>824</v>
      </c>
      <c r="T3141" t="s">
        <v>613</v>
      </c>
      <c r="U3141">
        <v>121701</v>
      </c>
      <c r="V3141" t="s">
        <v>927</v>
      </c>
      <c r="W3141" t="s">
        <v>900</v>
      </c>
      <c r="X3141" t="s">
        <v>4385</v>
      </c>
      <c r="Y3141" t="s">
        <v>17707</v>
      </c>
      <c r="AA3141" t="s">
        <v>4604</v>
      </c>
      <c r="AB3141" t="s">
        <v>4388</v>
      </c>
      <c r="AE3141">
        <v>-36.841900000000003</v>
      </c>
      <c r="AF3141">
        <v>174.60159999999999</v>
      </c>
      <c r="AG3141" s="175">
        <v>50</v>
      </c>
      <c r="AH3141" s="175">
        <v>0</v>
      </c>
      <c r="AI3141" s="175">
        <v>0</v>
      </c>
      <c r="AJ3141" s="175">
        <v>0</v>
      </c>
      <c r="AK3141" s="175">
        <v>9</v>
      </c>
      <c r="AL3141" s="175">
        <v>15</v>
      </c>
      <c r="AM3141" s="175">
        <v>16</v>
      </c>
      <c r="AN3141" s="175">
        <v>1</v>
      </c>
      <c r="AO3141" s="175">
        <v>41</v>
      </c>
      <c r="AP3141" s="175">
        <v>13</v>
      </c>
      <c r="AQ3141" s="175">
        <v>12</v>
      </c>
      <c r="AR3141" s="175">
        <v>15</v>
      </c>
      <c r="AS3141" s="175">
        <v>13</v>
      </c>
      <c r="AT3141" s="175">
        <v>3</v>
      </c>
    </row>
    <row r="3142" spans="1:46">
      <c r="A3142">
        <v>47960</v>
      </c>
      <c r="B3142" t="s">
        <v>17708</v>
      </c>
      <c r="C3142" t="s">
        <v>17709</v>
      </c>
      <c r="E3142" t="s">
        <v>17710</v>
      </c>
      <c r="F3142" t="s">
        <v>9740</v>
      </c>
      <c r="G3142" t="s">
        <v>1381</v>
      </c>
      <c r="H3142" t="s">
        <v>449</v>
      </c>
      <c r="J3142" t="s">
        <v>4032</v>
      </c>
      <c r="K3142" t="s">
        <v>606</v>
      </c>
      <c r="M3142" t="s">
        <v>1382</v>
      </c>
      <c r="N3142" t="s">
        <v>657</v>
      </c>
      <c r="O3142" t="s">
        <v>1383</v>
      </c>
      <c r="P3142" t="s">
        <v>739</v>
      </c>
      <c r="Q3142" t="s">
        <v>510</v>
      </c>
      <c r="R3142" t="s">
        <v>1384</v>
      </c>
      <c r="S3142" t="s">
        <v>1385</v>
      </c>
      <c r="T3142" t="s">
        <v>1320</v>
      </c>
      <c r="U3142">
        <v>178600</v>
      </c>
      <c r="V3142" t="s">
        <v>9740</v>
      </c>
      <c r="W3142" t="s">
        <v>1387</v>
      </c>
      <c r="X3142" t="s">
        <v>17711</v>
      </c>
      <c r="Y3142" t="s">
        <v>17712</v>
      </c>
      <c r="AA3142" t="s">
        <v>17713</v>
      </c>
      <c r="AB3142" t="s">
        <v>17709</v>
      </c>
      <c r="AE3142">
        <v>-37.821232809999998</v>
      </c>
      <c r="AF3142">
        <v>175.22581319</v>
      </c>
      <c r="AG3142" s="175">
        <v>22</v>
      </c>
      <c r="AH3142" s="175">
        <v>5</v>
      </c>
      <c r="AI3142" s="175">
        <v>1</v>
      </c>
      <c r="AJ3142" s="175">
        <v>3</v>
      </c>
      <c r="AK3142" s="175">
        <v>8</v>
      </c>
      <c r="AL3142" s="175">
        <v>6</v>
      </c>
      <c r="AM3142" s="175">
        <v>6</v>
      </c>
      <c r="AN3142" s="175">
        <v>0</v>
      </c>
      <c r="AO3142" s="175">
        <v>24</v>
      </c>
      <c r="AP3142" s="175">
        <v>5</v>
      </c>
      <c r="AQ3142" s="175">
        <v>23</v>
      </c>
      <c r="AR3142" s="175">
        <v>12</v>
      </c>
      <c r="AS3142" s="175">
        <v>1</v>
      </c>
      <c r="AT3142" s="175">
        <v>1</v>
      </c>
    </row>
    <row r="3143" spans="1:46">
      <c r="A3143">
        <v>47961</v>
      </c>
      <c r="B3143" t="s">
        <v>17714</v>
      </c>
      <c r="C3143" t="s">
        <v>17715</v>
      </c>
      <c r="D3143" t="s">
        <v>17716</v>
      </c>
      <c r="E3143" t="s">
        <v>17717</v>
      </c>
      <c r="F3143" t="s">
        <v>10875</v>
      </c>
      <c r="G3143" t="s">
        <v>3015</v>
      </c>
      <c r="H3143" t="s">
        <v>449</v>
      </c>
      <c r="J3143" t="s">
        <v>605</v>
      </c>
      <c r="K3143" t="s">
        <v>606</v>
      </c>
      <c r="M3143" t="s">
        <v>2366</v>
      </c>
      <c r="N3143" t="s">
        <v>657</v>
      </c>
      <c r="O3143" t="s">
        <v>3016</v>
      </c>
      <c r="P3143" t="s">
        <v>739</v>
      </c>
      <c r="Q3143" t="s">
        <v>521</v>
      </c>
      <c r="R3143" t="s">
        <v>3017</v>
      </c>
      <c r="S3143" t="s">
        <v>3052</v>
      </c>
      <c r="T3143" t="s">
        <v>2526</v>
      </c>
      <c r="U3143">
        <v>330800</v>
      </c>
      <c r="V3143" t="s">
        <v>10875</v>
      </c>
      <c r="W3143" t="s">
        <v>3031</v>
      </c>
      <c r="X3143" t="s">
        <v>10864</v>
      </c>
      <c r="Y3143" t="s">
        <v>4014</v>
      </c>
      <c r="Z3143" t="s">
        <v>4015</v>
      </c>
      <c r="AA3143" t="s">
        <v>4016</v>
      </c>
      <c r="AE3143">
        <v>-43.562652999999997</v>
      </c>
      <c r="AF3143">
        <v>172.65721235999999</v>
      </c>
      <c r="AG3143" s="175">
        <v>110</v>
      </c>
      <c r="AH3143" s="175">
        <v>28</v>
      </c>
      <c r="AI3143" s="175">
        <v>7</v>
      </c>
      <c r="AJ3143" s="175">
        <v>26</v>
      </c>
      <c r="AK3143" s="175">
        <v>36</v>
      </c>
      <c r="AL3143" s="175">
        <v>34</v>
      </c>
      <c r="AM3143" s="175">
        <v>30</v>
      </c>
      <c r="AN3143" s="175">
        <v>0</v>
      </c>
      <c r="AO3143" s="175">
        <v>133</v>
      </c>
      <c r="AP3143" s="175">
        <v>102</v>
      </c>
      <c r="AQ3143" s="175">
        <v>22</v>
      </c>
      <c r="AR3143" s="175">
        <v>10</v>
      </c>
      <c r="AS3143" s="175">
        <v>21</v>
      </c>
      <c r="AT3143" s="175">
        <v>16</v>
      </c>
    </row>
    <row r="3144" spans="1:46">
      <c r="A3144">
        <v>47962</v>
      </c>
      <c r="B3144" t="s">
        <v>17718</v>
      </c>
      <c r="E3144" t="s">
        <v>17719</v>
      </c>
      <c r="F3144" t="s">
        <v>15328</v>
      </c>
      <c r="G3144" t="s">
        <v>737</v>
      </c>
      <c r="H3144" t="s">
        <v>449</v>
      </c>
      <c r="J3144" t="s">
        <v>4032</v>
      </c>
      <c r="K3144" t="s">
        <v>606</v>
      </c>
      <c r="M3144" t="s">
        <v>607</v>
      </c>
      <c r="N3144" t="s">
        <v>608</v>
      </c>
      <c r="O3144" t="s">
        <v>933</v>
      </c>
      <c r="P3144" t="s">
        <v>739</v>
      </c>
      <c r="Q3144" t="s">
        <v>467</v>
      </c>
      <c r="R3144" t="s">
        <v>814</v>
      </c>
      <c r="S3144" t="s">
        <v>934</v>
      </c>
      <c r="T3144" t="s">
        <v>794</v>
      </c>
      <c r="U3144">
        <v>151800</v>
      </c>
      <c r="V3144" t="s">
        <v>7485</v>
      </c>
      <c r="W3144" t="s">
        <v>817</v>
      </c>
      <c r="X3144" t="s">
        <v>14650</v>
      </c>
      <c r="Y3144" t="s">
        <v>14651</v>
      </c>
      <c r="Z3144" t="s">
        <v>5170</v>
      </c>
      <c r="AA3144" t="s">
        <v>4061</v>
      </c>
      <c r="AE3144">
        <v>-36.959886570000002</v>
      </c>
      <c r="AF3144">
        <v>174.82908889999999</v>
      </c>
      <c r="AG3144" s="175">
        <v>64</v>
      </c>
      <c r="AH3144" s="175">
        <v>15</v>
      </c>
      <c r="AI3144" s="175">
        <v>0</v>
      </c>
      <c r="AJ3144" s="175">
        <v>6</v>
      </c>
      <c r="AK3144" s="175">
        <v>8</v>
      </c>
      <c r="AL3144" s="175">
        <v>12</v>
      </c>
      <c r="AM3144" s="175">
        <v>14</v>
      </c>
      <c r="AN3144" s="175">
        <v>1</v>
      </c>
      <c r="AO3144" s="175">
        <v>41</v>
      </c>
      <c r="AP3144" s="175">
        <v>3</v>
      </c>
      <c r="AQ3144" s="175">
        <v>2</v>
      </c>
      <c r="AR3144" s="175">
        <v>26</v>
      </c>
      <c r="AS3144" s="175">
        <v>13</v>
      </c>
      <c r="AT3144" s="175">
        <v>0</v>
      </c>
    </row>
    <row r="3145" spans="1:46">
      <c r="A3145">
        <v>47964</v>
      </c>
      <c r="B3145" t="s">
        <v>17720</v>
      </c>
      <c r="C3145" t="s">
        <v>17721</v>
      </c>
      <c r="E3145" t="s">
        <v>17722</v>
      </c>
      <c r="G3145" t="s">
        <v>1921</v>
      </c>
      <c r="H3145" t="s">
        <v>449</v>
      </c>
      <c r="J3145" t="s">
        <v>4032</v>
      </c>
      <c r="K3145" t="s">
        <v>606</v>
      </c>
      <c r="M3145" t="s">
        <v>1382</v>
      </c>
      <c r="N3145" t="s">
        <v>643</v>
      </c>
      <c r="O3145" t="s">
        <v>1922</v>
      </c>
      <c r="P3145" t="s">
        <v>610</v>
      </c>
      <c r="Q3145" t="s">
        <v>514</v>
      </c>
      <c r="R3145" t="s">
        <v>1841</v>
      </c>
      <c r="S3145" t="s">
        <v>1923</v>
      </c>
      <c r="T3145" t="s">
        <v>1568</v>
      </c>
      <c r="U3145">
        <v>220301</v>
      </c>
      <c r="V3145" t="s">
        <v>1958</v>
      </c>
      <c r="W3145" t="s">
        <v>1925</v>
      </c>
      <c r="X3145" t="s">
        <v>17723</v>
      </c>
      <c r="Y3145" t="s">
        <v>17722</v>
      </c>
      <c r="AA3145" t="s">
        <v>17233</v>
      </c>
      <c r="AB3145" t="s">
        <v>17721</v>
      </c>
      <c r="AE3145">
        <v>-39.3413234</v>
      </c>
      <c r="AF3145">
        <v>174.28973901000001</v>
      </c>
      <c r="AG3145" s="175">
        <v>60</v>
      </c>
      <c r="AH3145" s="175">
        <v>20</v>
      </c>
      <c r="AI3145" s="175">
        <v>3</v>
      </c>
      <c r="AJ3145" s="175">
        <v>22</v>
      </c>
      <c r="AK3145" s="175">
        <v>7</v>
      </c>
      <c r="AL3145" s="175">
        <v>16</v>
      </c>
      <c r="AM3145" s="175">
        <v>17</v>
      </c>
      <c r="AN3145" s="175">
        <v>1</v>
      </c>
      <c r="AO3145" s="175">
        <v>66</v>
      </c>
      <c r="AP3145" s="175">
        <v>64</v>
      </c>
      <c r="AQ3145" s="175">
        <v>20</v>
      </c>
      <c r="AR3145" s="175">
        <v>0</v>
      </c>
      <c r="AS3145" s="175">
        <v>3</v>
      </c>
      <c r="AT3145" s="175">
        <v>1</v>
      </c>
    </row>
    <row r="3146" spans="1:46">
      <c r="A3146">
        <v>47965</v>
      </c>
      <c r="B3146" t="s">
        <v>17724</v>
      </c>
      <c r="C3146" t="s">
        <v>17725</v>
      </c>
      <c r="D3146" t="s">
        <v>17726</v>
      </c>
      <c r="E3146" t="s">
        <v>17727</v>
      </c>
      <c r="G3146" t="s">
        <v>1402</v>
      </c>
      <c r="H3146" t="s">
        <v>449</v>
      </c>
      <c r="J3146" t="s">
        <v>4032</v>
      </c>
      <c r="K3146" t="s">
        <v>606</v>
      </c>
      <c r="M3146" t="s">
        <v>1382</v>
      </c>
      <c r="N3146" t="s">
        <v>657</v>
      </c>
      <c r="O3146" t="s">
        <v>1403</v>
      </c>
      <c r="P3146" t="s">
        <v>1347</v>
      </c>
      <c r="Q3146" t="s">
        <v>510</v>
      </c>
      <c r="R3146" t="s">
        <v>1384</v>
      </c>
      <c r="S3146" t="s">
        <v>1404</v>
      </c>
      <c r="T3146" t="s">
        <v>1320</v>
      </c>
      <c r="U3146">
        <v>182700</v>
      </c>
      <c r="V3146" t="s">
        <v>8989</v>
      </c>
      <c r="W3146" t="s">
        <v>1406</v>
      </c>
      <c r="X3146" t="s">
        <v>17728</v>
      </c>
      <c r="Y3146" t="s">
        <v>17729</v>
      </c>
      <c r="AA3146" t="s">
        <v>8991</v>
      </c>
      <c r="AB3146" t="s">
        <v>17730</v>
      </c>
      <c r="AE3146">
        <v>-37.889820899999997</v>
      </c>
      <c r="AF3146">
        <v>175.45234361999999</v>
      </c>
      <c r="AG3146" s="175">
        <v>75</v>
      </c>
      <c r="AH3146" s="175">
        <v>22</v>
      </c>
      <c r="AI3146" s="175">
        <v>3</v>
      </c>
      <c r="AJ3146" s="175">
        <v>18</v>
      </c>
      <c r="AK3146" s="175">
        <v>15</v>
      </c>
      <c r="AL3146" s="175">
        <v>32</v>
      </c>
      <c r="AM3146" s="175">
        <v>23</v>
      </c>
      <c r="AN3146" s="175">
        <v>1</v>
      </c>
      <c r="AO3146" s="175">
        <v>92</v>
      </c>
      <c r="AP3146" s="175">
        <v>89</v>
      </c>
      <c r="AQ3146" s="175">
        <v>10</v>
      </c>
      <c r="AR3146" s="175">
        <v>7</v>
      </c>
      <c r="AS3146" s="175">
        <v>1</v>
      </c>
      <c r="AT3146" s="175">
        <v>0</v>
      </c>
    </row>
    <row r="3147" spans="1:46">
      <c r="A3147">
        <v>47967</v>
      </c>
      <c r="B3147" t="s">
        <v>17731</v>
      </c>
      <c r="E3147" t="s">
        <v>17732</v>
      </c>
      <c r="F3147" t="s">
        <v>983</v>
      </c>
      <c r="G3147" t="s">
        <v>737</v>
      </c>
      <c r="H3147" t="s">
        <v>449</v>
      </c>
      <c r="J3147" t="s">
        <v>4032</v>
      </c>
      <c r="K3147" t="s">
        <v>606</v>
      </c>
      <c r="M3147" t="s">
        <v>607</v>
      </c>
      <c r="N3147" t="s">
        <v>657</v>
      </c>
      <c r="O3147" t="s">
        <v>898</v>
      </c>
      <c r="P3147" t="s">
        <v>739</v>
      </c>
      <c r="Q3147" t="s">
        <v>467</v>
      </c>
      <c r="R3147" t="s">
        <v>724</v>
      </c>
      <c r="S3147" t="s">
        <v>984</v>
      </c>
      <c r="T3147" t="s">
        <v>613</v>
      </c>
      <c r="U3147">
        <v>126901</v>
      </c>
      <c r="V3147" t="s">
        <v>17733</v>
      </c>
      <c r="W3147" t="s">
        <v>900</v>
      </c>
      <c r="X3147" t="s">
        <v>17734</v>
      </c>
      <c r="Y3147" t="s">
        <v>17735</v>
      </c>
      <c r="Z3147" t="s">
        <v>983</v>
      </c>
      <c r="AA3147" t="s">
        <v>4034</v>
      </c>
      <c r="AE3147">
        <v>-36.886087809999999</v>
      </c>
      <c r="AF3147">
        <v>174.61564279999999</v>
      </c>
      <c r="AG3147" s="175">
        <v>30</v>
      </c>
      <c r="AH3147" s="175">
        <v>0</v>
      </c>
      <c r="AI3147" s="175">
        <v>0</v>
      </c>
      <c r="AJ3147" s="175">
        <v>0</v>
      </c>
      <c r="AK3147" s="175">
        <v>3</v>
      </c>
      <c r="AL3147" s="175">
        <v>9</v>
      </c>
      <c r="AM3147" s="175">
        <v>5</v>
      </c>
      <c r="AN3147" s="175">
        <v>1</v>
      </c>
      <c r="AO3147" s="175">
        <v>18</v>
      </c>
      <c r="AP3147" s="175">
        <v>4</v>
      </c>
      <c r="AQ3147" s="175">
        <v>1</v>
      </c>
      <c r="AR3147" s="175">
        <v>2</v>
      </c>
      <c r="AS3147" s="175">
        <v>14</v>
      </c>
      <c r="AT3147" s="175">
        <v>0</v>
      </c>
    </row>
    <row r="3148" spans="1:46">
      <c r="A3148">
        <v>47969</v>
      </c>
      <c r="B3148" t="s">
        <v>17736</v>
      </c>
      <c r="C3148" t="s">
        <v>17737</v>
      </c>
      <c r="E3148" t="s">
        <v>17738</v>
      </c>
      <c r="F3148" t="s">
        <v>2698</v>
      </c>
      <c r="G3148" t="s">
        <v>2368</v>
      </c>
      <c r="H3148" t="s">
        <v>449</v>
      </c>
      <c r="J3148" t="s">
        <v>4032</v>
      </c>
      <c r="K3148" t="s">
        <v>606</v>
      </c>
      <c r="M3148" t="s">
        <v>2366</v>
      </c>
      <c r="N3148" t="s">
        <v>657</v>
      </c>
      <c r="O3148" t="s">
        <v>2614</v>
      </c>
      <c r="P3148" t="s">
        <v>739</v>
      </c>
      <c r="Q3148" t="s">
        <v>516</v>
      </c>
      <c r="R3148" t="s">
        <v>2368</v>
      </c>
      <c r="S3148" t="s">
        <v>2623</v>
      </c>
      <c r="T3148" t="s">
        <v>2526</v>
      </c>
      <c r="U3148">
        <v>249300</v>
      </c>
      <c r="V3148" t="s">
        <v>17739</v>
      </c>
      <c r="W3148" t="s">
        <v>2639</v>
      </c>
      <c r="X3148" t="s">
        <v>14879</v>
      </c>
      <c r="Y3148" t="s">
        <v>12495</v>
      </c>
      <c r="Z3148" t="s">
        <v>2698</v>
      </c>
      <c r="AA3148" t="s">
        <v>12496</v>
      </c>
      <c r="AB3148" t="s">
        <v>14881</v>
      </c>
      <c r="AE3148">
        <v>-41.242141289999999</v>
      </c>
      <c r="AF3148">
        <v>174.79210409999999</v>
      </c>
      <c r="AG3148" s="175">
        <v>20</v>
      </c>
      <c r="AH3148" s="175">
        <v>0</v>
      </c>
      <c r="AI3148" s="175">
        <v>0</v>
      </c>
      <c r="AJ3148" s="175">
        <v>0</v>
      </c>
      <c r="AK3148" s="175">
        <v>0</v>
      </c>
      <c r="AL3148" s="175">
        <v>17</v>
      </c>
      <c r="AM3148" s="175">
        <v>9</v>
      </c>
      <c r="AN3148" s="175">
        <v>0</v>
      </c>
      <c r="AO3148" s="175">
        <v>26</v>
      </c>
      <c r="AP3148" s="175">
        <v>23</v>
      </c>
      <c r="AQ3148" s="175">
        <v>3</v>
      </c>
      <c r="AR3148" s="175">
        <v>1</v>
      </c>
      <c r="AS3148" s="175">
        <v>4</v>
      </c>
      <c r="AT3148" s="175">
        <v>0</v>
      </c>
    </row>
    <row r="3149" spans="1:46">
      <c r="A3149">
        <v>47970</v>
      </c>
      <c r="B3149" t="s">
        <v>17740</v>
      </c>
      <c r="C3149" t="s">
        <v>17741</v>
      </c>
      <c r="E3149" t="s">
        <v>17742</v>
      </c>
      <c r="F3149" t="s">
        <v>1424</v>
      </c>
      <c r="G3149" t="s">
        <v>1381</v>
      </c>
      <c r="H3149" t="s">
        <v>449</v>
      </c>
      <c r="J3149" t="s">
        <v>4032</v>
      </c>
      <c r="K3149" t="s">
        <v>606</v>
      </c>
      <c r="M3149" t="s">
        <v>1382</v>
      </c>
      <c r="N3149" t="s">
        <v>625</v>
      </c>
      <c r="O3149" t="s">
        <v>1383</v>
      </c>
      <c r="P3149" t="s">
        <v>739</v>
      </c>
      <c r="Q3149" t="s">
        <v>510</v>
      </c>
      <c r="R3149" t="s">
        <v>1384</v>
      </c>
      <c r="S3149" t="s">
        <v>1396</v>
      </c>
      <c r="T3149" t="s">
        <v>1320</v>
      </c>
      <c r="U3149">
        <v>177800</v>
      </c>
      <c r="V3149" t="s">
        <v>17743</v>
      </c>
      <c r="W3149" t="s">
        <v>1398</v>
      </c>
      <c r="X3149" t="s">
        <v>17744</v>
      </c>
      <c r="Y3149" t="s">
        <v>17745</v>
      </c>
      <c r="Z3149" t="s">
        <v>1114</v>
      </c>
      <c r="AA3149" t="s">
        <v>17746</v>
      </c>
      <c r="AE3149">
        <v>-37.763060000000003</v>
      </c>
      <c r="AF3149">
        <v>175.286</v>
      </c>
      <c r="AG3149" s="175">
        <v>91</v>
      </c>
      <c r="AH3149" s="175">
        <v>30</v>
      </c>
      <c r="AI3149" s="175">
        <v>11</v>
      </c>
      <c r="AJ3149" s="175">
        <v>18</v>
      </c>
      <c r="AK3149" s="175">
        <v>23</v>
      </c>
      <c r="AL3149" s="175">
        <v>24</v>
      </c>
      <c r="AM3149" s="175">
        <v>29</v>
      </c>
      <c r="AN3149" s="175">
        <v>1</v>
      </c>
      <c r="AO3149" s="175">
        <v>106</v>
      </c>
      <c r="AP3149" s="175">
        <v>40</v>
      </c>
      <c r="AQ3149" s="175">
        <v>54</v>
      </c>
      <c r="AR3149" s="175">
        <v>19</v>
      </c>
      <c r="AS3149" s="175">
        <v>21</v>
      </c>
      <c r="AT3149" s="175">
        <v>12</v>
      </c>
    </row>
    <row r="3150" spans="1:46">
      <c r="A3150">
        <v>47971</v>
      </c>
      <c r="B3150" t="s">
        <v>17747</v>
      </c>
      <c r="C3150" t="s">
        <v>17748</v>
      </c>
      <c r="E3150" t="s">
        <v>17749</v>
      </c>
      <c r="F3150" t="s">
        <v>3478</v>
      </c>
      <c r="G3150" t="s">
        <v>3454</v>
      </c>
      <c r="H3150" t="s">
        <v>301</v>
      </c>
      <c r="J3150" t="s">
        <v>605</v>
      </c>
      <c r="K3150" t="s">
        <v>606</v>
      </c>
      <c r="M3150" t="s">
        <v>2366</v>
      </c>
      <c r="N3150" t="s">
        <v>657</v>
      </c>
      <c r="O3150" t="s">
        <v>3455</v>
      </c>
      <c r="P3150" t="s">
        <v>739</v>
      </c>
      <c r="Q3150" t="s">
        <v>522</v>
      </c>
      <c r="R3150" t="s">
        <v>3410</v>
      </c>
      <c r="S3150" t="s">
        <v>3456</v>
      </c>
      <c r="T3150" t="s">
        <v>2526</v>
      </c>
      <c r="U3150">
        <v>354100</v>
      </c>
      <c r="V3150" t="s">
        <v>17750</v>
      </c>
      <c r="W3150" t="s">
        <v>1734</v>
      </c>
      <c r="X3150" t="s">
        <v>17751</v>
      </c>
      <c r="Y3150" t="s">
        <v>5253</v>
      </c>
      <c r="AA3150" t="s">
        <v>5254</v>
      </c>
      <c r="AB3150" t="s">
        <v>12818</v>
      </c>
      <c r="AE3150">
        <v>-45.898282999999999</v>
      </c>
      <c r="AF3150">
        <v>170.46731689999999</v>
      </c>
      <c r="AG3150" s="175">
        <v>25</v>
      </c>
      <c r="AH3150" s="175">
        <v>15</v>
      </c>
      <c r="AI3150" s="175">
        <v>21</v>
      </c>
      <c r="AJ3150" s="175">
        <v>1</v>
      </c>
      <c r="AK3150" s="175">
        <v>3</v>
      </c>
      <c r="AL3150" s="175">
        <v>2</v>
      </c>
      <c r="AM3150" s="175">
        <v>1</v>
      </c>
      <c r="AN3150" s="175">
        <v>1</v>
      </c>
      <c r="AO3150" s="175">
        <v>29</v>
      </c>
      <c r="AP3150" s="175">
        <v>28</v>
      </c>
      <c r="AQ3150" s="175">
        <v>5</v>
      </c>
      <c r="AR3150" s="175">
        <v>2</v>
      </c>
      <c r="AS3150" s="175">
        <v>2</v>
      </c>
      <c r="AT3150" s="175">
        <v>0</v>
      </c>
    </row>
    <row r="3151" spans="1:46">
      <c r="A3151">
        <v>47972</v>
      </c>
      <c r="B3151" t="s">
        <v>17752</v>
      </c>
      <c r="C3151" t="s">
        <v>17753</v>
      </c>
      <c r="D3151" t="s">
        <v>17754</v>
      </c>
      <c r="E3151" t="s">
        <v>17755</v>
      </c>
      <c r="F3151" t="s">
        <v>3014</v>
      </c>
      <c r="G3151" t="s">
        <v>3015</v>
      </c>
      <c r="H3151" t="s">
        <v>449</v>
      </c>
      <c r="J3151" t="s">
        <v>4032</v>
      </c>
      <c r="K3151" t="s">
        <v>606</v>
      </c>
      <c r="M3151" t="s">
        <v>2366</v>
      </c>
      <c r="N3151" t="s">
        <v>657</v>
      </c>
      <c r="O3151" t="s">
        <v>3016</v>
      </c>
      <c r="P3151" t="s">
        <v>739</v>
      </c>
      <c r="Q3151" t="s">
        <v>521</v>
      </c>
      <c r="R3151" t="s">
        <v>3017</v>
      </c>
      <c r="S3151" t="s">
        <v>3018</v>
      </c>
      <c r="T3151" t="s">
        <v>2526</v>
      </c>
      <c r="U3151">
        <v>319500</v>
      </c>
      <c r="V3151" t="s">
        <v>17756</v>
      </c>
      <c r="W3151" t="s">
        <v>3020</v>
      </c>
      <c r="X3151" t="s">
        <v>17757</v>
      </c>
      <c r="Y3151" t="s">
        <v>17758</v>
      </c>
      <c r="Z3151" t="s">
        <v>3154</v>
      </c>
      <c r="AA3151" t="s">
        <v>15140</v>
      </c>
      <c r="AB3151" t="s">
        <v>17759</v>
      </c>
      <c r="AE3151">
        <v>-43.51315872</v>
      </c>
      <c r="AF3151">
        <v>172.5616067</v>
      </c>
      <c r="AG3151" s="175">
        <v>50</v>
      </c>
      <c r="AH3151" s="175">
        <v>11</v>
      </c>
      <c r="AI3151" s="175">
        <v>2</v>
      </c>
      <c r="AJ3151" s="175">
        <v>8</v>
      </c>
      <c r="AK3151" s="175">
        <v>12</v>
      </c>
      <c r="AL3151" s="175">
        <v>12</v>
      </c>
      <c r="AM3151" s="175">
        <v>17</v>
      </c>
      <c r="AN3151" s="175">
        <v>1</v>
      </c>
      <c r="AO3151" s="175">
        <v>52</v>
      </c>
      <c r="AP3151" s="175">
        <v>22</v>
      </c>
      <c r="AQ3151" s="175">
        <v>4</v>
      </c>
      <c r="AR3151" s="175">
        <v>3</v>
      </c>
      <c r="AS3151" s="175">
        <v>28</v>
      </c>
      <c r="AT3151" s="175">
        <v>3</v>
      </c>
    </row>
    <row r="3152" spans="1:46">
      <c r="A3152">
        <v>47973</v>
      </c>
      <c r="B3152" t="s">
        <v>17760</v>
      </c>
      <c r="C3152" t="s">
        <v>17761</v>
      </c>
      <c r="E3152" t="s">
        <v>17762</v>
      </c>
      <c r="F3152" t="s">
        <v>1302</v>
      </c>
      <c r="G3152" t="s">
        <v>737</v>
      </c>
      <c r="H3152" t="s">
        <v>449</v>
      </c>
      <c r="J3152" t="s">
        <v>4032</v>
      </c>
      <c r="K3152" t="s">
        <v>606</v>
      </c>
      <c r="M3152" t="s">
        <v>607</v>
      </c>
      <c r="N3152" t="s">
        <v>608</v>
      </c>
      <c r="O3152" t="s">
        <v>1353</v>
      </c>
      <c r="P3152" t="s">
        <v>739</v>
      </c>
      <c r="Q3152" t="s">
        <v>467</v>
      </c>
      <c r="R3152" t="s">
        <v>814</v>
      </c>
      <c r="S3152" t="s">
        <v>1319</v>
      </c>
      <c r="T3152" t="s">
        <v>1320</v>
      </c>
      <c r="U3152">
        <v>162200</v>
      </c>
      <c r="V3152" t="s">
        <v>17763</v>
      </c>
      <c r="W3152" t="s">
        <v>1304</v>
      </c>
      <c r="X3152" t="s">
        <v>17451</v>
      </c>
      <c r="Y3152" t="s">
        <v>9179</v>
      </c>
      <c r="Z3152" t="s">
        <v>4194</v>
      </c>
      <c r="AA3152" t="s">
        <v>5237</v>
      </c>
      <c r="AB3152" t="s">
        <v>17452</v>
      </c>
      <c r="AE3152">
        <v>-37.049300000000002</v>
      </c>
      <c r="AF3152">
        <v>174.93129999999999</v>
      </c>
      <c r="AG3152" s="175">
        <v>100</v>
      </c>
      <c r="AH3152" s="175">
        <v>30</v>
      </c>
      <c r="AI3152" s="175">
        <v>4</v>
      </c>
      <c r="AJ3152" s="175">
        <v>13</v>
      </c>
      <c r="AK3152" s="175">
        <v>16</v>
      </c>
      <c r="AL3152" s="175">
        <v>29</v>
      </c>
      <c r="AM3152" s="175">
        <v>22</v>
      </c>
      <c r="AN3152" s="175">
        <v>4</v>
      </c>
      <c r="AO3152" s="175">
        <v>88</v>
      </c>
      <c r="AP3152" s="175">
        <v>0</v>
      </c>
      <c r="AQ3152" s="175">
        <v>1</v>
      </c>
      <c r="AR3152" s="175">
        <v>4</v>
      </c>
      <c r="AS3152" s="175">
        <v>83</v>
      </c>
      <c r="AT3152" s="175">
        <v>0</v>
      </c>
    </row>
    <row r="3153" spans="1:46">
      <c r="A3153">
        <v>47974</v>
      </c>
      <c r="B3153" t="s">
        <v>17764</v>
      </c>
      <c r="C3153" t="s">
        <v>17765</v>
      </c>
      <c r="D3153" t="s">
        <v>17766</v>
      </c>
      <c r="E3153" t="s">
        <v>17767</v>
      </c>
      <c r="F3153" t="s">
        <v>5170</v>
      </c>
      <c r="G3153" t="s">
        <v>737</v>
      </c>
      <c r="H3153" t="s">
        <v>450</v>
      </c>
      <c r="J3153" t="s">
        <v>4032</v>
      </c>
      <c r="K3153" t="s">
        <v>606</v>
      </c>
      <c r="M3153" t="s">
        <v>607</v>
      </c>
      <c r="N3153" t="s">
        <v>657</v>
      </c>
      <c r="O3153" t="s">
        <v>792</v>
      </c>
      <c r="P3153" t="s">
        <v>739</v>
      </c>
      <c r="Q3153" t="s">
        <v>467</v>
      </c>
      <c r="R3153" t="s">
        <v>814</v>
      </c>
      <c r="S3153" t="s">
        <v>863</v>
      </c>
      <c r="T3153" t="s">
        <v>794</v>
      </c>
      <c r="U3153">
        <v>156901</v>
      </c>
      <c r="V3153" t="s">
        <v>13244</v>
      </c>
      <c r="W3153" t="s">
        <v>796</v>
      </c>
      <c r="X3153" t="s">
        <v>17768</v>
      </c>
      <c r="Y3153" t="s">
        <v>17769</v>
      </c>
      <c r="Z3153" t="s">
        <v>5170</v>
      </c>
      <c r="AA3153" t="s">
        <v>4061</v>
      </c>
      <c r="AB3153" t="s">
        <v>17765</v>
      </c>
      <c r="AE3153">
        <v>-36.957702670000003</v>
      </c>
      <c r="AF3153">
        <v>174.91980862</v>
      </c>
      <c r="AG3153" s="175">
        <v>80</v>
      </c>
      <c r="AH3153" s="175">
        <v>80</v>
      </c>
      <c r="AI3153" s="175">
        <v>24</v>
      </c>
      <c r="AJ3153" s="175">
        <v>28</v>
      </c>
      <c r="AK3153" s="175">
        <v>29</v>
      </c>
      <c r="AL3153" s="175">
        <v>17</v>
      </c>
      <c r="AM3153" s="175">
        <v>22</v>
      </c>
      <c r="AN3153" s="175">
        <v>0</v>
      </c>
      <c r="AO3153" s="175">
        <v>120</v>
      </c>
      <c r="AP3153" s="175">
        <v>0</v>
      </c>
      <c r="AQ3153" s="175">
        <v>0</v>
      </c>
      <c r="AR3153" s="175">
        <v>0</v>
      </c>
      <c r="AS3153" s="175">
        <v>109</v>
      </c>
      <c r="AT3153" s="175">
        <v>11</v>
      </c>
    </row>
    <row r="3154" spans="1:46">
      <c r="A3154">
        <v>47975</v>
      </c>
      <c r="B3154" t="s">
        <v>16471</v>
      </c>
      <c r="C3154" t="s">
        <v>17770</v>
      </c>
      <c r="E3154" t="s">
        <v>17771</v>
      </c>
      <c r="G3154" t="s">
        <v>3569</v>
      </c>
      <c r="H3154" t="s">
        <v>449</v>
      </c>
      <c r="J3154" t="s">
        <v>4032</v>
      </c>
      <c r="K3154" t="s">
        <v>606</v>
      </c>
      <c r="M3154" t="s">
        <v>2366</v>
      </c>
      <c r="N3154" t="s">
        <v>657</v>
      </c>
      <c r="O3154" t="s">
        <v>3568</v>
      </c>
      <c r="P3154" t="s">
        <v>670</v>
      </c>
      <c r="Q3154" t="s">
        <v>523</v>
      </c>
      <c r="R3154" t="s">
        <v>3410</v>
      </c>
      <c r="S3154" t="s">
        <v>3569</v>
      </c>
      <c r="T3154" t="s">
        <v>2526</v>
      </c>
      <c r="U3154">
        <v>361701</v>
      </c>
      <c r="V3154" t="s">
        <v>3606</v>
      </c>
      <c r="W3154" t="s">
        <v>1734</v>
      </c>
      <c r="X3154" t="s">
        <v>16474</v>
      </c>
      <c r="Y3154" t="s">
        <v>17772</v>
      </c>
      <c r="AA3154" t="s">
        <v>11966</v>
      </c>
      <c r="AE3154">
        <v>-46.401535799999998</v>
      </c>
      <c r="AF3154">
        <v>168.39139370000001</v>
      </c>
      <c r="AG3154" s="175">
        <v>68</v>
      </c>
      <c r="AH3154" s="175">
        <v>23</v>
      </c>
      <c r="AI3154" s="175">
        <v>4</v>
      </c>
      <c r="AJ3154" s="175">
        <v>16</v>
      </c>
      <c r="AK3154" s="175">
        <v>22</v>
      </c>
      <c r="AL3154" s="175">
        <v>27</v>
      </c>
      <c r="AM3154" s="175">
        <v>17</v>
      </c>
      <c r="AN3154" s="175">
        <v>0</v>
      </c>
      <c r="AO3154" s="175">
        <v>86</v>
      </c>
      <c r="AP3154" s="175">
        <v>78</v>
      </c>
      <c r="AQ3154" s="175">
        <v>18</v>
      </c>
      <c r="AR3154" s="175">
        <v>1</v>
      </c>
      <c r="AS3154" s="175">
        <v>3</v>
      </c>
      <c r="AT3154" s="175">
        <v>1</v>
      </c>
    </row>
    <row r="3155" spans="1:46">
      <c r="A3155">
        <v>47976</v>
      </c>
      <c r="B3155" t="s">
        <v>17773</v>
      </c>
      <c r="C3155" t="s">
        <v>7208</v>
      </c>
      <c r="D3155" t="s">
        <v>6878</v>
      </c>
      <c r="E3155" t="s">
        <v>17774</v>
      </c>
      <c r="G3155" t="s">
        <v>737</v>
      </c>
      <c r="H3155" t="s">
        <v>301</v>
      </c>
      <c r="J3155" t="s">
        <v>605</v>
      </c>
      <c r="K3155" t="s">
        <v>606</v>
      </c>
      <c r="M3155" t="s">
        <v>607</v>
      </c>
      <c r="N3155" t="s">
        <v>643</v>
      </c>
      <c r="O3155" t="s">
        <v>1435</v>
      </c>
      <c r="P3155" t="s">
        <v>610</v>
      </c>
      <c r="Q3155" t="s">
        <v>510</v>
      </c>
      <c r="R3155" t="s">
        <v>814</v>
      </c>
      <c r="S3155" t="s">
        <v>1331</v>
      </c>
      <c r="T3155" t="s">
        <v>1320</v>
      </c>
      <c r="U3155">
        <v>170501</v>
      </c>
      <c r="V3155" t="s">
        <v>14615</v>
      </c>
      <c r="W3155" t="s">
        <v>3884</v>
      </c>
      <c r="X3155" t="s">
        <v>6881</v>
      </c>
      <c r="Y3155" t="s">
        <v>5253</v>
      </c>
      <c r="AA3155" t="s">
        <v>5254</v>
      </c>
      <c r="AE3155">
        <v>-37.243616770000003</v>
      </c>
      <c r="AF3155">
        <v>175.01465999999999</v>
      </c>
      <c r="AG3155" s="175">
        <v>30</v>
      </c>
      <c r="AH3155" s="175">
        <v>15</v>
      </c>
      <c r="AI3155" s="175">
        <v>7</v>
      </c>
      <c r="AJ3155" s="175">
        <v>4</v>
      </c>
      <c r="AK3155" s="175">
        <v>4</v>
      </c>
      <c r="AL3155" s="175">
        <v>0</v>
      </c>
      <c r="AM3155" s="175">
        <v>3</v>
      </c>
      <c r="AN3155" s="175">
        <v>1</v>
      </c>
      <c r="AO3155" s="175">
        <v>19</v>
      </c>
      <c r="AP3155" s="175">
        <v>17</v>
      </c>
      <c r="AQ3155" s="175">
        <v>5</v>
      </c>
      <c r="AR3155" s="175">
        <v>2</v>
      </c>
      <c r="AS3155" s="175">
        <v>3</v>
      </c>
      <c r="AT3155" s="175">
        <v>1</v>
      </c>
    </row>
    <row r="3156" spans="1:46">
      <c r="A3156">
        <v>47978</v>
      </c>
      <c r="B3156" t="s">
        <v>17775</v>
      </c>
      <c r="C3156" t="s">
        <v>17776</v>
      </c>
      <c r="D3156" t="s">
        <v>17777</v>
      </c>
      <c r="E3156" t="s">
        <v>17778</v>
      </c>
      <c r="G3156" t="s">
        <v>1580</v>
      </c>
      <c r="H3156" t="s">
        <v>449</v>
      </c>
      <c r="J3156" t="s">
        <v>4032</v>
      </c>
      <c r="K3156" t="s">
        <v>606</v>
      </c>
      <c r="M3156" t="s">
        <v>1382</v>
      </c>
      <c r="N3156" t="s">
        <v>643</v>
      </c>
      <c r="O3156" t="s">
        <v>1567</v>
      </c>
      <c r="P3156" t="s">
        <v>610</v>
      </c>
      <c r="Q3156" t="s">
        <v>510</v>
      </c>
      <c r="R3156" t="s">
        <v>1384</v>
      </c>
      <c r="S3156" t="s">
        <v>1404</v>
      </c>
      <c r="T3156" t="s">
        <v>1568</v>
      </c>
      <c r="U3156">
        <v>186000</v>
      </c>
      <c r="V3156" t="s">
        <v>1581</v>
      </c>
      <c r="W3156" t="s">
        <v>1582</v>
      </c>
      <c r="X3156" t="s">
        <v>17779</v>
      </c>
      <c r="Y3156" t="s">
        <v>17778</v>
      </c>
      <c r="AA3156" t="s">
        <v>15712</v>
      </c>
      <c r="AE3156">
        <v>-38.059146699999999</v>
      </c>
      <c r="AF3156">
        <v>175.77842140000001</v>
      </c>
      <c r="AG3156" s="175">
        <v>29</v>
      </c>
      <c r="AH3156" s="175">
        <v>5</v>
      </c>
      <c r="AI3156" s="175">
        <v>0</v>
      </c>
      <c r="AJ3156" s="175">
        <v>0</v>
      </c>
      <c r="AK3156" s="175">
        <v>4</v>
      </c>
      <c r="AL3156" s="175">
        <v>5</v>
      </c>
      <c r="AM3156" s="175">
        <v>10</v>
      </c>
      <c r="AN3156" s="175">
        <v>1</v>
      </c>
      <c r="AO3156" s="175">
        <v>20</v>
      </c>
      <c r="AP3156" s="175">
        <v>16</v>
      </c>
      <c r="AQ3156" s="175">
        <v>8</v>
      </c>
      <c r="AR3156" s="175">
        <v>1</v>
      </c>
      <c r="AS3156" s="175">
        <v>2</v>
      </c>
      <c r="AT3156" s="175">
        <v>0</v>
      </c>
    </row>
    <row r="3157" spans="1:46">
      <c r="A3157">
        <v>47979</v>
      </c>
      <c r="B3157" t="s">
        <v>17780</v>
      </c>
      <c r="C3157" t="s">
        <v>17781</v>
      </c>
      <c r="E3157" t="s">
        <v>17782</v>
      </c>
      <c r="F3157" t="s">
        <v>5170</v>
      </c>
      <c r="G3157" t="s">
        <v>737</v>
      </c>
      <c r="H3157" t="s">
        <v>449</v>
      </c>
      <c r="J3157" t="s">
        <v>4032</v>
      </c>
      <c r="K3157" t="s">
        <v>606</v>
      </c>
      <c r="M3157" t="s">
        <v>607</v>
      </c>
      <c r="N3157" t="s">
        <v>657</v>
      </c>
      <c r="O3157" t="s">
        <v>792</v>
      </c>
      <c r="P3157" t="s">
        <v>739</v>
      </c>
      <c r="Q3157" t="s">
        <v>467</v>
      </c>
      <c r="R3157" t="s">
        <v>814</v>
      </c>
      <c r="S3157" t="s">
        <v>863</v>
      </c>
      <c r="T3157" t="s">
        <v>794</v>
      </c>
      <c r="U3157">
        <v>156901</v>
      </c>
      <c r="V3157" t="s">
        <v>13244</v>
      </c>
      <c r="W3157" t="s">
        <v>796</v>
      </c>
      <c r="X3157" t="s">
        <v>17783</v>
      </c>
      <c r="Y3157" t="s">
        <v>17784</v>
      </c>
      <c r="Z3157" t="s">
        <v>5170</v>
      </c>
      <c r="AA3157" t="s">
        <v>4061</v>
      </c>
      <c r="AB3157" t="s">
        <v>17781</v>
      </c>
      <c r="AE3157">
        <v>-36.952650609999999</v>
      </c>
      <c r="AF3157">
        <v>174.9169531</v>
      </c>
      <c r="AG3157" s="175">
        <v>10</v>
      </c>
      <c r="AH3157" s="175">
        <v>5</v>
      </c>
      <c r="AI3157" s="175">
        <v>0</v>
      </c>
      <c r="AJ3157" s="175">
        <v>2</v>
      </c>
      <c r="AK3157" s="175">
        <v>6</v>
      </c>
      <c r="AL3157" s="175">
        <v>3</v>
      </c>
      <c r="AM3157" s="175">
        <v>5</v>
      </c>
      <c r="AN3157" s="175">
        <v>0</v>
      </c>
      <c r="AO3157" s="175">
        <v>16</v>
      </c>
      <c r="AP3157" s="175">
        <v>1</v>
      </c>
      <c r="AQ3157" s="175">
        <v>0</v>
      </c>
      <c r="AR3157" s="175">
        <v>0</v>
      </c>
      <c r="AS3157" s="175">
        <v>5</v>
      </c>
      <c r="AT3157" s="175">
        <v>12</v>
      </c>
    </row>
    <row r="3158" spans="1:46">
      <c r="A3158">
        <v>47981</v>
      </c>
      <c r="B3158" t="s">
        <v>17785</v>
      </c>
      <c r="C3158" t="s">
        <v>17786</v>
      </c>
      <c r="E3158" t="s">
        <v>17787</v>
      </c>
      <c r="F3158" t="s">
        <v>1199</v>
      </c>
      <c r="G3158" t="s">
        <v>737</v>
      </c>
      <c r="H3158" t="s">
        <v>450</v>
      </c>
      <c r="J3158" t="s">
        <v>4032</v>
      </c>
      <c r="K3158" t="s">
        <v>606</v>
      </c>
      <c r="M3158" t="s">
        <v>607</v>
      </c>
      <c r="N3158" t="s">
        <v>657</v>
      </c>
      <c r="O3158" t="s">
        <v>898</v>
      </c>
      <c r="P3158" t="s">
        <v>739</v>
      </c>
      <c r="Q3158" t="s">
        <v>467</v>
      </c>
      <c r="R3158" t="s">
        <v>724</v>
      </c>
      <c r="S3158" t="s">
        <v>984</v>
      </c>
      <c r="T3158" t="s">
        <v>613</v>
      </c>
      <c r="U3158">
        <v>124200</v>
      </c>
      <c r="V3158" t="s">
        <v>17788</v>
      </c>
      <c r="W3158" t="s">
        <v>900</v>
      </c>
      <c r="X3158" t="s">
        <v>17789</v>
      </c>
      <c r="Y3158" t="s">
        <v>17790</v>
      </c>
      <c r="Z3158" t="s">
        <v>1199</v>
      </c>
      <c r="AA3158" t="s">
        <v>4034</v>
      </c>
      <c r="AB3158" t="s">
        <v>17786</v>
      </c>
      <c r="AE3158">
        <v>-36.874699999999997</v>
      </c>
      <c r="AF3158">
        <v>174.59540000000001</v>
      </c>
      <c r="AG3158" s="175">
        <v>80</v>
      </c>
      <c r="AH3158" s="175">
        <v>80</v>
      </c>
      <c r="AI3158" s="175">
        <v>7</v>
      </c>
      <c r="AJ3158" s="175">
        <v>5</v>
      </c>
      <c r="AK3158" s="175">
        <v>12</v>
      </c>
      <c r="AL3158" s="175">
        <v>21</v>
      </c>
      <c r="AM3158" s="175">
        <v>15</v>
      </c>
      <c r="AN3158" s="175">
        <v>0</v>
      </c>
      <c r="AO3158" s="175">
        <v>60</v>
      </c>
      <c r="AP3158" s="175">
        <v>24</v>
      </c>
      <c r="AQ3158" s="175">
        <v>7</v>
      </c>
      <c r="AR3158" s="175">
        <v>2</v>
      </c>
      <c r="AS3158" s="175">
        <v>42</v>
      </c>
      <c r="AT3158" s="175">
        <v>3</v>
      </c>
    </row>
    <row r="3159" spans="1:46">
      <c r="A3159">
        <v>47982</v>
      </c>
      <c r="B3159" t="s">
        <v>17791</v>
      </c>
      <c r="C3159" t="s">
        <v>17792</v>
      </c>
      <c r="E3159" t="s">
        <v>17793</v>
      </c>
      <c r="G3159" t="s">
        <v>12902</v>
      </c>
      <c r="H3159" t="s">
        <v>449</v>
      </c>
      <c r="J3159" t="s">
        <v>4032</v>
      </c>
      <c r="K3159" t="s">
        <v>606</v>
      </c>
      <c r="M3159" t="s">
        <v>2366</v>
      </c>
      <c r="N3159" t="s">
        <v>657</v>
      </c>
      <c r="O3159" t="s">
        <v>3037</v>
      </c>
      <c r="P3159" t="s">
        <v>610</v>
      </c>
      <c r="Q3159" t="s">
        <v>521</v>
      </c>
      <c r="R3159" t="s">
        <v>3017</v>
      </c>
      <c r="S3159" t="s">
        <v>3038</v>
      </c>
      <c r="T3159" t="s">
        <v>2526</v>
      </c>
      <c r="U3159">
        <v>314702</v>
      </c>
      <c r="V3159" t="s">
        <v>17794</v>
      </c>
      <c r="W3159" t="s">
        <v>3262</v>
      </c>
      <c r="X3159" t="s">
        <v>14273</v>
      </c>
      <c r="Y3159" t="s">
        <v>17793</v>
      </c>
      <c r="AA3159" t="s">
        <v>17795</v>
      </c>
      <c r="AB3159" t="s">
        <v>14275</v>
      </c>
      <c r="AE3159">
        <v>-43.307186899999998</v>
      </c>
      <c r="AF3159">
        <v>172.6693022</v>
      </c>
      <c r="AG3159" s="175">
        <v>95</v>
      </c>
      <c r="AH3159" s="175">
        <v>20</v>
      </c>
      <c r="AI3159" s="175">
        <v>3</v>
      </c>
      <c r="AJ3159" s="175">
        <v>13</v>
      </c>
      <c r="AK3159" s="175">
        <v>24</v>
      </c>
      <c r="AL3159" s="175">
        <v>26</v>
      </c>
      <c r="AM3159" s="175">
        <v>25</v>
      </c>
      <c r="AN3159" s="175">
        <v>1</v>
      </c>
      <c r="AO3159" s="175">
        <v>92</v>
      </c>
      <c r="AP3159" s="175">
        <v>73</v>
      </c>
      <c r="AQ3159" s="175">
        <v>6</v>
      </c>
      <c r="AR3159" s="175">
        <v>2</v>
      </c>
      <c r="AS3159" s="175">
        <v>20</v>
      </c>
      <c r="AT3159" s="175">
        <v>0</v>
      </c>
    </row>
    <row r="3160" spans="1:46">
      <c r="A3160">
        <v>47983</v>
      </c>
      <c r="B3160" t="s">
        <v>17796</v>
      </c>
      <c r="C3160" t="s">
        <v>17797</v>
      </c>
      <c r="E3160" t="s">
        <v>6645</v>
      </c>
      <c r="G3160" t="s">
        <v>4256</v>
      </c>
      <c r="H3160" t="s">
        <v>449</v>
      </c>
      <c r="J3160" t="s">
        <v>4032</v>
      </c>
      <c r="K3160" t="s">
        <v>606</v>
      </c>
      <c r="M3160" t="s">
        <v>607</v>
      </c>
      <c r="N3160" t="s">
        <v>657</v>
      </c>
      <c r="O3160" t="s">
        <v>723</v>
      </c>
      <c r="P3160" t="s">
        <v>610</v>
      </c>
      <c r="Q3160" t="s">
        <v>467</v>
      </c>
      <c r="R3160" t="s">
        <v>724</v>
      </c>
      <c r="S3160" t="s">
        <v>725</v>
      </c>
      <c r="T3160" t="s">
        <v>613</v>
      </c>
      <c r="U3160">
        <v>112401</v>
      </c>
      <c r="V3160" t="s">
        <v>4256</v>
      </c>
      <c r="W3160" t="s">
        <v>726</v>
      </c>
      <c r="X3160" t="s">
        <v>17798</v>
      </c>
      <c r="Y3160" t="s">
        <v>17799</v>
      </c>
      <c r="Z3160" t="s">
        <v>4256</v>
      </c>
      <c r="AA3160" t="s">
        <v>4604</v>
      </c>
      <c r="AB3160" t="s">
        <v>17797</v>
      </c>
      <c r="AE3160">
        <v>-36.674815170000002</v>
      </c>
      <c r="AF3160">
        <v>174.45142182000001</v>
      </c>
      <c r="AG3160" s="175">
        <v>35</v>
      </c>
      <c r="AH3160" s="175">
        <v>15</v>
      </c>
      <c r="AI3160" s="175">
        <v>2</v>
      </c>
      <c r="AJ3160" s="175">
        <v>8</v>
      </c>
      <c r="AK3160" s="175">
        <v>13</v>
      </c>
      <c r="AL3160" s="175">
        <v>3</v>
      </c>
      <c r="AM3160" s="175">
        <v>7</v>
      </c>
      <c r="AN3160" s="175">
        <v>1</v>
      </c>
      <c r="AO3160" s="175">
        <v>34</v>
      </c>
      <c r="AP3160" s="175">
        <v>31</v>
      </c>
      <c r="AQ3160" s="175">
        <v>5</v>
      </c>
      <c r="AR3160" s="175">
        <v>0</v>
      </c>
      <c r="AS3160" s="175">
        <v>2</v>
      </c>
      <c r="AT3160" s="175">
        <v>0</v>
      </c>
    </row>
    <row r="3161" spans="1:46">
      <c r="A3161">
        <v>47985</v>
      </c>
      <c r="B3161" t="s">
        <v>17800</v>
      </c>
      <c r="C3161" t="s">
        <v>17801</v>
      </c>
      <c r="D3161" t="s">
        <v>17802</v>
      </c>
      <c r="E3161" t="s">
        <v>17803</v>
      </c>
      <c r="F3161" t="s">
        <v>957</v>
      </c>
      <c r="G3161" t="s">
        <v>737</v>
      </c>
      <c r="H3161" t="s">
        <v>449</v>
      </c>
      <c r="J3161" t="s">
        <v>4032</v>
      </c>
      <c r="K3161" t="s">
        <v>606</v>
      </c>
      <c r="M3161" t="s">
        <v>607</v>
      </c>
      <c r="N3161" t="s">
        <v>657</v>
      </c>
      <c r="O3161" t="s">
        <v>958</v>
      </c>
      <c r="P3161" t="s">
        <v>739</v>
      </c>
      <c r="Q3161" t="s">
        <v>467</v>
      </c>
      <c r="R3161" t="s">
        <v>724</v>
      </c>
      <c r="S3161" t="s">
        <v>804</v>
      </c>
      <c r="T3161" t="s">
        <v>794</v>
      </c>
      <c r="U3161">
        <v>130901</v>
      </c>
      <c r="V3161" t="s">
        <v>1210</v>
      </c>
      <c r="W3161" t="s">
        <v>900</v>
      </c>
      <c r="X3161" t="s">
        <v>13387</v>
      </c>
      <c r="Y3161" t="s">
        <v>13388</v>
      </c>
      <c r="Z3161" t="s">
        <v>5170</v>
      </c>
      <c r="AA3161" t="s">
        <v>4061</v>
      </c>
      <c r="AB3161" t="s">
        <v>13389</v>
      </c>
      <c r="AE3161">
        <v>-36.919769539999997</v>
      </c>
      <c r="AF3161">
        <v>174.64698809999999</v>
      </c>
      <c r="AG3161" s="175">
        <v>42</v>
      </c>
      <c r="AH3161" s="175">
        <v>15</v>
      </c>
      <c r="AI3161" s="175">
        <v>1</v>
      </c>
      <c r="AJ3161" s="175">
        <v>12</v>
      </c>
      <c r="AK3161" s="175">
        <v>10</v>
      </c>
      <c r="AL3161" s="175">
        <v>6</v>
      </c>
      <c r="AM3161" s="175">
        <v>5</v>
      </c>
      <c r="AN3161" s="175">
        <v>0</v>
      </c>
      <c r="AO3161" s="175">
        <v>34</v>
      </c>
      <c r="AP3161" s="175">
        <v>16</v>
      </c>
      <c r="AQ3161" s="175">
        <v>4</v>
      </c>
      <c r="AR3161" s="175">
        <v>2</v>
      </c>
      <c r="AS3161" s="175">
        <v>15</v>
      </c>
      <c r="AT3161" s="175">
        <v>6</v>
      </c>
    </row>
    <row r="3162" spans="1:46">
      <c r="A3162">
        <v>47987</v>
      </c>
      <c r="B3162" t="s">
        <v>17804</v>
      </c>
      <c r="C3162" t="s">
        <v>17805</v>
      </c>
      <c r="E3162" t="s">
        <v>17806</v>
      </c>
      <c r="F3162" t="s">
        <v>4057</v>
      </c>
      <c r="G3162" t="s">
        <v>737</v>
      </c>
      <c r="H3162" t="s">
        <v>449</v>
      </c>
      <c r="J3162" t="s">
        <v>4032</v>
      </c>
      <c r="K3162" t="s">
        <v>606</v>
      </c>
      <c r="M3162" t="s">
        <v>607</v>
      </c>
      <c r="N3162" t="s">
        <v>657</v>
      </c>
      <c r="O3162" t="s">
        <v>1318</v>
      </c>
      <c r="P3162" t="s">
        <v>1347</v>
      </c>
      <c r="Q3162" t="s">
        <v>467</v>
      </c>
      <c r="R3162" t="s">
        <v>814</v>
      </c>
      <c r="S3162" t="s">
        <v>1331</v>
      </c>
      <c r="T3162" t="s">
        <v>1320</v>
      </c>
      <c r="U3162">
        <v>165901</v>
      </c>
      <c r="V3162" t="s">
        <v>4242</v>
      </c>
      <c r="W3162" t="s">
        <v>1322</v>
      </c>
      <c r="X3162" t="s">
        <v>17807</v>
      </c>
      <c r="Y3162" t="s">
        <v>17808</v>
      </c>
      <c r="AA3162" t="s">
        <v>5330</v>
      </c>
      <c r="AE3162">
        <v>-37.214399999999998</v>
      </c>
      <c r="AF3162">
        <v>174.88890000000001</v>
      </c>
      <c r="AG3162" s="175">
        <v>80</v>
      </c>
      <c r="AH3162" s="175">
        <v>25</v>
      </c>
      <c r="AI3162" s="175">
        <v>4</v>
      </c>
      <c r="AJ3162" s="175">
        <v>14</v>
      </c>
      <c r="AK3162" s="175">
        <v>19</v>
      </c>
      <c r="AL3162" s="175">
        <v>13</v>
      </c>
      <c r="AM3162" s="175">
        <v>10</v>
      </c>
      <c r="AN3162" s="175">
        <v>0</v>
      </c>
      <c r="AO3162" s="175">
        <v>60</v>
      </c>
      <c r="AP3162" s="175">
        <v>45</v>
      </c>
      <c r="AQ3162" s="175">
        <v>14</v>
      </c>
      <c r="AR3162" s="175">
        <v>7</v>
      </c>
      <c r="AS3162" s="175">
        <v>8</v>
      </c>
      <c r="AT3162" s="175">
        <v>6</v>
      </c>
    </row>
    <row r="3163" spans="1:46">
      <c r="A3163">
        <v>47990</v>
      </c>
      <c r="B3163" t="s">
        <v>17809</v>
      </c>
      <c r="C3163" t="s">
        <v>17810</v>
      </c>
      <c r="E3163" t="s">
        <v>17811</v>
      </c>
      <c r="G3163" t="s">
        <v>4576</v>
      </c>
      <c r="H3163" t="s">
        <v>449</v>
      </c>
      <c r="J3163" t="s">
        <v>605</v>
      </c>
      <c r="K3163" t="s">
        <v>606</v>
      </c>
      <c r="M3163" t="s">
        <v>607</v>
      </c>
      <c r="N3163" t="s">
        <v>657</v>
      </c>
      <c r="O3163" t="s">
        <v>738</v>
      </c>
      <c r="P3163" t="s">
        <v>670</v>
      </c>
      <c r="Q3163" t="s">
        <v>467</v>
      </c>
      <c r="R3163" t="s">
        <v>724</v>
      </c>
      <c r="S3163" t="s">
        <v>753</v>
      </c>
      <c r="T3163" t="s">
        <v>613</v>
      </c>
      <c r="U3163">
        <v>113800</v>
      </c>
      <c r="V3163" t="s">
        <v>7285</v>
      </c>
      <c r="W3163" t="s">
        <v>742</v>
      </c>
      <c r="X3163" t="s">
        <v>4013</v>
      </c>
      <c r="Y3163" t="s">
        <v>4014</v>
      </c>
      <c r="Z3163" t="s">
        <v>4015</v>
      </c>
      <c r="AA3163" t="s">
        <v>4016</v>
      </c>
      <c r="AB3163" t="s">
        <v>4017</v>
      </c>
      <c r="AE3163">
        <v>-36.623570000000001</v>
      </c>
      <c r="AF3163">
        <v>174.66792000000001</v>
      </c>
      <c r="AG3163" s="175">
        <v>125</v>
      </c>
      <c r="AH3163" s="175">
        <v>25</v>
      </c>
      <c r="AI3163" s="175">
        <v>3</v>
      </c>
      <c r="AJ3163" s="175">
        <v>7</v>
      </c>
      <c r="AK3163" s="175">
        <v>26</v>
      </c>
      <c r="AL3163" s="175">
        <v>31</v>
      </c>
      <c r="AM3163" s="175">
        <v>28</v>
      </c>
      <c r="AN3163" s="175">
        <v>2</v>
      </c>
      <c r="AO3163" s="175">
        <v>97</v>
      </c>
      <c r="AP3163" s="175">
        <v>61</v>
      </c>
      <c r="AQ3163" s="175">
        <v>7</v>
      </c>
      <c r="AR3163" s="175">
        <v>2</v>
      </c>
      <c r="AS3163" s="175">
        <v>28</v>
      </c>
      <c r="AT3163" s="175">
        <v>16</v>
      </c>
    </row>
    <row r="3164" spans="1:46">
      <c r="A3164">
        <v>47992</v>
      </c>
      <c r="B3164" t="s">
        <v>17812</v>
      </c>
      <c r="C3164" t="s">
        <v>17813</v>
      </c>
      <c r="D3164" t="s">
        <v>17814</v>
      </c>
      <c r="E3164" t="s">
        <v>17815</v>
      </c>
      <c r="F3164" t="s">
        <v>957</v>
      </c>
      <c r="G3164" t="s">
        <v>737</v>
      </c>
      <c r="H3164" t="s">
        <v>449</v>
      </c>
      <c r="J3164" t="s">
        <v>4032</v>
      </c>
      <c r="K3164" t="s">
        <v>606</v>
      </c>
      <c r="M3164" t="s">
        <v>607</v>
      </c>
      <c r="N3164" t="s">
        <v>643</v>
      </c>
      <c r="O3164" t="s">
        <v>803</v>
      </c>
      <c r="P3164" t="s">
        <v>739</v>
      </c>
      <c r="Q3164" t="s">
        <v>467</v>
      </c>
      <c r="R3164" t="s">
        <v>724</v>
      </c>
      <c r="S3164" t="s">
        <v>804</v>
      </c>
      <c r="T3164" t="s">
        <v>794</v>
      </c>
      <c r="U3164">
        <v>131000</v>
      </c>
      <c r="V3164" t="s">
        <v>4183</v>
      </c>
      <c r="W3164" t="s">
        <v>806</v>
      </c>
      <c r="X3164" t="s">
        <v>17816</v>
      </c>
      <c r="Y3164" t="s">
        <v>17817</v>
      </c>
      <c r="Z3164" t="s">
        <v>957</v>
      </c>
      <c r="AA3164" t="s">
        <v>5051</v>
      </c>
      <c r="AB3164" t="s">
        <v>17818</v>
      </c>
      <c r="AE3164">
        <v>-36.906286700000003</v>
      </c>
      <c r="AF3164">
        <v>174.66205004</v>
      </c>
      <c r="AG3164" s="175">
        <v>120</v>
      </c>
      <c r="AH3164" s="175">
        <v>20</v>
      </c>
      <c r="AI3164" s="175">
        <v>7</v>
      </c>
      <c r="AJ3164" s="175">
        <v>15</v>
      </c>
      <c r="AK3164" s="175">
        <v>31</v>
      </c>
      <c r="AL3164" s="175">
        <v>28</v>
      </c>
      <c r="AM3164" s="175">
        <v>32</v>
      </c>
      <c r="AN3164" s="175">
        <v>3</v>
      </c>
      <c r="AO3164" s="175">
        <v>116</v>
      </c>
      <c r="AP3164" s="175">
        <v>32</v>
      </c>
      <c r="AQ3164" s="175">
        <v>22</v>
      </c>
      <c r="AR3164" s="175">
        <v>33</v>
      </c>
      <c r="AS3164" s="175">
        <v>54</v>
      </c>
      <c r="AT3164" s="175">
        <v>11</v>
      </c>
    </row>
    <row r="3165" spans="1:46">
      <c r="A3165">
        <v>47993</v>
      </c>
      <c r="B3165" t="s">
        <v>17819</v>
      </c>
      <c r="C3165" t="s">
        <v>17820</v>
      </c>
      <c r="E3165" t="s">
        <v>17821</v>
      </c>
      <c r="F3165" t="s">
        <v>5832</v>
      </c>
      <c r="G3165" t="s">
        <v>737</v>
      </c>
      <c r="H3165" t="s">
        <v>449</v>
      </c>
      <c r="J3165" t="s">
        <v>605</v>
      </c>
      <c r="K3165" t="s">
        <v>606</v>
      </c>
      <c r="M3165" t="s">
        <v>607</v>
      </c>
      <c r="N3165" t="s">
        <v>657</v>
      </c>
      <c r="O3165" t="s">
        <v>823</v>
      </c>
      <c r="P3165" t="s">
        <v>739</v>
      </c>
      <c r="Q3165" t="s">
        <v>467</v>
      </c>
      <c r="R3165" t="s">
        <v>724</v>
      </c>
      <c r="S3165" t="s">
        <v>841</v>
      </c>
      <c r="T3165" t="s">
        <v>613</v>
      </c>
      <c r="U3165">
        <v>122802</v>
      </c>
      <c r="V3165" t="s">
        <v>5833</v>
      </c>
      <c r="W3165" t="s">
        <v>826</v>
      </c>
      <c r="X3165" t="s">
        <v>4013</v>
      </c>
      <c r="Y3165" t="s">
        <v>4014</v>
      </c>
      <c r="Z3165" t="s">
        <v>4015</v>
      </c>
      <c r="AA3165" t="s">
        <v>4016</v>
      </c>
      <c r="AB3165" t="s">
        <v>4017</v>
      </c>
      <c r="AE3165">
        <v>-36.798290000000001</v>
      </c>
      <c r="AF3165">
        <v>174.70523</v>
      </c>
      <c r="AG3165" s="175">
        <v>100</v>
      </c>
      <c r="AH3165" s="175">
        <v>24</v>
      </c>
      <c r="AI3165" s="175">
        <v>2</v>
      </c>
      <c r="AJ3165" s="175">
        <v>19</v>
      </c>
      <c r="AK3165" s="175">
        <v>19</v>
      </c>
      <c r="AL3165" s="175">
        <v>25</v>
      </c>
      <c r="AM3165" s="175">
        <v>21</v>
      </c>
      <c r="AN3165" s="175">
        <v>0</v>
      </c>
      <c r="AO3165" s="175">
        <v>86</v>
      </c>
      <c r="AP3165" s="175">
        <v>46</v>
      </c>
      <c r="AQ3165" s="175">
        <v>7</v>
      </c>
      <c r="AR3165" s="175">
        <v>3</v>
      </c>
      <c r="AS3165" s="175">
        <v>33</v>
      </c>
      <c r="AT3165" s="175">
        <v>15</v>
      </c>
    </row>
    <row r="3166" spans="1:46">
      <c r="A3166">
        <v>47994</v>
      </c>
      <c r="B3166" t="s">
        <v>17822</v>
      </c>
      <c r="C3166" t="s">
        <v>17383</v>
      </c>
      <c r="E3166" t="s">
        <v>17823</v>
      </c>
      <c r="F3166" t="s">
        <v>811</v>
      </c>
      <c r="G3166" t="s">
        <v>737</v>
      </c>
      <c r="H3166" t="s">
        <v>449</v>
      </c>
      <c r="J3166" t="s">
        <v>4032</v>
      </c>
      <c r="K3166" t="s">
        <v>606</v>
      </c>
      <c r="M3166" t="s">
        <v>607</v>
      </c>
      <c r="N3166" t="s">
        <v>812</v>
      </c>
      <c r="O3166" t="s">
        <v>813</v>
      </c>
      <c r="P3166" t="s">
        <v>739</v>
      </c>
      <c r="Q3166" t="s">
        <v>467</v>
      </c>
      <c r="R3166" t="s">
        <v>814</v>
      </c>
      <c r="S3166" t="s">
        <v>815</v>
      </c>
      <c r="T3166" t="s">
        <v>794</v>
      </c>
      <c r="U3166">
        <v>154400</v>
      </c>
      <c r="V3166" t="s">
        <v>7416</v>
      </c>
      <c r="W3166" t="s">
        <v>817</v>
      </c>
      <c r="X3166" t="s">
        <v>17824</v>
      </c>
      <c r="Y3166" t="s">
        <v>7682</v>
      </c>
      <c r="Z3166" t="s">
        <v>4015</v>
      </c>
      <c r="AA3166" t="s">
        <v>4652</v>
      </c>
      <c r="AE3166">
        <v>-36.96224745</v>
      </c>
      <c r="AF3166">
        <v>174.87660216</v>
      </c>
      <c r="AG3166" s="175">
        <v>80</v>
      </c>
      <c r="AH3166" s="175">
        <v>20</v>
      </c>
      <c r="AI3166" s="175">
        <v>0</v>
      </c>
      <c r="AJ3166" s="175">
        <v>3</v>
      </c>
      <c r="AK3166" s="175">
        <v>12</v>
      </c>
      <c r="AL3166" s="175">
        <v>15</v>
      </c>
      <c r="AM3166" s="175">
        <v>10</v>
      </c>
      <c r="AN3166" s="175">
        <v>3</v>
      </c>
      <c r="AO3166" s="175">
        <v>43</v>
      </c>
      <c r="AP3166" s="175">
        <v>1</v>
      </c>
      <c r="AQ3166" s="175">
        <v>10</v>
      </c>
      <c r="AR3166" s="175">
        <v>36</v>
      </c>
      <c r="AS3166" s="175">
        <v>3</v>
      </c>
      <c r="AT3166" s="175">
        <v>1</v>
      </c>
    </row>
    <row r="3167" spans="1:46">
      <c r="A3167">
        <v>47995</v>
      </c>
      <c r="B3167" t="s">
        <v>17825</v>
      </c>
      <c r="D3167" t="s">
        <v>17826</v>
      </c>
      <c r="E3167" t="s">
        <v>17827</v>
      </c>
      <c r="G3167" t="s">
        <v>3036</v>
      </c>
      <c r="H3167" t="s">
        <v>449</v>
      </c>
      <c r="I3167" t="s">
        <v>4134</v>
      </c>
      <c r="J3167" t="s">
        <v>4032</v>
      </c>
      <c r="K3167" t="s">
        <v>606</v>
      </c>
      <c r="M3167" t="s">
        <v>2366</v>
      </c>
      <c r="N3167" t="s">
        <v>657</v>
      </c>
      <c r="O3167" t="s">
        <v>3037</v>
      </c>
      <c r="P3167" t="s">
        <v>1347</v>
      </c>
      <c r="Q3167" t="s">
        <v>521</v>
      </c>
      <c r="R3167" t="s">
        <v>3017</v>
      </c>
      <c r="S3167" t="s">
        <v>3038</v>
      </c>
      <c r="T3167" t="s">
        <v>2526</v>
      </c>
      <c r="U3167">
        <v>313900</v>
      </c>
      <c r="V3167" t="s">
        <v>15538</v>
      </c>
      <c r="W3167" t="s">
        <v>3040</v>
      </c>
      <c r="X3167" t="s">
        <v>11480</v>
      </c>
      <c r="Y3167" t="s">
        <v>11481</v>
      </c>
      <c r="Z3167" t="s">
        <v>3092</v>
      </c>
      <c r="AA3167" t="s">
        <v>11482</v>
      </c>
      <c r="AB3167" t="s">
        <v>11483</v>
      </c>
      <c r="AE3167">
        <v>-43.306219540000001</v>
      </c>
      <c r="AF3167">
        <v>172.5720608</v>
      </c>
      <c r="AG3167" s="175">
        <v>120</v>
      </c>
      <c r="AH3167" s="175">
        <v>24</v>
      </c>
      <c r="AI3167" s="175">
        <v>2</v>
      </c>
      <c r="AJ3167" s="175">
        <v>26</v>
      </c>
      <c r="AK3167" s="175">
        <v>27</v>
      </c>
      <c r="AL3167" s="175">
        <v>50</v>
      </c>
      <c r="AM3167" s="175">
        <v>29</v>
      </c>
      <c r="AN3167" s="175">
        <v>0</v>
      </c>
      <c r="AO3167" s="175">
        <v>134</v>
      </c>
      <c r="AP3167" s="175">
        <v>118</v>
      </c>
      <c r="AQ3167" s="175">
        <v>23</v>
      </c>
      <c r="AR3167" s="175">
        <v>8</v>
      </c>
      <c r="AS3167" s="175">
        <v>13</v>
      </c>
      <c r="AT3167" s="175">
        <v>4</v>
      </c>
    </row>
    <row r="3168" spans="1:46">
      <c r="A3168">
        <v>47996</v>
      </c>
      <c r="B3168" t="s">
        <v>17828</v>
      </c>
      <c r="C3168" t="s">
        <v>17829</v>
      </c>
      <c r="E3168" t="s">
        <v>17830</v>
      </c>
      <c r="F3168" t="s">
        <v>1151</v>
      </c>
      <c r="G3168" t="s">
        <v>737</v>
      </c>
      <c r="H3168" t="s">
        <v>449</v>
      </c>
      <c r="J3168" t="s">
        <v>4032</v>
      </c>
      <c r="K3168" t="s">
        <v>606</v>
      </c>
      <c r="M3168" t="s">
        <v>607</v>
      </c>
      <c r="N3168" t="s">
        <v>657</v>
      </c>
      <c r="O3168" t="s">
        <v>958</v>
      </c>
      <c r="P3168" t="s">
        <v>658</v>
      </c>
      <c r="Q3168" t="s">
        <v>467</v>
      </c>
      <c r="R3168" t="s">
        <v>724</v>
      </c>
      <c r="S3168" t="s">
        <v>855</v>
      </c>
      <c r="T3168" t="s">
        <v>794</v>
      </c>
      <c r="U3168">
        <v>130000</v>
      </c>
      <c r="V3168" t="s">
        <v>1151</v>
      </c>
      <c r="W3168" t="s">
        <v>900</v>
      </c>
      <c r="X3168" t="s">
        <v>17831</v>
      </c>
      <c r="Y3168" t="s">
        <v>17830</v>
      </c>
      <c r="Z3168" t="s">
        <v>1151</v>
      </c>
      <c r="AA3168" t="s">
        <v>4387</v>
      </c>
      <c r="AB3168" t="s">
        <v>17832</v>
      </c>
      <c r="AE3168">
        <v>-36.916379999999997</v>
      </c>
      <c r="AF3168">
        <v>174.61565999999999</v>
      </c>
      <c r="AG3168" s="175">
        <v>50</v>
      </c>
      <c r="AH3168" s="175">
        <v>0</v>
      </c>
      <c r="AI3168" s="175">
        <v>0</v>
      </c>
      <c r="AJ3168" s="175">
        <v>0</v>
      </c>
      <c r="AK3168" s="175">
        <v>3</v>
      </c>
      <c r="AL3168" s="175">
        <v>16</v>
      </c>
      <c r="AM3168" s="175">
        <v>19</v>
      </c>
      <c r="AN3168" s="175">
        <v>0</v>
      </c>
      <c r="AO3168" s="175">
        <v>38</v>
      </c>
      <c r="AP3168" s="175">
        <v>37</v>
      </c>
      <c r="AQ3168" s="175">
        <v>4</v>
      </c>
      <c r="AR3168" s="175">
        <v>4</v>
      </c>
      <c r="AS3168" s="175">
        <v>5</v>
      </c>
      <c r="AT3168" s="175">
        <v>1</v>
      </c>
    </row>
    <row r="3169" spans="1:46">
      <c r="A3169">
        <v>47997</v>
      </c>
      <c r="B3169" t="s">
        <v>17833</v>
      </c>
      <c r="C3169" t="s">
        <v>17834</v>
      </c>
      <c r="E3169" t="s">
        <v>17835</v>
      </c>
      <c r="F3169" t="s">
        <v>3030</v>
      </c>
      <c r="G3169" t="s">
        <v>3015</v>
      </c>
      <c r="H3169" t="s">
        <v>449</v>
      </c>
      <c r="I3169" t="s">
        <v>4134</v>
      </c>
      <c r="J3169" t="s">
        <v>4032</v>
      </c>
      <c r="K3169" t="s">
        <v>606</v>
      </c>
      <c r="M3169" t="s">
        <v>2366</v>
      </c>
      <c r="N3169" t="s">
        <v>657</v>
      </c>
      <c r="O3169" t="s">
        <v>3016</v>
      </c>
      <c r="P3169" t="s">
        <v>739</v>
      </c>
      <c r="Q3169" t="s">
        <v>521</v>
      </c>
      <c r="R3169" t="s">
        <v>3017</v>
      </c>
      <c r="S3169" t="s">
        <v>3030</v>
      </c>
      <c r="T3169" t="s">
        <v>2526</v>
      </c>
      <c r="U3169">
        <v>325800</v>
      </c>
      <c r="V3169" t="s">
        <v>17836</v>
      </c>
      <c r="W3169" t="s">
        <v>2521</v>
      </c>
      <c r="X3169" t="s">
        <v>15611</v>
      </c>
      <c r="Y3169" t="s">
        <v>17835</v>
      </c>
      <c r="Z3169" t="s">
        <v>3030</v>
      </c>
      <c r="AA3169" t="s">
        <v>15140</v>
      </c>
      <c r="AB3169" t="s">
        <v>15608</v>
      </c>
      <c r="AE3169">
        <v>-43.521658389999999</v>
      </c>
      <c r="AF3169">
        <v>172.64739614000001</v>
      </c>
      <c r="AG3169" s="175">
        <v>80</v>
      </c>
      <c r="AH3169" s="175">
        <v>16</v>
      </c>
      <c r="AI3169" s="175">
        <v>2</v>
      </c>
      <c r="AJ3169" s="175">
        <v>10</v>
      </c>
      <c r="AK3169" s="175">
        <v>15</v>
      </c>
      <c r="AL3169" s="175">
        <v>25</v>
      </c>
      <c r="AM3169" s="175">
        <v>22</v>
      </c>
      <c r="AN3169" s="175">
        <v>2</v>
      </c>
      <c r="AO3169" s="175">
        <v>76</v>
      </c>
      <c r="AP3169" s="175">
        <v>14</v>
      </c>
      <c r="AQ3169" s="175">
        <v>1</v>
      </c>
      <c r="AR3169" s="175">
        <v>3</v>
      </c>
      <c r="AS3169" s="175">
        <v>71</v>
      </c>
      <c r="AT3169" s="175">
        <v>1</v>
      </c>
    </row>
    <row r="3170" spans="1:46">
      <c r="A3170">
        <v>47998</v>
      </c>
      <c r="B3170" t="s">
        <v>17837</v>
      </c>
      <c r="C3170" t="s">
        <v>17838</v>
      </c>
      <c r="D3170" t="s">
        <v>17839</v>
      </c>
      <c r="E3170" t="s">
        <v>17840</v>
      </c>
      <c r="G3170" t="s">
        <v>7850</v>
      </c>
      <c r="H3170" t="s">
        <v>449</v>
      </c>
      <c r="J3170" t="s">
        <v>4032</v>
      </c>
      <c r="K3170" t="s">
        <v>606</v>
      </c>
      <c r="M3170" t="s">
        <v>607</v>
      </c>
      <c r="N3170" t="s">
        <v>657</v>
      </c>
      <c r="O3170" t="s">
        <v>1318</v>
      </c>
      <c r="P3170" t="s">
        <v>610</v>
      </c>
      <c r="Q3170" t="s">
        <v>467</v>
      </c>
      <c r="R3170" t="s">
        <v>814</v>
      </c>
      <c r="S3170" t="s">
        <v>1331</v>
      </c>
      <c r="T3170" t="s">
        <v>1320</v>
      </c>
      <c r="U3170">
        <v>163801</v>
      </c>
      <c r="V3170" t="s">
        <v>7851</v>
      </c>
      <c r="W3170" t="s">
        <v>1322</v>
      </c>
      <c r="X3170" t="s">
        <v>17841</v>
      </c>
      <c r="Y3170" t="s">
        <v>17842</v>
      </c>
      <c r="AA3170" t="s">
        <v>11095</v>
      </c>
      <c r="AB3170" t="s">
        <v>17843</v>
      </c>
      <c r="AE3170">
        <v>-37.184413929999998</v>
      </c>
      <c r="AF3170">
        <v>174.82243961</v>
      </c>
      <c r="AG3170" s="175">
        <v>60</v>
      </c>
      <c r="AH3170" s="175">
        <v>15</v>
      </c>
      <c r="AI3170" s="175">
        <v>4</v>
      </c>
      <c r="AJ3170" s="175">
        <v>12</v>
      </c>
      <c r="AK3170" s="175">
        <v>20</v>
      </c>
      <c r="AL3170" s="175">
        <v>16</v>
      </c>
      <c r="AM3170" s="175">
        <v>20</v>
      </c>
      <c r="AN3170" s="175">
        <v>0</v>
      </c>
      <c r="AO3170" s="175">
        <v>72</v>
      </c>
      <c r="AP3170" s="175">
        <v>61</v>
      </c>
      <c r="AQ3170" s="175">
        <v>13</v>
      </c>
      <c r="AR3170" s="175">
        <v>2</v>
      </c>
      <c r="AS3170" s="175">
        <v>7</v>
      </c>
      <c r="AT3170" s="175">
        <v>0</v>
      </c>
    </row>
    <row r="3171" spans="1:46">
      <c r="A3171">
        <v>47999</v>
      </c>
      <c r="B3171" t="s">
        <v>17844</v>
      </c>
      <c r="C3171" t="s">
        <v>17845</v>
      </c>
      <c r="E3171" t="s">
        <v>17846</v>
      </c>
      <c r="F3171" t="s">
        <v>5170</v>
      </c>
      <c r="G3171" t="s">
        <v>737</v>
      </c>
      <c r="H3171" t="s">
        <v>449</v>
      </c>
      <c r="J3171" t="s">
        <v>605</v>
      </c>
      <c r="K3171" t="s">
        <v>606</v>
      </c>
      <c r="M3171" t="s">
        <v>607</v>
      </c>
      <c r="N3171" t="s">
        <v>657</v>
      </c>
      <c r="O3171" t="s">
        <v>792</v>
      </c>
      <c r="P3171" t="s">
        <v>739</v>
      </c>
      <c r="Q3171" t="s">
        <v>467</v>
      </c>
      <c r="R3171" t="s">
        <v>814</v>
      </c>
      <c r="S3171" t="s">
        <v>1302</v>
      </c>
      <c r="T3171" t="s">
        <v>794</v>
      </c>
      <c r="U3171">
        <v>158602</v>
      </c>
      <c r="V3171" t="s">
        <v>17847</v>
      </c>
      <c r="W3171" t="s">
        <v>796</v>
      </c>
      <c r="X3171" t="s">
        <v>4013</v>
      </c>
      <c r="Y3171" t="s">
        <v>4014</v>
      </c>
      <c r="Z3171" t="s">
        <v>4015</v>
      </c>
      <c r="AA3171" t="s">
        <v>4016</v>
      </c>
      <c r="AB3171" t="s">
        <v>4017</v>
      </c>
      <c r="AE3171">
        <v>-36.978799690000002</v>
      </c>
      <c r="AF3171">
        <v>174.93726486</v>
      </c>
      <c r="AG3171" s="175">
        <v>80</v>
      </c>
      <c r="AH3171" s="175">
        <v>18</v>
      </c>
      <c r="AI3171" s="175">
        <v>1</v>
      </c>
      <c r="AJ3171" s="175">
        <v>13</v>
      </c>
      <c r="AK3171" s="175">
        <v>29</v>
      </c>
      <c r="AL3171" s="175">
        <v>25</v>
      </c>
      <c r="AM3171" s="175">
        <v>30</v>
      </c>
      <c r="AN3171" s="175">
        <v>1</v>
      </c>
      <c r="AO3171" s="175">
        <v>99</v>
      </c>
      <c r="AP3171" s="175">
        <v>4</v>
      </c>
      <c r="AQ3171" s="175">
        <v>2</v>
      </c>
      <c r="AR3171" s="175">
        <v>8</v>
      </c>
      <c r="AS3171" s="175">
        <v>86</v>
      </c>
      <c r="AT3171" s="175">
        <v>8</v>
      </c>
    </row>
    <row r="3172" spans="1:46">
      <c r="A3172">
        <v>48001</v>
      </c>
      <c r="B3172" t="s">
        <v>17848</v>
      </c>
      <c r="C3172" t="s">
        <v>17849</v>
      </c>
      <c r="D3172" t="s">
        <v>17850</v>
      </c>
      <c r="E3172" t="s">
        <v>17851</v>
      </c>
      <c r="F3172" t="s">
        <v>5084</v>
      </c>
      <c r="G3172" t="s">
        <v>737</v>
      </c>
      <c r="H3172" t="s">
        <v>449</v>
      </c>
      <c r="J3172" t="s">
        <v>4032</v>
      </c>
      <c r="K3172" t="s">
        <v>606</v>
      </c>
      <c r="M3172" t="s">
        <v>607</v>
      </c>
      <c r="N3172" t="s">
        <v>657</v>
      </c>
      <c r="O3172" t="s">
        <v>1318</v>
      </c>
      <c r="P3172" t="s">
        <v>658</v>
      </c>
      <c r="Q3172" t="s">
        <v>467</v>
      </c>
      <c r="R3172" t="s">
        <v>814</v>
      </c>
      <c r="S3172" t="s">
        <v>1319</v>
      </c>
      <c r="T3172" t="s">
        <v>1320</v>
      </c>
      <c r="U3172">
        <v>161400</v>
      </c>
      <c r="V3172" t="s">
        <v>7829</v>
      </c>
      <c r="W3172" t="s">
        <v>1322</v>
      </c>
      <c r="X3172" t="s">
        <v>17852</v>
      </c>
      <c r="Y3172" t="s">
        <v>17853</v>
      </c>
      <c r="Z3172" t="s">
        <v>1319</v>
      </c>
      <c r="AA3172" t="s">
        <v>17854</v>
      </c>
      <c r="AB3172" t="s">
        <v>17855</v>
      </c>
      <c r="AE3172">
        <v>-37.122220589999998</v>
      </c>
      <c r="AF3172">
        <v>174.89896802000001</v>
      </c>
      <c r="AG3172" s="175">
        <v>98</v>
      </c>
      <c r="AH3172" s="175">
        <v>21</v>
      </c>
      <c r="AI3172" s="175">
        <v>5</v>
      </c>
      <c r="AJ3172" s="175">
        <v>22</v>
      </c>
      <c r="AK3172" s="175">
        <v>26</v>
      </c>
      <c r="AL3172" s="175">
        <v>30</v>
      </c>
      <c r="AM3172" s="175">
        <v>24</v>
      </c>
      <c r="AN3172" s="175">
        <v>2</v>
      </c>
      <c r="AO3172" s="175">
        <v>109</v>
      </c>
      <c r="AP3172" s="175">
        <v>101</v>
      </c>
      <c r="AQ3172" s="175">
        <v>18</v>
      </c>
      <c r="AR3172" s="175">
        <v>8</v>
      </c>
      <c r="AS3172" s="175">
        <v>9</v>
      </c>
      <c r="AT3172" s="175">
        <v>4</v>
      </c>
    </row>
    <row r="3173" spans="1:46">
      <c r="A3173">
        <v>48002</v>
      </c>
      <c r="B3173" t="s">
        <v>17856</v>
      </c>
      <c r="C3173" t="s">
        <v>17857</v>
      </c>
      <c r="E3173" t="s">
        <v>17858</v>
      </c>
      <c r="F3173" t="s">
        <v>1199</v>
      </c>
      <c r="G3173" t="s">
        <v>737</v>
      </c>
      <c r="H3173" t="s">
        <v>449</v>
      </c>
      <c r="J3173" t="s">
        <v>4032</v>
      </c>
      <c r="K3173" t="s">
        <v>606</v>
      </c>
      <c r="M3173" t="s">
        <v>607</v>
      </c>
      <c r="N3173" t="s">
        <v>643</v>
      </c>
      <c r="O3173" t="s">
        <v>898</v>
      </c>
      <c r="P3173" t="s">
        <v>739</v>
      </c>
      <c r="Q3173" t="s">
        <v>467</v>
      </c>
      <c r="R3173" t="s">
        <v>724</v>
      </c>
      <c r="S3173" t="s">
        <v>984</v>
      </c>
      <c r="T3173" t="s">
        <v>613</v>
      </c>
      <c r="U3173">
        <v>123800</v>
      </c>
      <c r="V3173" t="s">
        <v>1200</v>
      </c>
      <c r="W3173" t="s">
        <v>900</v>
      </c>
      <c r="X3173" t="s">
        <v>17859</v>
      </c>
      <c r="Y3173" t="s">
        <v>17860</v>
      </c>
      <c r="Z3173" t="s">
        <v>1199</v>
      </c>
      <c r="AA3173" t="s">
        <v>4034</v>
      </c>
      <c r="AB3173" t="s">
        <v>17857</v>
      </c>
      <c r="AE3173">
        <v>-36.86436389</v>
      </c>
      <c r="AF3173">
        <v>174.59423491999999</v>
      </c>
      <c r="AG3173" s="175">
        <v>65</v>
      </c>
      <c r="AH3173" s="175">
        <v>15</v>
      </c>
      <c r="AI3173" s="175">
        <v>3</v>
      </c>
      <c r="AJ3173" s="175">
        <v>7</v>
      </c>
      <c r="AK3173" s="175">
        <v>17</v>
      </c>
      <c r="AL3173" s="175">
        <v>8</v>
      </c>
      <c r="AM3173" s="175">
        <v>11</v>
      </c>
      <c r="AN3173" s="175">
        <v>0</v>
      </c>
      <c r="AO3173" s="175">
        <v>46</v>
      </c>
      <c r="AP3173" s="175">
        <v>24</v>
      </c>
      <c r="AQ3173" s="175">
        <v>5</v>
      </c>
      <c r="AR3173" s="175">
        <v>9</v>
      </c>
      <c r="AS3173" s="175">
        <v>14</v>
      </c>
      <c r="AT3173" s="175">
        <v>6</v>
      </c>
    </row>
    <row r="3174" spans="1:46">
      <c r="A3174">
        <v>48003</v>
      </c>
      <c r="B3174" t="s">
        <v>17861</v>
      </c>
      <c r="C3174" t="s">
        <v>17862</v>
      </c>
      <c r="E3174" t="s">
        <v>17863</v>
      </c>
      <c r="F3174" t="s">
        <v>3064</v>
      </c>
      <c r="G3174" t="s">
        <v>3015</v>
      </c>
      <c r="H3174" t="s">
        <v>449</v>
      </c>
      <c r="J3174" t="s">
        <v>605</v>
      </c>
      <c r="K3174" t="s">
        <v>606</v>
      </c>
      <c r="M3174" t="s">
        <v>2366</v>
      </c>
      <c r="N3174" t="s">
        <v>643</v>
      </c>
      <c r="O3174" t="s">
        <v>3016</v>
      </c>
      <c r="P3174" t="s">
        <v>739</v>
      </c>
      <c r="Q3174" t="s">
        <v>521</v>
      </c>
      <c r="R3174" t="s">
        <v>3017</v>
      </c>
      <c r="S3174" t="s">
        <v>3052</v>
      </c>
      <c r="T3174" t="s">
        <v>2526</v>
      </c>
      <c r="U3174">
        <v>330100</v>
      </c>
      <c r="V3174" t="s">
        <v>3065</v>
      </c>
      <c r="W3174" t="s">
        <v>3066</v>
      </c>
      <c r="X3174" t="s">
        <v>10864</v>
      </c>
      <c r="Y3174" t="s">
        <v>4014</v>
      </c>
      <c r="Z3174" t="s">
        <v>4015</v>
      </c>
      <c r="AA3174" t="s">
        <v>4016</v>
      </c>
      <c r="AE3174">
        <v>-43.545407679999997</v>
      </c>
      <c r="AF3174">
        <v>172.67347875999999</v>
      </c>
      <c r="AG3174" s="175">
        <v>70</v>
      </c>
      <c r="AH3174" s="175">
        <v>16</v>
      </c>
      <c r="AI3174" s="175">
        <v>5</v>
      </c>
      <c r="AJ3174" s="175">
        <v>11</v>
      </c>
      <c r="AK3174" s="175">
        <v>10</v>
      </c>
      <c r="AL3174" s="175">
        <v>27</v>
      </c>
      <c r="AM3174" s="175">
        <v>22</v>
      </c>
      <c r="AN3174" s="175">
        <v>0</v>
      </c>
      <c r="AO3174" s="175">
        <v>75</v>
      </c>
      <c r="AP3174" s="175">
        <v>34</v>
      </c>
      <c r="AQ3174" s="175">
        <v>16</v>
      </c>
      <c r="AR3174" s="175">
        <v>4</v>
      </c>
      <c r="AS3174" s="175">
        <v>30</v>
      </c>
      <c r="AT3174" s="175">
        <v>8</v>
      </c>
    </row>
    <row r="3175" spans="1:46">
      <c r="A3175">
        <v>48004</v>
      </c>
      <c r="B3175" t="s">
        <v>17864</v>
      </c>
      <c r="C3175" t="s">
        <v>13037</v>
      </c>
      <c r="D3175" t="s">
        <v>17865</v>
      </c>
      <c r="E3175" t="s">
        <v>13039</v>
      </c>
      <c r="F3175" t="s">
        <v>2134</v>
      </c>
      <c r="G3175" t="s">
        <v>2055</v>
      </c>
      <c r="H3175" t="s">
        <v>450</v>
      </c>
      <c r="J3175" t="s">
        <v>4032</v>
      </c>
      <c r="K3175" t="s">
        <v>606</v>
      </c>
      <c r="M3175" t="s">
        <v>2366</v>
      </c>
      <c r="N3175" t="s">
        <v>657</v>
      </c>
      <c r="O3175" t="s">
        <v>2037</v>
      </c>
      <c r="P3175" t="s">
        <v>670</v>
      </c>
      <c r="Q3175" t="s">
        <v>553</v>
      </c>
      <c r="R3175" t="s">
        <v>2368</v>
      </c>
      <c r="S3175" t="s">
        <v>2055</v>
      </c>
      <c r="T3175" t="s">
        <v>1568</v>
      </c>
      <c r="U3175">
        <v>230100</v>
      </c>
      <c r="V3175" t="s">
        <v>11826</v>
      </c>
      <c r="W3175" t="s">
        <v>2038</v>
      </c>
      <c r="X3175" t="s">
        <v>17866</v>
      </c>
      <c r="Y3175" t="s">
        <v>13039</v>
      </c>
      <c r="AA3175" t="s">
        <v>15930</v>
      </c>
      <c r="AB3175" t="s">
        <v>17867</v>
      </c>
      <c r="AE3175">
        <v>-40.354785120000003</v>
      </c>
      <c r="AF3175">
        <v>175.59724825000001</v>
      </c>
      <c r="AG3175" s="175">
        <v>80</v>
      </c>
      <c r="AH3175" s="175">
        <v>80</v>
      </c>
      <c r="AI3175" s="175">
        <v>3</v>
      </c>
      <c r="AJ3175" s="175">
        <v>7</v>
      </c>
      <c r="AK3175" s="175">
        <v>10</v>
      </c>
      <c r="AL3175" s="175">
        <v>17</v>
      </c>
      <c r="AM3175" s="175">
        <v>10</v>
      </c>
      <c r="AN3175" s="175">
        <v>1</v>
      </c>
      <c r="AO3175" s="175">
        <v>48</v>
      </c>
      <c r="AP3175" s="175">
        <v>42</v>
      </c>
      <c r="AQ3175" s="175">
        <v>14</v>
      </c>
      <c r="AR3175" s="175">
        <v>3</v>
      </c>
      <c r="AS3175" s="175">
        <v>1</v>
      </c>
      <c r="AT3175" s="175">
        <v>0</v>
      </c>
    </row>
    <row r="3176" spans="1:46">
      <c r="A3176">
        <v>48006</v>
      </c>
      <c r="B3176" t="s">
        <v>17868</v>
      </c>
      <c r="C3176" t="s">
        <v>17869</v>
      </c>
      <c r="E3176" t="s">
        <v>17870</v>
      </c>
      <c r="F3176" t="s">
        <v>4870</v>
      </c>
      <c r="G3176" t="s">
        <v>737</v>
      </c>
      <c r="H3176" t="s">
        <v>449</v>
      </c>
      <c r="J3176" t="s">
        <v>4032</v>
      </c>
      <c r="K3176" t="s">
        <v>606</v>
      </c>
      <c r="M3176" t="s">
        <v>607</v>
      </c>
      <c r="N3176" t="s">
        <v>657</v>
      </c>
      <c r="O3176" t="s">
        <v>792</v>
      </c>
      <c r="P3176" t="s">
        <v>739</v>
      </c>
      <c r="Q3176" t="s">
        <v>467</v>
      </c>
      <c r="R3176" t="s">
        <v>793</v>
      </c>
      <c r="S3176" t="s">
        <v>863</v>
      </c>
      <c r="T3176" t="s">
        <v>794</v>
      </c>
      <c r="U3176">
        <v>155401</v>
      </c>
      <c r="V3176" t="s">
        <v>4970</v>
      </c>
      <c r="W3176" t="s">
        <v>796</v>
      </c>
      <c r="X3176" t="s">
        <v>17871</v>
      </c>
      <c r="Y3176" t="s">
        <v>13624</v>
      </c>
      <c r="Z3176" t="s">
        <v>8282</v>
      </c>
      <c r="AA3176" t="s">
        <v>13625</v>
      </c>
      <c r="AB3176" t="s">
        <v>17872</v>
      </c>
      <c r="AE3176">
        <v>-36.943186310000002</v>
      </c>
      <c r="AF3176">
        <v>174.91224013999999</v>
      </c>
      <c r="AG3176" s="175">
        <v>60</v>
      </c>
      <c r="AH3176" s="175">
        <v>10</v>
      </c>
      <c r="AI3176" s="175">
        <v>2</v>
      </c>
      <c r="AJ3176" s="175">
        <v>7</v>
      </c>
      <c r="AK3176" s="175">
        <v>6</v>
      </c>
      <c r="AL3176" s="175">
        <v>17</v>
      </c>
      <c r="AM3176" s="175">
        <v>14</v>
      </c>
      <c r="AN3176" s="175">
        <v>1</v>
      </c>
      <c r="AO3176" s="175">
        <v>47</v>
      </c>
      <c r="AP3176" s="175">
        <v>18</v>
      </c>
      <c r="AQ3176" s="175">
        <v>3</v>
      </c>
      <c r="AR3176" s="175">
        <v>3</v>
      </c>
      <c r="AS3176" s="175">
        <v>27</v>
      </c>
      <c r="AT3176" s="175">
        <v>7</v>
      </c>
    </row>
    <row r="3177" spans="1:46">
      <c r="A3177">
        <v>48008</v>
      </c>
      <c r="B3177" t="s">
        <v>17873</v>
      </c>
      <c r="D3177" t="s">
        <v>17874</v>
      </c>
      <c r="E3177" t="s">
        <v>17875</v>
      </c>
      <c r="F3177" t="s">
        <v>5170</v>
      </c>
      <c r="G3177" t="s">
        <v>737</v>
      </c>
      <c r="H3177" t="s">
        <v>450</v>
      </c>
      <c r="J3177" t="s">
        <v>4032</v>
      </c>
      <c r="K3177" t="s">
        <v>606</v>
      </c>
      <c r="M3177" t="s">
        <v>607</v>
      </c>
      <c r="N3177" t="s">
        <v>657</v>
      </c>
      <c r="O3177" t="s">
        <v>792</v>
      </c>
      <c r="P3177" t="s">
        <v>739</v>
      </c>
      <c r="Q3177" t="s">
        <v>467</v>
      </c>
      <c r="R3177" t="s">
        <v>814</v>
      </c>
      <c r="S3177" t="s">
        <v>1302</v>
      </c>
      <c r="T3177" t="s">
        <v>794</v>
      </c>
      <c r="U3177">
        <v>158602</v>
      </c>
      <c r="V3177" t="s">
        <v>17847</v>
      </c>
      <c r="W3177" t="s">
        <v>796</v>
      </c>
      <c r="X3177" t="s">
        <v>17876</v>
      </c>
      <c r="Y3177" t="s">
        <v>17875</v>
      </c>
      <c r="Z3177" t="s">
        <v>5170</v>
      </c>
      <c r="AA3177" t="s">
        <v>5066</v>
      </c>
      <c r="AB3177" t="s">
        <v>17877</v>
      </c>
      <c r="AE3177">
        <v>-36.9848134</v>
      </c>
      <c r="AF3177">
        <v>174.94071740000001</v>
      </c>
      <c r="AG3177" s="175">
        <v>35</v>
      </c>
      <c r="AH3177" s="175">
        <v>35</v>
      </c>
      <c r="AI3177" s="175">
        <v>2</v>
      </c>
      <c r="AJ3177" s="175">
        <v>5</v>
      </c>
      <c r="AK3177" s="175">
        <v>2</v>
      </c>
      <c r="AL3177" s="175">
        <v>4</v>
      </c>
      <c r="AM3177" s="175">
        <v>2</v>
      </c>
      <c r="AN3177" s="175">
        <v>0</v>
      </c>
      <c r="AO3177" s="175">
        <v>15</v>
      </c>
      <c r="AP3177" s="175">
        <v>3</v>
      </c>
      <c r="AQ3177" s="175">
        <v>0</v>
      </c>
      <c r="AR3177" s="175">
        <v>0</v>
      </c>
      <c r="AS3177" s="175">
        <v>15</v>
      </c>
      <c r="AT3177" s="175">
        <v>0</v>
      </c>
    </row>
    <row r="3178" spans="1:46">
      <c r="A3178">
        <v>48010</v>
      </c>
      <c r="B3178" t="s">
        <v>17878</v>
      </c>
      <c r="E3178" t="s">
        <v>17879</v>
      </c>
      <c r="G3178" t="s">
        <v>8325</v>
      </c>
      <c r="H3178" t="s">
        <v>449</v>
      </c>
      <c r="J3178" t="s">
        <v>4032</v>
      </c>
      <c r="K3178" t="s">
        <v>606</v>
      </c>
      <c r="M3178" t="s">
        <v>607</v>
      </c>
      <c r="N3178" t="s">
        <v>657</v>
      </c>
      <c r="O3178" t="s">
        <v>723</v>
      </c>
      <c r="P3178" t="s">
        <v>610</v>
      </c>
      <c r="Q3178" t="s">
        <v>467</v>
      </c>
      <c r="R3178" t="s">
        <v>724</v>
      </c>
      <c r="S3178" t="s">
        <v>725</v>
      </c>
      <c r="T3178" t="s">
        <v>613</v>
      </c>
      <c r="U3178">
        <v>115002</v>
      </c>
      <c r="V3178" t="s">
        <v>7051</v>
      </c>
      <c r="W3178" t="s">
        <v>726</v>
      </c>
      <c r="X3178" t="s">
        <v>14748</v>
      </c>
      <c r="Y3178" t="s">
        <v>14749</v>
      </c>
      <c r="Z3178" t="s">
        <v>3777</v>
      </c>
      <c r="AA3178" t="s">
        <v>4356</v>
      </c>
      <c r="AE3178">
        <v>-36.775896619999997</v>
      </c>
      <c r="AF3178">
        <v>174.53737150000001</v>
      </c>
      <c r="AG3178" s="175">
        <v>110</v>
      </c>
      <c r="AH3178" s="175">
        <v>20</v>
      </c>
      <c r="AI3178" s="175">
        <v>6</v>
      </c>
      <c r="AJ3178" s="175">
        <v>14</v>
      </c>
      <c r="AK3178" s="175">
        <v>23</v>
      </c>
      <c r="AL3178" s="175">
        <v>21</v>
      </c>
      <c r="AM3178" s="175">
        <v>20</v>
      </c>
      <c r="AN3178" s="175">
        <v>1</v>
      </c>
      <c r="AO3178" s="175">
        <v>85</v>
      </c>
      <c r="AP3178" s="175">
        <v>49</v>
      </c>
      <c r="AQ3178" s="175">
        <v>14</v>
      </c>
      <c r="AR3178" s="175">
        <v>4</v>
      </c>
      <c r="AS3178" s="175">
        <v>37</v>
      </c>
      <c r="AT3178" s="175">
        <v>3</v>
      </c>
    </row>
    <row r="3179" spans="1:46">
      <c r="A3179">
        <v>48011</v>
      </c>
      <c r="B3179" t="s">
        <v>17880</v>
      </c>
      <c r="C3179" t="s">
        <v>17881</v>
      </c>
      <c r="D3179" t="s">
        <v>17882</v>
      </c>
      <c r="E3179" t="s">
        <v>17883</v>
      </c>
      <c r="F3179" t="s">
        <v>3973</v>
      </c>
      <c r="G3179" t="s">
        <v>737</v>
      </c>
      <c r="H3179" t="s">
        <v>449</v>
      </c>
      <c r="J3179" t="s">
        <v>4032</v>
      </c>
      <c r="K3179" t="s">
        <v>606</v>
      </c>
      <c r="M3179" t="s">
        <v>607</v>
      </c>
      <c r="N3179" t="s">
        <v>657</v>
      </c>
      <c r="O3179" t="s">
        <v>1253</v>
      </c>
      <c r="P3179" t="s">
        <v>739</v>
      </c>
      <c r="Q3179" t="s">
        <v>467</v>
      </c>
      <c r="R3179" t="s">
        <v>724</v>
      </c>
      <c r="S3179" t="s">
        <v>824</v>
      </c>
      <c r="T3179" t="s">
        <v>613</v>
      </c>
      <c r="U3179">
        <v>118900</v>
      </c>
      <c r="V3179" t="s">
        <v>3974</v>
      </c>
      <c r="W3179" t="s">
        <v>742</v>
      </c>
      <c r="X3179" t="s">
        <v>13556</v>
      </c>
      <c r="Y3179" t="s">
        <v>13557</v>
      </c>
      <c r="Z3179" t="s">
        <v>834</v>
      </c>
      <c r="AA3179" t="s">
        <v>4356</v>
      </c>
      <c r="AE3179">
        <v>-36.772975860000003</v>
      </c>
      <c r="AF3179">
        <v>174.67659312000001</v>
      </c>
      <c r="AG3179" s="175">
        <v>55</v>
      </c>
      <c r="AH3179" s="175">
        <v>15</v>
      </c>
      <c r="AI3179" s="175">
        <v>0</v>
      </c>
      <c r="AJ3179" s="175">
        <v>2</v>
      </c>
      <c r="AK3179" s="175">
        <v>8</v>
      </c>
      <c r="AL3179" s="175">
        <v>11</v>
      </c>
      <c r="AM3179" s="175">
        <v>5</v>
      </c>
      <c r="AN3179" s="175">
        <v>0</v>
      </c>
      <c r="AO3179" s="175">
        <v>26</v>
      </c>
      <c r="AP3179" s="175">
        <v>13</v>
      </c>
      <c r="AQ3179" s="175">
        <v>2</v>
      </c>
      <c r="AR3179" s="175">
        <v>4</v>
      </c>
      <c r="AS3179" s="175">
        <v>12</v>
      </c>
      <c r="AT3179" s="175">
        <v>1</v>
      </c>
    </row>
    <row r="3180" spans="1:46">
      <c r="A3180">
        <v>48013</v>
      </c>
      <c r="B3180" t="s">
        <v>17884</v>
      </c>
      <c r="C3180" t="s">
        <v>17885</v>
      </c>
      <c r="D3180" t="s">
        <v>17886</v>
      </c>
      <c r="E3180" t="s">
        <v>17887</v>
      </c>
      <c r="F3180" t="s">
        <v>3733</v>
      </c>
      <c r="G3180" t="s">
        <v>3015</v>
      </c>
      <c r="H3180" t="s">
        <v>449</v>
      </c>
      <c r="J3180" t="s">
        <v>605</v>
      </c>
      <c r="K3180" t="s">
        <v>606</v>
      </c>
      <c r="M3180" t="s">
        <v>2366</v>
      </c>
      <c r="N3180" t="s">
        <v>657</v>
      </c>
      <c r="O3180" t="s">
        <v>3281</v>
      </c>
      <c r="P3180" t="s">
        <v>610</v>
      </c>
      <c r="Q3180" t="s">
        <v>521</v>
      </c>
      <c r="R3180" t="s">
        <v>3017</v>
      </c>
      <c r="S3180" t="s">
        <v>3252</v>
      </c>
      <c r="T3180" t="s">
        <v>2526</v>
      </c>
      <c r="U3180">
        <v>336002</v>
      </c>
      <c r="V3180" t="s">
        <v>17888</v>
      </c>
      <c r="W3180" t="s">
        <v>3735</v>
      </c>
      <c r="X3180" t="s">
        <v>10864</v>
      </c>
      <c r="Y3180" t="s">
        <v>4014</v>
      </c>
      <c r="Z3180" t="s">
        <v>4015</v>
      </c>
      <c r="AA3180" t="s">
        <v>4016</v>
      </c>
      <c r="AE3180">
        <v>-43.646892960000002</v>
      </c>
      <c r="AF3180">
        <v>172.4855068</v>
      </c>
      <c r="AG3180" s="175">
        <v>82</v>
      </c>
      <c r="AH3180" s="175">
        <v>16</v>
      </c>
      <c r="AI3180" s="175">
        <v>2</v>
      </c>
      <c r="AJ3180" s="175">
        <v>17</v>
      </c>
      <c r="AK3180" s="175">
        <v>22</v>
      </c>
      <c r="AL3180" s="175">
        <v>29</v>
      </c>
      <c r="AM3180" s="175">
        <v>21</v>
      </c>
      <c r="AN3180" s="175">
        <v>1</v>
      </c>
      <c r="AO3180" s="175">
        <v>92</v>
      </c>
      <c r="AP3180" s="175">
        <v>66</v>
      </c>
      <c r="AQ3180" s="175">
        <v>13</v>
      </c>
      <c r="AR3180" s="175">
        <v>3</v>
      </c>
      <c r="AS3180" s="175">
        <v>20</v>
      </c>
      <c r="AT3180" s="175">
        <v>10</v>
      </c>
    </row>
    <row r="3181" spans="1:46">
      <c r="A3181">
        <v>48014</v>
      </c>
      <c r="B3181" t="s">
        <v>17889</v>
      </c>
      <c r="C3181" t="s">
        <v>17890</v>
      </c>
      <c r="D3181" t="s">
        <v>17891</v>
      </c>
      <c r="E3181" t="s">
        <v>17892</v>
      </c>
      <c r="F3181" t="s">
        <v>983</v>
      </c>
      <c r="G3181" t="s">
        <v>737</v>
      </c>
      <c r="H3181" t="s">
        <v>449</v>
      </c>
      <c r="J3181" t="s">
        <v>4032</v>
      </c>
      <c r="K3181" t="s">
        <v>606</v>
      </c>
      <c r="M3181" t="s">
        <v>607</v>
      </c>
      <c r="N3181" t="s">
        <v>657</v>
      </c>
      <c r="O3181" t="s">
        <v>898</v>
      </c>
      <c r="P3181" t="s">
        <v>739</v>
      </c>
      <c r="Q3181" t="s">
        <v>467</v>
      </c>
      <c r="R3181" t="s">
        <v>724</v>
      </c>
      <c r="S3181" t="s">
        <v>984</v>
      </c>
      <c r="T3181" t="s">
        <v>613</v>
      </c>
      <c r="U3181">
        <v>125701</v>
      </c>
      <c r="V3181" t="s">
        <v>5858</v>
      </c>
      <c r="W3181" t="s">
        <v>900</v>
      </c>
      <c r="X3181" t="s">
        <v>17893</v>
      </c>
      <c r="Y3181" t="s">
        <v>17894</v>
      </c>
      <c r="Z3181" t="s">
        <v>767</v>
      </c>
      <c r="AA3181" t="s">
        <v>4977</v>
      </c>
      <c r="AB3181" t="s">
        <v>17895</v>
      </c>
      <c r="AE3181">
        <v>-36.867211730000001</v>
      </c>
      <c r="AF3181">
        <v>174.63025267</v>
      </c>
      <c r="AG3181" s="175">
        <v>20</v>
      </c>
      <c r="AH3181" s="175">
        <v>10</v>
      </c>
      <c r="AI3181" s="175">
        <v>2</v>
      </c>
      <c r="AJ3181" s="175">
        <v>9</v>
      </c>
      <c r="AK3181" s="175">
        <v>7</v>
      </c>
      <c r="AL3181" s="175">
        <v>5</v>
      </c>
      <c r="AM3181" s="175">
        <v>4</v>
      </c>
      <c r="AN3181" s="175">
        <v>0</v>
      </c>
      <c r="AO3181" s="175">
        <v>27</v>
      </c>
      <c r="AP3181" s="175">
        <v>14</v>
      </c>
      <c r="AQ3181" s="175">
        <v>3</v>
      </c>
      <c r="AR3181" s="175">
        <v>5</v>
      </c>
      <c r="AS3181" s="175">
        <v>14</v>
      </c>
      <c r="AT3181" s="175">
        <v>0</v>
      </c>
    </row>
    <row r="3182" spans="1:46">
      <c r="A3182">
        <v>48015</v>
      </c>
      <c r="B3182" t="s">
        <v>17896</v>
      </c>
      <c r="C3182" t="s">
        <v>17897</v>
      </c>
      <c r="E3182" t="s">
        <v>17898</v>
      </c>
      <c r="F3182" t="s">
        <v>1060</v>
      </c>
      <c r="G3182" t="s">
        <v>737</v>
      </c>
      <c r="H3182" t="s">
        <v>449</v>
      </c>
      <c r="J3182" t="s">
        <v>4032</v>
      </c>
      <c r="K3182" t="s">
        <v>606</v>
      </c>
      <c r="M3182" t="s">
        <v>607</v>
      </c>
      <c r="N3182" t="s">
        <v>608</v>
      </c>
      <c r="O3182" t="s">
        <v>933</v>
      </c>
      <c r="P3182" t="s">
        <v>739</v>
      </c>
      <c r="Q3182" t="s">
        <v>467</v>
      </c>
      <c r="R3182" t="s">
        <v>814</v>
      </c>
      <c r="S3182" t="s">
        <v>934</v>
      </c>
      <c r="T3182" t="s">
        <v>794</v>
      </c>
      <c r="U3182">
        <v>147500</v>
      </c>
      <c r="V3182" t="s">
        <v>7640</v>
      </c>
      <c r="W3182" t="s">
        <v>817</v>
      </c>
      <c r="X3182" t="s">
        <v>17899</v>
      </c>
      <c r="Y3182" t="s">
        <v>17900</v>
      </c>
      <c r="Z3182" t="s">
        <v>1506</v>
      </c>
      <c r="AA3182" t="s">
        <v>9639</v>
      </c>
      <c r="AE3182">
        <v>-36.958349839999997</v>
      </c>
      <c r="AF3182">
        <v>174.78875976</v>
      </c>
      <c r="AG3182" s="175">
        <v>50</v>
      </c>
      <c r="AH3182" s="175">
        <v>0</v>
      </c>
      <c r="AI3182" s="175">
        <v>0</v>
      </c>
      <c r="AJ3182" s="175">
        <v>0</v>
      </c>
      <c r="AK3182" s="175">
        <v>5</v>
      </c>
      <c r="AL3182" s="175">
        <v>13</v>
      </c>
      <c r="AM3182" s="175">
        <v>18</v>
      </c>
      <c r="AN3182" s="175">
        <v>3</v>
      </c>
      <c r="AO3182" s="175">
        <v>39</v>
      </c>
      <c r="AP3182" s="175">
        <v>4</v>
      </c>
      <c r="AQ3182" s="175">
        <v>3</v>
      </c>
      <c r="AR3182" s="175">
        <v>18</v>
      </c>
      <c r="AS3182" s="175">
        <v>16</v>
      </c>
      <c r="AT3182" s="175">
        <v>1</v>
      </c>
    </row>
    <row r="3183" spans="1:46">
      <c r="A3183">
        <v>48016</v>
      </c>
      <c r="B3183" t="s">
        <v>17901</v>
      </c>
      <c r="C3183" t="s">
        <v>17902</v>
      </c>
      <c r="E3183" t="s">
        <v>17903</v>
      </c>
      <c r="F3183" t="s">
        <v>3841</v>
      </c>
      <c r="G3183" t="s">
        <v>1681</v>
      </c>
      <c r="H3183" t="s">
        <v>449</v>
      </c>
      <c r="J3183" t="s">
        <v>4032</v>
      </c>
      <c r="K3183" t="s">
        <v>606</v>
      </c>
      <c r="M3183" t="s">
        <v>1382</v>
      </c>
      <c r="N3183" t="s">
        <v>657</v>
      </c>
      <c r="O3183" t="s">
        <v>1780</v>
      </c>
      <c r="P3183" t="s">
        <v>739</v>
      </c>
      <c r="Q3183" t="s">
        <v>511</v>
      </c>
      <c r="R3183" t="s">
        <v>1555</v>
      </c>
      <c r="S3183" t="s">
        <v>1781</v>
      </c>
      <c r="T3183" t="s">
        <v>1557</v>
      </c>
      <c r="U3183">
        <v>197603</v>
      </c>
      <c r="V3183" t="s">
        <v>17904</v>
      </c>
      <c r="W3183" t="s">
        <v>3843</v>
      </c>
      <c r="X3183" t="s">
        <v>17905</v>
      </c>
      <c r="Y3183" t="s">
        <v>17903</v>
      </c>
      <c r="Z3183" t="s">
        <v>3841</v>
      </c>
      <c r="AA3183" t="s">
        <v>4785</v>
      </c>
      <c r="AE3183">
        <v>-37.724831680000001</v>
      </c>
      <c r="AF3183">
        <v>176.34015790000001</v>
      </c>
      <c r="AG3183" s="175">
        <v>82</v>
      </c>
      <c r="AH3183" s="175">
        <v>25</v>
      </c>
      <c r="AI3183" s="175">
        <v>7</v>
      </c>
      <c r="AJ3183" s="175">
        <v>15</v>
      </c>
      <c r="AK3183" s="175">
        <v>19</v>
      </c>
      <c r="AL3183" s="175">
        <v>21</v>
      </c>
      <c r="AM3183" s="175">
        <v>17</v>
      </c>
      <c r="AN3183" s="175">
        <v>1</v>
      </c>
      <c r="AO3183" s="175">
        <v>80</v>
      </c>
      <c r="AP3183" s="175">
        <v>60</v>
      </c>
      <c r="AQ3183" s="175">
        <v>17</v>
      </c>
      <c r="AR3183" s="175">
        <v>2</v>
      </c>
      <c r="AS3183" s="175">
        <v>13</v>
      </c>
      <c r="AT3183" s="175">
        <v>8</v>
      </c>
    </row>
    <row r="3184" spans="1:46">
      <c r="A3184">
        <v>48017</v>
      </c>
      <c r="B3184" t="s">
        <v>17906</v>
      </c>
      <c r="C3184" t="s">
        <v>17907</v>
      </c>
      <c r="E3184" t="s">
        <v>17908</v>
      </c>
      <c r="F3184" t="s">
        <v>983</v>
      </c>
      <c r="G3184" t="s">
        <v>737</v>
      </c>
      <c r="H3184" t="s">
        <v>449</v>
      </c>
      <c r="J3184" t="s">
        <v>4032</v>
      </c>
      <c r="K3184" t="s">
        <v>606</v>
      </c>
      <c r="M3184" t="s">
        <v>607</v>
      </c>
      <c r="N3184" t="s">
        <v>657</v>
      </c>
      <c r="O3184" t="s">
        <v>898</v>
      </c>
      <c r="P3184" t="s">
        <v>739</v>
      </c>
      <c r="Q3184" t="s">
        <v>467</v>
      </c>
      <c r="R3184" t="s">
        <v>724</v>
      </c>
      <c r="S3184" t="s">
        <v>984</v>
      </c>
      <c r="T3184" t="s">
        <v>613</v>
      </c>
      <c r="U3184">
        <v>125100</v>
      </c>
      <c r="V3184" t="s">
        <v>4372</v>
      </c>
      <c r="W3184" t="s">
        <v>900</v>
      </c>
      <c r="X3184" t="s">
        <v>17909</v>
      </c>
      <c r="Y3184" t="s">
        <v>17910</v>
      </c>
      <c r="Z3184" t="s">
        <v>1004</v>
      </c>
      <c r="AA3184" t="s">
        <v>4604</v>
      </c>
      <c r="AE3184">
        <v>-36.864568560000002</v>
      </c>
      <c r="AF3184">
        <v>174.62990568000001</v>
      </c>
      <c r="AG3184" s="175">
        <v>90</v>
      </c>
      <c r="AH3184" s="175">
        <v>25</v>
      </c>
      <c r="AI3184" s="175">
        <v>3</v>
      </c>
      <c r="AJ3184" s="175">
        <v>18</v>
      </c>
      <c r="AK3184" s="175">
        <v>14</v>
      </c>
      <c r="AL3184" s="175">
        <v>21</v>
      </c>
      <c r="AM3184" s="175">
        <v>18</v>
      </c>
      <c r="AN3184" s="175">
        <v>1</v>
      </c>
      <c r="AO3184" s="175">
        <v>75</v>
      </c>
      <c r="AP3184" s="175">
        <v>9</v>
      </c>
      <c r="AQ3184" s="175">
        <v>3</v>
      </c>
      <c r="AR3184" s="175">
        <v>2</v>
      </c>
      <c r="AS3184" s="175">
        <v>65</v>
      </c>
      <c r="AT3184" s="175">
        <v>1</v>
      </c>
    </row>
    <row r="3185" spans="1:46">
      <c r="A3185">
        <v>48021</v>
      </c>
      <c r="B3185" t="s">
        <v>11707</v>
      </c>
      <c r="C3185" t="s">
        <v>17498</v>
      </c>
      <c r="D3185" t="s">
        <v>11709</v>
      </c>
      <c r="E3185" t="s">
        <v>14239</v>
      </c>
      <c r="G3185" t="s">
        <v>2276</v>
      </c>
      <c r="H3185" t="s">
        <v>450</v>
      </c>
      <c r="J3185" t="s">
        <v>4032</v>
      </c>
      <c r="K3185" t="s">
        <v>606</v>
      </c>
      <c r="M3185" t="s">
        <v>1382</v>
      </c>
      <c r="N3185" t="s">
        <v>657</v>
      </c>
      <c r="O3185" t="s">
        <v>2277</v>
      </c>
      <c r="P3185" t="s">
        <v>670</v>
      </c>
      <c r="Q3185" t="s">
        <v>513</v>
      </c>
      <c r="R3185" t="s">
        <v>1841</v>
      </c>
      <c r="S3185" t="s">
        <v>2278</v>
      </c>
      <c r="T3185" t="s">
        <v>2165</v>
      </c>
      <c r="U3185">
        <v>210500</v>
      </c>
      <c r="V3185" t="s">
        <v>11711</v>
      </c>
      <c r="W3185" t="s">
        <v>2279</v>
      </c>
      <c r="X3185" t="s">
        <v>17911</v>
      </c>
      <c r="Y3185" t="s">
        <v>11710</v>
      </c>
      <c r="AA3185" t="s">
        <v>11713</v>
      </c>
      <c r="AB3185" t="s">
        <v>17912</v>
      </c>
      <c r="AE3185">
        <v>-39.641273009999999</v>
      </c>
      <c r="AF3185">
        <v>176.84696697999999</v>
      </c>
      <c r="AG3185" s="175">
        <v>80</v>
      </c>
      <c r="AH3185" s="175">
        <v>80</v>
      </c>
      <c r="AI3185" s="175">
        <v>1</v>
      </c>
      <c r="AJ3185" s="175">
        <v>13</v>
      </c>
      <c r="AK3185" s="175">
        <v>25</v>
      </c>
      <c r="AL3185" s="175">
        <v>17</v>
      </c>
      <c r="AM3185" s="175">
        <v>9</v>
      </c>
      <c r="AN3185" s="175">
        <v>2</v>
      </c>
      <c r="AO3185" s="175">
        <v>67</v>
      </c>
      <c r="AP3185" s="175">
        <v>47</v>
      </c>
      <c r="AQ3185" s="175">
        <v>25</v>
      </c>
      <c r="AR3185" s="175">
        <v>1</v>
      </c>
      <c r="AS3185" s="175">
        <v>4</v>
      </c>
      <c r="AT3185" s="175">
        <v>0</v>
      </c>
    </row>
    <row r="3186" spans="1:46">
      <c r="A3186">
        <v>48023</v>
      </c>
      <c r="B3186" t="s">
        <v>17913</v>
      </c>
      <c r="C3186" t="s">
        <v>17914</v>
      </c>
      <c r="D3186" t="s">
        <v>17915</v>
      </c>
      <c r="E3186" t="s">
        <v>17916</v>
      </c>
      <c r="F3186" t="s">
        <v>3036</v>
      </c>
      <c r="G3186" t="s">
        <v>3015</v>
      </c>
      <c r="H3186" t="s">
        <v>449</v>
      </c>
      <c r="J3186" t="s">
        <v>4032</v>
      </c>
      <c r="K3186" t="s">
        <v>606</v>
      </c>
      <c r="M3186" t="s">
        <v>2366</v>
      </c>
      <c r="N3186" t="s">
        <v>657</v>
      </c>
      <c r="O3186" t="s">
        <v>3037</v>
      </c>
      <c r="P3186" t="s">
        <v>1347</v>
      </c>
      <c r="Q3186" t="s">
        <v>521</v>
      </c>
      <c r="R3186" t="s">
        <v>3017</v>
      </c>
      <c r="S3186" t="s">
        <v>3038</v>
      </c>
      <c r="T3186" t="s">
        <v>2526</v>
      </c>
      <c r="U3186">
        <v>313900</v>
      </c>
      <c r="V3186" t="s">
        <v>15538</v>
      </c>
      <c r="W3186" t="s">
        <v>3040</v>
      </c>
      <c r="X3186" t="s">
        <v>17917</v>
      </c>
      <c r="Y3186" t="s">
        <v>17916</v>
      </c>
      <c r="Z3186" t="s">
        <v>3036</v>
      </c>
      <c r="AA3186" t="s">
        <v>17918</v>
      </c>
      <c r="AC3186">
        <v>99077</v>
      </c>
      <c r="AD3186" t="s">
        <v>3041</v>
      </c>
      <c r="AE3186">
        <v>-43.302230000000002</v>
      </c>
      <c r="AF3186">
        <v>172.56531000000001</v>
      </c>
      <c r="AG3186" s="175">
        <v>50</v>
      </c>
      <c r="AH3186" s="175">
        <v>18</v>
      </c>
      <c r="AI3186" s="175">
        <v>5</v>
      </c>
      <c r="AJ3186" s="175">
        <v>11</v>
      </c>
      <c r="AK3186" s="175">
        <v>16</v>
      </c>
      <c r="AL3186" s="175">
        <v>13</v>
      </c>
      <c r="AM3186" s="175">
        <v>19</v>
      </c>
      <c r="AN3186" s="175">
        <v>2</v>
      </c>
      <c r="AO3186" s="175">
        <v>66</v>
      </c>
      <c r="AP3186" s="175">
        <v>63</v>
      </c>
      <c r="AQ3186" s="175">
        <v>10</v>
      </c>
      <c r="AR3186" s="175">
        <v>0</v>
      </c>
      <c r="AS3186" s="175">
        <v>2</v>
      </c>
      <c r="AT3186" s="175">
        <v>1</v>
      </c>
    </row>
    <row r="3187" spans="1:46">
      <c r="A3187">
        <v>48024</v>
      </c>
      <c r="B3187" t="s">
        <v>17919</v>
      </c>
      <c r="C3187" t="s">
        <v>17920</v>
      </c>
      <c r="E3187" t="s">
        <v>16498</v>
      </c>
      <c r="F3187" t="s">
        <v>888</v>
      </c>
      <c r="G3187" t="s">
        <v>737</v>
      </c>
      <c r="H3187" t="s">
        <v>450</v>
      </c>
      <c r="J3187" t="s">
        <v>4032</v>
      </c>
      <c r="K3187" t="s">
        <v>606</v>
      </c>
      <c r="M3187" t="s">
        <v>607</v>
      </c>
      <c r="N3187" t="s">
        <v>657</v>
      </c>
      <c r="O3187" t="s">
        <v>889</v>
      </c>
      <c r="P3187" t="s">
        <v>739</v>
      </c>
      <c r="Q3187" t="s">
        <v>467</v>
      </c>
      <c r="R3187" t="s">
        <v>793</v>
      </c>
      <c r="S3187" t="s">
        <v>890</v>
      </c>
      <c r="T3187" t="s">
        <v>794</v>
      </c>
      <c r="U3187">
        <v>143301</v>
      </c>
      <c r="V3187" t="s">
        <v>4299</v>
      </c>
      <c r="W3187" t="s">
        <v>892</v>
      </c>
      <c r="X3187" t="s">
        <v>16499</v>
      </c>
      <c r="Y3187" t="s">
        <v>17921</v>
      </c>
      <c r="Z3187" t="s">
        <v>1114</v>
      </c>
      <c r="AA3187" t="s">
        <v>15114</v>
      </c>
      <c r="AE3187">
        <v>-36.894179999999999</v>
      </c>
      <c r="AF3187">
        <v>174.81083839999999</v>
      </c>
      <c r="AG3187" s="175">
        <v>80</v>
      </c>
      <c r="AH3187" s="175">
        <v>80</v>
      </c>
      <c r="AI3187" s="175">
        <v>10</v>
      </c>
      <c r="AJ3187" s="175">
        <v>25</v>
      </c>
      <c r="AK3187" s="175">
        <v>21</v>
      </c>
      <c r="AL3187" s="175">
        <v>13</v>
      </c>
      <c r="AM3187" s="175">
        <v>18</v>
      </c>
      <c r="AN3187" s="175">
        <v>1</v>
      </c>
      <c r="AO3187" s="175">
        <v>88</v>
      </c>
      <c r="AP3187" s="175">
        <v>3</v>
      </c>
      <c r="AQ3187" s="175">
        <v>0</v>
      </c>
      <c r="AR3187" s="175">
        <v>0</v>
      </c>
      <c r="AS3187" s="175">
        <v>87</v>
      </c>
      <c r="AT3187" s="175">
        <v>0</v>
      </c>
    </row>
    <row r="3188" spans="1:46">
      <c r="A3188">
        <v>48025</v>
      </c>
      <c r="B3188" t="s">
        <v>17922</v>
      </c>
      <c r="C3188" t="s">
        <v>17923</v>
      </c>
      <c r="E3188" t="s">
        <v>17924</v>
      </c>
      <c r="F3188" t="s">
        <v>5170</v>
      </c>
      <c r="G3188" t="s">
        <v>737</v>
      </c>
      <c r="H3188" t="s">
        <v>449</v>
      </c>
      <c r="J3188" t="s">
        <v>605</v>
      </c>
      <c r="K3188" t="s">
        <v>606</v>
      </c>
      <c r="M3188" t="s">
        <v>607</v>
      </c>
      <c r="N3188" t="s">
        <v>657</v>
      </c>
      <c r="O3188" t="s">
        <v>792</v>
      </c>
      <c r="P3188" t="s">
        <v>739</v>
      </c>
      <c r="Q3188" t="s">
        <v>467</v>
      </c>
      <c r="R3188" t="s">
        <v>814</v>
      </c>
      <c r="S3188" t="s">
        <v>1302</v>
      </c>
      <c r="T3188" t="s">
        <v>794</v>
      </c>
      <c r="U3188">
        <v>158603</v>
      </c>
      <c r="V3188" t="s">
        <v>17925</v>
      </c>
      <c r="W3188" t="s">
        <v>796</v>
      </c>
      <c r="X3188" t="s">
        <v>17676</v>
      </c>
      <c r="Y3188" t="s">
        <v>4014</v>
      </c>
      <c r="Z3188" t="s">
        <v>4015</v>
      </c>
      <c r="AA3188" t="s">
        <v>4016</v>
      </c>
      <c r="AE3188">
        <v>-36.983441380000002</v>
      </c>
      <c r="AF3188">
        <v>174.9238081</v>
      </c>
      <c r="AG3188" s="175">
        <v>100</v>
      </c>
      <c r="AH3188" s="175">
        <v>24</v>
      </c>
      <c r="AI3188" s="175">
        <v>2</v>
      </c>
      <c r="AJ3188" s="175">
        <v>16</v>
      </c>
      <c r="AK3188" s="175">
        <v>20</v>
      </c>
      <c r="AL3188" s="175">
        <v>39</v>
      </c>
      <c r="AM3188" s="175">
        <v>30</v>
      </c>
      <c r="AN3188" s="175">
        <v>2</v>
      </c>
      <c r="AO3188" s="175">
        <v>109</v>
      </c>
      <c r="AP3188" s="175">
        <v>7</v>
      </c>
      <c r="AQ3188" s="175">
        <v>6</v>
      </c>
      <c r="AR3188" s="175">
        <v>5</v>
      </c>
      <c r="AS3188" s="175">
        <v>95</v>
      </c>
      <c r="AT3188" s="175">
        <v>7</v>
      </c>
    </row>
    <row r="3189" spans="1:46">
      <c r="A3189">
        <v>48026</v>
      </c>
      <c r="B3189" t="s">
        <v>17926</v>
      </c>
      <c r="C3189" t="s">
        <v>17927</v>
      </c>
      <c r="D3189" t="s">
        <v>17928</v>
      </c>
      <c r="E3189" t="s">
        <v>17929</v>
      </c>
      <c r="F3189" t="s">
        <v>3030</v>
      </c>
      <c r="G3189" t="s">
        <v>3015</v>
      </c>
      <c r="H3189" t="s">
        <v>449</v>
      </c>
      <c r="J3189" t="s">
        <v>605</v>
      </c>
      <c r="K3189" t="s">
        <v>606</v>
      </c>
      <c r="M3189" t="s">
        <v>2366</v>
      </c>
      <c r="N3189" t="s">
        <v>625</v>
      </c>
      <c r="O3189" t="s">
        <v>3016</v>
      </c>
      <c r="P3189" t="s">
        <v>739</v>
      </c>
      <c r="Q3189" t="s">
        <v>521</v>
      </c>
      <c r="R3189" t="s">
        <v>3017</v>
      </c>
      <c r="S3189" t="s">
        <v>3030</v>
      </c>
      <c r="T3189" t="s">
        <v>2526</v>
      </c>
      <c r="U3189">
        <v>327100</v>
      </c>
      <c r="V3189" t="s">
        <v>16490</v>
      </c>
      <c r="W3189" t="s">
        <v>2521</v>
      </c>
      <c r="X3189" t="s">
        <v>17930</v>
      </c>
      <c r="Y3189" t="s">
        <v>17931</v>
      </c>
      <c r="Z3189" t="s">
        <v>3030</v>
      </c>
      <c r="AA3189" t="s">
        <v>17932</v>
      </c>
      <c r="AB3189" t="s">
        <v>17927</v>
      </c>
      <c r="AC3189">
        <v>99215</v>
      </c>
      <c r="AD3189" t="s">
        <v>11035</v>
      </c>
      <c r="AE3189">
        <v>-43.537215209999999</v>
      </c>
      <c r="AF3189">
        <v>172.62280558</v>
      </c>
      <c r="AG3189" s="175">
        <v>43</v>
      </c>
      <c r="AH3189" s="175">
        <v>10</v>
      </c>
      <c r="AI3189" s="175">
        <v>0</v>
      </c>
      <c r="AJ3189" s="175">
        <v>10</v>
      </c>
      <c r="AK3189" s="175">
        <v>7</v>
      </c>
      <c r="AL3189" s="175">
        <v>9</v>
      </c>
      <c r="AM3189" s="175">
        <v>12</v>
      </c>
      <c r="AN3189" s="175">
        <v>1</v>
      </c>
      <c r="AO3189" s="175">
        <v>39</v>
      </c>
      <c r="AP3189" s="175">
        <v>21</v>
      </c>
      <c r="AQ3189" s="175">
        <v>6</v>
      </c>
      <c r="AR3189" s="175">
        <v>2</v>
      </c>
      <c r="AS3189" s="175">
        <v>12</v>
      </c>
      <c r="AT3189" s="175">
        <v>13</v>
      </c>
    </row>
    <row r="3190" spans="1:46">
      <c r="A3190">
        <v>48027</v>
      </c>
      <c r="B3190" t="s">
        <v>17933</v>
      </c>
      <c r="C3190" t="s">
        <v>17934</v>
      </c>
      <c r="D3190" t="s">
        <v>17935</v>
      </c>
      <c r="E3190" t="s">
        <v>17936</v>
      </c>
      <c r="F3190" t="s">
        <v>17937</v>
      </c>
      <c r="G3190" t="s">
        <v>3015</v>
      </c>
      <c r="H3190" t="s">
        <v>449</v>
      </c>
      <c r="J3190" t="s">
        <v>4032</v>
      </c>
      <c r="K3190" t="s">
        <v>606</v>
      </c>
      <c r="M3190" t="s">
        <v>2366</v>
      </c>
      <c r="N3190" t="s">
        <v>643</v>
      </c>
      <c r="O3190" t="s">
        <v>3016</v>
      </c>
      <c r="P3190" t="s">
        <v>739</v>
      </c>
      <c r="Q3190" t="s">
        <v>521</v>
      </c>
      <c r="R3190" t="s">
        <v>3017</v>
      </c>
      <c r="S3190" t="s">
        <v>3092</v>
      </c>
      <c r="T3190" t="s">
        <v>2526</v>
      </c>
      <c r="U3190">
        <v>326100</v>
      </c>
      <c r="V3190" t="s">
        <v>17938</v>
      </c>
      <c r="W3190" t="s">
        <v>3161</v>
      </c>
      <c r="X3190" t="s">
        <v>17939</v>
      </c>
      <c r="Y3190" t="s">
        <v>11689</v>
      </c>
      <c r="AA3190" t="s">
        <v>17940</v>
      </c>
      <c r="AB3190" t="s">
        <v>17934</v>
      </c>
      <c r="AE3190">
        <v>-43.546287139999997</v>
      </c>
      <c r="AF3190">
        <v>172.61533381999999</v>
      </c>
      <c r="AG3190" s="175">
        <v>59</v>
      </c>
      <c r="AH3190" s="175">
        <v>10</v>
      </c>
      <c r="AI3190" s="175">
        <v>1</v>
      </c>
      <c r="AJ3190" s="175">
        <v>8</v>
      </c>
      <c r="AK3190" s="175">
        <v>8</v>
      </c>
      <c r="AL3190" s="175">
        <v>22</v>
      </c>
      <c r="AM3190" s="175">
        <v>20</v>
      </c>
      <c r="AN3190" s="175">
        <v>0</v>
      </c>
      <c r="AO3190" s="175">
        <v>59</v>
      </c>
      <c r="AP3190" s="175">
        <v>23</v>
      </c>
      <c r="AQ3190" s="175">
        <v>11</v>
      </c>
      <c r="AR3190" s="175">
        <v>1</v>
      </c>
      <c r="AS3190" s="175">
        <v>29</v>
      </c>
      <c r="AT3190" s="175">
        <v>2</v>
      </c>
    </row>
    <row r="3191" spans="1:46">
      <c r="A3191">
        <v>48029</v>
      </c>
      <c r="B3191" t="s">
        <v>17941</v>
      </c>
      <c r="C3191" t="s">
        <v>17942</v>
      </c>
      <c r="D3191" t="s">
        <v>17943</v>
      </c>
      <c r="E3191" t="s">
        <v>17944</v>
      </c>
      <c r="G3191" t="s">
        <v>668</v>
      </c>
      <c r="H3191" t="s">
        <v>449</v>
      </c>
      <c r="J3191" t="s">
        <v>605</v>
      </c>
      <c r="K3191" t="s">
        <v>606</v>
      </c>
      <c r="M3191" t="s">
        <v>607</v>
      </c>
      <c r="N3191" t="s">
        <v>643</v>
      </c>
      <c r="O3191" t="s">
        <v>669</v>
      </c>
      <c r="P3191" t="s">
        <v>670</v>
      </c>
      <c r="Q3191" t="s">
        <v>509</v>
      </c>
      <c r="R3191" t="s">
        <v>611</v>
      </c>
      <c r="S3191" t="s">
        <v>671</v>
      </c>
      <c r="T3191" t="s">
        <v>613</v>
      </c>
      <c r="U3191">
        <v>106600</v>
      </c>
      <c r="V3191" t="s">
        <v>5100</v>
      </c>
      <c r="W3191" t="s">
        <v>673</v>
      </c>
      <c r="X3191" t="s">
        <v>4503</v>
      </c>
      <c r="Y3191" t="s">
        <v>4014</v>
      </c>
      <c r="Z3191" t="s">
        <v>4015</v>
      </c>
      <c r="AA3191" t="s">
        <v>4016</v>
      </c>
      <c r="AE3191">
        <v>-35.708210809999997</v>
      </c>
      <c r="AF3191">
        <v>174.32038693000001</v>
      </c>
      <c r="AG3191" s="175">
        <v>75</v>
      </c>
      <c r="AH3191" s="175">
        <v>15</v>
      </c>
      <c r="AI3191" s="175">
        <v>1</v>
      </c>
      <c r="AJ3191" s="175">
        <v>15</v>
      </c>
      <c r="AK3191" s="175">
        <v>16</v>
      </c>
      <c r="AL3191" s="175">
        <v>31</v>
      </c>
      <c r="AM3191" s="175">
        <v>25</v>
      </c>
      <c r="AN3191" s="175">
        <v>1</v>
      </c>
      <c r="AO3191" s="175">
        <v>89</v>
      </c>
      <c r="AP3191" s="175">
        <v>44</v>
      </c>
      <c r="AQ3191" s="175">
        <v>21</v>
      </c>
      <c r="AR3191" s="175">
        <v>5</v>
      </c>
      <c r="AS3191" s="175">
        <v>35</v>
      </c>
      <c r="AT3191" s="175">
        <v>8</v>
      </c>
    </row>
    <row r="3192" spans="1:46">
      <c r="A3192">
        <v>48030</v>
      </c>
      <c r="B3192" t="s">
        <v>17945</v>
      </c>
      <c r="C3192" t="s">
        <v>17946</v>
      </c>
      <c r="E3192" t="s">
        <v>17947</v>
      </c>
      <c r="G3192" t="s">
        <v>3334</v>
      </c>
      <c r="H3192" t="s">
        <v>449</v>
      </c>
      <c r="J3192" t="s">
        <v>605</v>
      </c>
      <c r="K3192" t="s">
        <v>606</v>
      </c>
      <c r="M3192" t="s">
        <v>2366</v>
      </c>
      <c r="N3192" t="s">
        <v>657</v>
      </c>
      <c r="O3192" t="s">
        <v>3322</v>
      </c>
      <c r="P3192" t="s">
        <v>1347</v>
      </c>
      <c r="Q3192" t="s">
        <v>521</v>
      </c>
      <c r="R3192" t="s">
        <v>3017</v>
      </c>
      <c r="S3192" t="s">
        <v>3292</v>
      </c>
      <c r="T3192" t="s">
        <v>2526</v>
      </c>
      <c r="U3192">
        <v>340400</v>
      </c>
      <c r="V3192" t="s">
        <v>17948</v>
      </c>
      <c r="W3192" t="s">
        <v>3336</v>
      </c>
      <c r="X3192" t="s">
        <v>10864</v>
      </c>
      <c r="Y3192" t="s">
        <v>4014</v>
      </c>
      <c r="Z3192" t="s">
        <v>4015</v>
      </c>
      <c r="AA3192" t="s">
        <v>4016</v>
      </c>
      <c r="AE3192">
        <v>-44.386319350000001</v>
      </c>
      <c r="AF3192">
        <v>171.23107358999999</v>
      </c>
      <c r="AG3192" s="175">
        <v>74</v>
      </c>
      <c r="AH3192" s="175">
        <v>16</v>
      </c>
      <c r="AI3192" s="175">
        <v>5</v>
      </c>
      <c r="AJ3192" s="175">
        <v>17</v>
      </c>
      <c r="AK3192" s="175">
        <v>22</v>
      </c>
      <c r="AL3192" s="175">
        <v>29</v>
      </c>
      <c r="AM3192" s="175">
        <v>16</v>
      </c>
      <c r="AN3192" s="175">
        <v>0</v>
      </c>
      <c r="AO3192" s="175">
        <v>89</v>
      </c>
      <c r="AP3192" s="175">
        <v>53</v>
      </c>
      <c r="AQ3192" s="175">
        <v>14</v>
      </c>
      <c r="AR3192" s="175">
        <v>6</v>
      </c>
      <c r="AS3192" s="175">
        <v>8</v>
      </c>
      <c r="AT3192" s="175">
        <v>20</v>
      </c>
    </row>
    <row r="3193" spans="1:46">
      <c r="A3193">
        <v>48031</v>
      </c>
      <c r="B3193" t="s">
        <v>17949</v>
      </c>
      <c r="C3193" t="s">
        <v>17950</v>
      </c>
      <c r="E3193" t="s">
        <v>17951</v>
      </c>
      <c r="F3193" t="s">
        <v>7767</v>
      </c>
      <c r="G3193" t="s">
        <v>3882</v>
      </c>
      <c r="H3193" t="s">
        <v>449</v>
      </c>
      <c r="J3193" t="s">
        <v>4032</v>
      </c>
      <c r="K3193" t="s">
        <v>606</v>
      </c>
      <c r="M3193" t="s">
        <v>607</v>
      </c>
      <c r="N3193" t="s">
        <v>657</v>
      </c>
      <c r="O3193" t="s">
        <v>1435</v>
      </c>
      <c r="P3193" t="s">
        <v>658</v>
      </c>
      <c r="Q3193" t="s">
        <v>510</v>
      </c>
      <c r="R3193" t="s">
        <v>814</v>
      </c>
      <c r="S3193" t="s">
        <v>1331</v>
      </c>
      <c r="T3193" t="s">
        <v>1320</v>
      </c>
      <c r="U3193">
        <v>170101</v>
      </c>
      <c r="V3193" t="s">
        <v>7767</v>
      </c>
      <c r="W3193" t="s">
        <v>7768</v>
      </c>
      <c r="X3193" t="s">
        <v>17952</v>
      </c>
      <c r="Y3193" t="s">
        <v>16414</v>
      </c>
      <c r="AA3193" t="s">
        <v>16415</v>
      </c>
      <c r="AE3193">
        <v>-37.331395960000002</v>
      </c>
      <c r="AF3193">
        <v>174.91479258000001</v>
      </c>
      <c r="AG3193" s="175">
        <v>40</v>
      </c>
      <c r="AH3193" s="175">
        <v>10</v>
      </c>
      <c r="AI3193" s="175">
        <v>1</v>
      </c>
      <c r="AJ3193" s="175">
        <v>7</v>
      </c>
      <c r="AK3193" s="175">
        <v>7</v>
      </c>
      <c r="AL3193" s="175">
        <v>9</v>
      </c>
      <c r="AM3193" s="175">
        <v>7</v>
      </c>
      <c r="AN3193" s="175">
        <v>1</v>
      </c>
      <c r="AO3193" s="175">
        <v>32</v>
      </c>
      <c r="AP3193" s="175">
        <v>28</v>
      </c>
      <c r="AQ3193" s="175">
        <v>13</v>
      </c>
      <c r="AR3193" s="175">
        <v>2</v>
      </c>
      <c r="AS3193" s="175">
        <v>0</v>
      </c>
      <c r="AT3193" s="175">
        <v>0</v>
      </c>
    </row>
    <row r="3194" spans="1:46">
      <c r="A3194">
        <v>48034</v>
      </c>
      <c r="B3194" t="s">
        <v>17953</v>
      </c>
      <c r="C3194" t="s">
        <v>17954</v>
      </c>
      <c r="E3194" t="s">
        <v>17955</v>
      </c>
      <c r="F3194" t="s">
        <v>822</v>
      </c>
      <c r="G3194" t="s">
        <v>737</v>
      </c>
      <c r="H3194" t="s">
        <v>449</v>
      </c>
      <c r="J3194" t="s">
        <v>4032</v>
      </c>
      <c r="K3194" t="s">
        <v>606</v>
      </c>
      <c r="M3194" t="s">
        <v>607</v>
      </c>
      <c r="N3194" t="s">
        <v>657</v>
      </c>
      <c r="O3194" t="s">
        <v>823</v>
      </c>
      <c r="P3194" t="s">
        <v>739</v>
      </c>
      <c r="Q3194" t="s">
        <v>467</v>
      </c>
      <c r="R3194" t="s">
        <v>724</v>
      </c>
      <c r="S3194" t="s">
        <v>841</v>
      </c>
      <c r="T3194" t="s">
        <v>613</v>
      </c>
      <c r="U3194">
        <v>124000</v>
      </c>
      <c r="V3194" t="s">
        <v>1066</v>
      </c>
      <c r="W3194" t="s">
        <v>826</v>
      </c>
      <c r="X3194" t="s">
        <v>17956</v>
      </c>
      <c r="Y3194" t="s">
        <v>17957</v>
      </c>
      <c r="Z3194" t="s">
        <v>822</v>
      </c>
      <c r="AA3194" t="s">
        <v>6963</v>
      </c>
      <c r="AB3194" t="s">
        <v>17958</v>
      </c>
      <c r="AE3194">
        <v>-36.779459080000002</v>
      </c>
      <c r="AF3194">
        <v>174.72672575999999</v>
      </c>
      <c r="AG3194" s="175">
        <v>35</v>
      </c>
      <c r="AH3194" s="175">
        <v>7</v>
      </c>
      <c r="AI3194" s="175">
        <v>0</v>
      </c>
      <c r="AJ3194" s="175">
        <v>4</v>
      </c>
      <c r="AK3194" s="175">
        <v>5</v>
      </c>
      <c r="AL3194" s="175">
        <v>4</v>
      </c>
      <c r="AM3194" s="175">
        <v>9</v>
      </c>
      <c r="AN3194" s="175">
        <v>0</v>
      </c>
      <c r="AO3194" s="175">
        <v>22</v>
      </c>
      <c r="AP3194" s="175">
        <v>6</v>
      </c>
      <c r="AQ3194" s="175">
        <v>5</v>
      </c>
      <c r="AR3194" s="175">
        <v>2</v>
      </c>
      <c r="AS3194" s="175">
        <v>15</v>
      </c>
      <c r="AT3194" s="175">
        <v>1</v>
      </c>
    </row>
    <row r="3195" spans="1:46">
      <c r="A3195">
        <v>48035</v>
      </c>
      <c r="B3195" t="s">
        <v>17959</v>
      </c>
      <c r="C3195" t="s">
        <v>17960</v>
      </c>
      <c r="E3195" t="s">
        <v>17961</v>
      </c>
      <c r="F3195" t="s">
        <v>1120</v>
      </c>
      <c r="G3195" t="s">
        <v>737</v>
      </c>
      <c r="H3195" t="s">
        <v>449</v>
      </c>
      <c r="J3195" t="s">
        <v>4032</v>
      </c>
      <c r="K3195" t="s">
        <v>606</v>
      </c>
      <c r="M3195" t="s">
        <v>607</v>
      </c>
      <c r="N3195" t="s">
        <v>625</v>
      </c>
      <c r="O3195" t="s">
        <v>813</v>
      </c>
      <c r="P3195" t="s">
        <v>739</v>
      </c>
      <c r="Q3195" t="s">
        <v>467</v>
      </c>
      <c r="R3195" t="s">
        <v>814</v>
      </c>
      <c r="S3195" t="s">
        <v>934</v>
      </c>
      <c r="T3195" t="s">
        <v>794</v>
      </c>
      <c r="U3195">
        <v>154801</v>
      </c>
      <c r="V3195" t="s">
        <v>14152</v>
      </c>
      <c r="W3195" t="s">
        <v>817</v>
      </c>
      <c r="X3195" t="s">
        <v>17962</v>
      </c>
      <c r="Y3195" t="s">
        <v>4839</v>
      </c>
      <c r="Z3195" t="s">
        <v>964</v>
      </c>
      <c r="AA3195" t="s">
        <v>4840</v>
      </c>
      <c r="AB3195" t="s">
        <v>17963</v>
      </c>
      <c r="AE3195">
        <v>-36.975718260000001</v>
      </c>
      <c r="AF3195">
        <v>174.84490887999999</v>
      </c>
      <c r="AG3195" s="175">
        <v>70</v>
      </c>
      <c r="AH3195" s="175">
        <v>14</v>
      </c>
      <c r="AI3195" s="175">
        <v>1</v>
      </c>
      <c r="AJ3195" s="175">
        <v>8</v>
      </c>
      <c r="AK3195" s="175">
        <v>10</v>
      </c>
      <c r="AL3195" s="175">
        <v>21</v>
      </c>
      <c r="AM3195" s="175">
        <v>21</v>
      </c>
      <c r="AN3195" s="175">
        <v>0</v>
      </c>
      <c r="AO3195" s="175">
        <v>61</v>
      </c>
      <c r="AP3195" s="175">
        <v>5</v>
      </c>
      <c r="AQ3195" s="175">
        <v>11</v>
      </c>
      <c r="AR3195" s="175">
        <v>39</v>
      </c>
      <c r="AS3195" s="175">
        <v>23</v>
      </c>
      <c r="AT3195" s="175">
        <v>0</v>
      </c>
    </row>
    <row r="3196" spans="1:46">
      <c r="A3196">
        <v>48036</v>
      </c>
      <c r="B3196" t="s">
        <v>17964</v>
      </c>
      <c r="E3196" t="s">
        <v>17965</v>
      </c>
      <c r="F3196" t="s">
        <v>2583</v>
      </c>
      <c r="G3196" t="s">
        <v>2505</v>
      </c>
      <c r="H3196" t="s">
        <v>449</v>
      </c>
      <c r="J3196" t="s">
        <v>4032</v>
      </c>
      <c r="K3196" t="s">
        <v>606</v>
      </c>
      <c r="M3196" t="s">
        <v>2366</v>
      </c>
      <c r="N3196" t="s">
        <v>643</v>
      </c>
      <c r="O3196" t="s">
        <v>2506</v>
      </c>
      <c r="P3196" t="s">
        <v>739</v>
      </c>
      <c r="Q3196" t="s">
        <v>516</v>
      </c>
      <c r="R3196" t="s">
        <v>2368</v>
      </c>
      <c r="S3196" t="s">
        <v>2451</v>
      </c>
      <c r="T3196" t="s">
        <v>2165</v>
      </c>
      <c r="U3196">
        <v>244600</v>
      </c>
      <c r="V3196" t="s">
        <v>2584</v>
      </c>
      <c r="W3196" t="s">
        <v>2546</v>
      </c>
      <c r="X3196" t="s">
        <v>17966</v>
      </c>
      <c r="Y3196" t="s">
        <v>4807</v>
      </c>
      <c r="Z3196" t="s">
        <v>2473</v>
      </c>
      <c r="AA3196" t="s">
        <v>4808</v>
      </c>
      <c r="AE3196">
        <v>-41.186184429999997</v>
      </c>
      <c r="AF3196">
        <v>174.95571189</v>
      </c>
      <c r="AG3196" s="175">
        <v>53</v>
      </c>
      <c r="AH3196" s="175">
        <v>15</v>
      </c>
      <c r="AI3196" s="175">
        <v>1</v>
      </c>
      <c r="AJ3196" s="175">
        <v>6</v>
      </c>
      <c r="AK3196" s="175">
        <v>12</v>
      </c>
      <c r="AL3196" s="175">
        <v>14</v>
      </c>
      <c r="AM3196" s="175">
        <v>11</v>
      </c>
      <c r="AN3196" s="175">
        <v>0</v>
      </c>
      <c r="AO3196" s="175">
        <v>44</v>
      </c>
      <c r="AP3196" s="175">
        <v>13</v>
      </c>
      <c r="AQ3196" s="175">
        <v>17</v>
      </c>
      <c r="AR3196" s="175">
        <v>12</v>
      </c>
      <c r="AS3196" s="175">
        <v>19</v>
      </c>
      <c r="AT3196" s="175">
        <v>1</v>
      </c>
    </row>
    <row r="3197" spans="1:46">
      <c r="A3197">
        <v>48039</v>
      </c>
      <c r="B3197" t="s">
        <v>17967</v>
      </c>
      <c r="C3197" t="s">
        <v>17968</v>
      </c>
      <c r="E3197" t="s">
        <v>14996</v>
      </c>
      <c r="G3197" t="s">
        <v>604</v>
      </c>
      <c r="H3197" t="s">
        <v>449</v>
      </c>
      <c r="J3197" t="s">
        <v>4032</v>
      </c>
      <c r="K3197" t="s">
        <v>606</v>
      </c>
      <c r="M3197" t="s">
        <v>607</v>
      </c>
      <c r="N3197" t="s">
        <v>625</v>
      </c>
      <c r="O3197" t="s">
        <v>609</v>
      </c>
      <c r="P3197" t="s">
        <v>610</v>
      </c>
      <c r="Q3197" t="s">
        <v>509</v>
      </c>
      <c r="R3197" t="s">
        <v>611</v>
      </c>
      <c r="S3197" t="s">
        <v>612</v>
      </c>
      <c r="T3197" t="s">
        <v>613</v>
      </c>
      <c r="U3197">
        <v>100700</v>
      </c>
      <c r="V3197" t="s">
        <v>632</v>
      </c>
      <c r="W3197" t="s">
        <v>615</v>
      </c>
      <c r="X3197" t="s">
        <v>12374</v>
      </c>
      <c r="Y3197" t="s">
        <v>12372</v>
      </c>
      <c r="AA3197" t="s">
        <v>12375</v>
      </c>
      <c r="AB3197" t="s">
        <v>12376</v>
      </c>
      <c r="AE3197">
        <v>-35.112591160000001</v>
      </c>
      <c r="AF3197">
        <v>173.26660978999999</v>
      </c>
      <c r="AG3197" s="175">
        <v>50</v>
      </c>
      <c r="AH3197" s="175">
        <v>10</v>
      </c>
      <c r="AI3197" s="175">
        <v>3</v>
      </c>
      <c r="AJ3197" s="175">
        <v>6</v>
      </c>
      <c r="AK3197" s="175">
        <v>13</v>
      </c>
      <c r="AL3197" s="175">
        <v>10</v>
      </c>
      <c r="AM3197" s="175">
        <v>14</v>
      </c>
      <c r="AN3197" s="175">
        <v>0</v>
      </c>
      <c r="AO3197" s="175">
        <v>46</v>
      </c>
      <c r="AP3197" s="175">
        <v>33</v>
      </c>
      <c r="AQ3197" s="175">
        <v>34</v>
      </c>
      <c r="AR3197" s="175">
        <v>5</v>
      </c>
      <c r="AS3197" s="175">
        <v>2</v>
      </c>
      <c r="AT3197" s="175">
        <v>2</v>
      </c>
    </row>
    <row r="3198" spans="1:46">
      <c r="A3198">
        <v>48040</v>
      </c>
      <c r="B3198" t="s">
        <v>17969</v>
      </c>
      <c r="C3198" t="s">
        <v>17970</v>
      </c>
      <c r="E3198" t="s">
        <v>17971</v>
      </c>
      <c r="F3198" t="s">
        <v>3973</v>
      </c>
      <c r="G3198" t="s">
        <v>737</v>
      </c>
      <c r="H3198" t="s">
        <v>449</v>
      </c>
      <c r="J3198" t="s">
        <v>4032</v>
      </c>
      <c r="K3198" t="s">
        <v>606</v>
      </c>
      <c r="M3198" t="s">
        <v>607</v>
      </c>
      <c r="N3198" t="s">
        <v>657</v>
      </c>
      <c r="O3198" t="s">
        <v>1253</v>
      </c>
      <c r="P3198" t="s">
        <v>739</v>
      </c>
      <c r="Q3198" t="s">
        <v>467</v>
      </c>
      <c r="R3198" t="s">
        <v>724</v>
      </c>
      <c r="S3198" t="s">
        <v>824</v>
      </c>
      <c r="T3198" t="s">
        <v>613</v>
      </c>
      <c r="U3198">
        <v>118900</v>
      </c>
      <c r="V3198" t="s">
        <v>3974</v>
      </c>
      <c r="W3198" t="s">
        <v>742</v>
      </c>
      <c r="X3198" t="s">
        <v>12798</v>
      </c>
      <c r="Y3198" t="s">
        <v>17972</v>
      </c>
      <c r="Z3198" t="s">
        <v>767</v>
      </c>
      <c r="AA3198" t="s">
        <v>17973</v>
      </c>
      <c r="AB3198" t="s">
        <v>12795</v>
      </c>
      <c r="AE3198">
        <v>-36.775569599999997</v>
      </c>
      <c r="AF3198">
        <v>174.67512578</v>
      </c>
      <c r="AG3198" s="175">
        <v>60</v>
      </c>
      <c r="AH3198" s="175">
        <v>18</v>
      </c>
      <c r="AI3198" s="175">
        <v>1</v>
      </c>
      <c r="AJ3198" s="175">
        <v>10</v>
      </c>
      <c r="AK3198" s="175">
        <v>14</v>
      </c>
      <c r="AL3198" s="175">
        <v>23</v>
      </c>
      <c r="AM3198" s="175">
        <v>16</v>
      </c>
      <c r="AN3198" s="175">
        <v>1</v>
      </c>
      <c r="AO3198" s="175">
        <v>65</v>
      </c>
      <c r="AP3198" s="175">
        <v>45</v>
      </c>
      <c r="AQ3198" s="175">
        <v>2</v>
      </c>
      <c r="AR3198" s="175">
        <v>0</v>
      </c>
      <c r="AS3198" s="175">
        <v>23</v>
      </c>
      <c r="AT3198" s="175">
        <v>2</v>
      </c>
    </row>
    <row r="3199" spans="1:46">
      <c r="A3199">
        <v>48041</v>
      </c>
      <c r="B3199" t="s">
        <v>17974</v>
      </c>
      <c r="C3199" t="s">
        <v>17975</v>
      </c>
      <c r="D3199" t="s">
        <v>17976</v>
      </c>
      <c r="E3199" t="s">
        <v>17977</v>
      </c>
      <c r="F3199" t="s">
        <v>5170</v>
      </c>
      <c r="G3199" t="s">
        <v>737</v>
      </c>
      <c r="H3199" t="s">
        <v>449</v>
      </c>
      <c r="J3199" t="s">
        <v>4032</v>
      </c>
      <c r="K3199" t="s">
        <v>606</v>
      </c>
      <c r="M3199" t="s">
        <v>607</v>
      </c>
      <c r="N3199" t="s">
        <v>657</v>
      </c>
      <c r="O3199" t="s">
        <v>792</v>
      </c>
      <c r="P3199" t="s">
        <v>739</v>
      </c>
      <c r="Q3199" t="s">
        <v>467</v>
      </c>
      <c r="R3199" t="s">
        <v>814</v>
      </c>
      <c r="S3199" t="s">
        <v>863</v>
      </c>
      <c r="T3199" t="s">
        <v>794</v>
      </c>
      <c r="U3199">
        <v>157301</v>
      </c>
      <c r="V3199" t="s">
        <v>17978</v>
      </c>
      <c r="W3199" t="s">
        <v>796</v>
      </c>
      <c r="X3199" t="s">
        <v>17979</v>
      </c>
      <c r="Y3199" t="s">
        <v>17980</v>
      </c>
      <c r="Z3199" t="s">
        <v>906</v>
      </c>
      <c r="AA3199" t="s">
        <v>4138</v>
      </c>
      <c r="AB3199" t="s">
        <v>17975</v>
      </c>
      <c r="AE3199">
        <v>-36.964726220000003</v>
      </c>
      <c r="AF3199">
        <v>174.91270299999999</v>
      </c>
      <c r="AG3199" s="175">
        <v>63</v>
      </c>
      <c r="AH3199" s="175">
        <v>16</v>
      </c>
      <c r="AI3199" s="175">
        <v>2</v>
      </c>
      <c r="AJ3199" s="175">
        <v>10</v>
      </c>
      <c r="AK3199" s="175">
        <v>13</v>
      </c>
      <c r="AL3199" s="175">
        <v>18</v>
      </c>
      <c r="AM3199" s="175">
        <v>29</v>
      </c>
      <c r="AN3199" s="175">
        <v>2</v>
      </c>
      <c r="AO3199" s="175">
        <v>74</v>
      </c>
      <c r="AP3199" s="175">
        <v>6</v>
      </c>
      <c r="AQ3199" s="175">
        <v>5</v>
      </c>
      <c r="AR3199" s="175">
        <v>9</v>
      </c>
      <c r="AS3199" s="175">
        <v>63</v>
      </c>
      <c r="AT3199" s="175">
        <v>7</v>
      </c>
    </row>
    <row r="3200" spans="1:46">
      <c r="A3200">
        <v>48043</v>
      </c>
      <c r="B3200" t="s">
        <v>17981</v>
      </c>
      <c r="C3200" t="s">
        <v>8825</v>
      </c>
      <c r="E3200" t="s">
        <v>8827</v>
      </c>
      <c r="F3200" t="s">
        <v>1397</v>
      </c>
      <c r="G3200" t="s">
        <v>1381</v>
      </c>
      <c r="H3200" t="s">
        <v>450</v>
      </c>
      <c r="J3200" t="s">
        <v>4032</v>
      </c>
      <c r="K3200" t="s">
        <v>606</v>
      </c>
      <c r="M3200" t="s">
        <v>2366</v>
      </c>
      <c r="N3200" t="s">
        <v>657</v>
      </c>
      <c r="O3200" t="s">
        <v>1383</v>
      </c>
      <c r="P3200" t="s">
        <v>739</v>
      </c>
      <c r="Q3200" t="s">
        <v>510</v>
      </c>
      <c r="R3200" t="s">
        <v>2368</v>
      </c>
      <c r="S3200" t="s">
        <v>1396</v>
      </c>
      <c r="T3200" t="s">
        <v>1320</v>
      </c>
      <c r="U3200">
        <v>177300</v>
      </c>
      <c r="V3200" t="s">
        <v>1397</v>
      </c>
      <c r="W3200" t="s">
        <v>1398</v>
      </c>
      <c r="X3200" t="s">
        <v>11028</v>
      </c>
      <c r="Y3200" t="s">
        <v>8827</v>
      </c>
      <c r="Z3200" t="s">
        <v>1397</v>
      </c>
      <c r="AA3200" t="s">
        <v>8575</v>
      </c>
      <c r="AE3200">
        <v>-37.749390910000002</v>
      </c>
      <c r="AF3200">
        <v>175.27364802</v>
      </c>
      <c r="AG3200" s="175">
        <v>80</v>
      </c>
      <c r="AH3200" s="175">
        <v>80</v>
      </c>
      <c r="AI3200" s="175">
        <v>1</v>
      </c>
      <c r="AJ3200" s="175">
        <v>19</v>
      </c>
      <c r="AK3200" s="175">
        <v>20</v>
      </c>
      <c r="AL3200" s="175">
        <v>24</v>
      </c>
      <c r="AM3200" s="175">
        <v>17</v>
      </c>
      <c r="AN3200" s="175">
        <v>0</v>
      </c>
      <c r="AO3200" s="175">
        <v>81</v>
      </c>
      <c r="AP3200" s="175">
        <v>62</v>
      </c>
      <c r="AQ3200" s="175">
        <v>22</v>
      </c>
      <c r="AR3200" s="175">
        <v>11</v>
      </c>
      <c r="AS3200" s="175">
        <v>18</v>
      </c>
      <c r="AT3200" s="175">
        <v>1</v>
      </c>
    </row>
    <row r="3201" spans="1:46">
      <c r="A3201">
        <v>48044</v>
      </c>
      <c r="B3201" t="s">
        <v>17982</v>
      </c>
      <c r="C3201" t="s">
        <v>17983</v>
      </c>
      <c r="E3201" t="s">
        <v>17984</v>
      </c>
      <c r="F3201" t="s">
        <v>17985</v>
      </c>
      <c r="G3201" t="s">
        <v>1402</v>
      </c>
      <c r="H3201" t="s">
        <v>449</v>
      </c>
      <c r="I3201" t="s">
        <v>4041</v>
      </c>
      <c r="J3201" t="s">
        <v>4032</v>
      </c>
      <c r="K3201" t="s">
        <v>606</v>
      </c>
      <c r="M3201" t="s">
        <v>1382</v>
      </c>
      <c r="N3201" t="s">
        <v>657</v>
      </c>
      <c r="O3201" t="s">
        <v>1403</v>
      </c>
      <c r="P3201" t="s">
        <v>658</v>
      </c>
      <c r="Q3201" t="s">
        <v>510</v>
      </c>
      <c r="R3201" t="s">
        <v>1384</v>
      </c>
      <c r="S3201" t="s">
        <v>1384</v>
      </c>
      <c r="T3201" t="s">
        <v>1320</v>
      </c>
      <c r="U3201">
        <v>182500</v>
      </c>
      <c r="V3201" t="s">
        <v>17986</v>
      </c>
      <c r="W3201" t="s">
        <v>17987</v>
      </c>
      <c r="X3201" t="s">
        <v>17988</v>
      </c>
      <c r="Y3201" t="s">
        <v>17989</v>
      </c>
      <c r="AA3201" t="s">
        <v>17990</v>
      </c>
      <c r="AB3201" t="s">
        <v>17983</v>
      </c>
      <c r="AE3201">
        <v>-37.818297270000002</v>
      </c>
      <c r="AF3201">
        <v>175.50917909</v>
      </c>
      <c r="AG3201" s="175">
        <v>40</v>
      </c>
      <c r="AH3201" s="175">
        <v>0</v>
      </c>
      <c r="AI3201" s="175">
        <v>0</v>
      </c>
      <c r="AJ3201" s="175">
        <v>0</v>
      </c>
      <c r="AK3201" s="175">
        <v>5</v>
      </c>
      <c r="AL3201" s="175">
        <v>20</v>
      </c>
      <c r="AM3201" s="175">
        <v>20</v>
      </c>
      <c r="AN3201" s="175">
        <v>2</v>
      </c>
      <c r="AO3201" s="175">
        <v>47</v>
      </c>
      <c r="AP3201" s="175">
        <v>46</v>
      </c>
      <c r="AQ3201" s="175">
        <v>7</v>
      </c>
      <c r="AR3201" s="175">
        <v>0</v>
      </c>
      <c r="AS3201" s="175">
        <v>1</v>
      </c>
      <c r="AT3201" s="175">
        <v>0</v>
      </c>
    </row>
    <row r="3202" spans="1:46">
      <c r="A3202">
        <v>48045</v>
      </c>
      <c r="B3202" t="s">
        <v>17991</v>
      </c>
      <c r="C3202" t="s">
        <v>17992</v>
      </c>
      <c r="E3202" t="s">
        <v>17993</v>
      </c>
      <c r="F3202" t="s">
        <v>4249</v>
      </c>
      <c r="G3202" t="s">
        <v>737</v>
      </c>
      <c r="H3202" t="s">
        <v>449</v>
      </c>
      <c r="J3202" t="s">
        <v>4032</v>
      </c>
      <c r="K3202" t="s">
        <v>606</v>
      </c>
      <c r="M3202" t="s">
        <v>607</v>
      </c>
      <c r="N3202" t="s">
        <v>657</v>
      </c>
      <c r="O3202" t="s">
        <v>1253</v>
      </c>
      <c r="P3202" t="s">
        <v>739</v>
      </c>
      <c r="Q3202" t="s">
        <v>467</v>
      </c>
      <c r="R3202" t="s">
        <v>724</v>
      </c>
      <c r="S3202" t="s">
        <v>740</v>
      </c>
      <c r="T3202" t="s">
        <v>613</v>
      </c>
      <c r="U3202">
        <v>117300</v>
      </c>
      <c r="V3202" t="s">
        <v>5769</v>
      </c>
      <c r="W3202" t="s">
        <v>742</v>
      </c>
      <c r="X3202" t="s">
        <v>17994</v>
      </c>
      <c r="Y3202" t="s">
        <v>17993</v>
      </c>
      <c r="Z3202" t="s">
        <v>4249</v>
      </c>
      <c r="AA3202" t="s">
        <v>4168</v>
      </c>
      <c r="AE3202">
        <v>-36.723614949999998</v>
      </c>
      <c r="AF3202">
        <v>174.70469284000001</v>
      </c>
      <c r="AG3202" s="175">
        <v>50</v>
      </c>
      <c r="AH3202" s="175">
        <v>15</v>
      </c>
      <c r="AI3202" s="175">
        <v>1</v>
      </c>
      <c r="AJ3202" s="175">
        <v>5</v>
      </c>
      <c r="AK3202" s="175">
        <v>7</v>
      </c>
      <c r="AL3202" s="175">
        <v>13</v>
      </c>
      <c r="AM3202" s="175">
        <v>10</v>
      </c>
      <c r="AN3202" s="175">
        <v>0</v>
      </c>
      <c r="AO3202" s="175">
        <v>36</v>
      </c>
      <c r="AP3202" s="175">
        <v>6</v>
      </c>
      <c r="AQ3202" s="175">
        <v>0</v>
      </c>
      <c r="AR3202" s="175">
        <v>0</v>
      </c>
      <c r="AS3202" s="175">
        <v>33</v>
      </c>
      <c r="AT3202" s="175">
        <v>0</v>
      </c>
    </row>
    <row r="3203" spans="1:46">
      <c r="A3203">
        <v>48046</v>
      </c>
      <c r="B3203" t="s">
        <v>17995</v>
      </c>
      <c r="C3203" t="s">
        <v>17996</v>
      </c>
      <c r="E3203" t="s">
        <v>11710</v>
      </c>
      <c r="G3203" t="s">
        <v>2276</v>
      </c>
      <c r="H3203" t="s">
        <v>450</v>
      </c>
      <c r="J3203" t="s">
        <v>4032</v>
      </c>
      <c r="K3203" t="s">
        <v>606</v>
      </c>
      <c r="M3203" t="s">
        <v>1382</v>
      </c>
      <c r="N3203" t="s">
        <v>657</v>
      </c>
      <c r="O3203" t="s">
        <v>2277</v>
      </c>
      <c r="P3203" t="s">
        <v>670</v>
      </c>
      <c r="Q3203" t="s">
        <v>513</v>
      </c>
      <c r="R3203" t="s">
        <v>1555</v>
      </c>
      <c r="S3203" t="s">
        <v>2278</v>
      </c>
      <c r="T3203" t="s">
        <v>2165</v>
      </c>
      <c r="U3203">
        <v>210500</v>
      </c>
      <c r="V3203" t="s">
        <v>11711</v>
      </c>
      <c r="W3203" t="s">
        <v>2279</v>
      </c>
      <c r="X3203" t="s">
        <v>17997</v>
      </c>
      <c r="Y3203" t="s">
        <v>11710</v>
      </c>
      <c r="AA3203" t="s">
        <v>11713</v>
      </c>
      <c r="AB3203" t="s">
        <v>17998</v>
      </c>
      <c r="AC3203">
        <v>99064</v>
      </c>
      <c r="AD3203" t="s">
        <v>1784</v>
      </c>
      <c r="AE3203">
        <v>-39.641745919999998</v>
      </c>
      <c r="AF3203">
        <v>176.84603200999999</v>
      </c>
      <c r="AG3203" s="175">
        <v>80</v>
      </c>
      <c r="AH3203" s="175">
        <v>80</v>
      </c>
      <c r="AI3203" s="175">
        <v>2</v>
      </c>
      <c r="AJ3203" s="175">
        <v>6</v>
      </c>
      <c r="AK3203" s="175">
        <v>12</v>
      </c>
      <c r="AL3203" s="175">
        <v>9</v>
      </c>
      <c r="AM3203" s="175">
        <v>4</v>
      </c>
      <c r="AN3203" s="175">
        <v>1</v>
      </c>
      <c r="AO3203" s="175">
        <v>34</v>
      </c>
      <c r="AP3203" s="175">
        <v>30</v>
      </c>
      <c r="AQ3203" s="175">
        <v>2</v>
      </c>
      <c r="AR3203" s="175">
        <v>3</v>
      </c>
      <c r="AS3203" s="175">
        <v>0</v>
      </c>
      <c r="AT3203" s="175">
        <v>0</v>
      </c>
    </row>
    <row r="3204" spans="1:46">
      <c r="A3204">
        <v>48049</v>
      </c>
      <c r="B3204" t="s">
        <v>17999</v>
      </c>
      <c r="C3204" t="s">
        <v>18000</v>
      </c>
      <c r="E3204" t="s">
        <v>18001</v>
      </c>
      <c r="F3204" t="s">
        <v>2429</v>
      </c>
      <c r="G3204" t="s">
        <v>2396</v>
      </c>
      <c r="H3204" t="s">
        <v>449</v>
      </c>
      <c r="J3204" t="s">
        <v>4032</v>
      </c>
      <c r="K3204" t="s">
        <v>606</v>
      </c>
      <c r="M3204" t="s">
        <v>2366</v>
      </c>
      <c r="N3204" t="s">
        <v>643</v>
      </c>
      <c r="O3204" t="s">
        <v>2397</v>
      </c>
      <c r="P3204" t="s">
        <v>1347</v>
      </c>
      <c r="Q3204" t="s">
        <v>516</v>
      </c>
      <c r="R3204" t="s">
        <v>2368</v>
      </c>
      <c r="S3204" t="s">
        <v>2348</v>
      </c>
      <c r="T3204" t="s">
        <v>2165</v>
      </c>
      <c r="U3204">
        <v>256200</v>
      </c>
      <c r="V3204" t="s">
        <v>2419</v>
      </c>
      <c r="W3204" t="s">
        <v>2399</v>
      </c>
      <c r="X3204" t="s">
        <v>18002</v>
      </c>
      <c r="Y3204" t="s">
        <v>18001</v>
      </c>
      <c r="Z3204" t="s">
        <v>2429</v>
      </c>
      <c r="AA3204" t="s">
        <v>11995</v>
      </c>
      <c r="AE3204">
        <v>-40.96253961</v>
      </c>
      <c r="AF3204">
        <v>175.6395388</v>
      </c>
      <c r="AG3204" s="175">
        <v>20</v>
      </c>
      <c r="AH3204" s="175">
        <v>16</v>
      </c>
      <c r="AI3204" s="175">
        <v>3</v>
      </c>
      <c r="AJ3204" s="175">
        <v>10</v>
      </c>
      <c r="AK3204" s="175">
        <v>13</v>
      </c>
      <c r="AL3204" s="175">
        <v>0</v>
      </c>
      <c r="AM3204" s="175">
        <v>0</v>
      </c>
      <c r="AN3204" s="175">
        <v>0</v>
      </c>
      <c r="AO3204" s="175">
        <v>26</v>
      </c>
      <c r="AP3204" s="175">
        <v>17</v>
      </c>
      <c r="AQ3204" s="175">
        <v>16</v>
      </c>
      <c r="AR3204" s="175">
        <v>5</v>
      </c>
      <c r="AS3204" s="175">
        <v>2</v>
      </c>
      <c r="AT3204" s="175">
        <v>2</v>
      </c>
    </row>
    <row r="3205" spans="1:46">
      <c r="A3205">
        <v>48055</v>
      </c>
      <c r="B3205" t="s">
        <v>18003</v>
      </c>
      <c r="C3205" t="s">
        <v>18004</v>
      </c>
      <c r="E3205" t="s">
        <v>18005</v>
      </c>
      <c r="F3205" t="s">
        <v>766</v>
      </c>
      <c r="G3205" t="s">
        <v>737</v>
      </c>
      <c r="H3205" t="s">
        <v>449</v>
      </c>
      <c r="J3205" t="s">
        <v>4032</v>
      </c>
      <c r="K3205" t="s">
        <v>606</v>
      </c>
      <c r="M3205" t="s">
        <v>607</v>
      </c>
      <c r="N3205" t="s">
        <v>657</v>
      </c>
      <c r="O3205" t="s">
        <v>738</v>
      </c>
      <c r="P3205" t="s">
        <v>739</v>
      </c>
      <c r="Q3205" t="s">
        <v>467</v>
      </c>
      <c r="R3205" t="s">
        <v>724</v>
      </c>
      <c r="S3205" t="s">
        <v>767</v>
      </c>
      <c r="T3205" t="s">
        <v>613</v>
      </c>
      <c r="U3205">
        <v>120800</v>
      </c>
      <c r="V3205" t="s">
        <v>18006</v>
      </c>
      <c r="W3205" t="s">
        <v>742</v>
      </c>
      <c r="X3205" t="s">
        <v>18007</v>
      </c>
      <c r="Y3205" t="s">
        <v>18008</v>
      </c>
      <c r="Z3205" t="s">
        <v>11808</v>
      </c>
      <c r="AA3205" t="s">
        <v>4604</v>
      </c>
      <c r="AE3205">
        <v>-36.739723580000003</v>
      </c>
      <c r="AF3205">
        <v>174.75448152999999</v>
      </c>
      <c r="AG3205" s="175">
        <v>100</v>
      </c>
      <c r="AH3205" s="175">
        <v>22</v>
      </c>
      <c r="AI3205" s="175">
        <v>2</v>
      </c>
      <c r="AJ3205" s="175">
        <v>17</v>
      </c>
      <c r="AK3205" s="175">
        <v>31</v>
      </c>
      <c r="AL3205" s="175">
        <v>17</v>
      </c>
      <c r="AM3205" s="175">
        <v>24</v>
      </c>
      <c r="AN3205" s="175">
        <v>2</v>
      </c>
      <c r="AO3205" s="175">
        <v>93</v>
      </c>
      <c r="AP3205" s="175">
        <v>52</v>
      </c>
      <c r="AQ3205" s="175">
        <v>4</v>
      </c>
      <c r="AR3205" s="175">
        <v>1</v>
      </c>
      <c r="AS3205" s="175">
        <v>33</v>
      </c>
      <c r="AT3205" s="175">
        <v>11</v>
      </c>
    </row>
    <row r="3206" spans="1:46">
      <c r="A3206">
        <v>48056</v>
      </c>
      <c r="B3206" t="s">
        <v>18009</v>
      </c>
      <c r="C3206" t="s">
        <v>18010</v>
      </c>
      <c r="E3206" t="s">
        <v>18011</v>
      </c>
      <c r="G3206" t="s">
        <v>2055</v>
      </c>
      <c r="H3206" t="s">
        <v>449</v>
      </c>
      <c r="J3206" t="s">
        <v>605</v>
      </c>
      <c r="K3206" t="s">
        <v>606</v>
      </c>
      <c r="M3206" t="s">
        <v>1382</v>
      </c>
      <c r="N3206" t="s">
        <v>643</v>
      </c>
      <c r="O3206" t="s">
        <v>2037</v>
      </c>
      <c r="P3206" t="s">
        <v>670</v>
      </c>
      <c r="Q3206" t="s">
        <v>553</v>
      </c>
      <c r="R3206" t="s">
        <v>1841</v>
      </c>
      <c r="S3206" t="s">
        <v>2055</v>
      </c>
      <c r="T3206" t="s">
        <v>1568</v>
      </c>
      <c r="U3206">
        <v>230600</v>
      </c>
      <c r="V3206" t="s">
        <v>2056</v>
      </c>
      <c r="W3206" t="s">
        <v>2038</v>
      </c>
      <c r="X3206" t="s">
        <v>18012</v>
      </c>
      <c r="Y3206" t="s">
        <v>18013</v>
      </c>
      <c r="AA3206" t="s">
        <v>2041</v>
      </c>
      <c r="AB3206" t="s">
        <v>18014</v>
      </c>
      <c r="AC3206">
        <v>99164</v>
      </c>
      <c r="AD3206" t="s">
        <v>18015</v>
      </c>
      <c r="AE3206">
        <v>-40.360465060000003</v>
      </c>
      <c r="AF3206">
        <v>175.60832951</v>
      </c>
      <c r="AG3206" s="175">
        <v>54</v>
      </c>
      <c r="AH3206" s="175">
        <v>14</v>
      </c>
      <c r="AI3206" s="175">
        <v>1</v>
      </c>
      <c r="AJ3206" s="175">
        <v>6</v>
      </c>
      <c r="AK3206" s="175">
        <v>12</v>
      </c>
      <c r="AL3206" s="175">
        <v>10</v>
      </c>
      <c r="AM3206" s="175">
        <v>9</v>
      </c>
      <c r="AN3206" s="175">
        <v>0</v>
      </c>
      <c r="AO3206" s="175">
        <v>38</v>
      </c>
      <c r="AP3206" s="175">
        <v>23</v>
      </c>
      <c r="AQ3206" s="175">
        <v>4</v>
      </c>
      <c r="AR3206" s="175">
        <v>6</v>
      </c>
      <c r="AS3206" s="175">
        <v>11</v>
      </c>
      <c r="AT3206" s="175">
        <v>4</v>
      </c>
    </row>
    <row r="3207" spans="1:46">
      <c r="A3207">
        <v>48057</v>
      </c>
      <c r="B3207" t="s">
        <v>18016</v>
      </c>
      <c r="C3207" t="s">
        <v>18017</v>
      </c>
      <c r="E3207" t="s">
        <v>18018</v>
      </c>
      <c r="F3207" t="s">
        <v>1199</v>
      </c>
      <c r="G3207" t="s">
        <v>737</v>
      </c>
      <c r="H3207" t="s">
        <v>449</v>
      </c>
      <c r="J3207" t="s">
        <v>4032</v>
      </c>
      <c r="K3207" t="s">
        <v>606</v>
      </c>
      <c r="M3207" t="s">
        <v>607</v>
      </c>
      <c r="N3207" t="s">
        <v>657</v>
      </c>
      <c r="O3207" t="s">
        <v>898</v>
      </c>
      <c r="P3207" t="s">
        <v>739</v>
      </c>
      <c r="Q3207" t="s">
        <v>467</v>
      </c>
      <c r="R3207" t="s">
        <v>724</v>
      </c>
      <c r="S3207" t="s">
        <v>984</v>
      </c>
      <c r="T3207" t="s">
        <v>613</v>
      </c>
      <c r="U3207">
        <v>122001</v>
      </c>
      <c r="V3207" t="s">
        <v>4040</v>
      </c>
      <c r="W3207" t="s">
        <v>900</v>
      </c>
      <c r="X3207" t="s">
        <v>18019</v>
      </c>
      <c r="Y3207" t="s">
        <v>18020</v>
      </c>
      <c r="Z3207" t="s">
        <v>983</v>
      </c>
      <c r="AA3207" t="s">
        <v>4034</v>
      </c>
      <c r="AB3207" t="s">
        <v>18017</v>
      </c>
      <c r="AE3207">
        <v>-36.854177579999998</v>
      </c>
      <c r="AF3207">
        <v>174.60107765999999</v>
      </c>
      <c r="AG3207" s="175">
        <v>40</v>
      </c>
      <c r="AH3207" s="175">
        <v>10</v>
      </c>
      <c r="AI3207" s="175">
        <v>1</v>
      </c>
      <c r="AJ3207" s="175">
        <v>2</v>
      </c>
      <c r="AK3207" s="175">
        <v>12</v>
      </c>
      <c r="AL3207" s="175">
        <v>4</v>
      </c>
      <c r="AM3207" s="175">
        <v>3</v>
      </c>
      <c r="AN3207" s="175">
        <v>0</v>
      </c>
      <c r="AO3207" s="175">
        <v>22</v>
      </c>
      <c r="AP3207" s="175">
        <v>17</v>
      </c>
      <c r="AQ3207" s="175">
        <v>5</v>
      </c>
      <c r="AR3207" s="175">
        <v>4</v>
      </c>
      <c r="AS3207" s="175">
        <v>7</v>
      </c>
      <c r="AT3207" s="175">
        <v>0</v>
      </c>
    </row>
    <row r="3208" spans="1:46">
      <c r="A3208">
        <v>48058</v>
      </c>
      <c r="B3208" t="s">
        <v>18021</v>
      </c>
      <c r="C3208" t="s">
        <v>18022</v>
      </c>
      <c r="E3208" t="s">
        <v>18023</v>
      </c>
      <c r="F3208" t="s">
        <v>4057</v>
      </c>
      <c r="G3208" t="s">
        <v>737</v>
      </c>
      <c r="H3208" t="s">
        <v>449</v>
      </c>
      <c r="J3208" t="s">
        <v>4032</v>
      </c>
      <c r="K3208" t="s">
        <v>606</v>
      </c>
      <c r="M3208" t="s">
        <v>607</v>
      </c>
      <c r="N3208" t="s">
        <v>657</v>
      </c>
      <c r="O3208" t="s">
        <v>1318</v>
      </c>
      <c r="P3208" t="s">
        <v>1347</v>
      </c>
      <c r="Q3208" t="s">
        <v>467</v>
      </c>
      <c r="R3208" t="s">
        <v>814</v>
      </c>
      <c r="S3208" t="s">
        <v>1331</v>
      </c>
      <c r="T3208" t="s">
        <v>1320</v>
      </c>
      <c r="U3208">
        <v>165301</v>
      </c>
      <c r="V3208" t="s">
        <v>7686</v>
      </c>
      <c r="W3208" t="s">
        <v>1322</v>
      </c>
      <c r="X3208" t="s">
        <v>18024</v>
      </c>
      <c r="Y3208" t="s">
        <v>18023</v>
      </c>
      <c r="AA3208" t="s">
        <v>4604</v>
      </c>
      <c r="AB3208" t="s">
        <v>18022</v>
      </c>
      <c r="AE3208">
        <v>-37.195102030000001</v>
      </c>
      <c r="AF3208">
        <v>174.90182637999999</v>
      </c>
      <c r="AG3208" s="175">
        <v>30</v>
      </c>
      <c r="AH3208" s="175">
        <v>0</v>
      </c>
      <c r="AI3208" s="175">
        <v>0</v>
      </c>
      <c r="AJ3208" s="175">
        <v>0</v>
      </c>
      <c r="AK3208" s="175">
        <v>0</v>
      </c>
      <c r="AL3208" s="175">
        <v>7</v>
      </c>
      <c r="AM3208" s="175">
        <v>5</v>
      </c>
      <c r="AN3208" s="175">
        <v>0</v>
      </c>
      <c r="AO3208" s="175">
        <v>12</v>
      </c>
      <c r="AP3208" s="175">
        <v>3</v>
      </c>
      <c r="AQ3208" s="175">
        <v>2</v>
      </c>
      <c r="AR3208" s="175">
        <v>3</v>
      </c>
      <c r="AS3208" s="175">
        <v>6</v>
      </c>
      <c r="AT3208" s="175">
        <v>2</v>
      </c>
    </row>
    <row r="3209" spans="1:46">
      <c r="A3209">
        <v>48059</v>
      </c>
      <c r="B3209" t="s">
        <v>18025</v>
      </c>
      <c r="C3209" t="s">
        <v>18026</v>
      </c>
      <c r="E3209" t="s">
        <v>18027</v>
      </c>
      <c r="G3209" t="s">
        <v>18028</v>
      </c>
      <c r="H3209" t="s">
        <v>452</v>
      </c>
      <c r="J3209" t="s">
        <v>605</v>
      </c>
      <c r="K3209" t="s">
        <v>606</v>
      </c>
      <c r="M3209" t="s">
        <v>2366</v>
      </c>
      <c r="N3209" t="s">
        <v>657</v>
      </c>
      <c r="O3209" t="s">
        <v>3598</v>
      </c>
      <c r="P3209" t="s">
        <v>626</v>
      </c>
      <c r="Q3209" t="s">
        <v>523</v>
      </c>
      <c r="R3209" t="s">
        <v>3410</v>
      </c>
      <c r="S3209" t="s">
        <v>3433</v>
      </c>
      <c r="T3209" t="s">
        <v>2526</v>
      </c>
      <c r="U3209">
        <v>358200</v>
      </c>
      <c r="V3209" t="s">
        <v>18029</v>
      </c>
      <c r="W3209" t="s">
        <v>3600</v>
      </c>
      <c r="X3209" t="s">
        <v>3570</v>
      </c>
      <c r="Y3209" t="s">
        <v>3571</v>
      </c>
      <c r="Z3209" t="s">
        <v>3569</v>
      </c>
      <c r="AA3209" t="s">
        <v>3572</v>
      </c>
      <c r="AB3209" t="s">
        <v>3573</v>
      </c>
      <c r="AE3209">
        <v>-45.742121509999997</v>
      </c>
      <c r="AF3209">
        <v>168.44340321000001</v>
      </c>
      <c r="AG3209" s="175">
        <v>30</v>
      </c>
      <c r="AH3209" s="175">
        <v>0</v>
      </c>
      <c r="AI3209" s="175">
        <v>0</v>
      </c>
      <c r="AJ3209" s="175">
        <v>0</v>
      </c>
      <c r="AK3209" s="175">
        <v>4</v>
      </c>
      <c r="AL3209" s="175">
        <v>15</v>
      </c>
      <c r="AM3209" s="175">
        <v>11</v>
      </c>
      <c r="AN3209" s="175">
        <v>0</v>
      </c>
      <c r="AO3209" s="175">
        <v>30</v>
      </c>
      <c r="AP3209" s="175">
        <v>20</v>
      </c>
      <c r="AQ3209" s="175">
        <v>6</v>
      </c>
      <c r="AR3209" s="175">
        <v>0</v>
      </c>
      <c r="AS3209" s="175">
        <v>6</v>
      </c>
      <c r="AT3209" s="175">
        <v>2</v>
      </c>
    </row>
    <row r="3210" spans="1:46">
      <c r="A3210">
        <v>48060</v>
      </c>
      <c r="B3210" t="s">
        <v>18030</v>
      </c>
      <c r="C3210" t="s">
        <v>18031</v>
      </c>
      <c r="E3210" t="s">
        <v>18032</v>
      </c>
      <c r="F3210" t="s">
        <v>841</v>
      </c>
      <c r="G3210" t="s">
        <v>737</v>
      </c>
      <c r="H3210" t="s">
        <v>449</v>
      </c>
      <c r="J3210" t="s">
        <v>605</v>
      </c>
      <c r="K3210" t="s">
        <v>606</v>
      </c>
      <c r="M3210" t="s">
        <v>607</v>
      </c>
      <c r="N3210" t="s">
        <v>657</v>
      </c>
      <c r="O3210" t="s">
        <v>823</v>
      </c>
      <c r="P3210" t="s">
        <v>739</v>
      </c>
      <c r="Q3210" t="s">
        <v>467</v>
      </c>
      <c r="R3210" t="s">
        <v>724</v>
      </c>
      <c r="S3210" t="s">
        <v>841</v>
      </c>
      <c r="T3210" t="s">
        <v>613</v>
      </c>
      <c r="U3210">
        <v>127200</v>
      </c>
      <c r="V3210" t="s">
        <v>5761</v>
      </c>
      <c r="W3210" t="s">
        <v>826</v>
      </c>
      <c r="X3210" t="s">
        <v>18033</v>
      </c>
      <c r="Y3210" t="s">
        <v>18032</v>
      </c>
      <c r="Z3210" t="s">
        <v>841</v>
      </c>
      <c r="AA3210" t="s">
        <v>5965</v>
      </c>
      <c r="AE3210">
        <v>-36.799984389999999</v>
      </c>
      <c r="AF3210">
        <v>174.75735280000001</v>
      </c>
      <c r="AG3210" s="175">
        <v>90</v>
      </c>
      <c r="AH3210" s="175">
        <v>20</v>
      </c>
      <c r="AI3210" s="175">
        <v>5</v>
      </c>
      <c r="AJ3210" s="175">
        <v>17</v>
      </c>
      <c r="AK3210" s="175">
        <v>16</v>
      </c>
      <c r="AL3210" s="175">
        <v>9</v>
      </c>
      <c r="AM3210" s="175">
        <v>8</v>
      </c>
      <c r="AN3210" s="175">
        <v>0</v>
      </c>
      <c r="AO3210" s="175">
        <v>55</v>
      </c>
      <c r="AP3210" s="175">
        <v>34</v>
      </c>
      <c r="AQ3210" s="175">
        <v>4</v>
      </c>
      <c r="AR3210" s="175">
        <v>6</v>
      </c>
      <c r="AS3210" s="175">
        <v>24</v>
      </c>
      <c r="AT3210" s="175">
        <v>1</v>
      </c>
    </row>
    <row r="3211" spans="1:46">
      <c r="A3211">
        <v>48062</v>
      </c>
      <c r="B3211" t="s">
        <v>18034</v>
      </c>
      <c r="E3211" t="s">
        <v>11710</v>
      </c>
      <c r="G3211" t="s">
        <v>2276</v>
      </c>
      <c r="H3211" t="s">
        <v>450</v>
      </c>
      <c r="J3211" t="s">
        <v>4032</v>
      </c>
      <c r="K3211" t="s">
        <v>606</v>
      </c>
      <c r="M3211" t="s">
        <v>2366</v>
      </c>
      <c r="N3211" t="s">
        <v>657</v>
      </c>
      <c r="O3211" t="s">
        <v>2277</v>
      </c>
      <c r="P3211" t="s">
        <v>670</v>
      </c>
      <c r="Q3211" t="s">
        <v>513</v>
      </c>
      <c r="R3211" t="s">
        <v>3410</v>
      </c>
      <c r="S3211" t="s">
        <v>2278</v>
      </c>
      <c r="T3211" t="s">
        <v>2165</v>
      </c>
      <c r="U3211">
        <v>210500</v>
      </c>
      <c r="V3211" t="s">
        <v>11711</v>
      </c>
      <c r="W3211" t="s">
        <v>2279</v>
      </c>
      <c r="X3211" t="s">
        <v>18035</v>
      </c>
      <c r="Y3211" t="s">
        <v>11710</v>
      </c>
      <c r="AA3211" t="s">
        <v>11713</v>
      </c>
      <c r="AE3211">
        <v>-39.641745919999998</v>
      </c>
      <c r="AF3211">
        <v>176.84603200999999</v>
      </c>
      <c r="AG3211" s="175">
        <v>80</v>
      </c>
      <c r="AH3211" s="175">
        <v>80</v>
      </c>
      <c r="AI3211" s="175">
        <v>6</v>
      </c>
      <c r="AJ3211" s="175">
        <v>17</v>
      </c>
      <c r="AK3211" s="175">
        <v>14</v>
      </c>
      <c r="AL3211" s="175">
        <v>10</v>
      </c>
      <c r="AM3211" s="175">
        <v>7</v>
      </c>
      <c r="AN3211" s="175">
        <v>1</v>
      </c>
      <c r="AO3211" s="175">
        <v>55</v>
      </c>
      <c r="AP3211" s="175">
        <v>53</v>
      </c>
      <c r="AQ3211" s="175">
        <v>10</v>
      </c>
      <c r="AR3211" s="175">
        <v>1</v>
      </c>
      <c r="AS3211" s="175">
        <v>2</v>
      </c>
      <c r="AT3211" s="175">
        <v>1</v>
      </c>
    </row>
    <row r="3212" spans="1:46">
      <c r="A3212">
        <v>48063</v>
      </c>
      <c r="B3212" t="s">
        <v>18036</v>
      </c>
      <c r="C3212" t="s">
        <v>1308</v>
      </c>
      <c r="E3212" t="s">
        <v>18037</v>
      </c>
      <c r="F3212" t="s">
        <v>1319</v>
      </c>
      <c r="G3212" t="s">
        <v>737</v>
      </c>
      <c r="H3212" t="s">
        <v>452</v>
      </c>
      <c r="J3212" t="s">
        <v>605</v>
      </c>
      <c r="K3212" t="s">
        <v>606</v>
      </c>
      <c r="M3212" t="s">
        <v>607</v>
      </c>
      <c r="N3212" t="s">
        <v>608</v>
      </c>
      <c r="O3212" t="s">
        <v>1353</v>
      </c>
      <c r="P3212" t="s">
        <v>739</v>
      </c>
      <c r="Q3212" t="s">
        <v>467</v>
      </c>
      <c r="R3212" t="s">
        <v>814</v>
      </c>
      <c r="S3212" t="s">
        <v>1319</v>
      </c>
      <c r="T3212" t="s">
        <v>1320</v>
      </c>
      <c r="U3212">
        <v>163502</v>
      </c>
      <c r="V3212" t="s">
        <v>7563</v>
      </c>
      <c r="W3212" t="s">
        <v>1304</v>
      </c>
      <c r="X3212" t="s">
        <v>1305</v>
      </c>
      <c r="Y3212" t="s">
        <v>1306</v>
      </c>
      <c r="Z3212" t="s">
        <v>1302</v>
      </c>
      <c r="AA3212" t="s">
        <v>1307</v>
      </c>
      <c r="AB3212" t="s">
        <v>1308</v>
      </c>
      <c r="AE3212">
        <v>-37.065806770000002</v>
      </c>
      <c r="AF3212">
        <v>174.96179642000001</v>
      </c>
      <c r="AG3212" s="175">
        <v>45</v>
      </c>
      <c r="AH3212" s="175">
        <v>5</v>
      </c>
      <c r="AI3212" s="175">
        <v>0</v>
      </c>
      <c r="AJ3212" s="175">
        <v>4</v>
      </c>
      <c r="AK3212" s="175">
        <v>6</v>
      </c>
      <c r="AL3212" s="175">
        <v>14</v>
      </c>
      <c r="AM3212" s="175">
        <v>22</v>
      </c>
      <c r="AN3212" s="175">
        <v>7</v>
      </c>
      <c r="AO3212" s="175">
        <v>53</v>
      </c>
      <c r="AP3212" s="175">
        <v>13</v>
      </c>
      <c r="AQ3212" s="175">
        <v>27</v>
      </c>
      <c r="AR3212" s="175">
        <v>22</v>
      </c>
      <c r="AS3212" s="175">
        <v>19</v>
      </c>
      <c r="AT3212" s="175">
        <v>2</v>
      </c>
    </row>
    <row r="3213" spans="1:46">
      <c r="A3213">
        <v>48064</v>
      </c>
      <c r="B3213" t="s">
        <v>18038</v>
      </c>
      <c r="E3213" t="s">
        <v>18039</v>
      </c>
      <c r="G3213" t="s">
        <v>18040</v>
      </c>
      <c r="H3213" t="s">
        <v>449</v>
      </c>
      <c r="J3213" t="s">
        <v>605</v>
      </c>
      <c r="K3213" t="s">
        <v>606</v>
      </c>
      <c r="M3213" t="s">
        <v>2366</v>
      </c>
      <c r="N3213" t="s">
        <v>9058</v>
      </c>
      <c r="O3213" t="s">
        <v>3553</v>
      </c>
      <c r="P3213" t="s">
        <v>626</v>
      </c>
      <c r="Q3213" t="s">
        <v>522</v>
      </c>
      <c r="R3213" t="s">
        <v>3410</v>
      </c>
      <c r="S3213" t="s">
        <v>3433</v>
      </c>
      <c r="T3213" t="s">
        <v>2526</v>
      </c>
      <c r="U3213">
        <v>356300</v>
      </c>
      <c r="V3213" t="s">
        <v>18041</v>
      </c>
      <c r="W3213" t="s">
        <v>18042</v>
      </c>
      <c r="X3213" t="s">
        <v>18043</v>
      </c>
      <c r="Y3213" t="s">
        <v>18044</v>
      </c>
      <c r="AA3213" t="s">
        <v>18045</v>
      </c>
      <c r="AB3213" t="s">
        <v>18046</v>
      </c>
      <c r="AE3213">
        <v>-46.451937020000003</v>
      </c>
      <c r="AF3213">
        <v>169.66103860000001</v>
      </c>
      <c r="AG3213" s="175">
        <v>28</v>
      </c>
      <c r="AH3213" s="175">
        <v>7</v>
      </c>
      <c r="AI3213" s="175">
        <v>0</v>
      </c>
      <c r="AJ3213" s="175">
        <v>6</v>
      </c>
      <c r="AK3213" s="175">
        <v>7</v>
      </c>
      <c r="AL3213" s="175">
        <v>10</v>
      </c>
      <c r="AM3213" s="175">
        <v>13</v>
      </c>
      <c r="AN3213" s="175">
        <v>0</v>
      </c>
      <c r="AO3213" s="175">
        <v>36</v>
      </c>
      <c r="AP3213" s="175">
        <v>34</v>
      </c>
      <c r="AQ3213" s="175">
        <v>14</v>
      </c>
      <c r="AR3213" s="175">
        <v>2</v>
      </c>
      <c r="AS3213" s="175">
        <v>0</v>
      </c>
      <c r="AT3213" s="175">
        <v>0</v>
      </c>
    </row>
    <row r="3214" spans="1:46">
      <c r="A3214">
        <v>48065</v>
      </c>
      <c r="B3214" t="s">
        <v>18047</v>
      </c>
      <c r="C3214" t="s">
        <v>18048</v>
      </c>
      <c r="E3214" t="s">
        <v>18049</v>
      </c>
      <c r="F3214" t="s">
        <v>983</v>
      </c>
      <c r="G3214" t="s">
        <v>737</v>
      </c>
      <c r="H3214" t="s">
        <v>449</v>
      </c>
      <c r="J3214" t="s">
        <v>4032</v>
      </c>
      <c r="K3214" t="s">
        <v>606</v>
      </c>
      <c r="M3214" t="s">
        <v>607</v>
      </c>
      <c r="N3214" t="s">
        <v>625</v>
      </c>
      <c r="O3214" t="s">
        <v>898</v>
      </c>
      <c r="P3214" t="s">
        <v>739</v>
      </c>
      <c r="Q3214" t="s">
        <v>467</v>
      </c>
      <c r="R3214" t="s">
        <v>724</v>
      </c>
      <c r="S3214" t="s">
        <v>984</v>
      </c>
      <c r="T3214" t="s">
        <v>613</v>
      </c>
      <c r="U3214">
        <v>124301</v>
      </c>
      <c r="V3214" t="s">
        <v>5998</v>
      </c>
      <c r="W3214" t="s">
        <v>900</v>
      </c>
      <c r="X3214" t="s">
        <v>18050</v>
      </c>
      <c r="Y3214" t="s">
        <v>18051</v>
      </c>
      <c r="AA3214" t="s">
        <v>15114</v>
      </c>
      <c r="AB3214" t="s">
        <v>18052</v>
      </c>
      <c r="AE3214">
        <v>-36.862369999999999</v>
      </c>
      <c r="AF3214">
        <v>174.62137999999999</v>
      </c>
      <c r="AG3214" s="175">
        <v>35</v>
      </c>
      <c r="AH3214" s="175">
        <v>5</v>
      </c>
      <c r="AI3214" s="175">
        <v>0</v>
      </c>
      <c r="AJ3214" s="175">
        <v>2</v>
      </c>
      <c r="AK3214" s="175">
        <v>3</v>
      </c>
      <c r="AL3214" s="175">
        <v>2</v>
      </c>
      <c r="AM3214" s="175">
        <v>7</v>
      </c>
      <c r="AN3214" s="175">
        <v>0</v>
      </c>
      <c r="AO3214" s="175">
        <v>14</v>
      </c>
      <c r="AP3214" s="175">
        <v>2</v>
      </c>
      <c r="AQ3214" s="175">
        <v>0</v>
      </c>
      <c r="AR3214" s="175">
        <v>11</v>
      </c>
      <c r="AS3214" s="175">
        <v>3</v>
      </c>
      <c r="AT3214" s="175">
        <v>0</v>
      </c>
    </row>
    <row r="3215" spans="1:46">
      <c r="A3215">
        <v>48066</v>
      </c>
      <c r="B3215" t="s">
        <v>18053</v>
      </c>
      <c r="C3215" t="s">
        <v>18054</v>
      </c>
      <c r="E3215" t="s">
        <v>18055</v>
      </c>
      <c r="F3215" t="s">
        <v>998</v>
      </c>
      <c r="G3215" t="s">
        <v>737</v>
      </c>
      <c r="H3215" t="s">
        <v>449</v>
      </c>
      <c r="J3215" t="s">
        <v>4032</v>
      </c>
      <c r="K3215" t="s">
        <v>606</v>
      </c>
      <c r="M3215" t="s">
        <v>607</v>
      </c>
      <c r="N3215" t="s">
        <v>643</v>
      </c>
      <c r="O3215" t="s">
        <v>997</v>
      </c>
      <c r="P3215" t="s">
        <v>739</v>
      </c>
      <c r="Q3215" t="s">
        <v>467</v>
      </c>
      <c r="R3215" t="s">
        <v>793</v>
      </c>
      <c r="S3215" t="s">
        <v>998</v>
      </c>
      <c r="T3215" t="s">
        <v>794</v>
      </c>
      <c r="U3215">
        <v>142301</v>
      </c>
      <c r="V3215" t="s">
        <v>15038</v>
      </c>
      <c r="W3215" t="s">
        <v>945</v>
      </c>
      <c r="X3215" t="s">
        <v>18056</v>
      </c>
      <c r="Y3215" t="s">
        <v>18057</v>
      </c>
      <c r="Z3215" t="s">
        <v>1108</v>
      </c>
      <c r="AA3215" t="s">
        <v>6130</v>
      </c>
      <c r="AB3215" t="s">
        <v>18054</v>
      </c>
      <c r="AE3215">
        <v>-36.925980000000003</v>
      </c>
      <c r="AF3215">
        <v>174.73724999999999</v>
      </c>
      <c r="AG3215" s="175">
        <v>64</v>
      </c>
      <c r="AH3215" s="175">
        <v>14</v>
      </c>
      <c r="AI3215" s="175">
        <v>1</v>
      </c>
      <c r="AJ3215" s="175">
        <v>10</v>
      </c>
      <c r="AK3215" s="175">
        <v>16</v>
      </c>
      <c r="AL3215" s="175">
        <v>19</v>
      </c>
      <c r="AM3215" s="175">
        <v>16</v>
      </c>
      <c r="AN3215" s="175">
        <v>0</v>
      </c>
      <c r="AO3215" s="175">
        <v>62</v>
      </c>
      <c r="AP3215" s="175">
        <v>10</v>
      </c>
      <c r="AQ3215" s="175">
        <v>9</v>
      </c>
      <c r="AR3215" s="175">
        <v>16</v>
      </c>
      <c r="AS3215" s="175">
        <v>39</v>
      </c>
      <c r="AT3215" s="175">
        <v>2</v>
      </c>
    </row>
    <row r="3216" spans="1:46">
      <c r="A3216">
        <v>48067</v>
      </c>
      <c r="B3216" t="s">
        <v>18058</v>
      </c>
      <c r="C3216" t="s">
        <v>18059</v>
      </c>
      <c r="E3216" t="s">
        <v>18060</v>
      </c>
      <c r="G3216" t="s">
        <v>4201</v>
      </c>
      <c r="H3216" t="s">
        <v>449</v>
      </c>
      <c r="J3216" t="s">
        <v>4032</v>
      </c>
      <c r="K3216" t="s">
        <v>606</v>
      </c>
      <c r="M3216" t="s">
        <v>607</v>
      </c>
      <c r="N3216" t="s">
        <v>657</v>
      </c>
      <c r="O3216" t="s">
        <v>738</v>
      </c>
      <c r="P3216" t="s">
        <v>670</v>
      </c>
      <c r="Q3216" t="s">
        <v>467</v>
      </c>
      <c r="R3216" t="s">
        <v>724</v>
      </c>
      <c r="S3216" t="s">
        <v>753</v>
      </c>
      <c r="T3216" t="s">
        <v>613</v>
      </c>
      <c r="U3216">
        <v>113900</v>
      </c>
      <c r="V3216" t="s">
        <v>4795</v>
      </c>
      <c r="W3216" t="s">
        <v>742</v>
      </c>
      <c r="X3216" t="s">
        <v>14716</v>
      </c>
      <c r="Y3216" t="s">
        <v>18061</v>
      </c>
      <c r="AA3216" t="s">
        <v>17376</v>
      </c>
      <c r="AE3216">
        <v>-36.609560000000002</v>
      </c>
      <c r="AF3216">
        <v>174.69085000000001</v>
      </c>
      <c r="AG3216" s="175">
        <v>87</v>
      </c>
      <c r="AH3216" s="175">
        <v>27</v>
      </c>
      <c r="AI3216" s="175">
        <v>7</v>
      </c>
      <c r="AJ3216" s="175">
        <v>23</v>
      </c>
      <c r="AK3216" s="175">
        <v>11</v>
      </c>
      <c r="AL3216" s="175">
        <v>12</v>
      </c>
      <c r="AM3216" s="175">
        <v>12</v>
      </c>
      <c r="AN3216" s="175">
        <v>1</v>
      </c>
      <c r="AO3216" s="175">
        <v>66</v>
      </c>
      <c r="AP3216" s="175">
        <v>52</v>
      </c>
      <c r="AQ3216" s="175">
        <v>4</v>
      </c>
      <c r="AR3216" s="175">
        <v>1</v>
      </c>
      <c r="AS3216" s="175">
        <v>11</v>
      </c>
      <c r="AT3216" s="175">
        <v>4</v>
      </c>
    </row>
    <row r="3217" spans="1:46">
      <c r="A3217">
        <v>48068</v>
      </c>
      <c r="B3217" t="s">
        <v>18062</v>
      </c>
      <c r="C3217" t="s">
        <v>18063</v>
      </c>
      <c r="E3217" t="s">
        <v>18064</v>
      </c>
      <c r="F3217" t="s">
        <v>3593</v>
      </c>
      <c r="G3217" t="s">
        <v>3569</v>
      </c>
      <c r="H3217" t="s">
        <v>449</v>
      </c>
      <c r="J3217" t="s">
        <v>4032</v>
      </c>
      <c r="K3217" t="s">
        <v>606</v>
      </c>
      <c r="M3217" t="s">
        <v>2366</v>
      </c>
      <c r="N3217" t="s">
        <v>625</v>
      </c>
      <c r="O3217" t="s">
        <v>3568</v>
      </c>
      <c r="P3217" t="s">
        <v>670</v>
      </c>
      <c r="Q3217" t="s">
        <v>523</v>
      </c>
      <c r="R3217" t="s">
        <v>3410</v>
      </c>
      <c r="S3217" t="s">
        <v>3569</v>
      </c>
      <c r="T3217" t="s">
        <v>2526</v>
      </c>
      <c r="U3217">
        <v>362501</v>
      </c>
      <c r="V3217" t="s">
        <v>3593</v>
      </c>
      <c r="W3217" t="s">
        <v>1734</v>
      </c>
      <c r="X3217" t="s">
        <v>18065</v>
      </c>
      <c r="Y3217" t="s">
        <v>18066</v>
      </c>
      <c r="Z3217" t="s">
        <v>3593</v>
      </c>
      <c r="AA3217" t="s">
        <v>18067</v>
      </c>
      <c r="AE3217">
        <v>-46.429510000000001</v>
      </c>
      <c r="AF3217">
        <v>168.36725999999999</v>
      </c>
      <c r="AG3217" s="175">
        <v>27</v>
      </c>
      <c r="AH3217" s="175">
        <v>0</v>
      </c>
      <c r="AI3217" s="175">
        <v>0</v>
      </c>
      <c r="AJ3217" s="175">
        <v>0</v>
      </c>
      <c r="AK3217" s="175">
        <v>7</v>
      </c>
      <c r="AL3217" s="175">
        <v>7</v>
      </c>
      <c r="AM3217" s="175">
        <v>12</v>
      </c>
      <c r="AN3217" s="175">
        <v>1</v>
      </c>
      <c r="AO3217" s="175">
        <v>27</v>
      </c>
      <c r="AP3217" s="175">
        <v>12</v>
      </c>
      <c r="AQ3217" s="175">
        <v>10</v>
      </c>
      <c r="AR3217" s="175">
        <v>4</v>
      </c>
      <c r="AS3217" s="175">
        <v>7</v>
      </c>
      <c r="AT3217" s="175">
        <v>2</v>
      </c>
    </row>
    <row r="3218" spans="1:46">
      <c r="A3218">
        <v>48069</v>
      </c>
      <c r="B3218" t="s">
        <v>18068</v>
      </c>
      <c r="C3218" t="s">
        <v>18069</v>
      </c>
      <c r="E3218" t="s">
        <v>18070</v>
      </c>
      <c r="F3218" t="s">
        <v>1419</v>
      </c>
      <c r="G3218" t="s">
        <v>1381</v>
      </c>
      <c r="H3218" t="s">
        <v>449</v>
      </c>
      <c r="J3218" t="s">
        <v>4032</v>
      </c>
      <c r="K3218" t="s">
        <v>606</v>
      </c>
      <c r="M3218" t="s">
        <v>1382</v>
      </c>
      <c r="N3218" t="s">
        <v>657</v>
      </c>
      <c r="O3218" t="s">
        <v>1383</v>
      </c>
      <c r="P3218" t="s">
        <v>739</v>
      </c>
      <c r="Q3218" t="s">
        <v>510</v>
      </c>
      <c r="R3218" t="s">
        <v>1384</v>
      </c>
      <c r="S3218" t="s">
        <v>1385</v>
      </c>
      <c r="T3218" t="s">
        <v>1320</v>
      </c>
      <c r="U3218">
        <v>178100</v>
      </c>
      <c r="V3218" t="s">
        <v>1420</v>
      </c>
      <c r="W3218" t="s">
        <v>1387</v>
      </c>
      <c r="X3218" t="s">
        <v>18071</v>
      </c>
      <c r="Y3218" t="s">
        <v>18070</v>
      </c>
      <c r="Z3218" t="s">
        <v>1419</v>
      </c>
      <c r="AA3218" t="s">
        <v>8714</v>
      </c>
      <c r="AB3218" t="s">
        <v>18069</v>
      </c>
      <c r="AE3218">
        <v>-37.795990000000003</v>
      </c>
      <c r="AF3218">
        <v>175.24724000000001</v>
      </c>
      <c r="AG3218" s="175">
        <v>95</v>
      </c>
      <c r="AH3218" s="175">
        <v>25</v>
      </c>
      <c r="AI3218" s="175">
        <v>2</v>
      </c>
      <c r="AJ3218" s="175">
        <v>13</v>
      </c>
      <c r="AK3218" s="175">
        <v>27</v>
      </c>
      <c r="AL3218" s="175">
        <v>35</v>
      </c>
      <c r="AM3218" s="175">
        <v>17</v>
      </c>
      <c r="AN3218" s="175">
        <v>2</v>
      </c>
      <c r="AO3218" s="175">
        <v>96</v>
      </c>
      <c r="AP3218" s="175">
        <v>77</v>
      </c>
      <c r="AQ3218" s="175">
        <v>38</v>
      </c>
      <c r="AR3218" s="175">
        <v>5</v>
      </c>
      <c r="AS3218" s="175">
        <v>7</v>
      </c>
      <c r="AT3218" s="175">
        <v>0</v>
      </c>
    </row>
    <row r="3219" spans="1:46">
      <c r="A3219">
        <v>48070</v>
      </c>
      <c r="B3219" t="s">
        <v>18072</v>
      </c>
      <c r="C3219" t="s">
        <v>18073</v>
      </c>
      <c r="D3219" t="s">
        <v>18074</v>
      </c>
      <c r="E3219" t="s">
        <v>18075</v>
      </c>
      <c r="F3219" t="s">
        <v>1506</v>
      </c>
      <c r="G3219" t="s">
        <v>1381</v>
      </c>
      <c r="H3219" t="s">
        <v>449</v>
      </c>
      <c r="J3219" t="s">
        <v>605</v>
      </c>
      <c r="K3219" t="s">
        <v>606</v>
      </c>
      <c r="M3219" t="s">
        <v>1382</v>
      </c>
      <c r="N3219" t="s">
        <v>657</v>
      </c>
      <c r="O3219" t="s">
        <v>1383</v>
      </c>
      <c r="P3219" t="s">
        <v>739</v>
      </c>
      <c r="Q3219" t="s">
        <v>510</v>
      </c>
      <c r="R3219" t="s">
        <v>1384</v>
      </c>
      <c r="S3219" t="s">
        <v>1385</v>
      </c>
      <c r="T3219" t="s">
        <v>1320</v>
      </c>
      <c r="U3219">
        <v>176301</v>
      </c>
      <c r="V3219" t="s">
        <v>8493</v>
      </c>
      <c r="W3219" t="s">
        <v>1387</v>
      </c>
      <c r="X3219" t="s">
        <v>8441</v>
      </c>
      <c r="Y3219" t="s">
        <v>4014</v>
      </c>
      <c r="Z3219" t="s">
        <v>4015</v>
      </c>
      <c r="AA3219" t="s">
        <v>4016</v>
      </c>
      <c r="AB3219" t="s">
        <v>8442</v>
      </c>
      <c r="AE3219">
        <v>-37.761940000000003</v>
      </c>
      <c r="AF3219">
        <v>175.24813</v>
      </c>
      <c r="AG3219" s="175">
        <v>100</v>
      </c>
      <c r="AH3219" s="175">
        <v>24</v>
      </c>
      <c r="AI3219" s="175">
        <v>2</v>
      </c>
      <c r="AJ3219" s="175">
        <v>16</v>
      </c>
      <c r="AK3219" s="175">
        <v>19</v>
      </c>
      <c r="AL3219" s="175">
        <v>25</v>
      </c>
      <c r="AM3219" s="175">
        <v>21</v>
      </c>
      <c r="AN3219" s="175">
        <v>0</v>
      </c>
      <c r="AO3219" s="175">
        <v>83</v>
      </c>
      <c r="AP3219" s="175">
        <v>36</v>
      </c>
      <c r="AQ3219" s="175">
        <v>54</v>
      </c>
      <c r="AR3219" s="175">
        <v>7</v>
      </c>
      <c r="AS3219" s="175">
        <v>13</v>
      </c>
      <c r="AT3219" s="175">
        <v>6</v>
      </c>
    </row>
    <row r="3220" spans="1:46">
      <c r="A3220">
        <v>48071</v>
      </c>
      <c r="B3220" t="s">
        <v>18076</v>
      </c>
      <c r="C3220" t="s">
        <v>18077</v>
      </c>
      <c r="D3220" t="s">
        <v>18078</v>
      </c>
      <c r="E3220" t="s">
        <v>18079</v>
      </c>
      <c r="G3220" t="s">
        <v>5375</v>
      </c>
      <c r="H3220" t="s">
        <v>449</v>
      </c>
      <c r="J3220" t="s">
        <v>4032</v>
      </c>
      <c r="K3220" t="s">
        <v>606</v>
      </c>
      <c r="M3220" t="s">
        <v>607</v>
      </c>
      <c r="N3220" t="s">
        <v>657</v>
      </c>
      <c r="O3220" t="s">
        <v>650</v>
      </c>
      <c r="P3220" t="s">
        <v>610</v>
      </c>
      <c r="Q3220" t="s">
        <v>509</v>
      </c>
      <c r="R3220" t="s">
        <v>611</v>
      </c>
      <c r="S3220" t="s">
        <v>612</v>
      </c>
      <c r="T3220" t="s">
        <v>613</v>
      </c>
      <c r="U3220">
        <v>110100</v>
      </c>
      <c r="V3220" t="s">
        <v>5375</v>
      </c>
      <c r="W3220" t="s">
        <v>5376</v>
      </c>
      <c r="X3220" t="s">
        <v>18080</v>
      </c>
      <c r="Y3220" t="s">
        <v>18081</v>
      </c>
      <c r="Z3220" t="s">
        <v>1043</v>
      </c>
      <c r="AA3220" t="s">
        <v>4726</v>
      </c>
      <c r="AB3220" t="s">
        <v>18082</v>
      </c>
      <c r="AC3220">
        <v>99118</v>
      </c>
      <c r="AD3220" t="s">
        <v>5381</v>
      </c>
      <c r="AE3220">
        <v>-36.124853799999997</v>
      </c>
      <c r="AF3220">
        <v>174.57435570000001</v>
      </c>
      <c r="AG3220" s="175">
        <v>50</v>
      </c>
      <c r="AH3220" s="175">
        <v>15</v>
      </c>
      <c r="AI3220" s="175">
        <v>1</v>
      </c>
      <c r="AJ3220" s="175">
        <v>12</v>
      </c>
      <c r="AK3220" s="175">
        <v>21</v>
      </c>
      <c r="AL3220" s="175">
        <v>15</v>
      </c>
      <c r="AM3220" s="175">
        <v>20</v>
      </c>
      <c r="AN3220" s="175">
        <v>1</v>
      </c>
      <c r="AO3220" s="175">
        <v>70</v>
      </c>
      <c r="AP3220" s="175">
        <v>59</v>
      </c>
      <c r="AQ3220" s="175">
        <v>10</v>
      </c>
      <c r="AR3220" s="175">
        <v>3</v>
      </c>
      <c r="AS3220" s="175">
        <v>0</v>
      </c>
      <c r="AT3220" s="175">
        <v>10</v>
      </c>
    </row>
    <row r="3221" spans="1:46">
      <c r="A3221">
        <v>48073</v>
      </c>
      <c r="B3221" t="s">
        <v>18083</v>
      </c>
      <c r="C3221" t="s">
        <v>18084</v>
      </c>
      <c r="D3221" t="s">
        <v>18085</v>
      </c>
      <c r="E3221" t="s">
        <v>18086</v>
      </c>
      <c r="F3221" t="s">
        <v>3091</v>
      </c>
      <c r="G3221" t="s">
        <v>3015</v>
      </c>
      <c r="H3221" t="s">
        <v>449</v>
      </c>
      <c r="J3221" t="s">
        <v>4032</v>
      </c>
      <c r="K3221" t="s">
        <v>606</v>
      </c>
      <c r="M3221" t="s">
        <v>2366</v>
      </c>
      <c r="N3221" t="s">
        <v>657</v>
      </c>
      <c r="O3221" t="s">
        <v>3016</v>
      </c>
      <c r="P3221" t="s">
        <v>739</v>
      </c>
      <c r="Q3221" t="s">
        <v>521</v>
      </c>
      <c r="R3221" t="s">
        <v>3017</v>
      </c>
      <c r="S3221" t="s">
        <v>3252</v>
      </c>
      <c r="T3221" t="s">
        <v>2526</v>
      </c>
      <c r="U3221">
        <v>316600</v>
      </c>
      <c r="V3221" t="s">
        <v>10984</v>
      </c>
      <c r="W3221" t="s">
        <v>3093</v>
      </c>
      <c r="X3221" t="s">
        <v>18087</v>
      </c>
      <c r="Y3221" t="s">
        <v>18088</v>
      </c>
      <c r="Z3221" t="s">
        <v>3256</v>
      </c>
      <c r="AA3221" t="s">
        <v>18089</v>
      </c>
      <c r="AE3221">
        <v>-43.522100000000002</v>
      </c>
      <c r="AF3221">
        <v>172.52197000000001</v>
      </c>
      <c r="AG3221" s="175">
        <v>65</v>
      </c>
      <c r="AH3221" s="175">
        <v>15</v>
      </c>
      <c r="AI3221" s="175">
        <v>5</v>
      </c>
      <c r="AJ3221" s="175">
        <v>16</v>
      </c>
      <c r="AK3221" s="175">
        <v>19</v>
      </c>
      <c r="AL3221" s="175">
        <v>10</v>
      </c>
      <c r="AM3221" s="175">
        <v>22</v>
      </c>
      <c r="AN3221" s="175">
        <v>1</v>
      </c>
      <c r="AO3221" s="175">
        <v>73</v>
      </c>
      <c r="AP3221" s="175">
        <v>24</v>
      </c>
      <c r="AQ3221" s="175">
        <v>4</v>
      </c>
      <c r="AR3221" s="175">
        <v>5</v>
      </c>
      <c r="AS3221" s="175">
        <v>42</v>
      </c>
      <c r="AT3221" s="175">
        <v>8</v>
      </c>
    </row>
    <row r="3222" spans="1:46">
      <c r="A3222">
        <v>48074</v>
      </c>
      <c r="B3222" t="s">
        <v>18090</v>
      </c>
      <c r="C3222" t="s">
        <v>18091</v>
      </c>
      <c r="E3222" t="s">
        <v>18092</v>
      </c>
      <c r="F3222" t="s">
        <v>855</v>
      </c>
      <c r="G3222" t="s">
        <v>737</v>
      </c>
      <c r="H3222" t="s">
        <v>449</v>
      </c>
      <c r="J3222" t="s">
        <v>605</v>
      </c>
      <c r="K3222" t="s">
        <v>606</v>
      </c>
      <c r="M3222" t="s">
        <v>607</v>
      </c>
      <c r="N3222" t="s">
        <v>657</v>
      </c>
      <c r="O3222" t="s">
        <v>803</v>
      </c>
      <c r="P3222" t="s">
        <v>739</v>
      </c>
      <c r="Q3222" t="s">
        <v>467</v>
      </c>
      <c r="R3222" t="s">
        <v>724</v>
      </c>
      <c r="S3222" t="s">
        <v>855</v>
      </c>
      <c r="T3222" t="s">
        <v>794</v>
      </c>
      <c r="U3222">
        <v>132300</v>
      </c>
      <c r="V3222" t="s">
        <v>18093</v>
      </c>
      <c r="W3222" t="s">
        <v>806</v>
      </c>
      <c r="X3222" t="s">
        <v>4013</v>
      </c>
      <c r="Y3222" t="s">
        <v>4014</v>
      </c>
      <c r="Z3222" t="s">
        <v>4015</v>
      </c>
      <c r="AA3222" t="s">
        <v>4016</v>
      </c>
      <c r="AB3222" t="s">
        <v>4017</v>
      </c>
      <c r="AE3222">
        <v>-36.905050000000003</v>
      </c>
      <c r="AF3222">
        <v>174.68366</v>
      </c>
      <c r="AG3222" s="175">
        <v>96</v>
      </c>
      <c r="AH3222" s="175">
        <v>24</v>
      </c>
      <c r="AI3222" s="175">
        <v>2</v>
      </c>
      <c r="AJ3222" s="175">
        <v>10</v>
      </c>
      <c r="AK3222" s="175">
        <v>28</v>
      </c>
      <c r="AL3222" s="175">
        <v>23</v>
      </c>
      <c r="AM3222" s="175">
        <v>14</v>
      </c>
      <c r="AN3222" s="175">
        <v>0</v>
      </c>
      <c r="AO3222" s="175">
        <v>77</v>
      </c>
      <c r="AP3222" s="175">
        <v>21</v>
      </c>
      <c r="AQ3222" s="175">
        <v>4</v>
      </c>
      <c r="AR3222" s="175">
        <v>13</v>
      </c>
      <c r="AS3222" s="175">
        <v>45</v>
      </c>
      <c r="AT3222" s="175">
        <v>11</v>
      </c>
    </row>
    <row r="3223" spans="1:46">
      <c r="A3223">
        <v>48075</v>
      </c>
      <c r="B3223" t="s">
        <v>18094</v>
      </c>
      <c r="D3223" t="s">
        <v>18095</v>
      </c>
      <c r="E3223" t="s">
        <v>18096</v>
      </c>
      <c r="F3223" t="s">
        <v>18097</v>
      </c>
      <c r="G3223" t="s">
        <v>3036</v>
      </c>
      <c r="H3223" t="s">
        <v>450</v>
      </c>
      <c r="J3223" t="s">
        <v>605</v>
      </c>
      <c r="K3223" t="s">
        <v>606</v>
      </c>
      <c r="M3223" t="s">
        <v>2366</v>
      </c>
      <c r="N3223" t="s">
        <v>657</v>
      </c>
      <c r="O3223" t="s">
        <v>3037</v>
      </c>
      <c r="P3223" t="s">
        <v>658</v>
      </c>
      <c r="Q3223" t="s">
        <v>521</v>
      </c>
      <c r="R3223" t="s">
        <v>3017</v>
      </c>
      <c r="S3223" t="s">
        <v>2902</v>
      </c>
      <c r="T3223" t="s">
        <v>2526</v>
      </c>
      <c r="U3223">
        <v>313700</v>
      </c>
      <c r="V3223" t="s">
        <v>18098</v>
      </c>
      <c r="W3223" t="s">
        <v>3040</v>
      </c>
      <c r="X3223" t="s">
        <v>18099</v>
      </c>
      <c r="Y3223" t="s">
        <v>18100</v>
      </c>
      <c r="AA3223" t="s">
        <v>18101</v>
      </c>
      <c r="AE3223">
        <v>-43.247369999999997</v>
      </c>
      <c r="AF3223">
        <v>172.61407</v>
      </c>
      <c r="AG3223" s="175">
        <v>50</v>
      </c>
      <c r="AH3223" s="175">
        <v>50</v>
      </c>
      <c r="AI3223" s="175">
        <v>1</v>
      </c>
      <c r="AJ3223" s="175">
        <v>7</v>
      </c>
      <c r="AK3223" s="175">
        <v>11</v>
      </c>
      <c r="AL3223" s="175">
        <v>14</v>
      </c>
      <c r="AM3223" s="175">
        <v>7</v>
      </c>
      <c r="AN3223" s="175">
        <v>0</v>
      </c>
      <c r="AO3223" s="175">
        <v>40</v>
      </c>
      <c r="AP3223" s="175">
        <v>37</v>
      </c>
      <c r="AQ3223" s="175">
        <v>5</v>
      </c>
      <c r="AR3223" s="175">
        <v>3</v>
      </c>
      <c r="AS3223" s="175">
        <v>5</v>
      </c>
      <c r="AT3223" s="175">
        <v>0</v>
      </c>
    </row>
    <row r="3224" spans="1:46">
      <c r="A3224">
        <v>48076</v>
      </c>
      <c r="B3224" t="s">
        <v>15341</v>
      </c>
      <c r="C3224" t="s">
        <v>18102</v>
      </c>
      <c r="D3224" t="s">
        <v>15343</v>
      </c>
      <c r="E3224" t="s">
        <v>18103</v>
      </c>
      <c r="G3224" t="s">
        <v>10974</v>
      </c>
      <c r="H3224" t="s">
        <v>449</v>
      </c>
      <c r="J3224" t="s">
        <v>4032</v>
      </c>
      <c r="K3224" t="s">
        <v>606</v>
      </c>
      <c r="M3224" t="s">
        <v>2366</v>
      </c>
      <c r="N3224" t="s">
        <v>657</v>
      </c>
      <c r="O3224" t="s">
        <v>3281</v>
      </c>
      <c r="P3224" t="s">
        <v>1347</v>
      </c>
      <c r="Q3224" t="s">
        <v>521</v>
      </c>
      <c r="R3224" t="s">
        <v>3017</v>
      </c>
      <c r="S3224" t="s">
        <v>3252</v>
      </c>
      <c r="T3224" t="s">
        <v>2526</v>
      </c>
      <c r="U3224">
        <v>335302</v>
      </c>
      <c r="V3224" t="s">
        <v>18104</v>
      </c>
      <c r="W3224" t="s">
        <v>10977</v>
      </c>
      <c r="X3224" t="s">
        <v>18105</v>
      </c>
      <c r="AB3224" t="s">
        <v>18106</v>
      </c>
      <c r="AE3224">
        <v>-43.619907560000001</v>
      </c>
      <c r="AF3224">
        <v>172.38096880000001</v>
      </c>
      <c r="AG3224" s="175">
        <v>147</v>
      </c>
      <c r="AH3224" s="175">
        <v>28</v>
      </c>
      <c r="AI3224" s="175">
        <v>2</v>
      </c>
      <c r="AJ3224" s="175">
        <v>21</v>
      </c>
      <c r="AK3224" s="175">
        <v>31</v>
      </c>
      <c r="AL3224" s="175">
        <v>40</v>
      </c>
      <c r="AM3224" s="175">
        <v>34</v>
      </c>
      <c r="AN3224" s="175">
        <v>3</v>
      </c>
      <c r="AO3224" s="175">
        <v>131</v>
      </c>
      <c r="AP3224" s="175">
        <v>70</v>
      </c>
      <c r="AQ3224" s="175">
        <v>14</v>
      </c>
      <c r="AR3224" s="175">
        <v>5</v>
      </c>
      <c r="AS3224" s="175">
        <v>53</v>
      </c>
      <c r="AT3224" s="175">
        <v>13</v>
      </c>
    </row>
    <row r="3225" spans="1:46">
      <c r="A3225">
        <v>48077</v>
      </c>
      <c r="B3225" t="s">
        <v>18107</v>
      </c>
      <c r="C3225" t="s">
        <v>18108</v>
      </c>
      <c r="D3225" t="s">
        <v>18109</v>
      </c>
      <c r="E3225" t="s">
        <v>18110</v>
      </c>
      <c r="F3225" t="s">
        <v>2924</v>
      </c>
      <c r="G3225" t="s">
        <v>2899</v>
      </c>
      <c r="H3225" t="s">
        <v>449</v>
      </c>
      <c r="J3225" t="s">
        <v>4032</v>
      </c>
      <c r="K3225" t="s">
        <v>606</v>
      </c>
      <c r="M3225" t="s">
        <v>2366</v>
      </c>
      <c r="N3225" t="s">
        <v>657</v>
      </c>
      <c r="O3225" t="s">
        <v>2900</v>
      </c>
      <c r="P3225" t="s">
        <v>1347</v>
      </c>
      <c r="Q3225" t="s">
        <v>519</v>
      </c>
      <c r="R3225" t="s">
        <v>2901</v>
      </c>
      <c r="S3225" t="s">
        <v>2902</v>
      </c>
      <c r="T3225" t="s">
        <v>2526</v>
      </c>
      <c r="U3225">
        <v>308300</v>
      </c>
      <c r="V3225" t="s">
        <v>18111</v>
      </c>
      <c r="W3225" t="s">
        <v>2903</v>
      </c>
      <c r="X3225" t="s">
        <v>18112</v>
      </c>
      <c r="Y3225" t="s">
        <v>18113</v>
      </c>
      <c r="AA3225" t="s">
        <v>18114</v>
      </c>
      <c r="AE3225">
        <v>-41.539805350000002</v>
      </c>
      <c r="AF3225">
        <v>173.93975957999999</v>
      </c>
      <c r="AG3225" s="175">
        <v>30</v>
      </c>
      <c r="AH3225" s="175">
        <v>8</v>
      </c>
      <c r="AI3225" s="175">
        <v>0</v>
      </c>
      <c r="AJ3225" s="175">
        <v>1</v>
      </c>
      <c r="AK3225" s="175">
        <v>12</v>
      </c>
      <c r="AL3225" s="175">
        <v>15</v>
      </c>
      <c r="AM3225" s="175">
        <v>5</v>
      </c>
      <c r="AN3225" s="175">
        <v>0</v>
      </c>
      <c r="AO3225" s="175">
        <v>33</v>
      </c>
      <c r="AP3225" s="175">
        <v>24</v>
      </c>
      <c r="AQ3225" s="175">
        <v>10</v>
      </c>
      <c r="AR3225" s="175">
        <v>3</v>
      </c>
      <c r="AS3225" s="175">
        <v>1</v>
      </c>
      <c r="AT3225" s="175">
        <v>0</v>
      </c>
    </row>
    <row r="3226" spans="1:46">
      <c r="A3226">
        <v>48078</v>
      </c>
      <c r="B3226" t="s">
        <v>18115</v>
      </c>
      <c r="C3226" t="s">
        <v>18116</v>
      </c>
      <c r="D3226" t="s">
        <v>15180</v>
      </c>
      <c r="E3226" t="s">
        <v>18117</v>
      </c>
      <c r="F3226" t="s">
        <v>11711</v>
      </c>
      <c r="G3226" t="s">
        <v>2276</v>
      </c>
      <c r="H3226" t="s">
        <v>449</v>
      </c>
      <c r="J3226" t="s">
        <v>4032</v>
      </c>
      <c r="K3226" t="s">
        <v>606</v>
      </c>
      <c r="M3226" t="s">
        <v>1382</v>
      </c>
      <c r="N3226" t="s">
        <v>643</v>
      </c>
      <c r="O3226" t="s">
        <v>2277</v>
      </c>
      <c r="P3226" t="s">
        <v>670</v>
      </c>
      <c r="Q3226" t="s">
        <v>513</v>
      </c>
      <c r="R3226" t="s">
        <v>2164</v>
      </c>
      <c r="S3226" t="s">
        <v>2278</v>
      </c>
      <c r="T3226" t="s">
        <v>2165</v>
      </c>
      <c r="U3226">
        <v>210500</v>
      </c>
      <c r="V3226" t="s">
        <v>11711</v>
      </c>
      <c r="W3226" t="s">
        <v>2279</v>
      </c>
      <c r="X3226" t="s">
        <v>18118</v>
      </c>
      <c r="Y3226" t="s">
        <v>15181</v>
      </c>
      <c r="Z3226" t="s">
        <v>8762</v>
      </c>
      <c r="AA3226" t="s">
        <v>2283</v>
      </c>
      <c r="AB3226" t="s">
        <v>18119</v>
      </c>
      <c r="AE3226">
        <v>-39.644357370000002</v>
      </c>
      <c r="AF3226">
        <v>176.84795763</v>
      </c>
      <c r="AG3226" s="175">
        <v>100</v>
      </c>
      <c r="AH3226" s="175">
        <v>35</v>
      </c>
      <c r="AI3226" s="175">
        <v>7</v>
      </c>
      <c r="AJ3226" s="175">
        <v>20</v>
      </c>
      <c r="AK3226" s="175">
        <v>20</v>
      </c>
      <c r="AL3226" s="175">
        <v>20</v>
      </c>
      <c r="AM3226" s="175">
        <v>20</v>
      </c>
      <c r="AN3226" s="175">
        <v>1</v>
      </c>
      <c r="AO3226" s="175">
        <v>88</v>
      </c>
      <c r="AP3226" s="175">
        <v>68</v>
      </c>
      <c r="AQ3226" s="175">
        <v>18</v>
      </c>
      <c r="AR3226" s="175">
        <v>6</v>
      </c>
      <c r="AS3226" s="175">
        <v>16</v>
      </c>
      <c r="AT3226" s="175">
        <v>0</v>
      </c>
    </row>
    <row r="3227" spans="1:46">
      <c r="A3227">
        <v>48079</v>
      </c>
      <c r="B3227" t="s">
        <v>18120</v>
      </c>
      <c r="C3227" t="s">
        <v>18121</v>
      </c>
      <c r="E3227" t="s">
        <v>18122</v>
      </c>
      <c r="F3227" t="s">
        <v>3085</v>
      </c>
      <c r="G3227" t="s">
        <v>3015</v>
      </c>
      <c r="H3227" t="s">
        <v>449</v>
      </c>
      <c r="J3227" t="s">
        <v>4032</v>
      </c>
      <c r="K3227" t="s">
        <v>606</v>
      </c>
      <c r="M3227" t="s">
        <v>2366</v>
      </c>
      <c r="N3227" t="s">
        <v>643</v>
      </c>
      <c r="O3227" t="s">
        <v>3016</v>
      </c>
      <c r="P3227" t="s">
        <v>739</v>
      </c>
      <c r="Q3227" t="s">
        <v>521</v>
      </c>
      <c r="R3227" t="s">
        <v>3017</v>
      </c>
      <c r="S3227" t="s">
        <v>3052</v>
      </c>
      <c r="T3227" t="s">
        <v>2526</v>
      </c>
      <c r="U3227">
        <v>330500</v>
      </c>
      <c r="V3227" t="s">
        <v>18123</v>
      </c>
      <c r="W3227" t="s">
        <v>3066</v>
      </c>
      <c r="X3227" t="s">
        <v>18124</v>
      </c>
      <c r="Y3227" t="s">
        <v>18125</v>
      </c>
      <c r="Z3227" t="s">
        <v>1396</v>
      </c>
      <c r="AA3227" t="s">
        <v>9631</v>
      </c>
      <c r="AB3227" t="s">
        <v>18063</v>
      </c>
      <c r="AC3227">
        <v>99177</v>
      </c>
      <c r="AD3227" t="s">
        <v>3032</v>
      </c>
      <c r="AE3227">
        <v>-43.546720659999998</v>
      </c>
      <c r="AF3227">
        <v>172.66210090000001</v>
      </c>
      <c r="AG3227" s="175">
        <v>40</v>
      </c>
      <c r="AH3227" s="175">
        <v>0</v>
      </c>
      <c r="AI3227" s="175">
        <v>0</v>
      </c>
      <c r="AJ3227" s="175">
        <v>0</v>
      </c>
      <c r="AK3227" s="175">
        <v>7</v>
      </c>
      <c r="AL3227" s="175">
        <v>12</v>
      </c>
      <c r="AM3227" s="175">
        <v>8</v>
      </c>
      <c r="AN3227" s="175">
        <v>1</v>
      </c>
      <c r="AO3227" s="175">
        <v>28</v>
      </c>
      <c r="AP3227" s="175">
        <v>20</v>
      </c>
      <c r="AQ3227" s="175">
        <v>8</v>
      </c>
      <c r="AR3227" s="175">
        <v>2</v>
      </c>
      <c r="AS3227" s="175">
        <v>4</v>
      </c>
      <c r="AT3227" s="175">
        <v>2</v>
      </c>
    </row>
    <row r="3228" spans="1:46">
      <c r="A3228">
        <v>48081</v>
      </c>
      <c r="B3228" t="s">
        <v>18126</v>
      </c>
      <c r="E3228" t="s">
        <v>18127</v>
      </c>
      <c r="F3228" t="s">
        <v>957</v>
      </c>
      <c r="G3228" t="s">
        <v>737</v>
      </c>
      <c r="H3228" t="s">
        <v>449</v>
      </c>
      <c r="J3228" t="s">
        <v>4032</v>
      </c>
      <c r="K3228" t="s">
        <v>606</v>
      </c>
      <c r="M3228" t="s">
        <v>607</v>
      </c>
      <c r="N3228" t="s">
        <v>643</v>
      </c>
      <c r="O3228" t="s">
        <v>958</v>
      </c>
      <c r="P3228" t="s">
        <v>739</v>
      </c>
      <c r="Q3228" t="s">
        <v>467</v>
      </c>
      <c r="R3228" t="s">
        <v>724</v>
      </c>
      <c r="S3228" t="s">
        <v>804</v>
      </c>
      <c r="T3228" t="s">
        <v>794</v>
      </c>
      <c r="U3228">
        <v>130901</v>
      </c>
      <c r="V3228" t="s">
        <v>1210</v>
      </c>
      <c r="W3228" t="s">
        <v>900</v>
      </c>
      <c r="X3228" t="s">
        <v>5859</v>
      </c>
      <c r="Y3228" t="s">
        <v>18128</v>
      </c>
      <c r="Z3228" t="s">
        <v>983</v>
      </c>
      <c r="AA3228" t="s">
        <v>5051</v>
      </c>
      <c r="AB3228" t="s">
        <v>5860</v>
      </c>
      <c r="AE3228">
        <v>-36.918093079999998</v>
      </c>
      <c r="AF3228">
        <v>174.64702874</v>
      </c>
      <c r="AG3228" s="175">
        <v>41</v>
      </c>
      <c r="AH3228" s="175">
        <v>15</v>
      </c>
      <c r="AI3228" s="175">
        <v>0</v>
      </c>
      <c r="AJ3228" s="175">
        <v>6</v>
      </c>
      <c r="AK3228" s="175">
        <v>8</v>
      </c>
      <c r="AL3228" s="175">
        <v>6</v>
      </c>
      <c r="AM3228" s="175">
        <v>6</v>
      </c>
      <c r="AN3228" s="175">
        <v>0</v>
      </c>
      <c r="AO3228" s="175">
        <v>26</v>
      </c>
      <c r="AP3228" s="175">
        <v>10</v>
      </c>
      <c r="AQ3228" s="175">
        <v>3</v>
      </c>
      <c r="AR3228" s="175">
        <v>8</v>
      </c>
      <c r="AS3228" s="175">
        <v>10</v>
      </c>
      <c r="AT3228" s="175">
        <v>4</v>
      </c>
    </row>
    <row r="3229" spans="1:46">
      <c r="A3229">
        <v>48082</v>
      </c>
      <c r="B3229" t="s">
        <v>18129</v>
      </c>
      <c r="C3229" t="s">
        <v>16064</v>
      </c>
      <c r="E3229" t="s">
        <v>18130</v>
      </c>
      <c r="G3229" t="s">
        <v>3905</v>
      </c>
      <c r="H3229" t="s">
        <v>449</v>
      </c>
      <c r="J3229" t="s">
        <v>4032</v>
      </c>
      <c r="K3229" t="s">
        <v>606</v>
      </c>
      <c r="M3229" t="s">
        <v>2366</v>
      </c>
      <c r="N3229" t="s">
        <v>9058</v>
      </c>
      <c r="O3229" t="s">
        <v>3906</v>
      </c>
      <c r="P3229" t="s">
        <v>1347</v>
      </c>
      <c r="Q3229" t="s">
        <v>522</v>
      </c>
      <c r="R3229" t="s">
        <v>3410</v>
      </c>
      <c r="S3229" t="s">
        <v>3433</v>
      </c>
      <c r="T3229" t="s">
        <v>2526</v>
      </c>
      <c r="U3229">
        <v>348901</v>
      </c>
      <c r="V3229" t="s">
        <v>18131</v>
      </c>
      <c r="W3229" t="s">
        <v>3908</v>
      </c>
      <c r="X3229" t="s">
        <v>16067</v>
      </c>
      <c r="Y3229" t="s">
        <v>18132</v>
      </c>
      <c r="Z3229" t="s">
        <v>3905</v>
      </c>
      <c r="AA3229" t="s">
        <v>18133</v>
      </c>
      <c r="AB3229" t="s">
        <v>16064</v>
      </c>
      <c r="AE3229">
        <v>-45.074274490000001</v>
      </c>
      <c r="AF3229">
        <v>168.74565250000001</v>
      </c>
      <c r="AG3229" s="175">
        <v>100</v>
      </c>
      <c r="AH3229" s="175">
        <v>25</v>
      </c>
      <c r="AI3229" s="175">
        <v>1</v>
      </c>
      <c r="AJ3229" s="175">
        <v>15</v>
      </c>
      <c r="AK3229" s="175">
        <v>16</v>
      </c>
      <c r="AL3229" s="175">
        <v>26</v>
      </c>
      <c r="AM3229" s="175">
        <v>23</v>
      </c>
      <c r="AN3229" s="175">
        <v>0</v>
      </c>
      <c r="AO3229" s="175">
        <v>81</v>
      </c>
      <c r="AP3229" s="175">
        <v>72</v>
      </c>
      <c r="AQ3229" s="175">
        <v>9</v>
      </c>
      <c r="AR3229" s="175">
        <v>0</v>
      </c>
      <c r="AS3229" s="175">
        <v>5</v>
      </c>
      <c r="AT3229" s="175">
        <v>4</v>
      </c>
    </row>
    <row r="3230" spans="1:46">
      <c r="A3230">
        <v>48083</v>
      </c>
      <c r="B3230" t="s">
        <v>18134</v>
      </c>
      <c r="C3230" t="s">
        <v>18135</v>
      </c>
      <c r="E3230" t="s">
        <v>18136</v>
      </c>
      <c r="G3230" t="s">
        <v>1319</v>
      </c>
      <c r="H3230" t="s">
        <v>449</v>
      </c>
      <c r="J3230" t="s">
        <v>4032</v>
      </c>
      <c r="K3230" t="s">
        <v>606</v>
      </c>
      <c r="M3230" t="s">
        <v>607</v>
      </c>
      <c r="N3230" t="s">
        <v>643</v>
      </c>
      <c r="O3230" t="s">
        <v>1353</v>
      </c>
      <c r="P3230" t="s">
        <v>739</v>
      </c>
      <c r="Q3230" t="s">
        <v>467</v>
      </c>
      <c r="R3230" t="s">
        <v>814</v>
      </c>
      <c r="S3230" t="s">
        <v>1319</v>
      </c>
      <c r="T3230" t="s">
        <v>1320</v>
      </c>
      <c r="U3230">
        <v>163501</v>
      </c>
      <c r="V3230" t="s">
        <v>1354</v>
      </c>
      <c r="W3230" t="s">
        <v>1304</v>
      </c>
      <c r="X3230" t="s">
        <v>18137</v>
      </c>
      <c r="Y3230" t="s">
        <v>18136</v>
      </c>
      <c r="AA3230" t="s">
        <v>7531</v>
      </c>
      <c r="AE3230">
        <v>-37.055894739999999</v>
      </c>
      <c r="AF3230">
        <v>174.95772185000001</v>
      </c>
      <c r="AG3230" s="175">
        <v>60</v>
      </c>
      <c r="AH3230" s="175">
        <v>15</v>
      </c>
      <c r="AI3230" s="175">
        <v>2</v>
      </c>
      <c r="AJ3230" s="175">
        <v>5</v>
      </c>
      <c r="AK3230" s="175">
        <v>17</v>
      </c>
      <c r="AL3230" s="175">
        <v>10</v>
      </c>
      <c r="AM3230" s="175">
        <v>8</v>
      </c>
      <c r="AN3230" s="175">
        <v>0</v>
      </c>
      <c r="AO3230" s="175">
        <v>42</v>
      </c>
      <c r="AP3230" s="175">
        <v>1</v>
      </c>
      <c r="AQ3230" s="175">
        <v>8</v>
      </c>
      <c r="AR3230" s="175">
        <v>7</v>
      </c>
      <c r="AS3230" s="175">
        <v>29</v>
      </c>
      <c r="AT3230" s="175">
        <v>0</v>
      </c>
    </row>
    <row r="3231" spans="1:46">
      <c r="A3231">
        <v>48085</v>
      </c>
      <c r="B3231" t="s">
        <v>18138</v>
      </c>
      <c r="C3231" t="s">
        <v>18139</v>
      </c>
      <c r="E3231" t="s">
        <v>18140</v>
      </c>
      <c r="F3231" t="s">
        <v>840</v>
      </c>
      <c r="G3231" t="s">
        <v>737</v>
      </c>
      <c r="H3231" t="s">
        <v>449</v>
      </c>
      <c r="J3231" t="s">
        <v>605</v>
      </c>
      <c r="K3231" t="s">
        <v>606</v>
      </c>
      <c r="M3231" t="s">
        <v>607</v>
      </c>
      <c r="N3231" t="s">
        <v>657</v>
      </c>
      <c r="O3231" t="s">
        <v>823</v>
      </c>
      <c r="P3231" t="s">
        <v>739</v>
      </c>
      <c r="Q3231" t="s">
        <v>467</v>
      </c>
      <c r="R3231" t="s">
        <v>724</v>
      </c>
      <c r="S3231" t="s">
        <v>841</v>
      </c>
      <c r="T3231" t="s">
        <v>613</v>
      </c>
      <c r="U3231">
        <v>122400</v>
      </c>
      <c r="V3231" t="s">
        <v>842</v>
      </c>
      <c r="W3231" t="s">
        <v>826</v>
      </c>
      <c r="X3231" t="s">
        <v>17676</v>
      </c>
      <c r="Y3231" t="s">
        <v>4014</v>
      </c>
      <c r="Z3231" t="s">
        <v>4015</v>
      </c>
      <c r="AA3231" t="s">
        <v>4016</v>
      </c>
      <c r="AB3231" t="s">
        <v>17674</v>
      </c>
      <c r="AE3231">
        <v>-36.789684970000003</v>
      </c>
      <c r="AF3231">
        <v>174.69428095000001</v>
      </c>
      <c r="AG3231" s="175">
        <v>120</v>
      </c>
      <c r="AH3231" s="175">
        <v>25</v>
      </c>
      <c r="AI3231" s="175">
        <v>2</v>
      </c>
      <c r="AJ3231" s="175">
        <v>20</v>
      </c>
      <c r="AK3231" s="175">
        <v>19</v>
      </c>
      <c r="AL3231" s="175">
        <v>27</v>
      </c>
      <c r="AM3231" s="175">
        <v>20</v>
      </c>
      <c r="AN3231" s="175">
        <v>0</v>
      </c>
      <c r="AO3231" s="175">
        <v>88</v>
      </c>
      <c r="AP3231" s="175">
        <v>42</v>
      </c>
      <c r="AQ3231" s="175">
        <v>21</v>
      </c>
      <c r="AR3231" s="175">
        <v>13</v>
      </c>
      <c r="AS3231" s="175">
        <v>35</v>
      </c>
      <c r="AT3231" s="175">
        <v>9</v>
      </c>
    </row>
    <row r="3232" spans="1:46">
      <c r="A3232">
        <v>48087</v>
      </c>
      <c r="B3232" t="s">
        <v>18141</v>
      </c>
      <c r="C3232" t="s">
        <v>18142</v>
      </c>
      <c r="E3232" t="s">
        <v>18143</v>
      </c>
      <c r="F3232" t="s">
        <v>6042</v>
      </c>
      <c r="G3232" t="s">
        <v>737</v>
      </c>
      <c r="H3232" t="s">
        <v>449</v>
      </c>
      <c r="J3232" t="s">
        <v>4032</v>
      </c>
      <c r="K3232" t="s">
        <v>606</v>
      </c>
      <c r="M3232" t="s">
        <v>607</v>
      </c>
      <c r="N3232" t="s">
        <v>657</v>
      </c>
      <c r="O3232" t="s">
        <v>942</v>
      </c>
      <c r="P3232" t="s">
        <v>739</v>
      </c>
      <c r="Q3232" t="s">
        <v>467</v>
      </c>
      <c r="R3232" t="s">
        <v>793</v>
      </c>
      <c r="S3232" t="s">
        <v>943</v>
      </c>
      <c r="T3232" t="s">
        <v>794</v>
      </c>
      <c r="U3232">
        <v>129902</v>
      </c>
      <c r="V3232" t="s">
        <v>6585</v>
      </c>
      <c r="W3232" t="s">
        <v>945</v>
      </c>
      <c r="X3232" t="s">
        <v>4570</v>
      </c>
      <c r="Y3232" t="s">
        <v>18144</v>
      </c>
      <c r="Z3232" t="s">
        <v>6042</v>
      </c>
      <c r="AA3232" t="s">
        <v>6587</v>
      </c>
      <c r="AB3232" t="s">
        <v>4571</v>
      </c>
      <c r="AE3232">
        <v>-36.869060410000003</v>
      </c>
      <c r="AF3232">
        <v>174.71184244</v>
      </c>
      <c r="AG3232" s="175">
        <v>35</v>
      </c>
      <c r="AH3232" s="175">
        <v>10</v>
      </c>
      <c r="AI3232" s="175">
        <v>0</v>
      </c>
      <c r="AJ3232" s="175">
        <v>9</v>
      </c>
      <c r="AK3232" s="175">
        <v>14</v>
      </c>
      <c r="AL3232" s="175">
        <v>11</v>
      </c>
      <c r="AM3232" s="175">
        <v>9</v>
      </c>
      <c r="AN3232" s="175">
        <v>0</v>
      </c>
      <c r="AO3232" s="175">
        <v>43</v>
      </c>
      <c r="AP3232" s="175">
        <v>38</v>
      </c>
      <c r="AQ3232" s="175">
        <v>3</v>
      </c>
      <c r="AR3232" s="175">
        <v>0</v>
      </c>
      <c r="AS3232" s="175">
        <v>5</v>
      </c>
      <c r="AT3232" s="175">
        <v>2</v>
      </c>
    </row>
    <row r="3233" spans="1:46">
      <c r="A3233">
        <v>48088</v>
      </c>
      <c r="B3233" t="s">
        <v>18145</v>
      </c>
      <c r="C3233" t="s">
        <v>18146</v>
      </c>
      <c r="D3233" t="s">
        <v>18147</v>
      </c>
      <c r="E3233" t="s">
        <v>18148</v>
      </c>
      <c r="F3233" t="s">
        <v>3154</v>
      </c>
      <c r="G3233" t="s">
        <v>3015</v>
      </c>
      <c r="H3233" t="s">
        <v>449</v>
      </c>
      <c r="J3233" t="s">
        <v>605</v>
      </c>
      <c r="K3233" t="s">
        <v>606</v>
      </c>
      <c r="M3233" t="s">
        <v>2366</v>
      </c>
      <c r="N3233" t="s">
        <v>657</v>
      </c>
      <c r="O3233" t="s">
        <v>3016</v>
      </c>
      <c r="P3233" t="s">
        <v>739</v>
      </c>
      <c r="Q3233" t="s">
        <v>521</v>
      </c>
      <c r="R3233" t="s">
        <v>3017</v>
      </c>
      <c r="S3233" t="s">
        <v>3030</v>
      </c>
      <c r="T3233" t="s">
        <v>2526</v>
      </c>
      <c r="U3233">
        <v>323100</v>
      </c>
      <c r="V3233" t="s">
        <v>3155</v>
      </c>
      <c r="W3233" t="s">
        <v>3143</v>
      </c>
      <c r="X3233" t="s">
        <v>18149</v>
      </c>
      <c r="Y3233" t="s">
        <v>18148</v>
      </c>
      <c r="Z3233" t="s">
        <v>3154</v>
      </c>
      <c r="AA3233" t="s">
        <v>12388</v>
      </c>
      <c r="AB3233" t="s">
        <v>18146</v>
      </c>
      <c r="AE3233">
        <v>-43.503360000000001</v>
      </c>
      <c r="AF3233">
        <v>172.65046000000001</v>
      </c>
      <c r="AG3233" s="175">
        <v>40</v>
      </c>
      <c r="AH3233" s="175">
        <v>10</v>
      </c>
      <c r="AI3233" s="175">
        <v>0</v>
      </c>
      <c r="AJ3233" s="175">
        <v>3</v>
      </c>
      <c r="AK3233" s="175">
        <v>6</v>
      </c>
      <c r="AL3233" s="175">
        <v>4</v>
      </c>
      <c r="AM3233" s="175">
        <v>8</v>
      </c>
      <c r="AN3233" s="175">
        <v>0</v>
      </c>
      <c r="AO3233" s="175">
        <v>21</v>
      </c>
      <c r="AP3233" s="175">
        <v>16</v>
      </c>
      <c r="AQ3233" s="175">
        <v>6</v>
      </c>
      <c r="AR3233" s="175">
        <v>4</v>
      </c>
      <c r="AS3233" s="175">
        <v>0</v>
      </c>
      <c r="AT3233" s="175">
        <v>0</v>
      </c>
    </row>
    <row r="3234" spans="1:46">
      <c r="A3234">
        <v>48089</v>
      </c>
      <c r="B3234" t="s">
        <v>18150</v>
      </c>
      <c r="C3234" t="s">
        <v>18151</v>
      </c>
      <c r="E3234" t="s">
        <v>18152</v>
      </c>
      <c r="F3234" t="s">
        <v>1302</v>
      </c>
      <c r="G3234" t="s">
        <v>737</v>
      </c>
      <c r="H3234" t="s">
        <v>450</v>
      </c>
      <c r="J3234" t="s">
        <v>4032</v>
      </c>
      <c r="K3234" t="s">
        <v>606</v>
      </c>
      <c r="M3234" t="s">
        <v>607</v>
      </c>
      <c r="N3234" t="s">
        <v>643</v>
      </c>
      <c r="O3234" t="s">
        <v>1353</v>
      </c>
      <c r="P3234" t="s">
        <v>739</v>
      </c>
      <c r="Q3234" t="s">
        <v>467</v>
      </c>
      <c r="R3234" t="s">
        <v>814</v>
      </c>
      <c r="S3234" t="s">
        <v>1302</v>
      </c>
      <c r="T3234" t="s">
        <v>794</v>
      </c>
      <c r="U3234">
        <v>162101</v>
      </c>
      <c r="V3234" t="s">
        <v>18153</v>
      </c>
      <c r="W3234" t="s">
        <v>1304</v>
      </c>
      <c r="X3234" t="s">
        <v>18154</v>
      </c>
      <c r="Y3234" t="s">
        <v>18155</v>
      </c>
      <c r="Z3234" t="s">
        <v>1302</v>
      </c>
      <c r="AA3234" t="s">
        <v>9566</v>
      </c>
      <c r="AE3234">
        <v>-37.04241262</v>
      </c>
      <c r="AF3234">
        <v>174.93112085000001</v>
      </c>
      <c r="AG3234" s="175">
        <v>50</v>
      </c>
      <c r="AH3234" s="175">
        <v>50</v>
      </c>
      <c r="AI3234" s="175">
        <v>10</v>
      </c>
      <c r="AJ3234" s="175">
        <v>10</v>
      </c>
      <c r="AK3234" s="175">
        <v>13</v>
      </c>
      <c r="AL3234" s="175">
        <v>7</v>
      </c>
      <c r="AM3234" s="175">
        <v>9</v>
      </c>
      <c r="AN3234" s="175">
        <v>0</v>
      </c>
      <c r="AO3234" s="175">
        <v>49</v>
      </c>
      <c r="AP3234" s="175">
        <v>0</v>
      </c>
      <c r="AQ3234" s="175">
        <v>3</v>
      </c>
      <c r="AR3234" s="175">
        <v>4</v>
      </c>
      <c r="AS3234" s="175">
        <v>42</v>
      </c>
      <c r="AT3234" s="175">
        <v>0</v>
      </c>
    </row>
    <row r="3235" spans="1:46">
      <c r="A3235">
        <v>48091</v>
      </c>
      <c r="B3235" t="s">
        <v>18156</v>
      </c>
      <c r="C3235" t="s">
        <v>18157</v>
      </c>
      <c r="E3235" t="s">
        <v>18158</v>
      </c>
      <c r="F3235" t="s">
        <v>1030</v>
      </c>
      <c r="G3235" t="s">
        <v>737</v>
      </c>
      <c r="H3235" t="s">
        <v>449</v>
      </c>
      <c r="J3235" t="s">
        <v>605</v>
      </c>
      <c r="K3235" t="s">
        <v>606</v>
      </c>
      <c r="M3235" t="s">
        <v>607</v>
      </c>
      <c r="N3235" t="s">
        <v>625</v>
      </c>
      <c r="O3235" t="s">
        <v>933</v>
      </c>
      <c r="P3235" t="s">
        <v>739</v>
      </c>
      <c r="Q3235" t="s">
        <v>467</v>
      </c>
      <c r="R3235" t="s">
        <v>814</v>
      </c>
      <c r="S3235" t="s">
        <v>934</v>
      </c>
      <c r="T3235" t="s">
        <v>794</v>
      </c>
      <c r="U3235">
        <v>151000</v>
      </c>
      <c r="V3235" t="s">
        <v>4290</v>
      </c>
      <c r="W3235" t="s">
        <v>817</v>
      </c>
      <c r="X3235" t="s">
        <v>18159</v>
      </c>
      <c r="Y3235" t="s">
        <v>18160</v>
      </c>
      <c r="Z3235" t="s">
        <v>932</v>
      </c>
      <c r="AA3235" t="s">
        <v>4293</v>
      </c>
      <c r="AB3235" t="s">
        <v>18157</v>
      </c>
      <c r="AE3235">
        <v>-36.976197370000001</v>
      </c>
      <c r="AF3235">
        <v>174.79482038</v>
      </c>
      <c r="AG3235" s="175">
        <v>30</v>
      </c>
      <c r="AH3235" s="175">
        <v>10</v>
      </c>
      <c r="AI3235" s="175">
        <v>1</v>
      </c>
      <c r="AJ3235" s="175">
        <v>2</v>
      </c>
      <c r="AK3235" s="175">
        <v>2</v>
      </c>
      <c r="AL3235" s="175">
        <v>4</v>
      </c>
      <c r="AM3235" s="175">
        <v>6</v>
      </c>
      <c r="AN3235" s="175">
        <v>0</v>
      </c>
      <c r="AO3235" s="175">
        <v>15</v>
      </c>
      <c r="AP3235" s="175">
        <v>0</v>
      </c>
      <c r="AQ3235" s="175">
        <v>5</v>
      </c>
      <c r="AR3235" s="175">
        <v>15</v>
      </c>
      <c r="AS3235" s="175">
        <v>1</v>
      </c>
      <c r="AT3235" s="175">
        <v>0</v>
      </c>
    </row>
    <row r="3236" spans="1:46">
      <c r="A3236">
        <v>48092</v>
      </c>
      <c r="B3236" t="s">
        <v>18161</v>
      </c>
      <c r="C3236" t="s">
        <v>16906</v>
      </c>
      <c r="D3236" t="s">
        <v>16907</v>
      </c>
      <c r="E3236" t="s">
        <v>18162</v>
      </c>
      <c r="F3236" t="s">
        <v>1319</v>
      </c>
      <c r="G3236" t="s">
        <v>737</v>
      </c>
      <c r="H3236" t="s">
        <v>450</v>
      </c>
      <c r="J3236" t="s">
        <v>4032</v>
      </c>
      <c r="K3236" t="s">
        <v>606</v>
      </c>
      <c r="M3236" t="s">
        <v>607</v>
      </c>
      <c r="N3236" t="s">
        <v>625</v>
      </c>
      <c r="O3236" t="s">
        <v>1353</v>
      </c>
      <c r="P3236" t="s">
        <v>739</v>
      </c>
      <c r="Q3236" t="s">
        <v>467</v>
      </c>
      <c r="R3236" t="s">
        <v>814</v>
      </c>
      <c r="S3236" t="s">
        <v>1319</v>
      </c>
      <c r="T3236" t="s">
        <v>1320</v>
      </c>
      <c r="U3236">
        <v>163700</v>
      </c>
      <c r="V3236" t="s">
        <v>7661</v>
      </c>
      <c r="W3236" t="s">
        <v>1304</v>
      </c>
      <c r="X3236" t="s">
        <v>16909</v>
      </c>
      <c r="Y3236" t="s">
        <v>16910</v>
      </c>
      <c r="Z3236" t="s">
        <v>4272</v>
      </c>
      <c r="AA3236" t="s">
        <v>4652</v>
      </c>
      <c r="AE3236">
        <v>-37.077846520000001</v>
      </c>
      <c r="AF3236">
        <v>174.94050773999999</v>
      </c>
      <c r="AG3236" s="175">
        <v>50</v>
      </c>
      <c r="AH3236" s="175">
        <v>50</v>
      </c>
      <c r="AI3236" s="175">
        <v>5</v>
      </c>
      <c r="AJ3236" s="175">
        <v>6</v>
      </c>
      <c r="AK3236" s="175">
        <v>5</v>
      </c>
      <c r="AL3236" s="175">
        <v>3</v>
      </c>
      <c r="AM3236" s="175">
        <v>4</v>
      </c>
      <c r="AN3236" s="175">
        <v>1</v>
      </c>
      <c r="AO3236" s="175">
        <v>24</v>
      </c>
      <c r="AP3236" s="175">
        <v>0</v>
      </c>
      <c r="AQ3236" s="175">
        <v>3</v>
      </c>
      <c r="AR3236" s="175">
        <v>18</v>
      </c>
      <c r="AS3236" s="175">
        <v>6</v>
      </c>
      <c r="AT3236" s="175">
        <v>0</v>
      </c>
    </row>
    <row r="3237" spans="1:46">
      <c r="A3237">
        <v>48093</v>
      </c>
      <c r="B3237" t="s">
        <v>18163</v>
      </c>
      <c r="C3237" t="s">
        <v>18164</v>
      </c>
      <c r="E3237" t="s">
        <v>18165</v>
      </c>
      <c r="F3237" t="s">
        <v>8536</v>
      </c>
      <c r="G3237" t="s">
        <v>1681</v>
      </c>
      <c r="H3237" t="s">
        <v>449</v>
      </c>
      <c r="J3237" t="s">
        <v>4032</v>
      </c>
      <c r="K3237" t="s">
        <v>606</v>
      </c>
      <c r="M3237" t="s">
        <v>1382</v>
      </c>
      <c r="N3237" t="s">
        <v>657</v>
      </c>
      <c r="O3237" t="s">
        <v>1780</v>
      </c>
      <c r="P3237" t="s">
        <v>739</v>
      </c>
      <c r="Q3237" t="s">
        <v>511</v>
      </c>
      <c r="R3237" t="s">
        <v>1555</v>
      </c>
      <c r="S3237" t="s">
        <v>1681</v>
      </c>
      <c r="T3237" t="s">
        <v>1557</v>
      </c>
      <c r="U3237">
        <v>193500</v>
      </c>
      <c r="V3237" t="s">
        <v>8537</v>
      </c>
      <c r="W3237" t="s">
        <v>1791</v>
      </c>
      <c r="X3237" t="s">
        <v>18166</v>
      </c>
      <c r="Y3237" t="s">
        <v>18167</v>
      </c>
      <c r="Z3237" t="s">
        <v>9813</v>
      </c>
      <c r="AA3237" t="s">
        <v>8947</v>
      </c>
      <c r="AB3237" t="s">
        <v>18164</v>
      </c>
      <c r="AE3237">
        <v>-37.709031920000001</v>
      </c>
      <c r="AF3237">
        <v>176.12187231999999</v>
      </c>
      <c r="AG3237" s="175">
        <v>30</v>
      </c>
      <c r="AH3237" s="175">
        <v>6</v>
      </c>
      <c r="AI3237" s="175">
        <v>0</v>
      </c>
      <c r="AJ3237" s="175">
        <v>4</v>
      </c>
      <c r="AK3237" s="175">
        <v>15</v>
      </c>
      <c r="AL3237" s="175">
        <v>7</v>
      </c>
      <c r="AM3237" s="175">
        <v>10</v>
      </c>
      <c r="AN3237" s="175">
        <v>2</v>
      </c>
      <c r="AO3237" s="175">
        <v>38</v>
      </c>
      <c r="AP3237" s="175">
        <v>37</v>
      </c>
      <c r="AQ3237" s="175">
        <v>1</v>
      </c>
      <c r="AR3237" s="175">
        <v>0</v>
      </c>
      <c r="AS3237" s="175">
        <v>1</v>
      </c>
      <c r="AT3237" s="175">
        <v>4</v>
      </c>
    </row>
    <row r="3238" spans="1:46">
      <c r="A3238">
        <v>48094</v>
      </c>
      <c r="B3238" t="s">
        <v>18168</v>
      </c>
      <c r="C3238" t="s">
        <v>18169</v>
      </c>
      <c r="E3238" t="s">
        <v>18170</v>
      </c>
      <c r="F3238" t="s">
        <v>2130</v>
      </c>
      <c r="G3238" t="s">
        <v>2055</v>
      </c>
      <c r="H3238" t="s">
        <v>449</v>
      </c>
      <c r="I3238" t="s">
        <v>4134</v>
      </c>
      <c r="J3238" t="s">
        <v>4032</v>
      </c>
      <c r="K3238" t="s">
        <v>606</v>
      </c>
      <c r="M3238" t="s">
        <v>1382</v>
      </c>
      <c r="N3238" t="s">
        <v>657</v>
      </c>
      <c r="O3238" t="s">
        <v>2037</v>
      </c>
      <c r="P3238" t="s">
        <v>670</v>
      </c>
      <c r="Q3238" t="s">
        <v>553</v>
      </c>
      <c r="R3238" t="s">
        <v>1841</v>
      </c>
      <c r="S3238" t="s">
        <v>2055</v>
      </c>
      <c r="T3238" t="s">
        <v>1568</v>
      </c>
      <c r="U3238">
        <v>230200</v>
      </c>
      <c r="V3238" t="s">
        <v>10453</v>
      </c>
      <c r="W3238" t="s">
        <v>2038</v>
      </c>
      <c r="X3238" t="s">
        <v>17038</v>
      </c>
      <c r="Y3238" t="s">
        <v>4176</v>
      </c>
      <c r="AA3238" t="s">
        <v>4052</v>
      </c>
      <c r="AB3238" t="s">
        <v>17039</v>
      </c>
      <c r="AE3238">
        <v>-40.33771376</v>
      </c>
      <c r="AF3238">
        <v>175.63090366</v>
      </c>
      <c r="AG3238" s="175">
        <v>99</v>
      </c>
      <c r="AH3238" s="175">
        <v>38</v>
      </c>
      <c r="AI3238" s="175">
        <v>4</v>
      </c>
      <c r="AJ3238" s="175">
        <v>10</v>
      </c>
      <c r="AK3238" s="175">
        <v>19</v>
      </c>
      <c r="AL3238" s="175">
        <v>27</v>
      </c>
      <c r="AM3238" s="175">
        <v>24</v>
      </c>
      <c r="AN3238" s="175">
        <v>1</v>
      </c>
      <c r="AO3238" s="175">
        <v>85</v>
      </c>
      <c r="AP3238" s="175">
        <v>47</v>
      </c>
      <c r="AQ3238" s="175">
        <v>9</v>
      </c>
      <c r="AR3238" s="175">
        <v>1</v>
      </c>
      <c r="AS3238" s="175">
        <v>35</v>
      </c>
      <c r="AT3238" s="175">
        <v>9</v>
      </c>
    </row>
    <row r="3239" spans="1:46">
      <c r="A3239">
        <v>48096</v>
      </c>
      <c r="B3239" t="s">
        <v>18171</v>
      </c>
      <c r="C3239" t="s">
        <v>17834</v>
      </c>
      <c r="D3239" t="s">
        <v>15609</v>
      </c>
      <c r="E3239" t="s">
        <v>18172</v>
      </c>
      <c r="F3239" t="s">
        <v>3106</v>
      </c>
      <c r="G3239" t="s">
        <v>3015</v>
      </c>
      <c r="H3239" t="s">
        <v>449</v>
      </c>
      <c r="I3239" t="s">
        <v>4134</v>
      </c>
      <c r="J3239" t="s">
        <v>4032</v>
      </c>
      <c r="K3239" t="s">
        <v>606</v>
      </c>
      <c r="M3239" t="s">
        <v>2366</v>
      </c>
      <c r="N3239" t="s">
        <v>657</v>
      </c>
      <c r="O3239" t="s">
        <v>3016</v>
      </c>
      <c r="P3239" t="s">
        <v>739</v>
      </c>
      <c r="Q3239" t="s">
        <v>521</v>
      </c>
      <c r="R3239" t="s">
        <v>3017</v>
      </c>
      <c r="S3239" t="s">
        <v>3092</v>
      </c>
      <c r="T3239" t="s">
        <v>2526</v>
      </c>
      <c r="U3239">
        <v>322900</v>
      </c>
      <c r="V3239" t="s">
        <v>11453</v>
      </c>
      <c r="W3239" t="s">
        <v>3093</v>
      </c>
      <c r="X3239" t="s">
        <v>15611</v>
      </c>
      <c r="Y3239" t="s">
        <v>18173</v>
      </c>
      <c r="Z3239" t="s">
        <v>3092</v>
      </c>
      <c r="AA3239" t="s">
        <v>11482</v>
      </c>
      <c r="AB3239" t="s">
        <v>17834</v>
      </c>
      <c r="AE3239">
        <v>-43.56045245</v>
      </c>
      <c r="AF3239">
        <v>172.5414561</v>
      </c>
      <c r="AG3239" s="175">
        <v>80</v>
      </c>
      <c r="AH3239" s="175">
        <v>17</v>
      </c>
      <c r="AI3239" s="175">
        <v>2</v>
      </c>
      <c r="AJ3239" s="175">
        <v>13</v>
      </c>
      <c r="AK3239" s="175">
        <v>13</v>
      </c>
      <c r="AL3239" s="175">
        <v>18</v>
      </c>
      <c r="AM3239" s="175">
        <v>16</v>
      </c>
      <c r="AN3239" s="175">
        <v>2</v>
      </c>
      <c r="AO3239" s="175">
        <v>64</v>
      </c>
      <c r="AP3239" s="175">
        <v>8</v>
      </c>
      <c r="AQ3239" s="175">
        <v>1</v>
      </c>
      <c r="AR3239" s="175">
        <v>0</v>
      </c>
      <c r="AS3239" s="175">
        <v>60</v>
      </c>
      <c r="AT3239" s="175">
        <v>2</v>
      </c>
    </row>
    <row r="3240" spans="1:46">
      <c r="A3240">
        <v>48097</v>
      </c>
      <c r="B3240" t="s">
        <v>18174</v>
      </c>
      <c r="E3240" t="s">
        <v>18175</v>
      </c>
      <c r="F3240" t="s">
        <v>811</v>
      </c>
      <c r="G3240" t="s">
        <v>737</v>
      </c>
      <c r="H3240" t="s">
        <v>449</v>
      </c>
      <c r="J3240" t="s">
        <v>4032</v>
      </c>
      <c r="K3240" t="s">
        <v>606</v>
      </c>
      <c r="M3240" t="s">
        <v>607</v>
      </c>
      <c r="N3240" t="s">
        <v>812</v>
      </c>
      <c r="O3240" t="s">
        <v>813</v>
      </c>
      <c r="P3240" t="s">
        <v>739</v>
      </c>
      <c r="Q3240" t="s">
        <v>467</v>
      </c>
      <c r="R3240" t="s">
        <v>814</v>
      </c>
      <c r="S3240" t="s">
        <v>815</v>
      </c>
      <c r="T3240" t="s">
        <v>794</v>
      </c>
      <c r="U3240">
        <v>153500</v>
      </c>
      <c r="V3240" t="s">
        <v>816</v>
      </c>
      <c r="W3240" t="s">
        <v>817</v>
      </c>
      <c r="X3240" t="s">
        <v>4872</v>
      </c>
      <c r="Y3240" t="s">
        <v>4059</v>
      </c>
      <c r="Z3240" t="s">
        <v>4060</v>
      </c>
      <c r="AA3240" t="s">
        <v>4061</v>
      </c>
      <c r="AE3240">
        <v>-36.961964520000002</v>
      </c>
      <c r="AF3240">
        <v>174.86861514</v>
      </c>
      <c r="AG3240" s="175">
        <v>35</v>
      </c>
      <c r="AH3240" s="175">
        <v>10</v>
      </c>
      <c r="AI3240" s="175">
        <v>1</v>
      </c>
      <c r="AJ3240" s="175">
        <v>8</v>
      </c>
      <c r="AK3240" s="175">
        <v>9</v>
      </c>
      <c r="AL3240" s="175">
        <v>6</v>
      </c>
      <c r="AM3240" s="175">
        <v>5</v>
      </c>
      <c r="AN3240" s="175">
        <v>2</v>
      </c>
      <c r="AO3240" s="175">
        <v>31</v>
      </c>
      <c r="AP3240" s="175">
        <v>5</v>
      </c>
      <c r="AQ3240" s="175">
        <v>7</v>
      </c>
      <c r="AR3240" s="175">
        <v>27</v>
      </c>
      <c r="AS3240" s="175">
        <v>0</v>
      </c>
      <c r="AT3240" s="175">
        <v>1</v>
      </c>
    </row>
    <row r="3241" spans="1:46">
      <c r="A3241">
        <v>48098</v>
      </c>
      <c r="B3241" t="s">
        <v>18176</v>
      </c>
      <c r="C3241" t="s">
        <v>18177</v>
      </c>
      <c r="E3241" t="s">
        <v>18178</v>
      </c>
      <c r="G3241" t="s">
        <v>737</v>
      </c>
      <c r="H3241" t="s">
        <v>449</v>
      </c>
      <c r="J3241" t="s">
        <v>4032</v>
      </c>
      <c r="K3241" t="s">
        <v>606</v>
      </c>
      <c r="M3241" t="s">
        <v>607</v>
      </c>
      <c r="N3241" t="s">
        <v>657</v>
      </c>
      <c r="O3241" t="s">
        <v>723</v>
      </c>
      <c r="P3241" t="s">
        <v>670</v>
      </c>
      <c r="Q3241" t="s">
        <v>467</v>
      </c>
      <c r="R3241" t="s">
        <v>724</v>
      </c>
      <c r="S3241" t="s">
        <v>725</v>
      </c>
      <c r="T3241" t="s">
        <v>613</v>
      </c>
      <c r="U3241">
        <v>113401</v>
      </c>
      <c r="V3241" t="s">
        <v>4577</v>
      </c>
      <c r="W3241" t="s">
        <v>726</v>
      </c>
      <c r="X3241" t="s">
        <v>16076</v>
      </c>
      <c r="Y3241" t="s">
        <v>18178</v>
      </c>
      <c r="AA3241" t="s">
        <v>4250</v>
      </c>
      <c r="AE3241">
        <v>-36.617453779999998</v>
      </c>
      <c r="AF3241">
        <v>174.65766429999999</v>
      </c>
      <c r="AG3241" s="175">
        <v>112</v>
      </c>
      <c r="AH3241" s="175">
        <v>32</v>
      </c>
      <c r="AI3241" s="175">
        <v>9</v>
      </c>
      <c r="AJ3241" s="175">
        <v>22</v>
      </c>
      <c r="AK3241" s="175">
        <v>30</v>
      </c>
      <c r="AL3241" s="175">
        <v>21</v>
      </c>
      <c r="AM3241" s="175">
        <v>18</v>
      </c>
      <c r="AN3241" s="175">
        <v>2</v>
      </c>
      <c r="AO3241" s="175">
        <v>102</v>
      </c>
      <c r="AP3241" s="175">
        <v>86</v>
      </c>
      <c r="AQ3241" s="175">
        <v>6</v>
      </c>
      <c r="AR3241" s="175">
        <v>4</v>
      </c>
      <c r="AS3241" s="175">
        <v>16</v>
      </c>
      <c r="AT3241" s="175">
        <v>3</v>
      </c>
    </row>
    <row r="3242" spans="1:46">
      <c r="A3242">
        <v>48100</v>
      </c>
      <c r="B3242" t="s">
        <v>18179</v>
      </c>
      <c r="C3242" t="s">
        <v>18180</v>
      </c>
      <c r="E3242" t="s">
        <v>18181</v>
      </c>
      <c r="F3242" t="s">
        <v>18182</v>
      </c>
      <c r="G3242" t="s">
        <v>3694</v>
      </c>
      <c r="H3242" t="s">
        <v>449</v>
      </c>
      <c r="J3242" t="s">
        <v>4032</v>
      </c>
      <c r="K3242" t="s">
        <v>606</v>
      </c>
      <c r="M3242" t="s">
        <v>607</v>
      </c>
      <c r="N3242" t="s">
        <v>657</v>
      </c>
      <c r="O3242" t="s">
        <v>738</v>
      </c>
      <c r="P3242" t="s">
        <v>670</v>
      </c>
      <c r="Q3242" t="s">
        <v>467</v>
      </c>
      <c r="R3242" t="s">
        <v>724</v>
      </c>
      <c r="S3242" t="s">
        <v>753</v>
      </c>
      <c r="T3242" t="s">
        <v>613</v>
      </c>
      <c r="U3242">
        <v>115400</v>
      </c>
      <c r="V3242" t="s">
        <v>18183</v>
      </c>
      <c r="W3242" t="s">
        <v>742</v>
      </c>
      <c r="X3242" t="s">
        <v>18184</v>
      </c>
      <c r="Y3242" t="s">
        <v>18185</v>
      </c>
      <c r="AA3242" t="s">
        <v>18186</v>
      </c>
      <c r="AE3242">
        <v>-36.615467129999999</v>
      </c>
      <c r="AF3242">
        <v>174.7751561</v>
      </c>
      <c r="AG3242" s="175">
        <v>65</v>
      </c>
      <c r="AH3242" s="175">
        <v>12</v>
      </c>
      <c r="AI3242" s="175">
        <v>3</v>
      </c>
      <c r="AJ3242" s="175">
        <v>8</v>
      </c>
      <c r="AK3242" s="175">
        <v>8</v>
      </c>
      <c r="AL3242" s="175">
        <v>22</v>
      </c>
      <c r="AM3242" s="175">
        <v>17</v>
      </c>
      <c r="AN3242" s="175">
        <v>0</v>
      </c>
      <c r="AO3242" s="175">
        <v>58</v>
      </c>
      <c r="AP3242" s="175">
        <v>50</v>
      </c>
      <c r="AQ3242" s="175">
        <v>5</v>
      </c>
      <c r="AR3242" s="175">
        <v>4</v>
      </c>
      <c r="AS3242" s="175">
        <v>8</v>
      </c>
      <c r="AT3242" s="175">
        <v>1</v>
      </c>
    </row>
    <row r="3243" spans="1:46">
      <c r="A3243">
        <v>48103</v>
      </c>
      <c r="B3243" t="s">
        <v>18187</v>
      </c>
      <c r="C3243" t="s">
        <v>18188</v>
      </c>
      <c r="E3243" t="s">
        <v>18189</v>
      </c>
      <c r="F3243" t="s">
        <v>2177</v>
      </c>
      <c r="G3243" t="s">
        <v>2162</v>
      </c>
      <c r="H3243" t="s">
        <v>347</v>
      </c>
      <c r="J3243" t="s">
        <v>605</v>
      </c>
      <c r="K3243" t="s">
        <v>606</v>
      </c>
      <c r="L3243" t="s">
        <v>4273</v>
      </c>
      <c r="M3243" t="s">
        <v>1382</v>
      </c>
      <c r="N3243" t="s">
        <v>657</v>
      </c>
      <c r="O3243" t="s">
        <v>2163</v>
      </c>
      <c r="P3243" t="s">
        <v>670</v>
      </c>
      <c r="Q3243" t="s">
        <v>512</v>
      </c>
      <c r="R3243" t="s">
        <v>2164</v>
      </c>
      <c r="S3243" t="s">
        <v>1556</v>
      </c>
      <c r="T3243" t="s">
        <v>2165</v>
      </c>
      <c r="U3243">
        <v>205900</v>
      </c>
      <c r="V3243" t="s">
        <v>18190</v>
      </c>
      <c r="W3243" t="s">
        <v>2167</v>
      </c>
      <c r="X3243" t="s">
        <v>18191</v>
      </c>
      <c r="Y3243" t="s">
        <v>4276</v>
      </c>
      <c r="Z3243" t="s">
        <v>4277</v>
      </c>
      <c r="AA3243" t="s">
        <v>4278</v>
      </c>
      <c r="AB3243" t="s">
        <v>18192</v>
      </c>
      <c r="AE3243">
        <v>-38.636813940000003</v>
      </c>
      <c r="AF3243">
        <v>178.01183176000001</v>
      </c>
      <c r="AG3243" s="175">
        <v>25</v>
      </c>
      <c r="AH3243" s="175">
        <v>10</v>
      </c>
      <c r="AI3243" s="175">
        <v>1</v>
      </c>
      <c r="AJ3243" s="175">
        <v>6</v>
      </c>
      <c r="AK3243" s="175">
        <v>10</v>
      </c>
      <c r="AL3243" s="175">
        <v>1</v>
      </c>
      <c r="AM3243" s="175">
        <v>0</v>
      </c>
      <c r="AN3243" s="175">
        <v>0</v>
      </c>
      <c r="AO3243" s="175">
        <v>18</v>
      </c>
      <c r="AP3243" s="175">
        <v>0</v>
      </c>
      <c r="AQ3243" s="175">
        <v>18</v>
      </c>
      <c r="AR3243" s="175">
        <v>0</v>
      </c>
      <c r="AS3243" s="175">
        <v>0</v>
      </c>
      <c r="AT3243" s="175">
        <v>0</v>
      </c>
    </row>
    <row r="3244" spans="1:46">
      <c r="A3244">
        <v>48104</v>
      </c>
      <c r="B3244" t="s">
        <v>18193</v>
      </c>
      <c r="C3244" t="s">
        <v>18194</v>
      </c>
      <c r="D3244" t="s">
        <v>18195</v>
      </c>
      <c r="E3244" t="s">
        <v>18196</v>
      </c>
      <c r="F3244" t="s">
        <v>1121</v>
      </c>
      <c r="G3244" t="s">
        <v>737</v>
      </c>
      <c r="H3244" t="s">
        <v>449</v>
      </c>
      <c r="J3244" t="s">
        <v>4032</v>
      </c>
      <c r="K3244" t="s">
        <v>606</v>
      </c>
      <c r="M3244" t="s">
        <v>607</v>
      </c>
      <c r="N3244" t="s">
        <v>657</v>
      </c>
      <c r="O3244" t="s">
        <v>1301</v>
      </c>
      <c r="P3244" t="s">
        <v>739</v>
      </c>
      <c r="Q3244" t="s">
        <v>467</v>
      </c>
      <c r="R3244" t="s">
        <v>814</v>
      </c>
      <c r="S3244" t="s">
        <v>1121</v>
      </c>
      <c r="T3244" t="s">
        <v>794</v>
      </c>
      <c r="U3244">
        <v>160300</v>
      </c>
      <c r="V3244" t="s">
        <v>1337</v>
      </c>
      <c r="W3244" t="s">
        <v>1304</v>
      </c>
      <c r="X3244" t="s">
        <v>12854</v>
      </c>
      <c r="Y3244" t="s">
        <v>10629</v>
      </c>
      <c r="Z3244" t="s">
        <v>976</v>
      </c>
      <c r="AA3244" t="s">
        <v>10630</v>
      </c>
      <c r="AB3244" t="s">
        <v>12855</v>
      </c>
      <c r="AE3244">
        <v>-37.013858370000001</v>
      </c>
      <c r="AF3244">
        <v>174.89753725</v>
      </c>
      <c r="AG3244" s="175">
        <v>125</v>
      </c>
      <c r="AH3244" s="175">
        <v>35</v>
      </c>
      <c r="AI3244" s="175">
        <v>6</v>
      </c>
      <c r="AJ3244" s="175">
        <v>25</v>
      </c>
      <c r="AK3244" s="175">
        <v>35</v>
      </c>
      <c r="AL3244" s="175">
        <v>23</v>
      </c>
      <c r="AM3244" s="175">
        <v>20</v>
      </c>
      <c r="AN3244" s="175">
        <v>1</v>
      </c>
      <c r="AO3244" s="175">
        <v>110</v>
      </c>
      <c r="AP3244" s="175">
        <v>71</v>
      </c>
      <c r="AQ3244" s="175">
        <v>26</v>
      </c>
      <c r="AR3244" s="175">
        <v>17</v>
      </c>
      <c r="AS3244" s="175">
        <v>35</v>
      </c>
      <c r="AT3244" s="175">
        <v>7</v>
      </c>
    </row>
    <row r="3245" spans="1:46">
      <c r="A3245">
        <v>48105</v>
      </c>
      <c r="B3245" t="s">
        <v>18197</v>
      </c>
      <c r="C3245" t="s">
        <v>18198</v>
      </c>
      <c r="E3245" t="s">
        <v>18199</v>
      </c>
      <c r="F3245" t="s">
        <v>18200</v>
      </c>
      <c r="G3245" t="s">
        <v>1346</v>
      </c>
      <c r="H3245" t="s">
        <v>449</v>
      </c>
      <c r="J3245" t="s">
        <v>605</v>
      </c>
      <c r="K3245" t="s">
        <v>606</v>
      </c>
      <c r="M3245" t="s">
        <v>607</v>
      </c>
      <c r="N3245" t="s">
        <v>657</v>
      </c>
      <c r="O3245" t="s">
        <v>1318</v>
      </c>
      <c r="P3245" t="s">
        <v>626</v>
      </c>
      <c r="Q3245" t="s">
        <v>467</v>
      </c>
      <c r="R3245" t="s">
        <v>814</v>
      </c>
      <c r="S3245" t="s">
        <v>1331</v>
      </c>
      <c r="T3245" t="s">
        <v>1320</v>
      </c>
      <c r="U3245">
        <v>165101</v>
      </c>
      <c r="V3245" t="s">
        <v>18201</v>
      </c>
      <c r="W3245" t="s">
        <v>1322</v>
      </c>
      <c r="X3245" t="s">
        <v>4013</v>
      </c>
      <c r="Y3245" t="s">
        <v>4014</v>
      </c>
      <c r="Z3245" t="s">
        <v>4015</v>
      </c>
      <c r="AA3245" t="s">
        <v>4016</v>
      </c>
      <c r="AB3245" t="s">
        <v>4017</v>
      </c>
      <c r="AE3245">
        <v>-37.14388228</v>
      </c>
      <c r="AF3245">
        <v>174.8876348</v>
      </c>
      <c r="AG3245" s="175">
        <v>100</v>
      </c>
      <c r="AH3245" s="175">
        <v>16</v>
      </c>
      <c r="AI3245" s="175">
        <v>3</v>
      </c>
      <c r="AJ3245" s="175">
        <v>13</v>
      </c>
      <c r="AK3245" s="175">
        <v>18</v>
      </c>
      <c r="AL3245" s="175">
        <v>14</v>
      </c>
      <c r="AM3245" s="175">
        <v>12</v>
      </c>
      <c r="AN3245" s="175">
        <v>0</v>
      </c>
      <c r="AO3245" s="175">
        <v>60</v>
      </c>
      <c r="AP3245" s="175">
        <v>30</v>
      </c>
      <c r="AQ3245" s="175">
        <v>13</v>
      </c>
      <c r="AR3245" s="175">
        <v>10</v>
      </c>
      <c r="AS3245" s="175">
        <v>22</v>
      </c>
      <c r="AT3245" s="175">
        <v>8</v>
      </c>
    </row>
    <row r="3246" spans="1:46">
      <c r="A3246">
        <v>48106</v>
      </c>
      <c r="B3246" t="s">
        <v>18202</v>
      </c>
      <c r="C3246" t="s">
        <v>18203</v>
      </c>
      <c r="E3246" t="s">
        <v>18204</v>
      </c>
      <c r="G3246" t="s">
        <v>784</v>
      </c>
      <c r="H3246" t="s">
        <v>449</v>
      </c>
      <c r="J3246" t="s">
        <v>4032</v>
      </c>
      <c r="K3246" t="s">
        <v>606</v>
      </c>
      <c r="M3246" t="s">
        <v>607</v>
      </c>
      <c r="N3246" t="s">
        <v>657</v>
      </c>
      <c r="O3246" t="s">
        <v>738</v>
      </c>
      <c r="P3246" t="s">
        <v>670</v>
      </c>
      <c r="Q3246" t="s">
        <v>467</v>
      </c>
      <c r="R3246" t="s">
        <v>724</v>
      </c>
      <c r="S3246" t="s">
        <v>753</v>
      </c>
      <c r="T3246" t="s">
        <v>613</v>
      </c>
      <c r="U3246">
        <v>114400</v>
      </c>
      <c r="V3246" t="s">
        <v>5186</v>
      </c>
      <c r="W3246" t="s">
        <v>742</v>
      </c>
      <c r="X3246" t="s">
        <v>5963</v>
      </c>
      <c r="Y3246" t="s">
        <v>18205</v>
      </c>
      <c r="Z3246" t="s">
        <v>18206</v>
      </c>
      <c r="AA3246" t="s">
        <v>5987</v>
      </c>
      <c r="AE3246">
        <v>-36.617758870000003</v>
      </c>
      <c r="AF3246">
        <v>174.71309932</v>
      </c>
      <c r="AG3246" s="175">
        <v>45</v>
      </c>
      <c r="AH3246" s="175">
        <v>15</v>
      </c>
      <c r="AI3246" s="175">
        <v>1</v>
      </c>
      <c r="AJ3246" s="175">
        <v>7</v>
      </c>
      <c r="AK3246" s="175">
        <v>12</v>
      </c>
      <c r="AL3246" s="175">
        <v>13</v>
      </c>
      <c r="AM3246" s="175">
        <v>11</v>
      </c>
      <c r="AN3246" s="175">
        <v>1</v>
      </c>
      <c r="AO3246" s="175">
        <v>45</v>
      </c>
      <c r="AP3246" s="175">
        <v>40</v>
      </c>
      <c r="AQ3246" s="175">
        <v>13</v>
      </c>
      <c r="AR3246" s="175">
        <v>3</v>
      </c>
      <c r="AS3246" s="175">
        <v>0</v>
      </c>
      <c r="AT3246" s="175">
        <v>1</v>
      </c>
    </row>
    <row r="3247" spans="1:46">
      <c r="A3247">
        <v>48107</v>
      </c>
      <c r="B3247" t="s">
        <v>18207</v>
      </c>
      <c r="C3247" t="s">
        <v>18208</v>
      </c>
      <c r="D3247" t="s">
        <v>18209</v>
      </c>
      <c r="E3247" t="s">
        <v>18210</v>
      </c>
      <c r="F3247" t="s">
        <v>3184</v>
      </c>
      <c r="G3247" t="s">
        <v>3015</v>
      </c>
      <c r="H3247" t="s">
        <v>449</v>
      </c>
      <c r="J3247" t="s">
        <v>4032</v>
      </c>
      <c r="K3247" t="s">
        <v>606</v>
      </c>
      <c r="M3247" t="s">
        <v>2366</v>
      </c>
      <c r="N3247" t="s">
        <v>657</v>
      </c>
      <c r="O3247" t="s">
        <v>3016</v>
      </c>
      <c r="P3247" t="s">
        <v>739</v>
      </c>
      <c r="Q3247" t="s">
        <v>521</v>
      </c>
      <c r="R3247" t="s">
        <v>3017</v>
      </c>
      <c r="S3247" t="s">
        <v>3030</v>
      </c>
      <c r="T3247" t="s">
        <v>2526</v>
      </c>
      <c r="U3247">
        <v>330900</v>
      </c>
      <c r="V3247" t="s">
        <v>3184</v>
      </c>
      <c r="W3247" t="s">
        <v>3087</v>
      </c>
      <c r="X3247" t="s">
        <v>18211</v>
      </c>
      <c r="Y3247" t="s">
        <v>18212</v>
      </c>
      <c r="Z3247" t="s">
        <v>3029</v>
      </c>
      <c r="AA3247" t="s">
        <v>14725</v>
      </c>
      <c r="AB3247" t="s">
        <v>18208</v>
      </c>
      <c r="AC3247">
        <v>99177</v>
      </c>
      <c r="AD3247" t="s">
        <v>3032</v>
      </c>
      <c r="AE3247">
        <v>-43.552244510000001</v>
      </c>
      <c r="AF3247">
        <v>172.66304919000001</v>
      </c>
      <c r="AG3247" s="175">
        <v>59</v>
      </c>
      <c r="AH3247" s="175">
        <v>13</v>
      </c>
      <c r="AI3247" s="175">
        <v>3</v>
      </c>
      <c r="AJ3247" s="175">
        <v>11</v>
      </c>
      <c r="AK3247" s="175">
        <v>22</v>
      </c>
      <c r="AL3247" s="175">
        <v>17</v>
      </c>
      <c r="AM3247" s="175">
        <v>15</v>
      </c>
      <c r="AN3247" s="175">
        <v>3</v>
      </c>
      <c r="AO3247" s="175">
        <v>71</v>
      </c>
      <c r="AP3247" s="175">
        <v>60</v>
      </c>
      <c r="AQ3247" s="175">
        <v>10</v>
      </c>
      <c r="AR3247" s="175">
        <v>2</v>
      </c>
      <c r="AS3247" s="175">
        <v>3</v>
      </c>
      <c r="AT3247" s="175">
        <v>9</v>
      </c>
    </row>
    <row r="3248" spans="1:46">
      <c r="A3248">
        <v>48109</v>
      </c>
      <c r="B3248" t="s">
        <v>18213</v>
      </c>
      <c r="C3248" t="s">
        <v>18214</v>
      </c>
      <c r="D3248" t="s">
        <v>18215</v>
      </c>
      <c r="E3248" t="s">
        <v>18216</v>
      </c>
      <c r="F3248" t="s">
        <v>1121</v>
      </c>
      <c r="G3248" t="s">
        <v>737</v>
      </c>
      <c r="H3248" t="s">
        <v>449</v>
      </c>
      <c r="J3248" t="s">
        <v>4032</v>
      </c>
      <c r="K3248" t="s">
        <v>606</v>
      </c>
      <c r="M3248" t="s">
        <v>607</v>
      </c>
      <c r="N3248" t="s">
        <v>625</v>
      </c>
      <c r="O3248" t="s">
        <v>1301</v>
      </c>
      <c r="P3248" t="s">
        <v>739</v>
      </c>
      <c r="Q3248" t="s">
        <v>467</v>
      </c>
      <c r="R3248" t="s">
        <v>814</v>
      </c>
      <c r="S3248" t="s">
        <v>1121</v>
      </c>
      <c r="T3248" t="s">
        <v>794</v>
      </c>
      <c r="U3248">
        <v>159101</v>
      </c>
      <c r="V3248" t="s">
        <v>12057</v>
      </c>
      <c r="W3248" t="s">
        <v>1304</v>
      </c>
      <c r="X3248" t="s">
        <v>17285</v>
      </c>
      <c r="Y3248" t="s">
        <v>18217</v>
      </c>
      <c r="Z3248" t="s">
        <v>1319</v>
      </c>
      <c r="AA3248" t="s">
        <v>7805</v>
      </c>
      <c r="AE3248">
        <v>-37.011625250000002</v>
      </c>
      <c r="AF3248">
        <v>174.88424997999999</v>
      </c>
      <c r="AG3248" s="175">
        <v>64</v>
      </c>
      <c r="AH3248" s="175">
        <v>16</v>
      </c>
      <c r="AI3248" s="175">
        <v>1</v>
      </c>
      <c r="AJ3248" s="175">
        <v>8</v>
      </c>
      <c r="AK3248" s="175">
        <v>19</v>
      </c>
      <c r="AL3248" s="175">
        <v>14</v>
      </c>
      <c r="AM3248" s="175">
        <v>18</v>
      </c>
      <c r="AN3248" s="175">
        <v>2</v>
      </c>
      <c r="AO3248" s="175">
        <v>62</v>
      </c>
      <c r="AP3248" s="175">
        <v>6</v>
      </c>
      <c r="AQ3248" s="175">
        <v>5</v>
      </c>
      <c r="AR3248" s="175">
        <v>14</v>
      </c>
      <c r="AS3248" s="175">
        <v>44</v>
      </c>
      <c r="AT3248" s="175">
        <v>0</v>
      </c>
    </row>
    <row r="3249" spans="1:46">
      <c r="A3249">
        <v>48111</v>
      </c>
      <c r="B3249" t="s">
        <v>18218</v>
      </c>
      <c r="C3249" t="s">
        <v>18219</v>
      </c>
      <c r="E3249" t="s">
        <v>18220</v>
      </c>
      <c r="F3249" t="s">
        <v>983</v>
      </c>
      <c r="G3249" t="s">
        <v>737</v>
      </c>
      <c r="H3249" t="s">
        <v>449</v>
      </c>
      <c r="J3249" t="s">
        <v>4032</v>
      </c>
      <c r="K3249" t="s">
        <v>606</v>
      </c>
      <c r="M3249" t="s">
        <v>607</v>
      </c>
      <c r="N3249" t="s">
        <v>643</v>
      </c>
      <c r="O3249" t="s">
        <v>898</v>
      </c>
      <c r="P3249" t="s">
        <v>739</v>
      </c>
      <c r="Q3249" t="s">
        <v>467</v>
      </c>
      <c r="R3249" t="s">
        <v>724</v>
      </c>
      <c r="S3249" t="s">
        <v>984</v>
      </c>
      <c r="T3249" t="s">
        <v>613</v>
      </c>
      <c r="U3249">
        <v>125100</v>
      </c>
      <c r="V3249" t="s">
        <v>4372</v>
      </c>
      <c r="W3249" t="s">
        <v>900</v>
      </c>
      <c r="X3249" t="s">
        <v>15221</v>
      </c>
      <c r="Y3249" t="s">
        <v>15220</v>
      </c>
      <c r="Z3249" t="s">
        <v>983</v>
      </c>
      <c r="AA3249" t="s">
        <v>4034</v>
      </c>
      <c r="AB3249" t="s">
        <v>15219</v>
      </c>
      <c r="AE3249">
        <v>-36.85593257</v>
      </c>
      <c r="AF3249">
        <v>174.62925539</v>
      </c>
      <c r="AG3249" s="175">
        <v>60</v>
      </c>
      <c r="AH3249" s="175">
        <v>20</v>
      </c>
      <c r="AI3249" s="175">
        <v>0</v>
      </c>
      <c r="AJ3249" s="175">
        <v>7</v>
      </c>
      <c r="AK3249" s="175">
        <v>16</v>
      </c>
      <c r="AL3249" s="175">
        <v>19</v>
      </c>
      <c r="AM3249" s="175">
        <v>11</v>
      </c>
      <c r="AN3249" s="175">
        <v>2</v>
      </c>
      <c r="AO3249" s="175">
        <v>55</v>
      </c>
      <c r="AP3249" s="175">
        <v>9</v>
      </c>
      <c r="AQ3249" s="175">
        <v>1</v>
      </c>
      <c r="AR3249" s="175">
        <v>32</v>
      </c>
      <c r="AS3249" s="175">
        <v>17</v>
      </c>
      <c r="AT3249" s="175">
        <v>4</v>
      </c>
    </row>
    <row r="3250" spans="1:46">
      <c r="A3250">
        <v>48113</v>
      </c>
      <c r="B3250" t="s">
        <v>4333</v>
      </c>
      <c r="C3250" t="s">
        <v>18221</v>
      </c>
      <c r="E3250" t="s">
        <v>18222</v>
      </c>
      <c r="G3250" t="s">
        <v>2604</v>
      </c>
      <c r="H3250" t="s">
        <v>449</v>
      </c>
      <c r="J3250" t="s">
        <v>4032</v>
      </c>
      <c r="K3250" t="s">
        <v>606</v>
      </c>
      <c r="M3250" t="s">
        <v>2366</v>
      </c>
      <c r="N3250" t="s">
        <v>657</v>
      </c>
      <c r="O3250" t="s">
        <v>2605</v>
      </c>
      <c r="P3250" t="s">
        <v>670</v>
      </c>
      <c r="Q3250" t="s">
        <v>516</v>
      </c>
      <c r="R3250" t="s">
        <v>2368</v>
      </c>
      <c r="S3250" t="s">
        <v>2606</v>
      </c>
      <c r="T3250" t="s">
        <v>1568</v>
      </c>
      <c r="U3250">
        <v>240100</v>
      </c>
      <c r="V3250" t="s">
        <v>12311</v>
      </c>
      <c r="W3250" t="s">
        <v>2607</v>
      </c>
      <c r="X3250" t="s">
        <v>18223</v>
      </c>
      <c r="Y3250" t="s">
        <v>16328</v>
      </c>
      <c r="Z3250" t="s">
        <v>996</v>
      </c>
      <c r="AA3250" t="s">
        <v>4604</v>
      </c>
      <c r="AB3250" t="s">
        <v>18221</v>
      </c>
      <c r="AE3250">
        <v>-41.12658476</v>
      </c>
      <c r="AF3250">
        <v>174.85594818999999</v>
      </c>
      <c r="AG3250" s="175">
        <v>76</v>
      </c>
      <c r="AH3250" s="175">
        <v>20</v>
      </c>
      <c r="AI3250" s="175">
        <v>5</v>
      </c>
      <c r="AJ3250" s="175">
        <v>11</v>
      </c>
      <c r="AK3250" s="175">
        <v>25</v>
      </c>
      <c r="AL3250" s="175">
        <v>14</v>
      </c>
      <c r="AM3250" s="175">
        <v>13</v>
      </c>
      <c r="AN3250" s="175">
        <v>0</v>
      </c>
      <c r="AO3250" s="175">
        <v>68</v>
      </c>
      <c r="AP3250" s="175">
        <v>33</v>
      </c>
      <c r="AQ3250" s="175">
        <v>11</v>
      </c>
      <c r="AR3250" s="175">
        <v>7</v>
      </c>
      <c r="AS3250" s="175">
        <v>31</v>
      </c>
      <c r="AT3250" s="175">
        <v>2</v>
      </c>
    </row>
    <row r="3251" spans="1:46">
      <c r="A3251">
        <v>48115</v>
      </c>
      <c r="B3251" t="s">
        <v>18224</v>
      </c>
      <c r="C3251" t="s">
        <v>18225</v>
      </c>
      <c r="E3251" t="s">
        <v>18226</v>
      </c>
      <c r="G3251" t="s">
        <v>18201</v>
      </c>
      <c r="H3251" t="s">
        <v>449</v>
      </c>
      <c r="J3251" t="s">
        <v>4032</v>
      </c>
      <c r="K3251" t="s">
        <v>606</v>
      </c>
      <c r="M3251" t="s">
        <v>607</v>
      </c>
      <c r="N3251" t="s">
        <v>657</v>
      </c>
      <c r="O3251" t="s">
        <v>1318</v>
      </c>
      <c r="P3251" t="s">
        <v>658</v>
      </c>
      <c r="Q3251" t="s">
        <v>467</v>
      </c>
      <c r="R3251" t="s">
        <v>814</v>
      </c>
      <c r="S3251" t="s">
        <v>1319</v>
      </c>
      <c r="T3251" t="s">
        <v>1320</v>
      </c>
      <c r="U3251">
        <v>164602</v>
      </c>
      <c r="V3251" t="s">
        <v>18227</v>
      </c>
      <c r="W3251" t="s">
        <v>1322</v>
      </c>
      <c r="X3251" t="s">
        <v>17634</v>
      </c>
      <c r="Y3251" t="s">
        <v>12254</v>
      </c>
      <c r="Z3251" t="s">
        <v>12255</v>
      </c>
      <c r="AA3251" t="s">
        <v>12256</v>
      </c>
      <c r="AB3251" t="s">
        <v>17635</v>
      </c>
      <c r="AE3251">
        <v>-37.138202290000002</v>
      </c>
      <c r="AF3251">
        <v>174.97027349999999</v>
      </c>
      <c r="AG3251" s="175">
        <v>100</v>
      </c>
      <c r="AH3251" s="175">
        <v>35</v>
      </c>
      <c r="AI3251" s="175">
        <v>4</v>
      </c>
      <c r="AJ3251" s="175">
        <v>26</v>
      </c>
      <c r="AK3251" s="175">
        <v>30</v>
      </c>
      <c r="AL3251" s="175">
        <v>26</v>
      </c>
      <c r="AM3251" s="175">
        <v>9</v>
      </c>
      <c r="AN3251" s="175">
        <v>1</v>
      </c>
      <c r="AO3251" s="175">
        <v>96</v>
      </c>
      <c r="AP3251" s="175">
        <v>78</v>
      </c>
      <c r="AQ3251" s="175">
        <v>20</v>
      </c>
      <c r="AR3251" s="175">
        <v>8</v>
      </c>
      <c r="AS3251" s="175">
        <v>17</v>
      </c>
      <c r="AT3251" s="175">
        <v>4</v>
      </c>
    </row>
    <row r="3252" spans="1:46">
      <c r="A3252">
        <v>48116</v>
      </c>
      <c r="B3252" t="s">
        <v>18228</v>
      </c>
      <c r="C3252" t="s">
        <v>18229</v>
      </c>
      <c r="D3252" t="s">
        <v>18230</v>
      </c>
      <c r="E3252" t="s">
        <v>18231</v>
      </c>
      <c r="F3252" t="s">
        <v>9070</v>
      </c>
      <c r="G3252" t="s">
        <v>2162</v>
      </c>
      <c r="H3252" t="s">
        <v>449</v>
      </c>
      <c r="I3252" t="s">
        <v>6296</v>
      </c>
      <c r="J3252" t="s">
        <v>605</v>
      </c>
      <c r="K3252" t="s">
        <v>606</v>
      </c>
      <c r="M3252" t="s">
        <v>1382</v>
      </c>
      <c r="N3252" t="s">
        <v>643</v>
      </c>
      <c r="O3252" t="s">
        <v>2163</v>
      </c>
      <c r="P3252" t="s">
        <v>670</v>
      </c>
      <c r="Q3252" t="s">
        <v>512</v>
      </c>
      <c r="R3252" t="s">
        <v>2164</v>
      </c>
      <c r="S3252" t="s">
        <v>1556</v>
      </c>
      <c r="T3252" t="s">
        <v>2165</v>
      </c>
      <c r="U3252">
        <v>205800</v>
      </c>
      <c r="V3252" t="s">
        <v>11551</v>
      </c>
      <c r="W3252" t="s">
        <v>2167</v>
      </c>
      <c r="X3252" t="s">
        <v>18232</v>
      </c>
      <c r="Y3252" t="s">
        <v>8802</v>
      </c>
      <c r="Z3252" t="s">
        <v>1396</v>
      </c>
      <c r="AA3252" t="s">
        <v>1390</v>
      </c>
      <c r="AE3252">
        <v>-38.648595219999997</v>
      </c>
      <c r="AF3252">
        <v>177.99027054000001</v>
      </c>
      <c r="AG3252" s="175">
        <v>20</v>
      </c>
      <c r="AH3252" s="175">
        <v>0</v>
      </c>
      <c r="AI3252" s="175">
        <v>0</v>
      </c>
      <c r="AJ3252" s="175">
        <v>0</v>
      </c>
      <c r="AK3252" s="175">
        <v>3</v>
      </c>
      <c r="AL3252" s="175">
        <v>7</v>
      </c>
      <c r="AM3252" s="175">
        <v>13</v>
      </c>
      <c r="AN3252" s="175">
        <v>1</v>
      </c>
      <c r="AO3252" s="175">
        <v>24</v>
      </c>
      <c r="AP3252" s="175">
        <v>16</v>
      </c>
      <c r="AQ3252" s="175">
        <v>4</v>
      </c>
      <c r="AR3252" s="175">
        <v>1</v>
      </c>
      <c r="AS3252" s="175">
        <v>9</v>
      </c>
      <c r="AT3252" s="175">
        <v>0</v>
      </c>
    </row>
    <row r="3253" spans="1:46">
      <c r="A3253">
        <v>48117</v>
      </c>
      <c r="B3253" t="s">
        <v>18233</v>
      </c>
      <c r="C3253" t="s">
        <v>18234</v>
      </c>
      <c r="E3253" t="s">
        <v>18235</v>
      </c>
      <c r="F3253" t="s">
        <v>18236</v>
      </c>
      <c r="G3253" t="s">
        <v>1381</v>
      </c>
      <c r="H3253" t="s">
        <v>449</v>
      </c>
      <c r="J3253" t="s">
        <v>4032</v>
      </c>
      <c r="K3253" t="s">
        <v>606</v>
      </c>
      <c r="M3253" t="s">
        <v>1382</v>
      </c>
      <c r="N3253" t="s">
        <v>657</v>
      </c>
      <c r="O3253" t="s">
        <v>1383</v>
      </c>
      <c r="P3253" t="s">
        <v>739</v>
      </c>
      <c r="Q3253" t="s">
        <v>510</v>
      </c>
      <c r="R3253" t="s">
        <v>1384</v>
      </c>
      <c r="S3253" t="s">
        <v>1385</v>
      </c>
      <c r="T3253" t="s">
        <v>1320</v>
      </c>
      <c r="U3253">
        <v>175201</v>
      </c>
      <c r="V3253" t="s">
        <v>9123</v>
      </c>
      <c r="W3253" t="s">
        <v>1387</v>
      </c>
      <c r="X3253" t="s">
        <v>18237</v>
      </c>
      <c r="Y3253" t="s">
        <v>18238</v>
      </c>
      <c r="Z3253" t="s">
        <v>9143</v>
      </c>
      <c r="AA3253" t="s">
        <v>18239</v>
      </c>
      <c r="AB3253" t="s">
        <v>18240</v>
      </c>
      <c r="AE3253">
        <v>-37.751702170000002</v>
      </c>
      <c r="AF3253">
        <v>175.2300918</v>
      </c>
      <c r="AG3253" s="175">
        <v>80</v>
      </c>
      <c r="AH3253" s="175">
        <v>30</v>
      </c>
      <c r="AI3253" s="175">
        <v>11</v>
      </c>
      <c r="AJ3253" s="175">
        <v>25</v>
      </c>
      <c r="AK3253" s="175">
        <v>27</v>
      </c>
      <c r="AL3253" s="175">
        <v>20</v>
      </c>
      <c r="AM3253" s="175">
        <v>8</v>
      </c>
      <c r="AN3253" s="175">
        <v>1</v>
      </c>
      <c r="AO3253" s="175">
        <v>92</v>
      </c>
      <c r="AP3253" s="175">
        <v>65</v>
      </c>
      <c r="AQ3253" s="175">
        <v>31</v>
      </c>
      <c r="AR3253" s="175">
        <v>8</v>
      </c>
      <c r="AS3253" s="175">
        <v>17</v>
      </c>
      <c r="AT3253" s="175">
        <v>10</v>
      </c>
    </row>
    <row r="3254" spans="1:46">
      <c r="A3254">
        <v>48118</v>
      </c>
      <c r="B3254" t="s">
        <v>18241</v>
      </c>
      <c r="E3254" t="s">
        <v>17790</v>
      </c>
      <c r="F3254" t="s">
        <v>1199</v>
      </c>
      <c r="G3254" t="s">
        <v>737</v>
      </c>
      <c r="H3254" t="s">
        <v>450</v>
      </c>
      <c r="J3254" t="s">
        <v>4032</v>
      </c>
      <c r="K3254" t="s">
        <v>606</v>
      </c>
      <c r="M3254" t="s">
        <v>607</v>
      </c>
      <c r="N3254" t="s">
        <v>657</v>
      </c>
      <c r="O3254" t="s">
        <v>898</v>
      </c>
      <c r="P3254" t="s">
        <v>739</v>
      </c>
      <c r="Q3254" t="s">
        <v>467</v>
      </c>
      <c r="R3254" t="s">
        <v>724</v>
      </c>
      <c r="S3254" t="s">
        <v>984</v>
      </c>
      <c r="T3254" t="s">
        <v>613</v>
      </c>
      <c r="U3254">
        <v>124200</v>
      </c>
      <c r="V3254" t="s">
        <v>17788</v>
      </c>
      <c r="W3254" t="s">
        <v>900</v>
      </c>
      <c r="X3254" t="s">
        <v>18242</v>
      </c>
      <c r="Y3254" t="s">
        <v>17790</v>
      </c>
      <c r="Z3254" t="s">
        <v>1199</v>
      </c>
      <c r="AA3254" t="s">
        <v>4034</v>
      </c>
      <c r="AB3254" t="s">
        <v>18243</v>
      </c>
      <c r="AE3254">
        <v>-36.87452073</v>
      </c>
      <c r="AF3254">
        <v>174.59529660000001</v>
      </c>
      <c r="AG3254" s="175">
        <v>20</v>
      </c>
      <c r="AH3254" s="175">
        <v>20</v>
      </c>
      <c r="AI3254" s="175">
        <v>0</v>
      </c>
      <c r="AJ3254" s="175">
        <v>2</v>
      </c>
      <c r="AK3254" s="175">
        <v>2</v>
      </c>
      <c r="AL3254" s="175">
        <v>2</v>
      </c>
      <c r="AM3254" s="175">
        <v>2</v>
      </c>
      <c r="AN3254" s="175">
        <v>0</v>
      </c>
      <c r="AO3254" s="175">
        <v>8</v>
      </c>
      <c r="AP3254" s="175">
        <v>7</v>
      </c>
      <c r="AQ3254" s="175">
        <v>2</v>
      </c>
      <c r="AR3254" s="175">
        <v>2</v>
      </c>
      <c r="AS3254" s="175">
        <v>1</v>
      </c>
      <c r="AT3254" s="175">
        <v>0</v>
      </c>
    </row>
    <row r="3255" spans="1:46">
      <c r="A3255">
        <v>48120</v>
      </c>
      <c r="B3255" t="s">
        <v>18244</v>
      </c>
      <c r="E3255" t="s">
        <v>18245</v>
      </c>
      <c r="F3255" t="s">
        <v>1049</v>
      </c>
      <c r="G3255" t="s">
        <v>737</v>
      </c>
      <c r="H3255" t="s">
        <v>450</v>
      </c>
      <c r="J3255" t="s">
        <v>4032</v>
      </c>
      <c r="K3255" t="s">
        <v>606</v>
      </c>
      <c r="M3255" t="s">
        <v>607</v>
      </c>
      <c r="N3255" t="s">
        <v>657</v>
      </c>
      <c r="O3255" t="s">
        <v>997</v>
      </c>
      <c r="P3255" t="s">
        <v>739</v>
      </c>
      <c r="Q3255" t="s">
        <v>467</v>
      </c>
      <c r="R3255" t="s">
        <v>793</v>
      </c>
      <c r="S3255" t="s">
        <v>998</v>
      </c>
      <c r="T3255" t="s">
        <v>794</v>
      </c>
      <c r="U3255">
        <v>140901</v>
      </c>
      <c r="V3255" t="s">
        <v>1050</v>
      </c>
      <c r="W3255" t="s">
        <v>945</v>
      </c>
      <c r="X3255" t="s">
        <v>18246</v>
      </c>
      <c r="Y3255" t="s">
        <v>18245</v>
      </c>
      <c r="Z3255" t="s">
        <v>1049</v>
      </c>
      <c r="AA3255" t="s">
        <v>7112</v>
      </c>
      <c r="AE3255">
        <v>-36.92808754</v>
      </c>
      <c r="AF3255">
        <v>174.72349159999999</v>
      </c>
      <c r="AG3255" s="175">
        <v>50</v>
      </c>
      <c r="AH3255" s="175">
        <v>50</v>
      </c>
      <c r="AI3255" s="175">
        <v>15</v>
      </c>
      <c r="AJ3255" s="175">
        <v>36</v>
      </c>
      <c r="AK3255" s="175">
        <v>15</v>
      </c>
      <c r="AL3255" s="175">
        <v>12</v>
      </c>
      <c r="AM3255" s="175">
        <v>11</v>
      </c>
      <c r="AN3255" s="175">
        <v>0</v>
      </c>
      <c r="AO3255" s="175">
        <v>89</v>
      </c>
      <c r="AP3255" s="175">
        <v>2</v>
      </c>
      <c r="AQ3255" s="175">
        <v>0</v>
      </c>
      <c r="AR3255" s="175">
        <v>0</v>
      </c>
      <c r="AS3255" s="175">
        <v>89</v>
      </c>
      <c r="AT3255" s="175">
        <v>0</v>
      </c>
    </row>
    <row r="3256" spans="1:46">
      <c r="A3256">
        <v>48122</v>
      </c>
      <c r="B3256" t="s">
        <v>18247</v>
      </c>
      <c r="C3256" t="s">
        <v>18248</v>
      </c>
      <c r="D3256" t="s">
        <v>18249</v>
      </c>
      <c r="E3256" t="s">
        <v>18250</v>
      </c>
      <c r="F3256" t="s">
        <v>1120</v>
      </c>
      <c r="G3256" t="s">
        <v>737</v>
      </c>
      <c r="H3256" t="s">
        <v>449</v>
      </c>
      <c r="J3256" t="s">
        <v>4032</v>
      </c>
      <c r="K3256" t="s">
        <v>606</v>
      </c>
      <c r="M3256" t="s">
        <v>607</v>
      </c>
      <c r="N3256" t="s">
        <v>643</v>
      </c>
      <c r="O3256" t="s">
        <v>813</v>
      </c>
      <c r="P3256" t="s">
        <v>739</v>
      </c>
      <c r="Q3256" t="s">
        <v>467</v>
      </c>
      <c r="R3256" t="s">
        <v>814</v>
      </c>
      <c r="S3256" t="s">
        <v>815</v>
      </c>
      <c r="T3256" t="s">
        <v>794</v>
      </c>
      <c r="U3256">
        <v>155602</v>
      </c>
      <c r="V3256" t="s">
        <v>16846</v>
      </c>
      <c r="W3256" t="s">
        <v>817</v>
      </c>
      <c r="X3256" t="s">
        <v>8102</v>
      </c>
      <c r="Y3256" t="s">
        <v>15630</v>
      </c>
      <c r="Z3256" t="s">
        <v>1302</v>
      </c>
      <c r="AA3256" t="s">
        <v>18251</v>
      </c>
      <c r="AB3256" t="s">
        <v>8105</v>
      </c>
      <c r="AE3256">
        <v>-36.974343040000001</v>
      </c>
      <c r="AF3256">
        <v>174.87716090000001</v>
      </c>
      <c r="AG3256" s="175">
        <v>25</v>
      </c>
      <c r="AH3256" s="175">
        <v>5</v>
      </c>
      <c r="AI3256" s="175">
        <v>2</v>
      </c>
      <c r="AJ3256" s="175">
        <v>3</v>
      </c>
      <c r="AK3256" s="175">
        <v>5</v>
      </c>
      <c r="AL3256" s="175">
        <v>15</v>
      </c>
      <c r="AM3256" s="175">
        <v>3</v>
      </c>
      <c r="AN3256" s="175">
        <v>0</v>
      </c>
      <c r="AO3256" s="175">
        <v>28</v>
      </c>
      <c r="AP3256" s="175">
        <v>0</v>
      </c>
      <c r="AQ3256" s="175">
        <v>3</v>
      </c>
      <c r="AR3256" s="175">
        <v>9</v>
      </c>
      <c r="AS3256" s="175">
        <v>19</v>
      </c>
      <c r="AT3256" s="175">
        <v>0</v>
      </c>
    </row>
    <row r="3257" spans="1:46">
      <c r="A3257">
        <v>48123</v>
      </c>
      <c r="B3257" t="s">
        <v>18252</v>
      </c>
      <c r="C3257" t="s">
        <v>18253</v>
      </c>
      <c r="E3257" t="s">
        <v>18254</v>
      </c>
      <c r="F3257" t="s">
        <v>18255</v>
      </c>
      <c r="G3257" t="s">
        <v>3015</v>
      </c>
      <c r="H3257" t="s">
        <v>449</v>
      </c>
      <c r="J3257" t="s">
        <v>4032</v>
      </c>
      <c r="K3257" t="s">
        <v>606</v>
      </c>
      <c r="M3257" t="s">
        <v>2366</v>
      </c>
      <c r="N3257" t="s">
        <v>657</v>
      </c>
      <c r="O3257" t="s">
        <v>3016</v>
      </c>
      <c r="P3257" t="s">
        <v>739</v>
      </c>
      <c r="Q3257" t="s">
        <v>521</v>
      </c>
      <c r="R3257" t="s">
        <v>3017</v>
      </c>
      <c r="S3257" t="s">
        <v>3252</v>
      </c>
      <c r="T3257" t="s">
        <v>2526</v>
      </c>
      <c r="U3257">
        <v>316600</v>
      </c>
      <c r="V3257" t="s">
        <v>10984</v>
      </c>
      <c r="W3257" t="s">
        <v>3093</v>
      </c>
      <c r="X3257" t="s">
        <v>18256</v>
      </c>
      <c r="Y3257" t="s">
        <v>18254</v>
      </c>
      <c r="AA3257" t="s">
        <v>18257</v>
      </c>
      <c r="AB3257" t="s">
        <v>18258</v>
      </c>
      <c r="AE3257">
        <v>-43.518517340000002</v>
      </c>
      <c r="AF3257">
        <v>172.52268470000001</v>
      </c>
      <c r="AG3257" s="175">
        <v>150</v>
      </c>
      <c r="AH3257" s="175">
        <v>55</v>
      </c>
      <c r="AI3257" s="175">
        <v>7</v>
      </c>
      <c r="AJ3257" s="175">
        <v>43</v>
      </c>
      <c r="AK3257" s="175">
        <v>54</v>
      </c>
      <c r="AL3257" s="175">
        <v>29</v>
      </c>
      <c r="AM3257" s="175">
        <v>14</v>
      </c>
      <c r="AN3257" s="175">
        <v>2</v>
      </c>
      <c r="AO3257" s="175">
        <v>149</v>
      </c>
      <c r="AP3257" s="175">
        <v>127</v>
      </c>
      <c r="AQ3257" s="175">
        <v>20</v>
      </c>
      <c r="AR3257" s="175">
        <v>5</v>
      </c>
      <c r="AS3257" s="175">
        <v>21</v>
      </c>
      <c r="AT3257" s="175">
        <v>5</v>
      </c>
    </row>
    <row r="3258" spans="1:46">
      <c r="A3258">
        <v>48126</v>
      </c>
      <c r="B3258" t="s">
        <v>18259</v>
      </c>
      <c r="C3258" t="s">
        <v>18260</v>
      </c>
      <c r="E3258" t="s">
        <v>18261</v>
      </c>
      <c r="G3258" t="s">
        <v>1669</v>
      </c>
      <c r="H3258" t="s">
        <v>347</v>
      </c>
      <c r="J3258" t="s">
        <v>605</v>
      </c>
      <c r="K3258" t="s">
        <v>606</v>
      </c>
      <c r="L3258" t="s">
        <v>4273</v>
      </c>
      <c r="M3258" t="s">
        <v>1382</v>
      </c>
      <c r="N3258" t="s">
        <v>608</v>
      </c>
      <c r="O3258" t="s">
        <v>1534</v>
      </c>
      <c r="P3258" t="s">
        <v>610</v>
      </c>
      <c r="Q3258" t="s">
        <v>510</v>
      </c>
      <c r="R3258" t="s">
        <v>1384</v>
      </c>
      <c r="S3258" t="s">
        <v>1384</v>
      </c>
      <c r="T3258" t="s">
        <v>1320</v>
      </c>
      <c r="U3258">
        <v>174001</v>
      </c>
      <c r="V3258" t="s">
        <v>3893</v>
      </c>
      <c r="W3258" t="s">
        <v>1671</v>
      </c>
      <c r="X3258" t="s">
        <v>7695</v>
      </c>
      <c r="Y3258" t="s">
        <v>4276</v>
      </c>
      <c r="Z3258" t="s">
        <v>4277</v>
      </c>
      <c r="AA3258" t="s">
        <v>4278</v>
      </c>
      <c r="AB3258" t="s">
        <v>7696</v>
      </c>
      <c r="AE3258">
        <v>-37.657678519999997</v>
      </c>
      <c r="AF3258">
        <v>175.52981389999999</v>
      </c>
      <c r="AG3258" s="175">
        <v>35</v>
      </c>
      <c r="AH3258" s="175">
        <v>12</v>
      </c>
      <c r="AI3258" s="175">
        <v>1</v>
      </c>
      <c r="AJ3258" s="175">
        <v>12</v>
      </c>
      <c r="AK3258" s="175">
        <v>6</v>
      </c>
      <c r="AL3258" s="175">
        <v>10</v>
      </c>
      <c r="AM3258" s="175">
        <v>4</v>
      </c>
      <c r="AN3258" s="175">
        <v>0</v>
      </c>
      <c r="AO3258" s="175">
        <v>33</v>
      </c>
      <c r="AP3258" s="175">
        <v>0</v>
      </c>
      <c r="AQ3258" s="175">
        <v>32</v>
      </c>
      <c r="AR3258" s="175">
        <v>1</v>
      </c>
      <c r="AS3258" s="175">
        <v>0</v>
      </c>
      <c r="AT3258" s="175">
        <v>0</v>
      </c>
    </row>
    <row r="3259" spans="1:46">
      <c r="A3259">
        <v>48129</v>
      </c>
      <c r="B3259" t="s">
        <v>18262</v>
      </c>
      <c r="C3259" t="s">
        <v>18263</v>
      </c>
      <c r="E3259" t="s">
        <v>18264</v>
      </c>
      <c r="F3259" t="s">
        <v>7875</v>
      </c>
      <c r="G3259" t="s">
        <v>737</v>
      </c>
      <c r="H3259" t="s">
        <v>449</v>
      </c>
      <c r="J3259" t="s">
        <v>4032</v>
      </c>
      <c r="K3259" t="s">
        <v>606</v>
      </c>
      <c r="M3259" t="s">
        <v>607</v>
      </c>
      <c r="N3259" t="s">
        <v>657</v>
      </c>
      <c r="O3259" t="s">
        <v>1318</v>
      </c>
      <c r="P3259" t="s">
        <v>610</v>
      </c>
      <c r="Q3259" t="s">
        <v>467</v>
      </c>
      <c r="R3259" t="s">
        <v>793</v>
      </c>
      <c r="S3259" t="s">
        <v>1319</v>
      </c>
      <c r="T3259" t="s">
        <v>1320</v>
      </c>
      <c r="U3259">
        <v>155000</v>
      </c>
      <c r="V3259" t="s">
        <v>7876</v>
      </c>
      <c r="W3259" t="s">
        <v>1322</v>
      </c>
      <c r="X3259" t="s">
        <v>13435</v>
      </c>
      <c r="Y3259" t="s">
        <v>13436</v>
      </c>
      <c r="Z3259" t="s">
        <v>5170</v>
      </c>
      <c r="AA3259" t="s">
        <v>18265</v>
      </c>
      <c r="AE3259">
        <v>-36.884387609999997</v>
      </c>
      <c r="AF3259">
        <v>174.99844751000001</v>
      </c>
      <c r="AG3259" s="175">
        <v>50</v>
      </c>
      <c r="AH3259" s="175">
        <v>10</v>
      </c>
      <c r="AI3259" s="175">
        <v>2</v>
      </c>
      <c r="AJ3259" s="175">
        <v>6</v>
      </c>
      <c r="AK3259" s="175">
        <v>3</v>
      </c>
      <c r="AL3259" s="175">
        <v>2</v>
      </c>
      <c r="AM3259" s="175">
        <v>2</v>
      </c>
      <c r="AN3259" s="175">
        <v>1</v>
      </c>
      <c r="AO3259" s="175">
        <v>16</v>
      </c>
      <c r="AP3259" s="175">
        <v>12</v>
      </c>
      <c r="AQ3259" s="175">
        <v>4</v>
      </c>
      <c r="AR3259" s="175">
        <v>2</v>
      </c>
      <c r="AS3259" s="175">
        <v>4</v>
      </c>
      <c r="AT3259" s="175">
        <v>9</v>
      </c>
    </row>
    <row r="3260" spans="1:46">
      <c r="A3260">
        <v>48130</v>
      </c>
      <c r="B3260" t="s">
        <v>18266</v>
      </c>
      <c r="C3260" t="s">
        <v>18267</v>
      </c>
      <c r="E3260" t="s">
        <v>18268</v>
      </c>
      <c r="F3260" t="s">
        <v>8466</v>
      </c>
      <c r="G3260" t="s">
        <v>1681</v>
      </c>
      <c r="H3260" t="s">
        <v>450</v>
      </c>
      <c r="J3260" t="s">
        <v>4032</v>
      </c>
      <c r="K3260" t="s">
        <v>606</v>
      </c>
      <c r="M3260" t="s">
        <v>2366</v>
      </c>
      <c r="N3260" t="s">
        <v>657</v>
      </c>
      <c r="O3260" t="s">
        <v>1780</v>
      </c>
      <c r="P3260" t="s">
        <v>739</v>
      </c>
      <c r="Q3260" t="s">
        <v>511</v>
      </c>
      <c r="R3260" t="s">
        <v>3017</v>
      </c>
      <c r="S3260" t="s">
        <v>1681</v>
      </c>
      <c r="T3260" t="s">
        <v>1557</v>
      </c>
      <c r="U3260">
        <v>193800</v>
      </c>
      <c r="V3260" t="s">
        <v>8466</v>
      </c>
      <c r="W3260" t="s">
        <v>3795</v>
      </c>
      <c r="X3260" t="s">
        <v>8538</v>
      </c>
      <c r="Y3260" t="s">
        <v>8465</v>
      </c>
      <c r="AA3260" t="s">
        <v>8468</v>
      </c>
      <c r="AE3260">
        <v>-37.684019790000001</v>
      </c>
      <c r="AF3260">
        <v>176.16810770000001</v>
      </c>
      <c r="AG3260" s="175">
        <v>50</v>
      </c>
      <c r="AH3260" s="175">
        <v>25</v>
      </c>
      <c r="AI3260" s="175">
        <v>1</v>
      </c>
      <c r="AJ3260" s="175">
        <v>9</v>
      </c>
      <c r="AK3260" s="175">
        <v>8</v>
      </c>
      <c r="AL3260" s="175">
        <v>12</v>
      </c>
      <c r="AM3260" s="175">
        <v>5</v>
      </c>
      <c r="AN3260" s="175">
        <v>0</v>
      </c>
      <c r="AO3260" s="175">
        <v>35</v>
      </c>
      <c r="AP3260" s="175">
        <v>28</v>
      </c>
      <c r="AQ3260" s="175">
        <v>3</v>
      </c>
      <c r="AR3260" s="175">
        <v>1</v>
      </c>
      <c r="AS3260" s="175">
        <v>2</v>
      </c>
      <c r="AT3260" s="175">
        <v>10</v>
      </c>
    </row>
    <row r="3261" spans="1:46">
      <c r="A3261">
        <v>48132</v>
      </c>
      <c r="B3261" t="s">
        <v>18269</v>
      </c>
      <c r="C3261" t="s">
        <v>18270</v>
      </c>
      <c r="E3261" t="s">
        <v>18271</v>
      </c>
      <c r="F3261" t="s">
        <v>7247</v>
      </c>
      <c r="G3261" t="s">
        <v>737</v>
      </c>
      <c r="H3261" t="s">
        <v>449</v>
      </c>
      <c r="J3261" t="s">
        <v>605</v>
      </c>
      <c r="K3261" t="s">
        <v>606</v>
      </c>
      <c r="M3261" t="s">
        <v>607</v>
      </c>
      <c r="N3261" t="s">
        <v>9058</v>
      </c>
      <c r="O3261" t="s">
        <v>7248</v>
      </c>
      <c r="P3261" t="s">
        <v>658</v>
      </c>
      <c r="Q3261" t="s">
        <v>467</v>
      </c>
      <c r="R3261" t="s">
        <v>793</v>
      </c>
      <c r="S3261" t="s">
        <v>1043</v>
      </c>
      <c r="T3261" t="s">
        <v>613</v>
      </c>
      <c r="U3261">
        <v>111801</v>
      </c>
      <c r="V3261" t="s">
        <v>7249</v>
      </c>
      <c r="W3261" t="s">
        <v>1044</v>
      </c>
      <c r="X3261" t="s">
        <v>18272</v>
      </c>
      <c r="Y3261" t="s">
        <v>18273</v>
      </c>
      <c r="Z3261" t="s">
        <v>7247</v>
      </c>
      <c r="AA3261" t="s">
        <v>18274</v>
      </c>
      <c r="AE3261">
        <v>-36.257823649999999</v>
      </c>
      <c r="AF3261">
        <v>175.47233249999999</v>
      </c>
      <c r="AG3261" s="175">
        <v>30</v>
      </c>
      <c r="AH3261" s="175">
        <v>0</v>
      </c>
      <c r="AI3261" s="175">
        <v>0</v>
      </c>
      <c r="AJ3261" s="175">
        <v>0</v>
      </c>
      <c r="AK3261" s="175">
        <v>5</v>
      </c>
      <c r="AL3261" s="175">
        <v>10</v>
      </c>
      <c r="AM3261" s="175">
        <v>3</v>
      </c>
      <c r="AN3261" s="175">
        <v>0</v>
      </c>
      <c r="AO3261" s="175">
        <v>18</v>
      </c>
      <c r="AP3261" s="175">
        <v>15</v>
      </c>
      <c r="AQ3261" s="175">
        <v>9</v>
      </c>
      <c r="AR3261" s="175">
        <v>1</v>
      </c>
      <c r="AS3261" s="175">
        <v>2</v>
      </c>
      <c r="AT3261" s="175">
        <v>0</v>
      </c>
    </row>
    <row r="3262" spans="1:46">
      <c r="A3262">
        <v>48133</v>
      </c>
      <c r="B3262" t="s">
        <v>18275</v>
      </c>
      <c r="C3262" t="s">
        <v>18276</v>
      </c>
      <c r="E3262" t="s">
        <v>18277</v>
      </c>
      <c r="F3262" t="s">
        <v>4057</v>
      </c>
      <c r="G3262" t="s">
        <v>737</v>
      </c>
      <c r="H3262" t="s">
        <v>449</v>
      </c>
      <c r="J3262" t="s">
        <v>4032</v>
      </c>
      <c r="K3262" t="s">
        <v>606</v>
      </c>
      <c r="M3262" t="s">
        <v>607</v>
      </c>
      <c r="N3262" t="s">
        <v>812</v>
      </c>
      <c r="O3262" t="s">
        <v>1318</v>
      </c>
      <c r="P3262" t="s">
        <v>1347</v>
      </c>
      <c r="Q3262" t="s">
        <v>467</v>
      </c>
      <c r="R3262" t="s">
        <v>814</v>
      </c>
      <c r="S3262" t="s">
        <v>1331</v>
      </c>
      <c r="T3262" t="s">
        <v>1320</v>
      </c>
      <c r="U3262">
        <v>165501</v>
      </c>
      <c r="V3262" t="s">
        <v>4057</v>
      </c>
      <c r="W3262" t="s">
        <v>1322</v>
      </c>
      <c r="X3262" t="s">
        <v>4872</v>
      </c>
      <c r="Y3262" t="s">
        <v>4059</v>
      </c>
      <c r="Z3262" t="s">
        <v>4060</v>
      </c>
      <c r="AA3262" t="s">
        <v>4061</v>
      </c>
      <c r="AE3262">
        <v>-37.19547815</v>
      </c>
      <c r="AF3262">
        <v>174.88818029999999</v>
      </c>
      <c r="AG3262" s="175">
        <v>46</v>
      </c>
      <c r="AH3262" s="175">
        <v>0</v>
      </c>
      <c r="AI3262" s="175">
        <v>0</v>
      </c>
      <c r="AJ3262" s="175">
        <v>0</v>
      </c>
      <c r="AK3262" s="175">
        <v>3</v>
      </c>
      <c r="AL3262" s="175">
        <v>9</v>
      </c>
      <c r="AM3262" s="175">
        <v>9</v>
      </c>
      <c r="AN3262" s="175">
        <v>0</v>
      </c>
      <c r="AO3262" s="175">
        <v>21</v>
      </c>
      <c r="AP3262" s="175">
        <v>1</v>
      </c>
      <c r="AQ3262" s="175">
        <v>7</v>
      </c>
      <c r="AR3262" s="175">
        <v>8</v>
      </c>
      <c r="AS3262" s="175">
        <v>9</v>
      </c>
      <c r="AT3262" s="175">
        <v>0</v>
      </c>
    </row>
    <row r="3263" spans="1:46">
      <c r="A3263">
        <v>48135</v>
      </c>
      <c r="B3263" t="s">
        <v>18278</v>
      </c>
      <c r="C3263" t="s">
        <v>9150</v>
      </c>
      <c r="D3263" t="s">
        <v>18279</v>
      </c>
      <c r="E3263" t="s">
        <v>9149</v>
      </c>
      <c r="F3263" t="s">
        <v>1397</v>
      </c>
      <c r="G3263" t="s">
        <v>1381</v>
      </c>
      <c r="H3263" t="s">
        <v>449</v>
      </c>
      <c r="J3263" t="s">
        <v>4032</v>
      </c>
      <c r="K3263" t="s">
        <v>606</v>
      </c>
      <c r="M3263" t="s">
        <v>1382</v>
      </c>
      <c r="N3263" t="s">
        <v>643</v>
      </c>
      <c r="O3263" t="s">
        <v>1383</v>
      </c>
      <c r="P3263" t="s">
        <v>739</v>
      </c>
      <c r="Q3263" t="s">
        <v>510</v>
      </c>
      <c r="R3263" t="s">
        <v>1384</v>
      </c>
      <c r="S3263" t="s">
        <v>1396</v>
      </c>
      <c r="T3263" t="s">
        <v>1320</v>
      </c>
      <c r="U3263">
        <v>177300</v>
      </c>
      <c r="V3263" t="s">
        <v>1397</v>
      </c>
      <c r="W3263" t="s">
        <v>1398</v>
      </c>
      <c r="X3263" t="s">
        <v>9148</v>
      </c>
      <c r="Y3263" t="s">
        <v>9149</v>
      </c>
      <c r="Z3263" t="s">
        <v>1397</v>
      </c>
      <c r="AA3263" t="s">
        <v>8575</v>
      </c>
      <c r="AB3263" t="s">
        <v>9150</v>
      </c>
      <c r="AE3263">
        <v>-37.756693779999999</v>
      </c>
      <c r="AF3263">
        <v>175.27679430000001</v>
      </c>
      <c r="AG3263" s="175">
        <v>44</v>
      </c>
      <c r="AH3263" s="175">
        <v>10</v>
      </c>
      <c r="AI3263" s="175">
        <v>4</v>
      </c>
      <c r="AJ3263" s="175">
        <v>5</v>
      </c>
      <c r="AK3263" s="175">
        <v>10</v>
      </c>
      <c r="AL3263" s="175">
        <v>6</v>
      </c>
      <c r="AM3263" s="175">
        <v>13</v>
      </c>
      <c r="AN3263" s="175">
        <v>1</v>
      </c>
      <c r="AO3263" s="175">
        <v>39</v>
      </c>
      <c r="AP3263" s="175">
        <v>15</v>
      </c>
      <c r="AQ3263" s="175">
        <v>16</v>
      </c>
      <c r="AR3263" s="175">
        <v>6</v>
      </c>
      <c r="AS3263" s="175">
        <v>7</v>
      </c>
      <c r="AT3263" s="175">
        <v>0</v>
      </c>
    </row>
    <row r="3264" spans="1:46">
      <c r="A3264">
        <v>48137</v>
      </c>
      <c r="B3264" t="s">
        <v>18280</v>
      </c>
      <c r="C3264" t="s">
        <v>18281</v>
      </c>
      <c r="D3264" t="s">
        <v>18282</v>
      </c>
      <c r="E3264" t="s">
        <v>18283</v>
      </c>
      <c r="F3264" t="s">
        <v>3777</v>
      </c>
      <c r="G3264" t="s">
        <v>737</v>
      </c>
      <c r="H3264" t="s">
        <v>449</v>
      </c>
      <c r="J3264" t="s">
        <v>4032</v>
      </c>
      <c r="K3264" t="s">
        <v>606</v>
      </c>
      <c r="M3264" t="s">
        <v>607</v>
      </c>
      <c r="N3264" t="s">
        <v>657</v>
      </c>
      <c r="O3264" t="s">
        <v>723</v>
      </c>
      <c r="P3264" t="s">
        <v>658</v>
      </c>
      <c r="Q3264" t="s">
        <v>467</v>
      </c>
      <c r="R3264" t="s">
        <v>724</v>
      </c>
      <c r="S3264" t="s">
        <v>753</v>
      </c>
      <c r="T3264" t="s">
        <v>613</v>
      </c>
      <c r="U3264">
        <v>115501</v>
      </c>
      <c r="V3264" t="s">
        <v>7257</v>
      </c>
      <c r="W3264" t="s">
        <v>726</v>
      </c>
      <c r="X3264" t="s">
        <v>17634</v>
      </c>
      <c r="Y3264" t="s">
        <v>12254</v>
      </c>
      <c r="Z3264" t="s">
        <v>12255</v>
      </c>
      <c r="AA3264" t="s">
        <v>12256</v>
      </c>
      <c r="AB3264" t="s">
        <v>17635</v>
      </c>
      <c r="AE3264">
        <v>-36.716697269999997</v>
      </c>
      <c r="AF3264">
        <v>174.63974619999999</v>
      </c>
      <c r="AG3264" s="175">
        <v>93</v>
      </c>
      <c r="AH3264" s="175">
        <v>25</v>
      </c>
      <c r="AI3264" s="175">
        <v>3</v>
      </c>
      <c r="AJ3264" s="175">
        <v>15</v>
      </c>
      <c r="AK3264" s="175">
        <v>15</v>
      </c>
      <c r="AL3264" s="175">
        <v>13</v>
      </c>
      <c r="AM3264" s="175">
        <v>15</v>
      </c>
      <c r="AN3264" s="175">
        <v>1</v>
      </c>
      <c r="AO3264" s="175">
        <v>62</v>
      </c>
      <c r="AP3264" s="175">
        <v>55</v>
      </c>
      <c r="AQ3264" s="175">
        <v>7</v>
      </c>
      <c r="AR3264" s="175">
        <v>2</v>
      </c>
      <c r="AS3264" s="175">
        <v>9</v>
      </c>
      <c r="AT3264" s="175">
        <v>0</v>
      </c>
    </row>
    <row r="3265" spans="1:46">
      <c r="A3265">
        <v>48138</v>
      </c>
      <c r="B3265" t="s">
        <v>18284</v>
      </c>
      <c r="C3265" t="s">
        <v>18285</v>
      </c>
      <c r="E3265" t="s">
        <v>18286</v>
      </c>
      <c r="F3265" t="s">
        <v>1157</v>
      </c>
      <c r="G3265" t="s">
        <v>737</v>
      </c>
      <c r="H3265" t="s">
        <v>452</v>
      </c>
      <c r="I3265" t="s">
        <v>4320</v>
      </c>
      <c r="J3265" t="s">
        <v>605</v>
      </c>
      <c r="K3265" t="s">
        <v>606</v>
      </c>
      <c r="M3265" t="s">
        <v>607</v>
      </c>
      <c r="N3265" t="s">
        <v>812</v>
      </c>
      <c r="O3265" t="s">
        <v>933</v>
      </c>
      <c r="P3265" t="s">
        <v>739</v>
      </c>
      <c r="Q3265" t="s">
        <v>467</v>
      </c>
      <c r="R3265" t="s">
        <v>814</v>
      </c>
      <c r="S3265" t="s">
        <v>815</v>
      </c>
      <c r="T3265" t="s">
        <v>794</v>
      </c>
      <c r="U3265">
        <v>150101</v>
      </c>
      <c r="V3265" t="s">
        <v>4174</v>
      </c>
      <c r="W3265" t="s">
        <v>817</v>
      </c>
      <c r="X3265" t="s">
        <v>727</v>
      </c>
      <c r="Y3265" t="s">
        <v>728</v>
      </c>
      <c r="Z3265" t="s">
        <v>729</v>
      </c>
      <c r="AA3265" t="s">
        <v>730</v>
      </c>
      <c r="AB3265" t="s">
        <v>18287</v>
      </c>
      <c r="AC3265">
        <v>99151</v>
      </c>
      <c r="AD3265" t="s">
        <v>1159</v>
      </c>
      <c r="AE3265">
        <v>-36.947845549999997</v>
      </c>
      <c r="AF3265">
        <v>174.842703</v>
      </c>
      <c r="AG3265" s="175">
        <v>30</v>
      </c>
      <c r="AH3265" s="175">
        <v>0</v>
      </c>
      <c r="AI3265" s="175">
        <v>0</v>
      </c>
      <c r="AJ3265" s="175">
        <v>0</v>
      </c>
      <c r="AK3265" s="175">
        <v>5</v>
      </c>
      <c r="AL3265" s="175">
        <v>3</v>
      </c>
      <c r="AM3265" s="175">
        <v>7</v>
      </c>
      <c r="AN3265" s="175">
        <v>0</v>
      </c>
      <c r="AO3265" s="175">
        <v>15</v>
      </c>
      <c r="AP3265" s="175">
        <v>0</v>
      </c>
      <c r="AQ3265" s="175">
        <v>3</v>
      </c>
      <c r="AR3265" s="175">
        <v>15</v>
      </c>
      <c r="AS3265" s="175">
        <v>0</v>
      </c>
      <c r="AT3265" s="175">
        <v>0</v>
      </c>
    </row>
    <row r="3266" spans="1:46">
      <c r="A3266">
        <v>48141</v>
      </c>
      <c r="B3266" t="s">
        <v>18288</v>
      </c>
      <c r="C3266" t="s">
        <v>18289</v>
      </c>
      <c r="E3266" t="s">
        <v>18290</v>
      </c>
      <c r="G3266" t="s">
        <v>760</v>
      </c>
      <c r="H3266" t="s">
        <v>449</v>
      </c>
      <c r="J3266" t="s">
        <v>4032</v>
      </c>
      <c r="K3266" t="s">
        <v>606</v>
      </c>
      <c r="M3266" t="s">
        <v>607</v>
      </c>
      <c r="N3266" t="s">
        <v>657</v>
      </c>
      <c r="O3266" t="s">
        <v>723</v>
      </c>
      <c r="P3266" t="s">
        <v>610</v>
      </c>
      <c r="Q3266" t="s">
        <v>467</v>
      </c>
      <c r="R3266" t="s">
        <v>724</v>
      </c>
      <c r="S3266" t="s">
        <v>725</v>
      </c>
      <c r="T3266" t="s">
        <v>613</v>
      </c>
      <c r="U3266">
        <v>111100</v>
      </c>
      <c r="V3266" t="s">
        <v>761</v>
      </c>
      <c r="W3266" t="s">
        <v>726</v>
      </c>
      <c r="X3266" t="s">
        <v>4165</v>
      </c>
      <c r="Y3266" t="s">
        <v>4166</v>
      </c>
      <c r="Z3266" t="s">
        <v>4167</v>
      </c>
      <c r="AA3266" t="s">
        <v>4168</v>
      </c>
      <c r="AB3266" t="s">
        <v>6445</v>
      </c>
      <c r="AE3266">
        <v>-36.406874700000003</v>
      </c>
      <c r="AF3266">
        <v>174.6475193</v>
      </c>
      <c r="AG3266" s="175">
        <v>104</v>
      </c>
      <c r="AH3266" s="175">
        <v>30</v>
      </c>
      <c r="AI3266" s="175">
        <v>3</v>
      </c>
      <c r="AJ3266" s="175">
        <v>18</v>
      </c>
      <c r="AK3266" s="175">
        <v>34</v>
      </c>
      <c r="AL3266" s="175">
        <v>27</v>
      </c>
      <c r="AM3266" s="175">
        <v>22</v>
      </c>
      <c r="AN3266" s="175">
        <v>0</v>
      </c>
      <c r="AO3266" s="175">
        <v>104</v>
      </c>
      <c r="AP3266" s="175">
        <v>95</v>
      </c>
      <c r="AQ3266" s="175">
        <v>23</v>
      </c>
      <c r="AR3266" s="175">
        <v>6</v>
      </c>
      <c r="AS3266" s="175">
        <v>19</v>
      </c>
      <c r="AT3266" s="175">
        <v>1</v>
      </c>
    </row>
    <row r="3267" spans="1:46">
      <c r="A3267">
        <v>48142</v>
      </c>
      <c r="B3267" t="s">
        <v>18291</v>
      </c>
      <c r="C3267" t="s">
        <v>18292</v>
      </c>
      <c r="E3267" t="s">
        <v>18293</v>
      </c>
      <c r="F3267" t="s">
        <v>1231</v>
      </c>
      <c r="G3267" t="s">
        <v>737</v>
      </c>
      <c r="H3267" t="s">
        <v>449</v>
      </c>
      <c r="J3267" t="s">
        <v>4032</v>
      </c>
      <c r="K3267" t="s">
        <v>606</v>
      </c>
      <c r="M3267" t="s">
        <v>607</v>
      </c>
      <c r="N3267" t="s">
        <v>657</v>
      </c>
      <c r="O3267" t="s">
        <v>1042</v>
      </c>
      <c r="P3267" t="s">
        <v>739</v>
      </c>
      <c r="Q3267" t="s">
        <v>467</v>
      </c>
      <c r="R3267" t="s">
        <v>793</v>
      </c>
      <c r="S3267" t="s">
        <v>943</v>
      </c>
      <c r="T3267" t="s">
        <v>794</v>
      </c>
      <c r="U3267">
        <v>131600</v>
      </c>
      <c r="V3267" t="s">
        <v>4982</v>
      </c>
      <c r="W3267" t="s">
        <v>1044</v>
      </c>
      <c r="X3267" t="s">
        <v>6787</v>
      </c>
      <c r="Y3267" t="s">
        <v>18293</v>
      </c>
      <c r="Z3267" t="s">
        <v>1231</v>
      </c>
      <c r="AA3267" t="s">
        <v>4481</v>
      </c>
      <c r="AE3267">
        <v>-36.855913149999999</v>
      </c>
      <c r="AF3267">
        <v>174.7389502</v>
      </c>
      <c r="AG3267" s="175">
        <v>40</v>
      </c>
      <c r="AH3267" s="175">
        <v>0</v>
      </c>
      <c r="AI3267" s="175">
        <v>0</v>
      </c>
      <c r="AJ3267" s="175">
        <v>0</v>
      </c>
      <c r="AK3267" s="175">
        <v>12</v>
      </c>
      <c r="AL3267" s="175">
        <v>19</v>
      </c>
      <c r="AM3267" s="175">
        <v>11</v>
      </c>
      <c r="AN3267" s="175">
        <v>0</v>
      </c>
      <c r="AO3267" s="175">
        <v>42</v>
      </c>
      <c r="AP3267" s="175">
        <v>36</v>
      </c>
      <c r="AQ3267" s="175">
        <v>2</v>
      </c>
      <c r="AR3267" s="175">
        <v>1</v>
      </c>
      <c r="AS3267" s="175">
        <v>10</v>
      </c>
      <c r="AT3267" s="175">
        <v>1</v>
      </c>
    </row>
    <row r="3268" spans="1:46">
      <c r="A3268">
        <v>48143</v>
      </c>
      <c r="B3268" t="s">
        <v>18294</v>
      </c>
      <c r="C3268" t="s">
        <v>18295</v>
      </c>
      <c r="E3268" t="s">
        <v>18296</v>
      </c>
      <c r="G3268" t="s">
        <v>1662</v>
      </c>
      <c r="H3268" t="s">
        <v>449</v>
      </c>
      <c r="J3268" t="s">
        <v>4032</v>
      </c>
      <c r="K3268" t="s">
        <v>606</v>
      </c>
      <c r="M3268" t="s">
        <v>1382</v>
      </c>
      <c r="N3268" t="s">
        <v>643</v>
      </c>
      <c r="O3268" t="s">
        <v>1534</v>
      </c>
      <c r="P3268" t="s">
        <v>610</v>
      </c>
      <c r="Q3268" t="s">
        <v>510</v>
      </c>
      <c r="R3268" t="s">
        <v>1384</v>
      </c>
      <c r="S3268" t="s">
        <v>1384</v>
      </c>
      <c r="T3268" t="s">
        <v>1320</v>
      </c>
      <c r="U3268">
        <v>174901</v>
      </c>
      <c r="V3268" t="s">
        <v>1738</v>
      </c>
      <c r="W3268" t="s">
        <v>1664</v>
      </c>
      <c r="X3268" t="s">
        <v>18297</v>
      </c>
      <c r="Y3268" t="s">
        <v>18298</v>
      </c>
      <c r="Z3268" t="s">
        <v>5402</v>
      </c>
      <c r="AA3268" t="s">
        <v>18299</v>
      </c>
      <c r="AB3268" t="s">
        <v>18300</v>
      </c>
      <c r="AE3268">
        <v>-37.803754660000003</v>
      </c>
      <c r="AF3268">
        <v>175.76848960999999</v>
      </c>
      <c r="AG3268" s="175">
        <v>40</v>
      </c>
      <c r="AH3268" s="175">
        <v>16</v>
      </c>
      <c r="AI3268" s="175">
        <v>1</v>
      </c>
      <c r="AJ3268" s="175">
        <v>14</v>
      </c>
      <c r="AK3268" s="175">
        <v>7</v>
      </c>
      <c r="AL3268" s="175">
        <v>11</v>
      </c>
      <c r="AM3268" s="175">
        <v>10</v>
      </c>
      <c r="AN3268" s="175">
        <v>1</v>
      </c>
      <c r="AO3268" s="175">
        <v>44</v>
      </c>
      <c r="AP3268" s="175">
        <v>39</v>
      </c>
      <c r="AQ3268" s="175">
        <v>14</v>
      </c>
      <c r="AR3268" s="175">
        <v>3</v>
      </c>
      <c r="AS3268" s="175">
        <v>4</v>
      </c>
      <c r="AT3268" s="175">
        <v>0</v>
      </c>
    </row>
    <row r="3269" spans="1:46">
      <c r="A3269">
        <v>48144</v>
      </c>
      <c r="B3269" t="s">
        <v>18301</v>
      </c>
      <c r="C3269" t="s">
        <v>18302</v>
      </c>
      <c r="D3269" t="s">
        <v>18303</v>
      </c>
      <c r="E3269" t="s">
        <v>18304</v>
      </c>
      <c r="F3269" t="s">
        <v>3733</v>
      </c>
      <c r="G3269" t="s">
        <v>3015</v>
      </c>
      <c r="H3269" t="s">
        <v>449</v>
      </c>
      <c r="J3269" t="s">
        <v>4032</v>
      </c>
      <c r="K3269" t="s">
        <v>606</v>
      </c>
      <c r="M3269" t="s">
        <v>2366</v>
      </c>
      <c r="N3269" t="s">
        <v>657</v>
      </c>
      <c r="O3269" t="s">
        <v>3281</v>
      </c>
      <c r="P3269" t="s">
        <v>610</v>
      </c>
      <c r="Q3269" t="s">
        <v>521</v>
      </c>
      <c r="R3269" t="s">
        <v>3017</v>
      </c>
      <c r="S3269" t="s">
        <v>3252</v>
      </c>
      <c r="T3269" t="s">
        <v>2526</v>
      </c>
      <c r="U3269">
        <v>336101</v>
      </c>
      <c r="V3269" t="s">
        <v>4543</v>
      </c>
      <c r="W3269" t="s">
        <v>3735</v>
      </c>
      <c r="X3269" t="s">
        <v>18305</v>
      </c>
      <c r="Y3269" t="s">
        <v>18306</v>
      </c>
      <c r="AA3269" t="s">
        <v>12388</v>
      </c>
      <c r="AB3269" t="s">
        <v>18307</v>
      </c>
      <c r="AC3269">
        <v>99113</v>
      </c>
      <c r="AD3269" t="s">
        <v>3736</v>
      </c>
      <c r="AE3269">
        <v>-43.635261020000002</v>
      </c>
      <c r="AF3269">
        <v>172.49612740000001</v>
      </c>
      <c r="AG3269" s="175">
        <v>105</v>
      </c>
      <c r="AH3269" s="175">
        <v>29</v>
      </c>
      <c r="AI3269" s="175">
        <v>6</v>
      </c>
      <c r="AJ3269" s="175">
        <v>20</v>
      </c>
      <c r="AK3269" s="175">
        <v>36</v>
      </c>
      <c r="AL3269" s="175">
        <v>24</v>
      </c>
      <c r="AM3269" s="175">
        <v>31</v>
      </c>
      <c r="AN3269" s="175">
        <v>1</v>
      </c>
      <c r="AO3269" s="175">
        <v>118</v>
      </c>
      <c r="AP3269" s="175">
        <v>95</v>
      </c>
      <c r="AQ3269" s="175">
        <v>18</v>
      </c>
      <c r="AR3269" s="175">
        <v>4</v>
      </c>
      <c r="AS3269" s="175">
        <v>17</v>
      </c>
      <c r="AT3269" s="175">
        <v>4</v>
      </c>
    </row>
    <row r="3270" spans="1:46">
      <c r="A3270">
        <v>48147</v>
      </c>
      <c r="B3270" t="s">
        <v>18308</v>
      </c>
      <c r="C3270" t="s">
        <v>18309</v>
      </c>
      <c r="E3270" t="s">
        <v>18310</v>
      </c>
      <c r="F3270" t="s">
        <v>5084</v>
      </c>
      <c r="G3270" t="s">
        <v>737</v>
      </c>
      <c r="H3270" t="s">
        <v>449</v>
      </c>
      <c r="J3270" t="s">
        <v>605</v>
      </c>
      <c r="K3270" t="s">
        <v>606</v>
      </c>
      <c r="M3270" t="s">
        <v>607</v>
      </c>
      <c r="N3270" t="s">
        <v>657</v>
      </c>
      <c r="O3270" t="s">
        <v>1318</v>
      </c>
      <c r="P3270" t="s">
        <v>739</v>
      </c>
      <c r="Q3270" t="s">
        <v>467</v>
      </c>
      <c r="R3270" t="s">
        <v>814</v>
      </c>
      <c r="S3270" t="s">
        <v>1319</v>
      </c>
      <c r="T3270" t="s">
        <v>1320</v>
      </c>
      <c r="U3270">
        <v>164301</v>
      </c>
      <c r="V3270" t="s">
        <v>18311</v>
      </c>
      <c r="W3270" t="s">
        <v>1322</v>
      </c>
      <c r="X3270" t="s">
        <v>4013</v>
      </c>
      <c r="Y3270" t="s">
        <v>4014</v>
      </c>
      <c r="Z3270" t="s">
        <v>4015</v>
      </c>
      <c r="AA3270" t="s">
        <v>4016</v>
      </c>
      <c r="AB3270" t="s">
        <v>4017</v>
      </c>
      <c r="AE3270">
        <v>-37.104328629999998</v>
      </c>
      <c r="AF3270">
        <v>174.94222529999999</v>
      </c>
      <c r="AG3270" s="175">
        <v>124</v>
      </c>
      <c r="AH3270" s="175">
        <v>24</v>
      </c>
      <c r="AI3270" s="175">
        <v>4</v>
      </c>
      <c r="AJ3270" s="175">
        <v>12</v>
      </c>
      <c r="AK3270" s="175">
        <v>21</v>
      </c>
      <c r="AL3270" s="175">
        <v>25</v>
      </c>
      <c r="AM3270" s="175">
        <v>21</v>
      </c>
      <c r="AN3270" s="175">
        <v>0</v>
      </c>
      <c r="AO3270" s="175">
        <v>83</v>
      </c>
      <c r="AP3270" s="175">
        <v>20</v>
      </c>
      <c r="AQ3270" s="175">
        <v>10</v>
      </c>
      <c r="AR3270" s="175">
        <v>13</v>
      </c>
      <c r="AS3270" s="175">
        <v>52</v>
      </c>
      <c r="AT3270" s="175">
        <v>7</v>
      </c>
    </row>
    <row r="3271" spans="1:46">
      <c r="A3271">
        <v>48148</v>
      </c>
      <c r="B3271" t="s">
        <v>18312</v>
      </c>
      <c r="C3271" t="s">
        <v>18313</v>
      </c>
      <c r="E3271" t="s">
        <v>18314</v>
      </c>
      <c r="G3271" t="s">
        <v>2295</v>
      </c>
      <c r="H3271" t="s">
        <v>449</v>
      </c>
      <c r="J3271" t="s">
        <v>4032</v>
      </c>
      <c r="K3271" t="s">
        <v>606</v>
      </c>
      <c r="M3271" t="s">
        <v>1382</v>
      </c>
      <c r="N3271" t="s">
        <v>657</v>
      </c>
      <c r="O3271" t="s">
        <v>2277</v>
      </c>
      <c r="P3271" t="s">
        <v>1347</v>
      </c>
      <c r="Q3271" t="s">
        <v>513</v>
      </c>
      <c r="R3271" t="s">
        <v>2164</v>
      </c>
      <c r="S3271" t="s">
        <v>2278</v>
      </c>
      <c r="T3271" t="s">
        <v>2165</v>
      </c>
      <c r="U3271">
        <v>211401</v>
      </c>
      <c r="V3271" t="s">
        <v>2318</v>
      </c>
      <c r="W3271" t="s">
        <v>2279</v>
      </c>
      <c r="X3271" t="s">
        <v>14220</v>
      </c>
      <c r="Y3271" t="s">
        <v>8787</v>
      </c>
      <c r="AA3271" t="s">
        <v>8855</v>
      </c>
      <c r="AB3271" t="s">
        <v>14221</v>
      </c>
      <c r="AE3271">
        <v>-39.670335049999998</v>
      </c>
      <c r="AF3271">
        <v>176.87280239</v>
      </c>
      <c r="AG3271" s="175">
        <v>26</v>
      </c>
      <c r="AH3271" s="175">
        <v>20</v>
      </c>
      <c r="AI3271" s="175">
        <v>1</v>
      </c>
      <c r="AJ3271" s="175">
        <v>12</v>
      </c>
      <c r="AK3271" s="175">
        <v>16</v>
      </c>
      <c r="AL3271" s="175">
        <v>0</v>
      </c>
      <c r="AM3271" s="175">
        <v>0</v>
      </c>
      <c r="AN3271" s="175">
        <v>0</v>
      </c>
      <c r="AO3271" s="175">
        <v>29</v>
      </c>
      <c r="AP3271" s="175">
        <v>26</v>
      </c>
      <c r="AQ3271" s="175">
        <v>6</v>
      </c>
      <c r="AR3271" s="175">
        <v>1</v>
      </c>
      <c r="AS3271" s="175">
        <v>2</v>
      </c>
      <c r="AT3271" s="175">
        <v>0</v>
      </c>
    </row>
    <row r="3272" spans="1:46">
      <c r="A3272">
        <v>48149</v>
      </c>
      <c r="B3272" t="s">
        <v>18315</v>
      </c>
      <c r="C3272" t="s">
        <v>18316</v>
      </c>
      <c r="E3272" t="s">
        <v>18317</v>
      </c>
      <c r="F3272" t="s">
        <v>906</v>
      </c>
      <c r="G3272" t="s">
        <v>737</v>
      </c>
      <c r="H3272" t="s">
        <v>449</v>
      </c>
      <c r="J3272" t="s">
        <v>605</v>
      </c>
      <c r="K3272" t="s">
        <v>606</v>
      </c>
      <c r="M3272" t="s">
        <v>607</v>
      </c>
      <c r="N3272" t="s">
        <v>657</v>
      </c>
      <c r="O3272" t="s">
        <v>889</v>
      </c>
      <c r="P3272" t="s">
        <v>739</v>
      </c>
      <c r="Q3272" t="s">
        <v>467</v>
      </c>
      <c r="R3272" t="s">
        <v>793</v>
      </c>
      <c r="S3272" t="s">
        <v>907</v>
      </c>
      <c r="T3272" t="s">
        <v>794</v>
      </c>
      <c r="U3272">
        <v>140500</v>
      </c>
      <c r="V3272" t="s">
        <v>18318</v>
      </c>
      <c r="W3272" t="s">
        <v>909</v>
      </c>
      <c r="X3272" t="s">
        <v>18319</v>
      </c>
      <c r="Y3272" t="s">
        <v>18320</v>
      </c>
      <c r="Z3272" t="s">
        <v>791</v>
      </c>
      <c r="AA3272" t="s">
        <v>4551</v>
      </c>
      <c r="AB3272" t="s">
        <v>18321</v>
      </c>
      <c r="AE3272">
        <v>-36.863988800000001</v>
      </c>
      <c r="AF3272">
        <v>174.80233192</v>
      </c>
      <c r="AG3272" s="175">
        <v>75</v>
      </c>
      <c r="AH3272" s="175">
        <v>0</v>
      </c>
      <c r="AI3272" s="175">
        <v>0</v>
      </c>
      <c r="AJ3272" s="175">
        <v>0</v>
      </c>
      <c r="AK3272" s="175">
        <v>2</v>
      </c>
      <c r="AL3272" s="175">
        <v>29</v>
      </c>
      <c r="AM3272" s="175">
        <v>40</v>
      </c>
      <c r="AN3272" s="175">
        <v>4</v>
      </c>
      <c r="AO3272" s="175">
        <v>75</v>
      </c>
      <c r="AP3272" s="175">
        <v>42</v>
      </c>
      <c r="AQ3272" s="175">
        <v>0</v>
      </c>
      <c r="AR3272" s="175">
        <v>1</v>
      </c>
      <c r="AS3272" s="175">
        <v>36</v>
      </c>
      <c r="AT3272" s="175">
        <v>3</v>
      </c>
    </row>
    <row r="3273" spans="1:46">
      <c r="A3273">
        <v>48157</v>
      </c>
      <c r="B3273" t="s">
        <v>18322</v>
      </c>
      <c r="C3273" t="s">
        <v>18323</v>
      </c>
      <c r="E3273" t="s">
        <v>18324</v>
      </c>
      <c r="F3273" t="s">
        <v>2691</v>
      </c>
      <c r="G3273" t="s">
        <v>2604</v>
      </c>
      <c r="H3273" t="s">
        <v>449</v>
      </c>
      <c r="J3273" t="s">
        <v>4032</v>
      </c>
      <c r="K3273" t="s">
        <v>606</v>
      </c>
      <c r="M3273" t="s">
        <v>2366</v>
      </c>
      <c r="N3273" t="s">
        <v>657</v>
      </c>
      <c r="O3273" t="s">
        <v>2605</v>
      </c>
      <c r="P3273" t="s">
        <v>670</v>
      </c>
      <c r="Q3273" t="s">
        <v>516</v>
      </c>
      <c r="R3273" t="s">
        <v>2368</v>
      </c>
      <c r="S3273" t="s">
        <v>2606</v>
      </c>
      <c r="T3273" t="s">
        <v>1568</v>
      </c>
      <c r="U3273">
        <v>239900</v>
      </c>
      <c r="V3273" t="s">
        <v>13100</v>
      </c>
      <c r="W3273" t="s">
        <v>2607</v>
      </c>
      <c r="X3273" t="s">
        <v>18325</v>
      </c>
      <c r="Y3273" t="s">
        <v>18326</v>
      </c>
      <c r="Z3273" t="s">
        <v>4472</v>
      </c>
      <c r="AA3273" t="s">
        <v>4596</v>
      </c>
      <c r="AE3273">
        <v>-41.129957589999997</v>
      </c>
      <c r="AF3273">
        <v>174.83350669999999</v>
      </c>
      <c r="AG3273" s="175">
        <v>87</v>
      </c>
      <c r="AH3273" s="175">
        <v>27</v>
      </c>
      <c r="AI3273" s="175">
        <v>3</v>
      </c>
      <c r="AJ3273" s="175">
        <v>23</v>
      </c>
      <c r="AK3273" s="175">
        <v>19</v>
      </c>
      <c r="AL3273" s="175">
        <v>16</v>
      </c>
      <c r="AM3273" s="175">
        <v>12</v>
      </c>
      <c r="AN3273" s="175">
        <v>0</v>
      </c>
      <c r="AO3273" s="175">
        <v>73</v>
      </c>
      <c r="AP3273" s="175">
        <v>42</v>
      </c>
      <c r="AQ3273" s="175">
        <v>19</v>
      </c>
      <c r="AR3273" s="175">
        <v>19</v>
      </c>
      <c r="AS3273" s="175">
        <v>14</v>
      </c>
      <c r="AT3273" s="175">
        <v>5</v>
      </c>
    </row>
    <row r="3274" spans="1:46">
      <c r="A3274">
        <v>48158</v>
      </c>
      <c r="B3274" t="s">
        <v>18327</v>
      </c>
      <c r="C3274" t="s">
        <v>17467</v>
      </c>
      <c r="E3274" t="s">
        <v>18328</v>
      </c>
      <c r="F3274" t="s">
        <v>1120</v>
      </c>
      <c r="G3274" t="s">
        <v>737</v>
      </c>
      <c r="H3274" t="s">
        <v>449</v>
      </c>
      <c r="J3274" t="s">
        <v>4032</v>
      </c>
      <c r="K3274" t="s">
        <v>606</v>
      </c>
      <c r="M3274" t="s">
        <v>607</v>
      </c>
      <c r="N3274" t="s">
        <v>643</v>
      </c>
      <c r="O3274" t="s">
        <v>813</v>
      </c>
      <c r="P3274" t="s">
        <v>739</v>
      </c>
      <c r="Q3274" t="s">
        <v>467</v>
      </c>
      <c r="R3274" t="s">
        <v>814</v>
      </c>
      <c r="S3274" t="s">
        <v>815</v>
      </c>
      <c r="T3274" t="s">
        <v>794</v>
      </c>
      <c r="U3274">
        <v>154901</v>
      </c>
      <c r="V3274" t="s">
        <v>1176</v>
      </c>
      <c r="W3274" t="s">
        <v>817</v>
      </c>
      <c r="X3274" t="s">
        <v>17466</v>
      </c>
      <c r="Y3274" t="s">
        <v>18329</v>
      </c>
      <c r="Z3274" t="s">
        <v>4194</v>
      </c>
      <c r="AA3274" t="s">
        <v>5237</v>
      </c>
      <c r="AB3274" t="s">
        <v>17467</v>
      </c>
      <c r="AE3274">
        <v>-36.976413649999998</v>
      </c>
      <c r="AF3274">
        <v>174.85595945</v>
      </c>
      <c r="AG3274" s="175">
        <v>72</v>
      </c>
      <c r="AH3274" s="175">
        <v>15</v>
      </c>
      <c r="AI3274" s="175">
        <v>1</v>
      </c>
      <c r="AJ3274" s="175">
        <v>5</v>
      </c>
      <c r="AK3274" s="175">
        <v>16</v>
      </c>
      <c r="AL3274" s="175">
        <v>11</v>
      </c>
      <c r="AM3274" s="175">
        <v>20</v>
      </c>
      <c r="AN3274" s="175">
        <v>4</v>
      </c>
      <c r="AO3274" s="175">
        <v>57</v>
      </c>
      <c r="AP3274" s="175">
        <v>0</v>
      </c>
      <c r="AQ3274" s="175">
        <v>1</v>
      </c>
      <c r="AR3274" s="175">
        <v>2</v>
      </c>
      <c r="AS3274" s="175">
        <v>55</v>
      </c>
      <c r="AT3274" s="175">
        <v>0</v>
      </c>
    </row>
    <row r="3275" spans="1:46">
      <c r="A3275">
        <v>48159</v>
      </c>
      <c r="B3275" t="s">
        <v>18330</v>
      </c>
      <c r="C3275" t="s">
        <v>18331</v>
      </c>
      <c r="E3275" t="s">
        <v>18332</v>
      </c>
      <c r="F3275" t="s">
        <v>906</v>
      </c>
      <c r="G3275" t="s">
        <v>737</v>
      </c>
      <c r="H3275" t="s">
        <v>449</v>
      </c>
      <c r="J3275" t="s">
        <v>605</v>
      </c>
      <c r="K3275" t="s">
        <v>606</v>
      </c>
      <c r="M3275" t="s">
        <v>607</v>
      </c>
      <c r="N3275" t="s">
        <v>657</v>
      </c>
      <c r="O3275" t="s">
        <v>889</v>
      </c>
      <c r="P3275" t="s">
        <v>739</v>
      </c>
      <c r="Q3275" t="s">
        <v>467</v>
      </c>
      <c r="R3275" t="s">
        <v>793</v>
      </c>
      <c r="S3275" t="s">
        <v>907</v>
      </c>
      <c r="T3275" t="s">
        <v>794</v>
      </c>
      <c r="U3275">
        <v>141600</v>
      </c>
      <c r="V3275" t="s">
        <v>17691</v>
      </c>
      <c r="W3275" t="s">
        <v>909</v>
      </c>
      <c r="X3275" t="s">
        <v>18333</v>
      </c>
      <c r="Y3275" t="s">
        <v>18332</v>
      </c>
      <c r="Z3275" t="s">
        <v>906</v>
      </c>
      <c r="AA3275" t="s">
        <v>4138</v>
      </c>
      <c r="AE3275">
        <v>-36.880924520000001</v>
      </c>
      <c r="AF3275">
        <v>174.80518971999999</v>
      </c>
      <c r="AG3275" s="175">
        <v>30</v>
      </c>
      <c r="AH3275" s="175">
        <v>0</v>
      </c>
      <c r="AI3275" s="175">
        <v>0</v>
      </c>
      <c r="AJ3275" s="175">
        <v>0</v>
      </c>
      <c r="AK3275" s="175">
        <v>2</v>
      </c>
      <c r="AL3275" s="175">
        <v>5</v>
      </c>
      <c r="AM3275" s="175">
        <v>6</v>
      </c>
      <c r="AN3275" s="175">
        <v>1</v>
      </c>
      <c r="AO3275" s="175">
        <v>14</v>
      </c>
      <c r="AP3275" s="175">
        <v>3</v>
      </c>
      <c r="AQ3275" s="175">
        <v>0</v>
      </c>
      <c r="AR3275" s="175">
        <v>0</v>
      </c>
      <c r="AS3275" s="175">
        <v>4</v>
      </c>
      <c r="AT3275" s="175">
        <v>9</v>
      </c>
    </row>
    <row r="3276" spans="1:46">
      <c r="A3276">
        <v>48160</v>
      </c>
      <c r="B3276" t="s">
        <v>18334</v>
      </c>
      <c r="C3276" t="s">
        <v>18335</v>
      </c>
      <c r="E3276" t="s">
        <v>18336</v>
      </c>
      <c r="G3276" t="s">
        <v>10242</v>
      </c>
      <c r="H3276" t="s">
        <v>449</v>
      </c>
      <c r="J3276" t="s">
        <v>4032</v>
      </c>
      <c r="K3276" t="s">
        <v>606</v>
      </c>
      <c r="M3276" t="s">
        <v>1382</v>
      </c>
      <c r="N3276" t="s">
        <v>608</v>
      </c>
      <c r="O3276" t="s">
        <v>1554</v>
      </c>
      <c r="P3276" t="s">
        <v>626</v>
      </c>
      <c r="Q3276" t="s">
        <v>511</v>
      </c>
      <c r="R3276" t="s">
        <v>1555</v>
      </c>
      <c r="S3276" t="s">
        <v>1556</v>
      </c>
      <c r="T3276" t="s">
        <v>1557</v>
      </c>
      <c r="U3276">
        <v>203100</v>
      </c>
      <c r="V3276" t="s">
        <v>10243</v>
      </c>
      <c r="W3276" t="s">
        <v>1678</v>
      </c>
      <c r="X3276" t="s">
        <v>18337</v>
      </c>
      <c r="Y3276" t="s">
        <v>14327</v>
      </c>
      <c r="AA3276" t="s">
        <v>18338</v>
      </c>
      <c r="AB3276" t="s">
        <v>18335</v>
      </c>
      <c r="AE3276">
        <v>-38.06184872</v>
      </c>
      <c r="AF3276">
        <v>177.01128489000001</v>
      </c>
      <c r="AG3276" s="175">
        <v>20</v>
      </c>
      <c r="AH3276" s="175">
        <v>5</v>
      </c>
      <c r="AI3276" s="175">
        <v>2</v>
      </c>
      <c r="AJ3276" s="175">
        <v>0</v>
      </c>
      <c r="AK3276" s="175">
        <v>4</v>
      </c>
      <c r="AL3276" s="175">
        <v>5</v>
      </c>
      <c r="AM3276" s="175">
        <v>1</v>
      </c>
      <c r="AN3276" s="175">
        <v>0</v>
      </c>
      <c r="AO3276" s="175">
        <v>12</v>
      </c>
      <c r="AP3276" s="175">
        <v>1</v>
      </c>
      <c r="AQ3276" s="175">
        <v>12</v>
      </c>
      <c r="AR3276" s="175">
        <v>1</v>
      </c>
      <c r="AS3276" s="175">
        <v>0</v>
      </c>
      <c r="AT3276" s="175">
        <v>1</v>
      </c>
    </row>
    <row r="3277" spans="1:46">
      <c r="A3277">
        <v>48161</v>
      </c>
      <c r="B3277" t="s">
        <v>18339</v>
      </c>
      <c r="C3277" t="s">
        <v>18340</v>
      </c>
      <c r="E3277" t="s">
        <v>18341</v>
      </c>
      <c r="G3277" t="s">
        <v>2148</v>
      </c>
      <c r="H3277" t="s">
        <v>449</v>
      </c>
      <c r="J3277" t="s">
        <v>4032</v>
      </c>
      <c r="K3277" t="s">
        <v>606</v>
      </c>
      <c r="M3277" t="s">
        <v>2366</v>
      </c>
      <c r="N3277" t="s">
        <v>657</v>
      </c>
      <c r="O3277" t="s">
        <v>2753</v>
      </c>
      <c r="P3277" t="s">
        <v>610</v>
      </c>
      <c r="Q3277" t="s">
        <v>516</v>
      </c>
      <c r="R3277" t="s">
        <v>2368</v>
      </c>
      <c r="S3277" t="s">
        <v>2148</v>
      </c>
      <c r="T3277" t="s">
        <v>1568</v>
      </c>
      <c r="U3277">
        <v>236500</v>
      </c>
      <c r="V3277" t="s">
        <v>2148</v>
      </c>
      <c r="W3277" t="s">
        <v>2776</v>
      </c>
      <c r="X3277" t="s">
        <v>18342</v>
      </c>
      <c r="Y3277" t="s">
        <v>18343</v>
      </c>
      <c r="AA3277" t="s">
        <v>18344</v>
      </c>
      <c r="AB3277" t="s">
        <v>18340</v>
      </c>
      <c r="AE3277">
        <v>-40.765867</v>
      </c>
      <c r="AF3277">
        <v>175.14116770000001</v>
      </c>
      <c r="AG3277" s="175">
        <v>62</v>
      </c>
      <c r="AH3277" s="175">
        <v>13</v>
      </c>
      <c r="AI3277" s="175">
        <v>4</v>
      </c>
      <c r="AJ3277" s="175">
        <v>12</v>
      </c>
      <c r="AK3277" s="175">
        <v>17</v>
      </c>
      <c r="AL3277" s="175">
        <v>4</v>
      </c>
      <c r="AM3277" s="175">
        <v>14</v>
      </c>
      <c r="AN3277" s="175">
        <v>0</v>
      </c>
      <c r="AO3277" s="175">
        <v>51</v>
      </c>
      <c r="AP3277" s="175">
        <v>43</v>
      </c>
      <c r="AQ3277" s="175">
        <v>12</v>
      </c>
      <c r="AR3277" s="175">
        <v>1</v>
      </c>
      <c r="AS3277" s="175">
        <v>2</v>
      </c>
      <c r="AT3277" s="175">
        <v>4</v>
      </c>
    </row>
    <row r="3278" spans="1:46">
      <c r="A3278">
        <v>48163</v>
      </c>
      <c r="B3278" t="s">
        <v>18345</v>
      </c>
      <c r="C3278" t="s">
        <v>15242</v>
      </c>
      <c r="D3278" t="s">
        <v>15243</v>
      </c>
      <c r="E3278" t="s">
        <v>18346</v>
      </c>
      <c r="G3278" t="s">
        <v>11255</v>
      </c>
      <c r="H3278" t="s">
        <v>449</v>
      </c>
      <c r="J3278" t="s">
        <v>4032</v>
      </c>
      <c r="K3278" t="s">
        <v>606</v>
      </c>
      <c r="M3278" t="s">
        <v>2366</v>
      </c>
      <c r="N3278" t="s">
        <v>657</v>
      </c>
      <c r="O3278" t="s">
        <v>3906</v>
      </c>
      <c r="P3278" t="s">
        <v>1347</v>
      </c>
      <c r="Q3278" t="s">
        <v>522</v>
      </c>
      <c r="R3278" t="s">
        <v>3410</v>
      </c>
      <c r="S3278" t="s">
        <v>3323</v>
      </c>
      <c r="T3278" t="s">
        <v>2526</v>
      </c>
      <c r="U3278">
        <v>346701</v>
      </c>
      <c r="V3278" t="s">
        <v>15245</v>
      </c>
      <c r="W3278" t="s">
        <v>11257</v>
      </c>
      <c r="X3278" t="s">
        <v>15246</v>
      </c>
      <c r="Y3278" t="s">
        <v>15247</v>
      </c>
      <c r="AA3278" t="s">
        <v>11259</v>
      </c>
      <c r="AB3278" t="s">
        <v>15248</v>
      </c>
      <c r="AE3278">
        <v>-44.69013837</v>
      </c>
      <c r="AF3278">
        <v>169.14377127</v>
      </c>
      <c r="AG3278" s="175">
        <v>54</v>
      </c>
      <c r="AH3278" s="175">
        <v>0</v>
      </c>
      <c r="AI3278" s="175">
        <v>0</v>
      </c>
      <c r="AJ3278" s="175">
        <v>0</v>
      </c>
      <c r="AK3278" s="175">
        <v>0</v>
      </c>
      <c r="AL3278" s="175">
        <v>1</v>
      </c>
      <c r="AM3278" s="175">
        <v>43</v>
      </c>
      <c r="AN3278" s="175">
        <v>2</v>
      </c>
      <c r="AO3278" s="175">
        <v>46</v>
      </c>
      <c r="AP3278" s="175">
        <v>41</v>
      </c>
      <c r="AQ3278" s="175">
        <v>3</v>
      </c>
      <c r="AR3278" s="175">
        <v>1</v>
      </c>
      <c r="AS3278" s="175">
        <v>6</v>
      </c>
      <c r="AT3278" s="175">
        <v>1</v>
      </c>
    </row>
    <row r="3279" spans="1:46">
      <c r="A3279">
        <v>48165</v>
      </c>
      <c r="B3279" t="s">
        <v>18347</v>
      </c>
      <c r="C3279" t="s">
        <v>18348</v>
      </c>
      <c r="E3279" t="s">
        <v>18349</v>
      </c>
      <c r="F3279" t="s">
        <v>2119</v>
      </c>
      <c r="G3279" t="s">
        <v>2055</v>
      </c>
      <c r="H3279" t="s">
        <v>449</v>
      </c>
      <c r="J3279" t="s">
        <v>4032</v>
      </c>
      <c r="K3279" t="s">
        <v>606</v>
      </c>
      <c r="M3279" t="s">
        <v>1382</v>
      </c>
      <c r="N3279" t="s">
        <v>657</v>
      </c>
      <c r="O3279" t="s">
        <v>2037</v>
      </c>
      <c r="P3279" t="s">
        <v>670</v>
      </c>
      <c r="Q3279" t="s">
        <v>553</v>
      </c>
      <c r="R3279" t="s">
        <v>1841</v>
      </c>
      <c r="S3279" t="s">
        <v>2055</v>
      </c>
      <c r="T3279" t="s">
        <v>1568</v>
      </c>
      <c r="U3279">
        <v>231000</v>
      </c>
      <c r="V3279" t="s">
        <v>18350</v>
      </c>
      <c r="W3279" t="s">
        <v>2038</v>
      </c>
      <c r="X3279" t="s">
        <v>18351</v>
      </c>
      <c r="Y3279" t="s">
        <v>4176</v>
      </c>
      <c r="AA3279" t="s">
        <v>4052</v>
      </c>
      <c r="AB3279" t="s">
        <v>18348</v>
      </c>
      <c r="AE3279">
        <v>-40.35071456</v>
      </c>
      <c r="AF3279">
        <v>175.62560948999999</v>
      </c>
      <c r="AG3279" s="175">
        <v>100</v>
      </c>
      <c r="AH3279" s="175">
        <v>25</v>
      </c>
      <c r="AI3279" s="175">
        <v>7</v>
      </c>
      <c r="AJ3279" s="175">
        <v>19</v>
      </c>
      <c r="AK3279" s="175">
        <v>22</v>
      </c>
      <c r="AL3279" s="175">
        <v>23</v>
      </c>
      <c r="AM3279" s="175">
        <v>28</v>
      </c>
      <c r="AN3279" s="175">
        <v>0</v>
      </c>
      <c r="AO3279" s="175">
        <v>99</v>
      </c>
      <c r="AP3279" s="175">
        <v>72</v>
      </c>
      <c r="AQ3279" s="175">
        <v>20</v>
      </c>
      <c r="AR3279" s="175">
        <v>7</v>
      </c>
      <c r="AS3279" s="175">
        <v>18</v>
      </c>
      <c r="AT3279" s="175">
        <v>10</v>
      </c>
    </row>
    <row r="3280" spans="1:46">
      <c r="A3280">
        <v>48166</v>
      </c>
      <c r="B3280" t="s">
        <v>18352</v>
      </c>
      <c r="E3280" t="s">
        <v>18353</v>
      </c>
      <c r="F3280" t="s">
        <v>4040</v>
      </c>
      <c r="G3280" t="s">
        <v>737</v>
      </c>
      <c r="H3280" t="s">
        <v>449</v>
      </c>
      <c r="J3280" t="s">
        <v>4032</v>
      </c>
      <c r="K3280" t="s">
        <v>606</v>
      </c>
      <c r="M3280" t="s">
        <v>607</v>
      </c>
      <c r="N3280" t="s">
        <v>657</v>
      </c>
      <c r="O3280" t="s">
        <v>958</v>
      </c>
      <c r="P3280" t="s">
        <v>739</v>
      </c>
      <c r="Q3280" t="s">
        <v>467</v>
      </c>
      <c r="R3280" t="s">
        <v>724</v>
      </c>
      <c r="S3280" t="s">
        <v>984</v>
      </c>
      <c r="T3280" t="s">
        <v>613</v>
      </c>
      <c r="U3280">
        <v>122001</v>
      </c>
      <c r="V3280" t="s">
        <v>4040</v>
      </c>
      <c r="W3280" t="s">
        <v>900</v>
      </c>
      <c r="X3280" t="s">
        <v>9178</v>
      </c>
      <c r="Y3280" t="s">
        <v>9179</v>
      </c>
      <c r="Z3280" t="s">
        <v>4194</v>
      </c>
      <c r="AA3280" t="s">
        <v>5237</v>
      </c>
      <c r="AB3280" t="s">
        <v>9180</v>
      </c>
      <c r="AE3280">
        <v>-36.871713319999998</v>
      </c>
      <c r="AF3280">
        <v>174.58862887999999</v>
      </c>
      <c r="AG3280" s="175">
        <v>60</v>
      </c>
      <c r="AH3280" s="175">
        <v>20</v>
      </c>
      <c r="AI3280" s="175">
        <v>3</v>
      </c>
      <c r="AJ3280" s="175">
        <v>10</v>
      </c>
      <c r="AK3280" s="175">
        <v>19</v>
      </c>
      <c r="AL3280" s="175">
        <v>11</v>
      </c>
      <c r="AM3280" s="175">
        <v>6</v>
      </c>
      <c r="AN3280" s="175">
        <v>1</v>
      </c>
      <c r="AO3280" s="175">
        <v>50</v>
      </c>
      <c r="AP3280" s="175">
        <v>16</v>
      </c>
      <c r="AQ3280" s="175">
        <v>16</v>
      </c>
      <c r="AR3280" s="175">
        <v>9</v>
      </c>
      <c r="AS3280" s="175">
        <v>19</v>
      </c>
      <c r="AT3280" s="175">
        <v>4</v>
      </c>
    </row>
    <row r="3281" spans="1:46">
      <c r="A3281">
        <v>48167</v>
      </c>
      <c r="B3281" t="s">
        <v>18354</v>
      </c>
      <c r="C3281" t="s">
        <v>12857</v>
      </c>
      <c r="E3281" t="s">
        <v>18355</v>
      </c>
      <c r="G3281" t="s">
        <v>1638</v>
      </c>
      <c r="H3281" t="s">
        <v>449</v>
      </c>
      <c r="J3281" t="s">
        <v>4032</v>
      </c>
      <c r="K3281" t="s">
        <v>606</v>
      </c>
      <c r="M3281" t="s">
        <v>1382</v>
      </c>
      <c r="N3281" t="s">
        <v>625</v>
      </c>
      <c r="O3281" t="s">
        <v>1435</v>
      </c>
      <c r="P3281" t="s">
        <v>610</v>
      </c>
      <c r="Q3281" t="s">
        <v>510</v>
      </c>
      <c r="R3281" t="s">
        <v>1384</v>
      </c>
      <c r="S3281" t="s">
        <v>1384</v>
      </c>
      <c r="T3281" t="s">
        <v>1320</v>
      </c>
      <c r="U3281">
        <v>171502</v>
      </c>
      <c r="V3281" t="s">
        <v>1639</v>
      </c>
      <c r="W3281" t="s">
        <v>1640</v>
      </c>
      <c r="X3281" t="s">
        <v>12860</v>
      </c>
      <c r="Y3281" t="s">
        <v>12859</v>
      </c>
      <c r="AA3281" t="s">
        <v>12346</v>
      </c>
      <c r="AB3281" t="s">
        <v>12861</v>
      </c>
      <c r="AE3281">
        <v>-37.555745129999998</v>
      </c>
      <c r="AF3281">
        <v>175.16415173999999</v>
      </c>
      <c r="AG3281" s="175">
        <v>40</v>
      </c>
      <c r="AH3281" s="175">
        <v>0</v>
      </c>
      <c r="AI3281" s="175">
        <v>0</v>
      </c>
      <c r="AJ3281" s="175">
        <v>0</v>
      </c>
      <c r="AK3281" s="175">
        <v>0</v>
      </c>
      <c r="AL3281" s="175">
        <v>5</v>
      </c>
      <c r="AM3281" s="175">
        <v>14</v>
      </c>
      <c r="AN3281" s="175">
        <v>0</v>
      </c>
      <c r="AO3281" s="175">
        <v>19</v>
      </c>
      <c r="AP3281" s="175">
        <v>8</v>
      </c>
      <c r="AQ3281" s="175">
        <v>9</v>
      </c>
      <c r="AR3281" s="175">
        <v>3</v>
      </c>
      <c r="AS3281" s="175">
        <v>8</v>
      </c>
      <c r="AT3281" s="175">
        <v>0</v>
      </c>
    </row>
    <row r="3282" spans="1:46">
      <c r="A3282">
        <v>48168</v>
      </c>
      <c r="B3282" t="s">
        <v>18356</v>
      </c>
      <c r="C3282" t="s">
        <v>8412</v>
      </c>
      <c r="E3282" t="s">
        <v>18357</v>
      </c>
      <c r="F3282" t="s">
        <v>1396</v>
      </c>
      <c r="G3282" t="s">
        <v>1381</v>
      </c>
      <c r="H3282" t="s">
        <v>449</v>
      </c>
      <c r="J3282" t="s">
        <v>4032</v>
      </c>
      <c r="K3282" t="s">
        <v>606</v>
      </c>
      <c r="M3282" t="s">
        <v>1382</v>
      </c>
      <c r="N3282" t="s">
        <v>657</v>
      </c>
      <c r="O3282" t="s">
        <v>1383</v>
      </c>
      <c r="P3282" t="s">
        <v>739</v>
      </c>
      <c r="Q3282" t="s">
        <v>510</v>
      </c>
      <c r="R3282" t="s">
        <v>1384</v>
      </c>
      <c r="S3282" t="s">
        <v>1396</v>
      </c>
      <c r="T3282" t="s">
        <v>1320</v>
      </c>
      <c r="U3282">
        <v>179300</v>
      </c>
      <c r="V3282" t="s">
        <v>1482</v>
      </c>
      <c r="W3282" t="s">
        <v>1398</v>
      </c>
      <c r="X3282" t="s">
        <v>8409</v>
      </c>
      <c r="Y3282" t="s">
        <v>18358</v>
      </c>
      <c r="AA3282" t="s">
        <v>18359</v>
      </c>
      <c r="AB3282" t="s">
        <v>8412</v>
      </c>
      <c r="AE3282">
        <v>-37.781181359999998</v>
      </c>
      <c r="AF3282">
        <v>175.29585356999999</v>
      </c>
      <c r="AG3282" s="175">
        <v>40</v>
      </c>
      <c r="AH3282" s="175">
        <v>0</v>
      </c>
      <c r="AI3282" s="175">
        <v>0</v>
      </c>
      <c r="AJ3282" s="175">
        <v>0</v>
      </c>
      <c r="AK3282" s="175">
        <v>8</v>
      </c>
      <c r="AL3282" s="175">
        <v>11</v>
      </c>
      <c r="AM3282" s="175">
        <v>7</v>
      </c>
      <c r="AN3282" s="175">
        <v>0</v>
      </c>
      <c r="AO3282" s="175">
        <v>26</v>
      </c>
      <c r="AP3282" s="175">
        <v>11</v>
      </c>
      <c r="AQ3282" s="175">
        <v>10</v>
      </c>
      <c r="AR3282" s="175">
        <v>5</v>
      </c>
      <c r="AS3282" s="175">
        <v>8</v>
      </c>
      <c r="AT3282" s="175">
        <v>2</v>
      </c>
    </row>
    <row r="3283" spans="1:46">
      <c r="A3283">
        <v>48172</v>
      </c>
      <c r="B3283" t="s">
        <v>18360</v>
      </c>
      <c r="E3283" t="s">
        <v>18361</v>
      </c>
      <c r="F3283" t="s">
        <v>6391</v>
      </c>
      <c r="G3283" t="s">
        <v>3694</v>
      </c>
      <c r="H3283" t="s">
        <v>449</v>
      </c>
      <c r="J3283" t="s">
        <v>4032</v>
      </c>
      <c r="K3283" t="s">
        <v>606</v>
      </c>
      <c r="M3283" t="s">
        <v>607</v>
      </c>
      <c r="N3283" t="s">
        <v>657</v>
      </c>
      <c r="O3283" t="s">
        <v>738</v>
      </c>
      <c r="P3283" t="s">
        <v>670</v>
      </c>
      <c r="Q3283" t="s">
        <v>467</v>
      </c>
      <c r="R3283" t="s">
        <v>724</v>
      </c>
      <c r="S3283" t="s">
        <v>753</v>
      </c>
      <c r="T3283" t="s">
        <v>613</v>
      </c>
      <c r="U3283">
        <v>115200</v>
      </c>
      <c r="V3283" t="s">
        <v>7309</v>
      </c>
      <c r="W3283" t="s">
        <v>742</v>
      </c>
      <c r="X3283" t="s">
        <v>18362</v>
      </c>
      <c r="Y3283" t="s">
        <v>18363</v>
      </c>
      <c r="Z3283" t="s">
        <v>6391</v>
      </c>
      <c r="AA3283" t="s">
        <v>4528</v>
      </c>
      <c r="AB3283" t="s">
        <v>18364</v>
      </c>
      <c r="AE3283">
        <v>-36.627278060000002</v>
      </c>
      <c r="AF3283">
        <v>174.75174265000001</v>
      </c>
      <c r="AG3283" s="175">
        <v>40</v>
      </c>
      <c r="AH3283" s="175">
        <v>15</v>
      </c>
      <c r="AI3283" s="175">
        <v>4</v>
      </c>
      <c r="AJ3283" s="175">
        <v>7</v>
      </c>
      <c r="AK3283" s="175">
        <v>10</v>
      </c>
      <c r="AL3283" s="175">
        <v>4</v>
      </c>
      <c r="AM3283" s="175">
        <v>7</v>
      </c>
      <c r="AN3283" s="175">
        <v>0</v>
      </c>
      <c r="AO3283" s="175">
        <v>32</v>
      </c>
      <c r="AP3283" s="175">
        <v>29</v>
      </c>
      <c r="AQ3283" s="175">
        <v>7</v>
      </c>
      <c r="AR3283" s="175">
        <v>4</v>
      </c>
      <c r="AS3283" s="175">
        <v>3</v>
      </c>
      <c r="AT3283" s="175">
        <v>3</v>
      </c>
    </row>
    <row r="3284" spans="1:46">
      <c r="A3284">
        <v>48174</v>
      </c>
      <c r="B3284" t="s">
        <v>18365</v>
      </c>
      <c r="C3284" t="s">
        <v>18366</v>
      </c>
      <c r="E3284" t="s">
        <v>18367</v>
      </c>
      <c r="G3284" t="s">
        <v>1938</v>
      </c>
      <c r="H3284" t="s">
        <v>449</v>
      </c>
      <c r="J3284" t="s">
        <v>4032</v>
      </c>
      <c r="K3284" t="s">
        <v>606</v>
      </c>
      <c r="M3284" t="s">
        <v>1382</v>
      </c>
      <c r="N3284" t="s">
        <v>657</v>
      </c>
      <c r="O3284" t="s">
        <v>1932</v>
      </c>
      <c r="P3284" t="s">
        <v>610</v>
      </c>
      <c r="Q3284" t="s">
        <v>514</v>
      </c>
      <c r="R3284" t="s">
        <v>1841</v>
      </c>
      <c r="S3284" t="s">
        <v>1923</v>
      </c>
      <c r="T3284" t="s">
        <v>1568</v>
      </c>
      <c r="U3284">
        <v>221700</v>
      </c>
      <c r="V3284" t="s">
        <v>11040</v>
      </c>
      <c r="W3284" t="s">
        <v>1940</v>
      </c>
      <c r="X3284" t="s">
        <v>18368</v>
      </c>
      <c r="Y3284" t="s">
        <v>18369</v>
      </c>
      <c r="AA3284" t="s">
        <v>11043</v>
      </c>
      <c r="AB3284" t="s">
        <v>18370</v>
      </c>
      <c r="AE3284">
        <v>-39.575160339999996</v>
      </c>
      <c r="AF3284">
        <v>174.27356882000001</v>
      </c>
      <c r="AG3284" s="175">
        <v>90</v>
      </c>
      <c r="AH3284" s="175">
        <v>30</v>
      </c>
      <c r="AI3284" s="175">
        <v>1</v>
      </c>
      <c r="AJ3284" s="175">
        <v>19</v>
      </c>
      <c r="AK3284" s="175">
        <v>27</v>
      </c>
      <c r="AL3284" s="175">
        <v>21</v>
      </c>
      <c r="AM3284" s="175">
        <v>16</v>
      </c>
      <c r="AN3284" s="175">
        <v>0</v>
      </c>
      <c r="AO3284" s="175">
        <v>84</v>
      </c>
      <c r="AP3284" s="175">
        <v>74</v>
      </c>
      <c r="AQ3284" s="175">
        <v>26</v>
      </c>
      <c r="AR3284" s="175">
        <v>5</v>
      </c>
      <c r="AS3284" s="175">
        <v>4</v>
      </c>
      <c r="AT3284" s="175">
        <v>1</v>
      </c>
    </row>
    <row r="3285" spans="1:46">
      <c r="A3285">
        <v>48175</v>
      </c>
      <c r="B3285" t="s">
        <v>18371</v>
      </c>
      <c r="C3285" t="s">
        <v>18372</v>
      </c>
      <c r="E3285" t="s">
        <v>18373</v>
      </c>
      <c r="G3285" t="s">
        <v>3905</v>
      </c>
      <c r="H3285" t="s">
        <v>449</v>
      </c>
      <c r="J3285" t="s">
        <v>605</v>
      </c>
      <c r="K3285" t="s">
        <v>606</v>
      </c>
      <c r="M3285" t="s">
        <v>2366</v>
      </c>
      <c r="N3285" t="s">
        <v>657</v>
      </c>
      <c r="O3285" t="s">
        <v>3906</v>
      </c>
      <c r="P3285" t="s">
        <v>1347</v>
      </c>
      <c r="Q3285" t="s">
        <v>522</v>
      </c>
      <c r="R3285" t="s">
        <v>3410</v>
      </c>
      <c r="S3285" t="s">
        <v>3433</v>
      </c>
      <c r="T3285" t="s">
        <v>2526</v>
      </c>
      <c r="U3285">
        <v>348901</v>
      </c>
      <c r="V3285" t="s">
        <v>18131</v>
      </c>
      <c r="W3285" t="s">
        <v>3908</v>
      </c>
      <c r="X3285" t="s">
        <v>18374</v>
      </c>
      <c r="Y3285" t="s">
        <v>4014</v>
      </c>
      <c r="Z3285" t="s">
        <v>4015</v>
      </c>
      <c r="AA3285" t="s">
        <v>4016</v>
      </c>
      <c r="AE3285">
        <v>-45.064993880000003</v>
      </c>
      <c r="AF3285">
        <v>168.75170739999999</v>
      </c>
      <c r="AG3285" s="175">
        <v>120</v>
      </c>
      <c r="AH3285" s="175">
        <v>25</v>
      </c>
      <c r="AI3285" s="175">
        <v>3</v>
      </c>
      <c r="AJ3285" s="175">
        <v>21</v>
      </c>
      <c r="AK3285" s="175">
        <v>32</v>
      </c>
      <c r="AL3285" s="175">
        <v>36</v>
      </c>
      <c r="AM3285" s="175">
        <v>29</v>
      </c>
      <c r="AN3285" s="175">
        <v>1</v>
      </c>
      <c r="AO3285" s="175">
        <v>122</v>
      </c>
      <c r="AP3285" s="175">
        <v>56</v>
      </c>
      <c r="AQ3285" s="175">
        <v>7</v>
      </c>
      <c r="AR3285" s="175">
        <v>0</v>
      </c>
      <c r="AS3285" s="175">
        <v>40</v>
      </c>
      <c r="AT3285" s="175">
        <v>35</v>
      </c>
    </row>
    <row r="3286" spans="1:46">
      <c r="A3286">
        <v>48176</v>
      </c>
      <c r="B3286" t="s">
        <v>18375</v>
      </c>
      <c r="C3286" t="s">
        <v>18376</v>
      </c>
      <c r="E3286" t="s">
        <v>18377</v>
      </c>
      <c r="G3286" t="s">
        <v>2957</v>
      </c>
      <c r="H3286" t="s">
        <v>449</v>
      </c>
      <c r="J3286" t="s">
        <v>605</v>
      </c>
      <c r="K3286" t="s">
        <v>606</v>
      </c>
      <c r="M3286" t="s">
        <v>2366</v>
      </c>
      <c r="N3286" t="s">
        <v>657</v>
      </c>
      <c r="O3286" t="s">
        <v>2944</v>
      </c>
      <c r="P3286" t="s">
        <v>1347</v>
      </c>
      <c r="Q3286" t="s">
        <v>517</v>
      </c>
      <c r="R3286" t="s">
        <v>2901</v>
      </c>
      <c r="S3286" t="s">
        <v>2930</v>
      </c>
      <c r="T3286" t="s">
        <v>2526</v>
      </c>
      <c r="U3286">
        <v>302400</v>
      </c>
      <c r="V3286" t="s">
        <v>18378</v>
      </c>
      <c r="W3286" t="s">
        <v>2959</v>
      </c>
      <c r="X3286" t="s">
        <v>18379</v>
      </c>
      <c r="Y3286" t="s">
        <v>4014</v>
      </c>
      <c r="Z3286" t="s">
        <v>4015</v>
      </c>
      <c r="AA3286" t="s">
        <v>4016</v>
      </c>
      <c r="AE3286">
        <v>-41.332487649999997</v>
      </c>
      <c r="AF3286">
        <v>173.17456100000001</v>
      </c>
      <c r="AG3286" s="175">
        <v>80</v>
      </c>
      <c r="AH3286" s="175">
        <v>15</v>
      </c>
      <c r="AI3286" s="175">
        <v>4</v>
      </c>
      <c r="AJ3286" s="175">
        <v>9</v>
      </c>
      <c r="AK3286" s="175">
        <v>16</v>
      </c>
      <c r="AL3286" s="175">
        <v>23</v>
      </c>
      <c r="AM3286" s="175">
        <v>18</v>
      </c>
      <c r="AN3286" s="175">
        <v>2</v>
      </c>
      <c r="AO3286" s="175">
        <v>72</v>
      </c>
      <c r="AP3286" s="175">
        <v>52</v>
      </c>
      <c r="AQ3286" s="175">
        <v>14</v>
      </c>
      <c r="AR3286" s="175">
        <v>2</v>
      </c>
      <c r="AS3286" s="175">
        <v>12</v>
      </c>
      <c r="AT3286" s="175">
        <v>8</v>
      </c>
    </row>
    <row r="3287" spans="1:46">
      <c r="A3287">
        <v>48177</v>
      </c>
      <c r="B3287" t="s">
        <v>18380</v>
      </c>
      <c r="E3287" t="s">
        <v>18381</v>
      </c>
      <c r="F3287" t="s">
        <v>2119</v>
      </c>
      <c r="G3287" t="s">
        <v>2055</v>
      </c>
      <c r="H3287" t="s">
        <v>449</v>
      </c>
      <c r="J3287" t="s">
        <v>4032</v>
      </c>
      <c r="K3287" t="s">
        <v>606</v>
      </c>
      <c r="M3287" t="s">
        <v>1382</v>
      </c>
      <c r="N3287" t="s">
        <v>643</v>
      </c>
      <c r="O3287" t="s">
        <v>2037</v>
      </c>
      <c r="P3287" t="s">
        <v>670</v>
      </c>
      <c r="Q3287" t="s">
        <v>553</v>
      </c>
      <c r="R3287" t="s">
        <v>1841</v>
      </c>
      <c r="S3287" t="s">
        <v>2055</v>
      </c>
      <c r="T3287" t="s">
        <v>1568</v>
      </c>
      <c r="U3287">
        <v>230800</v>
      </c>
      <c r="V3287" t="s">
        <v>2119</v>
      </c>
      <c r="W3287" t="s">
        <v>2038</v>
      </c>
      <c r="X3287" t="s">
        <v>15349</v>
      </c>
      <c r="Y3287" t="s">
        <v>12786</v>
      </c>
      <c r="AA3287" t="s">
        <v>12361</v>
      </c>
      <c r="AB3287" t="s">
        <v>15350</v>
      </c>
      <c r="AE3287">
        <v>-40.344953439999998</v>
      </c>
      <c r="AF3287">
        <v>175.62669511999999</v>
      </c>
      <c r="AG3287" s="175">
        <v>31</v>
      </c>
      <c r="AH3287" s="175">
        <v>0</v>
      </c>
      <c r="AI3287" s="175">
        <v>0</v>
      </c>
      <c r="AJ3287" s="175">
        <v>0</v>
      </c>
      <c r="AK3287" s="175">
        <v>4</v>
      </c>
      <c r="AL3287" s="175">
        <v>10</v>
      </c>
      <c r="AM3287" s="175">
        <v>7</v>
      </c>
      <c r="AN3287" s="175">
        <v>0</v>
      </c>
      <c r="AO3287" s="175">
        <v>21</v>
      </c>
      <c r="AP3287" s="175">
        <v>8</v>
      </c>
      <c r="AQ3287" s="175">
        <v>5</v>
      </c>
      <c r="AR3287" s="175">
        <v>2</v>
      </c>
      <c r="AS3287" s="175">
        <v>9</v>
      </c>
      <c r="AT3287" s="175">
        <v>0</v>
      </c>
    </row>
    <row r="3288" spans="1:46">
      <c r="A3288">
        <v>48178</v>
      </c>
      <c r="B3288" t="s">
        <v>18382</v>
      </c>
      <c r="C3288" t="s">
        <v>18383</v>
      </c>
      <c r="D3288" t="s">
        <v>18384</v>
      </c>
      <c r="E3288" t="s">
        <v>18385</v>
      </c>
      <c r="F3288" t="s">
        <v>9066</v>
      </c>
      <c r="G3288" t="s">
        <v>2162</v>
      </c>
      <c r="H3288" t="s">
        <v>449</v>
      </c>
      <c r="J3288" t="s">
        <v>605</v>
      </c>
      <c r="K3288" t="s">
        <v>606</v>
      </c>
      <c r="M3288" t="s">
        <v>1382</v>
      </c>
      <c r="N3288" t="s">
        <v>657</v>
      </c>
      <c r="O3288" t="s">
        <v>2163</v>
      </c>
      <c r="P3288" t="s">
        <v>670</v>
      </c>
      <c r="Q3288" t="s">
        <v>512</v>
      </c>
      <c r="R3288" t="s">
        <v>2164</v>
      </c>
      <c r="S3288" t="s">
        <v>1556</v>
      </c>
      <c r="T3288" t="s">
        <v>2165</v>
      </c>
      <c r="U3288">
        <v>206700</v>
      </c>
      <c r="V3288" t="s">
        <v>9067</v>
      </c>
      <c r="W3288" t="s">
        <v>2167</v>
      </c>
      <c r="X3288" t="s">
        <v>18386</v>
      </c>
      <c r="Y3288" t="s">
        <v>6434</v>
      </c>
      <c r="Z3288" t="s">
        <v>4622</v>
      </c>
      <c r="AA3288" t="s">
        <v>4623</v>
      </c>
      <c r="AB3288" t="s">
        <v>18383</v>
      </c>
      <c r="AC3288">
        <v>99083</v>
      </c>
      <c r="AD3288" t="s">
        <v>2179</v>
      </c>
      <c r="AE3288">
        <v>-38.663236150000003</v>
      </c>
      <c r="AF3288">
        <v>178.03041775</v>
      </c>
      <c r="AG3288" s="175">
        <v>20</v>
      </c>
      <c r="AH3288" s="175">
        <v>8</v>
      </c>
      <c r="AI3288" s="175">
        <v>1</v>
      </c>
      <c r="AJ3288" s="175">
        <v>4</v>
      </c>
      <c r="AK3288" s="175">
        <v>2</v>
      </c>
      <c r="AL3288" s="175">
        <v>6</v>
      </c>
      <c r="AM3288" s="175">
        <v>2</v>
      </c>
      <c r="AN3288" s="175">
        <v>0</v>
      </c>
      <c r="AO3288" s="175">
        <v>15</v>
      </c>
      <c r="AP3288" s="175">
        <v>7</v>
      </c>
      <c r="AQ3288" s="175">
        <v>10</v>
      </c>
      <c r="AR3288" s="175">
        <v>1</v>
      </c>
      <c r="AS3288" s="175">
        <v>0</v>
      </c>
      <c r="AT3288" s="175">
        <v>0</v>
      </c>
    </row>
    <row r="3289" spans="1:46">
      <c r="A3289">
        <v>48179</v>
      </c>
      <c r="B3289" t="s">
        <v>18387</v>
      </c>
      <c r="C3289" t="s">
        <v>18388</v>
      </c>
      <c r="D3289" t="s">
        <v>18389</v>
      </c>
      <c r="E3289" t="s">
        <v>18390</v>
      </c>
      <c r="G3289" t="s">
        <v>1669</v>
      </c>
      <c r="H3289" t="s">
        <v>449</v>
      </c>
      <c r="J3289" t="s">
        <v>4032</v>
      </c>
      <c r="K3289" t="s">
        <v>606</v>
      </c>
      <c r="M3289" t="s">
        <v>1382</v>
      </c>
      <c r="N3289" t="s">
        <v>657</v>
      </c>
      <c r="O3289" t="s">
        <v>1534</v>
      </c>
      <c r="P3289" t="s">
        <v>658</v>
      </c>
      <c r="Q3289" t="s">
        <v>510</v>
      </c>
      <c r="R3289" t="s">
        <v>1384</v>
      </c>
      <c r="S3289" t="s">
        <v>1384</v>
      </c>
      <c r="T3289" t="s">
        <v>1320</v>
      </c>
      <c r="U3289">
        <v>173801</v>
      </c>
      <c r="V3289" t="s">
        <v>9770</v>
      </c>
      <c r="W3289" t="s">
        <v>1671</v>
      </c>
      <c r="X3289" t="s">
        <v>18391</v>
      </c>
      <c r="Y3289" t="s">
        <v>18392</v>
      </c>
      <c r="AA3289" t="s">
        <v>18393</v>
      </c>
      <c r="AB3289" t="s">
        <v>18388</v>
      </c>
      <c r="AE3289">
        <v>-37.638797220000001</v>
      </c>
      <c r="AF3289">
        <v>175.49757632000001</v>
      </c>
      <c r="AG3289" s="175">
        <v>24</v>
      </c>
      <c r="AH3289" s="175">
        <v>0</v>
      </c>
      <c r="AI3289" s="175">
        <v>0</v>
      </c>
      <c r="AJ3289" s="175">
        <v>0</v>
      </c>
      <c r="AK3289" s="175">
        <v>6</v>
      </c>
      <c r="AL3289" s="175">
        <v>13</v>
      </c>
      <c r="AM3289" s="175">
        <v>9</v>
      </c>
      <c r="AN3289" s="175">
        <v>1</v>
      </c>
      <c r="AO3289" s="175">
        <v>29</v>
      </c>
      <c r="AP3289" s="175">
        <v>29</v>
      </c>
      <c r="AQ3289" s="175">
        <v>3</v>
      </c>
      <c r="AR3289" s="175">
        <v>1</v>
      </c>
      <c r="AS3289" s="175">
        <v>0</v>
      </c>
      <c r="AT3289" s="175">
        <v>0</v>
      </c>
    </row>
    <row r="3290" spans="1:46">
      <c r="A3290">
        <v>48181</v>
      </c>
      <c r="B3290" t="s">
        <v>18394</v>
      </c>
      <c r="C3290" t="s">
        <v>18395</v>
      </c>
      <c r="E3290" t="s">
        <v>18396</v>
      </c>
      <c r="G3290" t="s">
        <v>10974</v>
      </c>
      <c r="H3290" t="s">
        <v>452</v>
      </c>
      <c r="J3290" t="s">
        <v>605</v>
      </c>
      <c r="K3290" t="s">
        <v>606</v>
      </c>
      <c r="M3290" t="s">
        <v>2366</v>
      </c>
      <c r="N3290" t="s">
        <v>9058</v>
      </c>
      <c r="O3290" t="s">
        <v>3281</v>
      </c>
      <c r="P3290" t="s">
        <v>1347</v>
      </c>
      <c r="Q3290" t="s">
        <v>521</v>
      </c>
      <c r="R3290" t="s">
        <v>3017</v>
      </c>
      <c r="S3290" t="s">
        <v>3252</v>
      </c>
      <c r="T3290" t="s">
        <v>2526</v>
      </c>
      <c r="U3290">
        <v>335501</v>
      </c>
      <c r="V3290" t="s">
        <v>14760</v>
      </c>
      <c r="W3290" t="s">
        <v>10977</v>
      </c>
      <c r="X3290" t="s">
        <v>3021</v>
      </c>
      <c r="Y3290" t="s">
        <v>3022</v>
      </c>
      <c r="Z3290" t="s">
        <v>3023</v>
      </c>
      <c r="AA3290" t="s">
        <v>3024</v>
      </c>
      <c r="AB3290" t="s">
        <v>18397</v>
      </c>
      <c r="AE3290">
        <v>-43.615632099999999</v>
      </c>
      <c r="AF3290">
        <v>172.3938067</v>
      </c>
      <c r="AG3290" s="175">
        <v>40</v>
      </c>
      <c r="AH3290" s="175">
        <v>0</v>
      </c>
      <c r="AI3290" s="175">
        <v>0</v>
      </c>
      <c r="AJ3290" s="175">
        <v>0</v>
      </c>
      <c r="AK3290" s="175">
        <v>13</v>
      </c>
      <c r="AL3290" s="175">
        <v>19</v>
      </c>
      <c r="AM3290" s="175">
        <v>17</v>
      </c>
      <c r="AN3290" s="175">
        <v>2</v>
      </c>
      <c r="AO3290" s="175">
        <v>51</v>
      </c>
      <c r="AP3290" s="175">
        <v>32</v>
      </c>
      <c r="AQ3290" s="175">
        <v>7</v>
      </c>
      <c r="AR3290" s="175">
        <v>1</v>
      </c>
      <c r="AS3290" s="175">
        <v>17</v>
      </c>
      <c r="AT3290" s="175">
        <v>1</v>
      </c>
    </row>
    <row r="3291" spans="1:46">
      <c r="A3291">
        <v>48182</v>
      </c>
      <c r="B3291" t="s">
        <v>18398</v>
      </c>
      <c r="C3291" t="s">
        <v>18399</v>
      </c>
      <c r="D3291" t="s">
        <v>18400</v>
      </c>
      <c r="E3291" t="s">
        <v>18401</v>
      </c>
      <c r="G3291" t="s">
        <v>10974</v>
      </c>
      <c r="H3291" t="s">
        <v>449</v>
      </c>
      <c r="J3291" t="s">
        <v>4032</v>
      </c>
      <c r="K3291" t="s">
        <v>606</v>
      </c>
      <c r="M3291" t="s">
        <v>2366</v>
      </c>
      <c r="N3291" t="s">
        <v>657</v>
      </c>
      <c r="O3291" t="s">
        <v>3281</v>
      </c>
      <c r="P3291" t="s">
        <v>1347</v>
      </c>
      <c r="Q3291" t="s">
        <v>521</v>
      </c>
      <c r="R3291" t="s">
        <v>3017</v>
      </c>
      <c r="S3291" t="s">
        <v>3252</v>
      </c>
      <c r="T3291" t="s">
        <v>2526</v>
      </c>
      <c r="U3291">
        <v>335502</v>
      </c>
      <c r="V3291" t="s">
        <v>17606</v>
      </c>
      <c r="W3291" t="s">
        <v>10977</v>
      </c>
      <c r="X3291" t="s">
        <v>10978</v>
      </c>
      <c r="Y3291" t="s">
        <v>18401</v>
      </c>
      <c r="AA3291" t="s">
        <v>18402</v>
      </c>
      <c r="AE3291">
        <v>-43.615019089999997</v>
      </c>
      <c r="AF3291">
        <v>172.40296710999999</v>
      </c>
      <c r="AG3291" s="175">
        <v>115</v>
      </c>
      <c r="AH3291" s="175">
        <v>50</v>
      </c>
      <c r="AI3291" s="175">
        <v>8</v>
      </c>
      <c r="AJ3291" s="175">
        <v>33</v>
      </c>
      <c r="AK3291" s="175">
        <v>33</v>
      </c>
      <c r="AL3291" s="175">
        <v>31</v>
      </c>
      <c r="AM3291" s="175">
        <v>26</v>
      </c>
      <c r="AN3291" s="175">
        <v>2</v>
      </c>
      <c r="AO3291" s="175">
        <v>133</v>
      </c>
      <c r="AP3291" s="175">
        <v>69</v>
      </c>
      <c r="AQ3291" s="175">
        <v>17</v>
      </c>
      <c r="AR3291" s="175">
        <v>5</v>
      </c>
      <c r="AS3291" s="175">
        <v>41</v>
      </c>
      <c r="AT3291" s="175">
        <v>19</v>
      </c>
    </row>
    <row r="3292" spans="1:46">
      <c r="A3292">
        <v>48183</v>
      </c>
      <c r="B3292" t="s">
        <v>18403</v>
      </c>
      <c r="C3292" t="s">
        <v>11526</v>
      </c>
      <c r="E3292" t="s">
        <v>18404</v>
      </c>
      <c r="G3292" t="s">
        <v>10974</v>
      </c>
      <c r="H3292" t="s">
        <v>450</v>
      </c>
      <c r="J3292" t="s">
        <v>4032</v>
      </c>
      <c r="K3292" t="s">
        <v>606</v>
      </c>
      <c r="M3292" t="s">
        <v>2366</v>
      </c>
      <c r="N3292" t="s">
        <v>657</v>
      </c>
      <c r="O3292" t="s">
        <v>3281</v>
      </c>
      <c r="P3292" t="s">
        <v>1347</v>
      </c>
      <c r="Q3292" t="s">
        <v>521</v>
      </c>
      <c r="R3292" t="s">
        <v>3017</v>
      </c>
      <c r="S3292" t="s">
        <v>3252</v>
      </c>
      <c r="T3292" t="s">
        <v>2526</v>
      </c>
      <c r="U3292">
        <v>335201</v>
      </c>
      <c r="V3292" t="s">
        <v>10976</v>
      </c>
      <c r="W3292" t="s">
        <v>10977</v>
      </c>
      <c r="X3292" t="s">
        <v>11523</v>
      </c>
      <c r="Y3292" t="s">
        <v>18404</v>
      </c>
      <c r="AA3292" t="s">
        <v>11636</v>
      </c>
      <c r="AB3292" t="s">
        <v>11526</v>
      </c>
      <c r="AE3292">
        <v>-43.593959849999997</v>
      </c>
      <c r="AF3292">
        <v>172.38564502</v>
      </c>
      <c r="AG3292" s="175">
        <v>50</v>
      </c>
      <c r="AH3292" s="175">
        <v>50</v>
      </c>
      <c r="AI3292" s="175">
        <v>3</v>
      </c>
      <c r="AJ3292" s="175">
        <v>3</v>
      </c>
      <c r="AK3292" s="175">
        <v>10</v>
      </c>
      <c r="AL3292" s="175">
        <v>6</v>
      </c>
      <c r="AM3292" s="175">
        <v>7</v>
      </c>
      <c r="AN3292" s="175">
        <v>0</v>
      </c>
      <c r="AO3292" s="175">
        <v>29</v>
      </c>
      <c r="AP3292" s="175">
        <v>25</v>
      </c>
      <c r="AQ3292" s="175">
        <v>3</v>
      </c>
      <c r="AR3292" s="175">
        <v>3</v>
      </c>
      <c r="AS3292" s="175">
        <v>3</v>
      </c>
      <c r="AT3292" s="175">
        <v>2</v>
      </c>
    </row>
    <row r="3293" spans="1:46">
      <c r="A3293">
        <v>48184</v>
      </c>
      <c r="B3293" t="s">
        <v>18405</v>
      </c>
      <c r="C3293" t="s">
        <v>18406</v>
      </c>
      <c r="E3293" t="s">
        <v>18407</v>
      </c>
      <c r="F3293" t="s">
        <v>18408</v>
      </c>
      <c r="G3293" t="s">
        <v>2449</v>
      </c>
      <c r="H3293" t="s">
        <v>449</v>
      </c>
      <c r="J3293" t="s">
        <v>4032</v>
      </c>
      <c r="K3293" t="s">
        <v>606</v>
      </c>
      <c r="M3293" t="s">
        <v>2366</v>
      </c>
      <c r="N3293" t="s">
        <v>643</v>
      </c>
      <c r="O3293" t="s">
        <v>2450</v>
      </c>
      <c r="P3293" t="s">
        <v>670</v>
      </c>
      <c r="Q3293" t="s">
        <v>516</v>
      </c>
      <c r="R3293" t="s">
        <v>2368</v>
      </c>
      <c r="S3293" t="s">
        <v>2451</v>
      </c>
      <c r="T3293" t="s">
        <v>2165</v>
      </c>
      <c r="U3293">
        <v>242200</v>
      </c>
      <c r="V3293" t="s">
        <v>14965</v>
      </c>
      <c r="W3293" t="s">
        <v>1734</v>
      </c>
      <c r="X3293" t="s">
        <v>18409</v>
      </c>
      <c r="Y3293" t="s">
        <v>11218</v>
      </c>
      <c r="AA3293" t="s">
        <v>18410</v>
      </c>
      <c r="AE3293">
        <v>-41.133034360000003</v>
      </c>
      <c r="AF3293">
        <v>175.05870999999999</v>
      </c>
      <c r="AG3293" s="175">
        <v>90</v>
      </c>
      <c r="AH3293" s="175">
        <v>25</v>
      </c>
      <c r="AI3293" s="175">
        <v>0</v>
      </c>
      <c r="AJ3293" s="175">
        <v>27</v>
      </c>
      <c r="AK3293" s="175">
        <v>28</v>
      </c>
      <c r="AL3293" s="175">
        <v>23</v>
      </c>
      <c r="AM3293" s="175">
        <v>22</v>
      </c>
      <c r="AN3293" s="175">
        <v>1</v>
      </c>
      <c r="AO3293" s="175">
        <v>101</v>
      </c>
      <c r="AP3293" s="175">
        <v>59</v>
      </c>
      <c r="AQ3293" s="175">
        <v>10</v>
      </c>
      <c r="AR3293" s="175">
        <v>4</v>
      </c>
      <c r="AS3293" s="175">
        <v>22</v>
      </c>
      <c r="AT3293" s="175">
        <v>24</v>
      </c>
    </row>
    <row r="3294" spans="1:46">
      <c r="A3294">
        <v>48186</v>
      </c>
      <c r="B3294" t="s">
        <v>18411</v>
      </c>
      <c r="C3294" t="s">
        <v>18412</v>
      </c>
      <c r="E3294" t="s">
        <v>18413</v>
      </c>
      <c r="F3294" t="s">
        <v>2102</v>
      </c>
      <c r="G3294" t="s">
        <v>2055</v>
      </c>
      <c r="H3294" t="s">
        <v>449</v>
      </c>
      <c r="J3294" t="s">
        <v>605</v>
      </c>
      <c r="K3294" t="s">
        <v>606</v>
      </c>
      <c r="M3294" t="s">
        <v>1382</v>
      </c>
      <c r="N3294" t="s">
        <v>657</v>
      </c>
      <c r="O3294" t="s">
        <v>2037</v>
      </c>
      <c r="P3294" t="s">
        <v>670</v>
      </c>
      <c r="Q3294" t="s">
        <v>553</v>
      </c>
      <c r="R3294" t="s">
        <v>1841</v>
      </c>
      <c r="S3294" t="s">
        <v>2055</v>
      </c>
      <c r="T3294" t="s">
        <v>1568</v>
      </c>
      <c r="U3294">
        <v>229300</v>
      </c>
      <c r="V3294" t="s">
        <v>18414</v>
      </c>
      <c r="W3294" t="s">
        <v>2038</v>
      </c>
      <c r="X3294" t="s">
        <v>10463</v>
      </c>
      <c r="Y3294" t="s">
        <v>4014</v>
      </c>
      <c r="Z3294" t="s">
        <v>4015</v>
      </c>
      <c r="AA3294" t="s">
        <v>4016</v>
      </c>
      <c r="AB3294" t="s">
        <v>10464</v>
      </c>
      <c r="AE3294">
        <v>-40.33198496</v>
      </c>
      <c r="AF3294">
        <v>175.61583877999999</v>
      </c>
      <c r="AG3294" s="175">
        <v>100</v>
      </c>
      <c r="AH3294" s="175">
        <v>32</v>
      </c>
      <c r="AI3294" s="175">
        <v>4</v>
      </c>
      <c r="AJ3294" s="175">
        <v>15</v>
      </c>
      <c r="AK3294" s="175">
        <v>18</v>
      </c>
      <c r="AL3294" s="175">
        <v>26</v>
      </c>
      <c r="AM3294" s="175">
        <v>16</v>
      </c>
      <c r="AN3294" s="175">
        <v>0</v>
      </c>
      <c r="AO3294" s="175">
        <v>79</v>
      </c>
      <c r="AP3294" s="175">
        <v>22</v>
      </c>
      <c r="AQ3294" s="175">
        <v>14</v>
      </c>
      <c r="AR3294" s="175">
        <v>5</v>
      </c>
      <c r="AS3294" s="175">
        <v>40</v>
      </c>
      <c r="AT3294" s="175">
        <v>10</v>
      </c>
    </row>
    <row r="3295" spans="1:46">
      <c r="A3295">
        <v>48187</v>
      </c>
      <c r="B3295" t="s">
        <v>18415</v>
      </c>
      <c r="C3295" t="s">
        <v>18416</v>
      </c>
      <c r="E3295" t="s">
        <v>18417</v>
      </c>
      <c r="G3295" t="s">
        <v>7862</v>
      </c>
      <c r="H3295" t="s">
        <v>449</v>
      </c>
      <c r="J3295" t="s">
        <v>605</v>
      </c>
      <c r="K3295" t="s">
        <v>606</v>
      </c>
      <c r="M3295" t="s">
        <v>1382</v>
      </c>
      <c r="N3295" t="s">
        <v>657</v>
      </c>
      <c r="O3295" t="s">
        <v>1435</v>
      </c>
      <c r="P3295" t="s">
        <v>610</v>
      </c>
      <c r="Q3295" t="s">
        <v>510</v>
      </c>
      <c r="R3295" t="s">
        <v>1384</v>
      </c>
      <c r="S3295" t="s">
        <v>1331</v>
      </c>
      <c r="T3295" t="s">
        <v>1320</v>
      </c>
      <c r="U3295">
        <v>170802</v>
      </c>
      <c r="V3295" t="s">
        <v>18418</v>
      </c>
      <c r="W3295" t="s">
        <v>7864</v>
      </c>
      <c r="X3295" t="s">
        <v>8441</v>
      </c>
      <c r="Y3295" t="s">
        <v>4014</v>
      </c>
      <c r="Z3295" t="s">
        <v>4015</v>
      </c>
      <c r="AA3295" t="s">
        <v>4016</v>
      </c>
      <c r="AB3295" t="s">
        <v>8442</v>
      </c>
      <c r="AE3295">
        <v>-37.414644350000003</v>
      </c>
      <c r="AF3295">
        <v>175.14799221000001</v>
      </c>
      <c r="AG3295" s="175">
        <v>76</v>
      </c>
      <c r="AH3295" s="175">
        <v>22</v>
      </c>
      <c r="AI3295" s="175">
        <v>3</v>
      </c>
      <c r="AJ3295" s="175">
        <v>13</v>
      </c>
      <c r="AK3295" s="175">
        <v>16</v>
      </c>
      <c r="AL3295" s="175">
        <v>9</v>
      </c>
      <c r="AM3295" s="175">
        <v>9</v>
      </c>
      <c r="AN3295" s="175">
        <v>0</v>
      </c>
      <c r="AO3295" s="175">
        <v>50</v>
      </c>
      <c r="AP3295" s="175">
        <v>29</v>
      </c>
      <c r="AQ3295" s="175">
        <v>15</v>
      </c>
      <c r="AR3295" s="175">
        <v>5</v>
      </c>
      <c r="AS3295" s="175">
        <v>10</v>
      </c>
      <c r="AT3295" s="175">
        <v>7</v>
      </c>
    </row>
    <row r="3296" spans="1:46">
      <c r="A3296">
        <v>48188</v>
      </c>
      <c r="B3296" t="s">
        <v>18419</v>
      </c>
      <c r="C3296" t="s">
        <v>18420</v>
      </c>
      <c r="E3296" t="s">
        <v>18421</v>
      </c>
      <c r="F3296" t="s">
        <v>1429</v>
      </c>
      <c r="G3296" t="s">
        <v>1381</v>
      </c>
      <c r="H3296" t="s">
        <v>469</v>
      </c>
      <c r="I3296" t="s">
        <v>3715</v>
      </c>
      <c r="J3296" t="s">
        <v>4032</v>
      </c>
      <c r="K3296" t="s">
        <v>606</v>
      </c>
      <c r="M3296" t="s">
        <v>1382</v>
      </c>
      <c r="N3296" t="s">
        <v>657</v>
      </c>
      <c r="O3296" t="s">
        <v>1383</v>
      </c>
      <c r="P3296" t="s">
        <v>739</v>
      </c>
      <c r="Q3296" t="s">
        <v>510</v>
      </c>
      <c r="R3296" t="s">
        <v>1384</v>
      </c>
      <c r="S3296" t="s">
        <v>1385</v>
      </c>
      <c r="T3296" t="s">
        <v>1320</v>
      </c>
      <c r="U3296">
        <v>178901</v>
      </c>
      <c r="V3296" t="s">
        <v>8416</v>
      </c>
      <c r="W3296" t="s">
        <v>1387</v>
      </c>
      <c r="X3296" t="s">
        <v>18422</v>
      </c>
      <c r="Y3296" t="s">
        <v>18421</v>
      </c>
      <c r="Z3296" t="s">
        <v>1429</v>
      </c>
      <c r="AA3296" t="s">
        <v>14104</v>
      </c>
      <c r="AB3296" t="s">
        <v>18420</v>
      </c>
      <c r="AE3296">
        <v>-37.783282900000003</v>
      </c>
      <c r="AF3296">
        <v>175.26807260000001</v>
      </c>
      <c r="AG3296" s="175">
        <v>85</v>
      </c>
      <c r="AH3296" s="175">
        <v>20</v>
      </c>
      <c r="AI3296" s="175">
        <v>5</v>
      </c>
      <c r="AJ3296" s="175">
        <v>12</v>
      </c>
      <c r="AK3296" s="175">
        <v>14</v>
      </c>
      <c r="AL3296" s="175">
        <v>11</v>
      </c>
      <c r="AM3296" s="175">
        <v>9</v>
      </c>
      <c r="AN3296" s="175">
        <v>1</v>
      </c>
      <c r="AO3296" s="175">
        <v>52</v>
      </c>
      <c r="AP3296" s="175">
        <v>7</v>
      </c>
      <c r="AQ3296" s="175">
        <v>20</v>
      </c>
      <c r="AR3296" s="175">
        <v>43</v>
      </c>
      <c r="AS3296" s="175">
        <v>3</v>
      </c>
      <c r="AT3296" s="175">
        <v>0</v>
      </c>
    </row>
    <row r="3297" spans="1:46">
      <c r="A3297">
        <v>48189</v>
      </c>
      <c r="B3297" t="s">
        <v>18423</v>
      </c>
      <c r="D3297" t="s">
        <v>18424</v>
      </c>
      <c r="E3297" t="s">
        <v>18425</v>
      </c>
      <c r="F3297" t="s">
        <v>3700</v>
      </c>
      <c r="G3297" t="s">
        <v>2198</v>
      </c>
      <c r="H3297" t="s">
        <v>449</v>
      </c>
      <c r="I3297" t="s">
        <v>4182</v>
      </c>
      <c r="J3297" t="s">
        <v>605</v>
      </c>
      <c r="K3297" t="s">
        <v>606</v>
      </c>
      <c r="M3297" t="s">
        <v>1382</v>
      </c>
      <c r="N3297" t="s">
        <v>657</v>
      </c>
      <c r="O3297" t="s">
        <v>2210</v>
      </c>
      <c r="P3297" t="s">
        <v>670</v>
      </c>
      <c r="Q3297" t="s">
        <v>513</v>
      </c>
      <c r="R3297" t="s">
        <v>2164</v>
      </c>
      <c r="S3297" t="s">
        <v>2198</v>
      </c>
      <c r="T3297" t="s">
        <v>2165</v>
      </c>
      <c r="U3297">
        <v>214500</v>
      </c>
      <c r="V3297" t="s">
        <v>3701</v>
      </c>
      <c r="W3297" t="s">
        <v>2211</v>
      </c>
      <c r="X3297" t="s">
        <v>18426</v>
      </c>
      <c r="Y3297" t="s">
        <v>18427</v>
      </c>
      <c r="AA3297" t="s">
        <v>18428</v>
      </c>
      <c r="AE3297">
        <v>-39.496456700000003</v>
      </c>
      <c r="AF3297">
        <v>176.9063103</v>
      </c>
      <c r="AG3297" s="175">
        <v>10</v>
      </c>
      <c r="AH3297" s="175">
        <v>0</v>
      </c>
      <c r="AI3297" s="175">
        <v>0</v>
      </c>
      <c r="AJ3297" s="175">
        <v>0</v>
      </c>
      <c r="AK3297" s="175">
        <v>7</v>
      </c>
      <c r="AL3297" s="175">
        <v>9</v>
      </c>
      <c r="AM3297" s="175">
        <v>3</v>
      </c>
      <c r="AN3297" s="175">
        <v>0</v>
      </c>
      <c r="AO3297" s="175">
        <v>19</v>
      </c>
      <c r="AP3297" s="175">
        <v>11</v>
      </c>
      <c r="AQ3297" s="175">
        <v>8</v>
      </c>
      <c r="AR3297" s="175">
        <v>2</v>
      </c>
      <c r="AS3297" s="175">
        <v>1</v>
      </c>
      <c r="AT3297" s="175">
        <v>1</v>
      </c>
    </row>
    <row r="3298" spans="1:46">
      <c r="A3298">
        <v>48190</v>
      </c>
      <c r="B3298" t="s">
        <v>18429</v>
      </c>
      <c r="C3298" t="s">
        <v>18430</v>
      </c>
      <c r="E3298" t="s">
        <v>18431</v>
      </c>
      <c r="F3298" t="s">
        <v>1992</v>
      </c>
      <c r="G3298" t="s">
        <v>1923</v>
      </c>
      <c r="H3298" t="s">
        <v>449</v>
      </c>
      <c r="J3298" t="s">
        <v>4032</v>
      </c>
      <c r="K3298" t="s">
        <v>606</v>
      </c>
      <c r="M3298" t="s">
        <v>1382</v>
      </c>
      <c r="N3298" t="s">
        <v>608</v>
      </c>
      <c r="O3298" t="s">
        <v>1968</v>
      </c>
      <c r="P3298" t="s">
        <v>670</v>
      </c>
      <c r="Q3298" t="s">
        <v>553</v>
      </c>
      <c r="R3298" t="s">
        <v>1841</v>
      </c>
      <c r="S3298" t="s">
        <v>1923</v>
      </c>
      <c r="T3298" t="s">
        <v>1568</v>
      </c>
      <c r="U3298">
        <v>225300</v>
      </c>
      <c r="V3298" t="s">
        <v>1993</v>
      </c>
      <c r="W3298" t="s">
        <v>1734</v>
      </c>
      <c r="X3298" t="s">
        <v>18432</v>
      </c>
      <c r="Y3298" t="s">
        <v>18433</v>
      </c>
      <c r="Z3298" t="s">
        <v>1463</v>
      </c>
      <c r="AA3298" t="s">
        <v>18434</v>
      </c>
      <c r="AB3298" t="s">
        <v>18430</v>
      </c>
      <c r="AE3298">
        <v>-39.941270529999997</v>
      </c>
      <c r="AF3298">
        <v>175.03860141999999</v>
      </c>
      <c r="AG3298" s="175">
        <v>44</v>
      </c>
      <c r="AH3298" s="175">
        <v>8</v>
      </c>
      <c r="AI3298" s="175">
        <v>2</v>
      </c>
      <c r="AJ3298" s="175">
        <v>0</v>
      </c>
      <c r="AK3298" s="175">
        <v>12</v>
      </c>
      <c r="AL3298" s="175">
        <v>16</v>
      </c>
      <c r="AM3298" s="175">
        <v>12</v>
      </c>
      <c r="AN3298" s="175">
        <v>0</v>
      </c>
      <c r="AO3298" s="175">
        <v>42</v>
      </c>
      <c r="AP3298" s="175">
        <v>31</v>
      </c>
      <c r="AQ3298" s="175">
        <v>8</v>
      </c>
      <c r="AR3298" s="175">
        <v>1</v>
      </c>
      <c r="AS3298" s="175">
        <v>10</v>
      </c>
      <c r="AT3298" s="175">
        <v>1</v>
      </c>
    </row>
    <row r="3299" spans="1:46">
      <c r="A3299">
        <v>48196</v>
      </c>
      <c r="B3299" t="s">
        <v>18435</v>
      </c>
      <c r="E3299" t="s">
        <v>18436</v>
      </c>
      <c r="F3299" t="s">
        <v>3841</v>
      </c>
      <c r="G3299" t="s">
        <v>1681</v>
      </c>
      <c r="H3299" t="s">
        <v>449</v>
      </c>
      <c r="J3299" t="s">
        <v>4032</v>
      </c>
      <c r="K3299" t="s">
        <v>606</v>
      </c>
      <c r="M3299" t="s">
        <v>1382</v>
      </c>
      <c r="N3299" t="s">
        <v>657</v>
      </c>
      <c r="O3299" t="s">
        <v>1780</v>
      </c>
      <c r="P3299" t="s">
        <v>739</v>
      </c>
      <c r="Q3299" t="s">
        <v>511</v>
      </c>
      <c r="R3299" t="s">
        <v>1555</v>
      </c>
      <c r="S3299" t="s">
        <v>1781</v>
      </c>
      <c r="T3299" t="s">
        <v>1557</v>
      </c>
      <c r="U3299">
        <v>197603</v>
      </c>
      <c r="V3299" t="s">
        <v>17904</v>
      </c>
      <c r="W3299" t="s">
        <v>3843</v>
      </c>
      <c r="X3299" t="s">
        <v>18437</v>
      </c>
      <c r="Y3299" t="s">
        <v>18436</v>
      </c>
      <c r="Z3299" t="s">
        <v>3841</v>
      </c>
      <c r="AA3299" t="s">
        <v>8947</v>
      </c>
      <c r="AB3299" t="s">
        <v>18438</v>
      </c>
      <c r="AE3299">
        <v>-37.72700279</v>
      </c>
      <c r="AF3299">
        <v>176.3378056</v>
      </c>
      <c r="AG3299" s="175">
        <v>66</v>
      </c>
      <c r="AH3299" s="175">
        <v>16</v>
      </c>
      <c r="AI3299" s="175">
        <v>5</v>
      </c>
      <c r="AJ3299" s="175">
        <v>9</v>
      </c>
      <c r="AK3299" s="175">
        <v>13</v>
      </c>
      <c r="AL3299" s="175">
        <v>13</v>
      </c>
      <c r="AM3299" s="175">
        <v>6</v>
      </c>
      <c r="AN3299" s="175">
        <v>0</v>
      </c>
      <c r="AO3299" s="175">
        <v>46</v>
      </c>
      <c r="AP3299" s="175">
        <v>29</v>
      </c>
      <c r="AQ3299" s="175">
        <v>10</v>
      </c>
      <c r="AR3299" s="175">
        <v>3</v>
      </c>
      <c r="AS3299" s="175">
        <v>11</v>
      </c>
      <c r="AT3299" s="175">
        <v>6</v>
      </c>
    </row>
    <row r="3300" spans="1:46">
      <c r="A3300">
        <v>48197</v>
      </c>
      <c r="B3300" t="s">
        <v>18439</v>
      </c>
      <c r="D3300" t="s">
        <v>18440</v>
      </c>
      <c r="E3300" t="s">
        <v>18441</v>
      </c>
      <c r="G3300" t="s">
        <v>636</v>
      </c>
      <c r="H3300" t="s">
        <v>449</v>
      </c>
      <c r="I3300" t="s">
        <v>470</v>
      </c>
      <c r="J3300" t="s">
        <v>4032</v>
      </c>
      <c r="K3300" t="s">
        <v>606</v>
      </c>
      <c r="M3300" t="s">
        <v>607</v>
      </c>
      <c r="N3300" t="s">
        <v>812</v>
      </c>
      <c r="O3300" t="s">
        <v>609</v>
      </c>
      <c r="P3300" t="s">
        <v>610</v>
      </c>
      <c r="Q3300" t="s">
        <v>509</v>
      </c>
      <c r="R3300" t="s">
        <v>611</v>
      </c>
      <c r="S3300" t="s">
        <v>612</v>
      </c>
      <c r="T3300" t="s">
        <v>613</v>
      </c>
      <c r="U3300">
        <v>103501</v>
      </c>
      <c r="V3300" t="s">
        <v>636</v>
      </c>
      <c r="W3300" t="s">
        <v>637</v>
      </c>
      <c r="X3300" t="s">
        <v>18442</v>
      </c>
      <c r="Y3300" t="s">
        <v>18443</v>
      </c>
      <c r="AA3300" t="s">
        <v>4765</v>
      </c>
      <c r="AE3300">
        <v>-35.40490673</v>
      </c>
      <c r="AF3300">
        <v>173.78524819</v>
      </c>
      <c r="AG3300" s="175">
        <v>35</v>
      </c>
      <c r="AH3300" s="175">
        <v>10</v>
      </c>
      <c r="AI3300" s="175">
        <v>0</v>
      </c>
      <c r="AJ3300" s="175">
        <v>3</v>
      </c>
      <c r="AK3300" s="175">
        <v>6</v>
      </c>
      <c r="AL3300" s="175">
        <v>8</v>
      </c>
      <c r="AM3300" s="175">
        <v>5</v>
      </c>
      <c r="AN3300" s="175">
        <v>2</v>
      </c>
      <c r="AO3300" s="175">
        <v>24</v>
      </c>
      <c r="AP3300" s="175">
        <v>2</v>
      </c>
      <c r="AQ3300" s="175">
        <v>24</v>
      </c>
      <c r="AR3300" s="175">
        <v>3</v>
      </c>
      <c r="AS3300" s="175">
        <v>2</v>
      </c>
      <c r="AT3300" s="175">
        <v>0</v>
      </c>
    </row>
    <row r="3301" spans="1:46">
      <c r="A3301">
        <v>48199</v>
      </c>
      <c r="B3301" t="s">
        <v>18444</v>
      </c>
      <c r="C3301" t="s">
        <v>18445</v>
      </c>
      <c r="D3301" t="s">
        <v>18446</v>
      </c>
      <c r="E3301" t="s">
        <v>18447</v>
      </c>
      <c r="G3301" t="s">
        <v>2957</v>
      </c>
      <c r="H3301" t="s">
        <v>449</v>
      </c>
      <c r="J3301" t="s">
        <v>4032</v>
      </c>
      <c r="K3301" t="s">
        <v>606</v>
      </c>
      <c r="M3301" t="s">
        <v>2366</v>
      </c>
      <c r="N3301" t="s">
        <v>657</v>
      </c>
      <c r="O3301" t="s">
        <v>2944</v>
      </c>
      <c r="P3301" t="s">
        <v>1347</v>
      </c>
      <c r="Q3301" t="s">
        <v>517</v>
      </c>
      <c r="R3301" t="s">
        <v>2901</v>
      </c>
      <c r="S3301" t="s">
        <v>2930</v>
      </c>
      <c r="T3301" t="s">
        <v>2526</v>
      </c>
      <c r="U3301">
        <v>302400</v>
      </c>
      <c r="V3301" t="s">
        <v>18378</v>
      </c>
      <c r="W3301" t="s">
        <v>2959</v>
      </c>
      <c r="X3301" t="s">
        <v>18448</v>
      </c>
      <c r="Y3301" t="s">
        <v>18447</v>
      </c>
      <c r="AA3301" t="s">
        <v>11003</v>
      </c>
      <c r="AE3301">
        <v>-41.335004410000003</v>
      </c>
      <c r="AF3301">
        <v>173.16531466000001</v>
      </c>
      <c r="AG3301" s="175">
        <v>54</v>
      </c>
      <c r="AH3301" s="175">
        <v>20</v>
      </c>
      <c r="AI3301" s="175">
        <v>1</v>
      </c>
      <c r="AJ3301" s="175">
        <v>19</v>
      </c>
      <c r="AK3301" s="175">
        <v>12</v>
      </c>
      <c r="AL3301" s="175">
        <v>11</v>
      </c>
      <c r="AM3301" s="175">
        <v>8</v>
      </c>
      <c r="AN3301" s="175">
        <v>0</v>
      </c>
      <c r="AO3301" s="175">
        <v>51</v>
      </c>
      <c r="AP3301" s="175">
        <v>45</v>
      </c>
      <c r="AQ3301" s="175">
        <v>6</v>
      </c>
      <c r="AR3301" s="175">
        <v>5</v>
      </c>
      <c r="AS3301" s="175">
        <v>5</v>
      </c>
      <c r="AT3301" s="175">
        <v>0</v>
      </c>
    </row>
    <row r="3302" spans="1:46">
      <c r="A3302">
        <v>48201</v>
      </c>
      <c r="B3302" t="s">
        <v>18449</v>
      </c>
      <c r="C3302" t="s">
        <v>18450</v>
      </c>
      <c r="E3302" t="s">
        <v>18451</v>
      </c>
      <c r="G3302" t="s">
        <v>1731</v>
      </c>
      <c r="H3302" t="s">
        <v>449</v>
      </c>
      <c r="J3302" t="s">
        <v>4032</v>
      </c>
      <c r="K3302" t="s">
        <v>606</v>
      </c>
      <c r="M3302" t="s">
        <v>1382</v>
      </c>
      <c r="N3302" t="s">
        <v>608</v>
      </c>
      <c r="O3302" t="s">
        <v>1732</v>
      </c>
      <c r="P3302" t="s">
        <v>610</v>
      </c>
      <c r="Q3302" t="s">
        <v>511</v>
      </c>
      <c r="R3302" t="s">
        <v>1555</v>
      </c>
      <c r="S3302" t="s">
        <v>1556</v>
      </c>
      <c r="T3302" t="s">
        <v>1557</v>
      </c>
      <c r="U3302">
        <v>203901</v>
      </c>
      <c r="V3302" t="s">
        <v>10235</v>
      </c>
      <c r="W3302" t="s">
        <v>1734</v>
      </c>
      <c r="X3302" t="s">
        <v>18452</v>
      </c>
      <c r="Y3302" t="s">
        <v>18451</v>
      </c>
      <c r="AA3302" t="s">
        <v>18453</v>
      </c>
      <c r="AB3302" t="s">
        <v>18454</v>
      </c>
      <c r="AE3302">
        <v>-38.089749130000001</v>
      </c>
      <c r="AF3302">
        <v>176.70096864999999</v>
      </c>
      <c r="AG3302" s="175">
        <v>33</v>
      </c>
      <c r="AH3302" s="175">
        <v>5</v>
      </c>
      <c r="AI3302" s="175">
        <v>0</v>
      </c>
      <c r="AJ3302" s="175">
        <v>4</v>
      </c>
      <c r="AK3302" s="175">
        <v>5</v>
      </c>
      <c r="AL3302" s="175">
        <v>6</v>
      </c>
      <c r="AM3302" s="175">
        <v>7</v>
      </c>
      <c r="AN3302" s="175">
        <v>2</v>
      </c>
      <c r="AO3302" s="175">
        <v>24</v>
      </c>
      <c r="AP3302" s="175">
        <v>9</v>
      </c>
      <c r="AQ3302" s="175">
        <v>18</v>
      </c>
      <c r="AR3302" s="175">
        <v>2</v>
      </c>
      <c r="AS3302" s="175">
        <v>5</v>
      </c>
      <c r="AT3302" s="175">
        <v>1</v>
      </c>
    </row>
    <row r="3303" spans="1:46">
      <c r="A3303">
        <v>48204</v>
      </c>
      <c r="B3303" t="s">
        <v>18455</v>
      </c>
      <c r="C3303" t="s">
        <v>18456</v>
      </c>
      <c r="E3303" t="s">
        <v>18457</v>
      </c>
      <c r="F3303" t="s">
        <v>1468</v>
      </c>
      <c r="G3303" t="s">
        <v>1381</v>
      </c>
      <c r="H3303" t="s">
        <v>449</v>
      </c>
      <c r="J3303" t="s">
        <v>4032</v>
      </c>
      <c r="K3303" t="s">
        <v>606</v>
      </c>
      <c r="M3303" t="s">
        <v>1382</v>
      </c>
      <c r="N3303" t="s">
        <v>657</v>
      </c>
      <c r="O3303" t="s">
        <v>1383</v>
      </c>
      <c r="P3303" t="s">
        <v>739</v>
      </c>
      <c r="Q3303" t="s">
        <v>510</v>
      </c>
      <c r="R3303" t="s">
        <v>1384</v>
      </c>
      <c r="S3303" t="s">
        <v>1385</v>
      </c>
      <c r="T3303" t="s">
        <v>1320</v>
      </c>
      <c r="U3303">
        <v>178000</v>
      </c>
      <c r="V3303" t="s">
        <v>9385</v>
      </c>
      <c r="W3303" t="s">
        <v>1387</v>
      </c>
      <c r="X3303" t="s">
        <v>14754</v>
      </c>
      <c r="Y3303" t="s">
        <v>4176</v>
      </c>
      <c r="AA3303" t="s">
        <v>4052</v>
      </c>
      <c r="AB3303" t="s">
        <v>14755</v>
      </c>
      <c r="AE3303">
        <v>-37.774629300000001</v>
      </c>
      <c r="AF3303">
        <v>175.25567122999999</v>
      </c>
      <c r="AG3303" s="175">
        <v>75</v>
      </c>
      <c r="AH3303" s="175">
        <v>20</v>
      </c>
      <c r="AI3303" s="175">
        <v>1</v>
      </c>
      <c r="AJ3303" s="175">
        <v>9</v>
      </c>
      <c r="AK3303" s="175">
        <v>14</v>
      </c>
      <c r="AL3303" s="175">
        <v>19</v>
      </c>
      <c r="AM3303" s="175">
        <v>13</v>
      </c>
      <c r="AN3303" s="175">
        <v>1</v>
      </c>
      <c r="AO3303" s="175">
        <v>57</v>
      </c>
      <c r="AP3303" s="175">
        <v>45</v>
      </c>
      <c r="AQ3303" s="175">
        <v>13</v>
      </c>
      <c r="AR3303" s="175">
        <v>1</v>
      </c>
      <c r="AS3303" s="175">
        <v>7</v>
      </c>
      <c r="AT3303" s="175">
        <v>5</v>
      </c>
    </row>
    <row r="3304" spans="1:46">
      <c r="A3304">
        <v>48205</v>
      </c>
      <c r="B3304" t="s">
        <v>18458</v>
      </c>
      <c r="D3304" t="s">
        <v>18459</v>
      </c>
      <c r="E3304" t="s">
        <v>18460</v>
      </c>
      <c r="G3304" t="s">
        <v>737</v>
      </c>
      <c r="H3304" t="s">
        <v>449</v>
      </c>
      <c r="J3304" t="s">
        <v>4032</v>
      </c>
      <c r="K3304" t="s">
        <v>606</v>
      </c>
      <c r="M3304" t="s">
        <v>607</v>
      </c>
      <c r="N3304" t="s">
        <v>657</v>
      </c>
      <c r="O3304" t="s">
        <v>723</v>
      </c>
      <c r="P3304" t="s">
        <v>610</v>
      </c>
      <c r="Q3304" t="s">
        <v>467</v>
      </c>
      <c r="R3304" t="s">
        <v>724</v>
      </c>
      <c r="S3304" t="s">
        <v>725</v>
      </c>
      <c r="T3304" t="s">
        <v>613</v>
      </c>
      <c r="U3304">
        <v>112401</v>
      </c>
      <c r="V3304" t="s">
        <v>4256</v>
      </c>
      <c r="W3304" t="s">
        <v>726</v>
      </c>
      <c r="X3304" t="s">
        <v>5859</v>
      </c>
      <c r="Y3304" t="s">
        <v>18128</v>
      </c>
      <c r="Z3304" t="s">
        <v>4533</v>
      </c>
      <c r="AA3304" t="s">
        <v>4034</v>
      </c>
      <c r="AB3304" t="s">
        <v>5860</v>
      </c>
      <c r="AE3304">
        <v>-36.682490350000002</v>
      </c>
      <c r="AF3304">
        <v>174.46735849999999</v>
      </c>
      <c r="AG3304" s="175">
        <v>40</v>
      </c>
      <c r="AH3304" s="175">
        <v>15</v>
      </c>
      <c r="AI3304" s="175">
        <v>3</v>
      </c>
      <c r="AJ3304" s="175">
        <v>1</v>
      </c>
      <c r="AK3304" s="175">
        <v>4</v>
      </c>
      <c r="AL3304" s="175">
        <v>4</v>
      </c>
      <c r="AM3304" s="175">
        <v>1</v>
      </c>
      <c r="AN3304" s="175">
        <v>1</v>
      </c>
      <c r="AO3304" s="175">
        <v>14</v>
      </c>
      <c r="AP3304" s="175">
        <v>9</v>
      </c>
      <c r="AQ3304" s="175">
        <v>7</v>
      </c>
      <c r="AR3304" s="175">
        <v>1</v>
      </c>
      <c r="AS3304" s="175">
        <v>4</v>
      </c>
      <c r="AT3304" s="175">
        <v>1</v>
      </c>
    </row>
    <row r="3305" spans="1:46">
      <c r="A3305">
        <v>48206</v>
      </c>
      <c r="B3305" t="s">
        <v>18461</v>
      </c>
      <c r="E3305" t="s">
        <v>16498</v>
      </c>
      <c r="F3305" t="s">
        <v>888</v>
      </c>
      <c r="G3305" t="s">
        <v>737</v>
      </c>
      <c r="H3305" t="s">
        <v>450</v>
      </c>
      <c r="I3305" t="s">
        <v>4371</v>
      </c>
      <c r="J3305" t="s">
        <v>4032</v>
      </c>
      <c r="K3305" t="s">
        <v>606</v>
      </c>
      <c r="M3305" t="s">
        <v>607</v>
      </c>
      <c r="N3305" t="s">
        <v>9058</v>
      </c>
      <c r="O3305" t="s">
        <v>889</v>
      </c>
      <c r="P3305" t="s">
        <v>739</v>
      </c>
      <c r="Q3305" t="s">
        <v>467</v>
      </c>
      <c r="R3305" t="s">
        <v>793</v>
      </c>
      <c r="S3305" t="s">
        <v>890</v>
      </c>
      <c r="T3305" t="s">
        <v>794</v>
      </c>
      <c r="U3305">
        <v>143301</v>
      </c>
      <c r="V3305" t="s">
        <v>4299</v>
      </c>
      <c r="W3305" t="s">
        <v>892</v>
      </c>
      <c r="X3305" t="s">
        <v>16499</v>
      </c>
      <c r="Y3305" t="s">
        <v>17921</v>
      </c>
      <c r="Z3305" t="s">
        <v>1114</v>
      </c>
      <c r="AA3305" t="s">
        <v>15114</v>
      </c>
      <c r="AB3305" t="s">
        <v>18462</v>
      </c>
      <c r="AE3305">
        <v>-36.893993180000002</v>
      </c>
      <c r="AF3305">
        <v>174.81079291</v>
      </c>
      <c r="AG3305" s="175">
        <v>80</v>
      </c>
      <c r="AH3305" s="175">
        <v>60</v>
      </c>
      <c r="AI3305" s="175">
        <v>9</v>
      </c>
      <c r="AJ3305" s="175">
        <v>18</v>
      </c>
      <c r="AK3305" s="175">
        <v>7</v>
      </c>
      <c r="AL3305" s="175">
        <v>8</v>
      </c>
      <c r="AM3305" s="175">
        <v>6</v>
      </c>
      <c r="AN3305" s="175">
        <v>0</v>
      </c>
      <c r="AO3305" s="175">
        <v>48</v>
      </c>
      <c r="AP3305" s="175">
        <v>3</v>
      </c>
      <c r="AQ3305" s="175">
        <v>0</v>
      </c>
      <c r="AR3305" s="175">
        <v>0</v>
      </c>
      <c r="AS3305" s="175">
        <v>46</v>
      </c>
      <c r="AT3305" s="175">
        <v>0</v>
      </c>
    </row>
    <row r="3306" spans="1:46">
      <c r="A3306">
        <v>48209</v>
      </c>
      <c r="B3306" t="s">
        <v>18463</v>
      </c>
      <c r="C3306" t="s">
        <v>18464</v>
      </c>
      <c r="E3306" t="s">
        <v>18465</v>
      </c>
      <c r="F3306" t="s">
        <v>15980</v>
      </c>
      <c r="G3306" t="s">
        <v>2368</v>
      </c>
      <c r="H3306" t="s">
        <v>450</v>
      </c>
      <c r="J3306" t="s">
        <v>605</v>
      </c>
      <c r="K3306" t="s">
        <v>606</v>
      </c>
      <c r="M3306" t="s">
        <v>2366</v>
      </c>
      <c r="N3306" t="s">
        <v>643</v>
      </c>
      <c r="O3306" t="s">
        <v>2614</v>
      </c>
      <c r="P3306" t="s">
        <v>739</v>
      </c>
      <c r="Q3306" t="s">
        <v>516</v>
      </c>
      <c r="R3306" t="s">
        <v>2368</v>
      </c>
      <c r="S3306" t="s">
        <v>2631</v>
      </c>
      <c r="T3306" t="s">
        <v>2526</v>
      </c>
      <c r="U3306">
        <v>252100</v>
      </c>
      <c r="V3306" t="s">
        <v>18466</v>
      </c>
      <c r="W3306" t="s">
        <v>2651</v>
      </c>
      <c r="X3306" t="s">
        <v>18467</v>
      </c>
      <c r="Y3306" t="s">
        <v>6434</v>
      </c>
      <c r="Z3306" t="s">
        <v>4622</v>
      </c>
      <c r="AA3306" t="s">
        <v>4623</v>
      </c>
      <c r="AE3306">
        <v>-41.295378169999999</v>
      </c>
      <c r="AF3306">
        <v>174.77980629000001</v>
      </c>
      <c r="AG3306" s="175">
        <v>80</v>
      </c>
      <c r="AH3306" s="175">
        <v>80</v>
      </c>
      <c r="AI3306" s="175">
        <v>1</v>
      </c>
      <c r="AJ3306" s="175">
        <v>2</v>
      </c>
      <c r="AK3306" s="175">
        <v>0</v>
      </c>
      <c r="AL3306" s="175">
        <v>2</v>
      </c>
      <c r="AM3306" s="175">
        <v>2</v>
      </c>
      <c r="AN3306" s="175">
        <v>0</v>
      </c>
      <c r="AO3306" s="175">
        <v>7</v>
      </c>
      <c r="AP3306" s="175">
        <v>7</v>
      </c>
      <c r="AQ3306" s="175">
        <v>0</v>
      </c>
      <c r="AR3306" s="175">
        <v>0</v>
      </c>
      <c r="AS3306" s="175">
        <v>0</v>
      </c>
      <c r="AT3306" s="175">
        <v>0</v>
      </c>
    </row>
    <row r="3307" spans="1:46">
      <c r="A3307">
        <v>48211</v>
      </c>
      <c r="B3307" t="s">
        <v>18468</v>
      </c>
      <c r="C3307" t="s">
        <v>18469</v>
      </c>
      <c r="E3307" t="s">
        <v>18470</v>
      </c>
      <c r="G3307" t="s">
        <v>3290</v>
      </c>
      <c r="H3307" t="s">
        <v>449</v>
      </c>
      <c r="J3307" t="s">
        <v>4032</v>
      </c>
      <c r="K3307" t="s">
        <v>606</v>
      </c>
      <c r="M3307" t="s">
        <v>2366</v>
      </c>
      <c r="N3307" t="s">
        <v>657</v>
      </c>
      <c r="O3307" t="s">
        <v>3291</v>
      </c>
      <c r="P3307" t="s">
        <v>1347</v>
      </c>
      <c r="Q3307" t="s">
        <v>521</v>
      </c>
      <c r="R3307" t="s">
        <v>3017</v>
      </c>
      <c r="S3307" t="s">
        <v>3292</v>
      </c>
      <c r="T3307" t="s">
        <v>2526</v>
      </c>
      <c r="U3307">
        <v>337800</v>
      </c>
      <c r="V3307" t="s">
        <v>3316</v>
      </c>
      <c r="W3307" t="s">
        <v>3294</v>
      </c>
      <c r="X3307" t="s">
        <v>18471</v>
      </c>
      <c r="Y3307" t="s">
        <v>18472</v>
      </c>
      <c r="AA3307" t="s">
        <v>18473</v>
      </c>
      <c r="AB3307" t="s">
        <v>18474</v>
      </c>
      <c r="AC3307">
        <v>99043</v>
      </c>
      <c r="AD3307" t="s">
        <v>3299</v>
      </c>
      <c r="AE3307">
        <v>-43.89251153</v>
      </c>
      <c r="AF3307">
        <v>171.76385479000001</v>
      </c>
      <c r="AG3307" s="175">
        <v>84</v>
      </c>
      <c r="AH3307" s="175">
        <v>20</v>
      </c>
      <c r="AI3307" s="175">
        <v>4</v>
      </c>
      <c r="AJ3307" s="175">
        <v>25</v>
      </c>
      <c r="AK3307" s="175">
        <v>21</v>
      </c>
      <c r="AL3307" s="175">
        <v>24</v>
      </c>
      <c r="AM3307" s="175">
        <v>16</v>
      </c>
      <c r="AN3307" s="175">
        <v>1</v>
      </c>
      <c r="AO3307" s="175">
        <v>91</v>
      </c>
      <c r="AP3307" s="175">
        <v>71</v>
      </c>
      <c r="AQ3307" s="175">
        <v>11</v>
      </c>
      <c r="AR3307" s="175">
        <v>4</v>
      </c>
      <c r="AS3307" s="175">
        <v>13</v>
      </c>
      <c r="AT3307" s="175">
        <v>3</v>
      </c>
    </row>
    <row r="3308" spans="1:46">
      <c r="A3308">
        <v>48214</v>
      </c>
      <c r="B3308" t="s">
        <v>18475</v>
      </c>
      <c r="C3308" t="s">
        <v>18476</v>
      </c>
      <c r="E3308" t="s">
        <v>18477</v>
      </c>
      <c r="G3308" t="s">
        <v>1580</v>
      </c>
      <c r="H3308" t="s">
        <v>347</v>
      </c>
      <c r="J3308" t="s">
        <v>605</v>
      </c>
      <c r="K3308" t="s">
        <v>606</v>
      </c>
      <c r="L3308" t="s">
        <v>4273</v>
      </c>
      <c r="M3308" t="s">
        <v>1382</v>
      </c>
      <c r="N3308" t="s">
        <v>9058</v>
      </c>
      <c r="O3308" t="s">
        <v>1567</v>
      </c>
      <c r="P3308" t="s">
        <v>610</v>
      </c>
      <c r="Q3308" t="s">
        <v>510</v>
      </c>
      <c r="R3308" t="s">
        <v>1384</v>
      </c>
      <c r="S3308" t="s">
        <v>1404</v>
      </c>
      <c r="T3308" t="s">
        <v>1568</v>
      </c>
      <c r="U3308">
        <v>186000</v>
      </c>
      <c r="V3308" t="s">
        <v>1581</v>
      </c>
      <c r="W3308" t="s">
        <v>1582</v>
      </c>
      <c r="X3308" t="s">
        <v>7695</v>
      </c>
      <c r="Y3308" t="s">
        <v>4276</v>
      </c>
      <c r="Z3308" t="s">
        <v>4277</v>
      </c>
      <c r="AA3308" t="s">
        <v>4278</v>
      </c>
      <c r="AB3308" t="s">
        <v>7696</v>
      </c>
      <c r="AE3308">
        <v>-38.044059230000002</v>
      </c>
      <c r="AF3308">
        <v>175.77421203</v>
      </c>
      <c r="AG3308" s="175">
        <v>30</v>
      </c>
      <c r="AH3308" s="175">
        <v>5</v>
      </c>
      <c r="AI3308" s="175"/>
      <c r="AJ3308" s="175"/>
      <c r="AK3308" s="175"/>
      <c r="AL3308" s="175"/>
      <c r="AM3308" s="175"/>
      <c r="AN3308" s="175"/>
      <c r="AO3308" s="175"/>
      <c r="AP3308" s="175"/>
      <c r="AQ3308" s="175"/>
      <c r="AR3308" s="175"/>
      <c r="AS3308" s="175"/>
    </row>
    <row r="3309" spans="1:46">
      <c r="A3309">
        <v>48215</v>
      </c>
      <c r="B3309" t="s">
        <v>18478</v>
      </c>
      <c r="C3309" t="s">
        <v>18479</v>
      </c>
      <c r="E3309" t="s">
        <v>18480</v>
      </c>
      <c r="F3309" t="s">
        <v>3973</v>
      </c>
      <c r="G3309" t="s">
        <v>737</v>
      </c>
      <c r="H3309" t="s">
        <v>449</v>
      </c>
      <c r="J3309" t="s">
        <v>4032</v>
      </c>
      <c r="K3309" t="s">
        <v>606</v>
      </c>
      <c r="M3309" t="s">
        <v>607</v>
      </c>
      <c r="N3309" t="s">
        <v>657</v>
      </c>
      <c r="O3309" t="s">
        <v>1253</v>
      </c>
      <c r="P3309" t="s">
        <v>739</v>
      </c>
      <c r="Q3309" t="s">
        <v>467</v>
      </c>
      <c r="R3309" t="s">
        <v>724</v>
      </c>
      <c r="S3309" t="s">
        <v>824</v>
      </c>
      <c r="T3309" t="s">
        <v>613</v>
      </c>
      <c r="U3309">
        <v>119400</v>
      </c>
      <c r="V3309" t="s">
        <v>18481</v>
      </c>
      <c r="W3309" t="s">
        <v>742</v>
      </c>
      <c r="X3309" t="s">
        <v>17734</v>
      </c>
      <c r="Y3309" t="s">
        <v>18482</v>
      </c>
      <c r="Z3309" t="s">
        <v>3973</v>
      </c>
      <c r="AA3309" t="s">
        <v>4168</v>
      </c>
      <c r="AE3309">
        <v>-36.758553040000002</v>
      </c>
      <c r="AF3309">
        <v>174.70492618</v>
      </c>
      <c r="AG3309" s="175">
        <v>80</v>
      </c>
      <c r="AH3309" s="175">
        <v>16</v>
      </c>
      <c r="AI3309" s="175">
        <v>3</v>
      </c>
      <c r="AJ3309" s="175">
        <v>6</v>
      </c>
      <c r="AK3309" s="175">
        <v>7</v>
      </c>
      <c r="AL3309" s="175">
        <v>3</v>
      </c>
      <c r="AM3309" s="175">
        <v>4</v>
      </c>
      <c r="AN3309" s="175">
        <v>2</v>
      </c>
      <c r="AO3309" s="175">
        <v>25</v>
      </c>
      <c r="AP3309" s="175">
        <v>4</v>
      </c>
      <c r="AQ3309" s="175">
        <v>1</v>
      </c>
      <c r="AR3309" s="175">
        <v>1</v>
      </c>
      <c r="AS3309" s="175">
        <v>23</v>
      </c>
      <c r="AT3309" s="175">
        <v>0</v>
      </c>
    </row>
    <row r="3310" spans="1:46">
      <c r="A3310">
        <v>48217</v>
      </c>
      <c r="B3310" t="s">
        <v>18483</v>
      </c>
      <c r="C3310" t="s">
        <v>6559</v>
      </c>
      <c r="E3310" t="s">
        <v>18484</v>
      </c>
      <c r="F3310" t="s">
        <v>7058</v>
      </c>
      <c r="G3310" t="s">
        <v>3694</v>
      </c>
      <c r="H3310" t="s">
        <v>449</v>
      </c>
      <c r="J3310" t="s">
        <v>4032</v>
      </c>
      <c r="K3310" t="s">
        <v>606</v>
      </c>
      <c r="M3310" t="s">
        <v>607</v>
      </c>
      <c r="N3310" t="s">
        <v>657</v>
      </c>
      <c r="O3310" t="s">
        <v>738</v>
      </c>
      <c r="P3310" t="s">
        <v>670</v>
      </c>
      <c r="Q3310" t="s">
        <v>467</v>
      </c>
      <c r="R3310" t="s">
        <v>724</v>
      </c>
      <c r="S3310" t="s">
        <v>753</v>
      </c>
      <c r="T3310" t="s">
        <v>613</v>
      </c>
      <c r="U3310">
        <v>116200</v>
      </c>
      <c r="V3310" t="s">
        <v>18485</v>
      </c>
      <c r="W3310" t="s">
        <v>742</v>
      </c>
      <c r="X3310" t="s">
        <v>18486</v>
      </c>
      <c r="Y3310" t="s">
        <v>8558</v>
      </c>
      <c r="AA3310" t="s">
        <v>18186</v>
      </c>
      <c r="AE3310">
        <v>-36.621002189999999</v>
      </c>
      <c r="AF3310">
        <v>174.79631939999999</v>
      </c>
      <c r="AG3310" s="175">
        <v>90</v>
      </c>
      <c r="AH3310" s="175">
        <v>20</v>
      </c>
      <c r="AI3310" s="175">
        <v>3</v>
      </c>
      <c r="AJ3310" s="175">
        <v>5</v>
      </c>
      <c r="AK3310" s="175">
        <v>10</v>
      </c>
      <c r="AL3310" s="175">
        <v>8</v>
      </c>
      <c r="AM3310" s="175">
        <v>8</v>
      </c>
      <c r="AN3310" s="175">
        <v>0</v>
      </c>
      <c r="AO3310" s="175">
        <v>34</v>
      </c>
      <c r="AP3310" s="175">
        <v>21</v>
      </c>
      <c r="AQ3310" s="175">
        <v>3</v>
      </c>
      <c r="AR3310" s="175">
        <v>1</v>
      </c>
      <c r="AS3310" s="175">
        <v>10</v>
      </c>
      <c r="AT3310" s="175">
        <v>7</v>
      </c>
    </row>
    <row r="3311" spans="1:46">
      <c r="A3311">
        <v>48223</v>
      </c>
      <c r="B3311" t="s">
        <v>18487</v>
      </c>
      <c r="C3311" t="s">
        <v>18488</v>
      </c>
      <c r="D3311" t="s">
        <v>18489</v>
      </c>
      <c r="E3311" t="s">
        <v>18490</v>
      </c>
      <c r="F3311" t="s">
        <v>897</v>
      </c>
      <c r="G3311" t="s">
        <v>737</v>
      </c>
      <c r="H3311" t="s">
        <v>449</v>
      </c>
      <c r="J3311" t="s">
        <v>4032</v>
      </c>
      <c r="K3311" t="s">
        <v>606</v>
      </c>
      <c r="M3311" t="s">
        <v>607</v>
      </c>
      <c r="N3311" t="s">
        <v>657</v>
      </c>
      <c r="O3311" t="s">
        <v>898</v>
      </c>
      <c r="P3311" t="s">
        <v>739</v>
      </c>
      <c r="Q3311" t="s">
        <v>467</v>
      </c>
      <c r="R3311" t="s">
        <v>724</v>
      </c>
      <c r="S3311" t="s">
        <v>824</v>
      </c>
      <c r="T3311" t="s">
        <v>613</v>
      </c>
      <c r="U3311">
        <v>121600</v>
      </c>
      <c r="V3311" t="s">
        <v>18491</v>
      </c>
      <c r="W3311" t="s">
        <v>900</v>
      </c>
      <c r="X3311" t="s">
        <v>18492</v>
      </c>
      <c r="Y3311" t="s">
        <v>18493</v>
      </c>
      <c r="Z3311" t="s">
        <v>996</v>
      </c>
      <c r="AA3311" t="s">
        <v>7112</v>
      </c>
      <c r="AE3311">
        <v>-36.831966950000002</v>
      </c>
      <c r="AF3311">
        <v>174.62331427999999</v>
      </c>
      <c r="AG3311" s="175">
        <v>50</v>
      </c>
      <c r="AH3311" s="175">
        <v>10</v>
      </c>
      <c r="AI3311" s="175">
        <v>2</v>
      </c>
      <c r="AJ3311" s="175">
        <v>4</v>
      </c>
      <c r="AK3311" s="175">
        <v>6</v>
      </c>
      <c r="AL3311" s="175">
        <v>8</v>
      </c>
      <c r="AM3311" s="175">
        <v>6</v>
      </c>
      <c r="AN3311" s="175">
        <v>1</v>
      </c>
      <c r="AO3311" s="175">
        <v>27</v>
      </c>
      <c r="AP3311" s="175">
        <v>8</v>
      </c>
      <c r="AQ3311" s="175">
        <v>5</v>
      </c>
      <c r="AR3311" s="175">
        <v>2</v>
      </c>
      <c r="AS3311" s="175">
        <v>15</v>
      </c>
      <c r="AT3311" s="175">
        <v>3</v>
      </c>
    </row>
    <row r="3312" spans="1:46">
      <c r="A3312">
        <v>48224</v>
      </c>
      <c r="B3312" t="s">
        <v>18494</v>
      </c>
      <c r="C3312" t="s">
        <v>18495</v>
      </c>
      <c r="E3312" t="s">
        <v>18496</v>
      </c>
      <c r="G3312" t="s">
        <v>2068</v>
      </c>
      <c r="H3312" t="s">
        <v>449</v>
      </c>
      <c r="J3312" t="s">
        <v>4032</v>
      </c>
      <c r="K3312" t="s">
        <v>606</v>
      </c>
      <c r="M3312" t="s">
        <v>1382</v>
      </c>
      <c r="N3312" t="s">
        <v>657</v>
      </c>
      <c r="O3312" t="s">
        <v>2069</v>
      </c>
      <c r="P3312" t="s">
        <v>1347</v>
      </c>
      <c r="Q3312" t="s">
        <v>553</v>
      </c>
      <c r="R3312" t="s">
        <v>1841</v>
      </c>
      <c r="S3312" t="s">
        <v>1719</v>
      </c>
      <c r="T3312" t="s">
        <v>1568</v>
      </c>
      <c r="U3312">
        <v>228400</v>
      </c>
      <c r="V3312" t="s">
        <v>12614</v>
      </c>
      <c r="W3312" t="s">
        <v>2071</v>
      </c>
      <c r="X3312" t="s">
        <v>18497</v>
      </c>
      <c r="Y3312" t="s">
        <v>8845</v>
      </c>
      <c r="Z3312" t="s">
        <v>7725</v>
      </c>
      <c r="AA3312" t="s">
        <v>8137</v>
      </c>
      <c r="AB3312" t="s">
        <v>18495</v>
      </c>
      <c r="AE3312">
        <v>-40.23153327</v>
      </c>
      <c r="AF3312">
        <v>175.57117052000001</v>
      </c>
      <c r="AG3312" s="175">
        <v>46</v>
      </c>
      <c r="AH3312" s="175">
        <v>0</v>
      </c>
      <c r="AI3312" s="175">
        <v>0</v>
      </c>
      <c r="AJ3312" s="175">
        <v>0</v>
      </c>
      <c r="AK3312" s="175">
        <v>5</v>
      </c>
      <c r="AL3312" s="175">
        <v>14</v>
      </c>
      <c r="AM3312" s="175">
        <v>18</v>
      </c>
      <c r="AN3312" s="175">
        <v>2</v>
      </c>
      <c r="AO3312" s="175">
        <v>39</v>
      </c>
      <c r="AP3312" s="175">
        <v>36</v>
      </c>
      <c r="AQ3312" s="175">
        <v>2</v>
      </c>
      <c r="AR3312" s="175">
        <v>1</v>
      </c>
      <c r="AS3312" s="175">
        <v>1</v>
      </c>
      <c r="AT3312" s="175">
        <v>2</v>
      </c>
    </row>
    <row r="3313" spans="1:46">
      <c r="A3313">
        <v>48225</v>
      </c>
      <c r="B3313" t="s">
        <v>18498</v>
      </c>
      <c r="E3313" t="s">
        <v>18499</v>
      </c>
      <c r="F3313" t="s">
        <v>943</v>
      </c>
      <c r="G3313" t="s">
        <v>737</v>
      </c>
      <c r="H3313" t="s">
        <v>449</v>
      </c>
      <c r="I3313" t="s">
        <v>4134</v>
      </c>
      <c r="J3313" t="s">
        <v>4032</v>
      </c>
      <c r="K3313" t="s">
        <v>606</v>
      </c>
      <c r="M3313" t="s">
        <v>607</v>
      </c>
      <c r="N3313" t="s">
        <v>657</v>
      </c>
      <c r="O3313" t="s">
        <v>942</v>
      </c>
      <c r="P3313" t="s">
        <v>739</v>
      </c>
      <c r="Q3313" t="s">
        <v>467</v>
      </c>
      <c r="R3313" t="s">
        <v>793</v>
      </c>
      <c r="S3313" t="s">
        <v>943</v>
      </c>
      <c r="T3313" t="s">
        <v>794</v>
      </c>
      <c r="U3313">
        <v>133600</v>
      </c>
      <c r="V3313" t="s">
        <v>1097</v>
      </c>
      <c r="W3313" t="s">
        <v>945</v>
      </c>
      <c r="X3313" t="s">
        <v>5754</v>
      </c>
      <c r="Y3313" t="s">
        <v>5755</v>
      </c>
      <c r="Z3313" t="s">
        <v>802</v>
      </c>
      <c r="AA3313" t="s">
        <v>5756</v>
      </c>
      <c r="AE3313">
        <v>-36.877338780000002</v>
      </c>
      <c r="AF3313">
        <v>174.73043992000001</v>
      </c>
      <c r="AG3313" s="175">
        <v>30</v>
      </c>
      <c r="AH3313" s="175">
        <v>0</v>
      </c>
      <c r="AI3313" s="175">
        <v>0</v>
      </c>
      <c r="AJ3313" s="175">
        <v>0</v>
      </c>
      <c r="AK3313" s="175">
        <v>7</v>
      </c>
      <c r="AL3313" s="175">
        <v>3</v>
      </c>
      <c r="AM3313" s="175">
        <v>0</v>
      </c>
      <c r="AN3313" s="175">
        <v>1</v>
      </c>
      <c r="AO3313" s="175">
        <v>11</v>
      </c>
      <c r="AP3313" s="175">
        <v>9</v>
      </c>
      <c r="AQ3313" s="175">
        <v>2</v>
      </c>
      <c r="AR3313" s="175">
        <v>3</v>
      </c>
      <c r="AS3313" s="175">
        <v>2</v>
      </c>
      <c r="AT3313" s="175">
        <v>0</v>
      </c>
    </row>
    <row r="3314" spans="1:46">
      <c r="A3314">
        <v>48226</v>
      </c>
      <c r="B3314" t="s">
        <v>18500</v>
      </c>
      <c r="C3314" t="s">
        <v>18501</v>
      </c>
      <c r="D3314" t="s">
        <v>18502</v>
      </c>
      <c r="E3314" t="s">
        <v>18503</v>
      </c>
      <c r="F3314" t="s">
        <v>1302</v>
      </c>
      <c r="G3314" t="s">
        <v>737</v>
      </c>
      <c r="H3314" t="s">
        <v>449</v>
      </c>
      <c r="J3314" t="s">
        <v>4032</v>
      </c>
      <c r="K3314" t="s">
        <v>606</v>
      </c>
      <c r="M3314" t="s">
        <v>607</v>
      </c>
      <c r="N3314" t="s">
        <v>625</v>
      </c>
      <c r="O3314" t="s">
        <v>1353</v>
      </c>
      <c r="P3314" t="s">
        <v>739</v>
      </c>
      <c r="Q3314" t="s">
        <v>467</v>
      </c>
      <c r="R3314" t="s">
        <v>814</v>
      </c>
      <c r="S3314" t="s">
        <v>1302</v>
      </c>
      <c r="T3314" t="s">
        <v>794</v>
      </c>
      <c r="U3314">
        <v>162000</v>
      </c>
      <c r="V3314" t="s">
        <v>4118</v>
      </c>
      <c r="W3314" t="s">
        <v>1304</v>
      </c>
      <c r="X3314" t="s">
        <v>18504</v>
      </c>
      <c r="Y3314" t="s">
        <v>18505</v>
      </c>
      <c r="Z3314" t="s">
        <v>5170</v>
      </c>
      <c r="AA3314" t="s">
        <v>5066</v>
      </c>
      <c r="AB3314" t="s">
        <v>18506</v>
      </c>
      <c r="AE3314">
        <v>-37.039206720000003</v>
      </c>
      <c r="AF3314">
        <v>174.92010139000001</v>
      </c>
      <c r="AG3314" s="175">
        <v>50</v>
      </c>
      <c r="AH3314" s="175">
        <v>10</v>
      </c>
      <c r="AI3314" s="175">
        <v>1</v>
      </c>
      <c r="AJ3314" s="175">
        <v>7</v>
      </c>
      <c r="AK3314" s="175">
        <v>13</v>
      </c>
      <c r="AL3314" s="175">
        <v>16</v>
      </c>
      <c r="AM3314" s="175">
        <v>9</v>
      </c>
      <c r="AN3314" s="175">
        <v>0</v>
      </c>
      <c r="AO3314" s="175">
        <v>46</v>
      </c>
      <c r="AP3314" s="175">
        <v>2</v>
      </c>
      <c r="AQ3314" s="175">
        <v>5</v>
      </c>
      <c r="AR3314" s="175">
        <v>5</v>
      </c>
      <c r="AS3314" s="175">
        <v>38</v>
      </c>
      <c r="AT3314" s="175">
        <v>0</v>
      </c>
    </row>
    <row r="3315" spans="1:46">
      <c r="A3315">
        <v>48227</v>
      </c>
      <c r="B3315" t="s">
        <v>18507</v>
      </c>
      <c r="C3315" t="s">
        <v>18508</v>
      </c>
      <c r="E3315" t="s">
        <v>18509</v>
      </c>
      <c r="F3315" t="s">
        <v>1429</v>
      </c>
      <c r="G3315" t="s">
        <v>3905</v>
      </c>
      <c r="H3315" t="s">
        <v>449</v>
      </c>
      <c r="J3315" t="s">
        <v>4032</v>
      </c>
      <c r="K3315" t="s">
        <v>606</v>
      </c>
      <c r="M3315" t="s">
        <v>2366</v>
      </c>
      <c r="N3315" t="s">
        <v>657</v>
      </c>
      <c r="O3315" t="s">
        <v>3906</v>
      </c>
      <c r="P3315" t="s">
        <v>1347</v>
      </c>
      <c r="Q3315" t="s">
        <v>522</v>
      </c>
      <c r="R3315" t="s">
        <v>3410</v>
      </c>
      <c r="S3315" t="s">
        <v>3433</v>
      </c>
      <c r="T3315" t="s">
        <v>2526</v>
      </c>
      <c r="U3315">
        <v>348400</v>
      </c>
      <c r="V3315" t="s">
        <v>1429</v>
      </c>
      <c r="W3315" t="s">
        <v>3908</v>
      </c>
      <c r="X3315" t="s">
        <v>18510</v>
      </c>
      <c r="Y3315" t="s">
        <v>12459</v>
      </c>
      <c r="Z3315" t="s">
        <v>4622</v>
      </c>
      <c r="AA3315" t="s">
        <v>4623</v>
      </c>
      <c r="AE3315">
        <v>-45.013648070000002</v>
      </c>
      <c r="AF3315">
        <v>168.74197015999999</v>
      </c>
      <c r="AG3315" s="175">
        <v>82</v>
      </c>
      <c r="AH3315" s="175">
        <v>25</v>
      </c>
      <c r="AI3315" s="175">
        <v>3</v>
      </c>
      <c r="AJ3315" s="175">
        <v>10</v>
      </c>
      <c r="AK3315" s="175">
        <v>8</v>
      </c>
      <c r="AL3315" s="175">
        <v>8</v>
      </c>
      <c r="AM3315" s="175">
        <v>9</v>
      </c>
      <c r="AN3315" s="175">
        <v>2</v>
      </c>
      <c r="AO3315" s="175">
        <v>40</v>
      </c>
      <c r="AP3315" s="175">
        <v>18</v>
      </c>
      <c r="AQ3315" s="175">
        <v>1</v>
      </c>
      <c r="AR3315" s="175">
        <v>4</v>
      </c>
      <c r="AS3315" s="175">
        <v>15</v>
      </c>
      <c r="AT3315" s="175">
        <v>9</v>
      </c>
    </row>
    <row r="3316" spans="1:46">
      <c r="A3316">
        <v>48228</v>
      </c>
      <c r="B3316" t="s">
        <v>18511</v>
      </c>
      <c r="C3316" t="s">
        <v>18512</v>
      </c>
      <c r="D3316" t="s">
        <v>18513</v>
      </c>
      <c r="E3316" t="s">
        <v>18514</v>
      </c>
      <c r="F3316" t="s">
        <v>4722</v>
      </c>
      <c r="G3316" t="s">
        <v>737</v>
      </c>
      <c r="H3316" t="s">
        <v>449</v>
      </c>
      <c r="J3316" t="s">
        <v>4032</v>
      </c>
      <c r="K3316" t="s">
        <v>606</v>
      </c>
      <c r="M3316" t="s">
        <v>607</v>
      </c>
      <c r="N3316" t="s">
        <v>9058</v>
      </c>
      <c r="O3316" t="s">
        <v>1042</v>
      </c>
      <c r="P3316" t="s">
        <v>739</v>
      </c>
      <c r="Q3316" t="s">
        <v>467</v>
      </c>
      <c r="R3316" t="s">
        <v>793</v>
      </c>
      <c r="S3316" t="s">
        <v>1043</v>
      </c>
      <c r="T3316" t="s">
        <v>794</v>
      </c>
      <c r="U3316">
        <v>130400</v>
      </c>
      <c r="V3316" t="s">
        <v>4723</v>
      </c>
      <c r="W3316" t="s">
        <v>1044</v>
      </c>
      <c r="X3316" t="s">
        <v>18515</v>
      </c>
      <c r="Y3316" t="s">
        <v>17356</v>
      </c>
      <c r="Z3316" t="s">
        <v>1181</v>
      </c>
      <c r="AA3316" t="s">
        <v>4146</v>
      </c>
      <c r="AE3316">
        <v>-36.847724130000003</v>
      </c>
      <c r="AF3316">
        <v>174.73166798</v>
      </c>
      <c r="AG3316" s="175">
        <v>57</v>
      </c>
      <c r="AH3316" s="175">
        <v>0</v>
      </c>
      <c r="AI3316" s="175">
        <v>0</v>
      </c>
      <c r="AJ3316" s="175">
        <v>0</v>
      </c>
      <c r="AK3316" s="175">
        <v>6</v>
      </c>
      <c r="AL3316" s="175">
        <v>3</v>
      </c>
      <c r="AM3316" s="175">
        <v>2</v>
      </c>
      <c r="AN3316" s="175">
        <v>0</v>
      </c>
      <c r="AO3316" s="175">
        <v>11</v>
      </c>
      <c r="AP3316" s="175">
        <v>10</v>
      </c>
      <c r="AQ3316" s="175">
        <v>1</v>
      </c>
      <c r="AR3316" s="175">
        <v>0</v>
      </c>
      <c r="AS3316" s="175">
        <v>1</v>
      </c>
      <c r="AT3316" s="175">
        <v>0</v>
      </c>
    </row>
    <row r="3317" spans="1:46">
      <c r="A3317">
        <v>48230</v>
      </c>
      <c r="B3317" t="s">
        <v>18516</v>
      </c>
      <c r="C3317" t="s">
        <v>18517</v>
      </c>
      <c r="E3317" t="s">
        <v>18518</v>
      </c>
      <c r="F3317" t="s">
        <v>18519</v>
      </c>
      <c r="G3317" t="s">
        <v>3015</v>
      </c>
      <c r="H3317" t="s">
        <v>449</v>
      </c>
      <c r="I3317" t="s">
        <v>4134</v>
      </c>
      <c r="J3317" t="s">
        <v>4032</v>
      </c>
      <c r="K3317" t="s">
        <v>606</v>
      </c>
      <c r="M3317" t="s">
        <v>2366</v>
      </c>
      <c r="N3317" t="s">
        <v>657</v>
      </c>
      <c r="O3317" t="s">
        <v>3016</v>
      </c>
      <c r="P3317" t="s">
        <v>739</v>
      </c>
      <c r="Q3317" t="s">
        <v>521</v>
      </c>
      <c r="R3317" t="s">
        <v>3017</v>
      </c>
      <c r="S3317" t="s">
        <v>3092</v>
      </c>
      <c r="T3317" t="s">
        <v>2526</v>
      </c>
      <c r="U3317">
        <v>326900</v>
      </c>
      <c r="V3317" t="s">
        <v>12327</v>
      </c>
      <c r="W3317" t="s">
        <v>3161</v>
      </c>
      <c r="X3317" t="s">
        <v>16558</v>
      </c>
      <c r="Y3317" t="s">
        <v>18520</v>
      </c>
      <c r="Z3317" t="s">
        <v>13270</v>
      </c>
      <c r="AA3317" t="s">
        <v>12388</v>
      </c>
      <c r="AB3317" t="s">
        <v>16560</v>
      </c>
      <c r="AE3317">
        <v>-43.553461200000001</v>
      </c>
      <c r="AF3317">
        <v>172.59521265999999</v>
      </c>
      <c r="AG3317" s="175">
        <v>60</v>
      </c>
      <c r="AH3317" s="175">
        <v>20</v>
      </c>
      <c r="AI3317" s="175">
        <v>1</v>
      </c>
      <c r="AJ3317" s="175">
        <v>9</v>
      </c>
      <c r="AK3317" s="175">
        <v>12</v>
      </c>
      <c r="AL3317" s="175">
        <v>13</v>
      </c>
      <c r="AM3317" s="175">
        <v>12</v>
      </c>
      <c r="AN3317" s="175">
        <v>0</v>
      </c>
      <c r="AO3317" s="175">
        <v>47</v>
      </c>
      <c r="AP3317" s="175">
        <v>25</v>
      </c>
      <c r="AQ3317" s="175">
        <v>7</v>
      </c>
      <c r="AR3317" s="175">
        <v>2</v>
      </c>
      <c r="AS3317" s="175">
        <v>21</v>
      </c>
      <c r="AT3317" s="175">
        <v>0</v>
      </c>
    </row>
    <row r="3318" spans="1:46">
      <c r="A3318">
        <v>48231</v>
      </c>
      <c r="B3318" t="s">
        <v>18521</v>
      </c>
      <c r="C3318" t="s">
        <v>18522</v>
      </c>
      <c r="E3318" t="s">
        <v>18523</v>
      </c>
      <c r="G3318" t="s">
        <v>10974</v>
      </c>
      <c r="H3318" t="s">
        <v>449</v>
      </c>
      <c r="J3318" t="s">
        <v>4032</v>
      </c>
      <c r="K3318" t="s">
        <v>606</v>
      </c>
      <c r="M3318" t="s">
        <v>2366</v>
      </c>
      <c r="N3318" t="s">
        <v>9058</v>
      </c>
      <c r="O3318" t="s">
        <v>3281</v>
      </c>
      <c r="P3318" t="s">
        <v>1347</v>
      </c>
      <c r="Q3318" t="s">
        <v>521</v>
      </c>
      <c r="R3318" t="s">
        <v>3017</v>
      </c>
      <c r="S3318" t="s">
        <v>3252</v>
      </c>
      <c r="T3318" t="s">
        <v>2526</v>
      </c>
      <c r="U3318">
        <v>335302</v>
      </c>
      <c r="V3318" t="s">
        <v>18104</v>
      </c>
      <c r="W3318" t="s">
        <v>10977</v>
      </c>
      <c r="X3318" t="s">
        <v>17654</v>
      </c>
      <c r="Y3318" t="s">
        <v>5424</v>
      </c>
      <c r="AA3318" t="s">
        <v>18524</v>
      </c>
      <c r="AE3318">
        <v>-43.605025130000001</v>
      </c>
      <c r="AF3318">
        <v>172.38064621999999</v>
      </c>
      <c r="AG3318" s="175">
        <v>80</v>
      </c>
      <c r="AH3318" s="175">
        <v>20</v>
      </c>
      <c r="AI3318" s="175">
        <v>2</v>
      </c>
      <c r="AJ3318" s="175">
        <v>21</v>
      </c>
      <c r="AK3318" s="175">
        <v>12</v>
      </c>
      <c r="AL3318" s="175">
        <v>15</v>
      </c>
      <c r="AM3318" s="175">
        <v>15</v>
      </c>
      <c r="AN3318" s="175">
        <v>0</v>
      </c>
      <c r="AO3318" s="175">
        <v>65</v>
      </c>
      <c r="AP3318" s="175">
        <v>48</v>
      </c>
      <c r="AQ3318" s="175">
        <v>7</v>
      </c>
      <c r="AR3318" s="175">
        <v>0</v>
      </c>
      <c r="AS3318" s="175">
        <v>21</v>
      </c>
      <c r="AT3318" s="175">
        <v>3</v>
      </c>
    </row>
    <row r="3319" spans="1:46">
      <c r="A3319">
        <v>48232</v>
      </c>
      <c r="B3319" t="s">
        <v>18525</v>
      </c>
      <c r="D3319" t="s">
        <v>18526</v>
      </c>
      <c r="E3319" t="s">
        <v>18527</v>
      </c>
      <c r="G3319" t="s">
        <v>737</v>
      </c>
      <c r="H3319" t="s">
        <v>449</v>
      </c>
      <c r="J3319" t="s">
        <v>605</v>
      </c>
      <c r="K3319" t="s">
        <v>606</v>
      </c>
      <c r="M3319" t="s">
        <v>607</v>
      </c>
      <c r="N3319" t="s">
        <v>9058</v>
      </c>
      <c r="O3319" t="s">
        <v>738</v>
      </c>
      <c r="P3319" t="s">
        <v>670</v>
      </c>
      <c r="Q3319" t="s">
        <v>467</v>
      </c>
      <c r="R3319" t="s">
        <v>724</v>
      </c>
      <c r="S3319" t="s">
        <v>753</v>
      </c>
      <c r="T3319" t="s">
        <v>613</v>
      </c>
      <c r="U3319">
        <v>112702</v>
      </c>
      <c r="V3319" t="s">
        <v>18528</v>
      </c>
      <c r="W3319" t="s">
        <v>742</v>
      </c>
      <c r="X3319" t="s">
        <v>4013</v>
      </c>
      <c r="Y3319" t="s">
        <v>4014</v>
      </c>
      <c r="Z3319" t="s">
        <v>4015</v>
      </c>
      <c r="AA3319" t="s">
        <v>4016</v>
      </c>
      <c r="AB3319" t="s">
        <v>18529</v>
      </c>
      <c r="AE3319">
        <v>-36.58049467</v>
      </c>
      <c r="AF3319">
        <v>174.67408474999999</v>
      </c>
      <c r="AG3319" s="175">
        <v>80</v>
      </c>
      <c r="AH3319" s="175">
        <v>20</v>
      </c>
      <c r="AI3319" s="175">
        <v>3</v>
      </c>
      <c r="AJ3319" s="175">
        <v>11</v>
      </c>
      <c r="AK3319" s="175">
        <v>6</v>
      </c>
      <c r="AL3319" s="175">
        <v>12</v>
      </c>
      <c r="AM3319" s="175">
        <v>7</v>
      </c>
      <c r="AN3319" s="175">
        <v>0</v>
      </c>
      <c r="AO3319" s="175">
        <v>39</v>
      </c>
      <c r="AP3319" s="175">
        <v>25</v>
      </c>
      <c r="AQ3319" s="175">
        <v>3</v>
      </c>
      <c r="AR3319" s="175">
        <v>1</v>
      </c>
      <c r="AS3319" s="175">
        <v>14</v>
      </c>
      <c r="AT3319" s="175">
        <v>7</v>
      </c>
    </row>
    <row r="3320" spans="1:46">
      <c r="A3320">
        <v>48233</v>
      </c>
      <c r="B3320" t="s">
        <v>18530</v>
      </c>
      <c r="C3320" t="s">
        <v>18531</v>
      </c>
      <c r="E3320" t="s">
        <v>18532</v>
      </c>
      <c r="F3320" t="s">
        <v>1121</v>
      </c>
      <c r="G3320" t="s">
        <v>737</v>
      </c>
      <c r="H3320" t="s">
        <v>449</v>
      </c>
      <c r="J3320" t="s">
        <v>4032</v>
      </c>
      <c r="K3320" t="s">
        <v>606</v>
      </c>
      <c r="M3320" t="s">
        <v>607</v>
      </c>
      <c r="N3320" t="s">
        <v>9058</v>
      </c>
      <c r="O3320" t="s">
        <v>1301</v>
      </c>
      <c r="P3320" t="s">
        <v>739</v>
      </c>
      <c r="Q3320" t="s">
        <v>467</v>
      </c>
      <c r="R3320" t="s">
        <v>814</v>
      </c>
      <c r="S3320" t="s">
        <v>1302</v>
      </c>
      <c r="T3320" t="s">
        <v>794</v>
      </c>
      <c r="U3320">
        <v>160401</v>
      </c>
      <c r="V3320" t="s">
        <v>8288</v>
      </c>
      <c r="W3320" t="s">
        <v>1304</v>
      </c>
      <c r="X3320" t="s">
        <v>9178</v>
      </c>
      <c r="Y3320" t="s">
        <v>9179</v>
      </c>
      <c r="Z3320" t="s">
        <v>4194</v>
      </c>
      <c r="AA3320" t="s">
        <v>5237</v>
      </c>
      <c r="AB3320" t="s">
        <v>9180</v>
      </c>
      <c r="AE3320">
        <v>-37.018251309999997</v>
      </c>
      <c r="AF3320">
        <v>174.91197285000001</v>
      </c>
      <c r="AG3320" s="175">
        <v>90</v>
      </c>
      <c r="AH3320" s="175">
        <v>22</v>
      </c>
      <c r="AI3320" s="175">
        <v>1</v>
      </c>
      <c r="AJ3320" s="175">
        <v>4</v>
      </c>
      <c r="AK3320" s="175">
        <v>7</v>
      </c>
      <c r="AL3320" s="175">
        <v>9</v>
      </c>
      <c r="AM3320" s="175">
        <v>10</v>
      </c>
      <c r="AN3320" s="175">
        <v>2</v>
      </c>
      <c r="AO3320" s="175">
        <v>33</v>
      </c>
      <c r="AP3320" s="175">
        <v>2</v>
      </c>
      <c r="AQ3320" s="175">
        <v>7</v>
      </c>
      <c r="AR3320" s="175">
        <v>7</v>
      </c>
      <c r="AS3320" s="175">
        <v>18</v>
      </c>
      <c r="AT3320" s="175">
        <v>2</v>
      </c>
    </row>
    <row r="3321" spans="1:46">
      <c r="A3321">
        <v>48234</v>
      </c>
      <c r="B3321" t="s">
        <v>18533</v>
      </c>
      <c r="E3321" t="s">
        <v>18534</v>
      </c>
      <c r="F3321" t="s">
        <v>15285</v>
      </c>
      <c r="G3321" t="s">
        <v>737</v>
      </c>
      <c r="H3321" t="s">
        <v>449</v>
      </c>
      <c r="J3321" t="s">
        <v>4032</v>
      </c>
      <c r="K3321" t="s">
        <v>606</v>
      </c>
      <c r="M3321" t="s">
        <v>607</v>
      </c>
      <c r="N3321" t="s">
        <v>657</v>
      </c>
      <c r="O3321" t="s">
        <v>942</v>
      </c>
      <c r="P3321" t="s">
        <v>739</v>
      </c>
      <c r="Q3321" t="s">
        <v>467</v>
      </c>
      <c r="R3321" t="s">
        <v>793</v>
      </c>
      <c r="S3321" t="s">
        <v>943</v>
      </c>
      <c r="T3321" t="s">
        <v>794</v>
      </c>
      <c r="U3321">
        <v>138100</v>
      </c>
      <c r="V3321" t="s">
        <v>18535</v>
      </c>
      <c r="W3321" t="s">
        <v>945</v>
      </c>
      <c r="X3321" t="s">
        <v>18536</v>
      </c>
      <c r="Y3321" t="s">
        <v>4059</v>
      </c>
      <c r="Z3321" t="s">
        <v>4060</v>
      </c>
      <c r="AA3321" t="s">
        <v>4604</v>
      </c>
      <c r="AE3321">
        <v>-36.885710340000003</v>
      </c>
      <c r="AF3321">
        <v>174.74401700000001</v>
      </c>
      <c r="AG3321" s="175">
        <v>38</v>
      </c>
      <c r="AH3321" s="175">
        <v>6</v>
      </c>
      <c r="AI3321" s="175">
        <v>0</v>
      </c>
      <c r="AJ3321" s="175">
        <v>5</v>
      </c>
      <c r="AK3321" s="175">
        <v>10</v>
      </c>
      <c r="AL3321" s="175">
        <v>1</v>
      </c>
      <c r="AM3321" s="175">
        <v>2</v>
      </c>
      <c r="AN3321" s="175">
        <v>0</v>
      </c>
      <c r="AO3321" s="175">
        <v>18</v>
      </c>
      <c r="AP3321" s="175">
        <v>0</v>
      </c>
      <c r="AQ3321" s="175">
        <v>0</v>
      </c>
      <c r="AR3321" s="175">
        <v>0</v>
      </c>
      <c r="AS3321" s="175">
        <v>16</v>
      </c>
      <c r="AT3321" s="175">
        <v>2</v>
      </c>
    </row>
    <row r="3322" spans="1:46">
      <c r="A3322">
        <v>48235</v>
      </c>
      <c r="B3322" t="s">
        <v>18537</v>
      </c>
      <c r="E3322" t="s">
        <v>18538</v>
      </c>
      <c r="F3322" t="s">
        <v>13988</v>
      </c>
      <c r="G3322" t="s">
        <v>3569</v>
      </c>
      <c r="H3322" t="s">
        <v>449</v>
      </c>
      <c r="J3322" t="s">
        <v>4032</v>
      </c>
      <c r="K3322" t="s">
        <v>606</v>
      </c>
      <c r="M3322" t="s">
        <v>2366</v>
      </c>
      <c r="N3322" t="s">
        <v>657</v>
      </c>
      <c r="O3322" t="s">
        <v>3568</v>
      </c>
      <c r="P3322" t="s">
        <v>670</v>
      </c>
      <c r="Q3322" t="s">
        <v>523</v>
      </c>
      <c r="R3322" t="s">
        <v>3410</v>
      </c>
      <c r="S3322" t="s">
        <v>3569</v>
      </c>
      <c r="T3322" t="s">
        <v>2526</v>
      </c>
      <c r="U3322">
        <v>361000</v>
      </c>
      <c r="V3322" t="s">
        <v>11346</v>
      </c>
      <c r="W3322" t="s">
        <v>1734</v>
      </c>
      <c r="X3322" t="s">
        <v>16474</v>
      </c>
      <c r="Y3322" t="s">
        <v>18539</v>
      </c>
      <c r="AA3322" t="s">
        <v>16476</v>
      </c>
      <c r="AB3322" t="s">
        <v>18540</v>
      </c>
      <c r="AE3322">
        <v>-46.397968689999999</v>
      </c>
      <c r="AF3322">
        <v>168.34031014000001</v>
      </c>
      <c r="AG3322" s="175">
        <v>90</v>
      </c>
      <c r="AH3322" s="175">
        <v>24</v>
      </c>
      <c r="AI3322" s="175">
        <v>9</v>
      </c>
      <c r="AJ3322" s="175">
        <v>15</v>
      </c>
      <c r="AK3322" s="175">
        <v>13</v>
      </c>
      <c r="AL3322" s="175">
        <v>18</v>
      </c>
      <c r="AM3322" s="175">
        <v>8</v>
      </c>
      <c r="AN3322" s="175">
        <v>0</v>
      </c>
      <c r="AO3322" s="175">
        <v>63</v>
      </c>
      <c r="AP3322" s="175">
        <v>55</v>
      </c>
      <c r="AQ3322" s="175">
        <v>21</v>
      </c>
      <c r="AR3322" s="175">
        <v>2</v>
      </c>
      <c r="AS3322" s="175">
        <v>5</v>
      </c>
      <c r="AT3322" s="175">
        <v>3</v>
      </c>
    </row>
    <row r="3323" spans="1:46">
      <c r="A3323">
        <v>48236</v>
      </c>
      <c r="B3323" t="s">
        <v>18541</v>
      </c>
      <c r="C3323" t="s">
        <v>18542</v>
      </c>
      <c r="E3323" t="s">
        <v>18543</v>
      </c>
      <c r="F3323" t="s">
        <v>8439</v>
      </c>
      <c r="G3323" t="s">
        <v>1681</v>
      </c>
      <c r="H3323" t="s">
        <v>449</v>
      </c>
      <c r="J3323" t="s">
        <v>605</v>
      </c>
      <c r="K3323" t="s">
        <v>606</v>
      </c>
      <c r="M3323" t="s">
        <v>1382</v>
      </c>
      <c r="N3323" t="s">
        <v>657</v>
      </c>
      <c r="O3323" t="s">
        <v>1780</v>
      </c>
      <c r="P3323" t="s">
        <v>739</v>
      </c>
      <c r="Q3323" t="s">
        <v>511</v>
      </c>
      <c r="R3323" t="s">
        <v>1555</v>
      </c>
      <c r="S3323" t="s">
        <v>1781</v>
      </c>
      <c r="T3323" t="s">
        <v>1557</v>
      </c>
      <c r="U3323">
        <v>195500</v>
      </c>
      <c r="V3323" t="s">
        <v>9933</v>
      </c>
      <c r="W3323" t="s">
        <v>1806</v>
      </c>
      <c r="X3323" t="s">
        <v>8441</v>
      </c>
      <c r="Y3323" t="s">
        <v>4014</v>
      </c>
      <c r="Z3323" t="s">
        <v>4015</v>
      </c>
      <c r="AA3323" t="s">
        <v>4016</v>
      </c>
      <c r="AB3323" t="s">
        <v>8442</v>
      </c>
      <c r="AE3323">
        <v>-37.67294734</v>
      </c>
      <c r="AF3323">
        <v>176.22440367999999</v>
      </c>
      <c r="AG3323" s="175">
        <v>75</v>
      </c>
      <c r="AH3323" s="175">
        <v>10</v>
      </c>
      <c r="AI3323" s="175">
        <v>0</v>
      </c>
      <c r="AJ3323" s="175">
        <v>6</v>
      </c>
      <c r="AK3323" s="175">
        <v>12</v>
      </c>
      <c r="AL3323" s="175">
        <v>14</v>
      </c>
      <c r="AM3323" s="175">
        <v>15</v>
      </c>
      <c r="AN3323" s="175">
        <v>3</v>
      </c>
      <c r="AO3323" s="175">
        <v>50</v>
      </c>
      <c r="AP3323" s="175">
        <v>27</v>
      </c>
      <c r="AQ3323" s="175">
        <v>15</v>
      </c>
      <c r="AR3323" s="175">
        <v>5</v>
      </c>
      <c r="AS3323" s="175">
        <v>4</v>
      </c>
      <c r="AT3323" s="175">
        <v>16</v>
      </c>
    </row>
    <row r="3324" spans="1:46">
      <c r="A3324">
        <v>48237</v>
      </c>
      <c r="B3324" t="s">
        <v>18544</v>
      </c>
      <c r="D3324" t="s">
        <v>18545</v>
      </c>
      <c r="E3324" t="s">
        <v>18546</v>
      </c>
      <c r="F3324" t="s">
        <v>897</v>
      </c>
      <c r="G3324" t="s">
        <v>737</v>
      </c>
      <c r="H3324" t="s">
        <v>449</v>
      </c>
      <c r="J3324" t="s">
        <v>4032</v>
      </c>
      <c r="K3324" t="s">
        <v>606</v>
      </c>
      <c r="M3324" t="s">
        <v>607</v>
      </c>
      <c r="N3324" t="s">
        <v>657</v>
      </c>
      <c r="O3324" t="s">
        <v>898</v>
      </c>
      <c r="P3324" t="s">
        <v>739</v>
      </c>
      <c r="Q3324" t="s">
        <v>467</v>
      </c>
      <c r="R3324" t="s">
        <v>724</v>
      </c>
      <c r="S3324" t="s">
        <v>725</v>
      </c>
      <c r="T3324" t="s">
        <v>613</v>
      </c>
      <c r="U3324">
        <v>118800</v>
      </c>
      <c r="V3324" t="s">
        <v>14747</v>
      </c>
      <c r="W3324" t="s">
        <v>900</v>
      </c>
      <c r="X3324" t="s">
        <v>18547</v>
      </c>
      <c r="Y3324" t="s">
        <v>18548</v>
      </c>
      <c r="AB3324" t="s">
        <v>18549</v>
      </c>
      <c r="AE3324">
        <v>-36.815036919999997</v>
      </c>
      <c r="AF3324">
        <v>174.59942695999999</v>
      </c>
      <c r="AG3324" s="175">
        <v>50</v>
      </c>
      <c r="AH3324" s="175">
        <v>20</v>
      </c>
      <c r="AI3324" s="175">
        <v>0</v>
      </c>
      <c r="AJ3324" s="175">
        <v>6</v>
      </c>
      <c r="AK3324" s="175">
        <v>3</v>
      </c>
      <c r="AL3324" s="175">
        <v>5</v>
      </c>
      <c r="AM3324" s="175">
        <v>2</v>
      </c>
      <c r="AN3324" s="175">
        <v>0</v>
      </c>
      <c r="AO3324" s="175">
        <v>16</v>
      </c>
      <c r="AP3324" s="175">
        <v>4</v>
      </c>
      <c r="AQ3324" s="175">
        <v>7</v>
      </c>
      <c r="AR3324" s="175">
        <v>2</v>
      </c>
      <c r="AS3324" s="175">
        <v>7</v>
      </c>
      <c r="AT3324" s="175">
        <v>0</v>
      </c>
    </row>
    <row r="3325" spans="1:46">
      <c r="A3325">
        <v>48238</v>
      </c>
      <c r="B3325" t="s">
        <v>18550</v>
      </c>
      <c r="C3325" t="s">
        <v>18551</v>
      </c>
      <c r="E3325" t="s">
        <v>18552</v>
      </c>
      <c r="F3325" t="s">
        <v>18553</v>
      </c>
      <c r="G3325" t="s">
        <v>18554</v>
      </c>
      <c r="H3325" t="s">
        <v>470</v>
      </c>
      <c r="I3325" t="s">
        <v>5017</v>
      </c>
      <c r="J3325" t="s">
        <v>605</v>
      </c>
      <c r="K3325" t="s">
        <v>606</v>
      </c>
      <c r="M3325" t="s">
        <v>2366</v>
      </c>
      <c r="N3325" t="s">
        <v>657</v>
      </c>
      <c r="O3325" t="s">
        <v>18555</v>
      </c>
      <c r="P3325" t="s">
        <v>658</v>
      </c>
      <c r="Q3325" t="s">
        <v>521</v>
      </c>
      <c r="R3325" t="s">
        <v>2901</v>
      </c>
      <c r="S3325" t="s">
        <v>2902</v>
      </c>
      <c r="T3325" t="s">
        <v>2526</v>
      </c>
      <c r="U3325">
        <v>308800</v>
      </c>
      <c r="V3325" t="s">
        <v>18556</v>
      </c>
      <c r="W3325" t="s">
        <v>1734</v>
      </c>
      <c r="X3325" t="s">
        <v>18557</v>
      </c>
      <c r="Y3325" t="s">
        <v>18558</v>
      </c>
      <c r="AA3325" t="s">
        <v>18559</v>
      </c>
      <c r="AB3325" t="s">
        <v>18551</v>
      </c>
      <c r="AE3325">
        <v>-42.334323529999999</v>
      </c>
      <c r="AF3325">
        <v>173.70466261999999</v>
      </c>
      <c r="AG3325" s="175">
        <v>22</v>
      </c>
      <c r="AH3325" s="175">
        <v>5</v>
      </c>
      <c r="AI3325" s="175">
        <v>0</v>
      </c>
      <c r="AJ3325" s="175">
        <v>1</v>
      </c>
      <c r="AK3325" s="175">
        <v>1</v>
      </c>
      <c r="AL3325" s="175">
        <v>3</v>
      </c>
      <c r="AM3325" s="175">
        <v>2</v>
      </c>
      <c r="AN3325" s="175">
        <v>0</v>
      </c>
      <c r="AO3325" s="175">
        <v>7</v>
      </c>
      <c r="AP3325" s="175">
        <v>3</v>
      </c>
      <c r="AQ3325" s="175">
        <v>6</v>
      </c>
      <c r="AR3325" s="175">
        <v>1</v>
      </c>
      <c r="AS3325" s="175">
        <v>0</v>
      </c>
      <c r="AT3325" s="175">
        <v>0</v>
      </c>
    </row>
    <row r="3326" spans="1:46">
      <c r="A3326">
        <v>48239</v>
      </c>
      <c r="B3326" t="s">
        <v>18560</v>
      </c>
      <c r="C3326" t="s">
        <v>18561</v>
      </c>
      <c r="E3326" t="s">
        <v>18562</v>
      </c>
      <c r="G3326" t="s">
        <v>752</v>
      </c>
      <c r="H3326" t="s">
        <v>449</v>
      </c>
      <c r="J3326" t="s">
        <v>4032</v>
      </c>
      <c r="K3326" t="s">
        <v>606</v>
      </c>
      <c r="M3326" t="s">
        <v>607</v>
      </c>
      <c r="N3326" t="s">
        <v>9058</v>
      </c>
      <c r="O3326" t="s">
        <v>738</v>
      </c>
      <c r="P3326" t="s">
        <v>670</v>
      </c>
      <c r="Q3326" t="s">
        <v>467</v>
      </c>
      <c r="R3326" t="s">
        <v>724</v>
      </c>
      <c r="S3326" t="s">
        <v>753</v>
      </c>
      <c r="T3326" t="s">
        <v>613</v>
      </c>
      <c r="U3326">
        <v>112901</v>
      </c>
      <c r="V3326" t="s">
        <v>754</v>
      </c>
      <c r="W3326" t="s">
        <v>742</v>
      </c>
      <c r="X3326" t="s">
        <v>18563</v>
      </c>
      <c r="Y3326" t="s">
        <v>18564</v>
      </c>
      <c r="Z3326" t="s">
        <v>752</v>
      </c>
      <c r="AA3326" t="s">
        <v>6170</v>
      </c>
      <c r="AB3326" t="s">
        <v>18565</v>
      </c>
      <c r="AE3326">
        <v>-36.591184009999999</v>
      </c>
      <c r="AF3326">
        <v>174.68471471000001</v>
      </c>
      <c r="AG3326" s="175">
        <v>20</v>
      </c>
      <c r="AH3326" s="175">
        <v>5</v>
      </c>
      <c r="AI3326" s="175"/>
      <c r="AJ3326" s="175"/>
      <c r="AK3326" s="175"/>
      <c r="AL3326" s="175"/>
      <c r="AM3326" s="175"/>
      <c r="AN3326" s="175"/>
      <c r="AO3326" s="175"/>
      <c r="AP3326" s="175"/>
      <c r="AQ3326" s="175"/>
      <c r="AR3326" s="175"/>
      <c r="AS3326" s="175"/>
    </row>
    <row r="3327" spans="1:46">
      <c r="A3327">
        <v>48240</v>
      </c>
      <c r="B3327" t="s">
        <v>18566</v>
      </c>
      <c r="C3327" t="s">
        <v>18567</v>
      </c>
      <c r="E3327" t="s">
        <v>18568</v>
      </c>
      <c r="F3327" t="s">
        <v>14364</v>
      </c>
      <c r="G3327" t="s">
        <v>3454</v>
      </c>
      <c r="H3327" t="s">
        <v>452</v>
      </c>
      <c r="J3327" t="s">
        <v>605</v>
      </c>
      <c r="K3327" t="s">
        <v>606</v>
      </c>
      <c r="M3327" t="s">
        <v>2366</v>
      </c>
      <c r="N3327" t="s">
        <v>657</v>
      </c>
      <c r="O3327" t="s">
        <v>3455</v>
      </c>
      <c r="P3327" t="s">
        <v>739</v>
      </c>
      <c r="Q3327" t="s">
        <v>522</v>
      </c>
      <c r="R3327" t="s">
        <v>3410</v>
      </c>
      <c r="S3327" t="s">
        <v>3454</v>
      </c>
      <c r="T3327" t="s">
        <v>2526</v>
      </c>
      <c r="U3327">
        <v>353500</v>
      </c>
      <c r="V3327" t="s">
        <v>18569</v>
      </c>
      <c r="W3327" t="s">
        <v>1734</v>
      </c>
      <c r="X3327" t="s">
        <v>3457</v>
      </c>
      <c r="Y3327" t="s">
        <v>3458</v>
      </c>
      <c r="Z3327" t="s">
        <v>3459</v>
      </c>
      <c r="AA3327" t="s">
        <v>3460</v>
      </c>
      <c r="AB3327" t="s">
        <v>3461</v>
      </c>
      <c r="AE3327">
        <v>-45.887233539999997</v>
      </c>
      <c r="AF3327">
        <v>170.47570368000001</v>
      </c>
      <c r="AG3327" s="175">
        <v>43</v>
      </c>
      <c r="AH3327" s="175">
        <v>0</v>
      </c>
      <c r="AI3327" s="175">
        <v>0</v>
      </c>
      <c r="AJ3327" s="175">
        <v>0</v>
      </c>
      <c r="AK3327" s="175">
        <v>8</v>
      </c>
      <c r="AL3327" s="175">
        <v>20</v>
      </c>
      <c r="AM3327" s="175">
        <v>16</v>
      </c>
      <c r="AN3327" s="175">
        <v>0</v>
      </c>
      <c r="AO3327" s="175">
        <v>44</v>
      </c>
      <c r="AP3327" s="175">
        <v>34</v>
      </c>
      <c r="AQ3327" s="175">
        <v>9</v>
      </c>
      <c r="AR3327" s="175">
        <v>1</v>
      </c>
      <c r="AS3327" s="175">
        <v>10</v>
      </c>
      <c r="AT3327" s="175">
        <v>0</v>
      </c>
    </row>
    <row r="3328" spans="1:46">
      <c r="A3328">
        <v>48242</v>
      </c>
      <c r="B3328" t="s">
        <v>18570</v>
      </c>
      <c r="C3328" t="s">
        <v>17303</v>
      </c>
      <c r="E3328" t="s">
        <v>18571</v>
      </c>
      <c r="F3328" t="s">
        <v>877</v>
      </c>
      <c r="G3328" t="s">
        <v>737</v>
      </c>
      <c r="H3328" t="s">
        <v>450</v>
      </c>
      <c r="J3328" t="s">
        <v>4032</v>
      </c>
      <c r="K3328" t="s">
        <v>606</v>
      </c>
      <c r="M3328" t="s">
        <v>607</v>
      </c>
      <c r="N3328" t="s">
        <v>657</v>
      </c>
      <c r="O3328" t="s">
        <v>792</v>
      </c>
      <c r="P3328" t="s">
        <v>739</v>
      </c>
      <c r="Q3328" t="s">
        <v>467</v>
      </c>
      <c r="R3328" t="s">
        <v>793</v>
      </c>
      <c r="S3328" t="s">
        <v>791</v>
      </c>
      <c r="T3328" t="s">
        <v>794</v>
      </c>
      <c r="U3328">
        <v>148000</v>
      </c>
      <c r="V3328" t="s">
        <v>877</v>
      </c>
      <c r="W3328" t="s">
        <v>796</v>
      </c>
      <c r="X3328" t="s">
        <v>18572</v>
      </c>
      <c r="Y3328" t="s">
        <v>18573</v>
      </c>
      <c r="AA3328" t="s">
        <v>7383</v>
      </c>
      <c r="AB3328" t="s">
        <v>17303</v>
      </c>
      <c r="AE3328">
        <v>-36.877243300000004</v>
      </c>
      <c r="AF3328">
        <v>174.91759012</v>
      </c>
      <c r="AG3328" s="175">
        <v>25</v>
      </c>
      <c r="AH3328" s="175">
        <v>25</v>
      </c>
      <c r="AI3328" s="175">
        <v>4</v>
      </c>
      <c r="AJ3328" s="175">
        <v>7</v>
      </c>
      <c r="AK3328" s="175">
        <v>5</v>
      </c>
      <c r="AL3328" s="175">
        <v>4</v>
      </c>
      <c r="AM3328" s="175">
        <v>3</v>
      </c>
      <c r="AN3328" s="175">
        <v>0</v>
      </c>
      <c r="AO3328" s="175">
        <v>23</v>
      </c>
      <c r="AP3328" s="175">
        <v>0</v>
      </c>
      <c r="AQ3328" s="175">
        <v>0</v>
      </c>
      <c r="AR3328" s="175">
        <v>0</v>
      </c>
      <c r="AS3328" s="175">
        <v>23</v>
      </c>
      <c r="AT3328" s="175">
        <v>0</v>
      </c>
    </row>
    <row r="3329" spans="1:46">
      <c r="A3329">
        <v>48243</v>
      </c>
      <c r="B3329" t="s">
        <v>18574</v>
      </c>
      <c r="E3329" t="s">
        <v>18575</v>
      </c>
      <c r="F3329" t="s">
        <v>832</v>
      </c>
      <c r="G3329" t="s">
        <v>737</v>
      </c>
      <c r="H3329" t="s">
        <v>450</v>
      </c>
      <c r="J3329" t="s">
        <v>4032</v>
      </c>
      <c r="K3329" t="s">
        <v>606</v>
      </c>
      <c r="M3329" t="s">
        <v>607</v>
      </c>
      <c r="N3329" t="s">
        <v>9058</v>
      </c>
      <c r="O3329" t="s">
        <v>833</v>
      </c>
      <c r="P3329" t="s">
        <v>739</v>
      </c>
      <c r="Q3329" t="s">
        <v>467</v>
      </c>
      <c r="R3329" t="s">
        <v>724</v>
      </c>
      <c r="S3329" t="s">
        <v>767</v>
      </c>
      <c r="T3329" t="s">
        <v>613</v>
      </c>
      <c r="U3329">
        <v>129400</v>
      </c>
      <c r="V3329" t="s">
        <v>834</v>
      </c>
      <c r="W3329" t="s">
        <v>826</v>
      </c>
      <c r="X3329" t="s">
        <v>18576</v>
      </c>
      <c r="Y3329" t="s">
        <v>18575</v>
      </c>
      <c r="AA3329" t="s">
        <v>4356</v>
      </c>
      <c r="AB3329" t="s">
        <v>18577</v>
      </c>
      <c r="AE3329">
        <v>-36.815443199999997</v>
      </c>
      <c r="AF3329">
        <v>174.77377139999999</v>
      </c>
      <c r="AG3329" s="175">
        <v>20</v>
      </c>
      <c r="AH3329" s="175">
        <v>20</v>
      </c>
      <c r="AI3329" s="175">
        <v>0</v>
      </c>
      <c r="AJ3329" s="175">
        <v>2</v>
      </c>
      <c r="AK3329" s="175">
        <v>0</v>
      </c>
      <c r="AL3329" s="175">
        <v>0</v>
      </c>
      <c r="AM3329" s="175">
        <v>0</v>
      </c>
      <c r="AN3329" s="175">
        <v>0</v>
      </c>
      <c r="AO3329" s="175">
        <v>2</v>
      </c>
      <c r="AP3329" s="175">
        <v>1</v>
      </c>
      <c r="AQ3329" s="175">
        <v>0</v>
      </c>
      <c r="AR3329" s="175">
        <v>0</v>
      </c>
      <c r="AS3329" s="175">
        <v>2</v>
      </c>
      <c r="AT3329" s="175">
        <v>0</v>
      </c>
    </row>
    <row r="3330" spans="1:46">
      <c r="A3330">
        <v>48244</v>
      </c>
      <c r="B3330" t="s">
        <v>18578</v>
      </c>
      <c r="C3330" t="s">
        <v>18579</v>
      </c>
      <c r="E3330" t="s">
        <v>18580</v>
      </c>
      <c r="F3330" t="s">
        <v>932</v>
      </c>
      <c r="G3330" t="s">
        <v>737</v>
      </c>
      <c r="H3330" t="s">
        <v>449</v>
      </c>
      <c r="J3330" t="s">
        <v>4032</v>
      </c>
      <c r="K3330" t="s">
        <v>606</v>
      </c>
      <c r="M3330" t="s">
        <v>607</v>
      </c>
      <c r="N3330" t="s">
        <v>812</v>
      </c>
      <c r="O3330" t="s">
        <v>933</v>
      </c>
      <c r="P3330" t="s">
        <v>739</v>
      </c>
      <c r="Q3330" t="s">
        <v>467</v>
      </c>
      <c r="R3330" t="s">
        <v>814</v>
      </c>
      <c r="S3330" t="s">
        <v>934</v>
      </c>
      <c r="T3330" t="s">
        <v>794</v>
      </c>
      <c r="U3330">
        <v>152101</v>
      </c>
      <c r="V3330" t="s">
        <v>7373</v>
      </c>
      <c r="W3330" t="s">
        <v>817</v>
      </c>
      <c r="X3330" t="s">
        <v>18581</v>
      </c>
      <c r="Y3330" t="s">
        <v>13388</v>
      </c>
      <c r="Z3330" t="s">
        <v>5170</v>
      </c>
      <c r="AA3330" t="s">
        <v>4061</v>
      </c>
      <c r="AE3330">
        <v>-36.970998629999997</v>
      </c>
      <c r="AF3330">
        <v>174.81953756999999</v>
      </c>
      <c r="AG3330" s="175">
        <v>77</v>
      </c>
      <c r="AH3330" s="175">
        <v>12</v>
      </c>
      <c r="AI3330" s="175">
        <v>1</v>
      </c>
      <c r="AJ3330" s="175">
        <v>4</v>
      </c>
      <c r="AK3330" s="175">
        <v>5</v>
      </c>
      <c r="AL3330" s="175">
        <v>4</v>
      </c>
      <c r="AM3330" s="175">
        <v>1</v>
      </c>
      <c r="AN3330" s="175">
        <v>1</v>
      </c>
      <c r="AO3330" s="175">
        <v>16</v>
      </c>
      <c r="AP3330" s="175">
        <v>2</v>
      </c>
      <c r="AQ3330" s="175">
        <v>8</v>
      </c>
      <c r="AR3330" s="175">
        <v>7</v>
      </c>
      <c r="AS3330" s="175">
        <v>2</v>
      </c>
      <c r="AT3330" s="175">
        <v>1</v>
      </c>
    </row>
    <row r="3331" spans="1:46">
      <c r="A3331">
        <v>48245</v>
      </c>
      <c r="B3331" t="s">
        <v>18582</v>
      </c>
      <c r="C3331" t="s">
        <v>18583</v>
      </c>
      <c r="E3331" t="s">
        <v>18584</v>
      </c>
      <c r="F3331" t="s">
        <v>2929</v>
      </c>
      <c r="G3331" t="s">
        <v>2930</v>
      </c>
      <c r="H3331" t="s">
        <v>449</v>
      </c>
      <c r="J3331" t="s">
        <v>4032</v>
      </c>
      <c r="K3331" t="s">
        <v>606</v>
      </c>
      <c r="M3331" t="s">
        <v>2366</v>
      </c>
      <c r="N3331" t="s">
        <v>9058</v>
      </c>
      <c r="O3331" t="s">
        <v>2931</v>
      </c>
      <c r="P3331" t="s">
        <v>670</v>
      </c>
      <c r="Q3331" t="s">
        <v>518</v>
      </c>
      <c r="R3331" t="s">
        <v>2901</v>
      </c>
      <c r="S3331" t="s">
        <v>2930</v>
      </c>
      <c r="T3331" t="s">
        <v>2526</v>
      </c>
      <c r="U3331">
        <v>305700</v>
      </c>
      <c r="V3331" t="s">
        <v>18585</v>
      </c>
      <c r="W3331" t="s">
        <v>2933</v>
      </c>
      <c r="X3331" t="s">
        <v>18586</v>
      </c>
      <c r="Y3331" t="s">
        <v>4176</v>
      </c>
      <c r="AA3331" t="s">
        <v>4052</v>
      </c>
      <c r="AB3331" t="s">
        <v>18583</v>
      </c>
      <c r="AE3331">
        <v>-41.318052420000001</v>
      </c>
      <c r="AF3331">
        <v>173.21625419</v>
      </c>
      <c r="AG3331" s="175">
        <v>70</v>
      </c>
      <c r="AH3331" s="175">
        <v>20</v>
      </c>
      <c r="AI3331" s="175">
        <v>7</v>
      </c>
      <c r="AJ3331" s="175">
        <v>18</v>
      </c>
      <c r="AK3331" s="175">
        <v>10</v>
      </c>
      <c r="AL3331" s="175">
        <v>6</v>
      </c>
      <c r="AM3331" s="175">
        <v>5</v>
      </c>
      <c r="AN3331" s="175">
        <v>0</v>
      </c>
      <c r="AO3331" s="175">
        <v>46</v>
      </c>
      <c r="AP3331" s="175">
        <v>31</v>
      </c>
      <c r="AQ3331" s="175">
        <v>8</v>
      </c>
      <c r="AR3331" s="175">
        <v>4</v>
      </c>
      <c r="AS3331" s="175">
        <v>10</v>
      </c>
      <c r="AT3331" s="175">
        <v>3</v>
      </c>
    </row>
    <row r="3332" spans="1:46">
      <c r="A3332">
        <v>48246</v>
      </c>
      <c r="B3332" t="s">
        <v>18587</v>
      </c>
      <c r="C3332" t="s">
        <v>18588</v>
      </c>
      <c r="E3332" t="s">
        <v>18589</v>
      </c>
      <c r="G3332" t="s">
        <v>1779</v>
      </c>
      <c r="H3332" t="s">
        <v>449</v>
      </c>
      <c r="J3332" t="s">
        <v>4032</v>
      </c>
      <c r="K3332" t="s">
        <v>606</v>
      </c>
      <c r="M3332" t="s">
        <v>1382</v>
      </c>
      <c r="N3332" t="s">
        <v>657</v>
      </c>
      <c r="O3332" t="s">
        <v>1780</v>
      </c>
      <c r="P3332" t="s">
        <v>739</v>
      </c>
      <c r="Q3332" t="s">
        <v>511</v>
      </c>
      <c r="R3332" t="s">
        <v>1555</v>
      </c>
      <c r="S3332" t="s">
        <v>1781</v>
      </c>
      <c r="T3332" t="s">
        <v>1557</v>
      </c>
      <c r="U3332">
        <v>195500</v>
      </c>
      <c r="V3332" t="s">
        <v>9933</v>
      </c>
      <c r="W3332" t="s">
        <v>1783</v>
      </c>
      <c r="X3332" t="s">
        <v>10510</v>
      </c>
      <c r="Y3332" t="s">
        <v>10509</v>
      </c>
      <c r="Z3332" t="s">
        <v>3793</v>
      </c>
      <c r="AA3332" t="s">
        <v>8468</v>
      </c>
      <c r="AB3332" t="s">
        <v>10511</v>
      </c>
      <c r="AC3332">
        <v>99064</v>
      </c>
      <c r="AD3332" t="s">
        <v>1784</v>
      </c>
      <c r="AE3332">
        <v>-37.678000959999999</v>
      </c>
      <c r="AF3332">
        <v>176.22626704999999</v>
      </c>
      <c r="AG3332" s="175">
        <v>65</v>
      </c>
      <c r="AH3332" s="175">
        <v>25</v>
      </c>
      <c r="AI3332" s="175">
        <v>5</v>
      </c>
      <c r="AJ3332" s="175">
        <v>5</v>
      </c>
      <c r="AK3332" s="175">
        <v>2</v>
      </c>
      <c r="AL3332" s="175">
        <v>2</v>
      </c>
      <c r="AM3332" s="175">
        <v>3</v>
      </c>
      <c r="AN3332" s="175">
        <v>0</v>
      </c>
      <c r="AO3332" s="175">
        <v>17</v>
      </c>
      <c r="AP3332" s="175">
        <v>9</v>
      </c>
      <c r="AQ3332" s="175">
        <v>6</v>
      </c>
      <c r="AR3332" s="175">
        <v>6</v>
      </c>
      <c r="AS3332" s="175">
        <v>3</v>
      </c>
      <c r="AT3332" s="175">
        <v>4</v>
      </c>
    </row>
    <row r="3333" spans="1:46">
      <c r="A3333">
        <v>48247</v>
      </c>
      <c r="B3333" t="s">
        <v>18590</v>
      </c>
      <c r="C3333" t="s">
        <v>18591</v>
      </c>
      <c r="E3333" t="s">
        <v>18592</v>
      </c>
      <c r="G3333" t="s">
        <v>668</v>
      </c>
      <c r="H3333" t="s">
        <v>449</v>
      </c>
      <c r="J3333" t="s">
        <v>605</v>
      </c>
      <c r="K3333" t="s">
        <v>606</v>
      </c>
      <c r="M3333" t="s">
        <v>607</v>
      </c>
      <c r="N3333" t="s">
        <v>625</v>
      </c>
      <c r="O3333" t="s">
        <v>669</v>
      </c>
      <c r="P3333" t="s">
        <v>670</v>
      </c>
      <c r="Q3333" t="s">
        <v>509</v>
      </c>
      <c r="R3333" t="s">
        <v>611</v>
      </c>
      <c r="S3333" t="s">
        <v>671</v>
      </c>
      <c r="T3333" t="s">
        <v>613</v>
      </c>
      <c r="U3333">
        <v>107501</v>
      </c>
      <c r="V3333" t="s">
        <v>5018</v>
      </c>
      <c r="W3333" t="s">
        <v>673</v>
      </c>
      <c r="X3333" t="s">
        <v>4503</v>
      </c>
      <c r="Y3333" t="s">
        <v>4014</v>
      </c>
      <c r="Z3333" t="s">
        <v>4015</v>
      </c>
      <c r="AA3333" t="s">
        <v>4016</v>
      </c>
      <c r="AE3333">
        <v>-35.743236039999999</v>
      </c>
      <c r="AF3333">
        <v>174.31731063999999</v>
      </c>
      <c r="AG3333" s="175">
        <v>100</v>
      </c>
      <c r="AH3333" s="175">
        <v>24</v>
      </c>
      <c r="AI3333" s="175">
        <v>4</v>
      </c>
      <c r="AJ3333" s="175">
        <v>11</v>
      </c>
      <c r="AK3333" s="175">
        <v>13</v>
      </c>
      <c r="AL3333" s="175">
        <v>11</v>
      </c>
      <c r="AM3333" s="175">
        <v>10</v>
      </c>
      <c r="AN3333" s="175">
        <v>0</v>
      </c>
      <c r="AO3333" s="175">
        <v>49</v>
      </c>
      <c r="AP3333" s="175">
        <v>22</v>
      </c>
      <c r="AQ3333" s="175">
        <v>27</v>
      </c>
      <c r="AR3333" s="175">
        <v>5</v>
      </c>
      <c r="AS3333" s="175">
        <v>7</v>
      </c>
      <c r="AT3333" s="175">
        <v>10</v>
      </c>
    </row>
    <row r="3334" spans="1:46">
      <c r="A3334">
        <v>48250</v>
      </c>
      <c r="B3334" t="s">
        <v>18593</v>
      </c>
      <c r="C3334" t="s">
        <v>18594</v>
      </c>
      <c r="E3334" t="s">
        <v>18595</v>
      </c>
      <c r="G3334" t="s">
        <v>2943</v>
      </c>
      <c r="H3334" t="s">
        <v>449</v>
      </c>
      <c r="I3334" t="s">
        <v>4298</v>
      </c>
      <c r="J3334" t="s">
        <v>605</v>
      </c>
      <c r="K3334" t="s">
        <v>606</v>
      </c>
      <c r="M3334" t="s">
        <v>2366</v>
      </c>
      <c r="N3334" t="s">
        <v>657</v>
      </c>
      <c r="O3334" t="s">
        <v>2944</v>
      </c>
      <c r="P3334" t="s">
        <v>658</v>
      </c>
      <c r="Q3334" t="s">
        <v>517</v>
      </c>
      <c r="R3334" t="s">
        <v>2901</v>
      </c>
      <c r="S3334" t="s">
        <v>2945</v>
      </c>
      <c r="T3334" t="s">
        <v>2526</v>
      </c>
      <c r="U3334">
        <v>301000</v>
      </c>
      <c r="V3334" t="s">
        <v>18596</v>
      </c>
      <c r="W3334" t="s">
        <v>2947</v>
      </c>
      <c r="X3334" t="s">
        <v>18597</v>
      </c>
      <c r="Y3334" t="s">
        <v>18598</v>
      </c>
      <c r="AA3334" t="s">
        <v>18599</v>
      </c>
      <c r="AB3334" t="s">
        <v>18594</v>
      </c>
      <c r="AE3334">
        <v>-41.151714349999999</v>
      </c>
      <c r="AF3334">
        <v>172.99717783</v>
      </c>
      <c r="AG3334" s="175">
        <v>40</v>
      </c>
      <c r="AH3334" s="175">
        <v>0</v>
      </c>
      <c r="AI3334" s="175">
        <v>0</v>
      </c>
      <c r="AJ3334" s="175">
        <v>0</v>
      </c>
      <c r="AK3334" s="175">
        <v>1</v>
      </c>
      <c r="AL3334" s="175">
        <v>8</v>
      </c>
      <c r="AM3334" s="175">
        <v>10</v>
      </c>
      <c r="AN3334" s="175">
        <v>10</v>
      </c>
      <c r="AO3334" s="175">
        <v>29</v>
      </c>
      <c r="AP3334" s="175">
        <v>28</v>
      </c>
      <c r="AQ3334" s="175">
        <v>4</v>
      </c>
      <c r="AR3334" s="175">
        <v>1</v>
      </c>
      <c r="AS3334" s="175">
        <v>1</v>
      </c>
      <c r="AT3334" s="175">
        <v>2</v>
      </c>
    </row>
    <row r="3335" spans="1:46">
      <c r="A3335">
        <v>48251</v>
      </c>
      <c r="B3335" t="s">
        <v>18600</v>
      </c>
      <c r="C3335" t="s">
        <v>18601</v>
      </c>
      <c r="E3335" t="s">
        <v>18602</v>
      </c>
      <c r="F3335" t="s">
        <v>2929</v>
      </c>
      <c r="G3335" t="s">
        <v>2930</v>
      </c>
      <c r="H3335" t="s">
        <v>449</v>
      </c>
      <c r="J3335" t="s">
        <v>4032</v>
      </c>
      <c r="K3335" t="s">
        <v>606</v>
      </c>
      <c r="M3335" t="s">
        <v>2366</v>
      </c>
      <c r="N3335" t="s">
        <v>657</v>
      </c>
      <c r="O3335" t="s">
        <v>2931</v>
      </c>
      <c r="P3335" t="s">
        <v>670</v>
      </c>
      <c r="Q3335" t="s">
        <v>518</v>
      </c>
      <c r="R3335" t="s">
        <v>2901</v>
      </c>
      <c r="S3335" t="s">
        <v>2930</v>
      </c>
      <c r="T3335" t="s">
        <v>2526</v>
      </c>
      <c r="U3335">
        <v>305900</v>
      </c>
      <c r="V3335" t="s">
        <v>2990</v>
      </c>
      <c r="W3335" t="s">
        <v>2933</v>
      </c>
      <c r="X3335" t="s">
        <v>18603</v>
      </c>
      <c r="Y3335" t="s">
        <v>18602</v>
      </c>
      <c r="Z3335" t="s">
        <v>2929</v>
      </c>
      <c r="AA3335" t="s">
        <v>16378</v>
      </c>
      <c r="AB3335" t="s">
        <v>18601</v>
      </c>
      <c r="AE3335">
        <v>-41.317108359999999</v>
      </c>
      <c r="AF3335">
        <v>173.23569370999999</v>
      </c>
      <c r="AG3335" s="175">
        <v>29</v>
      </c>
      <c r="AH3335" s="175">
        <v>10</v>
      </c>
      <c r="AI3335" s="175">
        <v>2</v>
      </c>
      <c r="AJ3335" s="175">
        <v>6</v>
      </c>
      <c r="AK3335" s="175">
        <v>9</v>
      </c>
      <c r="AL3335" s="175">
        <v>7</v>
      </c>
      <c r="AM3335" s="175">
        <v>5</v>
      </c>
      <c r="AN3335" s="175">
        <v>0</v>
      </c>
      <c r="AO3335" s="175">
        <v>29</v>
      </c>
      <c r="AP3335" s="175">
        <v>25</v>
      </c>
      <c r="AQ3335" s="175">
        <v>2</v>
      </c>
      <c r="AR3335" s="175">
        <v>0</v>
      </c>
      <c r="AS3335" s="175">
        <v>5</v>
      </c>
      <c r="AT3335" s="175">
        <v>0</v>
      </c>
    </row>
    <row r="3336" spans="1:46">
      <c r="A3336">
        <v>48252</v>
      </c>
      <c r="B3336" t="s">
        <v>18604</v>
      </c>
      <c r="E3336" t="s">
        <v>18605</v>
      </c>
      <c r="F3336" t="s">
        <v>18606</v>
      </c>
      <c r="G3336" t="s">
        <v>737</v>
      </c>
      <c r="H3336" t="s">
        <v>449</v>
      </c>
      <c r="J3336" t="s">
        <v>605</v>
      </c>
      <c r="K3336" t="s">
        <v>606</v>
      </c>
      <c r="M3336" t="s">
        <v>607</v>
      </c>
      <c r="N3336" t="s">
        <v>657</v>
      </c>
      <c r="O3336" t="s">
        <v>1253</v>
      </c>
      <c r="P3336" t="s">
        <v>739</v>
      </c>
      <c r="Q3336" t="s">
        <v>467</v>
      </c>
      <c r="R3336" t="s">
        <v>724</v>
      </c>
      <c r="S3336" t="s">
        <v>824</v>
      </c>
      <c r="T3336" t="s">
        <v>613</v>
      </c>
      <c r="U3336">
        <v>120202</v>
      </c>
      <c r="V3336" t="s">
        <v>18607</v>
      </c>
      <c r="W3336" t="s">
        <v>742</v>
      </c>
      <c r="X3336" t="s">
        <v>4013</v>
      </c>
      <c r="Y3336" t="s">
        <v>4014</v>
      </c>
      <c r="Z3336" t="s">
        <v>4015</v>
      </c>
      <c r="AA3336" t="s">
        <v>4016</v>
      </c>
      <c r="AB3336" t="s">
        <v>17820</v>
      </c>
      <c r="AE3336">
        <v>-36.798091489999997</v>
      </c>
      <c r="AF3336">
        <v>174.64984097999999</v>
      </c>
      <c r="AG3336" s="175">
        <v>109</v>
      </c>
      <c r="AH3336" s="175">
        <v>25</v>
      </c>
      <c r="AI3336" s="175">
        <v>8</v>
      </c>
      <c r="AJ3336" s="175">
        <v>14</v>
      </c>
      <c r="AK3336" s="175">
        <v>24</v>
      </c>
      <c r="AL3336" s="175">
        <v>19</v>
      </c>
      <c r="AM3336" s="175">
        <v>12</v>
      </c>
      <c r="AN3336" s="175">
        <v>0</v>
      </c>
      <c r="AO3336" s="175">
        <v>77</v>
      </c>
      <c r="AP3336" s="175">
        <v>23</v>
      </c>
      <c r="AQ3336" s="175">
        <v>2</v>
      </c>
      <c r="AR3336" s="175">
        <v>4</v>
      </c>
      <c r="AS3336" s="175">
        <v>47</v>
      </c>
      <c r="AT3336" s="175">
        <v>10</v>
      </c>
    </row>
    <row r="3337" spans="1:46">
      <c r="A3337">
        <v>48253</v>
      </c>
      <c r="B3337" t="s">
        <v>18608</v>
      </c>
      <c r="C3337" t="s">
        <v>18609</v>
      </c>
      <c r="E3337" t="s">
        <v>18610</v>
      </c>
      <c r="F3337" t="s">
        <v>18611</v>
      </c>
      <c r="G3337" t="s">
        <v>3015</v>
      </c>
      <c r="H3337" t="s">
        <v>449</v>
      </c>
      <c r="J3337" t="s">
        <v>605</v>
      </c>
      <c r="K3337" t="s">
        <v>606</v>
      </c>
      <c r="M3337" t="s">
        <v>2366</v>
      </c>
      <c r="N3337" t="s">
        <v>657</v>
      </c>
      <c r="O3337" t="s">
        <v>3016</v>
      </c>
      <c r="P3337" t="s">
        <v>739</v>
      </c>
      <c r="Q3337" t="s">
        <v>521</v>
      </c>
      <c r="R3337" t="s">
        <v>3017</v>
      </c>
      <c r="S3337" t="s">
        <v>3030</v>
      </c>
      <c r="T3337" t="s">
        <v>2526</v>
      </c>
      <c r="U3337">
        <v>325700</v>
      </c>
      <c r="V3337" t="s">
        <v>18612</v>
      </c>
      <c r="W3337" t="s">
        <v>2521</v>
      </c>
      <c r="X3337" t="s">
        <v>18613</v>
      </c>
      <c r="Y3337" t="s">
        <v>18614</v>
      </c>
      <c r="Z3337" t="s">
        <v>3030</v>
      </c>
      <c r="AA3337" t="s">
        <v>17932</v>
      </c>
      <c r="AB3337" t="s">
        <v>18615</v>
      </c>
      <c r="AE3337">
        <v>-43.532491970000002</v>
      </c>
      <c r="AF3337">
        <v>172.62763541000001</v>
      </c>
      <c r="AG3337" s="175">
        <v>55</v>
      </c>
      <c r="AH3337" s="175">
        <v>21</v>
      </c>
      <c r="AI3337" s="175">
        <v>0</v>
      </c>
      <c r="AJ3337" s="175">
        <v>1</v>
      </c>
      <c r="AK3337" s="175">
        <v>0</v>
      </c>
      <c r="AL3337" s="175">
        <v>1</v>
      </c>
      <c r="AM3337" s="175">
        <v>0</v>
      </c>
      <c r="AN3337" s="175">
        <v>1</v>
      </c>
      <c r="AO3337" s="175">
        <v>3</v>
      </c>
      <c r="AP3337" s="175">
        <v>2</v>
      </c>
      <c r="AQ3337" s="175">
        <v>0</v>
      </c>
      <c r="AR3337" s="175">
        <v>0</v>
      </c>
      <c r="AS3337" s="175">
        <v>2</v>
      </c>
      <c r="AT3337" s="175">
        <v>0</v>
      </c>
    </row>
    <row r="3338" spans="1:46">
      <c r="A3338">
        <v>48254</v>
      </c>
      <c r="B3338" t="s">
        <v>18616</v>
      </c>
      <c r="E3338" t="s">
        <v>18617</v>
      </c>
      <c r="G3338" t="s">
        <v>18618</v>
      </c>
      <c r="H3338" t="s">
        <v>449</v>
      </c>
      <c r="J3338" t="s">
        <v>605</v>
      </c>
      <c r="K3338" t="s">
        <v>606</v>
      </c>
      <c r="M3338" t="s">
        <v>607</v>
      </c>
      <c r="N3338" t="s">
        <v>657</v>
      </c>
      <c r="O3338" t="s">
        <v>738</v>
      </c>
      <c r="P3338" t="s">
        <v>739</v>
      </c>
      <c r="Q3338" t="s">
        <v>467</v>
      </c>
      <c r="R3338" t="s">
        <v>724</v>
      </c>
      <c r="S3338" t="s">
        <v>740</v>
      </c>
      <c r="T3338" t="s">
        <v>613</v>
      </c>
      <c r="U3338">
        <v>116500</v>
      </c>
      <c r="V3338" t="s">
        <v>18619</v>
      </c>
      <c r="W3338" t="s">
        <v>742</v>
      </c>
      <c r="X3338" t="s">
        <v>17676</v>
      </c>
      <c r="Y3338" t="s">
        <v>4014</v>
      </c>
      <c r="Z3338" t="s">
        <v>4015</v>
      </c>
      <c r="AA3338" t="s">
        <v>4016</v>
      </c>
      <c r="AE3338">
        <v>-36.685874089999999</v>
      </c>
      <c r="AF3338">
        <v>174.73913919</v>
      </c>
      <c r="AG3338" s="175">
        <v>110</v>
      </c>
      <c r="AH3338" s="175">
        <v>25</v>
      </c>
      <c r="AI3338" s="175">
        <v>4</v>
      </c>
      <c r="AJ3338" s="175">
        <v>9</v>
      </c>
      <c r="AK3338" s="175">
        <v>12</v>
      </c>
      <c r="AL3338" s="175">
        <v>12</v>
      </c>
      <c r="AM3338" s="175">
        <v>3</v>
      </c>
      <c r="AN3338" s="175">
        <v>0</v>
      </c>
      <c r="AO3338" s="175">
        <v>40</v>
      </c>
      <c r="AP3338" s="175">
        <v>20</v>
      </c>
      <c r="AQ3338" s="175">
        <v>2</v>
      </c>
      <c r="AR3338" s="175">
        <v>1</v>
      </c>
      <c r="AS3338" s="175">
        <v>17</v>
      </c>
      <c r="AT3338" s="175">
        <v>3</v>
      </c>
    </row>
    <row r="3339" spans="1:46">
      <c r="A3339">
        <v>48256</v>
      </c>
      <c r="B3339" t="s">
        <v>18620</v>
      </c>
      <c r="E3339" t="s">
        <v>18621</v>
      </c>
      <c r="G3339" t="s">
        <v>760</v>
      </c>
      <c r="H3339" t="s">
        <v>449</v>
      </c>
      <c r="J3339" t="s">
        <v>4032</v>
      </c>
      <c r="K3339" t="s">
        <v>606</v>
      </c>
      <c r="M3339" t="s">
        <v>607</v>
      </c>
      <c r="N3339" t="s">
        <v>657</v>
      </c>
      <c r="O3339" t="s">
        <v>723</v>
      </c>
      <c r="P3339" t="s">
        <v>610</v>
      </c>
      <c r="Q3339" t="s">
        <v>467</v>
      </c>
      <c r="R3339" t="s">
        <v>724</v>
      </c>
      <c r="S3339" t="s">
        <v>725</v>
      </c>
      <c r="T3339" t="s">
        <v>613</v>
      </c>
      <c r="U3339">
        <v>111300</v>
      </c>
      <c r="V3339" t="s">
        <v>6934</v>
      </c>
      <c r="W3339" t="s">
        <v>726</v>
      </c>
      <c r="X3339" t="s">
        <v>18622</v>
      </c>
      <c r="Y3339" t="s">
        <v>18623</v>
      </c>
      <c r="Z3339" t="s">
        <v>6666</v>
      </c>
      <c r="AA3339" t="s">
        <v>4458</v>
      </c>
      <c r="AE3339">
        <v>-36.411006970000003</v>
      </c>
      <c r="AF3339">
        <v>174.66292027</v>
      </c>
      <c r="AG3339" s="175">
        <v>30</v>
      </c>
      <c r="AH3339" s="175">
        <v>15</v>
      </c>
      <c r="AI3339" s="175"/>
      <c r="AJ3339" s="175"/>
      <c r="AK3339" s="175"/>
      <c r="AL3339" s="175"/>
      <c r="AM3339" s="175"/>
      <c r="AN3339" s="175"/>
      <c r="AO3339" s="175"/>
      <c r="AP3339" s="175"/>
      <c r="AQ3339" s="175"/>
      <c r="AR3339" s="175"/>
      <c r="AS3339" s="175"/>
    </row>
    <row r="3340" spans="1:46">
      <c r="A3340">
        <v>48257</v>
      </c>
      <c r="B3340" t="s">
        <v>18624</v>
      </c>
      <c r="C3340" t="s">
        <v>18625</v>
      </c>
      <c r="D3340" t="s">
        <v>18626</v>
      </c>
      <c r="E3340" t="s">
        <v>18627</v>
      </c>
      <c r="F3340" t="s">
        <v>907</v>
      </c>
      <c r="G3340" t="s">
        <v>737</v>
      </c>
      <c r="H3340" t="s">
        <v>449</v>
      </c>
      <c r="I3340" t="s">
        <v>470</v>
      </c>
      <c r="J3340" t="s">
        <v>4032</v>
      </c>
      <c r="K3340" t="s">
        <v>606</v>
      </c>
      <c r="M3340" t="s">
        <v>607</v>
      </c>
      <c r="N3340" t="s">
        <v>657</v>
      </c>
      <c r="O3340" t="s">
        <v>942</v>
      </c>
      <c r="P3340" t="s">
        <v>739</v>
      </c>
      <c r="Q3340" t="s">
        <v>467</v>
      </c>
      <c r="R3340" t="s">
        <v>793</v>
      </c>
      <c r="S3340" t="s">
        <v>907</v>
      </c>
      <c r="T3340" t="s">
        <v>794</v>
      </c>
      <c r="U3340">
        <v>140200</v>
      </c>
      <c r="V3340" t="s">
        <v>1036</v>
      </c>
      <c r="W3340" t="s">
        <v>945</v>
      </c>
      <c r="X3340" t="s">
        <v>18628</v>
      </c>
      <c r="Y3340" t="s">
        <v>18629</v>
      </c>
      <c r="Z3340" t="s">
        <v>907</v>
      </c>
      <c r="AA3340" t="s">
        <v>4449</v>
      </c>
      <c r="AE3340">
        <v>-36.881874740000001</v>
      </c>
      <c r="AF3340">
        <v>174.76608630000001</v>
      </c>
      <c r="AG3340" s="175">
        <v>40</v>
      </c>
      <c r="AH3340" s="175">
        <v>10</v>
      </c>
      <c r="AI3340" s="175">
        <v>2</v>
      </c>
      <c r="AJ3340" s="175">
        <v>5</v>
      </c>
      <c r="AK3340" s="175">
        <v>6</v>
      </c>
      <c r="AL3340" s="175">
        <v>9</v>
      </c>
      <c r="AM3340" s="175">
        <v>11</v>
      </c>
      <c r="AN3340" s="175">
        <v>0</v>
      </c>
      <c r="AO3340" s="175">
        <v>33</v>
      </c>
      <c r="AP3340" s="175">
        <v>20</v>
      </c>
      <c r="AQ3340" s="175">
        <v>29</v>
      </c>
      <c r="AR3340" s="175">
        <v>6</v>
      </c>
      <c r="AS3340" s="175">
        <v>5</v>
      </c>
      <c r="AT3340" s="175">
        <v>3</v>
      </c>
    </row>
    <row r="3341" spans="1:46">
      <c r="A3341">
        <v>48258</v>
      </c>
      <c r="B3341" t="s">
        <v>18630</v>
      </c>
      <c r="C3341" t="s">
        <v>18631</v>
      </c>
      <c r="E3341" t="s">
        <v>18632</v>
      </c>
      <c r="F3341" t="s">
        <v>811</v>
      </c>
      <c r="G3341" t="s">
        <v>737</v>
      </c>
      <c r="H3341" t="s">
        <v>468</v>
      </c>
      <c r="J3341" t="s">
        <v>605</v>
      </c>
      <c r="K3341" t="s">
        <v>606</v>
      </c>
      <c r="M3341" t="s">
        <v>607</v>
      </c>
      <c r="N3341" t="s">
        <v>812</v>
      </c>
      <c r="O3341" t="s">
        <v>813</v>
      </c>
      <c r="P3341" t="s">
        <v>739</v>
      </c>
      <c r="Q3341" t="s">
        <v>467</v>
      </c>
      <c r="R3341" t="s">
        <v>814</v>
      </c>
      <c r="S3341" t="s">
        <v>863</v>
      </c>
      <c r="T3341" t="s">
        <v>794</v>
      </c>
      <c r="U3341">
        <v>156000</v>
      </c>
      <c r="V3341" t="s">
        <v>6473</v>
      </c>
      <c r="W3341" t="s">
        <v>817</v>
      </c>
      <c r="X3341" t="s">
        <v>13354</v>
      </c>
      <c r="Y3341" t="s">
        <v>13355</v>
      </c>
      <c r="Z3341" t="s">
        <v>4015</v>
      </c>
      <c r="AA3341" t="s">
        <v>4652</v>
      </c>
      <c r="AB3341" t="s">
        <v>13356</v>
      </c>
      <c r="AE3341">
        <v>-36.956494399999997</v>
      </c>
      <c r="AF3341">
        <v>174.89159989000001</v>
      </c>
      <c r="AG3341" s="175">
        <v>35</v>
      </c>
      <c r="AH3341" s="175">
        <v>5</v>
      </c>
      <c r="AI3341" s="175"/>
      <c r="AJ3341" s="175"/>
      <c r="AK3341" s="175"/>
      <c r="AL3341" s="175"/>
      <c r="AM3341" s="175"/>
      <c r="AN3341" s="175"/>
      <c r="AO3341" s="175"/>
      <c r="AP3341" s="175"/>
      <c r="AQ3341" s="175"/>
      <c r="AR3341" s="175"/>
      <c r="AS3341" s="175"/>
    </row>
    <row r="3342" spans="1:46">
      <c r="A3342">
        <v>48260</v>
      </c>
      <c r="B3342" t="s">
        <v>18633</v>
      </c>
      <c r="E3342" t="s">
        <v>18634</v>
      </c>
      <c r="G3342" t="s">
        <v>737</v>
      </c>
      <c r="H3342" t="s">
        <v>449</v>
      </c>
      <c r="J3342" t="s">
        <v>4032</v>
      </c>
      <c r="K3342" t="s">
        <v>606</v>
      </c>
      <c r="M3342" t="s">
        <v>607</v>
      </c>
      <c r="N3342" t="s">
        <v>657</v>
      </c>
      <c r="O3342" t="s">
        <v>1435</v>
      </c>
      <c r="P3342" t="s">
        <v>658</v>
      </c>
      <c r="Q3342" t="s">
        <v>510</v>
      </c>
      <c r="R3342" t="s">
        <v>814</v>
      </c>
      <c r="S3342" t="s">
        <v>1331</v>
      </c>
      <c r="T3342" t="s">
        <v>1320</v>
      </c>
      <c r="U3342">
        <v>169800</v>
      </c>
      <c r="V3342" t="s">
        <v>18635</v>
      </c>
      <c r="W3342" t="s">
        <v>7768</v>
      </c>
      <c r="X3342" t="s">
        <v>18636</v>
      </c>
      <c r="Y3342" t="s">
        <v>16516</v>
      </c>
      <c r="Z3342" t="s">
        <v>1319</v>
      </c>
      <c r="AA3342" t="s">
        <v>5228</v>
      </c>
      <c r="AE3342">
        <v>-37.216495459999997</v>
      </c>
      <c r="AF3342">
        <v>175.12139393000001</v>
      </c>
      <c r="AG3342" s="175">
        <v>25</v>
      </c>
      <c r="AH3342" s="175">
        <v>5</v>
      </c>
      <c r="AI3342" s="175"/>
      <c r="AJ3342" s="175"/>
      <c r="AK3342" s="175"/>
      <c r="AL3342" s="175"/>
      <c r="AM3342" s="175"/>
      <c r="AN3342" s="175"/>
      <c r="AO3342" s="175"/>
      <c r="AP3342" s="175"/>
      <c r="AQ3342" s="175"/>
      <c r="AR3342" s="175"/>
      <c r="AS3342" s="175"/>
    </row>
    <row r="3343" spans="1:46">
      <c r="A3343">
        <v>48261</v>
      </c>
      <c r="B3343" t="s">
        <v>18637</v>
      </c>
      <c r="C3343" t="s">
        <v>18638</v>
      </c>
      <c r="D3343" t="s">
        <v>18639</v>
      </c>
      <c r="E3343" t="s">
        <v>18640</v>
      </c>
      <c r="G3343" t="s">
        <v>784</v>
      </c>
      <c r="H3343" t="s">
        <v>449</v>
      </c>
      <c r="J3343" t="s">
        <v>4032</v>
      </c>
      <c r="K3343" t="s">
        <v>606</v>
      </c>
      <c r="M3343" t="s">
        <v>607</v>
      </c>
      <c r="N3343" t="s">
        <v>9058</v>
      </c>
      <c r="O3343" t="s">
        <v>738</v>
      </c>
      <c r="P3343" t="s">
        <v>670</v>
      </c>
      <c r="Q3343" t="s">
        <v>467</v>
      </c>
      <c r="R3343" t="s">
        <v>724</v>
      </c>
      <c r="S3343" t="s">
        <v>753</v>
      </c>
      <c r="T3343" t="s">
        <v>613</v>
      </c>
      <c r="U3343">
        <v>115100</v>
      </c>
      <c r="V3343" t="s">
        <v>15098</v>
      </c>
      <c r="W3343" t="s">
        <v>742</v>
      </c>
      <c r="X3343" t="s">
        <v>18641</v>
      </c>
      <c r="Y3343" t="s">
        <v>18642</v>
      </c>
      <c r="Z3343" t="s">
        <v>5242</v>
      </c>
      <c r="AA3343" t="s">
        <v>18643</v>
      </c>
      <c r="AE3343">
        <v>-36.626475190000001</v>
      </c>
      <c r="AF3343">
        <v>174.74541225999999</v>
      </c>
      <c r="AG3343" s="175">
        <v>50</v>
      </c>
      <c r="AH3343" s="175">
        <v>15</v>
      </c>
      <c r="AI3343" s="175"/>
      <c r="AJ3343" s="175"/>
      <c r="AK3343" s="175"/>
      <c r="AL3343" s="175"/>
      <c r="AM3343" s="175"/>
      <c r="AN3343" s="175"/>
      <c r="AO3343" s="175"/>
      <c r="AP3343" s="175"/>
      <c r="AQ3343" s="175"/>
      <c r="AR3343" s="175"/>
      <c r="AS3343" s="175"/>
    </row>
    <row r="3344" spans="1:46">
      <c r="A3344">
        <v>48262</v>
      </c>
      <c r="B3344" t="s">
        <v>18644</v>
      </c>
      <c r="C3344" t="s">
        <v>18645</v>
      </c>
      <c r="E3344" t="s">
        <v>18646</v>
      </c>
      <c r="F3344" t="s">
        <v>8536</v>
      </c>
      <c r="G3344" t="s">
        <v>1681</v>
      </c>
      <c r="H3344" t="s">
        <v>449</v>
      </c>
      <c r="J3344" t="s">
        <v>605</v>
      </c>
      <c r="K3344" t="s">
        <v>606</v>
      </c>
      <c r="M3344" t="s">
        <v>1382</v>
      </c>
      <c r="N3344" t="s">
        <v>657</v>
      </c>
      <c r="R3344" t="s">
        <v>1555</v>
      </c>
      <c r="X3344" t="s">
        <v>8441</v>
      </c>
      <c r="Y3344" t="s">
        <v>4014</v>
      </c>
      <c r="Z3344" t="s">
        <v>4015</v>
      </c>
      <c r="AA3344" t="s">
        <v>4016</v>
      </c>
      <c r="AB3344" t="s">
        <v>8442</v>
      </c>
      <c r="AC3344">
        <v>99036</v>
      </c>
      <c r="AD3344" t="s">
        <v>1792</v>
      </c>
      <c r="AG3344" s="175">
        <v>40</v>
      </c>
      <c r="AH3344" s="175">
        <v>10</v>
      </c>
      <c r="AI3344" s="175">
        <v>1</v>
      </c>
      <c r="AJ3344" s="175">
        <v>0</v>
      </c>
      <c r="AK3344" s="175">
        <v>4</v>
      </c>
      <c r="AL3344" s="175">
        <v>2</v>
      </c>
      <c r="AM3344" s="175">
        <v>3</v>
      </c>
      <c r="AN3344" s="175">
        <v>0</v>
      </c>
      <c r="AO3344" s="175">
        <v>10</v>
      </c>
      <c r="AP3344" s="175">
        <v>9</v>
      </c>
      <c r="AQ3344" s="175">
        <v>4</v>
      </c>
      <c r="AR3344" s="175">
        <v>0</v>
      </c>
      <c r="AS3344" s="175">
        <v>2</v>
      </c>
      <c r="AT3344" s="175">
        <v>0</v>
      </c>
    </row>
    <row r="3345" spans="1:45">
      <c r="A3345">
        <v>48264</v>
      </c>
      <c r="B3345" t="s">
        <v>18647</v>
      </c>
      <c r="C3345" t="s">
        <v>18648</v>
      </c>
      <c r="E3345" t="s">
        <v>18649</v>
      </c>
      <c r="F3345" t="s">
        <v>18650</v>
      </c>
      <c r="G3345" t="s">
        <v>2276</v>
      </c>
      <c r="H3345" t="s">
        <v>347</v>
      </c>
      <c r="I3345" t="s">
        <v>6871</v>
      </c>
      <c r="J3345" t="s">
        <v>605</v>
      </c>
      <c r="K3345" t="s">
        <v>606</v>
      </c>
      <c r="L3345" t="s">
        <v>4273</v>
      </c>
      <c r="M3345" t="s">
        <v>1382</v>
      </c>
      <c r="N3345" t="s">
        <v>625</v>
      </c>
      <c r="O3345" t="s">
        <v>2277</v>
      </c>
      <c r="P3345" t="s">
        <v>658</v>
      </c>
      <c r="Q3345" t="s">
        <v>513</v>
      </c>
      <c r="R3345" t="s">
        <v>2164</v>
      </c>
      <c r="S3345" t="s">
        <v>2278</v>
      </c>
      <c r="T3345" t="s">
        <v>2165</v>
      </c>
      <c r="U3345">
        <v>210400</v>
      </c>
      <c r="V3345" t="s">
        <v>18651</v>
      </c>
      <c r="W3345" t="s">
        <v>11923</v>
      </c>
      <c r="X3345" t="s">
        <v>8868</v>
      </c>
      <c r="Y3345" t="s">
        <v>4276</v>
      </c>
      <c r="Z3345" t="s">
        <v>4277</v>
      </c>
      <c r="AA3345" t="s">
        <v>4278</v>
      </c>
      <c r="AB3345" t="s">
        <v>8869</v>
      </c>
      <c r="AE3345">
        <v>-39.619770940000002</v>
      </c>
      <c r="AF3345">
        <v>176.8704559</v>
      </c>
      <c r="AG3345" s="175">
        <v>45</v>
      </c>
      <c r="AH3345" s="175">
        <v>15</v>
      </c>
      <c r="AI3345" s="175"/>
      <c r="AJ3345" s="175"/>
      <c r="AK3345" s="175"/>
      <c r="AL3345" s="175"/>
      <c r="AM3345" s="175"/>
      <c r="AN3345" s="175"/>
      <c r="AO3345" s="175"/>
      <c r="AP3345" s="175"/>
      <c r="AQ3345" s="175"/>
      <c r="AR3345" s="175"/>
      <c r="AS3345" s="175"/>
    </row>
    <row r="3346" spans="1:45">
      <c r="A3346">
        <v>48265</v>
      </c>
      <c r="B3346" t="s">
        <v>18652</v>
      </c>
      <c r="C3346" t="s">
        <v>18653</v>
      </c>
      <c r="D3346" t="s">
        <v>18654</v>
      </c>
      <c r="E3346" t="s">
        <v>18655</v>
      </c>
      <c r="F3346" t="s">
        <v>2746</v>
      </c>
      <c r="G3346" t="s">
        <v>2368</v>
      </c>
      <c r="H3346" t="s">
        <v>450</v>
      </c>
      <c r="I3346" t="s">
        <v>4371</v>
      </c>
      <c r="J3346" t="s">
        <v>4032</v>
      </c>
      <c r="K3346" t="s">
        <v>606</v>
      </c>
      <c r="M3346" t="s">
        <v>2366</v>
      </c>
      <c r="N3346" t="s">
        <v>9058</v>
      </c>
      <c r="O3346" t="s">
        <v>2614</v>
      </c>
      <c r="P3346" t="s">
        <v>739</v>
      </c>
      <c r="Q3346" t="s">
        <v>516</v>
      </c>
      <c r="R3346" t="s">
        <v>2368</v>
      </c>
      <c r="S3346" t="s">
        <v>2615</v>
      </c>
      <c r="T3346" t="s">
        <v>2526</v>
      </c>
      <c r="U3346">
        <v>253000</v>
      </c>
      <c r="V3346" t="s">
        <v>18656</v>
      </c>
      <c r="W3346" t="s">
        <v>2616</v>
      </c>
      <c r="X3346" t="s">
        <v>18657</v>
      </c>
      <c r="Y3346" t="s">
        <v>18658</v>
      </c>
      <c r="Z3346" t="s">
        <v>2746</v>
      </c>
      <c r="AA3346" t="s">
        <v>13288</v>
      </c>
      <c r="AB3346" t="s">
        <v>18653</v>
      </c>
      <c r="AE3346">
        <v>-41.315802320000003</v>
      </c>
      <c r="AF3346">
        <v>174.77957284999999</v>
      </c>
      <c r="AG3346" s="175">
        <v>80</v>
      </c>
      <c r="AH3346" s="175">
        <v>80</v>
      </c>
      <c r="AI3346" s="175"/>
      <c r="AJ3346" s="175"/>
      <c r="AK3346" s="175"/>
      <c r="AL3346" s="175"/>
      <c r="AM3346" s="175"/>
      <c r="AN3346" s="175"/>
      <c r="AO3346" s="175"/>
      <c r="AP3346" s="175"/>
      <c r="AQ3346" s="175"/>
      <c r="AR3346" s="175"/>
      <c r="AS3346" s="175"/>
    </row>
    <row r="3347" spans="1:45">
      <c r="A3347">
        <v>48266</v>
      </c>
      <c r="B3347" t="s">
        <v>18659</v>
      </c>
      <c r="C3347" t="s">
        <v>18660</v>
      </c>
      <c r="D3347" t="s">
        <v>18661</v>
      </c>
      <c r="E3347" t="s">
        <v>18662</v>
      </c>
      <c r="G3347" t="s">
        <v>18663</v>
      </c>
      <c r="H3347" t="s">
        <v>449</v>
      </c>
      <c r="I3347" t="s">
        <v>4041</v>
      </c>
      <c r="J3347" t="s">
        <v>605</v>
      </c>
      <c r="K3347" t="s">
        <v>606</v>
      </c>
      <c r="M3347" t="s">
        <v>2366</v>
      </c>
      <c r="N3347" t="s">
        <v>9058</v>
      </c>
      <c r="O3347" t="s">
        <v>3079</v>
      </c>
      <c r="P3347" t="s">
        <v>610</v>
      </c>
      <c r="Q3347" t="s">
        <v>520</v>
      </c>
      <c r="R3347" t="s">
        <v>2901</v>
      </c>
      <c r="S3347" t="s">
        <v>2945</v>
      </c>
      <c r="T3347" t="s">
        <v>2526</v>
      </c>
      <c r="U3347">
        <v>310700</v>
      </c>
      <c r="V3347" t="s">
        <v>18664</v>
      </c>
      <c r="W3347" t="s">
        <v>3113</v>
      </c>
      <c r="X3347" t="s">
        <v>18665</v>
      </c>
      <c r="Y3347" t="s">
        <v>18666</v>
      </c>
      <c r="AA3347" t="s">
        <v>11960</v>
      </c>
      <c r="AB3347" t="s">
        <v>18660</v>
      </c>
      <c r="AE3347">
        <v>-42.510515390000002</v>
      </c>
      <c r="AF3347">
        <v>171.16815851000001</v>
      </c>
      <c r="AG3347" s="175">
        <v>20</v>
      </c>
      <c r="AH3347" s="175">
        <v>0</v>
      </c>
      <c r="AI3347" s="175"/>
      <c r="AJ3347" s="175"/>
      <c r="AK3347" s="175"/>
      <c r="AL3347" s="175"/>
      <c r="AM3347" s="175"/>
      <c r="AN3347" s="175"/>
      <c r="AO3347" s="175"/>
      <c r="AP3347" s="175"/>
      <c r="AQ3347" s="175"/>
      <c r="AR3347" s="175"/>
      <c r="AS3347" s="175"/>
    </row>
    <row r="3348" spans="1:45">
      <c r="A3348">
        <v>48267</v>
      </c>
      <c r="B3348" t="s">
        <v>18667</v>
      </c>
      <c r="D3348" t="s">
        <v>18668</v>
      </c>
      <c r="E3348" t="s">
        <v>18669</v>
      </c>
      <c r="F3348" t="s">
        <v>957</v>
      </c>
      <c r="G3348" t="s">
        <v>737</v>
      </c>
      <c r="H3348" t="s">
        <v>449</v>
      </c>
      <c r="J3348" t="s">
        <v>4032</v>
      </c>
      <c r="K3348" t="s">
        <v>606</v>
      </c>
      <c r="M3348" t="s">
        <v>607</v>
      </c>
      <c r="N3348" t="s">
        <v>9058</v>
      </c>
      <c r="O3348" t="s">
        <v>803</v>
      </c>
      <c r="P3348" t="s">
        <v>739</v>
      </c>
      <c r="Q3348" t="s">
        <v>467</v>
      </c>
      <c r="R3348" t="s">
        <v>724</v>
      </c>
      <c r="S3348" t="s">
        <v>804</v>
      </c>
      <c r="T3348" t="s">
        <v>794</v>
      </c>
      <c r="U3348">
        <v>131000</v>
      </c>
      <c r="V3348" t="s">
        <v>4183</v>
      </c>
      <c r="W3348" t="s">
        <v>806</v>
      </c>
      <c r="X3348" t="s">
        <v>18670</v>
      </c>
      <c r="Y3348" t="s">
        <v>18671</v>
      </c>
      <c r="Z3348" t="s">
        <v>957</v>
      </c>
      <c r="AA3348" t="s">
        <v>5051</v>
      </c>
      <c r="AB3348" t="s">
        <v>17660</v>
      </c>
      <c r="AE3348">
        <v>-36.903236110000002</v>
      </c>
      <c r="AF3348">
        <v>174.65773956000001</v>
      </c>
      <c r="AG3348" s="175">
        <v>40</v>
      </c>
      <c r="AH3348" s="175">
        <v>10</v>
      </c>
      <c r="AI3348" s="175"/>
      <c r="AJ3348" s="175"/>
      <c r="AK3348" s="175"/>
      <c r="AL3348" s="175"/>
      <c r="AM3348" s="175"/>
      <c r="AN3348" s="175"/>
      <c r="AO3348" s="175"/>
      <c r="AP3348" s="175"/>
      <c r="AQ3348" s="175"/>
      <c r="AR3348" s="175"/>
      <c r="AS3348" s="175"/>
    </row>
    <row r="3349" spans="1:45">
      <c r="A3349">
        <v>48268</v>
      </c>
      <c r="B3349" t="s">
        <v>18672</v>
      </c>
      <c r="C3349" t="s">
        <v>18673</v>
      </c>
      <c r="E3349" t="s">
        <v>18674</v>
      </c>
      <c r="G3349" t="s">
        <v>10974</v>
      </c>
      <c r="H3349" t="s">
        <v>450</v>
      </c>
      <c r="J3349" t="s">
        <v>4032</v>
      </c>
      <c r="K3349" t="s">
        <v>606</v>
      </c>
      <c r="M3349" t="s">
        <v>2366</v>
      </c>
      <c r="N3349" t="s">
        <v>9058</v>
      </c>
      <c r="O3349" t="s">
        <v>3281</v>
      </c>
      <c r="P3349" t="s">
        <v>1347</v>
      </c>
      <c r="Q3349" t="s">
        <v>521</v>
      </c>
      <c r="R3349" t="s">
        <v>3017</v>
      </c>
      <c r="S3349" t="s">
        <v>3252</v>
      </c>
      <c r="T3349" t="s">
        <v>2526</v>
      </c>
      <c r="U3349">
        <v>335302</v>
      </c>
      <c r="V3349" t="s">
        <v>18104</v>
      </c>
      <c r="W3349" t="s">
        <v>10977</v>
      </c>
      <c r="X3349" t="s">
        <v>18675</v>
      </c>
      <c r="Y3349" t="s">
        <v>18674</v>
      </c>
      <c r="AA3349" t="s">
        <v>11636</v>
      </c>
      <c r="AB3349" t="s">
        <v>18673</v>
      </c>
      <c r="AE3349">
        <v>-43.604724079999997</v>
      </c>
      <c r="AF3349">
        <v>172.38395595</v>
      </c>
      <c r="AG3349" s="175">
        <v>50</v>
      </c>
      <c r="AH3349" s="175">
        <v>50</v>
      </c>
      <c r="AI3349" s="175"/>
      <c r="AJ3349" s="175"/>
      <c r="AK3349" s="175"/>
      <c r="AL3349" s="175"/>
      <c r="AM3349" s="175"/>
      <c r="AN3349" s="175"/>
      <c r="AO3349" s="175"/>
      <c r="AP3349" s="175"/>
      <c r="AQ3349" s="175"/>
      <c r="AR3349" s="175"/>
      <c r="AS3349" s="175"/>
    </row>
    <row r="3350" spans="1:45">
      <c r="A3350">
        <v>48269</v>
      </c>
      <c r="B3350" t="s">
        <v>18676</v>
      </c>
      <c r="E3350" t="s">
        <v>18677</v>
      </c>
      <c r="G3350" t="s">
        <v>5985</v>
      </c>
      <c r="H3350" t="s">
        <v>449</v>
      </c>
      <c r="J3350" t="s">
        <v>4032</v>
      </c>
      <c r="K3350" t="s">
        <v>606</v>
      </c>
      <c r="M3350" t="s">
        <v>607</v>
      </c>
      <c r="N3350" t="s">
        <v>9058</v>
      </c>
      <c r="O3350" t="s">
        <v>723</v>
      </c>
      <c r="P3350" t="s">
        <v>626</v>
      </c>
      <c r="Q3350" t="s">
        <v>467</v>
      </c>
      <c r="R3350" t="s">
        <v>724</v>
      </c>
      <c r="S3350" t="s">
        <v>725</v>
      </c>
      <c r="T3350" t="s">
        <v>613</v>
      </c>
      <c r="U3350">
        <v>110900</v>
      </c>
      <c r="V3350" t="s">
        <v>5000</v>
      </c>
      <c r="W3350" t="s">
        <v>726</v>
      </c>
      <c r="X3350" t="s">
        <v>18678</v>
      </c>
      <c r="Y3350" t="s">
        <v>18679</v>
      </c>
      <c r="AA3350" t="s">
        <v>15083</v>
      </c>
      <c r="AB3350" t="s">
        <v>18680</v>
      </c>
      <c r="AE3350">
        <v>-36.35309127</v>
      </c>
      <c r="AF3350">
        <v>174.71685206000001</v>
      </c>
      <c r="AG3350" s="175">
        <v>20</v>
      </c>
      <c r="AH3350" s="175">
        <v>0</v>
      </c>
      <c r="AI3350" s="175"/>
      <c r="AJ3350" s="175"/>
      <c r="AK3350" s="175"/>
      <c r="AL3350" s="175"/>
      <c r="AM3350" s="175"/>
      <c r="AN3350" s="175"/>
      <c r="AO3350" s="175"/>
      <c r="AP3350" s="175"/>
      <c r="AQ3350" s="175"/>
      <c r="AR3350" s="175"/>
      <c r="AS3350" s="175"/>
    </row>
    <row r="3351" spans="1:45">
      <c r="A3351">
        <v>48270</v>
      </c>
      <c r="B3351" t="s">
        <v>18681</v>
      </c>
      <c r="C3351" t="s">
        <v>18682</v>
      </c>
      <c r="E3351" t="s">
        <v>18683</v>
      </c>
      <c r="F3351" t="s">
        <v>2429</v>
      </c>
      <c r="G3351" t="s">
        <v>2396</v>
      </c>
      <c r="H3351" t="s">
        <v>449</v>
      </c>
      <c r="J3351" t="s">
        <v>4032</v>
      </c>
      <c r="K3351" t="s">
        <v>606</v>
      </c>
      <c r="M3351" t="s">
        <v>2366</v>
      </c>
      <c r="N3351" t="s">
        <v>9058</v>
      </c>
      <c r="O3351" t="s">
        <v>2397</v>
      </c>
      <c r="P3351" t="s">
        <v>1347</v>
      </c>
      <c r="Q3351" t="s">
        <v>516</v>
      </c>
      <c r="R3351" t="s">
        <v>2368</v>
      </c>
      <c r="S3351" t="s">
        <v>2348</v>
      </c>
      <c r="T3351" t="s">
        <v>2165</v>
      </c>
      <c r="U3351">
        <v>256200</v>
      </c>
      <c r="V3351" t="s">
        <v>2419</v>
      </c>
      <c r="W3351" t="s">
        <v>2399</v>
      </c>
      <c r="X3351" t="s">
        <v>17966</v>
      </c>
      <c r="Y3351" t="s">
        <v>18684</v>
      </c>
      <c r="Z3351" t="s">
        <v>2473</v>
      </c>
      <c r="AA3351" t="s">
        <v>18685</v>
      </c>
      <c r="AB3351" t="s">
        <v>18686</v>
      </c>
      <c r="AE3351">
        <v>-40.961726810000002</v>
      </c>
      <c r="AF3351">
        <v>175.61252332000001</v>
      </c>
      <c r="AG3351" s="175">
        <v>40</v>
      </c>
      <c r="AH3351" s="175">
        <v>13</v>
      </c>
      <c r="AI3351" s="175"/>
      <c r="AJ3351" s="175"/>
      <c r="AK3351" s="175"/>
      <c r="AL3351" s="175"/>
      <c r="AM3351" s="175"/>
      <c r="AN3351" s="175"/>
      <c r="AO3351" s="175"/>
      <c r="AP3351" s="175"/>
      <c r="AQ3351" s="175"/>
      <c r="AR3351" s="175"/>
      <c r="AS3351" s="175"/>
    </row>
    <row r="3352" spans="1:45">
      <c r="A3352">
        <v>48271</v>
      </c>
      <c r="B3352" t="s">
        <v>18687</v>
      </c>
      <c r="C3352" t="s">
        <v>18688</v>
      </c>
      <c r="E3352" t="s">
        <v>18689</v>
      </c>
      <c r="G3352" t="s">
        <v>1669</v>
      </c>
      <c r="H3352" t="s">
        <v>449</v>
      </c>
      <c r="J3352" t="s">
        <v>4032</v>
      </c>
      <c r="K3352" t="s">
        <v>606</v>
      </c>
      <c r="M3352" t="s">
        <v>1382</v>
      </c>
      <c r="N3352" t="s">
        <v>9058</v>
      </c>
      <c r="O3352" t="s">
        <v>669</v>
      </c>
      <c r="P3352" t="s">
        <v>670</v>
      </c>
      <c r="Q3352" t="s">
        <v>509</v>
      </c>
      <c r="R3352" t="s">
        <v>1384</v>
      </c>
      <c r="S3352" t="s">
        <v>671</v>
      </c>
      <c r="T3352" t="s">
        <v>613</v>
      </c>
      <c r="U3352">
        <v>107501</v>
      </c>
      <c r="V3352" t="s">
        <v>5018</v>
      </c>
      <c r="W3352" t="s">
        <v>673</v>
      </c>
      <c r="X3352" t="s">
        <v>18690</v>
      </c>
      <c r="Y3352" t="s">
        <v>18691</v>
      </c>
      <c r="AA3352" t="s">
        <v>18692</v>
      </c>
      <c r="AE3352">
        <v>-37.644087399999997</v>
      </c>
      <c r="AF3352">
        <v>175.52571954999999</v>
      </c>
      <c r="AG3352" s="175">
        <v>85</v>
      </c>
      <c r="AH3352" s="175">
        <v>25</v>
      </c>
      <c r="AI3352" s="175"/>
      <c r="AJ3352" s="175"/>
      <c r="AK3352" s="175"/>
      <c r="AL3352" s="175"/>
      <c r="AM3352" s="175"/>
      <c r="AN3352" s="175"/>
      <c r="AO3352" s="175"/>
      <c r="AP3352" s="175"/>
      <c r="AQ3352" s="175"/>
      <c r="AR3352" s="175"/>
      <c r="AS3352" s="175"/>
    </row>
    <row r="3353" spans="1:45">
      <c r="A3353">
        <v>48273</v>
      </c>
      <c r="B3353" t="s">
        <v>18693</v>
      </c>
      <c r="C3353" t="s">
        <v>18531</v>
      </c>
      <c r="E3353" t="s">
        <v>18694</v>
      </c>
      <c r="F3353" t="s">
        <v>1495</v>
      </c>
      <c r="G3353" t="s">
        <v>1381</v>
      </c>
      <c r="H3353" t="s">
        <v>449</v>
      </c>
      <c r="J3353" t="s">
        <v>4032</v>
      </c>
      <c r="K3353" t="s">
        <v>606</v>
      </c>
      <c r="M3353" t="s">
        <v>1382</v>
      </c>
      <c r="N3353" t="s">
        <v>9058</v>
      </c>
      <c r="O3353" t="s">
        <v>1383</v>
      </c>
      <c r="P3353" t="s">
        <v>739</v>
      </c>
      <c r="Q3353" t="s">
        <v>510</v>
      </c>
      <c r="R3353" t="s">
        <v>1384</v>
      </c>
      <c r="S3353" t="s">
        <v>1385</v>
      </c>
      <c r="T3353" t="s">
        <v>1320</v>
      </c>
      <c r="U3353">
        <v>176301</v>
      </c>
      <c r="V3353" t="s">
        <v>8493</v>
      </c>
      <c r="W3353" t="s">
        <v>1387</v>
      </c>
      <c r="X3353" t="s">
        <v>9178</v>
      </c>
      <c r="Y3353" t="s">
        <v>9179</v>
      </c>
      <c r="Z3353" t="s">
        <v>4194</v>
      </c>
      <c r="AA3353" t="s">
        <v>4631</v>
      </c>
      <c r="AB3353" t="s">
        <v>9180</v>
      </c>
      <c r="AE3353">
        <v>-37.743719540000001</v>
      </c>
      <c r="AF3353">
        <v>175.23199445</v>
      </c>
      <c r="AG3353" s="175">
        <v>60</v>
      </c>
      <c r="AH3353" s="175">
        <v>20</v>
      </c>
      <c r="AI3353" s="175"/>
      <c r="AJ3353" s="175"/>
      <c r="AK3353" s="175"/>
      <c r="AL3353" s="175"/>
      <c r="AM3353" s="175"/>
      <c r="AN3353" s="175"/>
      <c r="AO3353" s="175"/>
      <c r="AP3353" s="175"/>
      <c r="AQ3353" s="175"/>
      <c r="AR3353" s="175"/>
      <c r="AS3353" s="175"/>
    </row>
    <row r="3354" spans="1:45">
      <c r="A3354">
        <v>48274</v>
      </c>
      <c r="B3354" t="s">
        <v>18695</v>
      </c>
      <c r="E3354" t="s">
        <v>18696</v>
      </c>
      <c r="F3354" t="s">
        <v>18255</v>
      </c>
      <c r="G3354" t="s">
        <v>3015</v>
      </c>
      <c r="H3354" t="s">
        <v>449</v>
      </c>
      <c r="J3354" t="s">
        <v>605</v>
      </c>
      <c r="K3354" t="s">
        <v>606</v>
      </c>
      <c r="M3354" t="s">
        <v>2366</v>
      </c>
      <c r="N3354" t="s">
        <v>9058</v>
      </c>
      <c r="O3354" t="s">
        <v>3016</v>
      </c>
      <c r="P3354" t="s">
        <v>739</v>
      </c>
      <c r="Q3354" t="s">
        <v>521</v>
      </c>
      <c r="R3354" t="s">
        <v>3017</v>
      </c>
      <c r="S3354" t="s">
        <v>3092</v>
      </c>
      <c r="T3354" t="s">
        <v>2526</v>
      </c>
      <c r="U3354">
        <v>319800</v>
      </c>
      <c r="V3354" t="s">
        <v>18697</v>
      </c>
      <c r="W3354" t="s">
        <v>3093</v>
      </c>
      <c r="X3354" t="s">
        <v>10864</v>
      </c>
      <c r="Y3354" t="s">
        <v>4014</v>
      </c>
      <c r="Z3354" t="s">
        <v>4015</v>
      </c>
      <c r="AA3354" t="s">
        <v>4016</v>
      </c>
      <c r="AE3354">
        <v>-43.522325979999998</v>
      </c>
      <c r="AF3354">
        <v>172.54013669</v>
      </c>
      <c r="AG3354" s="175">
        <v>85</v>
      </c>
      <c r="AH3354" s="175">
        <v>16</v>
      </c>
      <c r="AI3354" s="175"/>
      <c r="AJ3354" s="175"/>
      <c r="AK3354" s="175"/>
      <c r="AL3354" s="175"/>
      <c r="AM3354" s="175"/>
      <c r="AN3354" s="175"/>
      <c r="AO3354" s="175"/>
      <c r="AP3354" s="175"/>
      <c r="AQ3354" s="175"/>
      <c r="AR3354" s="175"/>
      <c r="AS3354" s="175"/>
    </row>
    <row r="3355" spans="1:45">
      <c r="A3355">
        <v>48275</v>
      </c>
      <c r="B3355" t="s">
        <v>18698</v>
      </c>
      <c r="C3355" t="s">
        <v>18699</v>
      </c>
      <c r="E3355" t="s">
        <v>18700</v>
      </c>
      <c r="G3355" t="s">
        <v>2196</v>
      </c>
      <c r="H3355" t="s">
        <v>452</v>
      </c>
      <c r="J3355" t="s">
        <v>605</v>
      </c>
      <c r="K3355" t="s">
        <v>606</v>
      </c>
      <c r="M3355" t="s">
        <v>1382</v>
      </c>
      <c r="N3355" t="s">
        <v>9058</v>
      </c>
      <c r="O3355" t="s">
        <v>2197</v>
      </c>
      <c r="P3355" t="s">
        <v>610</v>
      </c>
      <c r="Q3355" t="s">
        <v>513</v>
      </c>
      <c r="R3355" t="s">
        <v>2164</v>
      </c>
      <c r="S3355" t="s">
        <v>2198</v>
      </c>
      <c r="T3355" t="s">
        <v>2165</v>
      </c>
      <c r="U3355">
        <v>207800</v>
      </c>
      <c r="V3355" t="s">
        <v>2196</v>
      </c>
      <c r="W3355" t="s">
        <v>651</v>
      </c>
      <c r="X3355" t="s">
        <v>2168</v>
      </c>
      <c r="Y3355" t="s">
        <v>2169</v>
      </c>
      <c r="AA3355" t="s">
        <v>2170</v>
      </c>
      <c r="AB3355" t="s">
        <v>2171</v>
      </c>
      <c r="AE3355">
        <v>-39.043311410000001</v>
      </c>
      <c r="AF3355">
        <v>177.42243418000001</v>
      </c>
      <c r="AG3355" s="175">
        <v>35</v>
      </c>
      <c r="AH3355" s="175">
        <v>0</v>
      </c>
      <c r="AI3355" s="175"/>
      <c r="AJ3355" s="175"/>
      <c r="AK3355" s="175"/>
      <c r="AL3355" s="175"/>
      <c r="AM3355" s="175"/>
      <c r="AN3355" s="175"/>
      <c r="AO3355" s="175"/>
      <c r="AP3355" s="175"/>
      <c r="AQ3355" s="175"/>
      <c r="AR3355" s="175"/>
      <c r="AS3355" s="175"/>
    </row>
    <row r="3356" spans="1:45">
      <c r="A3356">
        <v>48278</v>
      </c>
      <c r="B3356" t="s">
        <v>18701</v>
      </c>
      <c r="C3356" t="s">
        <v>18702</v>
      </c>
      <c r="E3356" t="s">
        <v>18703</v>
      </c>
      <c r="F3356" t="s">
        <v>4060</v>
      </c>
      <c r="G3356" t="s">
        <v>737</v>
      </c>
      <c r="H3356" t="s">
        <v>449</v>
      </c>
      <c r="J3356" t="s">
        <v>4032</v>
      </c>
      <c r="K3356" t="s">
        <v>606</v>
      </c>
      <c r="M3356" t="s">
        <v>607</v>
      </c>
      <c r="N3356" t="s">
        <v>9058</v>
      </c>
      <c r="O3356" t="s">
        <v>792</v>
      </c>
      <c r="P3356" t="s">
        <v>739</v>
      </c>
      <c r="Q3356" t="s">
        <v>467</v>
      </c>
      <c r="R3356" t="s">
        <v>793</v>
      </c>
      <c r="S3356" t="s">
        <v>863</v>
      </c>
      <c r="T3356" t="s">
        <v>794</v>
      </c>
      <c r="U3356">
        <v>152300</v>
      </c>
      <c r="V3356" t="s">
        <v>4060</v>
      </c>
      <c r="W3356" t="s">
        <v>796</v>
      </c>
      <c r="X3356" t="s">
        <v>14534</v>
      </c>
      <c r="Y3356" t="s">
        <v>18704</v>
      </c>
      <c r="Z3356" t="s">
        <v>862</v>
      </c>
      <c r="AA3356" t="s">
        <v>5237</v>
      </c>
      <c r="AB3356" t="s">
        <v>14536</v>
      </c>
      <c r="AE3356">
        <v>-36.950604820000002</v>
      </c>
      <c r="AF3356">
        <v>174.90242678000001</v>
      </c>
      <c r="AG3356" s="175">
        <v>100</v>
      </c>
      <c r="AH3356" s="175">
        <v>20</v>
      </c>
      <c r="AI3356" s="175"/>
      <c r="AJ3356" s="175"/>
      <c r="AK3356" s="175"/>
      <c r="AL3356" s="175"/>
      <c r="AM3356" s="175"/>
      <c r="AN3356" s="175"/>
      <c r="AO3356" s="175"/>
      <c r="AP3356" s="175"/>
      <c r="AQ3356" s="175"/>
      <c r="AR3356" s="175"/>
      <c r="AS3356" s="175"/>
    </row>
    <row r="3357" spans="1:45">
      <c r="A3357">
        <v>48280</v>
      </c>
      <c r="B3357" t="s">
        <v>18705</v>
      </c>
      <c r="C3357" t="s">
        <v>18706</v>
      </c>
      <c r="E3357" t="s">
        <v>18707</v>
      </c>
      <c r="F3357" t="s">
        <v>15980</v>
      </c>
      <c r="G3357" t="s">
        <v>2368</v>
      </c>
      <c r="H3357" t="s">
        <v>449</v>
      </c>
      <c r="J3357" t="s">
        <v>4032</v>
      </c>
      <c r="K3357" t="s">
        <v>606</v>
      </c>
      <c r="M3357" t="s">
        <v>2366</v>
      </c>
      <c r="N3357" t="s">
        <v>9058</v>
      </c>
      <c r="O3357" t="s">
        <v>2614</v>
      </c>
      <c r="P3357" t="s">
        <v>739</v>
      </c>
      <c r="Q3357" t="s">
        <v>516</v>
      </c>
      <c r="R3357" t="s">
        <v>2368</v>
      </c>
      <c r="S3357" t="s">
        <v>2631</v>
      </c>
      <c r="T3357" t="s">
        <v>2526</v>
      </c>
      <c r="U3357">
        <v>252000</v>
      </c>
      <c r="V3357" t="s">
        <v>18708</v>
      </c>
      <c r="W3357" t="s">
        <v>2651</v>
      </c>
      <c r="X3357" t="s">
        <v>11598</v>
      </c>
      <c r="Y3357" t="s">
        <v>14182</v>
      </c>
      <c r="Z3357" t="s">
        <v>906</v>
      </c>
      <c r="AA3357" t="s">
        <v>4138</v>
      </c>
      <c r="AB3357" t="s">
        <v>11600</v>
      </c>
      <c r="AE3357">
        <v>-41.29847333</v>
      </c>
      <c r="AF3357">
        <v>174.77420896000001</v>
      </c>
      <c r="AG3357" s="175">
        <v>40</v>
      </c>
      <c r="AH3357" s="175">
        <v>20</v>
      </c>
      <c r="AI3357" s="175"/>
      <c r="AJ3357" s="175"/>
      <c r="AK3357" s="175"/>
      <c r="AL3357" s="175"/>
      <c r="AM3357" s="175"/>
      <c r="AN3357" s="175"/>
      <c r="AO3357" s="175"/>
      <c r="AP3357" s="175"/>
      <c r="AQ3357" s="175"/>
      <c r="AR3357" s="175"/>
      <c r="AS3357" s="175"/>
    </row>
    <row r="3358" spans="1:45">
      <c r="A3358">
        <v>48281</v>
      </c>
      <c r="B3358" t="s">
        <v>18709</v>
      </c>
      <c r="C3358" t="s">
        <v>4521</v>
      </c>
      <c r="E3358" t="s">
        <v>18710</v>
      </c>
      <c r="G3358" t="s">
        <v>636</v>
      </c>
      <c r="H3358" t="s">
        <v>347</v>
      </c>
      <c r="J3358" t="s">
        <v>605</v>
      </c>
      <c r="K3358" t="s">
        <v>606</v>
      </c>
      <c r="L3358" t="s">
        <v>4273</v>
      </c>
      <c r="M3358" t="s">
        <v>607</v>
      </c>
      <c r="N3358" t="s">
        <v>608</v>
      </c>
      <c r="O3358" t="s">
        <v>609</v>
      </c>
      <c r="P3358" t="s">
        <v>610</v>
      </c>
      <c r="Q3358" t="s">
        <v>509</v>
      </c>
      <c r="R3358" t="s">
        <v>611</v>
      </c>
      <c r="S3358" t="s">
        <v>612</v>
      </c>
      <c r="T3358" t="s">
        <v>613</v>
      </c>
      <c r="U3358">
        <v>103501</v>
      </c>
      <c r="V3358" t="s">
        <v>636</v>
      </c>
      <c r="W3358" t="s">
        <v>637</v>
      </c>
      <c r="X3358" t="s">
        <v>4520</v>
      </c>
      <c r="Y3358" t="s">
        <v>4276</v>
      </c>
      <c r="Z3358" t="s">
        <v>4277</v>
      </c>
      <c r="AA3358" t="s">
        <v>4278</v>
      </c>
      <c r="AB3358" t="s">
        <v>4521</v>
      </c>
      <c r="AE3358">
        <v>-35.413297159999999</v>
      </c>
      <c r="AF3358">
        <v>173.8095179</v>
      </c>
      <c r="AG3358" s="175">
        <v>30</v>
      </c>
      <c r="AH3358" s="175">
        <v>8</v>
      </c>
      <c r="AI3358" s="175"/>
      <c r="AJ3358" s="175"/>
      <c r="AK3358" s="175"/>
      <c r="AL3358" s="175"/>
      <c r="AM3358" s="175"/>
      <c r="AN3358" s="175"/>
      <c r="AO3358" s="175"/>
      <c r="AP3358" s="175"/>
      <c r="AQ3358" s="175"/>
      <c r="AR3358" s="175"/>
      <c r="AS3358" s="175"/>
    </row>
    <row r="3359" spans="1:45">
      <c r="A3359">
        <v>48283</v>
      </c>
      <c r="B3359" t="s">
        <v>18711</v>
      </c>
      <c r="C3359" t="s">
        <v>18712</v>
      </c>
      <c r="D3359" t="s">
        <v>18713</v>
      </c>
      <c r="E3359" t="s">
        <v>18714</v>
      </c>
      <c r="F3359" t="s">
        <v>1900</v>
      </c>
      <c r="G3359" t="s">
        <v>1839</v>
      </c>
      <c r="H3359" t="s">
        <v>449</v>
      </c>
      <c r="J3359" t="s">
        <v>4032</v>
      </c>
      <c r="K3359" t="s">
        <v>606</v>
      </c>
      <c r="M3359" t="s">
        <v>1382</v>
      </c>
      <c r="N3359" t="s">
        <v>9058</v>
      </c>
      <c r="O3359" t="s">
        <v>1840</v>
      </c>
      <c r="P3359" t="s">
        <v>670</v>
      </c>
      <c r="Q3359" t="s">
        <v>514</v>
      </c>
      <c r="R3359" t="s">
        <v>1841</v>
      </c>
      <c r="S3359" t="s">
        <v>1839</v>
      </c>
      <c r="T3359" t="s">
        <v>1568</v>
      </c>
      <c r="U3359">
        <v>216300</v>
      </c>
      <c r="V3359" t="s">
        <v>1900</v>
      </c>
      <c r="W3359" t="s">
        <v>1843</v>
      </c>
      <c r="X3359" t="s">
        <v>17174</v>
      </c>
      <c r="Y3359" t="s">
        <v>18714</v>
      </c>
      <c r="Z3359" t="s">
        <v>1900</v>
      </c>
      <c r="AA3359" t="s">
        <v>12635</v>
      </c>
      <c r="AB3359" t="s">
        <v>17175</v>
      </c>
      <c r="AE3359">
        <v>-39.071701969999999</v>
      </c>
      <c r="AF3359">
        <v>174.02562047999999</v>
      </c>
      <c r="AG3359" s="175">
        <v>90</v>
      </c>
      <c r="AH3359" s="175">
        <v>40</v>
      </c>
      <c r="AI3359" s="175"/>
      <c r="AJ3359" s="175"/>
      <c r="AK3359" s="175"/>
      <c r="AL3359" s="175"/>
      <c r="AM3359" s="175"/>
      <c r="AN3359" s="175"/>
      <c r="AO3359" s="175"/>
      <c r="AP3359" s="175"/>
      <c r="AQ3359" s="175"/>
      <c r="AR3359" s="175"/>
      <c r="AS3359" s="175"/>
    </row>
    <row r="3360" spans="1:45">
      <c r="A3360">
        <v>48285</v>
      </c>
      <c r="B3360" t="s">
        <v>18715</v>
      </c>
      <c r="C3360" t="s">
        <v>18716</v>
      </c>
      <c r="E3360" t="s">
        <v>18717</v>
      </c>
      <c r="G3360" t="s">
        <v>2068</v>
      </c>
      <c r="H3360" t="s">
        <v>449</v>
      </c>
      <c r="J3360" t="s">
        <v>4032</v>
      </c>
      <c r="K3360" t="s">
        <v>606</v>
      </c>
      <c r="M3360" t="s">
        <v>1382</v>
      </c>
      <c r="N3360" t="s">
        <v>9058</v>
      </c>
      <c r="O3360" t="s">
        <v>2069</v>
      </c>
      <c r="P3360" t="s">
        <v>1347</v>
      </c>
      <c r="Q3360" t="s">
        <v>553</v>
      </c>
      <c r="R3360" t="s">
        <v>1841</v>
      </c>
      <c r="S3360" t="s">
        <v>1719</v>
      </c>
      <c r="T3360" t="s">
        <v>1568</v>
      </c>
      <c r="U3360">
        <v>228500</v>
      </c>
      <c r="V3360" t="s">
        <v>2070</v>
      </c>
      <c r="W3360" t="s">
        <v>2071</v>
      </c>
      <c r="X3360" t="s">
        <v>12879</v>
      </c>
      <c r="Y3360" t="s">
        <v>4701</v>
      </c>
      <c r="AA3360" t="s">
        <v>4702</v>
      </c>
      <c r="AB3360" t="s">
        <v>12880</v>
      </c>
      <c r="AE3360">
        <v>-40.221824689999998</v>
      </c>
      <c r="AF3360">
        <v>175.57767895999999</v>
      </c>
      <c r="AG3360" s="175">
        <v>70</v>
      </c>
      <c r="AH3360" s="175">
        <v>20</v>
      </c>
      <c r="AI3360" s="175"/>
      <c r="AJ3360" s="175"/>
      <c r="AK3360" s="175"/>
      <c r="AL3360" s="175"/>
      <c r="AM3360" s="175"/>
      <c r="AN3360" s="175"/>
      <c r="AO3360" s="175"/>
      <c r="AP3360" s="175"/>
      <c r="AQ3360" s="175"/>
      <c r="AR3360" s="175"/>
      <c r="AS3360" s="175"/>
    </row>
    <row r="3361" spans="1:45">
      <c r="A3361">
        <v>48286</v>
      </c>
      <c r="B3361" t="s">
        <v>18718</v>
      </c>
      <c r="C3361" t="s">
        <v>18719</v>
      </c>
      <c r="E3361" t="s">
        <v>18720</v>
      </c>
      <c r="F3361" t="s">
        <v>1495</v>
      </c>
      <c r="G3361" t="s">
        <v>1381</v>
      </c>
      <c r="H3361" t="s">
        <v>449</v>
      </c>
      <c r="J3361" t="s">
        <v>4032</v>
      </c>
      <c r="K3361" t="s">
        <v>606</v>
      </c>
      <c r="M3361" t="s">
        <v>1382</v>
      </c>
      <c r="N3361" t="s">
        <v>9058</v>
      </c>
      <c r="O3361" t="s">
        <v>1383</v>
      </c>
      <c r="P3361" t="s">
        <v>739</v>
      </c>
      <c r="Q3361" t="s">
        <v>510</v>
      </c>
      <c r="R3361" t="s">
        <v>1384</v>
      </c>
      <c r="S3361" t="s">
        <v>1385</v>
      </c>
      <c r="T3361" t="s">
        <v>1320</v>
      </c>
      <c r="U3361">
        <v>175201</v>
      </c>
      <c r="V3361" t="s">
        <v>9123</v>
      </c>
      <c r="W3361" t="s">
        <v>1387</v>
      </c>
      <c r="X3361" t="s">
        <v>18721</v>
      </c>
      <c r="Y3361" t="s">
        <v>18722</v>
      </c>
      <c r="Z3361" t="s">
        <v>1495</v>
      </c>
      <c r="AA3361" t="s">
        <v>9061</v>
      </c>
      <c r="AB3361" t="s">
        <v>18719</v>
      </c>
      <c r="AE3361">
        <v>-37.739325000000001</v>
      </c>
      <c r="AF3361">
        <v>175.23173592000001</v>
      </c>
      <c r="AG3361" s="175">
        <v>52</v>
      </c>
      <c r="AH3361" s="175">
        <v>15</v>
      </c>
      <c r="AI3361" s="175"/>
      <c r="AJ3361" s="175"/>
      <c r="AK3361" s="175"/>
      <c r="AL3361" s="175"/>
      <c r="AM3361" s="175"/>
      <c r="AN3361" s="175"/>
      <c r="AO3361" s="175"/>
      <c r="AP3361" s="175"/>
      <c r="AQ3361" s="175"/>
      <c r="AR3361" s="175"/>
      <c r="AS3361" s="175"/>
    </row>
    <row r="3362" spans="1:45">
      <c r="A3362">
        <v>48288</v>
      </c>
      <c r="B3362" t="s">
        <v>18723</v>
      </c>
      <c r="C3362" t="s">
        <v>18724</v>
      </c>
      <c r="E3362" t="s">
        <v>18725</v>
      </c>
      <c r="G3362" t="s">
        <v>604</v>
      </c>
      <c r="H3362" t="s">
        <v>470</v>
      </c>
      <c r="J3362" t="s">
        <v>4032</v>
      </c>
      <c r="K3362" t="s">
        <v>606</v>
      </c>
      <c r="M3362" t="s">
        <v>607</v>
      </c>
      <c r="N3362" t="s">
        <v>9058</v>
      </c>
      <c r="O3362" t="s">
        <v>609</v>
      </c>
      <c r="P3362" t="s">
        <v>610</v>
      </c>
      <c r="Q3362" t="s">
        <v>509</v>
      </c>
      <c r="R3362" t="s">
        <v>611</v>
      </c>
      <c r="S3362" t="s">
        <v>612</v>
      </c>
      <c r="T3362" t="s">
        <v>613</v>
      </c>
      <c r="U3362">
        <v>100800</v>
      </c>
      <c r="V3362" t="s">
        <v>614</v>
      </c>
      <c r="W3362" t="s">
        <v>615</v>
      </c>
      <c r="X3362" t="s">
        <v>13080</v>
      </c>
      <c r="Y3362" t="s">
        <v>13081</v>
      </c>
      <c r="AA3362" t="s">
        <v>13082</v>
      </c>
      <c r="AB3362" t="s">
        <v>13083</v>
      </c>
      <c r="AE3362">
        <v>-35.115468509999999</v>
      </c>
      <c r="AF3362">
        <v>173.25865748999999</v>
      </c>
      <c r="AG3362" s="175">
        <v>40</v>
      </c>
      <c r="AH3362" s="175">
        <v>10</v>
      </c>
      <c r="AI3362" s="175"/>
      <c r="AJ3362" s="175"/>
      <c r="AK3362" s="175"/>
      <c r="AL3362" s="175"/>
      <c r="AM3362" s="175"/>
      <c r="AN3362" s="175"/>
      <c r="AO3362" s="175"/>
      <c r="AP3362" s="175"/>
      <c r="AQ3362" s="175"/>
      <c r="AR3362" s="175"/>
      <c r="AS3362" s="175"/>
    </row>
    <row r="3363" spans="1:45">
      <c r="A3363">
        <v>48289</v>
      </c>
      <c r="B3363" t="s">
        <v>18726</v>
      </c>
      <c r="C3363" t="s">
        <v>18727</v>
      </c>
      <c r="E3363" t="s">
        <v>18728</v>
      </c>
      <c r="F3363" t="s">
        <v>3267</v>
      </c>
      <c r="G3363" t="s">
        <v>3015</v>
      </c>
      <c r="H3363" t="s">
        <v>449</v>
      </c>
      <c r="I3363" t="s">
        <v>4134</v>
      </c>
      <c r="J3363" t="s">
        <v>4032</v>
      </c>
      <c r="K3363" t="s">
        <v>606</v>
      </c>
      <c r="M3363" t="s">
        <v>2366</v>
      </c>
      <c r="N3363" t="s">
        <v>9058</v>
      </c>
      <c r="O3363" t="s">
        <v>3016</v>
      </c>
      <c r="P3363" t="s">
        <v>739</v>
      </c>
      <c r="Q3363" t="s">
        <v>521</v>
      </c>
      <c r="R3363" t="s">
        <v>3017</v>
      </c>
      <c r="S3363" t="s">
        <v>3052</v>
      </c>
      <c r="T3363" t="s">
        <v>2526</v>
      </c>
      <c r="U3363">
        <v>329002</v>
      </c>
      <c r="V3363" t="s">
        <v>17503</v>
      </c>
      <c r="W3363" t="s">
        <v>3269</v>
      </c>
      <c r="X3363" t="s">
        <v>11480</v>
      </c>
      <c r="Y3363" t="s">
        <v>11481</v>
      </c>
      <c r="Z3363" t="s">
        <v>3092</v>
      </c>
      <c r="AA3363" t="s">
        <v>11482</v>
      </c>
      <c r="AB3363" t="s">
        <v>18729</v>
      </c>
      <c r="AE3363">
        <v>-43.583021799999997</v>
      </c>
      <c r="AF3363">
        <v>172.57924037999999</v>
      </c>
      <c r="AG3363" s="175">
        <v>132</v>
      </c>
      <c r="AH3363" s="175">
        <v>32</v>
      </c>
      <c r="AI3363" s="175"/>
      <c r="AJ3363" s="175"/>
      <c r="AK3363" s="175"/>
      <c r="AL3363" s="175"/>
      <c r="AM3363" s="175"/>
      <c r="AN3363" s="175"/>
      <c r="AO3363" s="175"/>
      <c r="AP3363" s="175"/>
      <c r="AQ3363" s="175"/>
      <c r="AR3363" s="175"/>
      <c r="AS3363" s="175"/>
    </row>
    <row r="3364" spans="1:45">
      <c r="A3364">
        <v>48290</v>
      </c>
      <c r="B3364" t="s">
        <v>18730</v>
      </c>
      <c r="C3364" t="s">
        <v>18731</v>
      </c>
      <c r="E3364" t="s">
        <v>18732</v>
      </c>
      <c r="F3364" t="s">
        <v>3141</v>
      </c>
      <c r="G3364" t="s">
        <v>3015</v>
      </c>
      <c r="H3364" t="s">
        <v>449</v>
      </c>
      <c r="J3364" t="s">
        <v>4032</v>
      </c>
      <c r="K3364" t="s">
        <v>606</v>
      </c>
      <c r="M3364" t="s">
        <v>2366</v>
      </c>
      <c r="N3364" t="s">
        <v>9058</v>
      </c>
      <c r="O3364" t="s">
        <v>3016</v>
      </c>
      <c r="P3364" t="s">
        <v>739</v>
      </c>
      <c r="Q3364" t="s">
        <v>521</v>
      </c>
      <c r="R3364" t="s">
        <v>3017</v>
      </c>
      <c r="S3364" t="s">
        <v>3046</v>
      </c>
      <c r="T3364" t="s">
        <v>2526</v>
      </c>
      <c r="U3364">
        <v>325900</v>
      </c>
      <c r="V3364" t="s">
        <v>3218</v>
      </c>
      <c r="W3364" t="s">
        <v>2521</v>
      </c>
      <c r="X3364" t="s">
        <v>16923</v>
      </c>
      <c r="Y3364" t="s">
        <v>16924</v>
      </c>
      <c r="Z3364" t="s">
        <v>3030</v>
      </c>
      <c r="AA3364" t="s">
        <v>12388</v>
      </c>
      <c r="AE3364">
        <v>-43.508061689999998</v>
      </c>
      <c r="AF3364">
        <v>172.66090124999999</v>
      </c>
      <c r="AG3364" s="175">
        <v>55</v>
      </c>
      <c r="AH3364" s="175">
        <v>25</v>
      </c>
      <c r="AI3364" s="175"/>
      <c r="AJ3364" s="175"/>
      <c r="AK3364" s="175"/>
      <c r="AL3364" s="175"/>
      <c r="AM3364" s="175"/>
      <c r="AN3364" s="175"/>
      <c r="AO3364" s="175"/>
      <c r="AP3364" s="175"/>
      <c r="AQ3364" s="175"/>
      <c r="AR3364" s="175"/>
      <c r="AS3364" s="175"/>
    </row>
    <row r="3365" spans="1:45">
      <c r="A3365">
        <v>48291</v>
      </c>
      <c r="B3365" t="s">
        <v>18733</v>
      </c>
      <c r="C3365" t="s">
        <v>18734</v>
      </c>
      <c r="E3365" t="s">
        <v>18735</v>
      </c>
      <c r="G3365" t="s">
        <v>18736</v>
      </c>
      <c r="H3365" t="s">
        <v>449</v>
      </c>
      <c r="J3365" t="s">
        <v>605</v>
      </c>
      <c r="K3365" t="s">
        <v>606</v>
      </c>
      <c r="M3365" t="s">
        <v>2366</v>
      </c>
      <c r="N3365" t="s">
        <v>9058</v>
      </c>
      <c r="O3365" t="s">
        <v>3906</v>
      </c>
      <c r="P3365" t="s">
        <v>626</v>
      </c>
      <c r="Q3365" t="s">
        <v>522</v>
      </c>
      <c r="R3365" t="s">
        <v>3410</v>
      </c>
      <c r="S3365" t="s">
        <v>3433</v>
      </c>
      <c r="T3365" t="s">
        <v>2526</v>
      </c>
      <c r="U3365">
        <v>346000</v>
      </c>
      <c r="V3365" t="s">
        <v>18736</v>
      </c>
      <c r="W3365" t="s">
        <v>3908</v>
      </c>
      <c r="X3365" t="s">
        <v>18737</v>
      </c>
      <c r="Y3365" t="s">
        <v>18738</v>
      </c>
      <c r="AA3365" t="s">
        <v>18739</v>
      </c>
      <c r="AE3365">
        <v>-44.851026580000003</v>
      </c>
      <c r="AF3365">
        <v>168.38638107</v>
      </c>
      <c r="AG3365" s="175">
        <v>12</v>
      </c>
      <c r="AH3365" s="175">
        <v>0</v>
      </c>
      <c r="AI3365" s="175"/>
      <c r="AJ3365" s="175"/>
      <c r="AK3365" s="175"/>
      <c r="AL3365" s="175"/>
      <c r="AM3365" s="175"/>
      <c r="AN3365" s="175"/>
      <c r="AO3365" s="175"/>
      <c r="AP3365" s="175"/>
      <c r="AQ3365" s="175"/>
      <c r="AR3365" s="175"/>
      <c r="AS3365" s="175"/>
    </row>
    <row r="3366" spans="1:45">
      <c r="A3366">
        <v>48292</v>
      </c>
      <c r="B3366" t="s">
        <v>18740</v>
      </c>
      <c r="C3366" t="s">
        <v>18741</v>
      </c>
      <c r="E3366" t="s">
        <v>18742</v>
      </c>
      <c r="F3366" t="s">
        <v>10216</v>
      </c>
      <c r="G3366" t="s">
        <v>1681</v>
      </c>
      <c r="H3366" t="s">
        <v>449</v>
      </c>
      <c r="J3366" t="s">
        <v>4032</v>
      </c>
      <c r="K3366" t="s">
        <v>606</v>
      </c>
      <c r="M3366" t="s">
        <v>1382</v>
      </c>
      <c r="N3366" t="s">
        <v>9058</v>
      </c>
      <c r="O3366" t="s">
        <v>1780</v>
      </c>
      <c r="P3366" t="s">
        <v>739</v>
      </c>
      <c r="Q3366" t="s">
        <v>511</v>
      </c>
      <c r="R3366" t="s">
        <v>1555</v>
      </c>
      <c r="S3366" t="s">
        <v>1681</v>
      </c>
      <c r="T3366" t="s">
        <v>1557</v>
      </c>
      <c r="U3366">
        <v>193400</v>
      </c>
      <c r="V3366" t="s">
        <v>10672</v>
      </c>
      <c r="W3366" t="s">
        <v>1791</v>
      </c>
      <c r="X3366" t="s">
        <v>18743</v>
      </c>
      <c r="Y3366" t="s">
        <v>18744</v>
      </c>
      <c r="Z3366" t="s">
        <v>1789</v>
      </c>
      <c r="AA3366" t="s">
        <v>8468</v>
      </c>
      <c r="AE3366">
        <v>-37.689997730000002</v>
      </c>
      <c r="AF3366">
        <v>176.13340081999999</v>
      </c>
      <c r="AG3366" s="175">
        <v>20</v>
      </c>
      <c r="AH3366" s="175">
        <v>4</v>
      </c>
      <c r="AI3366" s="175"/>
      <c r="AJ3366" s="175"/>
      <c r="AK3366" s="175"/>
      <c r="AL3366" s="175"/>
      <c r="AM3366" s="175"/>
      <c r="AN3366" s="175"/>
      <c r="AO3366" s="175"/>
      <c r="AP3366" s="175"/>
      <c r="AQ3366" s="175"/>
      <c r="AR3366" s="175"/>
      <c r="AS3366" s="175"/>
    </row>
    <row r="3367" spans="1:45">
      <c r="A3367">
        <v>48295</v>
      </c>
      <c r="B3367" t="s">
        <v>18745</v>
      </c>
      <c r="C3367" t="s">
        <v>17761</v>
      </c>
      <c r="E3367" t="s">
        <v>18746</v>
      </c>
      <c r="F3367" t="s">
        <v>13046</v>
      </c>
      <c r="G3367" t="s">
        <v>1381</v>
      </c>
      <c r="H3367" t="s">
        <v>449</v>
      </c>
      <c r="J3367" t="s">
        <v>4032</v>
      </c>
      <c r="K3367" t="s">
        <v>606</v>
      </c>
      <c r="M3367" t="s">
        <v>1382</v>
      </c>
      <c r="N3367" t="s">
        <v>9058</v>
      </c>
      <c r="O3367" t="s">
        <v>1383</v>
      </c>
      <c r="P3367" t="s">
        <v>739</v>
      </c>
      <c r="Q3367" t="s">
        <v>510</v>
      </c>
      <c r="R3367" t="s">
        <v>1384</v>
      </c>
      <c r="S3367" t="s">
        <v>1396</v>
      </c>
      <c r="T3367" t="s">
        <v>1320</v>
      </c>
      <c r="U3367">
        <v>178400</v>
      </c>
      <c r="V3367" t="s">
        <v>1459</v>
      </c>
      <c r="W3367" t="s">
        <v>1398</v>
      </c>
      <c r="X3367" t="s">
        <v>9178</v>
      </c>
      <c r="Y3367" t="s">
        <v>9179</v>
      </c>
      <c r="Z3367" t="s">
        <v>4194</v>
      </c>
      <c r="AA3367" t="s">
        <v>4551</v>
      </c>
      <c r="AB3367" t="s">
        <v>9180</v>
      </c>
      <c r="AE3367">
        <v>-37.764968840000002</v>
      </c>
      <c r="AF3367">
        <v>175.29200119000001</v>
      </c>
      <c r="AG3367" s="175">
        <v>80</v>
      </c>
      <c r="AH3367" s="175">
        <v>20</v>
      </c>
      <c r="AI3367" s="175"/>
      <c r="AJ3367" s="175"/>
      <c r="AK3367" s="175"/>
      <c r="AL3367" s="175"/>
      <c r="AM3367" s="175"/>
      <c r="AN3367" s="175"/>
      <c r="AO3367" s="175"/>
      <c r="AP3367" s="175"/>
      <c r="AQ3367" s="175"/>
      <c r="AR3367" s="175"/>
      <c r="AS3367" s="175"/>
    </row>
    <row r="3368" spans="1:45">
      <c r="A3368">
        <v>48296</v>
      </c>
      <c r="B3368" t="s">
        <v>18747</v>
      </c>
      <c r="E3368" t="s">
        <v>18748</v>
      </c>
      <c r="F3368" t="s">
        <v>667</v>
      </c>
      <c r="G3368" t="s">
        <v>668</v>
      </c>
      <c r="H3368" t="s">
        <v>449</v>
      </c>
      <c r="J3368" t="s">
        <v>4032</v>
      </c>
      <c r="K3368" t="s">
        <v>606</v>
      </c>
      <c r="M3368" t="s">
        <v>607</v>
      </c>
      <c r="N3368" t="s">
        <v>9058</v>
      </c>
      <c r="O3368" t="s">
        <v>669</v>
      </c>
      <c r="P3368" t="s">
        <v>670</v>
      </c>
      <c r="Q3368" t="s">
        <v>509</v>
      </c>
      <c r="R3368" t="s">
        <v>611</v>
      </c>
      <c r="S3368" t="s">
        <v>671</v>
      </c>
      <c r="T3368" t="s">
        <v>613</v>
      </c>
      <c r="U3368">
        <v>106201</v>
      </c>
      <c r="V3368" t="s">
        <v>672</v>
      </c>
      <c r="W3368" t="s">
        <v>673</v>
      </c>
      <c r="X3368" t="s">
        <v>18749</v>
      </c>
      <c r="Y3368" t="s">
        <v>13367</v>
      </c>
      <c r="Z3368" t="s">
        <v>667</v>
      </c>
      <c r="AA3368" t="s">
        <v>4596</v>
      </c>
      <c r="AB3368" t="s">
        <v>18750</v>
      </c>
      <c r="AE3368">
        <v>-35.686112399999999</v>
      </c>
      <c r="AF3368">
        <v>174.32584141000001</v>
      </c>
      <c r="AG3368" s="175">
        <v>40</v>
      </c>
      <c r="AH3368" s="175">
        <v>8</v>
      </c>
      <c r="AI3368" s="175"/>
      <c r="AJ3368" s="175"/>
      <c r="AK3368" s="175"/>
      <c r="AL3368" s="175"/>
      <c r="AM3368" s="175"/>
      <c r="AN3368" s="175"/>
      <c r="AO3368" s="175"/>
      <c r="AP3368" s="175"/>
      <c r="AQ3368" s="175"/>
      <c r="AR3368" s="175"/>
      <c r="AS3368" s="175"/>
    </row>
    <row r="3369" spans="1:45">
      <c r="A3369">
        <v>48298</v>
      </c>
      <c r="B3369" t="s">
        <v>18751</v>
      </c>
      <c r="C3369" t="s">
        <v>18752</v>
      </c>
      <c r="E3369" t="s">
        <v>18753</v>
      </c>
      <c r="G3369" t="s">
        <v>697</v>
      </c>
      <c r="H3369" t="s">
        <v>449</v>
      </c>
      <c r="J3369" t="s">
        <v>4032</v>
      </c>
      <c r="K3369" t="s">
        <v>606</v>
      </c>
      <c r="M3369" t="s">
        <v>607</v>
      </c>
      <c r="N3369" t="s">
        <v>9058</v>
      </c>
      <c r="O3369" t="s">
        <v>669</v>
      </c>
      <c r="P3369" t="s">
        <v>610</v>
      </c>
      <c r="Q3369" t="s">
        <v>509</v>
      </c>
      <c r="R3369" t="s">
        <v>611</v>
      </c>
      <c r="S3369" t="s">
        <v>671</v>
      </c>
      <c r="T3369" t="s">
        <v>613</v>
      </c>
      <c r="U3369">
        <v>105200</v>
      </c>
      <c r="V3369" t="s">
        <v>697</v>
      </c>
      <c r="W3369" t="s">
        <v>698</v>
      </c>
      <c r="X3369" t="s">
        <v>18754</v>
      </c>
      <c r="Y3369" t="s">
        <v>18755</v>
      </c>
      <c r="AA3369" t="s">
        <v>18756</v>
      </c>
      <c r="AE3369">
        <v>-35.598508199999998</v>
      </c>
      <c r="AF3369">
        <v>174.28796335999999</v>
      </c>
      <c r="AG3369" s="175">
        <v>27</v>
      </c>
      <c r="AH3369" s="175">
        <v>0</v>
      </c>
      <c r="AI3369" s="175"/>
      <c r="AJ3369" s="175"/>
      <c r="AK3369" s="175"/>
      <c r="AL3369" s="175"/>
      <c r="AM3369" s="175"/>
      <c r="AN3369" s="175"/>
      <c r="AO3369" s="175"/>
      <c r="AP3369" s="175"/>
      <c r="AQ3369" s="175"/>
      <c r="AR3369" s="175"/>
      <c r="AS3369" s="175"/>
    </row>
    <row r="3370" spans="1:45">
      <c r="A3370">
        <v>48301</v>
      </c>
      <c r="B3370" t="s">
        <v>18757</v>
      </c>
      <c r="C3370" t="s">
        <v>18758</v>
      </c>
      <c r="E3370" t="s">
        <v>18759</v>
      </c>
      <c r="F3370" t="s">
        <v>14233</v>
      </c>
      <c r="G3370" t="s">
        <v>737</v>
      </c>
      <c r="H3370" t="s">
        <v>449</v>
      </c>
      <c r="J3370" t="s">
        <v>4032</v>
      </c>
      <c r="K3370" t="s">
        <v>606</v>
      </c>
      <c r="M3370" t="s">
        <v>607</v>
      </c>
      <c r="N3370" t="s">
        <v>9058</v>
      </c>
      <c r="O3370" t="s">
        <v>1301</v>
      </c>
      <c r="P3370" t="s">
        <v>739</v>
      </c>
      <c r="Q3370" t="s">
        <v>467</v>
      </c>
      <c r="R3370" t="s">
        <v>814</v>
      </c>
      <c r="S3370" t="s">
        <v>1121</v>
      </c>
      <c r="T3370" t="s">
        <v>794</v>
      </c>
      <c r="U3370">
        <v>158700</v>
      </c>
      <c r="V3370" t="s">
        <v>1372</v>
      </c>
      <c r="W3370" t="s">
        <v>1304</v>
      </c>
      <c r="X3370" t="s">
        <v>18760</v>
      </c>
      <c r="Y3370" t="s">
        <v>7438</v>
      </c>
      <c r="Z3370" t="s">
        <v>1120</v>
      </c>
      <c r="AA3370" t="s">
        <v>7439</v>
      </c>
      <c r="AE3370">
        <v>-37.022375709999999</v>
      </c>
      <c r="AF3370">
        <v>174.86378816000001</v>
      </c>
      <c r="AG3370" s="175">
        <v>25</v>
      </c>
      <c r="AH3370" s="175">
        <v>5</v>
      </c>
      <c r="AI3370" s="175"/>
      <c r="AJ3370" s="175"/>
      <c r="AK3370" s="175"/>
      <c r="AL3370" s="175"/>
      <c r="AM3370" s="175"/>
      <c r="AN3370" s="175"/>
      <c r="AO3370" s="175"/>
      <c r="AP3370" s="175"/>
      <c r="AQ3370" s="175"/>
      <c r="AR3370" s="175"/>
      <c r="AS3370" s="175"/>
    </row>
    <row r="3371" spans="1:45">
      <c r="A3371">
        <v>48302</v>
      </c>
      <c r="B3371" t="s">
        <v>18761</v>
      </c>
      <c r="D3371" t="s">
        <v>18762</v>
      </c>
      <c r="E3371" t="s">
        <v>18763</v>
      </c>
      <c r="G3371" t="s">
        <v>604</v>
      </c>
      <c r="H3371" t="s">
        <v>449</v>
      </c>
      <c r="J3371" t="s">
        <v>4032</v>
      </c>
      <c r="K3371" t="s">
        <v>606</v>
      </c>
      <c r="M3371" t="s">
        <v>607</v>
      </c>
      <c r="N3371" t="s">
        <v>9058</v>
      </c>
      <c r="O3371" t="s">
        <v>609</v>
      </c>
      <c r="P3371" t="s">
        <v>610</v>
      </c>
      <c r="Q3371" t="s">
        <v>509</v>
      </c>
      <c r="R3371" t="s">
        <v>611</v>
      </c>
      <c r="S3371" t="s">
        <v>612</v>
      </c>
      <c r="T3371" t="s">
        <v>613</v>
      </c>
      <c r="U3371">
        <v>100800</v>
      </c>
      <c r="V3371" t="s">
        <v>614</v>
      </c>
      <c r="W3371" t="s">
        <v>615</v>
      </c>
      <c r="X3371" t="s">
        <v>5565</v>
      </c>
      <c r="Y3371" t="s">
        <v>18764</v>
      </c>
      <c r="AA3371" t="s">
        <v>5449</v>
      </c>
      <c r="AE3371">
        <v>-35.11594187</v>
      </c>
      <c r="AF3371">
        <v>173.26038893</v>
      </c>
      <c r="AG3371" s="175">
        <v>44</v>
      </c>
      <c r="AH3371" s="175">
        <v>20</v>
      </c>
      <c r="AI3371" s="175"/>
      <c r="AJ3371" s="175"/>
      <c r="AK3371" s="175"/>
      <c r="AL3371" s="175"/>
      <c r="AM3371" s="175"/>
      <c r="AN3371" s="175"/>
      <c r="AO3371" s="175"/>
      <c r="AP3371" s="175"/>
      <c r="AQ3371" s="175"/>
      <c r="AR3371" s="175"/>
      <c r="AS3371" s="175"/>
    </row>
    <row r="3372" spans="1:45">
      <c r="A3372">
        <v>48303</v>
      </c>
      <c r="B3372" t="s">
        <v>18765</v>
      </c>
      <c r="E3372" t="s">
        <v>18766</v>
      </c>
      <c r="G3372" t="s">
        <v>11255</v>
      </c>
      <c r="H3372" t="s">
        <v>449</v>
      </c>
      <c r="J3372" t="s">
        <v>4032</v>
      </c>
      <c r="K3372" t="s">
        <v>606</v>
      </c>
      <c r="M3372" t="s">
        <v>2366</v>
      </c>
      <c r="N3372" t="s">
        <v>9058</v>
      </c>
      <c r="O3372" t="s">
        <v>3906</v>
      </c>
      <c r="P3372" t="s">
        <v>1347</v>
      </c>
      <c r="Q3372" t="s">
        <v>522</v>
      </c>
      <c r="R3372" t="s">
        <v>3410</v>
      </c>
      <c r="S3372" t="s">
        <v>3323</v>
      </c>
      <c r="T3372" t="s">
        <v>2526</v>
      </c>
      <c r="U3372">
        <v>347000</v>
      </c>
      <c r="V3372" t="s">
        <v>18767</v>
      </c>
      <c r="W3372" t="s">
        <v>11257</v>
      </c>
      <c r="X3372" t="s">
        <v>18768</v>
      </c>
      <c r="Y3372" t="s">
        <v>18769</v>
      </c>
      <c r="AA3372" t="s">
        <v>16399</v>
      </c>
      <c r="AB3372" t="s">
        <v>18770</v>
      </c>
      <c r="AE3372">
        <v>-44.703648700000002</v>
      </c>
      <c r="AF3372">
        <v>169.12944365999999</v>
      </c>
      <c r="AG3372" s="175">
        <v>70</v>
      </c>
      <c r="AH3372" s="175">
        <v>25</v>
      </c>
      <c r="AI3372" s="175"/>
      <c r="AJ3372" s="175"/>
      <c r="AK3372" s="175"/>
      <c r="AL3372" s="175"/>
      <c r="AM3372" s="175"/>
      <c r="AN3372" s="175"/>
      <c r="AO3372" s="175"/>
      <c r="AP3372" s="175"/>
      <c r="AQ3372" s="175"/>
      <c r="AR3372" s="175"/>
      <c r="AS3372" s="175"/>
    </row>
    <row r="3373" spans="1:45">
      <c r="A3373">
        <v>48304</v>
      </c>
      <c r="B3373" t="s">
        <v>18771</v>
      </c>
      <c r="C3373" t="s">
        <v>18772</v>
      </c>
      <c r="E3373" t="s">
        <v>16774</v>
      </c>
      <c r="F3373" t="s">
        <v>722</v>
      </c>
      <c r="G3373" t="s">
        <v>737</v>
      </c>
      <c r="H3373" t="s">
        <v>449</v>
      </c>
      <c r="J3373" t="s">
        <v>4032</v>
      </c>
      <c r="K3373" t="s">
        <v>606</v>
      </c>
      <c r="M3373" t="s">
        <v>607</v>
      </c>
      <c r="N3373" t="s">
        <v>9058</v>
      </c>
      <c r="O3373" t="s">
        <v>723</v>
      </c>
      <c r="P3373" t="s">
        <v>610</v>
      </c>
      <c r="Q3373" t="s">
        <v>467</v>
      </c>
      <c r="R3373" t="s">
        <v>724</v>
      </c>
      <c r="S3373" t="s">
        <v>725</v>
      </c>
      <c r="T3373" t="s">
        <v>613</v>
      </c>
      <c r="U3373">
        <v>110501</v>
      </c>
      <c r="V3373" t="s">
        <v>722</v>
      </c>
      <c r="W3373" t="s">
        <v>726</v>
      </c>
      <c r="X3373" t="s">
        <v>16076</v>
      </c>
      <c r="Y3373" t="s">
        <v>16774</v>
      </c>
      <c r="Z3373" t="s">
        <v>722</v>
      </c>
      <c r="AA3373" t="s">
        <v>4604</v>
      </c>
      <c r="AE3373">
        <v>-36.286234749999998</v>
      </c>
      <c r="AF3373">
        <v>174.52007649000001</v>
      </c>
      <c r="AG3373" s="175">
        <v>40</v>
      </c>
      <c r="AH3373" s="175">
        <v>10</v>
      </c>
      <c r="AI3373" s="175"/>
      <c r="AJ3373" s="175"/>
      <c r="AK3373" s="175"/>
      <c r="AL3373" s="175"/>
      <c r="AM3373" s="175"/>
      <c r="AN3373" s="175"/>
      <c r="AO3373" s="175"/>
      <c r="AP3373" s="175"/>
      <c r="AQ3373" s="175"/>
      <c r="AR3373" s="175"/>
      <c r="AS3373" s="175"/>
    </row>
    <row r="3374" spans="1:45">
      <c r="A3374">
        <v>48305</v>
      </c>
      <c r="B3374" t="s">
        <v>18773</v>
      </c>
      <c r="E3374" t="s">
        <v>18774</v>
      </c>
      <c r="G3374" t="s">
        <v>3552</v>
      </c>
      <c r="H3374" t="s">
        <v>452</v>
      </c>
      <c r="J3374" t="s">
        <v>605</v>
      </c>
      <c r="K3374" t="s">
        <v>606</v>
      </c>
      <c r="M3374" t="s">
        <v>2366</v>
      </c>
      <c r="N3374" t="s">
        <v>9058</v>
      </c>
      <c r="O3374" t="s">
        <v>3553</v>
      </c>
      <c r="P3374" t="s">
        <v>658</v>
      </c>
      <c r="Q3374" t="s">
        <v>522</v>
      </c>
      <c r="R3374" t="s">
        <v>3410</v>
      </c>
      <c r="S3374" t="s">
        <v>3456</v>
      </c>
      <c r="T3374" t="s">
        <v>2526</v>
      </c>
      <c r="U3374">
        <v>356100</v>
      </c>
      <c r="V3374" t="s">
        <v>18775</v>
      </c>
      <c r="W3374" t="s">
        <v>18776</v>
      </c>
      <c r="X3374" t="s">
        <v>3556</v>
      </c>
      <c r="Y3374" t="s">
        <v>1971</v>
      </c>
      <c r="AA3374" t="s">
        <v>1972</v>
      </c>
      <c r="AB3374" t="s">
        <v>3557</v>
      </c>
      <c r="AE3374">
        <v>-46.094640939999998</v>
      </c>
      <c r="AF3374">
        <v>169.55158304</v>
      </c>
      <c r="AG3374" s="175">
        <v>30</v>
      </c>
      <c r="AH3374" s="175">
        <v>0</v>
      </c>
      <c r="AI3374" s="175"/>
      <c r="AJ3374" s="175"/>
      <c r="AK3374" s="175"/>
      <c r="AL3374" s="175"/>
      <c r="AM3374" s="175"/>
      <c r="AN3374" s="175"/>
      <c r="AO3374" s="175"/>
      <c r="AP3374" s="175"/>
      <c r="AQ3374" s="175"/>
      <c r="AR3374" s="175"/>
      <c r="AS3374" s="175"/>
    </row>
    <row r="3375" spans="1:45">
      <c r="A3375">
        <v>48308</v>
      </c>
      <c r="B3375" t="s">
        <v>18777</v>
      </c>
      <c r="C3375" t="s">
        <v>18778</v>
      </c>
      <c r="D3375" t="s">
        <v>18779</v>
      </c>
      <c r="E3375" t="s">
        <v>18780</v>
      </c>
      <c r="F3375" t="s">
        <v>4813</v>
      </c>
      <c r="G3375" t="s">
        <v>737</v>
      </c>
      <c r="H3375" t="s">
        <v>452</v>
      </c>
      <c r="J3375" t="s">
        <v>605</v>
      </c>
      <c r="K3375" t="s">
        <v>606</v>
      </c>
      <c r="M3375" t="s">
        <v>607</v>
      </c>
      <c r="N3375" t="s">
        <v>9058</v>
      </c>
      <c r="O3375" t="s">
        <v>958</v>
      </c>
      <c r="P3375" t="s">
        <v>739</v>
      </c>
      <c r="Q3375" t="s">
        <v>467</v>
      </c>
      <c r="R3375" t="s">
        <v>724</v>
      </c>
      <c r="S3375" t="s">
        <v>855</v>
      </c>
      <c r="T3375" t="s">
        <v>794</v>
      </c>
      <c r="U3375">
        <v>136700</v>
      </c>
      <c r="V3375" t="s">
        <v>7236</v>
      </c>
      <c r="W3375" t="s">
        <v>900</v>
      </c>
      <c r="X3375" t="s">
        <v>727</v>
      </c>
      <c r="Y3375" t="s">
        <v>728</v>
      </c>
      <c r="Z3375" t="s">
        <v>729</v>
      </c>
      <c r="AA3375" t="s">
        <v>730</v>
      </c>
      <c r="AB3375" t="s">
        <v>18287</v>
      </c>
      <c r="AE3375">
        <v>-36.938516040000003</v>
      </c>
      <c r="AF3375">
        <v>174.65515081999999</v>
      </c>
      <c r="AG3375" s="175">
        <v>40</v>
      </c>
      <c r="AH3375" s="175">
        <v>0</v>
      </c>
      <c r="AI3375" s="175"/>
      <c r="AJ3375" s="175"/>
      <c r="AK3375" s="175"/>
      <c r="AL3375" s="175"/>
      <c r="AM3375" s="175"/>
      <c r="AN3375" s="175"/>
      <c r="AO3375" s="175"/>
      <c r="AP3375" s="175"/>
      <c r="AQ3375" s="175"/>
      <c r="AR3375" s="175"/>
      <c r="AS3375" s="175"/>
    </row>
    <row r="3376" spans="1:45">
      <c r="A3376">
        <v>48309</v>
      </c>
      <c r="B3376" t="s">
        <v>18781</v>
      </c>
      <c r="C3376" t="s">
        <v>18782</v>
      </c>
      <c r="E3376" t="s">
        <v>18783</v>
      </c>
      <c r="F3376" t="s">
        <v>8851</v>
      </c>
      <c r="G3376" t="s">
        <v>2276</v>
      </c>
      <c r="H3376" t="s">
        <v>449</v>
      </c>
      <c r="J3376" t="s">
        <v>605</v>
      </c>
      <c r="K3376" t="s">
        <v>606</v>
      </c>
      <c r="M3376" t="s">
        <v>1382</v>
      </c>
      <c r="N3376" t="s">
        <v>9058</v>
      </c>
      <c r="O3376" t="s">
        <v>2277</v>
      </c>
      <c r="P3376" t="s">
        <v>670</v>
      </c>
      <c r="Q3376" t="s">
        <v>513</v>
      </c>
      <c r="R3376" t="s">
        <v>2164</v>
      </c>
      <c r="S3376" t="s">
        <v>2278</v>
      </c>
      <c r="T3376" t="s">
        <v>2165</v>
      </c>
      <c r="U3376">
        <v>209700</v>
      </c>
      <c r="V3376" t="s">
        <v>8852</v>
      </c>
      <c r="W3376" t="s">
        <v>2279</v>
      </c>
      <c r="X3376" t="s">
        <v>18784</v>
      </c>
      <c r="Y3376" t="s">
        <v>18785</v>
      </c>
      <c r="Z3376" t="s">
        <v>767</v>
      </c>
      <c r="AA3376" t="s">
        <v>4604</v>
      </c>
      <c r="AB3376" t="s">
        <v>18786</v>
      </c>
      <c r="AE3376">
        <v>-39.632942450000002</v>
      </c>
      <c r="AF3376">
        <v>176.83306622999999</v>
      </c>
      <c r="AG3376" s="175">
        <v>36</v>
      </c>
      <c r="AH3376" s="175">
        <v>12</v>
      </c>
      <c r="AI3376" s="175"/>
      <c r="AJ3376" s="175"/>
      <c r="AK3376" s="175"/>
      <c r="AL3376" s="175"/>
      <c r="AM3376" s="175"/>
      <c r="AN3376" s="175"/>
      <c r="AO3376" s="175"/>
      <c r="AP3376" s="175"/>
      <c r="AQ3376" s="175"/>
      <c r="AR3376" s="175"/>
      <c r="AS3376" s="175"/>
    </row>
    <row r="3377" spans="1:45">
      <c r="A3377">
        <v>48310</v>
      </c>
      <c r="B3377" t="s">
        <v>18787</v>
      </c>
      <c r="C3377" t="s">
        <v>18788</v>
      </c>
      <c r="E3377" t="s">
        <v>18789</v>
      </c>
      <c r="F3377" t="s">
        <v>745</v>
      </c>
      <c r="G3377" t="s">
        <v>737</v>
      </c>
      <c r="H3377" t="s">
        <v>450</v>
      </c>
      <c r="J3377" t="s">
        <v>4032</v>
      </c>
      <c r="K3377" t="s">
        <v>606</v>
      </c>
      <c r="M3377" t="s">
        <v>607</v>
      </c>
      <c r="N3377" t="s">
        <v>9058</v>
      </c>
      <c r="O3377" t="s">
        <v>738</v>
      </c>
      <c r="P3377" t="s">
        <v>739</v>
      </c>
      <c r="Q3377" t="s">
        <v>467</v>
      </c>
      <c r="R3377" t="s">
        <v>724</v>
      </c>
      <c r="S3377" t="s">
        <v>740</v>
      </c>
      <c r="T3377" t="s">
        <v>613</v>
      </c>
      <c r="U3377">
        <v>118700</v>
      </c>
      <c r="V3377" t="s">
        <v>5844</v>
      </c>
      <c r="W3377" t="s">
        <v>742</v>
      </c>
      <c r="X3377" t="s">
        <v>18790</v>
      </c>
      <c r="Y3377" t="s">
        <v>18789</v>
      </c>
      <c r="Z3377" t="s">
        <v>745</v>
      </c>
      <c r="AA3377" t="s">
        <v>4153</v>
      </c>
      <c r="AB3377" t="s">
        <v>18788</v>
      </c>
      <c r="AE3377">
        <v>-36.72099918</v>
      </c>
      <c r="AF3377">
        <v>174.74205473000001</v>
      </c>
      <c r="AG3377" s="175">
        <v>35</v>
      </c>
      <c r="AH3377" s="175">
        <v>35</v>
      </c>
      <c r="AI3377" s="175"/>
      <c r="AJ3377" s="175"/>
      <c r="AK3377" s="175"/>
      <c r="AL3377" s="175"/>
      <c r="AM3377" s="175"/>
      <c r="AN3377" s="175"/>
      <c r="AO3377" s="175"/>
      <c r="AP3377" s="175"/>
      <c r="AQ3377" s="175"/>
      <c r="AR3377" s="175"/>
      <c r="AS3377" s="175"/>
    </row>
    <row r="3378" spans="1:45">
      <c r="A3378">
        <v>48311</v>
      </c>
      <c r="B3378" t="s">
        <v>18791</v>
      </c>
      <c r="C3378" t="s">
        <v>13991</v>
      </c>
      <c r="D3378" t="s">
        <v>18792</v>
      </c>
      <c r="E3378" t="s">
        <v>13990</v>
      </c>
      <c r="F3378" t="s">
        <v>3656</v>
      </c>
      <c r="G3378" t="s">
        <v>3569</v>
      </c>
      <c r="H3378" t="s">
        <v>450</v>
      </c>
      <c r="J3378" t="s">
        <v>4032</v>
      </c>
      <c r="K3378" t="s">
        <v>606</v>
      </c>
      <c r="M3378" t="s">
        <v>2366</v>
      </c>
      <c r="N3378" t="s">
        <v>9058</v>
      </c>
      <c r="O3378" t="s">
        <v>3568</v>
      </c>
      <c r="P3378" t="s">
        <v>670</v>
      </c>
      <c r="Q3378" t="s">
        <v>523</v>
      </c>
      <c r="R3378" t="s">
        <v>3410</v>
      </c>
      <c r="S3378" t="s">
        <v>3569</v>
      </c>
      <c r="T3378" t="s">
        <v>2526</v>
      </c>
      <c r="U3378">
        <v>361501</v>
      </c>
      <c r="V3378" t="s">
        <v>3656</v>
      </c>
      <c r="W3378" t="s">
        <v>1734</v>
      </c>
      <c r="X3378" t="s">
        <v>13989</v>
      </c>
      <c r="Y3378" t="s">
        <v>13990</v>
      </c>
      <c r="Z3378" t="s">
        <v>3656</v>
      </c>
      <c r="AA3378" t="s">
        <v>11966</v>
      </c>
      <c r="AB3378" t="s">
        <v>13991</v>
      </c>
      <c r="AE3378">
        <v>-46.39129947</v>
      </c>
      <c r="AF3378">
        <v>168.36247258</v>
      </c>
      <c r="AG3378" s="175">
        <v>50</v>
      </c>
      <c r="AH3378" s="175">
        <v>50</v>
      </c>
      <c r="AI3378" s="175"/>
      <c r="AJ3378" s="175"/>
      <c r="AK3378" s="175"/>
      <c r="AL3378" s="175"/>
      <c r="AM3378" s="175"/>
      <c r="AN3378" s="175"/>
      <c r="AO3378" s="175"/>
      <c r="AP3378" s="175"/>
      <c r="AQ3378" s="175"/>
      <c r="AR3378" s="175"/>
      <c r="AS3378" s="175"/>
    </row>
    <row r="3379" spans="1:45">
      <c r="A3379">
        <v>48312</v>
      </c>
      <c r="B3379" t="s">
        <v>18793</v>
      </c>
      <c r="E3379" t="s">
        <v>18794</v>
      </c>
      <c r="F3379" t="s">
        <v>3793</v>
      </c>
      <c r="G3379" t="s">
        <v>1681</v>
      </c>
      <c r="H3379" t="s">
        <v>449</v>
      </c>
      <c r="J3379" t="s">
        <v>4032</v>
      </c>
      <c r="K3379" t="s">
        <v>606</v>
      </c>
      <c r="M3379" t="s">
        <v>1382</v>
      </c>
      <c r="N3379" t="s">
        <v>9058</v>
      </c>
      <c r="O3379" t="s">
        <v>1780</v>
      </c>
      <c r="P3379" t="s">
        <v>739</v>
      </c>
      <c r="Q3379" t="s">
        <v>511</v>
      </c>
      <c r="R3379" t="s">
        <v>1555</v>
      </c>
      <c r="S3379" t="s">
        <v>1681</v>
      </c>
      <c r="T3379" t="s">
        <v>1557</v>
      </c>
      <c r="U3379">
        <v>194801</v>
      </c>
      <c r="V3379" t="s">
        <v>3793</v>
      </c>
      <c r="W3379" t="s">
        <v>3795</v>
      </c>
      <c r="X3379" t="s">
        <v>10643</v>
      </c>
      <c r="Y3379" t="s">
        <v>18795</v>
      </c>
      <c r="Z3379" t="s">
        <v>13213</v>
      </c>
      <c r="AA3379" t="s">
        <v>9985</v>
      </c>
      <c r="AE3379">
        <v>-37.705282189999998</v>
      </c>
      <c r="AF3379">
        <v>176.15546921000001</v>
      </c>
      <c r="AG3379" s="175">
        <v>20</v>
      </c>
      <c r="AH3379" s="175">
        <v>0</v>
      </c>
      <c r="AI3379" s="175"/>
      <c r="AJ3379" s="175"/>
      <c r="AK3379" s="175"/>
      <c r="AL3379" s="175"/>
      <c r="AM3379" s="175"/>
      <c r="AN3379" s="175"/>
      <c r="AO3379" s="175"/>
      <c r="AP3379" s="175"/>
      <c r="AQ3379" s="175"/>
      <c r="AR3379" s="175"/>
      <c r="AS3379" s="175"/>
    </row>
    <row r="3380" spans="1:45">
      <c r="A3380">
        <v>48314</v>
      </c>
      <c r="B3380" t="s">
        <v>18796</v>
      </c>
      <c r="C3380" t="s">
        <v>18797</v>
      </c>
      <c r="D3380" t="s">
        <v>18798</v>
      </c>
      <c r="E3380" t="s">
        <v>18799</v>
      </c>
      <c r="G3380" t="s">
        <v>2112</v>
      </c>
      <c r="H3380" t="s">
        <v>347</v>
      </c>
      <c r="J3380" t="s">
        <v>605</v>
      </c>
      <c r="K3380" t="s">
        <v>606</v>
      </c>
      <c r="L3380" t="s">
        <v>4273</v>
      </c>
      <c r="M3380" t="s">
        <v>1382</v>
      </c>
      <c r="N3380" t="s">
        <v>9058</v>
      </c>
      <c r="O3380" t="s">
        <v>2048</v>
      </c>
      <c r="P3380" t="s">
        <v>610</v>
      </c>
      <c r="Q3380" t="s">
        <v>553</v>
      </c>
      <c r="R3380" t="s">
        <v>1841</v>
      </c>
      <c r="S3380" t="s">
        <v>1719</v>
      </c>
      <c r="T3380" t="s">
        <v>1568</v>
      </c>
      <c r="U3380">
        <v>226900</v>
      </c>
      <c r="V3380" t="s">
        <v>2113</v>
      </c>
      <c r="W3380" t="s">
        <v>2114</v>
      </c>
      <c r="X3380" t="s">
        <v>9133</v>
      </c>
      <c r="Y3380" t="s">
        <v>4276</v>
      </c>
      <c r="Z3380" t="s">
        <v>4277</v>
      </c>
      <c r="AA3380" t="s">
        <v>4278</v>
      </c>
      <c r="AB3380" t="s">
        <v>9134</v>
      </c>
      <c r="AE3380">
        <v>-40.083269020000003</v>
      </c>
      <c r="AF3380">
        <v>175.37043752</v>
      </c>
      <c r="AG3380" s="175">
        <v>30</v>
      </c>
      <c r="AH3380" s="175">
        <v>12</v>
      </c>
      <c r="AI3380" s="175"/>
      <c r="AJ3380" s="175"/>
      <c r="AK3380" s="175"/>
      <c r="AL3380" s="175"/>
      <c r="AM3380" s="175"/>
      <c r="AN3380" s="175"/>
      <c r="AO3380" s="175"/>
      <c r="AP3380" s="175"/>
      <c r="AQ3380" s="175"/>
      <c r="AR3380" s="175"/>
      <c r="AS3380" s="175"/>
    </row>
    <row r="3381" spans="1:45">
      <c r="A3381">
        <v>48315</v>
      </c>
      <c r="B3381" t="s">
        <v>18800</v>
      </c>
      <c r="C3381" t="s">
        <v>18801</v>
      </c>
      <c r="E3381" t="s">
        <v>18802</v>
      </c>
      <c r="G3381" t="s">
        <v>1779</v>
      </c>
      <c r="H3381" t="s">
        <v>301</v>
      </c>
      <c r="J3381" t="s">
        <v>605</v>
      </c>
      <c r="K3381" t="s">
        <v>606</v>
      </c>
      <c r="M3381" t="s">
        <v>1382</v>
      </c>
      <c r="N3381" t="s">
        <v>9058</v>
      </c>
      <c r="O3381" t="s">
        <v>1780</v>
      </c>
      <c r="P3381" t="s">
        <v>739</v>
      </c>
      <c r="Q3381" t="s">
        <v>511</v>
      </c>
      <c r="R3381" t="s">
        <v>1555</v>
      </c>
      <c r="S3381" t="s">
        <v>1781</v>
      </c>
      <c r="T3381" t="s">
        <v>1557</v>
      </c>
      <c r="U3381">
        <v>194900</v>
      </c>
      <c r="V3381" t="s">
        <v>18803</v>
      </c>
      <c r="W3381" t="s">
        <v>1806</v>
      </c>
      <c r="X3381" t="s">
        <v>18804</v>
      </c>
      <c r="Y3381" t="s">
        <v>5253</v>
      </c>
      <c r="AA3381" t="s">
        <v>5254</v>
      </c>
      <c r="AB3381" t="s">
        <v>18805</v>
      </c>
      <c r="AE3381">
        <v>-37.659912419999998</v>
      </c>
      <c r="AF3381">
        <v>176.21362400000001</v>
      </c>
      <c r="AG3381" s="175">
        <v>30</v>
      </c>
      <c r="AH3381" s="175">
        <v>20</v>
      </c>
      <c r="AI3381" s="175"/>
      <c r="AJ3381" s="175"/>
      <c r="AK3381" s="175"/>
      <c r="AL3381" s="175"/>
      <c r="AM3381" s="175"/>
      <c r="AN3381" s="175"/>
      <c r="AO3381" s="175"/>
      <c r="AP3381" s="175"/>
      <c r="AQ3381" s="175"/>
      <c r="AR3381" s="175"/>
      <c r="AS3381" s="175"/>
    </row>
    <row r="3382" spans="1:45">
      <c r="A3382">
        <v>48316</v>
      </c>
      <c r="B3382" t="s">
        <v>18806</v>
      </c>
      <c r="C3382" t="s">
        <v>18807</v>
      </c>
      <c r="E3382" t="s">
        <v>18808</v>
      </c>
      <c r="F3382" t="s">
        <v>1477</v>
      </c>
      <c r="G3382" t="s">
        <v>1381</v>
      </c>
      <c r="H3382" t="s">
        <v>347</v>
      </c>
      <c r="J3382" t="s">
        <v>605</v>
      </c>
      <c r="K3382" t="s">
        <v>606</v>
      </c>
      <c r="L3382" t="s">
        <v>4273</v>
      </c>
      <c r="M3382" t="s">
        <v>1382</v>
      </c>
      <c r="N3382" t="s">
        <v>9058</v>
      </c>
      <c r="O3382" t="s">
        <v>1383</v>
      </c>
      <c r="P3382" t="s">
        <v>739</v>
      </c>
      <c r="Q3382" t="s">
        <v>510</v>
      </c>
      <c r="R3382" t="s">
        <v>1384</v>
      </c>
      <c r="S3382" t="s">
        <v>1385</v>
      </c>
      <c r="T3382" t="s">
        <v>1320</v>
      </c>
      <c r="U3382">
        <v>180500</v>
      </c>
      <c r="V3382" t="s">
        <v>1478</v>
      </c>
      <c r="W3382" t="s">
        <v>1387</v>
      </c>
      <c r="X3382" t="s">
        <v>7695</v>
      </c>
      <c r="Y3382" t="s">
        <v>4276</v>
      </c>
      <c r="Z3382" t="s">
        <v>4277</v>
      </c>
      <c r="AA3382" t="s">
        <v>4278</v>
      </c>
      <c r="AB3382" t="s">
        <v>7696</v>
      </c>
      <c r="AE3382">
        <v>-37.808655590000001</v>
      </c>
      <c r="AF3382">
        <v>175.29360492000001</v>
      </c>
      <c r="AG3382" s="175">
        <v>25</v>
      </c>
      <c r="AH3382" s="175">
        <v>8</v>
      </c>
      <c r="AI3382" s="175"/>
      <c r="AJ3382" s="175"/>
      <c r="AK3382" s="175"/>
      <c r="AL3382" s="175"/>
      <c r="AM3382" s="175"/>
      <c r="AN3382" s="175"/>
      <c r="AO3382" s="175"/>
      <c r="AP3382" s="175"/>
      <c r="AQ3382" s="175"/>
      <c r="AR3382" s="175"/>
      <c r="AS3382" s="175"/>
    </row>
    <row r="3383" spans="1:45">
      <c r="A3383">
        <v>48317</v>
      </c>
      <c r="B3383" t="s">
        <v>18809</v>
      </c>
      <c r="D3383" t="s">
        <v>17766</v>
      </c>
      <c r="E3383" t="s">
        <v>17767</v>
      </c>
      <c r="F3383" t="s">
        <v>5170</v>
      </c>
      <c r="G3383" t="s">
        <v>737</v>
      </c>
      <c r="H3383" t="s">
        <v>450</v>
      </c>
      <c r="J3383" t="s">
        <v>4032</v>
      </c>
      <c r="K3383" t="s">
        <v>606</v>
      </c>
      <c r="M3383" t="s">
        <v>607</v>
      </c>
      <c r="N3383" t="s">
        <v>9058</v>
      </c>
      <c r="O3383" t="s">
        <v>792</v>
      </c>
      <c r="P3383" t="s">
        <v>739</v>
      </c>
      <c r="Q3383" t="s">
        <v>467</v>
      </c>
      <c r="R3383" t="s">
        <v>814</v>
      </c>
      <c r="S3383" t="s">
        <v>863</v>
      </c>
      <c r="T3383" t="s">
        <v>794</v>
      </c>
      <c r="U3383">
        <v>156901</v>
      </c>
      <c r="V3383" t="s">
        <v>13244</v>
      </c>
      <c r="W3383" t="s">
        <v>796</v>
      </c>
      <c r="X3383" t="s">
        <v>17768</v>
      </c>
      <c r="Y3383" t="s">
        <v>17769</v>
      </c>
      <c r="Z3383" t="s">
        <v>5170</v>
      </c>
      <c r="AA3383" t="s">
        <v>4061</v>
      </c>
      <c r="AB3383" t="s">
        <v>17765</v>
      </c>
      <c r="AE3383">
        <v>-36.957393809999999</v>
      </c>
      <c r="AF3383">
        <v>174.91981534999999</v>
      </c>
      <c r="AG3383" s="175">
        <v>100</v>
      </c>
      <c r="AH3383" s="175">
        <v>100</v>
      </c>
      <c r="AI3383" s="175"/>
      <c r="AJ3383" s="175"/>
      <c r="AK3383" s="175"/>
      <c r="AL3383" s="175"/>
      <c r="AM3383" s="175"/>
      <c r="AN3383" s="175"/>
      <c r="AO3383" s="175"/>
      <c r="AP3383" s="175"/>
      <c r="AQ3383" s="175"/>
      <c r="AR3383" s="175"/>
      <c r="AS3383" s="175"/>
    </row>
    <row r="3384" spans="1:45">
      <c r="A3384">
        <v>48318</v>
      </c>
      <c r="B3384" t="s">
        <v>18810</v>
      </c>
      <c r="C3384" t="s">
        <v>18287</v>
      </c>
      <c r="E3384" t="s">
        <v>18811</v>
      </c>
      <c r="F3384" t="s">
        <v>854</v>
      </c>
      <c r="G3384" t="s">
        <v>737</v>
      </c>
      <c r="H3384" t="s">
        <v>452</v>
      </c>
      <c r="J3384" t="s">
        <v>605</v>
      </c>
      <c r="K3384" t="s">
        <v>606</v>
      </c>
      <c r="M3384" t="s">
        <v>607</v>
      </c>
      <c r="N3384" t="s">
        <v>9058</v>
      </c>
      <c r="O3384" t="s">
        <v>803</v>
      </c>
      <c r="P3384" t="s">
        <v>739</v>
      </c>
      <c r="Q3384" t="s">
        <v>467</v>
      </c>
      <c r="R3384" t="s">
        <v>793</v>
      </c>
      <c r="S3384" t="s">
        <v>855</v>
      </c>
      <c r="T3384" t="s">
        <v>794</v>
      </c>
      <c r="U3384">
        <v>137100</v>
      </c>
      <c r="V3384" t="s">
        <v>6605</v>
      </c>
      <c r="W3384" t="s">
        <v>806</v>
      </c>
      <c r="X3384" t="s">
        <v>727</v>
      </c>
      <c r="Y3384" t="s">
        <v>728</v>
      </c>
      <c r="Z3384" t="s">
        <v>729</v>
      </c>
      <c r="AA3384" t="s">
        <v>730</v>
      </c>
      <c r="AB3384" t="s">
        <v>731</v>
      </c>
      <c r="AE3384">
        <v>-36.90999669</v>
      </c>
      <c r="AF3384">
        <v>174.70208396999999</v>
      </c>
      <c r="AG3384" s="175">
        <v>40</v>
      </c>
      <c r="AH3384" s="175">
        <v>0</v>
      </c>
      <c r="AI3384" s="175"/>
      <c r="AJ3384" s="175"/>
      <c r="AK3384" s="175"/>
      <c r="AL3384" s="175"/>
      <c r="AM3384" s="175"/>
      <c r="AN3384" s="175"/>
      <c r="AO3384" s="175"/>
      <c r="AP3384" s="175"/>
      <c r="AQ3384" s="175"/>
      <c r="AR3384" s="175"/>
      <c r="AS3384" s="175"/>
    </row>
    <row r="3385" spans="1:45">
      <c r="A3385">
        <v>48319</v>
      </c>
      <c r="B3385" t="s">
        <v>18812</v>
      </c>
      <c r="E3385" t="s">
        <v>18813</v>
      </c>
      <c r="F3385" t="s">
        <v>1121</v>
      </c>
      <c r="G3385" t="s">
        <v>737</v>
      </c>
      <c r="H3385" t="s">
        <v>449</v>
      </c>
      <c r="J3385" t="s">
        <v>4032</v>
      </c>
      <c r="K3385" t="s">
        <v>606</v>
      </c>
      <c r="M3385" t="s">
        <v>607</v>
      </c>
      <c r="N3385" t="s">
        <v>9058</v>
      </c>
      <c r="O3385" t="s">
        <v>1301</v>
      </c>
      <c r="P3385" t="s">
        <v>739</v>
      </c>
      <c r="Q3385" t="s">
        <v>467</v>
      </c>
      <c r="R3385" t="s">
        <v>814</v>
      </c>
      <c r="S3385" t="s">
        <v>1121</v>
      </c>
      <c r="T3385" t="s">
        <v>794</v>
      </c>
      <c r="U3385">
        <v>159900</v>
      </c>
      <c r="V3385" t="s">
        <v>1326</v>
      </c>
      <c r="W3385" t="s">
        <v>1304</v>
      </c>
      <c r="X3385" t="s">
        <v>4657</v>
      </c>
      <c r="Y3385" t="s">
        <v>18814</v>
      </c>
      <c r="Z3385" t="s">
        <v>1157</v>
      </c>
      <c r="AA3385" t="s">
        <v>4826</v>
      </c>
      <c r="AE3385">
        <v>-37.03092642</v>
      </c>
      <c r="AF3385">
        <v>174.87571958999999</v>
      </c>
      <c r="AG3385" s="175">
        <v>48</v>
      </c>
      <c r="AH3385" s="175">
        <v>16</v>
      </c>
      <c r="AI3385" s="175"/>
      <c r="AJ3385" s="175"/>
      <c r="AK3385" s="175"/>
      <c r="AL3385" s="175"/>
      <c r="AM3385" s="175"/>
      <c r="AN3385" s="175"/>
      <c r="AO3385" s="175"/>
      <c r="AP3385" s="175"/>
      <c r="AQ3385" s="175"/>
      <c r="AR3385" s="175"/>
      <c r="AS3385" s="175"/>
    </row>
    <row r="3386" spans="1:45">
      <c r="A3386">
        <v>48320</v>
      </c>
      <c r="B3386" t="s">
        <v>18815</v>
      </c>
      <c r="E3386" t="s">
        <v>18816</v>
      </c>
      <c r="F3386" t="s">
        <v>3772</v>
      </c>
      <c r="G3386" t="s">
        <v>2899</v>
      </c>
      <c r="H3386" t="s">
        <v>450</v>
      </c>
      <c r="J3386" t="s">
        <v>4032</v>
      </c>
      <c r="K3386" t="s">
        <v>606</v>
      </c>
      <c r="M3386" t="s">
        <v>2366</v>
      </c>
      <c r="N3386" t="s">
        <v>9058</v>
      </c>
      <c r="O3386" t="s">
        <v>2900</v>
      </c>
      <c r="P3386" t="s">
        <v>1347</v>
      </c>
      <c r="Q3386" t="s">
        <v>519</v>
      </c>
      <c r="R3386" t="s">
        <v>2901</v>
      </c>
      <c r="S3386" t="s">
        <v>2902</v>
      </c>
      <c r="T3386" t="s">
        <v>2526</v>
      </c>
      <c r="U3386">
        <v>307501</v>
      </c>
      <c r="V3386" t="s">
        <v>3772</v>
      </c>
      <c r="W3386" t="s">
        <v>2903</v>
      </c>
      <c r="X3386" t="s">
        <v>18817</v>
      </c>
      <c r="Y3386" t="s">
        <v>18816</v>
      </c>
      <c r="Z3386" t="s">
        <v>3772</v>
      </c>
      <c r="AA3386" t="s">
        <v>2906</v>
      </c>
      <c r="AE3386">
        <v>-41.500990430000002</v>
      </c>
      <c r="AF3386">
        <v>173.94083992</v>
      </c>
      <c r="AG3386" s="175">
        <v>50</v>
      </c>
      <c r="AH3386" s="175">
        <v>50</v>
      </c>
      <c r="AI3386" s="175"/>
      <c r="AJ3386" s="175"/>
      <c r="AK3386" s="175"/>
      <c r="AL3386" s="175"/>
      <c r="AM3386" s="175"/>
      <c r="AN3386" s="175"/>
      <c r="AO3386" s="175"/>
      <c r="AP3386" s="175"/>
      <c r="AQ3386" s="175"/>
      <c r="AR3386" s="175"/>
      <c r="AS3386" s="175"/>
    </row>
    <row r="3387" spans="1:45">
      <c r="A3387">
        <v>48322</v>
      </c>
      <c r="B3387" t="s">
        <v>18818</v>
      </c>
      <c r="C3387" t="s">
        <v>18819</v>
      </c>
      <c r="D3387" t="s">
        <v>18820</v>
      </c>
      <c r="E3387" t="s">
        <v>18821</v>
      </c>
      <c r="G3387" t="s">
        <v>636</v>
      </c>
      <c r="H3387" t="s">
        <v>449</v>
      </c>
      <c r="J3387" t="s">
        <v>4032</v>
      </c>
      <c r="K3387" t="s">
        <v>606</v>
      </c>
      <c r="M3387" t="s">
        <v>607</v>
      </c>
      <c r="N3387" t="s">
        <v>9058</v>
      </c>
      <c r="O3387" t="s">
        <v>609</v>
      </c>
      <c r="P3387" t="s">
        <v>658</v>
      </c>
      <c r="Q3387" t="s">
        <v>509</v>
      </c>
      <c r="R3387" t="s">
        <v>611</v>
      </c>
      <c r="S3387" t="s">
        <v>612</v>
      </c>
      <c r="T3387" t="s">
        <v>613</v>
      </c>
      <c r="U3387">
        <v>102700</v>
      </c>
      <c r="V3387" t="s">
        <v>5493</v>
      </c>
      <c r="W3387" t="s">
        <v>637</v>
      </c>
      <c r="X3387" t="s">
        <v>18822</v>
      </c>
      <c r="Y3387" t="s">
        <v>18823</v>
      </c>
      <c r="AA3387" t="s">
        <v>18824</v>
      </c>
      <c r="AB3387" t="s">
        <v>18819</v>
      </c>
      <c r="AE3387">
        <v>-35.488889409999999</v>
      </c>
      <c r="AF3387">
        <v>173.58882549</v>
      </c>
      <c r="AG3387" s="175">
        <v>40</v>
      </c>
      <c r="AH3387" s="175">
        <v>5</v>
      </c>
      <c r="AI3387" s="175"/>
      <c r="AJ3387" s="175"/>
      <c r="AK3387" s="175"/>
      <c r="AL3387" s="175"/>
      <c r="AM3387" s="175"/>
      <c r="AN3387" s="175"/>
      <c r="AO3387" s="175"/>
      <c r="AP3387" s="175"/>
      <c r="AQ3387" s="175"/>
      <c r="AR3387" s="175"/>
      <c r="AS3387" s="175"/>
    </row>
    <row r="3388" spans="1:45">
      <c r="A3388">
        <v>48323</v>
      </c>
      <c r="B3388" t="s">
        <v>18825</v>
      </c>
      <c r="C3388" t="s">
        <v>18826</v>
      </c>
      <c r="D3388" t="s">
        <v>18827</v>
      </c>
      <c r="E3388" t="s">
        <v>18828</v>
      </c>
      <c r="G3388" t="s">
        <v>9235</v>
      </c>
      <c r="H3388" t="s">
        <v>450</v>
      </c>
      <c r="J3388" t="s">
        <v>4032</v>
      </c>
      <c r="K3388" t="s">
        <v>606</v>
      </c>
      <c r="M3388" t="s">
        <v>1382</v>
      </c>
      <c r="N3388" t="s">
        <v>9058</v>
      </c>
      <c r="O3388" t="s">
        <v>1435</v>
      </c>
      <c r="P3388" t="s">
        <v>658</v>
      </c>
      <c r="Q3388" t="s">
        <v>510</v>
      </c>
      <c r="R3388" t="s">
        <v>1384</v>
      </c>
      <c r="S3388" t="s">
        <v>1331</v>
      </c>
      <c r="T3388" t="s">
        <v>1320</v>
      </c>
      <c r="U3388">
        <v>170201</v>
      </c>
      <c r="V3388" t="s">
        <v>18829</v>
      </c>
      <c r="W3388" t="s">
        <v>3884</v>
      </c>
      <c r="X3388" t="s">
        <v>18830</v>
      </c>
      <c r="Y3388" t="s">
        <v>18828</v>
      </c>
      <c r="AA3388" t="s">
        <v>18831</v>
      </c>
      <c r="AB3388" t="s">
        <v>18826</v>
      </c>
      <c r="AE3388">
        <v>-37.217411740000003</v>
      </c>
      <c r="AF3388">
        <v>175.01010033</v>
      </c>
      <c r="AG3388" s="175">
        <v>40</v>
      </c>
      <c r="AH3388" s="175">
        <v>40</v>
      </c>
      <c r="AI3388" s="175"/>
      <c r="AJ3388" s="175"/>
      <c r="AK3388" s="175"/>
      <c r="AL3388" s="175"/>
      <c r="AM3388" s="175"/>
      <c r="AN3388" s="175"/>
      <c r="AO3388" s="175"/>
      <c r="AP3388" s="175"/>
      <c r="AQ3388" s="175"/>
      <c r="AR3388" s="175"/>
      <c r="AS3388" s="175"/>
    </row>
    <row r="3389" spans="1:45">
      <c r="A3389">
        <v>48324</v>
      </c>
      <c r="B3389" t="s">
        <v>18832</v>
      </c>
      <c r="C3389" t="s">
        <v>18833</v>
      </c>
      <c r="E3389" t="s">
        <v>18834</v>
      </c>
      <c r="F3389" t="s">
        <v>11576</v>
      </c>
      <c r="G3389" t="s">
        <v>737</v>
      </c>
      <c r="H3389" t="s">
        <v>347</v>
      </c>
      <c r="J3389" t="s">
        <v>605</v>
      </c>
      <c r="K3389" t="s">
        <v>606</v>
      </c>
      <c r="L3389" t="s">
        <v>4273</v>
      </c>
      <c r="M3389" t="s">
        <v>607</v>
      </c>
      <c r="N3389" t="s">
        <v>9058</v>
      </c>
      <c r="O3389" t="s">
        <v>1301</v>
      </c>
      <c r="P3389" t="s">
        <v>739</v>
      </c>
      <c r="Q3389" t="s">
        <v>467</v>
      </c>
      <c r="R3389" t="s">
        <v>814</v>
      </c>
      <c r="S3389" t="s">
        <v>1302</v>
      </c>
      <c r="T3389" t="s">
        <v>794</v>
      </c>
      <c r="U3389">
        <v>161500</v>
      </c>
      <c r="V3389" t="s">
        <v>1313</v>
      </c>
      <c r="W3389" t="s">
        <v>1304</v>
      </c>
      <c r="X3389" t="s">
        <v>4275</v>
      </c>
      <c r="Y3389" t="s">
        <v>4276</v>
      </c>
      <c r="Z3389" t="s">
        <v>4277</v>
      </c>
      <c r="AA3389" t="s">
        <v>4278</v>
      </c>
      <c r="AE3389">
        <v>-37.041323179999999</v>
      </c>
      <c r="AF3389">
        <v>174.89687746000001</v>
      </c>
      <c r="AG3389" s="175">
        <v>15</v>
      </c>
      <c r="AH3389" s="175">
        <v>5</v>
      </c>
      <c r="AI3389" s="175"/>
      <c r="AJ3389" s="175"/>
      <c r="AK3389" s="175"/>
      <c r="AL3389" s="175"/>
      <c r="AM3389" s="175"/>
      <c r="AN3389" s="175"/>
      <c r="AO3389" s="175"/>
      <c r="AP3389" s="175"/>
      <c r="AQ3389" s="175"/>
      <c r="AR3389" s="175"/>
      <c r="AS3389" s="175"/>
    </row>
    <row r="3390" spans="1:45">
      <c r="A3390">
        <v>48325</v>
      </c>
      <c r="B3390" t="s">
        <v>18835</v>
      </c>
      <c r="C3390" t="s">
        <v>18836</v>
      </c>
      <c r="E3390" t="s">
        <v>18837</v>
      </c>
      <c r="F3390" t="s">
        <v>5170</v>
      </c>
      <c r="G3390" t="s">
        <v>737</v>
      </c>
      <c r="H3390" t="s">
        <v>450</v>
      </c>
      <c r="J3390" t="s">
        <v>4032</v>
      </c>
      <c r="K3390" t="s">
        <v>606</v>
      </c>
      <c r="M3390" t="s">
        <v>607</v>
      </c>
      <c r="N3390" t="s">
        <v>9058</v>
      </c>
      <c r="O3390" t="s">
        <v>792</v>
      </c>
      <c r="P3390" t="s">
        <v>739</v>
      </c>
      <c r="Q3390" t="s">
        <v>467</v>
      </c>
      <c r="R3390" t="s">
        <v>814</v>
      </c>
      <c r="S3390" t="s">
        <v>1302</v>
      </c>
      <c r="T3390" t="s">
        <v>794</v>
      </c>
      <c r="U3390">
        <v>158300</v>
      </c>
      <c r="V3390" t="s">
        <v>5159</v>
      </c>
      <c r="W3390" t="s">
        <v>796</v>
      </c>
      <c r="X3390" t="s">
        <v>15896</v>
      </c>
      <c r="Y3390" t="s">
        <v>18837</v>
      </c>
      <c r="Z3390" t="s">
        <v>5170</v>
      </c>
      <c r="AA3390" t="s">
        <v>5066</v>
      </c>
      <c r="AE3390">
        <v>-36.983678449999999</v>
      </c>
      <c r="AF3390">
        <v>174.91163996</v>
      </c>
      <c r="AG3390" s="175">
        <v>50</v>
      </c>
      <c r="AH3390" s="175">
        <v>50</v>
      </c>
      <c r="AI3390" s="175"/>
      <c r="AJ3390" s="175"/>
      <c r="AK3390" s="175"/>
      <c r="AL3390" s="175"/>
      <c r="AM3390" s="175"/>
      <c r="AN3390" s="175"/>
      <c r="AO3390" s="175"/>
      <c r="AP3390" s="175"/>
      <c r="AQ3390" s="175"/>
      <c r="AR3390" s="175"/>
      <c r="AS3390" s="175"/>
    </row>
    <row r="3391" spans="1:45">
      <c r="A3391">
        <v>48326</v>
      </c>
      <c r="B3391" t="s">
        <v>18838</v>
      </c>
      <c r="C3391" t="s">
        <v>18839</v>
      </c>
      <c r="E3391" t="s">
        <v>18840</v>
      </c>
      <c r="G3391" t="s">
        <v>3441</v>
      </c>
      <c r="H3391" t="s">
        <v>449</v>
      </c>
      <c r="J3391" t="s">
        <v>605</v>
      </c>
      <c r="K3391" t="s">
        <v>606</v>
      </c>
      <c r="M3391" t="s">
        <v>2366</v>
      </c>
      <c r="N3391" t="s">
        <v>9058</v>
      </c>
      <c r="O3391" t="s">
        <v>3432</v>
      </c>
      <c r="P3391" t="s">
        <v>610</v>
      </c>
      <c r="Q3391" t="s">
        <v>522</v>
      </c>
      <c r="R3391" t="s">
        <v>3410</v>
      </c>
      <c r="S3391" t="s">
        <v>3323</v>
      </c>
      <c r="T3391" t="s">
        <v>2526</v>
      </c>
      <c r="U3391">
        <v>345000</v>
      </c>
      <c r="V3391" t="s">
        <v>18841</v>
      </c>
      <c r="W3391" t="s">
        <v>3443</v>
      </c>
      <c r="X3391" t="s">
        <v>18374</v>
      </c>
      <c r="Y3391" t="s">
        <v>4014</v>
      </c>
      <c r="Z3391" t="s">
        <v>4015</v>
      </c>
      <c r="AA3391" t="s">
        <v>4016</v>
      </c>
      <c r="AE3391">
        <v>-45.03402131</v>
      </c>
      <c r="AF3391">
        <v>169.20020944999999</v>
      </c>
      <c r="AG3391" s="175">
        <v>80</v>
      </c>
      <c r="AH3391" s="175">
        <v>30</v>
      </c>
      <c r="AI3391" s="175"/>
      <c r="AJ3391" s="175"/>
      <c r="AK3391" s="175"/>
      <c r="AL3391" s="175"/>
      <c r="AM3391" s="175"/>
      <c r="AN3391" s="175"/>
      <c r="AO3391" s="175"/>
      <c r="AP3391" s="175"/>
      <c r="AQ3391" s="175"/>
      <c r="AR3391" s="175"/>
      <c r="AS3391" s="175"/>
    </row>
    <row r="3392" spans="1:45">
      <c r="A3392">
        <v>48328</v>
      </c>
      <c r="B3392" t="s">
        <v>18842</v>
      </c>
      <c r="C3392" t="s">
        <v>18843</v>
      </c>
      <c r="E3392" t="s">
        <v>18844</v>
      </c>
      <c r="F3392" t="s">
        <v>2254</v>
      </c>
      <c r="G3392" t="s">
        <v>2198</v>
      </c>
      <c r="H3392" t="s">
        <v>449</v>
      </c>
      <c r="J3392" t="s">
        <v>4032</v>
      </c>
      <c r="K3392" t="s">
        <v>606</v>
      </c>
      <c r="M3392" t="s">
        <v>1382</v>
      </c>
      <c r="N3392" t="s">
        <v>9058</v>
      </c>
      <c r="O3392" t="s">
        <v>2210</v>
      </c>
      <c r="P3392" t="s">
        <v>670</v>
      </c>
      <c r="Q3392" t="s">
        <v>513</v>
      </c>
      <c r="R3392" t="s">
        <v>2164</v>
      </c>
      <c r="S3392" t="s">
        <v>2198</v>
      </c>
      <c r="T3392" t="s">
        <v>2165</v>
      </c>
      <c r="U3392">
        <v>214900</v>
      </c>
      <c r="V3392" t="s">
        <v>2255</v>
      </c>
      <c r="W3392" t="s">
        <v>2219</v>
      </c>
      <c r="X3392" t="s">
        <v>18845</v>
      </c>
      <c r="Y3392" t="s">
        <v>18846</v>
      </c>
      <c r="Z3392" t="s">
        <v>2254</v>
      </c>
      <c r="AA3392" t="s">
        <v>13661</v>
      </c>
      <c r="AB3392" t="s">
        <v>18847</v>
      </c>
      <c r="AE3392">
        <v>-39.538926719999999</v>
      </c>
      <c r="AF3392">
        <v>176.85502969000001</v>
      </c>
      <c r="AG3392" s="175">
        <v>10</v>
      </c>
      <c r="AH3392" s="175">
        <v>5</v>
      </c>
      <c r="AI3392" s="175"/>
      <c r="AJ3392" s="175"/>
      <c r="AK3392" s="175"/>
      <c r="AL3392" s="175"/>
      <c r="AM3392" s="175"/>
      <c r="AN3392" s="175"/>
      <c r="AO3392" s="175"/>
      <c r="AP3392" s="175"/>
      <c r="AQ3392" s="175"/>
      <c r="AR3392" s="175"/>
      <c r="AS3392" s="175"/>
    </row>
    <row r="3393" spans="1:46">
      <c r="A3393">
        <v>48332</v>
      </c>
      <c r="B3393" t="s">
        <v>18848</v>
      </c>
      <c r="C3393" t="s">
        <v>18849</v>
      </c>
      <c r="D3393" t="s">
        <v>18850</v>
      </c>
      <c r="E3393" t="s">
        <v>18851</v>
      </c>
      <c r="G3393" t="s">
        <v>2604</v>
      </c>
      <c r="H3393" t="s">
        <v>449</v>
      </c>
      <c r="J3393" t="s">
        <v>4032</v>
      </c>
      <c r="K3393" t="s">
        <v>606</v>
      </c>
      <c r="M3393" t="s">
        <v>2366</v>
      </c>
      <c r="O3393" t="s">
        <v>2605</v>
      </c>
      <c r="P3393" t="s">
        <v>670</v>
      </c>
      <c r="Q3393" t="s">
        <v>516</v>
      </c>
      <c r="R3393" t="s">
        <v>2368</v>
      </c>
      <c r="S3393" t="s">
        <v>2606</v>
      </c>
      <c r="T3393" t="s">
        <v>1568</v>
      </c>
      <c r="U3393">
        <v>239900</v>
      </c>
      <c r="V3393" t="s">
        <v>13100</v>
      </c>
      <c r="W3393" t="s">
        <v>2607</v>
      </c>
      <c r="X3393" t="s">
        <v>18852</v>
      </c>
      <c r="Y3393" t="s">
        <v>18853</v>
      </c>
      <c r="Z3393" t="s">
        <v>5170</v>
      </c>
      <c r="AA3393" t="s">
        <v>5066</v>
      </c>
      <c r="AE3393">
        <v>-41.14836038</v>
      </c>
      <c r="AF3393">
        <v>174.83258303</v>
      </c>
      <c r="AG3393" s="175">
        <v>65</v>
      </c>
      <c r="AH3393" s="175">
        <v>15</v>
      </c>
      <c r="AI3393" s="175"/>
      <c r="AJ3393" s="175"/>
      <c r="AK3393" s="175"/>
      <c r="AL3393" s="175"/>
      <c r="AM3393" s="175"/>
      <c r="AN3393" s="175"/>
      <c r="AO3393" s="175"/>
      <c r="AP3393" s="175"/>
      <c r="AQ3393" s="175"/>
      <c r="AR3393" s="175"/>
      <c r="AS3393" s="175"/>
    </row>
    <row r="3394" spans="1:46">
      <c r="A3394">
        <v>48334</v>
      </c>
      <c r="B3394" t="s">
        <v>18854</v>
      </c>
      <c r="C3394" t="s">
        <v>18855</v>
      </c>
      <c r="E3394" t="s">
        <v>18856</v>
      </c>
      <c r="G3394" t="s">
        <v>1319</v>
      </c>
      <c r="H3394" t="s">
        <v>449</v>
      </c>
      <c r="J3394" t="s">
        <v>605</v>
      </c>
      <c r="K3394" t="s">
        <v>606</v>
      </c>
      <c r="M3394" t="s">
        <v>607</v>
      </c>
      <c r="O3394" t="s">
        <v>1353</v>
      </c>
      <c r="P3394" t="s">
        <v>739</v>
      </c>
      <c r="Q3394" t="s">
        <v>467</v>
      </c>
      <c r="R3394" t="s">
        <v>814</v>
      </c>
      <c r="S3394" t="s">
        <v>1319</v>
      </c>
      <c r="T3394" t="s">
        <v>1320</v>
      </c>
      <c r="U3394">
        <v>163400</v>
      </c>
      <c r="V3394" t="s">
        <v>18857</v>
      </c>
      <c r="W3394" t="s">
        <v>1304</v>
      </c>
      <c r="X3394" t="s">
        <v>17676</v>
      </c>
      <c r="Y3394" t="s">
        <v>4014</v>
      </c>
      <c r="Z3394" t="s">
        <v>4015</v>
      </c>
      <c r="AA3394" t="s">
        <v>4016</v>
      </c>
      <c r="AB3394" t="s">
        <v>17674</v>
      </c>
      <c r="AE3394">
        <v>-37.086212410000002</v>
      </c>
      <c r="AF3394">
        <v>174.93225558</v>
      </c>
      <c r="AG3394" s="175">
        <v>100</v>
      </c>
      <c r="AH3394" s="175">
        <v>20</v>
      </c>
      <c r="AI3394" s="175"/>
      <c r="AJ3394" s="175"/>
      <c r="AK3394" s="175"/>
      <c r="AL3394" s="175"/>
      <c r="AM3394" s="175"/>
      <c r="AN3394" s="175"/>
      <c r="AO3394" s="175"/>
      <c r="AP3394" s="175"/>
      <c r="AQ3394" s="175"/>
      <c r="AR3394" s="175"/>
      <c r="AS3394" s="175"/>
    </row>
    <row r="3395" spans="1:46">
      <c r="A3395">
        <v>48335</v>
      </c>
      <c r="B3395" t="s">
        <v>18858</v>
      </c>
      <c r="C3395" t="s">
        <v>18859</v>
      </c>
      <c r="E3395" t="s">
        <v>18860</v>
      </c>
      <c r="F3395" t="s">
        <v>906</v>
      </c>
      <c r="G3395" t="s">
        <v>737</v>
      </c>
      <c r="H3395" t="s">
        <v>449</v>
      </c>
      <c r="J3395" t="s">
        <v>4032</v>
      </c>
      <c r="K3395" t="s">
        <v>606</v>
      </c>
      <c r="M3395" t="s">
        <v>607</v>
      </c>
      <c r="N3395" t="s">
        <v>9058</v>
      </c>
      <c r="O3395" t="s">
        <v>889</v>
      </c>
      <c r="P3395" t="s">
        <v>739</v>
      </c>
      <c r="Q3395" t="s">
        <v>467</v>
      </c>
      <c r="R3395" t="s">
        <v>793</v>
      </c>
      <c r="S3395" t="s">
        <v>965</v>
      </c>
      <c r="T3395" t="s">
        <v>794</v>
      </c>
      <c r="U3395">
        <v>143100</v>
      </c>
      <c r="V3395" t="s">
        <v>6262</v>
      </c>
      <c r="W3395" t="s">
        <v>909</v>
      </c>
      <c r="X3395" t="s">
        <v>18861</v>
      </c>
      <c r="Y3395" t="s">
        <v>18860</v>
      </c>
      <c r="Z3395" t="s">
        <v>906</v>
      </c>
      <c r="AA3395" t="s">
        <v>15944</v>
      </c>
      <c r="AE3395">
        <v>-36.882997240000002</v>
      </c>
      <c r="AF3395">
        <v>174.81366009000001</v>
      </c>
      <c r="AG3395" s="175">
        <v>150</v>
      </c>
      <c r="AH3395" s="175">
        <v>45</v>
      </c>
      <c r="AI3395" s="175"/>
      <c r="AJ3395" s="175"/>
      <c r="AK3395" s="175"/>
      <c r="AL3395" s="175"/>
      <c r="AM3395" s="175"/>
      <c r="AN3395" s="175"/>
      <c r="AO3395" s="175"/>
      <c r="AP3395" s="175"/>
      <c r="AQ3395" s="175"/>
      <c r="AR3395" s="175"/>
      <c r="AS3395" s="175"/>
    </row>
    <row r="3396" spans="1:46">
      <c r="A3396">
        <v>48336</v>
      </c>
      <c r="B3396" t="s">
        <v>18862</v>
      </c>
      <c r="C3396" t="s">
        <v>18863</v>
      </c>
      <c r="E3396" t="s">
        <v>18864</v>
      </c>
      <c r="G3396" t="s">
        <v>752</v>
      </c>
      <c r="H3396" t="s">
        <v>449</v>
      </c>
      <c r="J3396" t="s">
        <v>4032</v>
      </c>
      <c r="K3396" t="s">
        <v>606</v>
      </c>
      <c r="M3396" t="s">
        <v>607</v>
      </c>
      <c r="N3396" t="s">
        <v>9058</v>
      </c>
      <c r="O3396" t="s">
        <v>738</v>
      </c>
      <c r="P3396" t="s">
        <v>670</v>
      </c>
      <c r="Q3396" t="s">
        <v>467</v>
      </c>
      <c r="R3396" t="s">
        <v>724</v>
      </c>
      <c r="S3396" t="s">
        <v>753</v>
      </c>
      <c r="T3396" t="s">
        <v>613</v>
      </c>
      <c r="U3396">
        <v>112902</v>
      </c>
      <c r="V3396" t="s">
        <v>18865</v>
      </c>
      <c r="W3396" t="s">
        <v>742</v>
      </c>
      <c r="X3396" t="s">
        <v>17816</v>
      </c>
      <c r="Y3396" t="s">
        <v>18864</v>
      </c>
      <c r="AA3396" t="s">
        <v>18866</v>
      </c>
      <c r="AB3396" t="s">
        <v>17818</v>
      </c>
      <c r="AE3396">
        <v>-36.593224669999998</v>
      </c>
      <c r="AF3396">
        <v>174.67038840000001</v>
      </c>
      <c r="AG3396" s="175">
        <v>60</v>
      </c>
      <c r="AH3396" s="175">
        <v>20</v>
      </c>
      <c r="AI3396" s="175"/>
      <c r="AJ3396" s="175"/>
      <c r="AK3396" s="175"/>
      <c r="AL3396" s="175"/>
      <c r="AM3396" s="175"/>
      <c r="AN3396" s="175"/>
      <c r="AO3396" s="175"/>
      <c r="AP3396" s="175"/>
      <c r="AQ3396" s="175"/>
      <c r="AR3396" s="175"/>
      <c r="AS3396" s="175"/>
    </row>
    <row r="3397" spans="1:46">
      <c r="A3397">
        <v>48337</v>
      </c>
      <c r="B3397" t="s">
        <v>18867</v>
      </c>
      <c r="C3397" t="s">
        <v>18868</v>
      </c>
      <c r="E3397" t="s">
        <v>18869</v>
      </c>
      <c r="F3397" t="s">
        <v>1262</v>
      </c>
      <c r="G3397" t="s">
        <v>737</v>
      </c>
      <c r="H3397" t="s">
        <v>449</v>
      </c>
      <c r="I3397" t="s">
        <v>4134</v>
      </c>
      <c r="J3397" t="s">
        <v>4032</v>
      </c>
      <c r="K3397" t="s">
        <v>606</v>
      </c>
      <c r="M3397" t="s">
        <v>607</v>
      </c>
      <c r="N3397" t="s">
        <v>9058</v>
      </c>
      <c r="O3397" t="s">
        <v>833</v>
      </c>
      <c r="P3397" t="s">
        <v>739</v>
      </c>
      <c r="Q3397" t="s">
        <v>467</v>
      </c>
      <c r="R3397" t="s">
        <v>724</v>
      </c>
      <c r="S3397" t="s">
        <v>767</v>
      </c>
      <c r="T3397" t="s">
        <v>613</v>
      </c>
      <c r="U3397">
        <v>126801</v>
      </c>
      <c r="V3397" t="s">
        <v>1263</v>
      </c>
      <c r="W3397" t="s">
        <v>826</v>
      </c>
      <c r="X3397" t="s">
        <v>4247</v>
      </c>
      <c r="Y3397" t="s">
        <v>4248</v>
      </c>
      <c r="Z3397" t="s">
        <v>4249</v>
      </c>
      <c r="AA3397" t="s">
        <v>4250</v>
      </c>
      <c r="AB3397" t="s">
        <v>4251</v>
      </c>
      <c r="AE3397">
        <v>-36.785593519999999</v>
      </c>
      <c r="AF3397">
        <v>174.76838838</v>
      </c>
      <c r="AG3397" s="175">
        <v>30</v>
      </c>
      <c r="AH3397" s="175">
        <v>0</v>
      </c>
      <c r="AI3397" s="175"/>
      <c r="AJ3397" s="175"/>
      <c r="AK3397" s="175"/>
      <c r="AL3397" s="175"/>
      <c r="AM3397" s="175"/>
      <c r="AN3397" s="175"/>
      <c r="AO3397" s="175"/>
      <c r="AP3397" s="175"/>
      <c r="AQ3397" s="175"/>
      <c r="AR3397" s="175"/>
      <c r="AS3397" s="175"/>
    </row>
    <row r="3398" spans="1:46">
      <c r="A3398">
        <v>48339</v>
      </c>
      <c r="B3398" t="s">
        <v>18870</v>
      </c>
      <c r="C3398" t="s">
        <v>16702</v>
      </c>
      <c r="E3398" t="s">
        <v>18871</v>
      </c>
      <c r="F3398" t="s">
        <v>1181</v>
      </c>
      <c r="G3398" t="s">
        <v>737</v>
      </c>
      <c r="H3398" t="s">
        <v>449</v>
      </c>
      <c r="J3398" t="s">
        <v>605</v>
      </c>
      <c r="K3398" t="s">
        <v>606</v>
      </c>
      <c r="M3398" t="s">
        <v>607</v>
      </c>
      <c r="N3398" t="s">
        <v>9058</v>
      </c>
      <c r="O3398" t="s">
        <v>1042</v>
      </c>
      <c r="P3398" t="s">
        <v>739</v>
      </c>
      <c r="Q3398" t="s">
        <v>467</v>
      </c>
      <c r="R3398" t="s">
        <v>793</v>
      </c>
      <c r="S3398" t="s">
        <v>1043</v>
      </c>
      <c r="T3398" t="s">
        <v>794</v>
      </c>
      <c r="U3398">
        <v>136400</v>
      </c>
      <c r="V3398" t="s">
        <v>18872</v>
      </c>
      <c r="W3398" t="s">
        <v>909</v>
      </c>
      <c r="X3398" t="s">
        <v>5793</v>
      </c>
      <c r="Y3398" t="s">
        <v>5794</v>
      </c>
      <c r="AA3398" t="s">
        <v>4726</v>
      </c>
      <c r="AE3398">
        <v>-36.852626299999997</v>
      </c>
      <c r="AF3398">
        <v>174.77530705000001</v>
      </c>
      <c r="AG3398" s="175">
        <v>55</v>
      </c>
      <c r="AH3398" s="175">
        <v>23</v>
      </c>
      <c r="AI3398" s="175"/>
      <c r="AJ3398" s="175"/>
      <c r="AK3398" s="175"/>
      <c r="AL3398" s="175"/>
      <c r="AM3398" s="175"/>
      <c r="AN3398" s="175"/>
      <c r="AO3398" s="175"/>
      <c r="AP3398" s="175"/>
      <c r="AQ3398" s="175"/>
      <c r="AR3398" s="175"/>
      <c r="AS3398" s="175"/>
    </row>
    <row r="3399" spans="1:46">
      <c r="A3399">
        <v>48344</v>
      </c>
      <c r="B3399" t="s">
        <v>18873</v>
      </c>
      <c r="C3399" t="s">
        <v>18874</v>
      </c>
      <c r="E3399" t="s">
        <v>18875</v>
      </c>
      <c r="G3399" t="s">
        <v>8953</v>
      </c>
      <c r="H3399" t="s">
        <v>449</v>
      </c>
      <c r="J3399" t="s">
        <v>605</v>
      </c>
      <c r="K3399" t="s">
        <v>606</v>
      </c>
      <c r="M3399" t="s">
        <v>1382</v>
      </c>
      <c r="N3399" t="s">
        <v>9058</v>
      </c>
      <c r="O3399" t="s">
        <v>1825</v>
      </c>
      <c r="P3399" t="s">
        <v>610</v>
      </c>
      <c r="Q3399" t="s">
        <v>511</v>
      </c>
      <c r="R3399" t="s">
        <v>1555</v>
      </c>
      <c r="S3399" t="s">
        <v>1522</v>
      </c>
      <c r="T3399" t="s">
        <v>1557</v>
      </c>
      <c r="U3399">
        <v>191001</v>
      </c>
      <c r="V3399" t="s">
        <v>8954</v>
      </c>
      <c r="W3399" t="s">
        <v>8823</v>
      </c>
      <c r="X3399" t="s">
        <v>8770</v>
      </c>
      <c r="Y3399" t="s">
        <v>8771</v>
      </c>
      <c r="AA3399" t="s">
        <v>8772</v>
      </c>
      <c r="AB3399" t="s">
        <v>8773</v>
      </c>
      <c r="AE3399">
        <v>-37.648796300000001</v>
      </c>
      <c r="AF3399">
        <v>176.02627924999999</v>
      </c>
      <c r="AG3399" s="175">
        <v>40</v>
      </c>
      <c r="AH3399" s="175">
        <v>8</v>
      </c>
      <c r="AI3399" s="175"/>
      <c r="AJ3399" s="175"/>
      <c r="AK3399" s="175"/>
      <c r="AL3399" s="175"/>
      <c r="AM3399" s="175"/>
      <c r="AN3399" s="175"/>
      <c r="AO3399" s="175"/>
      <c r="AP3399" s="175"/>
      <c r="AQ3399" s="175"/>
      <c r="AR3399" s="175"/>
      <c r="AS3399" s="175"/>
    </row>
    <row r="3400" spans="1:46">
      <c r="A3400">
        <v>48345</v>
      </c>
      <c r="B3400" t="s">
        <v>18876</v>
      </c>
      <c r="C3400" t="s">
        <v>18877</v>
      </c>
      <c r="D3400" t="s">
        <v>18878</v>
      </c>
      <c r="E3400" t="s">
        <v>18879</v>
      </c>
      <c r="F3400" t="s">
        <v>2030</v>
      </c>
      <c r="G3400" t="s">
        <v>1923</v>
      </c>
      <c r="H3400" t="s">
        <v>449</v>
      </c>
      <c r="J3400" t="s">
        <v>605</v>
      </c>
      <c r="K3400" t="s">
        <v>606</v>
      </c>
      <c r="M3400" t="s">
        <v>1382</v>
      </c>
      <c r="N3400" t="s">
        <v>9058</v>
      </c>
      <c r="O3400" t="s">
        <v>1968</v>
      </c>
      <c r="P3400" t="s">
        <v>670</v>
      </c>
      <c r="Q3400" t="s">
        <v>553</v>
      </c>
      <c r="R3400" t="s">
        <v>1841</v>
      </c>
      <c r="S3400" t="s">
        <v>1923</v>
      </c>
      <c r="T3400" t="s">
        <v>1568</v>
      </c>
      <c r="U3400">
        <v>225500</v>
      </c>
      <c r="V3400" t="s">
        <v>2031</v>
      </c>
      <c r="W3400" t="s">
        <v>1734</v>
      </c>
      <c r="X3400" t="s">
        <v>18880</v>
      </c>
      <c r="Y3400" t="s">
        <v>18879</v>
      </c>
      <c r="Z3400" t="s">
        <v>2030</v>
      </c>
      <c r="AA3400" t="s">
        <v>14572</v>
      </c>
      <c r="AB3400" t="s">
        <v>18881</v>
      </c>
      <c r="AE3400">
        <v>-39.920094849999998</v>
      </c>
      <c r="AF3400">
        <v>175.06716997999999</v>
      </c>
      <c r="AG3400" s="175">
        <v>60</v>
      </c>
      <c r="AH3400" s="175">
        <v>0</v>
      </c>
      <c r="AI3400" s="175"/>
      <c r="AJ3400" s="175"/>
      <c r="AK3400" s="175"/>
      <c r="AL3400" s="175"/>
      <c r="AM3400" s="175"/>
      <c r="AN3400" s="175"/>
      <c r="AO3400" s="175"/>
      <c r="AP3400" s="175"/>
      <c r="AQ3400" s="175"/>
      <c r="AR3400" s="175"/>
      <c r="AS3400" s="175"/>
    </row>
    <row r="3401" spans="1:46">
      <c r="A3401">
        <v>48346</v>
      </c>
      <c r="B3401" t="s">
        <v>18882</v>
      </c>
      <c r="C3401" t="s">
        <v>18883</v>
      </c>
      <c r="D3401" t="s">
        <v>18884</v>
      </c>
      <c r="E3401" t="s">
        <v>18885</v>
      </c>
      <c r="F3401" t="s">
        <v>3679</v>
      </c>
      <c r="G3401" t="s">
        <v>3015</v>
      </c>
      <c r="H3401" t="s">
        <v>449</v>
      </c>
      <c r="J3401" t="s">
        <v>4032</v>
      </c>
      <c r="K3401" t="s">
        <v>606</v>
      </c>
      <c r="M3401" t="s">
        <v>2366</v>
      </c>
      <c r="N3401" t="s">
        <v>9058</v>
      </c>
      <c r="O3401" t="s">
        <v>3016</v>
      </c>
      <c r="P3401" t="s">
        <v>739</v>
      </c>
      <c r="Q3401" t="s">
        <v>521</v>
      </c>
      <c r="R3401" t="s">
        <v>3017</v>
      </c>
      <c r="S3401" t="s">
        <v>3038</v>
      </c>
      <c r="T3401" t="s">
        <v>2526</v>
      </c>
      <c r="U3401">
        <v>316900</v>
      </c>
      <c r="V3401" t="s">
        <v>18886</v>
      </c>
      <c r="W3401" t="s">
        <v>3059</v>
      </c>
      <c r="X3401" t="s">
        <v>17917</v>
      </c>
      <c r="Y3401" t="s">
        <v>18885</v>
      </c>
      <c r="Z3401" t="s">
        <v>3679</v>
      </c>
      <c r="AA3401" t="s">
        <v>12388</v>
      </c>
      <c r="AE3401">
        <v>-43.44930591</v>
      </c>
      <c r="AF3401">
        <v>172.62617098999999</v>
      </c>
      <c r="AG3401" s="175">
        <v>40</v>
      </c>
      <c r="AH3401" s="175">
        <v>20</v>
      </c>
      <c r="AI3401" s="175"/>
      <c r="AJ3401" s="175"/>
      <c r="AK3401" s="175"/>
      <c r="AL3401" s="175"/>
      <c r="AM3401" s="175"/>
      <c r="AN3401" s="175"/>
      <c r="AO3401" s="175"/>
      <c r="AP3401" s="175"/>
      <c r="AQ3401" s="175"/>
      <c r="AR3401" s="175"/>
      <c r="AS3401" s="175"/>
    </row>
    <row r="3402" spans="1:46">
      <c r="A3402">
        <v>48347</v>
      </c>
      <c r="B3402" t="s">
        <v>16811</v>
      </c>
      <c r="C3402" t="s">
        <v>18887</v>
      </c>
      <c r="E3402" t="s">
        <v>18888</v>
      </c>
      <c r="F3402" t="s">
        <v>855</v>
      </c>
      <c r="G3402" t="s">
        <v>737</v>
      </c>
      <c r="H3402" t="s">
        <v>449</v>
      </c>
      <c r="J3402" t="s">
        <v>4032</v>
      </c>
      <c r="K3402" t="s">
        <v>606</v>
      </c>
      <c r="M3402" t="s">
        <v>607</v>
      </c>
      <c r="N3402" t="s">
        <v>9058</v>
      </c>
      <c r="O3402" t="s">
        <v>803</v>
      </c>
      <c r="P3402" t="s">
        <v>739</v>
      </c>
      <c r="Q3402" t="s">
        <v>467</v>
      </c>
      <c r="R3402" t="s">
        <v>724</v>
      </c>
      <c r="S3402" t="s">
        <v>804</v>
      </c>
      <c r="T3402" t="s">
        <v>794</v>
      </c>
      <c r="U3402">
        <v>132600</v>
      </c>
      <c r="V3402" t="s">
        <v>11805</v>
      </c>
      <c r="W3402" t="s">
        <v>806</v>
      </c>
      <c r="X3402" t="s">
        <v>16815</v>
      </c>
      <c r="Y3402" t="s">
        <v>16814</v>
      </c>
      <c r="Z3402" t="s">
        <v>957</v>
      </c>
      <c r="AA3402" t="s">
        <v>5051</v>
      </c>
      <c r="AB3402" t="s">
        <v>16816</v>
      </c>
      <c r="AE3402">
        <v>-36.908665550000002</v>
      </c>
      <c r="AF3402">
        <v>174.67439207999999</v>
      </c>
      <c r="AG3402" s="175">
        <v>60</v>
      </c>
      <c r="AH3402" s="175">
        <v>20</v>
      </c>
      <c r="AI3402" s="175"/>
      <c r="AJ3402" s="175"/>
      <c r="AK3402" s="175"/>
      <c r="AL3402" s="175"/>
      <c r="AM3402" s="175"/>
      <c r="AN3402" s="175"/>
      <c r="AO3402" s="175"/>
      <c r="AP3402" s="175"/>
      <c r="AQ3402" s="175"/>
      <c r="AR3402" s="175"/>
      <c r="AS3402" s="175"/>
    </row>
    <row r="3403" spans="1:46">
      <c r="A3403">
        <v>48348</v>
      </c>
      <c r="B3403" t="s">
        <v>18889</v>
      </c>
      <c r="C3403" t="s">
        <v>18890</v>
      </c>
      <c r="E3403" t="s">
        <v>18891</v>
      </c>
      <c r="F3403" t="s">
        <v>3777</v>
      </c>
      <c r="G3403" t="s">
        <v>737</v>
      </c>
      <c r="H3403" t="s">
        <v>450</v>
      </c>
      <c r="J3403" t="s">
        <v>4032</v>
      </c>
      <c r="K3403" t="s">
        <v>606</v>
      </c>
      <c r="M3403" t="s">
        <v>607</v>
      </c>
      <c r="N3403" t="s">
        <v>9058</v>
      </c>
      <c r="O3403" t="s">
        <v>1253</v>
      </c>
      <c r="P3403" t="s">
        <v>739</v>
      </c>
      <c r="Q3403" t="s">
        <v>467</v>
      </c>
      <c r="R3403" t="s">
        <v>724</v>
      </c>
      <c r="S3403" t="s">
        <v>740</v>
      </c>
      <c r="T3403" t="s">
        <v>613</v>
      </c>
      <c r="U3403">
        <v>118100</v>
      </c>
      <c r="V3403" t="s">
        <v>18892</v>
      </c>
      <c r="W3403" t="s">
        <v>742</v>
      </c>
      <c r="X3403" t="s">
        <v>18893</v>
      </c>
      <c r="Y3403" t="s">
        <v>18891</v>
      </c>
      <c r="Z3403" t="s">
        <v>3777</v>
      </c>
      <c r="AA3403" t="s">
        <v>4153</v>
      </c>
      <c r="AE3403">
        <v>-36.7404741</v>
      </c>
      <c r="AF3403">
        <v>174.70185000000001</v>
      </c>
      <c r="AG3403" s="175">
        <v>20</v>
      </c>
      <c r="AH3403" s="175">
        <v>20</v>
      </c>
      <c r="AI3403" s="175"/>
      <c r="AJ3403" s="175"/>
      <c r="AK3403" s="175"/>
      <c r="AL3403" s="175"/>
      <c r="AM3403" s="175"/>
      <c r="AN3403" s="175"/>
      <c r="AO3403" s="175"/>
      <c r="AP3403" s="175"/>
      <c r="AQ3403" s="175"/>
      <c r="AR3403" s="175"/>
      <c r="AS3403" s="175"/>
    </row>
    <row r="3404" spans="1:46">
      <c r="A3404">
        <v>48349</v>
      </c>
      <c r="B3404" t="s">
        <v>18894</v>
      </c>
      <c r="C3404" t="s">
        <v>18895</v>
      </c>
      <c r="E3404" t="s">
        <v>18896</v>
      </c>
      <c r="F3404" t="s">
        <v>791</v>
      </c>
      <c r="G3404" t="s">
        <v>737</v>
      </c>
      <c r="H3404" t="s">
        <v>449</v>
      </c>
      <c r="J3404" t="s">
        <v>4032</v>
      </c>
      <c r="K3404" t="s">
        <v>606</v>
      </c>
      <c r="M3404" t="s">
        <v>607</v>
      </c>
      <c r="R3404" t="s">
        <v>793</v>
      </c>
      <c r="X3404" t="s">
        <v>8102</v>
      </c>
      <c r="Y3404" t="s">
        <v>18897</v>
      </c>
      <c r="AA3404" t="s">
        <v>18898</v>
      </c>
      <c r="AB3404" t="s">
        <v>8105</v>
      </c>
      <c r="AG3404" s="175">
        <v>50</v>
      </c>
      <c r="AH3404" s="175">
        <v>0</v>
      </c>
      <c r="AI3404" s="175"/>
      <c r="AJ3404" s="175"/>
      <c r="AK3404" s="175"/>
      <c r="AL3404" s="175"/>
      <c r="AM3404" s="175"/>
      <c r="AN3404" s="175"/>
      <c r="AO3404" s="175"/>
      <c r="AP3404" s="175"/>
      <c r="AQ3404" s="175"/>
      <c r="AR3404" s="175"/>
      <c r="AS3404" s="175"/>
    </row>
    <row r="3405" spans="1:46">
      <c r="A3405">
        <v>48350</v>
      </c>
      <c r="B3405" t="s">
        <v>18899</v>
      </c>
      <c r="C3405" t="s">
        <v>18900</v>
      </c>
      <c r="E3405" t="s">
        <v>18901</v>
      </c>
      <c r="G3405" t="s">
        <v>18902</v>
      </c>
      <c r="H3405" t="s">
        <v>449</v>
      </c>
      <c r="I3405" t="s">
        <v>4298</v>
      </c>
      <c r="J3405" t="s">
        <v>605</v>
      </c>
      <c r="K3405" t="s">
        <v>606</v>
      </c>
      <c r="M3405" t="s">
        <v>1382</v>
      </c>
      <c r="R3405" t="s">
        <v>2164</v>
      </c>
      <c r="X3405" t="s">
        <v>18903</v>
      </c>
      <c r="AB3405" t="s">
        <v>18900</v>
      </c>
      <c r="AG3405" s="175">
        <v>20</v>
      </c>
      <c r="AH3405" s="175">
        <v>0</v>
      </c>
      <c r="AI3405" s="175"/>
      <c r="AJ3405" s="175"/>
      <c r="AK3405" s="175"/>
      <c r="AL3405" s="175"/>
      <c r="AM3405" s="175"/>
      <c r="AN3405" s="175"/>
      <c r="AO3405" s="175"/>
      <c r="AP3405" s="175"/>
      <c r="AQ3405" s="175"/>
      <c r="AR3405" s="175"/>
      <c r="AS3405" s="175"/>
    </row>
    <row r="3406" spans="1:46">
      <c r="A3406">
        <v>48351</v>
      </c>
      <c r="B3406" t="s">
        <v>18904</v>
      </c>
      <c r="C3406" t="s">
        <v>18905</v>
      </c>
      <c r="D3406" t="s">
        <v>18906</v>
      </c>
      <c r="E3406" t="s">
        <v>18907</v>
      </c>
      <c r="G3406" t="s">
        <v>784</v>
      </c>
      <c r="H3406" t="s">
        <v>450</v>
      </c>
      <c r="J3406" t="s">
        <v>4032</v>
      </c>
      <c r="K3406" t="s">
        <v>606</v>
      </c>
      <c r="M3406" t="s">
        <v>607</v>
      </c>
      <c r="N3406" t="s">
        <v>9058</v>
      </c>
      <c r="R3406" t="s">
        <v>724</v>
      </c>
      <c r="X3406" t="s">
        <v>18908</v>
      </c>
      <c r="Y3406" t="s">
        <v>18909</v>
      </c>
      <c r="AA3406" t="s">
        <v>4604</v>
      </c>
      <c r="AB3406" t="s">
        <v>18905</v>
      </c>
      <c r="AG3406" s="175"/>
      <c r="AH3406" s="175"/>
      <c r="AI3406" s="175"/>
      <c r="AJ3406" s="175"/>
      <c r="AK3406" s="175"/>
      <c r="AL3406" s="175"/>
      <c r="AM3406" s="175"/>
      <c r="AN3406" s="175"/>
      <c r="AO3406" s="175"/>
      <c r="AP3406" s="175"/>
      <c r="AQ3406" s="175"/>
      <c r="AR3406" s="175"/>
      <c r="AS3406" s="175"/>
    </row>
    <row r="3407" spans="1:46">
      <c r="A3407">
        <v>50003</v>
      </c>
      <c r="B3407" t="s">
        <v>18910</v>
      </c>
      <c r="C3407" t="s">
        <v>18911</v>
      </c>
      <c r="D3407" t="s">
        <v>18912</v>
      </c>
      <c r="E3407" t="s">
        <v>18913</v>
      </c>
      <c r="G3407" t="s">
        <v>18914</v>
      </c>
      <c r="H3407" t="s">
        <v>301</v>
      </c>
      <c r="J3407" t="s">
        <v>605</v>
      </c>
      <c r="K3407" t="s">
        <v>606</v>
      </c>
      <c r="M3407" t="s">
        <v>1382</v>
      </c>
      <c r="N3407" t="s">
        <v>657</v>
      </c>
      <c r="O3407" t="s">
        <v>1840</v>
      </c>
      <c r="P3407" t="s">
        <v>626</v>
      </c>
      <c r="Q3407" t="s">
        <v>514</v>
      </c>
      <c r="R3407" t="s">
        <v>1841</v>
      </c>
      <c r="S3407" t="s">
        <v>1501</v>
      </c>
      <c r="T3407" t="s">
        <v>1568</v>
      </c>
      <c r="U3407">
        <v>219401</v>
      </c>
      <c r="V3407" t="s">
        <v>18915</v>
      </c>
      <c r="W3407" t="s">
        <v>1907</v>
      </c>
      <c r="X3407" t="s">
        <v>10418</v>
      </c>
      <c r="Y3407" t="s">
        <v>5253</v>
      </c>
      <c r="AA3407" t="s">
        <v>5254</v>
      </c>
      <c r="AB3407" t="s">
        <v>10419</v>
      </c>
      <c r="AE3407">
        <v>-39.000002979999998</v>
      </c>
      <c r="AF3407">
        <v>174.38880768000001</v>
      </c>
      <c r="AG3407" s="175">
        <v>30</v>
      </c>
      <c r="AH3407" s="175">
        <v>15</v>
      </c>
      <c r="AI3407" s="175">
        <v>5</v>
      </c>
      <c r="AJ3407" s="175">
        <v>2</v>
      </c>
      <c r="AK3407" s="175">
        <v>6</v>
      </c>
      <c r="AL3407" s="175">
        <v>4</v>
      </c>
      <c r="AM3407" s="175">
        <v>1</v>
      </c>
      <c r="AN3407" s="175">
        <v>0</v>
      </c>
      <c r="AO3407" s="175">
        <v>18</v>
      </c>
      <c r="AP3407" s="175">
        <v>14</v>
      </c>
      <c r="AQ3407" s="175">
        <v>8</v>
      </c>
      <c r="AR3407" s="175">
        <v>0</v>
      </c>
      <c r="AS3407" s="175">
        <v>0</v>
      </c>
      <c r="AT3407" s="175">
        <v>0</v>
      </c>
    </row>
    <row r="3408" spans="1:46">
      <c r="A3408">
        <v>50004</v>
      </c>
      <c r="B3408" t="s">
        <v>18916</v>
      </c>
      <c r="C3408" t="s">
        <v>18911</v>
      </c>
      <c r="D3408" t="s">
        <v>18917</v>
      </c>
      <c r="E3408" t="s">
        <v>18918</v>
      </c>
      <c r="G3408" t="s">
        <v>18919</v>
      </c>
      <c r="H3408" t="s">
        <v>301</v>
      </c>
      <c r="J3408" t="s">
        <v>605</v>
      </c>
      <c r="K3408" t="s">
        <v>606</v>
      </c>
      <c r="M3408" t="s">
        <v>1382</v>
      </c>
      <c r="N3408" t="s">
        <v>657</v>
      </c>
      <c r="O3408" t="s">
        <v>1922</v>
      </c>
      <c r="P3408" t="s">
        <v>658</v>
      </c>
      <c r="Q3408" t="s">
        <v>514</v>
      </c>
      <c r="R3408" t="s">
        <v>1841</v>
      </c>
      <c r="S3408" t="s">
        <v>1501</v>
      </c>
      <c r="T3408" t="s">
        <v>1568</v>
      </c>
      <c r="U3408">
        <v>220001</v>
      </c>
      <c r="V3408" t="s">
        <v>18919</v>
      </c>
      <c r="W3408" t="s">
        <v>18920</v>
      </c>
      <c r="X3408" t="s">
        <v>10418</v>
      </c>
      <c r="Y3408" t="s">
        <v>5253</v>
      </c>
      <c r="AA3408" t="s">
        <v>5254</v>
      </c>
      <c r="AB3408" t="s">
        <v>10419</v>
      </c>
      <c r="AE3408">
        <v>-39.335126680000002</v>
      </c>
      <c r="AF3408">
        <v>174.39360468999999</v>
      </c>
      <c r="AG3408" s="175">
        <v>30</v>
      </c>
      <c r="AH3408" s="175">
        <v>15</v>
      </c>
      <c r="AI3408" s="175">
        <v>5</v>
      </c>
      <c r="AJ3408" s="175">
        <v>2</v>
      </c>
      <c r="AK3408" s="175">
        <v>8</v>
      </c>
      <c r="AL3408" s="175">
        <v>2</v>
      </c>
      <c r="AM3408" s="175">
        <v>4</v>
      </c>
      <c r="AN3408" s="175">
        <v>0</v>
      </c>
      <c r="AO3408" s="175">
        <v>21</v>
      </c>
      <c r="AP3408" s="175">
        <v>21</v>
      </c>
      <c r="AQ3408" s="175">
        <v>1</v>
      </c>
      <c r="AR3408" s="175">
        <v>1</v>
      </c>
      <c r="AS3408" s="175">
        <v>0</v>
      </c>
      <c r="AT3408" s="175">
        <v>0</v>
      </c>
    </row>
    <row r="3409" spans="1:46">
      <c r="A3409">
        <v>50005</v>
      </c>
      <c r="B3409" t="s">
        <v>18921</v>
      </c>
      <c r="C3409" t="s">
        <v>18911</v>
      </c>
      <c r="D3409" t="s">
        <v>18922</v>
      </c>
      <c r="E3409" t="s">
        <v>18923</v>
      </c>
      <c r="G3409" t="s">
        <v>1905</v>
      </c>
      <c r="H3409" t="s">
        <v>301</v>
      </c>
      <c r="J3409" t="s">
        <v>605</v>
      </c>
      <c r="K3409" t="s">
        <v>606</v>
      </c>
      <c r="M3409" t="s">
        <v>1382</v>
      </c>
      <c r="N3409" t="s">
        <v>9058</v>
      </c>
      <c r="O3409" t="s">
        <v>1840</v>
      </c>
      <c r="P3409" t="s">
        <v>658</v>
      </c>
      <c r="Q3409" t="s">
        <v>514</v>
      </c>
      <c r="R3409" t="s">
        <v>1841</v>
      </c>
      <c r="S3409" t="s">
        <v>1501</v>
      </c>
      <c r="T3409" t="s">
        <v>1568</v>
      </c>
      <c r="U3409">
        <v>219401</v>
      </c>
      <c r="V3409" t="s">
        <v>18915</v>
      </c>
      <c r="W3409" t="s">
        <v>1907</v>
      </c>
      <c r="X3409" t="s">
        <v>10418</v>
      </c>
      <c r="Y3409" t="s">
        <v>5253</v>
      </c>
      <c r="AA3409" t="s">
        <v>5254</v>
      </c>
      <c r="AB3409" t="s">
        <v>10419</v>
      </c>
      <c r="AE3409">
        <v>-39.034397570000003</v>
      </c>
      <c r="AF3409">
        <v>174.27835809999999</v>
      </c>
      <c r="AG3409" s="175">
        <v>30</v>
      </c>
      <c r="AH3409" s="175">
        <v>15</v>
      </c>
      <c r="AI3409" s="175">
        <v>2</v>
      </c>
      <c r="AJ3409" s="175">
        <v>2</v>
      </c>
      <c r="AK3409" s="175">
        <v>2</v>
      </c>
      <c r="AL3409" s="175">
        <v>5</v>
      </c>
      <c r="AM3409" s="175">
        <v>2</v>
      </c>
      <c r="AN3409" s="175">
        <v>0</v>
      </c>
      <c r="AO3409" s="175">
        <v>13</v>
      </c>
      <c r="AP3409" s="175">
        <v>13</v>
      </c>
      <c r="AQ3409" s="175">
        <v>6</v>
      </c>
      <c r="AR3409" s="175">
        <v>0</v>
      </c>
      <c r="AS3409" s="175">
        <v>0</v>
      </c>
      <c r="AT3409" s="175">
        <v>0</v>
      </c>
    </row>
    <row r="3410" spans="1:46">
      <c r="A3410">
        <v>50007</v>
      </c>
      <c r="B3410" t="s">
        <v>18924</v>
      </c>
      <c r="C3410" t="s">
        <v>18911</v>
      </c>
      <c r="D3410" t="s">
        <v>18925</v>
      </c>
      <c r="E3410" t="s">
        <v>18926</v>
      </c>
      <c r="G3410" t="s">
        <v>1921</v>
      </c>
      <c r="H3410" t="s">
        <v>301</v>
      </c>
      <c r="J3410" t="s">
        <v>605</v>
      </c>
      <c r="K3410" t="s">
        <v>606</v>
      </c>
      <c r="M3410" t="s">
        <v>1382</v>
      </c>
      <c r="N3410" t="s">
        <v>4586</v>
      </c>
      <c r="O3410" t="s">
        <v>1922</v>
      </c>
      <c r="P3410" t="s">
        <v>610</v>
      </c>
      <c r="Q3410" t="s">
        <v>514</v>
      </c>
      <c r="R3410" t="s">
        <v>1841</v>
      </c>
      <c r="S3410" t="s">
        <v>1923</v>
      </c>
      <c r="T3410" t="s">
        <v>1568</v>
      </c>
      <c r="U3410">
        <v>220301</v>
      </c>
      <c r="V3410" t="s">
        <v>1958</v>
      </c>
      <c r="W3410" t="s">
        <v>1925</v>
      </c>
      <c r="X3410" t="s">
        <v>10418</v>
      </c>
      <c r="Y3410" t="s">
        <v>5253</v>
      </c>
      <c r="AA3410" t="s">
        <v>5254</v>
      </c>
      <c r="AB3410" t="s">
        <v>10419</v>
      </c>
      <c r="AE3410">
        <v>-39.341291499999997</v>
      </c>
      <c r="AF3410">
        <v>174.28799889999999</v>
      </c>
      <c r="AG3410" s="175">
        <v>30</v>
      </c>
      <c r="AH3410" s="175">
        <v>20</v>
      </c>
      <c r="AI3410" s="175">
        <v>7</v>
      </c>
      <c r="AJ3410" s="175">
        <v>5</v>
      </c>
      <c r="AK3410" s="175">
        <v>3</v>
      </c>
      <c r="AL3410" s="175">
        <v>4</v>
      </c>
      <c r="AM3410" s="175">
        <v>2</v>
      </c>
      <c r="AN3410" s="175">
        <v>0</v>
      </c>
      <c r="AO3410" s="175">
        <v>21</v>
      </c>
      <c r="AP3410" s="175">
        <v>21</v>
      </c>
      <c r="AQ3410" s="175">
        <v>5</v>
      </c>
      <c r="AR3410" s="175">
        <v>0</v>
      </c>
      <c r="AS3410" s="175">
        <v>1</v>
      </c>
      <c r="AT3410" s="175">
        <v>0</v>
      </c>
    </row>
    <row r="3411" spans="1:46">
      <c r="A3411">
        <v>50008</v>
      </c>
      <c r="B3411" t="s">
        <v>18927</v>
      </c>
      <c r="C3411" t="s">
        <v>18911</v>
      </c>
      <c r="D3411" t="s">
        <v>18928</v>
      </c>
      <c r="E3411" t="s">
        <v>5510</v>
      </c>
      <c r="G3411" t="s">
        <v>18929</v>
      </c>
      <c r="H3411" t="s">
        <v>301</v>
      </c>
      <c r="J3411" t="s">
        <v>605</v>
      </c>
      <c r="K3411" t="s">
        <v>606</v>
      </c>
      <c r="M3411" t="s">
        <v>1382</v>
      </c>
      <c r="N3411" t="s">
        <v>657</v>
      </c>
      <c r="O3411" t="s">
        <v>1932</v>
      </c>
      <c r="P3411" t="s">
        <v>658</v>
      </c>
      <c r="Q3411" t="s">
        <v>514</v>
      </c>
      <c r="R3411" t="s">
        <v>1841</v>
      </c>
      <c r="S3411" t="s">
        <v>1839</v>
      </c>
      <c r="T3411" t="s">
        <v>1568</v>
      </c>
      <c r="U3411">
        <v>220501</v>
      </c>
      <c r="V3411" t="s">
        <v>18930</v>
      </c>
      <c r="W3411" t="s">
        <v>10431</v>
      </c>
      <c r="X3411" t="s">
        <v>10418</v>
      </c>
      <c r="Y3411" t="s">
        <v>5253</v>
      </c>
      <c r="AA3411" t="s">
        <v>5254</v>
      </c>
      <c r="AB3411" t="s">
        <v>10419</v>
      </c>
      <c r="AE3411">
        <v>-39.324641149999998</v>
      </c>
      <c r="AF3411">
        <v>173.80290138999999</v>
      </c>
      <c r="AG3411" s="175">
        <v>30</v>
      </c>
      <c r="AH3411" s="175">
        <v>15</v>
      </c>
      <c r="AI3411" s="175">
        <v>0</v>
      </c>
      <c r="AJ3411" s="175">
        <v>2</v>
      </c>
      <c r="AK3411" s="175">
        <v>5</v>
      </c>
      <c r="AL3411" s="175">
        <v>1</v>
      </c>
      <c r="AM3411" s="175">
        <v>4</v>
      </c>
      <c r="AN3411" s="175">
        <v>0</v>
      </c>
      <c r="AO3411" s="175">
        <v>12</v>
      </c>
      <c r="AP3411" s="175">
        <v>11</v>
      </c>
      <c r="AQ3411" s="175">
        <v>5</v>
      </c>
      <c r="AR3411" s="175">
        <v>0</v>
      </c>
      <c r="AS3411" s="175">
        <v>0</v>
      </c>
      <c r="AT3411" s="175">
        <v>0</v>
      </c>
    </row>
    <row r="3412" spans="1:46">
      <c r="A3412">
        <v>50009</v>
      </c>
      <c r="B3412" t="s">
        <v>18931</v>
      </c>
      <c r="C3412" t="s">
        <v>18911</v>
      </c>
      <c r="D3412" t="s">
        <v>18932</v>
      </c>
      <c r="E3412" t="s">
        <v>18933</v>
      </c>
      <c r="G3412" t="s">
        <v>18934</v>
      </c>
      <c r="H3412" t="s">
        <v>301</v>
      </c>
      <c r="J3412" t="s">
        <v>605</v>
      </c>
      <c r="K3412" t="s">
        <v>606</v>
      </c>
      <c r="M3412" t="s">
        <v>1382</v>
      </c>
      <c r="N3412" t="s">
        <v>657</v>
      </c>
      <c r="O3412" t="s">
        <v>1932</v>
      </c>
      <c r="P3412" t="s">
        <v>610</v>
      </c>
      <c r="Q3412" t="s">
        <v>514</v>
      </c>
      <c r="R3412" t="s">
        <v>1841</v>
      </c>
      <c r="S3412" t="s">
        <v>1839</v>
      </c>
      <c r="T3412" t="s">
        <v>1568</v>
      </c>
      <c r="U3412">
        <v>220700</v>
      </c>
      <c r="V3412" t="s">
        <v>18935</v>
      </c>
      <c r="W3412" t="s">
        <v>10431</v>
      </c>
      <c r="X3412" t="s">
        <v>10418</v>
      </c>
      <c r="Y3412" t="s">
        <v>5253</v>
      </c>
      <c r="AA3412" t="s">
        <v>5254</v>
      </c>
      <c r="AB3412" t="s">
        <v>10419</v>
      </c>
      <c r="AE3412">
        <v>-39.452498390000002</v>
      </c>
      <c r="AF3412">
        <v>173.85665437</v>
      </c>
      <c r="AG3412" s="175">
        <v>30</v>
      </c>
      <c r="AH3412" s="175">
        <v>15</v>
      </c>
      <c r="AI3412" s="175">
        <v>0</v>
      </c>
      <c r="AJ3412" s="175">
        <v>5</v>
      </c>
      <c r="AK3412" s="175">
        <v>9</v>
      </c>
      <c r="AL3412" s="175">
        <v>6</v>
      </c>
      <c r="AM3412" s="175">
        <v>7</v>
      </c>
      <c r="AN3412" s="175">
        <v>0</v>
      </c>
      <c r="AO3412" s="175">
        <v>27</v>
      </c>
      <c r="AP3412" s="175">
        <v>21</v>
      </c>
      <c r="AQ3412" s="175">
        <v>12</v>
      </c>
      <c r="AR3412" s="175">
        <v>0</v>
      </c>
      <c r="AS3412" s="175">
        <v>0</v>
      </c>
      <c r="AT3412" s="175">
        <v>0</v>
      </c>
    </row>
    <row r="3413" spans="1:46">
      <c r="A3413">
        <v>50010</v>
      </c>
      <c r="B3413" t="s">
        <v>18936</v>
      </c>
      <c r="C3413" t="s">
        <v>18937</v>
      </c>
      <c r="D3413" t="s">
        <v>18938</v>
      </c>
      <c r="E3413" t="s">
        <v>18939</v>
      </c>
      <c r="G3413" t="s">
        <v>12832</v>
      </c>
      <c r="H3413" t="s">
        <v>301</v>
      </c>
      <c r="J3413" t="s">
        <v>605</v>
      </c>
      <c r="K3413" t="s">
        <v>606</v>
      </c>
      <c r="M3413" t="s">
        <v>1382</v>
      </c>
      <c r="N3413" t="s">
        <v>657</v>
      </c>
      <c r="O3413" t="s">
        <v>1840</v>
      </c>
      <c r="P3413" t="s">
        <v>626</v>
      </c>
      <c r="Q3413" t="s">
        <v>514</v>
      </c>
      <c r="R3413" t="s">
        <v>1841</v>
      </c>
      <c r="S3413" t="s">
        <v>1839</v>
      </c>
      <c r="T3413" t="s">
        <v>1568</v>
      </c>
      <c r="U3413">
        <v>216700</v>
      </c>
      <c r="V3413" t="s">
        <v>12833</v>
      </c>
      <c r="W3413" t="s">
        <v>1843</v>
      </c>
      <c r="X3413" t="s">
        <v>10418</v>
      </c>
      <c r="Y3413" t="s">
        <v>5253</v>
      </c>
      <c r="AA3413" t="s">
        <v>5254</v>
      </c>
      <c r="AB3413" t="s">
        <v>10419</v>
      </c>
      <c r="AE3413">
        <v>-39.188750310000003</v>
      </c>
      <c r="AF3413">
        <v>173.87750402</v>
      </c>
      <c r="AG3413" s="175">
        <v>30</v>
      </c>
      <c r="AH3413" s="175">
        <v>15</v>
      </c>
      <c r="AI3413" s="175">
        <v>2</v>
      </c>
      <c r="AJ3413" s="175">
        <v>5</v>
      </c>
      <c r="AK3413" s="175">
        <v>1</v>
      </c>
      <c r="AL3413" s="175">
        <v>3</v>
      </c>
      <c r="AM3413" s="175">
        <v>1</v>
      </c>
      <c r="AN3413" s="175">
        <v>0</v>
      </c>
      <c r="AO3413" s="175">
        <v>12</v>
      </c>
      <c r="AP3413" s="175">
        <v>12</v>
      </c>
      <c r="AQ3413" s="175">
        <v>1</v>
      </c>
      <c r="AR3413" s="175">
        <v>1</v>
      </c>
      <c r="AS3413" s="175">
        <v>1</v>
      </c>
      <c r="AT3413" s="175">
        <v>0</v>
      </c>
    </row>
    <row r="3414" spans="1:46">
      <c r="A3414">
        <v>50012</v>
      </c>
      <c r="B3414" t="s">
        <v>18940</v>
      </c>
      <c r="C3414" t="s">
        <v>18911</v>
      </c>
      <c r="D3414" t="s">
        <v>18941</v>
      </c>
      <c r="E3414" t="s">
        <v>18942</v>
      </c>
      <c r="G3414" t="s">
        <v>18943</v>
      </c>
      <c r="H3414" t="s">
        <v>301</v>
      </c>
      <c r="J3414" t="s">
        <v>605</v>
      </c>
      <c r="K3414" t="s">
        <v>606</v>
      </c>
      <c r="M3414" t="s">
        <v>1382</v>
      </c>
      <c r="N3414" t="s">
        <v>657</v>
      </c>
      <c r="O3414" t="s">
        <v>1932</v>
      </c>
      <c r="P3414" t="s">
        <v>610</v>
      </c>
      <c r="Q3414" t="s">
        <v>514</v>
      </c>
      <c r="R3414" t="s">
        <v>1841</v>
      </c>
      <c r="S3414" t="s">
        <v>1923</v>
      </c>
      <c r="T3414" t="s">
        <v>1568</v>
      </c>
      <c r="U3414">
        <v>221401</v>
      </c>
      <c r="V3414" t="s">
        <v>18944</v>
      </c>
      <c r="W3414" t="s">
        <v>1940</v>
      </c>
      <c r="X3414" t="s">
        <v>10418</v>
      </c>
      <c r="Y3414" t="s">
        <v>5253</v>
      </c>
      <c r="AA3414" t="s">
        <v>5254</v>
      </c>
      <c r="AB3414" t="s">
        <v>10419</v>
      </c>
      <c r="AE3414">
        <v>-39.538827419999997</v>
      </c>
      <c r="AF3414">
        <v>174.27200192999999</v>
      </c>
      <c r="AG3414" s="175">
        <v>30</v>
      </c>
      <c r="AH3414" s="175">
        <v>15</v>
      </c>
      <c r="AI3414" s="175">
        <v>15</v>
      </c>
      <c r="AJ3414" s="175">
        <v>3</v>
      </c>
      <c r="AK3414" s="175">
        <v>2</v>
      </c>
      <c r="AL3414" s="175">
        <v>0</v>
      </c>
      <c r="AM3414" s="175">
        <v>0</v>
      </c>
      <c r="AN3414" s="175">
        <v>0</v>
      </c>
      <c r="AO3414" s="175">
        <v>20</v>
      </c>
      <c r="AP3414" s="175">
        <v>19</v>
      </c>
      <c r="AQ3414" s="175">
        <v>3</v>
      </c>
      <c r="AR3414" s="175">
        <v>1</v>
      </c>
      <c r="AS3414" s="175">
        <v>0</v>
      </c>
      <c r="AT3414" s="175">
        <v>1</v>
      </c>
    </row>
    <row r="3415" spans="1:46">
      <c r="A3415">
        <v>50013</v>
      </c>
      <c r="B3415" t="s">
        <v>18945</v>
      </c>
      <c r="C3415" t="s">
        <v>18911</v>
      </c>
      <c r="D3415" t="s">
        <v>18946</v>
      </c>
      <c r="E3415" t="s">
        <v>18947</v>
      </c>
      <c r="G3415" t="s">
        <v>1839</v>
      </c>
      <c r="H3415" t="s">
        <v>301</v>
      </c>
      <c r="J3415" t="s">
        <v>605</v>
      </c>
      <c r="K3415" t="s">
        <v>606</v>
      </c>
      <c r="M3415" t="s">
        <v>1382</v>
      </c>
      <c r="N3415" t="s">
        <v>657</v>
      </c>
      <c r="O3415" t="s">
        <v>1840</v>
      </c>
      <c r="P3415" t="s">
        <v>670</v>
      </c>
      <c r="Q3415" t="s">
        <v>514</v>
      </c>
      <c r="R3415" t="s">
        <v>1841</v>
      </c>
      <c r="S3415" t="s">
        <v>1839</v>
      </c>
      <c r="T3415" t="s">
        <v>1568</v>
      </c>
      <c r="U3415">
        <v>217800</v>
      </c>
      <c r="V3415" t="s">
        <v>18948</v>
      </c>
      <c r="W3415" t="s">
        <v>1843</v>
      </c>
      <c r="X3415" t="s">
        <v>10418</v>
      </c>
      <c r="Y3415" t="s">
        <v>5253</v>
      </c>
      <c r="AA3415" t="s">
        <v>5254</v>
      </c>
      <c r="AB3415" t="s">
        <v>10419</v>
      </c>
      <c r="AE3415">
        <v>-39.077613880000001</v>
      </c>
      <c r="AF3415">
        <v>174.08161903999999</v>
      </c>
      <c r="AG3415" s="175">
        <v>30</v>
      </c>
      <c r="AH3415" s="175">
        <v>20</v>
      </c>
      <c r="AI3415" s="175">
        <v>49</v>
      </c>
      <c r="AJ3415" s="175">
        <v>7</v>
      </c>
      <c r="AK3415" s="175">
        <v>12</v>
      </c>
      <c r="AL3415" s="175">
        <v>4</v>
      </c>
      <c r="AM3415" s="175">
        <v>5</v>
      </c>
      <c r="AN3415" s="175">
        <v>1</v>
      </c>
      <c r="AO3415" s="175">
        <v>78</v>
      </c>
      <c r="AP3415" s="175">
        <v>74</v>
      </c>
      <c r="AQ3415" s="175">
        <v>15</v>
      </c>
      <c r="AR3415" s="175">
        <v>1</v>
      </c>
      <c r="AS3415" s="175">
        <v>3</v>
      </c>
      <c r="AT3415" s="175">
        <v>3</v>
      </c>
    </row>
    <row r="3416" spans="1:46">
      <c r="A3416">
        <v>50015</v>
      </c>
      <c r="B3416" t="s">
        <v>18949</v>
      </c>
      <c r="C3416" t="s">
        <v>18911</v>
      </c>
      <c r="D3416" t="s">
        <v>18950</v>
      </c>
      <c r="E3416" t="s">
        <v>18951</v>
      </c>
      <c r="G3416" t="s">
        <v>16716</v>
      </c>
      <c r="H3416" t="s">
        <v>301</v>
      </c>
      <c r="J3416" t="s">
        <v>605</v>
      </c>
      <c r="K3416" t="s">
        <v>606</v>
      </c>
      <c r="M3416" t="s">
        <v>1382</v>
      </c>
      <c r="N3416" t="s">
        <v>657</v>
      </c>
      <c r="O3416" t="s">
        <v>1840</v>
      </c>
      <c r="P3416" t="s">
        <v>626</v>
      </c>
      <c r="Q3416" t="s">
        <v>514</v>
      </c>
      <c r="R3416" t="s">
        <v>1841</v>
      </c>
      <c r="S3416" t="s">
        <v>1839</v>
      </c>
      <c r="T3416" t="s">
        <v>1568</v>
      </c>
      <c r="U3416">
        <v>219000</v>
      </c>
      <c r="V3416" t="s">
        <v>16717</v>
      </c>
      <c r="W3416" t="s">
        <v>1907</v>
      </c>
      <c r="X3416" t="s">
        <v>10418</v>
      </c>
      <c r="Y3416" t="s">
        <v>5253</v>
      </c>
      <c r="AA3416" t="s">
        <v>5254</v>
      </c>
      <c r="AB3416" t="s">
        <v>10419</v>
      </c>
      <c r="AE3416">
        <v>-39.061922070000001</v>
      </c>
      <c r="AF3416">
        <v>174.2101241</v>
      </c>
      <c r="AG3416" s="175">
        <v>30</v>
      </c>
      <c r="AH3416" s="175">
        <v>20</v>
      </c>
      <c r="AI3416" s="175">
        <v>11</v>
      </c>
      <c r="AJ3416" s="175">
        <v>5</v>
      </c>
      <c r="AK3416" s="175">
        <v>6</v>
      </c>
      <c r="AL3416" s="175">
        <v>4</v>
      </c>
      <c r="AM3416" s="175">
        <v>2</v>
      </c>
      <c r="AN3416" s="175">
        <v>0</v>
      </c>
      <c r="AO3416" s="175">
        <v>28</v>
      </c>
      <c r="AP3416" s="175">
        <v>27</v>
      </c>
      <c r="AQ3416" s="175">
        <v>3</v>
      </c>
      <c r="AR3416" s="175">
        <v>0</v>
      </c>
      <c r="AS3416" s="175">
        <v>2</v>
      </c>
      <c r="AT3416" s="175">
        <v>1</v>
      </c>
    </row>
    <row r="3417" spans="1:46">
      <c r="A3417">
        <v>50016</v>
      </c>
      <c r="B3417" t="s">
        <v>18952</v>
      </c>
      <c r="C3417" t="s">
        <v>18911</v>
      </c>
      <c r="D3417" t="s">
        <v>18953</v>
      </c>
      <c r="E3417" t="s">
        <v>18954</v>
      </c>
      <c r="G3417" t="s">
        <v>18955</v>
      </c>
      <c r="H3417" t="s">
        <v>301</v>
      </c>
      <c r="J3417" t="s">
        <v>605</v>
      </c>
      <c r="K3417" t="s">
        <v>606</v>
      </c>
      <c r="M3417" t="s">
        <v>1382</v>
      </c>
      <c r="N3417" t="s">
        <v>657</v>
      </c>
      <c r="O3417" t="s">
        <v>1932</v>
      </c>
      <c r="P3417" t="s">
        <v>626</v>
      </c>
      <c r="Q3417" t="s">
        <v>514</v>
      </c>
      <c r="R3417" t="s">
        <v>1841</v>
      </c>
      <c r="S3417" t="s">
        <v>1923</v>
      </c>
      <c r="T3417" t="s">
        <v>1568</v>
      </c>
      <c r="U3417">
        <v>220800</v>
      </c>
      <c r="V3417" t="s">
        <v>18956</v>
      </c>
      <c r="W3417" t="s">
        <v>1933</v>
      </c>
      <c r="X3417" t="s">
        <v>10418</v>
      </c>
      <c r="Y3417" t="s">
        <v>5253</v>
      </c>
      <c r="AA3417" t="s">
        <v>5254</v>
      </c>
      <c r="AB3417" t="s">
        <v>10419</v>
      </c>
      <c r="AE3417">
        <v>-39.427229369999999</v>
      </c>
      <c r="AF3417">
        <v>174.14959641999999</v>
      </c>
      <c r="AG3417" s="175">
        <v>30</v>
      </c>
      <c r="AH3417" s="175">
        <v>15</v>
      </c>
      <c r="AI3417" s="175">
        <v>0</v>
      </c>
      <c r="AJ3417" s="175">
        <v>1</v>
      </c>
      <c r="AK3417" s="175">
        <v>1</v>
      </c>
      <c r="AL3417" s="175">
        <v>0</v>
      </c>
      <c r="AM3417" s="175">
        <v>1</v>
      </c>
      <c r="AN3417" s="175">
        <v>0</v>
      </c>
      <c r="AO3417" s="175">
        <v>3</v>
      </c>
      <c r="AP3417" s="175">
        <v>3</v>
      </c>
      <c r="AQ3417" s="175">
        <v>1</v>
      </c>
      <c r="AR3417" s="175">
        <v>0</v>
      </c>
      <c r="AS3417" s="175">
        <v>0</v>
      </c>
      <c r="AT3417" s="175">
        <v>0</v>
      </c>
    </row>
    <row r="3418" spans="1:46">
      <c r="A3418">
        <v>50017</v>
      </c>
      <c r="B3418" t="s">
        <v>18957</v>
      </c>
      <c r="C3418" t="s">
        <v>18911</v>
      </c>
      <c r="D3418" t="s">
        <v>18958</v>
      </c>
      <c r="E3418" t="s">
        <v>18959</v>
      </c>
      <c r="G3418" t="s">
        <v>18955</v>
      </c>
      <c r="H3418" t="s">
        <v>301</v>
      </c>
      <c r="J3418" t="s">
        <v>605</v>
      </c>
      <c r="K3418" t="s">
        <v>606</v>
      </c>
      <c r="M3418" t="s">
        <v>1382</v>
      </c>
      <c r="N3418" t="s">
        <v>657</v>
      </c>
      <c r="O3418" t="s">
        <v>1932</v>
      </c>
      <c r="P3418" t="s">
        <v>658</v>
      </c>
      <c r="Q3418" t="s">
        <v>514</v>
      </c>
      <c r="R3418" t="s">
        <v>1841</v>
      </c>
      <c r="S3418" t="s">
        <v>1923</v>
      </c>
      <c r="T3418" t="s">
        <v>1568</v>
      </c>
      <c r="U3418">
        <v>220600</v>
      </c>
      <c r="V3418" t="s">
        <v>18960</v>
      </c>
      <c r="W3418" t="s">
        <v>10431</v>
      </c>
      <c r="X3418" t="s">
        <v>10418</v>
      </c>
      <c r="Y3418" t="s">
        <v>5253</v>
      </c>
      <c r="AA3418" t="s">
        <v>5254</v>
      </c>
      <c r="AB3418" t="s">
        <v>10419</v>
      </c>
      <c r="AE3418">
        <v>-39.435884340000001</v>
      </c>
      <c r="AF3418">
        <v>174.03240951999999</v>
      </c>
      <c r="AG3418" s="175">
        <v>30</v>
      </c>
      <c r="AH3418" s="175">
        <v>15</v>
      </c>
      <c r="AI3418" s="175">
        <v>2</v>
      </c>
      <c r="AJ3418" s="175">
        <v>1</v>
      </c>
      <c r="AK3418" s="175">
        <v>4</v>
      </c>
      <c r="AL3418" s="175">
        <v>1</v>
      </c>
      <c r="AM3418" s="175">
        <v>2</v>
      </c>
      <c r="AN3418" s="175">
        <v>1</v>
      </c>
      <c r="AO3418" s="175">
        <v>11</v>
      </c>
      <c r="AP3418" s="175">
        <v>11</v>
      </c>
      <c r="AQ3418" s="175">
        <v>0</v>
      </c>
      <c r="AR3418" s="175">
        <v>0</v>
      </c>
      <c r="AS3418" s="175">
        <v>0</v>
      </c>
      <c r="AT3418" s="175">
        <v>0</v>
      </c>
    </row>
    <row r="3419" spans="1:46">
      <c r="A3419">
        <v>50018</v>
      </c>
      <c r="B3419" t="s">
        <v>18961</v>
      </c>
      <c r="C3419" t="s">
        <v>18911</v>
      </c>
      <c r="D3419" t="s">
        <v>18962</v>
      </c>
      <c r="E3419" t="s">
        <v>18963</v>
      </c>
      <c r="G3419" t="s">
        <v>1938</v>
      </c>
      <c r="H3419" t="s">
        <v>301</v>
      </c>
      <c r="J3419" t="s">
        <v>605</v>
      </c>
      <c r="K3419" t="s">
        <v>606</v>
      </c>
      <c r="M3419" t="s">
        <v>1382</v>
      </c>
      <c r="N3419" t="s">
        <v>657</v>
      </c>
      <c r="O3419" t="s">
        <v>1932</v>
      </c>
      <c r="P3419" t="s">
        <v>610</v>
      </c>
      <c r="Q3419" t="s">
        <v>514</v>
      </c>
      <c r="R3419" t="s">
        <v>1841</v>
      </c>
      <c r="S3419" t="s">
        <v>1923</v>
      </c>
      <c r="T3419" t="s">
        <v>1568</v>
      </c>
      <c r="U3419">
        <v>221800</v>
      </c>
      <c r="V3419" t="s">
        <v>1939</v>
      </c>
      <c r="W3419" t="s">
        <v>1940</v>
      </c>
      <c r="X3419" t="s">
        <v>10418</v>
      </c>
      <c r="Y3419" t="s">
        <v>5253</v>
      </c>
      <c r="AA3419" t="s">
        <v>5254</v>
      </c>
      <c r="AB3419" t="s">
        <v>10419</v>
      </c>
      <c r="AE3419">
        <v>-39.60070975</v>
      </c>
      <c r="AF3419">
        <v>174.27862984000001</v>
      </c>
      <c r="AG3419" s="175">
        <v>30</v>
      </c>
      <c r="AH3419" s="175">
        <v>20</v>
      </c>
      <c r="AI3419" s="175">
        <v>3</v>
      </c>
      <c r="AJ3419" s="175">
        <v>9</v>
      </c>
      <c r="AK3419" s="175">
        <v>5</v>
      </c>
      <c r="AL3419" s="175">
        <v>4</v>
      </c>
      <c r="AM3419" s="175">
        <v>8</v>
      </c>
      <c r="AN3419" s="175">
        <v>2</v>
      </c>
      <c r="AO3419" s="175">
        <v>31</v>
      </c>
      <c r="AP3419" s="175">
        <v>28</v>
      </c>
      <c r="AQ3419" s="175">
        <v>6</v>
      </c>
      <c r="AR3419" s="175">
        <v>0</v>
      </c>
      <c r="AS3419" s="175">
        <v>1</v>
      </c>
      <c r="AT3419" s="175">
        <v>1</v>
      </c>
    </row>
    <row r="3420" spans="1:46">
      <c r="A3420">
        <v>50019</v>
      </c>
      <c r="B3420" t="s">
        <v>18964</v>
      </c>
      <c r="C3420" t="s">
        <v>18911</v>
      </c>
      <c r="D3420" t="s">
        <v>18965</v>
      </c>
      <c r="E3420" t="s">
        <v>18966</v>
      </c>
      <c r="G3420" t="s">
        <v>1873</v>
      </c>
      <c r="H3420" t="s">
        <v>301</v>
      </c>
      <c r="J3420" t="s">
        <v>605</v>
      </c>
      <c r="K3420" t="s">
        <v>606</v>
      </c>
      <c r="M3420" t="s">
        <v>1382</v>
      </c>
      <c r="N3420" t="s">
        <v>643</v>
      </c>
      <c r="O3420" t="s">
        <v>1840</v>
      </c>
      <c r="P3420" t="s">
        <v>610</v>
      </c>
      <c r="Q3420" t="s">
        <v>514</v>
      </c>
      <c r="R3420" t="s">
        <v>1841</v>
      </c>
      <c r="S3420" t="s">
        <v>1501</v>
      </c>
      <c r="T3420" t="s">
        <v>1568</v>
      </c>
      <c r="U3420">
        <v>219601</v>
      </c>
      <c r="V3420" t="s">
        <v>1873</v>
      </c>
      <c r="W3420" t="s">
        <v>1874</v>
      </c>
      <c r="X3420" t="s">
        <v>10418</v>
      </c>
      <c r="Y3420" t="s">
        <v>5253</v>
      </c>
      <c r="AA3420" t="s">
        <v>5254</v>
      </c>
      <c r="AB3420" t="s">
        <v>10419</v>
      </c>
      <c r="AC3420">
        <v>99059</v>
      </c>
      <c r="AD3420" t="s">
        <v>1875</v>
      </c>
      <c r="AE3420">
        <v>-39.156492110000002</v>
      </c>
      <c r="AF3420">
        <v>174.20479756</v>
      </c>
      <c r="AG3420" s="175">
        <v>30</v>
      </c>
      <c r="AH3420" s="175">
        <v>15</v>
      </c>
      <c r="AI3420" s="175">
        <v>19</v>
      </c>
      <c r="AJ3420" s="175">
        <v>7</v>
      </c>
      <c r="AK3420" s="175">
        <v>2</v>
      </c>
      <c r="AL3420" s="175">
        <v>2</v>
      </c>
      <c r="AM3420" s="175">
        <v>2</v>
      </c>
      <c r="AN3420" s="175">
        <v>0</v>
      </c>
      <c r="AO3420" s="175">
        <v>32</v>
      </c>
      <c r="AP3420" s="175">
        <v>32</v>
      </c>
      <c r="AQ3420" s="175">
        <v>5</v>
      </c>
      <c r="AR3420" s="175">
        <v>2</v>
      </c>
      <c r="AS3420" s="175">
        <v>2</v>
      </c>
      <c r="AT3420" s="175">
        <v>0</v>
      </c>
    </row>
    <row r="3421" spans="1:46">
      <c r="A3421">
        <v>50020</v>
      </c>
      <c r="B3421" t="s">
        <v>18967</v>
      </c>
      <c r="C3421" t="s">
        <v>18911</v>
      </c>
      <c r="D3421" t="s">
        <v>18968</v>
      </c>
      <c r="E3421" t="s">
        <v>18969</v>
      </c>
      <c r="G3421" t="s">
        <v>3967</v>
      </c>
      <c r="H3421" t="s">
        <v>301</v>
      </c>
      <c r="J3421" t="s">
        <v>605</v>
      </c>
      <c r="K3421" t="s">
        <v>606</v>
      </c>
      <c r="M3421" t="s">
        <v>1382</v>
      </c>
      <c r="N3421" t="s">
        <v>657</v>
      </c>
      <c r="O3421" t="s">
        <v>1840</v>
      </c>
      <c r="P3421" t="s">
        <v>610</v>
      </c>
      <c r="Q3421" t="s">
        <v>514</v>
      </c>
      <c r="R3421" t="s">
        <v>1841</v>
      </c>
      <c r="S3421" t="s">
        <v>1839</v>
      </c>
      <c r="T3421" t="s">
        <v>1568</v>
      </c>
      <c r="U3421">
        <v>216500</v>
      </c>
      <c r="V3421" t="s">
        <v>3968</v>
      </c>
      <c r="W3421" t="s">
        <v>1843</v>
      </c>
      <c r="X3421" t="s">
        <v>10418</v>
      </c>
      <c r="Y3421" t="s">
        <v>5253</v>
      </c>
      <c r="AA3421" t="s">
        <v>5254</v>
      </c>
      <c r="AB3421" t="s">
        <v>10419</v>
      </c>
      <c r="AE3421">
        <v>-39.118773429999997</v>
      </c>
      <c r="AF3421">
        <v>173.95730395000001</v>
      </c>
      <c r="AG3421" s="175">
        <v>30</v>
      </c>
      <c r="AH3421" s="175">
        <v>20</v>
      </c>
      <c r="AI3421" s="175">
        <v>20</v>
      </c>
      <c r="AJ3421" s="175">
        <v>11</v>
      </c>
      <c r="AK3421" s="175">
        <v>10</v>
      </c>
      <c r="AL3421" s="175">
        <v>4</v>
      </c>
      <c r="AM3421" s="175">
        <v>2</v>
      </c>
      <c r="AN3421" s="175">
        <v>2</v>
      </c>
      <c r="AO3421" s="175">
        <v>49</v>
      </c>
      <c r="AP3421" s="175">
        <v>47</v>
      </c>
      <c r="AQ3421" s="175">
        <v>8</v>
      </c>
      <c r="AR3421" s="175">
        <v>2</v>
      </c>
      <c r="AS3421" s="175">
        <v>1</v>
      </c>
      <c r="AT3421" s="175">
        <v>1</v>
      </c>
    </row>
    <row r="3422" spans="1:46">
      <c r="A3422">
        <v>50021</v>
      </c>
      <c r="B3422" t="s">
        <v>18970</v>
      </c>
      <c r="C3422" t="s">
        <v>18971</v>
      </c>
      <c r="D3422" t="s">
        <v>18972</v>
      </c>
      <c r="E3422" t="s">
        <v>18973</v>
      </c>
      <c r="G3422" t="s">
        <v>1923</v>
      </c>
      <c r="H3422" t="s">
        <v>449</v>
      </c>
      <c r="J3422" t="s">
        <v>4032</v>
      </c>
      <c r="K3422" t="s">
        <v>606</v>
      </c>
      <c r="M3422" t="s">
        <v>1382</v>
      </c>
      <c r="N3422" t="s">
        <v>625</v>
      </c>
      <c r="O3422" t="s">
        <v>1968</v>
      </c>
      <c r="P3422" t="s">
        <v>670</v>
      </c>
      <c r="Q3422" t="s">
        <v>553</v>
      </c>
      <c r="R3422" t="s">
        <v>1841</v>
      </c>
      <c r="S3422" t="s">
        <v>1923</v>
      </c>
      <c r="T3422" t="s">
        <v>1568</v>
      </c>
      <c r="U3422">
        <v>225700</v>
      </c>
      <c r="V3422" t="s">
        <v>10327</v>
      </c>
      <c r="W3422" t="s">
        <v>1734</v>
      </c>
      <c r="X3422" t="s">
        <v>18974</v>
      </c>
      <c r="Y3422" t="s">
        <v>18975</v>
      </c>
      <c r="AA3422" t="s">
        <v>15147</v>
      </c>
      <c r="AB3422" t="s">
        <v>18971</v>
      </c>
      <c r="AC3422">
        <v>99219</v>
      </c>
      <c r="AD3422" t="s">
        <v>1981</v>
      </c>
      <c r="AE3422">
        <v>-39.930209490000003</v>
      </c>
      <c r="AF3422">
        <v>175.04443649999999</v>
      </c>
      <c r="AG3422" s="175">
        <v>50</v>
      </c>
      <c r="AH3422" s="175">
        <v>20</v>
      </c>
      <c r="AI3422" s="175">
        <v>3</v>
      </c>
      <c r="AJ3422" s="175">
        <v>19</v>
      </c>
      <c r="AK3422" s="175">
        <v>10</v>
      </c>
      <c r="AL3422" s="175">
        <v>19</v>
      </c>
      <c r="AM3422" s="175">
        <v>13</v>
      </c>
      <c r="AN3422" s="175">
        <v>1</v>
      </c>
      <c r="AO3422" s="175">
        <v>65</v>
      </c>
      <c r="AP3422" s="175">
        <v>55</v>
      </c>
      <c r="AQ3422" s="175">
        <v>16</v>
      </c>
      <c r="AR3422" s="175">
        <v>0</v>
      </c>
      <c r="AS3422" s="175">
        <v>6</v>
      </c>
      <c r="AT3422" s="175">
        <v>1</v>
      </c>
    </row>
    <row r="3423" spans="1:46">
      <c r="A3423">
        <v>50022</v>
      </c>
      <c r="B3423" t="s">
        <v>18976</v>
      </c>
      <c r="C3423" t="s">
        <v>18977</v>
      </c>
      <c r="E3423" t="s">
        <v>18978</v>
      </c>
      <c r="G3423" t="s">
        <v>1938</v>
      </c>
      <c r="H3423" t="s">
        <v>347</v>
      </c>
      <c r="J3423" t="s">
        <v>605</v>
      </c>
      <c r="K3423" t="s">
        <v>606</v>
      </c>
      <c r="L3423" t="s">
        <v>4273</v>
      </c>
      <c r="M3423" t="s">
        <v>1382</v>
      </c>
      <c r="N3423" t="s">
        <v>643</v>
      </c>
      <c r="O3423" t="s">
        <v>1932</v>
      </c>
      <c r="P3423" t="s">
        <v>610</v>
      </c>
      <c r="Q3423" t="s">
        <v>514</v>
      </c>
      <c r="R3423" t="s">
        <v>1841</v>
      </c>
      <c r="S3423" t="s">
        <v>1923</v>
      </c>
      <c r="T3423" t="s">
        <v>1568</v>
      </c>
      <c r="U3423">
        <v>221900</v>
      </c>
      <c r="V3423" t="s">
        <v>11375</v>
      </c>
      <c r="W3423" t="s">
        <v>1940</v>
      </c>
      <c r="X3423" t="s">
        <v>18979</v>
      </c>
      <c r="Y3423" t="s">
        <v>4276</v>
      </c>
      <c r="Z3423" t="s">
        <v>4277</v>
      </c>
      <c r="AA3423" t="s">
        <v>4278</v>
      </c>
      <c r="AE3423">
        <v>-39.590223479999999</v>
      </c>
      <c r="AF3423">
        <v>174.27684762000001</v>
      </c>
      <c r="AG3423" s="175">
        <v>31</v>
      </c>
      <c r="AH3423" s="175">
        <v>8</v>
      </c>
      <c r="AI3423" s="175">
        <v>0</v>
      </c>
      <c r="AJ3423" s="175">
        <v>3</v>
      </c>
      <c r="AK3423" s="175">
        <v>6</v>
      </c>
      <c r="AL3423" s="175">
        <v>4</v>
      </c>
      <c r="AM3423" s="175">
        <v>9</v>
      </c>
      <c r="AN3423" s="175">
        <v>0</v>
      </c>
      <c r="AO3423" s="175">
        <v>22</v>
      </c>
      <c r="AP3423" s="175">
        <v>0</v>
      </c>
      <c r="AQ3423" s="175">
        <v>17</v>
      </c>
      <c r="AR3423" s="175">
        <v>2</v>
      </c>
      <c r="AS3423" s="175">
        <v>0</v>
      </c>
      <c r="AT3423" s="175">
        <v>3</v>
      </c>
    </row>
    <row r="3424" spans="1:46">
      <c r="A3424">
        <v>50025</v>
      </c>
      <c r="B3424" t="s">
        <v>18980</v>
      </c>
      <c r="C3424" t="s">
        <v>18981</v>
      </c>
      <c r="D3424" t="s">
        <v>18982</v>
      </c>
      <c r="E3424" t="s">
        <v>18983</v>
      </c>
      <c r="G3424" t="s">
        <v>2276</v>
      </c>
      <c r="H3424" t="s">
        <v>452</v>
      </c>
      <c r="J3424" t="s">
        <v>605</v>
      </c>
      <c r="K3424" t="s">
        <v>606</v>
      </c>
      <c r="M3424" t="s">
        <v>1382</v>
      </c>
      <c r="N3424" t="s">
        <v>657</v>
      </c>
      <c r="O3424" t="s">
        <v>2277</v>
      </c>
      <c r="P3424" t="s">
        <v>658</v>
      </c>
      <c r="Q3424" t="s">
        <v>513</v>
      </c>
      <c r="R3424" t="s">
        <v>2164</v>
      </c>
      <c r="S3424" t="s">
        <v>2278</v>
      </c>
      <c r="T3424" t="s">
        <v>2165</v>
      </c>
      <c r="U3424">
        <v>211201</v>
      </c>
      <c r="V3424" t="s">
        <v>15092</v>
      </c>
      <c r="W3424" t="s">
        <v>8813</v>
      </c>
      <c r="X3424" t="s">
        <v>2199</v>
      </c>
      <c r="Y3424" t="s">
        <v>2200</v>
      </c>
      <c r="Z3424" t="s">
        <v>2201</v>
      </c>
      <c r="AA3424" t="s">
        <v>2202</v>
      </c>
      <c r="AB3424" t="s">
        <v>2203</v>
      </c>
      <c r="AE3424">
        <v>-39.624797659999999</v>
      </c>
      <c r="AF3424">
        <v>176.95170010000001</v>
      </c>
      <c r="AG3424" s="175">
        <v>40</v>
      </c>
      <c r="AH3424" s="175">
        <v>0</v>
      </c>
      <c r="AI3424" s="175">
        <v>0</v>
      </c>
      <c r="AJ3424" s="175">
        <v>0</v>
      </c>
      <c r="AK3424" s="175">
        <v>4</v>
      </c>
      <c r="AL3424" s="175">
        <v>7</v>
      </c>
      <c r="AM3424" s="175">
        <v>12</v>
      </c>
      <c r="AN3424" s="175">
        <v>0</v>
      </c>
      <c r="AO3424" s="175">
        <v>23</v>
      </c>
      <c r="AP3424" s="175">
        <v>22</v>
      </c>
      <c r="AQ3424" s="175">
        <v>2</v>
      </c>
      <c r="AR3424" s="175">
        <v>0</v>
      </c>
      <c r="AS3424" s="175">
        <v>1</v>
      </c>
      <c r="AT3424" s="175">
        <v>0</v>
      </c>
    </row>
    <row r="3425" spans="1:46">
      <c r="A3425">
        <v>50028</v>
      </c>
      <c r="B3425" t="s">
        <v>18984</v>
      </c>
      <c r="C3425" t="s">
        <v>18985</v>
      </c>
      <c r="D3425" t="s">
        <v>18986</v>
      </c>
      <c r="E3425" t="s">
        <v>18987</v>
      </c>
      <c r="G3425" t="s">
        <v>16448</v>
      </c>
      <c r="H3425" t="s">
        <v>449</v>
      </c>
      <c r="I3425" t="s">
        <v>4298</v>
      </c>
      <c r="J3425" t="s">
        <v>605</v>
      </c>
      <c r="K3425" t="s">
        <v>606</v>
      </c>
      <c r="M3425" t="s">
        <v>2366</v>
      </c>
      <c r="N3425" t="s">
        <v>657</v>
      </c>
      <c r="O3425" t="s">
        <v>2753</v>
      </c>
      <c r="P3425" t="s">
        <v>1347</v>
      </c>
      <c r="Q3425" t="s">
        <v>516</v>
      </c>
      <c r="R3425" t="s">
        <v>2368</v>
      </c>
      <c r="S3425" t="s">
        <v>2606</v>
      </c>
      <c r="T3425" t="s">
        <v>1568</v>
      </c>
      <c r="U3425">
        <v>238500</v>
      </c>
      <c r="V3425" t="s">
        <v>16448</v>
      </c>
      <c r="W3425" t="s">
        <v>2829</v>
      </c>
      <c r="X3425" t="s">
        <v>18988</v>
      </c>
      <c r="Y3425" t="s">
        <v>18989</v>
      </c>
      <c r="Z3425" t="s">
        <v>16448</v>
      </c>
      <c r="AA3425" t="s">
        <v>18990</v>
      </c>
      <c r="AB3425" t="s">
        <v>18991</v>
      </c>
      <c r="AC3425">
        <v>99110</v>
      </c>
      <c r="AD3425" t="s">
        <v>4304</v>
      </c>
      <c r="AE3425">
        <v>-40.937823280000003</v>
      </c>
      <c r="AF3425">
        <v>174.98515771999999</v>
      </c>
      <c r="AG3425" s="175">
        <v>50</v>
      </c>
      <c r="AH3425" s="175">
        <v>0</v>
      </c>
      <c r="AI3425" s="175">
        <v>0</v>
      </c>
      <c r="AJ3425" s="175">
        <v>0</v>
      </c>
      <c r="AK3425" s="175">
        <v>0</v>
      </c>
      <c r="AL3425" s="175">
        <v>7</v>
      </c>
      <c r="AM3425" s="175">
        <v>6</v>
      </c>
      <c r="AN3425" s="175">
        <v>12</v>
      </c>
      <c r="AO3425" s="175">
        <v>25</v>
      </c>
      <c r="AP3425" s="175">
        <v>22</v>
      </c>
      <c r="AQ3425" s="175">
        <v>6</v>
      </c>
      <c r="AR3425" s="175">
        <v>1</v>
      </c>
      <c r="AS3425" s="175">
        <v>0</v>
      </c>
      <c r="AT3425" s="175">
        <v>2</v>
      </c>
    </row>
    <row r="3426" spans="1:46">
      <c r="A3426">
        <v>50029</v>
      </c>
      <c r="B3426" t="s">
        <v>18992</v>
      </c>
      <c r="C3426" t="s">
        <v>18993</v>
      </c>
      <c r="D3426" t="s">
        <v>18994</v>
      </c>
      <c r="E3426" t="s">
        <v>18995</v>
      </c>
      <c r="F3426" t="s">
        <v>2130</v>
      </c>
      <c r="G3426" t="s">
        <v>2055</v>
      </c>
      <c r="H3426" t="s">
        <v>468</v>
      </c>
      <c r="I3426" t="s">
        <v>4320</v>
      </c>
      <c r="J3426" t="s">
        <v>605</v>
      </c>
      <c r="K3426" t="s">
        <v>606</v>
      </c>
      <c r="M3426" t="s">
        <v>1382</v>
      </c>
      <c r="N3426" t="s">
        <v>643</v>
      </c>
      <c r="O3426" t="s">
        <v>2037</v>
      </c>
      <c r="P3426" t="s">
        <v>670</v>
      </c>
      <c r="Q3426" t="s">
        <v>553</v>
      </c>
      <c r="R3426" t="s">
        <v>1841</v>
      </c>
      <c r="S3426" t="s">
        <v>2055</v>
      </c>
      <c r="T3426" t="s">
        <v>1568</v>
      </c>
      <c r="U3426">
        <v>230200</v>
      </c>
      <c r="V3426" t="s">
        <v>10453</v>
      </c>
      <c r="W3426" t="s">
        <v>2038</v>
      </c>
      <c r="X3426" t="s">
        <v>18996</v>
      </c>
      <c r="Y3426" t="s">
        <v>18997</v>
      </c>
      <c r="Z3426" t="s">
        <v>2130</v>
      </c>
      <c r="AA3426" t="s">
        <v>15930</v>
      </c>
      <c r="AB3426" t="s">
        <v>18998</v>
      </c>
      <c r="AC3426">
        <v>99164</v>
      </c>
      <c r="AD3426" t="s">
        <v>18015</v>
      </c>
      <c r="AE3426">
        <v>-40.332773510000003</v>
      </c>
      <c r="AF3426">
        <v>175.63222021999999</v>
      </c>
      <c r="AG3426" s="175">
        <v>30</v>
      </c>
      <c r="AH3426" s="175">
        <v>10</v>
      </c>
      <c r="AI3426" s="175">
        <v>2</v>
      </c>
      <c r="AJ3426" s="175">
        <v>5</v>
      </c>
      <c r="AK3426" s="175">
        <v>8</v>
      </c>
      <c r="AL3426" s="175">
        <v>6</v>
      </c>
      <c r="AM3426" s="175">
        <v>6</v>
      </c>
      <c r="AN3426" s="175">
        <v>0</v>
      </c>
      <c r="AO3426" s="175">
        <v>27</v>
      </c>
      <c r="AP3426" s="175">
        <v>3</v>
      </c>
      <c r="AQ3426" s="175">
        <v>6</v>
      </c>
      <c r="AR3426" s="175">
        <v>27</v>
      </c>
      <c r="AS3426" s="175">
        <v>0</v>
      </c>
      <c r="AT3426" s="175">
        <v>3</v>
      </c>
    </row>
    <row r="3427" spans="1:46">
      <c r="A3427">
        <v>50030</v>
      </c>
      <c r="B3427" t="s">
        <v>18999</v>
      </c>
      <c r="C3427" t="s">
        <v>19000</v>
      </c>
      <c r="D3427" t="s">
        <v>19001</v>
      </c>
      <c r="E3427" t="s">
        <v>19002</v>
      </c>
      <c r="G3427" t="s">
        <v>19003</v>
      </c>
      <c r="H3427" t="s">
        <v>452</v>
      </c>
      <c r="J3427" t="s">
        <v>605</v>
      </c>
      <c r="K3427" t="s">
        <v>606</v>
      </c>
      <c r="M3427" t="s">
        <v>1382</v>
      </c>
      <c r="N3427" t="s">
        <v>657</v>
      </c>
      <c r="O3427" t="s">
        <v>1968</v>
      </c>
      <c r="P3427" t="s">
        <v>658</v>
      </c>
      <c r="Q3427" t="s">
        <v>553</v>
      </c>
      <c r="R3427" t="s">
        <v>1841</v>
      </c>
      <c r="S3427" t="s">
        <v>1923</v>
      </c>
      <c r="T3427" t="s">
        <v>1568</v>
      </c>
      <c r="U3427">
        <v>223400</v>
      </c>
      <c r="V3427" t="s">
        <v>19004</v>
      </c>
      <c r="W3427" t="s">
        <v>1734</v>
      </c>
      <c r="X3427" t="s">
        <v>1970</v>
      </c>
      <c r="Y3427" t="s">
        <v>1971</v>
      </c>
      <c r="AA3427" t="s">
        <v>1972</v>
      </c>
      <c r="AB3427" t="s">
        <v>1973</v>
      </c>
      <c r="AC3427">
        <v>99219</v>
      </c>
      <c r="AD3427" t="s">
        <v>1981</v>
      </c>
      <c r="AE3427">
        <v>-39.821122639999999</v>
      </c>
      <c r="AF3427">
        <v>174.86188949999999</v>
      </c>
      <c r="AG3427" s="175">
        <v>30</v>
      </c>
      <c r="AH3427" s="175">
        <v>0</v>
      </c>
      <c r="AI3427" s="175">
        <v>0</v>
      </c>
      <c r="AJ3427" s="175">
        <v>0</v>
      </c>
      <c r="AK3427" s="175">
        <v>5</v>
      </c>
      <c r="AL3427" s="175">
        <v>11</v>
      </c>
      <c r="AM3427" s="175">
        <v>10</v>
      </c>
      <c r="AN3427" s="175">
        <v>0</v>
      </c>
      <c r="AO3427" s="175">
        <v>26</v>
      </c>
      <c r="AP3427" s="175">
        <v>22</v>
      </c>
      <c r="AQ3427" s="175">
        <v>4</v>
      </c>
      <c r="AR3427" s="175">
        <v>1</v>
      </c>
      <c r="AS3427" s="175">
        <v>1</v>
      </c>
      <c r="AT3427" s="175">
        <v>0</v>
      </c>
    </row>
    <row r="3428" spans="1:46">
      <c r="A3428">
        <v>50034</v>
      </c>
      <c r="B3428" t="s">
        <v>19005</v>
      </c>
      <c r="C3428" t="s">
        <v>19006</v>
      </c>
      <c r="D3428" t="s">
        <v>19007</v>
      </c>
      <c r="E3428" t="s">
        <v>19008</v>
      </c>
      <c r="G3428" t="s">
        <v>19009</v>
      </c>
      <c r="H3428" t="s">
        <v>347</v>
      </c>
      <c r="J3428" t="s">
        <v>605</v>
      </c>
      <c r="K3428" t="s">
        <v>606</v>
      </c>
      <c r="L3428" t="s">
        <v>4273</v>
      </c>
      <c r="M3428" t="s">
        <v>1382</v>
      </c>
      <c r="N3428" t="s">
        <v>812</v>
      </c>
      <c r="O3428" t="s">
        <v>2197</v>
      </c>
      <c r="P3428" t="s">
        <v>658</v>
      </c>
      <c r="Q3428" t="s">
        <v>513</v>
      </c>
      <c r="R3428" t="s">
        <v>2164</v>
      </c>
      <c r="S3428" t="s">
        <v>2198</v>
      </c>
      <c r="T3428" t="s">
        <v>2165</v>
      </c>
      <c r="U3428">
        <v>207400</v>
      </c>
      <c r="V3428" t="s">
        <v>10364</v>
      </c>
      <c r="W3428" t="s">
        <v>651</v>
      </c>
      <c r="X3428" t="s">
        <v>8868</v>
      </c>
      <c r="Y3428" t="s">
        <v>4276</v>
      </c>
      <c r="Z3428" t="s">
        <v>4277</v>
      </c>
      <c r="AA3428" t="s">
        <v>4278</v>
      </c>
      <c r="AB3428" t="s">
        <v>8869</v>
      </c>
      <c r="AE3428">
        <v>-39.061991570000004</v>
      </c>
      <c r="AF3428">
        <v>177.12896855</v>
      </c>
      <c r="AG3428" s="175">
        <v>16</v>
      </c>
      <c r="AH3428" s="175">
        <v>3</v>
      </c>
      <c r="AI3428" s="175">
        <v>2</v>
      </c>
      <c r="AJ3428" s="175">
        <v>3</v>
      </c>
      <c r="AK3428" s="175">
        <v>6</v>
      </c>
      <c r="AL3428" s="175">
        <v>2</v>
      </c>
      <c r="AM3428" s="175">
        <v>1</v>
      </c>
      <c r="AN3428" s="175">
        <v>0</v>
      </c>
      <c r="AO3428" s="175">
        <v>14</v>
      </c>
      <c r="AP3428" s="175">
        <v>0</v>
      </c>
      <c r="AQ3428" s="175">
        <v>14</v>
      </c>
      <c r="AR3428" s="175">
        <v>0</v>
      </c>
      <c r="AS3428" s="175">
        <v>0</v>
      </c>
      <c r="AT3428" s="175">
        <v>0</v>
      </c>
    </row>
    <row r="3429" spans="1:46">
      <c r="A3429">
        <v>50036</v>
      </c>
      <c r="B3429" t="s">
        <v>19010</v>
      </c>
      <c r="C3429" t="s">
        <v>19011</v>
      </c>
      <c r="D3429" t="s">
        <v>19012</v>
      </c>
      <c r="E3429" t="s">
        <v>19013</v>
      </c>
      <c r="G3429" t="s">
        <v>2036</v>
      </c>
      <c r="H3429" t="s">
        <v>449</v>
      </c>
      <c r="J3429" t="s">
        <v>4032</v>
      </c>
      <c r="K3429" t="s">
        <v>606</v>
      </c>
      <c r="M3429" t="s">
        <v>1382</v>
      </c>
      <c r="N3429" t="s">
        <v>657</v>
      </c>
      <c r="O3429" t="s">
        <v>2037</v>
      </c>
      <c r="P3429" t="s">
        <v>610</v>
      </c>
      <c r="Q3429" t="s">
        <v>553</v>
      </c>
      <c r="R3429" t="s">
        <v>1841</v>
      </c>
      <c r="S3429" t="s">
        <v>1719</v>
      </c>
      <c r="T3429" t="s">
        <v>1568</v>
      </c>
      <c r="U3429">
        <v>232200</v>
      </c>
      <c r="V3429" t="s">
        <v>2036</v>
      </c>
      <c r="W3429" t="s">
        <v>2038</v>
      </c>
      <c r="X3429" t="s">
        <v>19014</v>
      </c>
      <c r="Y3429" t="s">
        <v>4725</v>
      </c>
      <c r="Z3429" t="s">
        <v>1043</v>
      </c>
      <c r="AA3429" t="s">
        <v>4726</v>
      </c>
      <c r="AB3429" t="s">
        <v>19015</v>
      </c>
      <c r="AE3429">
        <v>-40.293052109999998</v>
      </c>
      <c r="AF3429">
        <v>175.7545058</v>
      </c>
      <c r="AG3429" s="175">
        <v>51</v>
      </c>
      <c r="AH3429" s="175">
        <v>12</v>
      </c>
      <c r="AI3429" s="175">
        <v>3</v>
      </c>
      <c r="AJ3429" s="175">
        <v>9</v>
      </c>
      <c r="AK3429" s="175">
        <v>13</v>
      </c>
      <c r="AL3429" s="175">
        <v>10</v>
      </c>
      <c r="AM3429" s="175">
        <v>8</v>
      </c>
      <c r="AN3429" s="175">
        <v>0</v>
      </c>
      <c r="AO3429" s="175">
        <v>43</v>
      </c>
      <c r="AP3429" s="175">
        <v>39</v>
      </c>
      <c r="AQ3429" s="175">
        <v>14</v>
      </c>
      <c r="AR3429" s="175">
        <v>0</v>
      </c>
      <c r="AS3429" s="175">
        <v>3</v>
      </c>
      <c r="AT3429" s="175">
        <v>0</v>
      </c>
    </row>
    <row r="3430" spans="1:46">
      <c r="A3430">
        <v>50039</v>
      </c>
      <c r="B3430" t="s">
        <v>19016</v>
      </c>
      <c r="C3430" t="s">
        <v>19017</v>
      </c>
      <c r="D3430" t="s">
        <v>19018</v>
      </c>
      <c r="E3430" t="s">
        <v>19019</v>
      </c>
      <c r="G3430" t="s">
        <v>1921</v>
      </c>
      <c r="H3430" t="s">
        <v>449</v>
      </c>
      <c r="J3430" t="s">
        <v>605</v>
      </c>
      <c r="K3430" t="s">
        <v>606</v>
      </c>
      <c r="M3430" t="s">
        <v>1382</v>
      </c>
      <c r="N3430" t="s">
        <v>643</v>
      </c>
      <c r="O3430" t="s">
        <v>1922</v>
      </c>
      <c r="P3430" t="s">
        <v>658</v>
      </c>
      <c r="Q3430" t="s">
        <v>514</v>
      </c>
      <c r="R3430" t="s">
        <v>1841</v>
      </c>
      <c r="S3430" t="s">
        <v>1923</v>
      </c>
      <c r="T3430" t="s">
        <v>1568</v>
      </c>
      <c r="U3430">
        <v>220001</v>
      </c>
      <c r="V3430" t="s">
        <v>18919</v>
      </c>
      <c r="W3430" t="s">
        <v>18920</v>
      </c>
      <c r="X3430" t="s">
        <v>19020</v>
      </c>
      <c r="Y3430" t="s">
        <v>19021</v>
      </c>
      <c r="AA3430" t="s">
        <v>19022</v>
      </c>
      <c r="AB3430" t="s">
        <v>19023</v>
      </c>
      <c r="AC3430">
        <v>99108</v>
      </c>
      <c r="AD3430" t="s">
        <v>1926</v>
      </c>
      <c r="AE3430">
        <v>-39.352926549999999</v>
      </c>
      <c r="AF3430">
        <v>174.29306075</v>
      </c>
      <c r="AG3430" s="175">
        <v>50</v>
      </c>
      <c r="AH3430" s="175">
        <v>10</v>
      </c>
      <c r="AI3430" s="175">
        <v>1</v>
      </c>
      <c r="AJ3430" s="175">
        <v>10</v>
      </c>
      <c r="AK3430" s="175">
        <v>9</v>
      </c>
      <c r="AL3430" s="175">
        <v>16</v>
      </c>
      <c r="AM3430" s="175">
        <v>18</v>
      </c>
      <c r="AN3430" s="175">
        <v>0</v>
      </c>
      <c r="AO3430" s="175">
        <v>54</v>
      </c>
      <c r="AP3430" s="175">
        <v>50</v>
      </c>
      <c r="AQ3430" s="175">
        <v>11</v>
      </c>
      <c r="AR3430" s="175">
        <v>0</v>
      </c>
      <c r="AS3430" s="175">
        <v>5</v>
      </c>
      <c r="AT3430" s="175">
        <v>2</v>
      </c>
    </row>
    <row r="3431" spans="1:46">
      <c r="A3431">
        <v>50045</v>
      </c>
      <c r="B3431" t="s">
        <v>19024</v>
      </c>
      <c r="C3431" t="s">
        <v>19025</v>
      </c>
      <c r="D3431" t="s">
        <v>11860</v>
      </c>
      <c r="E3431" t="s">
        <v>19026</v>
      </c>
      <c r="F3431" t="s">
        <v>2583</v>
      </c>
      <c r="G3431" t="s">
        <v>2505</v>
      </c>
      <c r="H3431" t="s">
        <v>449</v>
      </c>
      <c r="I3431" t="s">
        <v>3715</v>
      </c>
      <c r="J3431" t="s">
        <v>4032</v>
      </c>
      <c r="K3431" t="s">
        <v>606</v>
      </c>
      <c r="M3431" t="s">
        <v>2366</v>
      </c>
      <c r="N3431" t="s">
        <v>625</v>
      </c>
      <c r="O3431" t="s">
        <v>2506</v>
      </c>
      <c r="P3431" t="s">
        <v>739</v>
      </c>
      <c r="Q3431" t="s">
        <v>516</v>
      </c>
      <c r="R3431" t="s">
        <v>2368</v>
      </c>
      <c r="S3431" t="s">
        <v>2451</v>
      </c>
      <c r="T3431" t="s">
        <v>2165</v>
      </c>
      <c r="U3431">
        <v>244600</v>
      </c>
      <c r="V3431" t="s">
        <v>2584</v>
      </c>
      <c r="W3431" t="s">
        <v>2546</v>
      </c>
      <c r="X3431" t="s">
        <v>17443</v>
      </c>
      <c r="Y3431" t="s">
        <v>4651</v>
      </c>
      <c r="Z3431" t="s">
        <v>4015</v>
      </c>
      <c r="AA3431" t="s">
        <v>4652</v>
      </c>
      <c r="AB3431" t="s">
        <v>17444</v>
      </c>
      <c r="AE3431">
        <v>-41.181521109999998</v>
      </c>
      <c r="AF3431">
        <v>174.95455304999999</v>
      </c>
      <c r="AG3431" s="175">
        <v>50</v>
      </c>
      <c r="AH3431" s="175">
        <v>12</v>
      </c>
      <c r="AI3431" s="175">
        <v>0</v>
      </c>
      <c r="AJ3431" s="175">
        <v>4</v>
      </c>
      <c r="AK3431" s="175">
        <v>16</v>
      </c>
      <c r="AL3431" s="175">
        <v>12</v>
      </c>
      <c r="AM3431" s="175">
        <v>10</v>
      </c>
      <c r="AN3431" s="175">
        <v>0</v>
      </c>
      <c r="AO3431" s="175">
        <v>42</v>
      </c>
      <c r="AP3431" s="175">
        <v>17</v>
      </c>
      <c r="AQ3431" s="175">
        <v>11</v>
      </c>
      <c r="AR3431" s="175">
        <v>39</v>
      </c>
      <c r="AS3431" s="175">
        <v>1</v>
      </c>
      <c r="AT3431" s="175">
        <v>2</v>
      </c>
    </row>
    <row r="3432" spans="1:46">
      <c r="A3432">
        <v>50047</v>
      </c>
      <c r="B3432" t="s">
        <v>19027</v>
      </c>
      <c r="C3432" t="s">
        <v>18911</v>
      </c>
      <c r="D3432" t="s">
        <v>19028</v>
      </c>
      <c r="E3432" t="s">
        <v>19029</v>
      </c>
      <c r="G3432" t="s">
        <v>1905</v>
      </c>
      <c r="H3432" t="s">
        <v>301</v>
      </c>
      <c r="J3432" t="s">
        <v>605</v>
      </c>
      <c r="K3432" t="s">
        <v>606</v>
      </c>
      <c r="M3432" t="s">
        <v>1382</v>
      </c>
      <c r="N3432" t="s">
        <v>625</v>
      </c>
      <c r="O3432" t="s">
        <v>1840</v>
      </c>
      <c r="P3432" t="s">
        <v>610</v>
      </c>
      <c r="Q3432" t="s">
        <v>514</v>
      </c>
      <c r="R3432" t="s">
        <v>1841</v>
      </c>
      <c r="S3432" t="s">
        <v>1839</v>
      </c>
      <c r="T3432" t="s">
        <v>1568</v>
      </c>
      <c r="U3432">
        <v>218901</v>
      </c>
      <c r="V3432" t="s">
        <v>19030</v>
      </c>
      <c r="W3432" t="s">
        <v>1907</v>
      </c>
      <c r="X3432" t="s">
        <v>10418</v>
      </c>
      <c r="Y3432" t="s">
        <v>5253</v>
      </c>
      <c r="AA3432" t="s">
        <v>5254</v>
      </c>
      <c r="AB3432" t="s">
        <v>10419</v>
      </c>
      <c r="AE3432">
        <v>-38.993243679999999</v>
      </c>
      <c r="AF3432">
        <v>174.24234208999999</v>
      </c>
      <c r="AG3432" s="175">
        <v>26</v>
      </c>
      <c r="AH3432" s="175">
        <v>15</v>
      </c>
      <c r="AI3432" s="175">
        <v>0</v>
      </c>
      <c r="AJ3432" s="175">
        <v>1</v>
      </c>
      <c r="AK3432" s="175">
        <v>0</v>
      </c>
      <c r="AL3432" s="175">
        <v>3</v>
      </c>
      <c r="AM3432" s="175">
        <v>0</v>
      </c>
      <c r="AN3432" s="175">
        <v>0</v>
      </c>
      <c r="AO3432" s="175">
        <v>4</v>
      </c>
      <c r="AP3432" s="175">
        <v>3</v>
      </c>
      <c r="AQ3432" s="175">
        <v>0</v>
      </c>
      <c r="AR3432" s="175">
        <v>0</v>
      </c>
      <c r="AS3432" s="175">
        <v>1</v>
      </c>
      <c r="AT3432" s="175">
        <v>0</v>
      </c>
    </row>
    <row r="3433" spans="1:46">
      <c r="A3433">
        <v>50048</v>
      </c>
      <c r="B3433" t="s">
        <v>10324</v>
      </c>
      <c r="C3433" t="s">
        <v>19031</v>
      </c>
      <c r="D3433" t="s">
        <v>19032</v>
      </c>
      <c r="E3433" t="s">
        <v>19033</v>
      </c>
      <c r="G3433" t="s">
        <v>1923</v>
      </c>
      <c r="H3433" t="s">
        <v>449</v>
      </c>
      <c r="J3433" t="s">
        <v>4032</v>
      </c>
      <c r="K3433" t="s">
        <v>606</v>
      </c>
      <c r="M3433" t="s">
        <v>1382</v>
      </c>
      <c r="N3433" t="s">
        <v>657</v>
      </c>
      <c r="O3433" t="s">
        <v>1968</v>
      </c>
      <c r="P3433" t="s">
        <v>670</v>
      </c>
      <c r="Q3433" t="s">
        <v>553</v>
      </c>
      <c r="R3433" t="s">
        <v>1841</v>
      </c>
      <c r="S3433" t="s">
        <v>1923</v>
      </c>
      <c r="T3433" t="s">
        <v>1568</v>
      </c>
      <c r="U3433">
        <v>224800</v>
      </c>
      <c r="V3433" t="s">
        <v>1986</v>
      </c>
      <c r="W3433" t="s">
        <v>1734</v>
      </c>
      <c r="X3433" t="s">
        <v>10328</v>
      </c>
      <c r="Y3433" t="s">
        <v>10329</v>
      </c>
      <c r="Z3433" t="s">
        <v>10330</v>
      </c>
      <c r="AA3433" t="s">
        <v>10331</v>
      </c>
      <c r="AB3433" t="s">
        <v>10332</v>
      </c>
      <c r="AC3433">
        <v>99219</v>
      </c>
      <c r="AD3433" t="s">
        <v>1981</v>
      </c>
      <c r="AE3433">
        <v>-39.920072130000001</v>
      </c>
      <c r="AF3433">
        <v>175.04841583999999</v>
      </c>
      <c r="AG3433" s="175">
        <v>29</v>
      </c>
      <c r="AH3433" s="175">
        <v>12</v>
      </c>
      <c r="AI3433" s="175">
        <v>1</v>
      </c>
      <c r="AJ3433" s="175">
        <v>5</v>
      </c>
      <c r="AK3433" s="175">
        <v>7</v>
      </c>
      <c r="AL3433" s="175">
        <v>7</v>
      </c>
      <c r="AM3433" s="175">
        <v>7</v>
      </c>
      <c r="AN3433" s="175">
        <v>0</v>
      </c>
      <c r="AO3433" s="175">
        <v>27</v>
      </c>
      <c r="AP3433" s="175">
        <v>24</v>
      </c>
      <c r="AQ3433" s="175">
        <v>4</v>
      </c>
      <c r="AR3433" s="175">
        <v>1</v>
      </c>
      <c r="AS3433" s="175">
        <v>0</v>
      </c>
      <c r="AT3433" s="175">
        <v>1</v>
      </c>
    </row>
    <row r="3434" spans="1:46">
      <c r="A3434">
        <v>50049</v>
      </c>
      <c r="B3434" t="s">
        <v>19034</v>
      </c>
      <c r="C3434" t="s">
        <v>19035</v>
      </c>
      <c r="D3434" t="s">
        <v>12872</v>
      </c>
      <c r="E3434" t="s">
        <v>19036</v>
      </c>
      <c r="F3434" t="s">
        <v>2811</v>
      </c>
      <c r="G3434" t="s">
        <v>2505</v>
      </c>
      <c r="H3434" t="s">
        <v>449</v>
      </c>
      <c r="J3434" t="s">
        <v>4032</v>
      </c>
      <c r="K3434" t="s">
        <v>606</v>
      </c>
      <c r="M3434" t="s">
        <v>2366</v>
      </c>
      <c r="N3434" t="s">
        <v>657</v>
      </c>
      <c r="O3434" t="s">
        <v>2506</v>
      </c>
      <c r="P3434" t="s">
        <v>739</v>
      </c>
      <c r="Q3434" t="s">
        <v>516</v>
      </c>
      <c r="R3434" t="s">
        <v>2368</v>
      </c>
      <c r="S3434" t="s">
        <v>2507</v>
      </c>
      <c r="T3434" t="s">
        <v>2526</v>
      </c>
      <c r="U3434">
        <v>243700</v>
      </c>
      <c r="V3434" t="s">
        <v>11019</v>
      </c>
      <c r="W3434" t="s">
        <v>2569</v>
      </c>
      <c r="X3434" t="s">
        <v>19037</v>
      </c>
      <c r="Y3434" t="s">
        <v>19036</v>
      </c>
      <c r="Z3434" t="s">
        <v>2811</v>
      </c>
      <c r="AA3434" t="s">
        <v>12875</v>
      </c>
      <c r="AB3434" t="s">
        <v>19038</v>
      </c>
      <c r="AE3434">
        <v>-41.219481909999999</v>
      </c>
      <c r="AF3434">
        <v>174.88804597000001</v>
      </c>
      <c r="AG3434" s="175">
        <v>20</v>
      </c>
      <c r="AH3434" s="175">
        <v>0</v>
      </c>
      <c r="AI3434" s="175">
        <v>0</v>
      </c>
      <c r="AJ3434" s="175">
        <v>0</v>
      </c>
      <c r="AK3434" s="175">
        <v>6</v>
      </c>
      <c r="AL3434" s="175">
        <v>9</v>
      </c>
      <c r="AM3434" s="175">
        <v>8</v>
      </c>
      <c r="AN3434" s="175">
        <v>1</v>
      </c>
      <c r="AO3434" s="175">
        <v>24</v>
      </c>
      <c r="AP3434" s="175">
        <v>21</v>
      </c>
      <c r="AQ3434" s="175">
        <v>5</v>
      </c>
      <c r="AR3434" s="175">
        <v>0</v>
      </c>
      <c r="AS3434" s="175">
        <v>5</v>
      </c>
      <c r="AT3434" s="175">
        <v>1</v>
      </c>
    </row>
    <row r="3435" spans="1:46">
      <c r="A3435">
        <v>50051</v>
      </c>
      <c r="B3435" t="s">
        <v>19039</v>
      </c>
      <c r="C3435" t="s">
        <v>19040</v>
      </c>
      <c r="D3435" t="s">
        <v>19041</v>
      </c>
      <c r="E3435" t="s">
        <v>19042</v>
      </c>
      <c r="G3435" t="s">
        <v>2803</v>
      </c>
      <c r="H3435" t="s">
        <v>449</v>
      </c>
      <c r="J3435" t="s">
        <v>4032</v>
      </c>
      <c r="K3435" t="s">
        <v>606</v>
      </c>
      <c r="M3435" t="s">
        <v>2366</v>
      </c>
      <c r="N3435" t="s">
        <v>625</v>
      </c>
      <c r="O3435" t="s">
        <v>2147</v>
      </c>
      <c r="P3435" t="s">
        <v>1347</v>
      </c>
      <c r="Q3435" t="s">
        <v>553</v>
      </c>
      <c r="R3435" t="s">
        <v>2368</v>
      </c>
      <c r="S3435" t="s">
        <v>2148</v>
      </c>
      <c r="T3435" t="s">
        <v>1568</v>
      </c>
      <c r="U3435">
        <v>234900</v>
      </c>
      <c r="V3435" t="s">
        <v>3762</v>
      </c>
      <c r="W3435" t="s">
        <v>2805</v>
      </c>
      <c r="X3435" t="s">
        <v>19043</v>
      </c>
      <c r="Y3435" t="s">
        <v>19044</v>
      </c>
      <c r="AA3435" t="s">
        <v>19045</v>
      </c>
      <c r="AB3435" t="s">
        <v>19046</v>
      </c>
      <c r="AC3435">
        <v>99058</v>
      </c>
      <c r="AD3435" t="s">
        <v>2806</v>
      </c>
      <c r="AE3435">
        <v>-40.618980530000002</v>
      </c>
      <c r="AF3435">
        <v>175.28041171000001</v>
      </c>
      <c r="AG3435" s="175">
        <v>38</v>
      </c>
      <c r="AH3435" s="175">
        <v>15</v>
      </c>
      <c r="AI3435" s="175">
        <v>2</v>
      </c>
      <c r="AJ3435" s="175">
        <v>9</v>
      </c>
      <c r="AK3435" s="175">
        <v>8</v>
      </c>
      <c r="AL3435" s="175">
        <v>12</v>
      </c>
      <c r="AM3435" s="175">
        <v>8</v>
      </c>
      <c r="AN3435" s="175">
        <v>0</v>
      </c>
      <c r="AO3435" s="175">
        <v>39</v>
      </c>
      <c r="AP3435" s="175">
        <v>30</v>
      </c>
      <c r="AQ3435" s="175">
        <v>15</v>
      </c>
      <c r="AR3435" s="175">
        <v>4</v>
      </c>
      <c r="AS3435" s="175">
        <v>3</v>
      </c>
      <c r="AT3435" s="175">
        <v>1</v>
      </c>
    </row>
    <row r="3436" spans="1:46">
      <c r="A3436">
        <v>50053</v>
      </c>
      <c r="B3436" t="s">
        <v>19047</v>
      </c>
      <c r="C3436" t="s">
        <v>19048</v>
      </c>
      <c r="D3436" t="s">
        <v>19049</v>
      </c>
      <c r="E3436" t="s">
        <v>19050</v>
      </c>
      <c r="F3436" t="s">
        <v>1967</v>
      </c>
      <c r="G3436" t="s">
        <v>1923</v>
      </c>
      <c r="H3436" t="s">
        <v>449</v>
      </c>
      <c r="I3436" t="s">
        <v>3715</v>
      </c>
      <c r="J3436" t="s">
        <v>605</v>
      </c>
      <c r="K3436" t="s">
        <v>606</v>
      </c>
      <c r="M3436" t="s">
        <v>1382</v>
      </c>
      <c r="N3436" t="s">
        <v>608</v>
      </c>
      <c r="O3436" t="s">
        <v>1968</v>
      </c>
      <c r="P3436" t="s">
        <v>670</v>
      </c>
      <c r="Q3436" t="s">
        <v>553</v>
      </c>
      <c r="R3436" t="s">
        <v>1841</v>
      </c>
      <c r="S3436" t="s">
        <v>1923</v>
      </c>
      <c r="T3436" t="s">
        <v>1568</v>
      </c>
      <c r="U3436">
        <v>224000</v>
      </c>
      <c r="V3436" t="s">
        <v>1969</v>
      </c>
      <c r="W3436" t="s">
        <v>1734</v>
      </c>
      <c r="X3436" t="s">
        <v>15722</v>
      </c>
      <c r="Y3436" t="s">
        <v>15723</v>
      </c>
      <c r="Z3436" t="s">
        <v>1967</v>
      </c>
      <c r="AA3436" t="s">
        <v>14572</v>
      </c>
      <c r="AB3436" t="s">
        <v>15724</v>
      </c>
      <c r="AE3436">
        <v>-39.90183236</v>
      </c>
      <c r="AF3436">
        <v>175.06414046</v>
      </c>
      <c r="AG3436" s="175">
        <v>40</v>
      </c>
      <c r="AH3436" s="175">
        <v>10</v>
      </c>
      <c r="AI3436" s="175">
        <v>0</v>
      </c>
      <c r="AJ3436" s="175">
        <v>4</v>
      </c>
      <c r="AK3436" s="175">
        <v>6</v>
      </c>
      <c r="AL3436" s="175">
        <v>4</v>
      </c>
      <c r="AM3436" s="175">
        <v>6</v>
      </c>
      <c r="AN3436" s="175">
        <v>0</v>
      </c>
      <c r="AO3436" s="175">
        <v>20</v>
      </c>
      <c r="AP3436" s="175">
        <v>4</v>
      </c>
      <c r="AQ3436" s="175">
        <v>10</v>
      </c>
      <c r="AR3436" s="175">
        <v>13</v>
      </c>
      <c r="AS3436" s="175">
        <v>1</v>
      </c>
      <c r="AT3436" s="175">
        <v>0</v>
      </c>
    </row>
    <row r="3437" spans="1:46">
      <c r="A3437">
        <v>50054</v>
      </c>
      <c r="B3437" t="s">
        <v>19051</v>
      </c>
      <c r="C3437" t="s">
        <v>19052</v>
      </c>
      <c r="D3437" t="s">
        <v>12492</v>
      </c>
      <c r="E3437" t="s">
        <v>19053</v>
      </c>
      <c r="F3437" t="s">
        <v>2698</v>
      </c>
      <c r="G3437" t="s">
        <v>2368</v>
      </c>
      <c r="H3437" t="s">
        <v>449</v>
      </c>
      <c r="J3437" t="s">
        <v>4032</v>
      </c>
      <c r="K3437" t="s">
        <v>606</v>
      </c>
      <c r="M3437" t="s">
        <v>2366</v>
      </c>
      <c r="N3437" t="s">
        <v>4586</v>
      </c>
      <c r="O3437" t="s">
        <v>2614</v>
      </c>
      <c r="P3437" t="s">
        <v>739</v>
      </c>
      <c r="Q3437" t="s">
        <v>516</v>
      </c>
      <c r="R3437" t="s">
        <v>2368</v>
      </c>
      <c r="S3437" t="s">
        <v>2623</v>
      </c>
      <c r="T3437" t="s">
        <v>2526</v>
      </c>
      <c r="U3437">
        <v>250000</v>
      </c>
      <c r="V3437" t="s">
        <v>2699</v>
      </c>
      <c r="W3437" t="s">
        <v>2639</v>
      </c>
      <c r="X3437" t="s">
        <v>14879</v>
      </c>
      <c r="Y3437" t="s">
        <v>12495</v>
      </c>
      <c r="Z3437" t="s">
        <v>2698</v>
      </c>
      <c r="AA3437" t="s">
        <v>12496</v>
      </c>
      <c r="AB3437" t="s">
        <v>14881</v>
      </c>
      <c r="AE3437">
        <v>-41.241944859999997</v>
      </c>
      <c r="AF3437">
        <v>174.79267247000001</v>
      </c>
      <c r="AG3437" s="175">
        <v>30</v>
      </c>
      <c r="AH3437" s="175">
        <v>0</v>
      </c>
      <c r="AI3437" s="175">
        <v>0</v>
      </c>
      <c r="AJ3437" s="175">
        <v>0</v>
      </c>
      <c r="AK3437" s="175">
        <v>25</v>
      </c>
      <c r="AL3437" s="175">
        <v>11</v>
      </c>
      <c r="AM3437" s="175">
        <v>0</v>
      </c>
      <c r="AN3437" s="175">
        <v>0</v>
      </c>
      <c r="AO3437" s="175">
        <v>36</v>
      </c>
      <c r="AP3437" s="175">
        <v>31</v>
      </c>
      <c r="AQ3437" s="175">
        <v>3</v>
      </c>
      <c r="AR3437" s="175">
        <v>1</v>
      </c>
      <c r="AS3437" s="175">
        <v>8</v>
      </c>
      <c r="AT3437" s="175">
        <v>1</v>
      </c>
    </row>
    <row r="3438" spans="1:46">
      <c r="A3438">
        <v>50055</v>
      </c>
      <c r="B3438" t="s">
        <v>19054</v>
      </c>
      <c r="C3438" t="s">
        <v>19055</v>
      </c>
      <c r="D3438" t="s">
        <v>19056</v>
      </c>
      <c r="E3438" t="s">
        <v>19057</v>
      </c>
      <c r="F3438" t="s">
        <v>12226</v>
      </c>
      <c r="G3438" t="s">
        <v>2368</v>
      </c>
      <c r="H3438" t="s">
        <v>449</v>
      </c>
      <c r="J3438" t="s">
        <v>605</v>
      </c>
      <c r="K3438" t="s">
        <v>606</v>
      </c>
      <c r="M3438" t="s">
        <v>2366</v>
      </c>
      <c r="N3438" t="s">
        <v>657</v>
      </c>
      <c r="O3438" t="s">
        <v>2614</v>
      </c>
      <c r="P3438" t="s">
        <v>739</v>
      </c>
      <c r="Q3438" t="s">
        <v>516</v>
      </c>
      <c r="R3438" t="s">
        <v>2368</v>
      </c>
      <c r="S3438" t="s">
        <v>2631</v>
      </c>
      <c r="T3438" t="s">
        <v>2526</v>
      </c>
      <c r="U3438">
        <v>250902</v>
      </c>
      <c r="V3438" t="s">
        <v>19058</v>
      </c>
      <c r="W3438" t="s">
        <v>2651</v>
      </c>
      <c r="X3438" t="s">
        <v>19059</v>
      </c>
      <c r="Y3438" t="s">
        <v>19060</v>
      </c>
      <c r="Z3438" t="s">
        <v>12226</v>
      </c>
      <c r="AA3438" t="s">
        <v>12230</v>
      </c>
      <c r="AE3438">
        <v>-41.272004879999997</v>
      </c>
      <c r="AF3438">
        <v>174.77935837999999</v>
      </c>
      <c r="AG3438" s="175">
        <v>40</v>
      </c>
      <c r="AH3438" s="175">
        <v>0</v>
      </c>
      <c r="AI3438" s="175">
        <v>0</v>
      </c>
      <c r="AJ3438" s="175">
        <v>0</v>
      </c>
      <c r="AK3438" s="175">
        <v>0</v>
      </c>
      <c r="AL3438" s="175">
        <v>15</v>
      </c>
      <c r="AM3438" s="175">
        <v>23</v>
      </c>
      <c r="AN3438" s="175">
        <v>1</v>
      </c>
      <c r="AO3438" s="175">
        <v>39</v>
      </c>
      <c r="AP3438" s="175">
        <v>18</v>
      </c>
      <c r="AQ3438" s="175">
        <v>0</v>
      </c>
      <c r="AR3438" s="175">
        <v>0</v>
      </c>
      <c r="AS3438" s="175">
        <v>22</v>
      </c>
      <c r="AT3438" s="175">
        <v>3</v>
      </c>
    </row>
    <row r="3439" spans="1:46">
      <c r="A3439">
        <v>50060</v>
      </c>
      <c r="B3439" t="s">
        <v>19061</v>
      </c>
      <c r="C3439" t="s">
        <v>19062</v>
      </c>
      <c r="D3439" t="s">
        <v>19063</v>
      </c>
      <c r="E3439" t="s">
        <v>19064</v>
      </c>
      <c r="F3439" t="s">
        <v>2698</v>
      </c>
      <c r="G3439" t="s">
        <v>2368</v>
      </c>
      <c r="H3439" t="s">
        <v>449</v>
      </c>
      <c r="J3439" t="s">
        <v>605</v>
      </c>
      <c r="K3439" t="s">
        <v>606</v>
      </c>
      <c r="M3439" t="s">
        <v>2366</v>
      </c>
      <c r="N3439" t="s">
        <v>657</v>
      </c>
      <c r="O3439" t="s">
        <v>2614</v>
      </c>
      <c r="P3439" t="s">
        <v>739</v>
      </c>
      <c r="Q3439" t="s">
        <v>516</v>
      </c>
      <c r="R3439" t="s">
        <v>2368</v>
      </c>
      <c r="S3439" t="s">
        <v>2623</v>
      </c>
      <c r="T3439" t="s">
        <v>2526</v>
      </c>
      <c r="U3439">
        <v>250000</v>
      </c>
      <c r="V3439" t="s">
        <v>2699</v>
      </c>
      <c r="W3439" t="s">
        <v>2639</v>
      </c>
      <c r="X3439" t="s">
        <v>19065</v>
      </c>
      <c r="Y3439" t="s">
        <v>19066</v>
      </c>
      <c r="Z3439" t="s">
        <v>2698</v>
      </c>
      <c r="AA3439" t="s">
        <v>12496</v>
      </c>
      <c r="AE3439">
        <v>-41.247373629999998</v>
      </c>
      <c r="AF3439">
        <v>174.79190184999999</v>
      </c>
      <c r="AG3439" s="175">
        <v>25</v>
      </c>
      <c r="AH3439" s="175">
        <v>10</v>
      </c>
      <c r="AI3439" s="175">
        <v>0</v>
      </c>
      <c r="AJ3439" s="175">
        <v>6</v>
      </c>
      <c r="AK3439" s="175">
        <v>12</v>
      </c>
      <c r="AL3439" s="175">
        <v>9</v>
      </c>
      <c r="AM3439" s="175">
        <v>3</v>
      </c>
      <c r="AN3439" s="175">
        <v>0</v>
      </c>
      <c r="AO3439" s="175">
        <v>30</v>
      </c>
      <c r="AP3439" s="175">
        <v>24</v>
      </c>
      <c r="AQ3439" s="175">
        <v>0</v>
      </c>
      <c r="AR3439" s="175">
        <v>0</v>
      </c>
      <c r="AS3439" s="175">
        <v>6</v>
      </c>
      <c r="AT3439" s="175">
        <v>1</v>
      </c>
    </row>
    <row r="3440" spans="1:46">
      <c r="A3440">
        <v>50061</v>
      </c>
      <c r="B3440" t="s">
        <v>19067</v>
      </c>
      <c r="C3440" t="s">
        <v>19068</v>
      </c>
      <c r="D3440" t="s">
        <v>19069</v>
      </c>
      <c r="E3440" t="s">
        <v>19070</v>
      </c>
      <c r="F3440" t="s">
        <v>19071</v>
      </c>
      <c r="G3440" t="s">
        <v>2368</v>
      </c>
      <c r="H3440" t="s">
        <v>449</v>
      </c>
      <c r="J3440" t="s">
        <v>605</v>
      </c>
      <c r="K3440" t="s">
        <v>606</v>
      </c>
      <c r="M3440" t="s">
        <v>2366</v>
      </c>
      <c r="N3440" t="s">
        <v>657</v>
      </c>
      <c r="O3440" t="s">
        <v>2614</v>
      </c>
      <c r="P3440" t="s">
        <v>739</v>
      </c>
      <c r="Q3440" t="s">
        <v>516</v>
      </c>
      <c r="R3440" t="s">
        <v>2368</v>
      </c>
      <c r="S3440" t="s">
        <v>2615</v>
      </c>
      <c r="T3440" t="s">
        <v>2526</v>
      </c>
      <c r="U3440">
        <v>253700</v>
      </c>
      <c r="V3440" t="s">
        <v>19072</v>
      </c>
      <c r="W3440" t="s">
        <v>2669</v>
      </c>
      <c r="X3440" t="s">
        <v>10497</v>
      </c>
      <c r="Y3440" t="s">
        <v>4014</v>
      </c>
      <c r="Z3440" t="s">
        <v>4015</v>
      </c>
      <c r="AA3440" t="s">
        <v>4016</v>
      </c>
      <c r="AC3440">
        <v>99141</v>
      </c>
      <c r="AD3440" t="s">
        <v>2670</v>
      </c>
      <c r="AE3440">
        <v>-41.31458387</v>
      </c>
      <c r="AF3440">
        <v>174.79175839999999</v>
      </c>
      <c r="AG3440" s="175">
        <v>26</v>
      </c>
      <c r="AH3440" s="175">
        <v>10</v>
      </c>
      <c r="AI3440" s="175">
        <v>0</v>
      </c>
      <c r="AJ3440" s="175">
        <v>6</v>
      </c>
      <c r="AK3440" s="175">
        <v>8</v>
      </c>
      <c r="AL3440" s="175">
        <v>8</v>
      </c>
      <c r="AM3440" s="175">
        <v>5</v>
      </c>
      <c r="AN3440" s="175">
        <v>2</v>
      </c>
      <c r="AO3440" s="175">
        <v>29</v>
      </c>
      <c r="AP3440" s="175">
        <v>24</v>
      </c>
      <c r="AQ3440" s="175">
        <v>0</v>
      </c>
      <c r="AR3440" s="175">
        <v>1</v>
      </c>
      <c r="AS3440" s="175">
        <v>4</v>
      </c>
      <c r="AT3440" s="175">
        <v>5</v>
      </c>
    </row>
    <row r="3441" spans="1:46">
      <c r="A3441">
        <v>50063</v>
      </c>
      <c r="B3441" t="s">
        <v>19073</v>
      </c>
      <c r="C3441" t="s">
        <v>19074</v>
      </c>
      <c r="D3441" t="s">
        <v>19075</v>
      </c>
      <c r="E3441" t="s">
        <v>19076</v>
      </c>
      <c r="F3441" t="s">
        <v>13407</v>
      </c>
      <c r="G3441" t="s">
        <v>2368</v>
      </c>
      <c r="H3441" t="s">
        <v>449</v>
      </c>
      <c r="J3441" t="s">
        <v>605</v>
      </c>
      <c r="K3441" t="s">
        <v>606</v>
      </c>
      <c r="M3441" t="s">
        <v>2366</v>
      </c>
      <c r="N3441" t="s">
        <v>657</v>
      </c>
      <c r="O3441" t="s">
        <v>2614</v>
      </c>
      <c r="P3441" t="s">
        <v>739</v>
      </c>
      <c r="Q3441" t="s">
        <v>516</v>
      </c>
      <c r="R3441" t="s">
        <v>2368</v>
      </c>
      <c r="S3441" t="s">
        <v>2623</v>
      </c>
      <c r="T3441" t="s">
        <v>2526</v>
      </c>
      <c r="U3441">
        <v>250700</v>
      </c>
      <c r="V3441" t="s">
        <v>12227</v>
      </c>
      <c r="W3441" t="s">
        <v>2639</v>
      </c>
      <c r="X3441" t="s">
        <v>10497</v>
      </c>
      <c r="Y3441" t="s">
        <v>4014</v>
      </c>
      <c r="Z3441" t="s">
        <v>4015</v>
      </c>
      <c r="AA3441" t="s">
        <v>4016</v>
      </c>
      <c r="AE3441">
        <v>-41.257299279999998</v>
      </c>
      <c r="AF3441">
        <v>174.7940548</v>
      </c>
      <c r="AG3441" s="175">
        <v>100</v>
      </c>
      <c r="AH3441" s="175">
        <v>28</v>
      </c>
      <c r="AI3441" s="175">
        <v>4</v>
      </c>
      <c r="AJ3441" s="175">
        <v>22</v>
      </c>
      <c r="AK3441" s="175">
        <v>23</v>
      </c>
      <c r="AL3441" s="175">
        <v>21</v>
      </c>
      <c r="AM3441" s="175">
        <v>24</v>
      </c>
      <c r="AN3441" s="175">
        <v>0</v>
      </c>
      <c r="AO3441" s="175">
        <v>94</v>
      </c>
      <c r="AP3441" s="175">
        <v>63</v>
      </c>
      <c r="AQ3441" s="175">
        <v>7</v>
      </c>
      <c r="AR3441" s="175">
        <v>3</v>
      </c>
      <c r="AS3441" s="175">
        <v>34</v>
      </c>
      <c r="AT3441" s="175">
        <v>10</v>
      </c>
    </row>
    <row r="3442" spans="1:46">
      <c r="A3442">
        <v>50064</v>
      </c>
      <c r="B3442" t="s">
        <v>19077</v>
      </c>
      <c r="C3442" t="s">
        <v>19078</v>
      </c>
      <c r="D3442" t="s">
        <v>19079</v>
      </c>
      <c r="E3442" t="s">
        <v>19080</v>
      </c>
      <c r="G3442" t="s">
        <v>14504</v>
      </c>
      <c r="H3442" t="s">
        <v>449</v>
      </c>
      <c r="J3442" t="s">
        <v>4032</v>
      </c>
      <c r="K3442" t="s">
        <v>606</v>
      </c>
      <c r="M3442" t="s">
        <v>2366</v>
      </c>
      <c r="N3442" t="s">
        <v>657</v>
      </c>
      <c r="O3442" t="s">
        <v>2411</v>
      </c>
      <c r="P3442" t="s">
        <v>610</v>
      </c>
      <c r="Q3442" t="s">
        <v>516</v>
      </c>
      <c r="R3442" t="s">
        <v>2368</v>
      </c>
      <c r="S3442" t="s">
        <v>2348</v>
      </c>
      <c r="T3442" t="s">
        <v>2165</v>
      </c>
      <c r="U3442">
        <v>257901</v>
      </c>
      <c r="V3442" t="s">
        <v>14504</v>
      </c>
      <c r="W3442" t="s">
        <v>14505</v>
      </c>
      <c r="X3442" t="s">
        <v>19081</v>
      </c>
      <c r="Y3442" t="s">
        <v>4051</v>
      </c>
      <c r="AA3442" t="s">
        <v>4052</v>
      </c>
      <c r="AB3442" t="s">
        <v>19082</v>
      </c>
      <c r="AC3442">
        <v>99109</v>
      </c>
      <c r="AD3442" t="s">
        <v>2413</v>
      </c>
      <c r="AE3442">
        <v>-41.216738970000002</v>
      </c>
      <c r="AF3442">
        <v>175.45685302000001</v>
      </c>
      <c r="AG3442" s="175">
        <v>49</v>
      </c>
      <c r="AH3442" s="175">
        <v>13</v>
      </c>
      <c r="AI3442" s="175">
        <v>5</v>
      </c>
      <c r="AJ3442" s="175">
        <v>8</v>
      </c>
      <c r="AK3442" s="175">
        <v>17</v>
      </c>
      <c r="AL3442" s="175">
        <v>15</v>
      </c>
      <c r="AM3442" s="175">
        <v>12</v>
      </c>
      <c r="AN3442" s="175">
        <v>0</v>
      </c>
      <c r="AO3442" s="175">
        <v>57</v>
      </c>
      <c r="AP3442" s="175">
        <v>48</v>
      </c>
      <c r="AQ3442" s="175">
        <v>17</v>
      </c>
      <c r="AR3442" s="175">
        <v>0</v>
      </c>
      <c r="AS3442" s="175">
        <v>3</v>
      </c>
      <c r="AT3442" s="175">
        <v>4</v>
      </c>
    </row>
    <row r="3443" spans="1:46">
      <c r="A3443">
        <v>50065</v>
      </c>
      <c r="B3443" t="s">
        <v>19083</v>
      </c>
      <c r="C3443" t="s">
        <v>19084</v>
      </c>
      <c r="D3443" t="s">
        <v>19085</v>
      </c>
      <c r="E3443" t="s">
        <v>19086</v>
      </c>
      <c r="G3443" t="s">
        <v>19087</v>
      </c>
      <c r="H3443" t="s">
        <v>452</v>
      </c>
      <c r="J3443" t="s">
        <v>605</v>
      </c>
      <c r="K3443" t="s">
        <v>606</v>
      </c>
      <c r="M3443" t="s">
        <v>2366</v>
      </c>
      <c r="N3443" t="s">
        <v>608</v>
      </c>
      <c r="O3443" t="s">
        <v>2147</v>
      </c>
      <c r="P3443" t="s">
        <v>610</v>
      </c>
      <c r="Q3443" t="s">
        <v>553</v>
      </c>
      <c r="R3443" t="s">
        <v>2368</v>
      </c>
      <c r="S3443" t="s">
        <v>1719</v>
      </c>
      <c r="T3443" t="s">
        <v>1568</v>
      </c>
      <c r="U3443">
        <v>235400</v>
      </c>
      <c r="V3443" t="s">
        <v>19087</v>
      </c>
      <c r="W3443" t="s">
        <v>19088</v>
      </c>
      <c r="X3443" t="s">
        <v>1970</v>
      </c>
      <c r="Y3443" t="s">
        <v>1971</v>
      </c>
      <c r="AA3443" t="s">
        <v>1972</v>
      </c>
      <c r="AB3443" t="s">
        <v>1973</v>
      </c>
      <c r="AC3443">
        <v>99058</v>
      </c>
      <c r="AD3443" t="s">
        <v>2806</v>
      </c>
      <c r="AE3443">
        <v>-40.545613680000002</v>
      </c>
      <c r="AF3443">
        <v>175.41510592</v>
      </c>
      <c r="AG3443" s="175">
        <v>30</v>
      </c>
      <c r="AH3443" s="175">
        <v>0</v>
      </c>
      <c r="AI3443" s="175">
        <v>0</v>
      </c>
      <c r="AJ3443" s="175">
        <v>0</v>
      </c>
      <c r="AK3443" s="175">
        <v>9</v>
      </c>
      <c r="AL3443" s="175">
        <v>6</v>
      </c>
      <c r="AM3443" s="175">
        <v>13</v>
      </c>
      <c r="AN3443" s="175">
        <v>0</v>
      </c>
      <c r="AO3443" s="175">
        <v>28</v>
      </c>
      <c r="AP3443" s="175">
        <v>22</v>
      </c>
      <c r="AQ3443" s="175">
        <v>18</v>
      </c>
      <c r="AR3443" s="175">
        <v>4</v>
      </c>
      <c r="AS3443" s="175">
        <v>1</v>
      </c>
      <c r="AT3443" s="175">
        <v>0</v>
      </c>
    </row>
    <row r="3444" spans="1:46">
      <c r="A3444">
        <v>50066</v>
      </c>
      <c r="B3444" t="s">
        <v>19089</v>
      </c>
      <c r="C3444" t="s">
        <v>19090</v>
      </c>
      <c r="D3444" t="s">
        <v>19091</v>
      </c>
      <c r="E3444" t="s">
        <v>15144</v>
      </c>
      <c r="G3444" t="s">
        <v>1923</v>
      </c>
      <c r="H3444" t="s">
        <v>450</v>
      </c>
      <c r="J3444" t="s">
        <v>4032</v>
      </c>
      <c r="K3444" t="s">
        <v>606</v>
      </c>
      <c r="M3444" t="s">
        <v>1382</v>
      </c>
      <c r="N3444" t="s">
        <v>608</v>
      </c>
      <c r="O3444" t="s">
        <v>1968</v>
      </c>
      <c r="P3444" t="s">
        <v>670</v>
      </c>
      <c r="Q3444" t="s">
        <v>553</v>
      </c>
      <c r="R3444" t="s">
        <v>1841</v>
      </c>
      <c r="S3444" t="s">
        <v>1923</v>
      </c>
      <c r="T3444" t="s">
        <v>1568</v>
      </c>
      <c r="U3444">
        <v>225700</v>
      </c>
      <c r="V3444" t="s">
        <v>10327</v>
      </c>
      <c r="W3444" t="s">
        <v>1734</v>
      </c>
      <c r="X3444" t="s">
        <v>19092</v>
      </c>
      <c r="Y3444" t="s">
        <v>15146</v>
      </c>
      <c r="AA3444" t="s">
        <v>15147</v>
      </c>
      <c r="AB3444" t="s">
        <v>19093</v>
      </c>
      <c r="AC3444">
        <v>99218</v>
      </c>
      <c r="AD3444" t="s">
        <v>1974</v>
      </c>
      <c r="AE3444">
        <v>-39.930631300000002</v>
      </c>
      <c r="AF3444">
        <v>175.04822322999999</v>
      </c>
      <c r="AG3444" s="175">
        <v>80</v>
      </c>
      <c r="AH3444" s="175">
        <v>80</v>
      </c>
      <c r="AI3444" s="175">
        <v>6</v>
      </c>
      <c r="AJ3444" s="175">
        <v>12</v>
      </c>
      <c r="AK3444" s="175">
        <v>11</v>
      </c>
      <c r="AL3444" s="175">
        <v>10</v>
      </c>
      <c r="AM3444" s="175">
        <v>7</v>
      </c>
      <c r="AN3444" s="175">
        <v>3</v>
      </c>
      <c r="AO3444" s="175">
        <v>49</v>
      </c>
      <c r="AP3444" s="175">
        <v>38</v>
      </c>
      <c r="AQ3444" s="175">
        <v>14</v>
      </c>
      <c r="AR3444" s="175">
        <v>5</v>
      </c>
      <c r="AS3444" s="175">
        <v>4</v>
      </c>
      <c r="AT3444" s="175">
        <v>6</v>
      </c>
    </row>
    <row r="3445" spans="1:46">
      <c r="A3445">
        <v>50067</v>
      </c>
      <c r="B3445" t="s">
        <v>19094</v>
      </c>
      <c r="C3445" t="s">
        <v>19095</v>
      </c>
      <c r="D3445" t="s">
        <v>19096</v>
      </c>
      <c r="E3445" t="s">
        <v>19097</v>
      </c>
      <c r="G3445" t="s">
        <v>2792</v>
      </c>
      <c r="H3445" t="s">
        <v>449</v>
      </c>
      <c r="J3445" t="s">
        <v>605</v>
      </c>
      <c r="K3445" t="s">
        <v>606</v>
      </c>
      <c r="M3445" t="s">
        <v>2366</v>
      </c>
      <c r="N3445" t="s">
        <v>657</v>
      </c>
      <c r="O3445" t="s">
        <v>2753</v>
      </c>
      <c r="P3445" t="s">
        <v>1347</v>
      </c>
      <c r="Q3445" t="s">
        <v>516</v>
      </c>
      <c r="R3445" t="s">
        <v>2368</v>
      </c>
      <c r="S3445" t="s">
        <v>2148</v>
      </c>
      <c r="T3445" t="s">
        <v>1568</v>
      </c>
      <c r="U3445">
        <v>237001</v>
      </c>
      <c r="V3445" t="s">
        <v>2793</v>
      </c>
      <c r="W3445" t="s">
        <v>2755</v>
      </c>
      <c r="X3445" t="s">
        <v>10497</v>
      </c>
      <c r="Y3445" t="s">
        <v>4014</v>
      </c>
      <c r="Z3445" t="s">
        <v>4015</v>
      </c>
      <c r="AA3445" t="s">
        <v>4016</v>
      </c>
      <c r="AE3445">
        <v>-40.882663899999997</v>
      </c>
      <c r="AF3445">
        <v>174.99772085000001</v>
      </c>
      <c r="AG3445" s="175">
        <v>75</v>
      </c>
      <c r="AH3445" s="175">
        <v>19</v>
      </c>
      <c r="AI3445" s="175">
        <v>2</v>
      </c>
      <c r="AJ3445" s="175">
        <v>9</v>
      </c>
      <c r="AK3445" s="175">
        <v>24</v>
      </c>
      <c r="AL3445" s="175">
        <v>12</v>
      </c>
      <c r="AM3445" s="175">
        <v>24</v>
      </c>
      <c r="AN3445" s="175">
        <v>0</v>
      </c>
      <c r="AO3445" s="175">
        <v>71</v>
      </c>
      <c r="AP3445" s="175">
        <v>52</v>
      </c>
      <c r="AQ3445" s="175">
        <v>30</v>
      </c>
      <c r="AR3445" s="175">
        <v>9</v>
      </c>
      <c r="AS3445" s="175">
        <v>6</v>
      </c>
      <c r="AT3445" s="175">
        <v>2</v>
      </c>
    </row>
    <row r="3446" spans="1:46">
      <c r="A3446">
        <v>50070</v>
      </c>
      <c r="B3446" t="s">
        <v>19098</v>
      </c>
      <c r="C3446" t="s">
        <v>19099</v>
      </c>
      <c r="D3446" t="s">
        <v>19100</v>
      </c>
      <c r="E3446" t="s">
        <v>19101</v>
      </c>
      <c r="G3446" t="s">
        <v>2055</v>
      </c>
      <c r="H3446" t="s">
        <v>449</v>
      </c>
      <c r="J3446" t="s">
        <v>4032</v>
      </c>
      <c r="K3446" t="s">
        <v>606</v>
      </c>
      <c r="M3446" t="s">
        <v>1382</v>
      </c>
      <c r="N3446" t="s">
        <v>643</v>
      </c>
      <c r="O3446" t="s">
        <v>2037</v>
      </c>
      <c r="P3446" t="s">
        <v>670</v>
      </c>
      <c r="Q3446" t="s">
        <v>553</v>
      </c>
      <c r="R3446" t="s">
        <v>1841</v>
      </c>
      <c r="S3446" t="s">
        <v>2055</v>
      </c>
      <c r="T3446" t="s">
        <v>1568</v>
      </c>
      <c r="U3446">
        <v>230600</v>
      </c>
      <c r="V3446" t="s">
        <v>2056</v>
      </c>
      <c r="W3446" t="s">
        <v>2038</v>
      </c>
      <c r="X3446" t="s">
        <v>19102</v>
      </c>
      <c r="Y3446" t="s">
        <v>4725</v>
      </c>
      <c r="Z3446" t="s">
        <v>1043</v>
      </c>
      <c r="AA3446" t="s">
        <v>4726</v>
      </c>
      <c r="AB3446" t="s">
        <v>19099</v>
      </c>
      <c r="AC3446">
        <v>99052</v>
      </c>
      <c r="AD3446" t="s">
        <v>2043</v>
      </c>
      <c r="AE3446">
        <v>-40.350663959999999</v>
      </c>
      <c r="AF3446">
        <v>175.61440769999999</v>
      </c>
      <c r="AG3446" s="175">
        <v>55</v>
      </c>
      <c r="AH3446" s="175">
        <v>20</v>
      </c>
      <c r="AI3446" s="175">
        <v>2</v>
      </c>
      <c r="AJ3446" s="175">
        <v>16</v>
      </c>
      <c r="AK3446" s="175">
        <v>16</v>
      </c>
      <c r="AL3446" s="175">
        <v>13</v>
      </c>
      <c r="AM3446" s="175">
        <v>9</v>
      </c>
      <c r="AN3446" s="175">
        <v>0</v>
      </c>
      <c r="AO3446" s="175">
        <v>56</v>
      </c>
      <c r="AP3446" s="175">
        <v>37</v>
      </c>
      <c r="AQ3446" s="175">
        <v>13</v>
      </c>
      <c r="AR3446" s="175">
        <v>2</v>
      </c>
      <c r="AS3446" s="175">
        <v>11</v>
      </c>
      <c r="AT3446" s="175">
        <v>2</v>
      </c>
    </row>
    <row r="3447" spans="1:46">
      <c r="A3447">
        <v>50073</v>
      </c>
      <c r="B3447" t="s">
        <v>19103</v>
      </c>
      <c r="C3447" t="s">
        <v>19104</v>
      </c>
      <c r="E3447" t="s">
        <v>19105</v>
      </c>
      <c r="F3447" t="s">
        <v>2715</v>
      </c>
      <c r="G3447" t="s">
        <v>2368</v>
      </c>
      <c r="H3447" t="s">
        <v>449</v>
      </c>
      <c r="J3447" t="s">
        <v>4032</v>
      </c>
      <c r="K3447" t="s">
        <v>606</v>
      </c>
      <c r="M3447" t="s">
        <v>2366</v>
      </c>
      <c r="N3447" t="s">
        <v>657</v>
      </c>
      <c r="O3447" t="s">
        <v>2614</v>
      </c>
      <c r="P3447" t="s">
        <v>739</v>
      </c>
      <c r="Q3447" t="s">
        <v>516</v>
      </c>
      <c r="R3447" t="s">
        <v>2368</v>
      </c>
      <c r="S3447" t="s">
        <v>2615</v>
      </c>
      <c r="T3447" t="s">
        <v>2526</v>
      </c>
      <c r="U3447">
        <v>254401</v>
      </c>
      <c r="V3447" t="s">
        <v>19106</v>
      </c>
      <c r="W3447" t="s">
        <v>2669</v>
      </c>
      <c r="X3447" t="s">
        <v>19107</v>
      </c>
      <c r="Y3447" t="s">
        <v>19108</v>
      </c>
      <c r="Z3447" t="s">
        <v>2735</v>
      </c>
      <c r="AA3447" t="s">
        <v>19109</v>
      </c>
      <c r="AB3447" t="s">
        <v>19110</v>
      </c>
      <c r="AE3447">
        <v>-41.311546540000002</v>
      </c>
      <c r="AF3447">
        <v>174.81959818999999</v>
      </c>
      <c r="AG3447" s="175">
        <v>28</v>
      </c>
      <c r="AH3447" s="175">
        <v>8</v>
      </c>
      <c r="AI3447" s="175">
        <v>0</v>
      </c>
      <c r="AJ3447" s="175">
        <v>4</v>
      </c>
      <c r="AK3447" s="175">
        <v>9</v>
      </c>
      <c r="AL3447" s="175">
        <v>3</v>
      </c>
      <c r="AM3447" s="175">
        <v>11</v>
      </c>
      <c r="AN3447" s="175">
        <v>0</v>
      </c>
      <c r="AO3447" s="175">
        <v>27</v>
      </c>
      <c r="AP3447" s="175">
        <v>22</v>
      </c>
      <c r="AQ3447" s="175">
        <v>2</v>
      </c>
      <c r="AR3447" s="175">
        <v>4</v>
      </c>
      <c r="AS3447" s="175">
        <v>4</v>
      </c>
      <c r="AT3447" s="175">
        <v>0</v>
      </c>
    </row>
    <row r="3448" spans="1:46">
      <c r="A3448">
        <v>50074</v>
      </c>
      <c r="B3448" t="s">
        <v>19111</v>
      </c>
      <c r="C3448" t="s">
        <v>19112</v>
      </c>
      <c r="D3448" t="s">
        <v>19113</v>
      </c>
      <c r="E3448" t="s">
        <v>19114</v>
      </c>
      <c r="F3448" t="s">
        <v>2077</v>
      </c>
      <c r="G3448" t="s">
        <v>2055</v>
      </c>
      <c r="H3448" t="s">
        <v>449</v>
      </c>
      <c r="J3448" t="s">
        <v>605</v>
      </c>
      <c r="K3448" t="s">
        <v>606</v>
      </c>
      <c r="M3448" t="s">
        <v>1382</v>
      </c>
      <c r="N3448" t="s">
        <v>812</v>
      </c>
      <c r="O3448" t="s">
        <v>2037</v>
      </c>
      <c r="P3448" t="s">
        <v>670</v>
      </c>
      <c r="Q3448" t="s">
        <v>553</v>
      </c>
      <c r="R3448" t="s">
        <v>1841</v>
      </c>
      <c r="S3448" t="s">
        <v>2055</v>
      </c>
      <c r="T3448" t="s">
        <v>1568</v>
      </c>
      <c r="U3448">
        <v>229900</v>
      </c>
      <c r="V3448" t="s">
        <v>2135</v>
      </c>
      <c r="W3448" t="s">
        <v>2038</v>
      </c>
      <c r="X3448" t="s">
        <v>19115</v>
      </c>
      <c r="Y3448" t="s">
        <v>19116</v>
      </c>
      <c r="Z3448" t="s">
        <v>19117</v>
      </c>
      <c r="AA3448" t="s">
        <v>19118</v>
      </c>
      <c r="AB3448" t="s">
        <v>19119</v>
      </c>
      <c r="AE3448">
        <v>-40.357756690000002</v>
      </c>
      <c r="AF3448">
        <v>175.58785775000001</v>
      </c>
      <c r="AG3448" s="175">
        <v>45</v>
      </c>
      <c r="AH3448" s="175">
        <v>0</v>
      </c>
      <c r="AI3448" s="175">
        <v>0</v>
      </c>
      <c r="AJ3448" s="175">
        <v>0</v>
      </c>
      <c r="AK3448" s="175">
        <v>5</v>
      </c>
      <c r="AL3448" s="175">
        <v>15</v>
      </c>
      <c r="AM3448" s="175">
        <v>24</v>
      </c>
      <c r="AN3448" s="175">
        <v>0</v>
      </c>
      <c r="AO3448" s="175">
        <v>44</v>
      </c>
      <c r="AP3448" s="175">
        <v>8</v>
      </c>
      <c r="AQ3448" s="175">
        <v>40</v>
      </c>
      <c r="AR3448" s="175">
        <v>8</v>
      </c>
      <c r="AS3448" s="175">
        <v>2</v>
      </c>
      <c r="AT3448" s="175">
        <v>0</v>
      </c>
    </row>
    <row r="3449" spans="1:46">
      <c r="A3449">
        <v>50075</v>
      </c>
      <c r="B3449" t="s">
        <v>19120</v>
      </c>
      <c r="C3449" t="s">
        <v>19121</v>
      </c>
      <c r="D3449" t="s">
        <v>19122</v>
      </c>
      <c r="E3449" t="s">
        <v>19123</v>
      </c>
      <c r="G3449" t="s">
        <v>2148</v>
      </c>
      <c r="H3449" t="s">
        <v>449</v>
      </c>
      <c r="I3449" t="s">
        <v>5017</v>
      </c>
      <c r="J3449" t="s">
        <v>605</v>
      </c>
      <c r="K3449" t="s">
        <v>606</v>
      </c>
      <c r="M3449" t="s">
        <v>2366</v>
      </c>
      <c r="N3449" t="s">
        <v>643</v>
      </c>
      <c r="O3449" t="s">
        <v>2753</v>
      </c>
      <c r="P3449" t="s">
        <v>610</v>
      </c>
      <c r="Q3449" t="s">
        <v>516</v>
      </c>
      <c r="R3449" t="s">
        <v>2368</v>
      </c>
      <c r="S3449" t="s">
        <v>2148</v>
      </c>
      <c r="T3449" t="s">
        <v>1568</v>
      </c>
      <c r="U3449">
        <v>236500</v>
      </c>
      <c r="V3449" t="s">
        <v>2148</v>
      </c>
      <c r="W3449" t="s">
        <v>2776</v>
      </c>
      <c r="X3449" t="s">
        <v>19124</v>
      </c>
      <c r="Y3449" t="s">
        <v>19125</v>
      </c>
      <c r="Z3449" t="s">
        <v>2148</v>
      </c>
      <c r="AA3449" t="s">
        <v>19126</v>
      </c>
      <c r="AB3449" t="s">
        <v>19127</v>
      </c>
      <c r="AE3449">
        <v>-40.751159729999998</v>
      </c>
      <c r="AF3449">
        <v>175.13577365</v>
      </c>
      <c r="AG3449" s="175">
        <v>40</v>
      </c>
      <c r="AH3449" s="175">
        <v>15</v>
      </c>
      <c r="AI3449" s="175">
        <v>2</v>
      </c>
      <c r="AJ3449" s="175">
        <v>7</v>
      </c>
      <c r="AK3449" s="175">
        <v>5</v>
      </c>
      <c r="AL3449" s="175">
        <v>7</v>
      </c>
      <c r="AM3449" s="175">
        <v>12</v>
      </c>
      <c r="AN3449" s="175">
        <v>0</v>
      </c>
      <c r="AO3449" s="175">
        <v>33</v>
      </c>
      <c r="AP3449" s="175">
        <v>2</v>
      </c>
      <c r="AQ3449" s="175">
        <v>32</v>
      </c>
      <c r="AR3449" s="175">
        <v>0</v>
      </c>
      <c r="AS3449" s="175">
        <v>0</v>
      </c>
      <c r="AT3449" s="175">
        <v>1</v>
      </c>
    </row>
    <row r="3450" spans="1:46">
      <c r="A3450">
        <v>50077</v>
      </c>
      <c r="B3450" t="s">
        <v>19128</v>
      </c>
      <c r="C3450" t="s">
        <v>19129</v>
      </c>
      <c r="D3450" t="s">
        <v>19130</v>
      </c>
      <c r="E3450" t="s">
        <v>19131</v>
      </c>
      <c r="F3450" t="s">
        <v>2708</v>
      </c>
      <c r="G3450" t="s">
        <v>2604</v>
      </c>
      <c r="H3450" t="s">
        <v>452</v>
      </c>
      <c r="I3450" t="s">
        <v>4233</v>
      </c>
      <c r="J3450" t="s">
        <v>605</v>
      </c>
      <c r="K3450" t="s">
        <v>606</v>
      </c>
      <c r="M3450" t="s">
        <v>2366</v>
      </c>
      <c r="N3450" t="s">
        <v>625</v>
      </c>
      <c r="O3450" t="s">
        <v>2605</v>
      </c>
      <c r="P3450" t="s">
        <v>670</v>
      </c>
      <c r="Q3450" t="s">
        <v>516</v>
      </c>
      <c r="R3450" t="s">
        <v>2368</v>
      </c>
      <c r="S3450" t="s">
        <v>2606</v>
      </c>
      <c r="T3450" t="s">
        <v>1568</v>
      </c>
      <c r="U3450">
        <v>240700</v>
      </c>
      <c r="V3450" t="s">
        <v>19132</v>
      </c>
      <c r="W3450" t="s">
        <v>2607</v>
      </c>
      <c r="X3450" t="s">
        <v>1970</v>
      </c>
      <c r="Y3450" t="s">
        <v>1971</v>
      </c>
      <c r="AA3450" t="s">
        <v>1972</v>
      </c>
      <c r="AB3450" t="s">
        <v>1973</v>
      </c>
      <c r="AC3450">
        <v>99074</v>
      </c>
      <c r="AD3450" t="s">
        <v>2710</v>
      </c>
      <c r="AE3450">
        <v>-41.139213570000003</v>
      </c>
      <c r="AF3450">
        <v>174.86458472999999</v>
      </c>
      <c r="AG3450" s="175">
        <v>63</v>
      </c>
      <c r="AH3450" s="175">
        <v>10</v>
      </c>
      <c r="AI3450" s="175">
        <v>0</v>
      </c>
      <c r="AJ3450" s="175">
        <v>4</v>
      </c>
      <c r="AK3450" s="175">
        <v>18</v>
      </c>
      <c r="AL3450" s="175">
        <v>16</v>
      </c>
      <c r="AM3450" s="175">
        <v>23</v>
      </c>
      <c r="AN3450" s="175">
        <v>0</v>
      </c>
      <c r="AO3450" s="175">
        <v>61</v>
      </c>
      <c r="AP3450" s="175">
        <v>6</v>
      </c>
      <c r="AQ3450" s="175">
        <v>27</v>
      </c>
      <c r="AR3450" s="175">
        <v>54</v>
      </c>
      <c r="AS3450" s="175">
        <v>3</v>
      </c>
      <c r="AT3450" s="175">
        <v>1</v>
      </c>
    </row>
    <row r="3451" spans="1:46">
      <c r="A3451">
        <v>50079</v>
      </c>
      <c r="B3451" t="s">
        <v>19133</v>
      </c>
      <c r="C3451" t="s">
        <v>19134</v>
      </c>
      <c r="D3451" t="s">
        <v>19135</v>
      </c>
      <c r="E3451" t="s">
        <v>19136</v>
      </c>
      <c r="F3451" t="s">
        <v>19137</v>
      </c>
      <c r="G3451" t="s">
        <v>2368</v>
      </c>
      <c r="H3451" t="s">
        <v>449</v>
      </c>
      <c r="J3451" t="s">
        <v>605</v>
      </c>
      <c r="K3451" t="s">
        <v>606</v>
      </c>
      <c r="M3451" t="s">
        <v>2366</v>
      </c>
      <c r="N3451" t="s">
        <v>657</v>
      </c>
      <c r="O3451" t="s">
        <v>2614</v>
      </c>
      <c r="P3451" t="s">
        <v>739</v>
      </c>
      <c r="Q3451" t="s">
        <v>516</v>
      </c>
      <c r="R3451" t="s">
        <v>2368</v>
      </c>
      <c r="S3451" t="s">
        <v>2615</v>
      </c>
      <c r="T3451" t="s">
        <v>2526</v>
      </c>
      <c r="U3451">
        <v>255100</v>
      </c>
      <c r="V3451" t="s">
        <v>2840</v>
      </c>
      <c r="W3451" t="s">
        <v>2669</v>
      </c>
      <c r="X3451" t="s">
        <v>19138</v>
      </c>
      <c r="Y3451" t="s">
        <v>19136</v>
      </c>
      <c r="Z3451" t="s">
        <v>19137</v>
      </c>
      <c r="AA3451" t="s">
        <v>19139</v>
      </c>
      <c r="AC3451">
        <v>99141</v>
      </c>
      <c r="AD3451" t="s">
        <v>2670</v>
      </c>
      <c r="AE3451">
        <v>-41.327641630000002</v>
      </c>
      <c r="AF3451">
        <v>174.82115895000001</v>
      </c>
      <c r="AG3451" s="175">
        <v>30</v>
      </c>
      <c r="AH3451" s="175">
        <v>0</v>
      </c>
      <c r="AI3451" s="175">
        <v>0</v>
      </c>
      <c r="AJ3451" s="175">
        <v>0</v>
      </c>
      <c r="AK3451" s="175">
        <v>3</v>
      </c>
      <c r="AL3451" s="175">
        <v>12</v>
      </c>
      <c r="AM3451" s="175">
        <v>8</v>
      </c>
      <c r="AN3451" s="175">
        <v>0</v>
      </c>
      <c r="AO3451" s="175">
        <v>23</v>
      </c>
      <c r="AP3451" s="175">
        <v>20</v>
      </c>
      <c r="AQ3451" s="175">
        <v>4</v>
      </c>
      <c r="AR3451" s="175">
        <v>1</v>
      </c>
      <c r="AS3451" s="175">
        <v>7</v>
      </c>
      <c r="AT3451" s="175">
        <v>1</v>
      </c>
    </row>
    <row r="3452" spans="1:46">
      <c r="A3452">
        <v>50080</v>
      </c>
      <c r="B3452" t="s">
        <v>19140</v>
      </c>
      <c r="C3452" t="s">
        <v>19141</v>
      </c>
      <c r="D3452" t="s">
        <v>19142</v>
      </c>
      <c r="E3452" t="s">
        <v>19143</v>
      </c>
      <c r="F3452" t="s">
        <v>2119</v>
      </c>
      <c r="G3452" t="s">
        <v>2055</v>
      </c>
      <c r="H3452" t="s">
        <v>449</v>
      </c>
      <c r="J3452" t="s">
        <v>605</v>
      </c>
      <c r="K3452" t="s">
        <v>606</v>
      </c>
      <c r="M3452" t="s">
        <v>1382</v>
      </c>
      <c r="N3452" t="s">
        <v>657</v>
      </c>
      <c r="O3452" t="s">
        <v>2037</v>
      </c>
      <c r="P3452" t="s">
        <v>670</v>
      </c>
      <c r="Q3452" t="s">
        <v>553</v>
      </c>
      <c r="R3452" t="s">
        <v>1841</v>
      </c>
      <c r="S3452" t="s">
        <v>2055</v>
      </c>
      <c r="T3452" t="s">
        <v>1568</v>
      </c>
      <c r="U3452">
        <v>229800</v>
      </c>
      <c r="V3452" t="s">
        <v>16001</v>
      </c>
      <c r="W3452" t="s">
        <v>2038</v>
      </c>
      <c r="X3452" t="s">
        <v>10463</v>
      </c>
      <c r="Y3452" t="s">
        <v>4014</v>
      </c>
      <c r="Z3452" t="s">
        <v>4015</v>
      </c>
      <c r="AA3452" t="s">
        <v>4016</v>
      </c>
      <c r="AB3452" t="s">
        <v>10464</v>
      </c>
      <c r="AE3452">
        <v>-40.339512229999997</v>
      </c>
      <c r="AF3452">
        <v>175.61186194000001</v>
      </c>
      <c r="AG3452" s="175">
        <v>74</v>
      </c>
      <c r="AH3452" s="175">
        <v>20</v>
      </c>
      <c r="AI3452" s="175">
        <v>4</v>
      </c>
      <c r="AJ3452" s="175">
        <v>11</v>
      </c>
      <c r="AK3452" s="175">
        <v>25</v>
      </c>
      <c r="AL3452" s="175">
        <v>23</v>
      </c>
      <c r="AM3452" s="175">
        <v>21</v>
      </c>
      <c r="AN3452" s="175">
        <v>1</v>
      </c>
      <c r="AO3452" s="175">
        <v>85</v>
      </c>
      <c r="AP3452" s="175">
        <v>51</v>
      </c>
      <c r="AQ3452" s="175">
        <v>12</v>
      </c>
      <c r="AR3452" s="175">
        <v>6</v>
      </c>
      <c r="AS3452" s="175">
        <v>17</v>
      </c>
      <c r="AT3452" s="175">
        <v>15</v>
      </c>
    </row>
    <row r="3453" spans="1:46">
      <c r="A3453">
        <v>50082</v>
      </c>
      <c r="B3453" t="s">
        <v>19144</v>
      </c>
      <c r="C3453" t="s">
        <v>19145</v>
      </c>
      <c r="D3453" t="s">
        <v>12492</v>
      </c>
      <c r="E3453" t="s">
        <v>19146</v>
      </c>
      <c r="F3453" t="s">
        <v>2644</v>
      </c>
      <c r="G3453" t="s">
        <v>2368</v>
      </c>
      <c r="H3453" t="s">
        <v>449</v>
      </c>
      <c r="J3453" t="s">
        <v>4032</v>
      </c>
      <c r="K3453" t="s">
        <v>606</v>
      </c>
      <c r="M3453" t="s">
        <v>2366</v>
      </c>
      <c r="N3453" t="s">
        <v>4586</v>
      </c>
      <c r="O3453" t="s">
        <v>2614</v>
      </c>
      <c r="P3453" t="s">
        <v>739</v>
      </c>
      <c r="Q3453" t="s">
        <v>516</v>
      </c>
      <c r="R3453" t="s">
        <v>2368</v>
      </c>
      <c r="S3453" t="s">
        <v>2623</v>
      </c>
      <c r="T3453" t="s">
        <v>2526</v>
      </c>
      <c r="U3453">
        <v>248101</v>
      </c>
      <c r="V3453" t="s">
        <v>19147</v>
      </c>
      <c r="W3453" t="s">
        <v>2625</v>
      </c>
      <c r="X3453" t="s">
        <v>14879</v>
      </c>
      <c r="Y3453" t="s">
        <v>12495</v>
      </c>
      <c r="Z3453" t="s">
        <v>2698</v>
      </c>
      <c r="AA3453" t="s">
        <v>12496</v>
      </c>
      <c r="AB3453" t="s">
        <v>14881</v>
      </c>
      <c r="AE3453">
        <v>-41.201409570000003</v>
      </c>
      <c r="AF3453">
        <v>174.80792495</v>
      </c>
      <c r="AG3453" s="175">
        <v>40</v>
      </c>
      <c r="AH3453" s="175">
        <v>0</v>
      </c>
      <c r="AI3453" s="175">
        <v>0</v>
      </c>
      <c r="AJ3453" s="175">
        <v>0</v>
      </c>
      <c r="AK3453" s="175">
        <v>11</v>
      </c>
      <c r="AL3453" s="175">
        <v>20</v>
      </c>
      <c r="AM3453" s="175">
        <v>19</v>
      </c>
      <c r="AN3453" s="175">
        <v>2</v>
      </c>
      <c r="AO3453" s="175">
        <v>52</v>
      </c>
      <c r="AP3453" s="175">
        <v>21</v>
      </c>
      <c r="AQ3453" s="175">
        <v>5</v>
      </c>
      <c r="AR3453" s="175">
        <v>3</v>
      </c>
      <c r="AS3453" s="175">
        <v>34</v>
      </c>
      <c r="AT3453" s="175">
        <v>1</v>
      </c>
    </row>
    <row r="3454" spans="1:46">
      <c r="A3454">
        <v>50083</v>
      </c>
      <c r="B3454" t="s">
        <v>19148</v>
      </c>
      <c r="C3454" t="s">
        <v>19149</v>
      </c>
      <c r="D3454" t="s">
        <v>19150</v>
      </c>
      <c r="E3454" t="s">
        <v>19151</v>
      </c>
      <c r="G3454" t="s">
        <v>1604</v>
      </c>
      <c r="H3454" t="s">
        <v>347</v>
      </c>
      <c r="J3454" t="s">
        <v>605</v>
      </c>
      <c r="K3454" t="s">
        <v>606</v>
      </c>
      <c r="L3454" t="s">
        <v>4273</v>
      </c>
      <c r="M3454" t="s">
        <v>1382</v>
      </c>
      <c r="N3454" t="s">
        <v>643</v>
      </c>
      <c r="O3454" t="s">
        <v>1605</v>
      </c>
      <c r="P3454" t="s">
        <v>658</v>
      </c>
      <c r="Q3454" t="s">
        <v>511</v>
      </c>
      <c r="R3454" t="s">
        <v>1555</v>
      </c>
      <c r="S3454" t="s">
        <v>1604</v>
      </c>
      <c r="T3454" t="s">
        <v>1557</v>
      </c>
      <c r="U3454">
        <v>200401</v>
      </c>
      <c r="V3454" t="s">
        <v>19152</v>
      </c>
      <c r="W3454" t="s">
        <v>1606</v>
      </c>
      <c r="X3454" t="s">
        <v>19153</v>
      </c>
      <c r="Y3454" t="s">
        <v>4276</v>
      </c>
      <c r="Z3454" t="s">
        <v>4277</v>
      </c>
      <c r="AA3454" t="s">
        <v>4278</v>
      </c>
      <c r="AB3454" t="s">
        <v>7696</v>
      </c>
      <c r="AE3454">
        <v>-38.095820349999997</v>
      </c>
      <c r="AF3454">
        <v>176.32306277999999</v>
      </c>
      <c r="AG3454" s="175">
        <v>25</v>
      </c>
      <c r="AH3454" s="175">
        <v>8</v>
      </c>
      <c r="AI3454" s="175">
        <v>1</v>
      </c>
      <c r="AJ3454" s="175">
        <v>3</v>
      </c>
      <c r="AK3454" s="175">
        <v>6</v>
      </c>
      <c r="AL3454" s="175">
        <v>4</v>
      </c>
      <c r="AM3454" s="175">
        <v>10</v>
      </c>
      <c r="AN3454" s="175">
        <v>0</v>
      </c>
      <c r="AO3454" s="175">
        <v>24</v>
      </c>
      <c r="AP3454" s="175">
        <v>0</v>
      </c>
      <c r="AQ3454" s="175">
        <v>24</v>
      </c>
      <c r="AR3454" s="175">
        <v>0</v>
      </c>
      <c r="AS3454" s="175">
        <v>0</v>
      </c>
      <c r="AT3454" s="175">
        <v>0</v>
      </c>
    </row>
    <row r="3455" spans="1:46">
      <c r="A3455">
        <v>50084</v>
      </c>
      <c r="B3455" t="s">
        <v>19154</v>
      </c>
      <c r="C3455" t="s">
        <v>19155</v>
      </c>
      <c r="D3455" t="s">
        <v>19156</v>
      </c>
      <c r="E3455" t="s">
        <v>19157</v>
      </c>
      <c r="F3455" t="s">
        <v>2622</v>
      </c>
      <c r="G3455" t="s">
        <v>2368</v>
      </c>
      <c r="H3455" t="s">
        <v>449</v>
      </c>
      <c r="J3455" t="s">
        <v>605</v>
      </c>
      <c r="K3455" t="s">
        <v>606</v>
      </c>
      <c r="M3455" t="s">
        <v>2366</v>
      </c>
      <c r="N3455" t="s">
        <v>657</v>
      </c>
      <c r="O3455" t="s">
        <v>2614</v>
      </c>
      <c r="P3455" t="s">
        <v>739</v>
      </c>
      <c r="Q3455" t="s">
        <v>516</v>
      </c>
      <c r="R3455" t="s">
        <v>2368</v>
      </c>
      <c r="S3455" t="s">
        <v>2623</v>
      </c>
      <c r="T3455" t="s">
        <v>1568</v>
      </c>
      <c r="U3455">
        <v>247800</v>
      </c>
      <c r="V3455" t="s">
        <v>12084</v>
      </c>
      <c r="W3455" t="s">
        <v>2625</v>
      </c>
      <c r="X3455" t="s">
        <v>10497</v>
      </c>
      <c r="Y3455" t="s">
        <v>4014</v>
      </c>
      <c r="Z3455" t="s">
        <v>4015</v>
      </c>
      <c r="AA3455" t="s">
        <v>4016</v>
      </c>
      <c r="AE3455">
        <v>-41.179000250000001</v>
      </c>
      <c r="AF3455">
        <v>174.82182161</v>
      </c>
      <c r="AG3455" s="175">
        <v>70</v>
      </c>
      <c r="AH3455" s="175">
        <v>20</v>
      </c>
      <c r="AI3455" s="175">
        <v>4</v>
      </c>
      <c r="AJ3455" s="175">
        <v>16</v>
      </c>
      <c r="AK3455" s="175">
        <v>20</v>
      </c>
      <c r="AL3455" s="175">
        <v>15</v>
      </c>
      <c r="AM3455" s="175">
        <v>19</v>
      </c>
      <c r="AN3455" s="175">
        <v>0</v>
      </c>
      <c r="AO3455" s="175">
        <v>74</v>
      </c>
      <c r="AP3455" s="175">
        <v>42</v>
      </c>
      <c r="AQ3455" s="175">
        <v>13</v>
      </c>
      <c r="AR3455" s="175">
        <v>16</v>
      </c>
      <c r="AS3455" s="175">
        <v>29</v>
      </c>
      <c r="AT3455" s="175">
        <v>4</v>
      </c>
    </row>
    <row r="3456" spans="1:46">
      <c r="A3456">
        <v>50086</v>
      </c>
      <c r="B3456" t="s">
        <v>19158</v>
      </c>
      <c r="C3456" t="s">
        <v>19159</v>
      </c>
      <c r="D3456" t="s">
        <v>19160</v>
      </c>
      <c r="E3456" t="s">
        <v>19161</v>
      </c>
      <c r="F3456" t="s">
        <v>2675</v>
      </c>
      <c r="G3456" t="s">
        <v>2368</v>
      </c>
      <c r="H3456" t="s">
        <v>449</v>
      </c>
      <c r="J3456" t="s">
        <v>4032</v>
      </c>
      <c r="K3456" t="s">
        <v>606</v>
      </c>
      <c r="M3456" t="s">
        <v>2366</v>
      </c>
      <c r="N3456" t="s">
        <v>657</v>
      </c>
      <c r="O3456" t="s">
        <v>2614</v>
      </c>
      <c r="P3456" t="s">
        <v>739</v>
      </c>
      <c r="Q3456" t="s">
        <v>516</v>
      </c>
      <c r="R3456" t="s">
        <v>2368</v>
      </c>
      <c r="S3456" t="s">
        <v>2623</v>
      </c>
      <c r="T3456" t="s">
        <v>2526</v>
      </c>
      <c r="U3456">
        <v>248600</v>
      </c>
      <c r="V3456" t="s">
        <v>16950</v>
      </c>
      <c r="W3456" t="s">
        <v>2625</v>
      </c>
      <c r="X3456" t="s">
        <v>19162</v>
      </c>
      <c r="Y3456" t="s">
        <v>19161</v>
      </c>
      <c r="Z3456" t="s">
        <v>2675</v>
      </c>
      <c r="AA3456" t="s">
        <v>12467</v>
      </c>
      <c r="AB3456" t="s">
        <v>19163</v>
      </c>
      <c r="AE3456">
        <v>-41.223716410000002</v>
      </c>
      <c r="AF3456">
        <v>174.80128357999999</v>
      </c>
      <c r="AG3456" s="175">
        <v>29</v>
      </c>
      <c r="AH3456" s="175">
        <v>8</v>
      </c>
      <c r="AI3456" s="175">
        <v>1</v>
      </c>
      <c r="AJ3456" s="175">
        <v>6</v>
      </c>
      <c r="AK3456" s="175">
        <v>10</v>
      </c>
      <c r="AL3456" s="175">
        <v>6</v>
      </c>
      <c r="AM3456" s="175">
        <v>8</v>
      </c>
      <c r="AN3456" s="175">
        <v>0</v>
      </c>
      <c r="AO3456" s="175">
        <v>31</v>
      </c>
      <c r="AP3456" s="175">
        <v>28</v>
      </c>
      <c r="AQ3456" s="175">
        <v>12</v>
      </c>
      <c r="AR3456" s="175">
        <v>3</v>
      </c>
      <c r="AS3456" s="175">
        <v>8</v>
      </c>
      <c r="AT3456" s="175">
        <v>0</v>
      </c>
    </row>
    <row r="3457" spans="1:46">
      <c r="A3457">
        <v>50087</v>
      </c>
      <c r="B3457" t="s">
        <v>19164</v>
      </c>
      <c r="C3457" t="s">
        <v>19165</v>
      </c>
      <c r="D3457" t="s">
        <v>19166</v>
      </c>
      <c r="E3457" t="s">
        <v>19167</v>
      </c>
      <c r="F3457" t="s">
        <v>12114</v>
      </c>
      <c r="G3457" t="s">
        <v>2055</v>
      </c>
      <c r="H3457" t="s">
        <v>449</v>
      </c>
      <c r="J3457" t="s">
        <v>4032</v>
      </c>
      <c r="K3457" t="s">
        <v>606</v>
      </c>
      <c r="M3457" t="s">
        <v>1382</v>
      </c>
      <c r="N3457" t="s">
        <v>643</v>
      </c>
      <c r="O3457" t="s">
        <v>2037</v>
      </c>
      <c r="P3457" t="s">
        <v>670</v>
      </c>
      <c r="Q3457" t="s">
        <v>553</v>
      </c>
      <c r="R3457" t="s">
        <v>1841</v>
      </c>
      <c r="S3457" t="s">
        <v>2055</v>
      </c>
      <c r="T3457" t="s">
        <v>1568</v>
      </c>
      <c r="U3457">
        <v>231200</v>
      </c>
      <c r="V3457" t="s">
        <v>12114</v>
      </c>
      <c r="W3457" t="s">
        <v>2038</v>
      </c>
      <c r="X3457" t="s">
        <v>12879</v>
      </c>
      <c r="Y3457" t="s">
        <v>4701</v>
      </c>
      <c r="AA3457" t="s">
        <v>4702</v>
      </c>
      <c r="AB3457" t="s">
        <v>12880</v>
      </c>
      <c r="AE3457">
        <v>-40.364238120000003</v>
      </c>
      <c r="AF3457">
        <v>175.60326663999999</v>
      </c>
      <c r="AG3457" s="175">
        <v>52</v>
      </c>
      <c r="AH3457" s="175">
        <v>0</v>
      </c>
      <c r="AI3457" s="175">
        <v>0</v>
      </c>
      <c r="AJ3457" s="175">
        <v>4</v>
      </c>
      <c r="AK3457" s="175">
        <v>8</v>
      </c>
      <c r="AL3457" s="175">
        <v>15</v>
      </c>
      <c r="AM3457" s="175">
        <v>11</v>
      </c>
      <c r="AN3457" s="175">
        <v>6</v>
      </c>
      <c r="AO3457" s="175">
        <v>44</v>
      </c>
      <c r="AP3457" s="175">
        <v>29</v>
      </c>
      <c r="AQ3457" s="175">
        <v>22</v>
      </c>
      <c r="AR3457" s="175">
        <v>2</v>
      </c>
      <c r="AS3457" s="175">
        <v>4</v>
      </c>
      <c r="AT3457" s="175">
        <v>1</v>
      </c>
    </row>
    <row r="3458" spans="1:46">
      <c r="A3458">
        <v>50088</v>
      </c>
      <c r="B3458" t="s">
        <v>19168</v>
      </c>
      <c r="C3458" t="s">
        <v>19169</v>
      </c>
      <c r="D3458" t="s">
        <v>19170</v>
      </c>
      <c r="E3458" t="s">
        <v>19171</v>
      </c>
      <c r="F3458" t="s">
        <v>2130</v>
      </c>
      <c r="G3458" t="s">
        <v>2055</v>
      </c>
      <c r="H3458" t="s">
        <v>449</v>
      </c>
      <c r="J3458" t="s">
        <v>605</v>
      </c>
      <c r="K3458" t="s">
        <v>606</v>
      </c>
      <c r="M3458" t="s">
        <v>1382</v>
      </c>
      <c r="N3458" t="s">
        <v>812</v>
      </c>
      <c r="O3458" t="s">
        <v>2037</v>
      </c>
      <c r="P3458" t="s">
        <v>670</v>
      </c>
      <c r="Q3458" t="s">
        <v>553</v>
      </c>
      <c r="R3458" t="s">
        <v>1841</v>
      </c>
      <c r="S3458" t="s">
        <v>2055</v>
      </c>
      <c r="T3458" t="s">
        <v>1568</v>
      </c>
      <c r="U3458">
        <v>230200</v>
      </c>
      <c r="V3458" t="s">
        <v>10453</v>
      </c>
      <c r="W3458" t="s">
        <v>2038</v>
      </c>
      <c r="X3458" t="s">
        <v>19172</v>
      </c>
      <c r="Y3458" t="s">
        <v>19173</v>
      </c>
      <c r="Z3458" t="s">
        <v>12570</v>
      </c>
      <c r="AA3458" t="s">
        <v>19174</v>
      </c>
      <c r="AB3458" t="s">
        <v>19175</v>
      </c>
      <c r="AC3458">
        <v>99052</v>
      </c>
      <c r="AD3458" t="s">
        <v>2043</v>
      </c>
      <c r="AE3458">
        <v>-40.3330889</v>
      </c>
      <c r="AF3458">
        <v>175.62519839999999</v>
      </c>
      <c r="AG3458" s="175">
        <v>37</v>
      </c>
      <c r="AH3458" s="175">
        <v>25</v>
      </c>
      <c r="AI3458" s="175">
        <v>1</v>
      </c>
      <c r="AJ3458" s="175">
        <v>12</v>
      </c>
      <c r="AK3458" s="175">
        <v>6</v>
      </c>
      <c r="AL3458" s="175">
        <v>5</v>
      </c>
      <c r="AM3458" s="175">
        <v>5</v>
      </c>
      <c r="AN3458" s="175">
        <v>1</v>
      </c>
      <c r="AO3458" s="175">
        <v>30</v>
      </c>
      <c r="AP3458" s="175">
        <v>21</v>
      </c>
      <c r="AQ3458" s="175">
        <v>14</v>
      </c>
      <c r="AR3458" s="175">
        <v>1</v>
      </c>
      <c r="AS3458" s="175">
        <v>1</v>
      </c>
      <c r="AT3458" s="175">
        <v>2</v>
      </c>
    </row>
    <row r="3459" spans="1:46">
      <c r="A3459">
        <v>50090</v>
      </c>
      <c r="B3459" t="s">
        <v>19176</v>
      </c>
      <c r="C3459" t="s">
        <v>19090</v>
      </c>
      <c r="D3459" t="s">
        <v>19091</v>
      </c>
      <c r="E3459" t="s">
        <v>15144</v>
      </c>
      <c r="G3459" t="s">
        <v>1923</v>
      </c>
      <c r="H3459" t="s">
        <v>450</v>
      </c>
      <c r="J3459" t="s">
        <v>4032</v>
      </c>
      <c r="K3459" t="s">
        <v>606</v>
      </c>
      <c r="M3459" t="s">
        <v>1382</v>
      </c>
      <c r="N3459" t="s">
        <v>643</v>
      </c>
      <c r="O3459" t="s">
        <v>1968</v>
      </c>
      <c r="P3459" t="s">
        <v>670</v>
      </c>
      <c r="Q3459" t="s">
        <v>553</v>
      </c>
      <c r="R3459" t="s">
        <v>1841</v>
      </c>
      <c r="S3459" t="s">
        <v>1923</v>
      </c>
      <c r="T3459" t="s">
        <v>1568</v>
      </c>
      <c r="U3459">
        <v>225700</v>
      </c>
      <c r="V3459" t="s">
        <v>10327</v>
      </c>
      <c r="W3459" t="s">
        <v>1734</v>
      </c>
      <c r="X3459" t="s">
        <v>19092</v>
      </c>
      <c r="Y3459" t="s">
        <v>15146</v>
      </c>
      <c r="AA3459" t="s">
        <v>15147</v>
      </c>
      <c r="AB3459" t="s">
        <v>19093</v>
      </c>
      <c r="AC3459">
        <v>99218</v>
      </c>
      <c r="AD3459" t="s">
        <v>1974</v>
      </c>
      <c r="AE3459">
        <v>-39.930631300000002</v>
      </c>
      <c r="AF3459">
        <v>175.04822322999999</v>
      </c>
      <c r="AG3459" s="175">
        <v>80</v>
      </c>
      <c r="AH3459" s="175">
        <v>80</v>
      </c>
      <c r="AI3459" s="175">
        <v>1</v>
      </c>
      <c r="AJ3459" s="175">
        <v>1</v>
      </c>
      <c r="AK3459" s="175">
        <v>3</v>
      </c>
      <c r="AL3459" s="175">
        <v>10</v>
      </c>
      <c r="AM3459" s="175">
        <v>3</v>
      </c>
      <c r="AN3459" s="175">
        <v>0</v>
      </c>
      <c r="AO3459" s="175">
        <v>18</v>
      </c>
      <c r="AP3459" s="175">
        <v>14</v>
      </c>
      <c r="AQ3459" s="175">
        <v>6</v>
      </c>
      <c r="AR3459" s="175">
        <v>1</v>
      </c>
      <c r="AS3459" s="175">
        <v>3</v>
      </c>
      <c r="AT3459" s="175">
        <v>0</v>
      </c>
    </row>
    <row r="3460" spans="1:46">
      <c r="A3460">
        <v>50092</v>
      </c>
      <c r="B3460" t="s">
        <v>19177</v>
      </c>
      <c r="C3460" t="s">
        <v>13198</v>
      </c>
      <c r="E3460" t="s">
        <v>19178</v>
      </c>
      <c r="F3460" t="s">
        <v>13695</v>
      </c>
      <c r="G3460" t="s">
        <v>1839</v>
      </c>
      <c r="H3460" t="s">
        <v>449</v>
      </c>
      <c r="J3460" t="s">
        <v>4032</v>
      </c>
      <c r="K3460" t="s">
        <v>606</v>
      </c>
      <c r="M3460" t="s">
        <v>1382</v>
      </c>
      <c r="N3460" t="s">
        <v>657</v>
      </c>
      <c r="O3460" t="s">
        <v>1840</v>
      </c>
      <c r="P3460" t="s">
        <v>670</v>
      </c>
      <c r="Q3460" t="s">
        <v>514</v>
      </c>
      <c r="R3460" t="s">
        <v>1841</v>
      </c>
      <c r="S3460" t="s">
        <v>1839</v>
      </c>
      <c r="T3460" t="s">
        <v>1568</v>
      </c>
      <c r="U3460">
        <v>217000</v>
      </c>
      <c r="V3460" t="s">
        <v>13695</v>
      </c>
      <c r="W3460" t="s">
        <v>1843</v>
      </c>
      <c r="X3460" t="s">
        <v>19179</v>
      </c>
      <c r="Y3460" t="s">
        <v>4725</v>
      </c>
      <c r="Z3460" t="s">
        <v>1043</v>
      </c>
      <c r="AA3460" t="s">
        <v>4726</v>
      </c>
      <c r="AB3460" t="s">
        <v>19180</v>
      </c>
      <c r="AE3460">
        <v>-39.060074</v>
      </c>
      <c r="AF3460">
        <v>174.06393388999999</v>
      </c>
      <c r="AG3460" s="175">
        <v>100</v>
      </c>
      <c r="AH3460" s="175">
        <v>23</v>
      </c>
      <c r="AI3460" s="175">
        <v>7</v>
      </c>
      <c r="AJ3460" s="175">
        <v>25</v>
      </c>
      <c r="AK3460" s="175">
        <v>17</v>
      </c>
      <c r="AL3460" s="175">
        <v>18</v>
      </c>
      <c r="AM3460" s="175">
        <v>15</v>
      </c>
      <c r="AN3460" s="175">
        <v>0</v>
      </c>
      <c r="AO3460" s="175">
        <v>82</v>
      </c>
      <c r="AP3460" s="175">
        <v>63</v>
      </c>
      <c r="AQ3460" s="175">
        <v>17</v>
      </c>
      <c r="AR3460" s="175">
        <v>0</v>
      </c>
      <c r="AS3460" s="175">
        <v>12</v>
      </c>
      <c r="AT3460" s="175">
        <v>3</v>
      </c>
    </row>
    <row r="3461" spans="1:46">
      <c r="A3461">
        <v>50093</v>
      </c>
      <c r="B3461" t="s">
        <v>19181</v>
      </c>
      <c r="C3461" t="s">
        <v>19182</v>
      </c>
      <c r="D3461" t="s">
        <v>11373</v>
      </c>
      <c r="E3461" t="s">
        <v>19183</v>
      </c>
      <c r="G3461" t="s">
        <v>1938</v>
      </c>
      <c r="H3461" t="s">
        <v>449</v>
      </c>
      <c r="J3461" t="s">
        <v>605</v>
      </c>
      <c r="K3461" t="s">
        <v>606</v>
      </c>
      <c r="M3461" t="s">
        <v>1382</v>
      </c>
      <c r="N3461" t="s">
        <v>657</v>
      </c>
      <c r="O3461" t="s">
        <v>1932</v>
      </c>
      <c r="P3461" t="s">
        <v>610</v>
      </c>
      <c r="Q3461" t="s">
        <v>514</v>
      </c>
      <c r="R3461" t="s">
        <v>1841</v>
      </c>
      <c r="S3461" t="s">
        <v>1923</v>
      </c>
      <c r="T3461" t="s">
        <v>1568</v>
      </c>
      <c r="U3461">
        <v>221800</v>
      </c>
      <c r="V3461" t="s">
        <v>1939</v>
      </c>
      <c r="W3461" t="s">
        <v>1940</v>
      </c>
      <c r="X3461" t="s">
        <v>10425</v>
      </c>
      <c r="Y3461" t="s">
        <v>4014</v>
      </c>
      <c r="Z3461" t="s">
        <v>4015</v>
      </c>
      <c r="AA3461" t="s">
        <v>4016</v>
      </c>
      <c r="AE3461">
        <v>-39.591775869999999</v>
      </c>
      <c r="AF3461">
        <v>174.27060968000001</v>
      </c>
      <c r="AG3461" s="175">
        <v>51</v>
      </c>
      <c r="AH3461" s="175">
        <v>0</v>
      </c>
      <c r="AI3461" s="175">
        <v>0</v>
      </c>
      <c r="AJ3461" s="175">
        <v>0</v>
      </c>
      <c r="AK3461" s="175">
        <v>9</v>
      </c>
      <c r="AL3461" s="175">
        <v>21</v>
      </c>
      <c r="AM3461" s="175">
        <v>9</v>
      </c>
      <c r="AN3461" s="175">
        <v>2</v>
      </c>
      <c r="AO3461" s="175">
        <v>41</v>
      </c>
      <c r="AP3461" s="175">
        <v>28</v>
      </c>
      <c r="AQ3461" s="175">
        <v>17</v>
      </c>
      <c r="AR3461" s="175">
        <v>4</v>
      </c>
      <c r="AS3461" s="175">
        <v>3</v>
      </c>
      <c r="AT3461" s="175">
        <v>3</v>
      </c>
    </row>
    <row r="3462" spans="1:46">
      <c r="A3462">
        <v>50095</v>
      </c>
      <c r="B3462" t="s">
        <v>19184</v>
      </c>
      <c r="C3462" t="s">
        <v>19090</v>
      </c>
      <c r="D3462" t="s">
        <v>19185</v>
      </c>
      <c r="E3462" t="s">
        <v>15144</v>
      </c>
      <c r="G3462" t="s">
        <v>1923</v>
      </c>
      <c r="H3462" t="s">
        <v>450</v>
      </c>
      <c r="J3462" t="s">
        <v>4032</v>
      </c>
      <c r="K3462" t="s">
        <v>606</v>
      </c>
      <c r="M3462" t="s">
        <v>1382</v>
      </c>
      <c r="N3462" t="s">
        <v>643</v>
      </c>
      <c r="O3462" t="s">
        <v>1968</v>
      </c>
      <c r="P3462" t="s">
        <v>670</v>
      </c>
      <c r="Q3462" t="s">
        <v>553</v>
      </c>
      <c r="R3462" t="s">
        <v>1555</v>
      </c>
      <c r="S3462" t="s">
        <v>1923</v>
      </c>
      <c r="T3462" t="s">
        <v>1568</v>
      </c>
      <c r="U3462">
        <v>225700</v>
      </c>
      <c r="V3462" t="s">
        <v>10327</v>
      </c>
      <c r="W3462" t="s">
        <v>1734</v>
      </c>
      <c r="X3462" t="s">
        <v>19186</v>
      </c>
      <c r="Y3462" t="s">
        <v>15146</v>
      </c>
      <c r="AA3462" t="s">
        <v>15147</v>
      </c>
      <c r="AE3462">
        <v>-39.930631300000002</v>
      </c>
      <c r="AF3462">
        <v>175.04822322999999</v>
      </c>
      <c r="AG3462" s="175">
        <v>80</v>
      </c>
      <c r="AH3462" s="175">
        <v>80</v>
      </c>
      <c r="AI3462" s="175">
        <v>0</v>
      </c>
      <c r="AJ3462" s="175">
        <v>2</v>
      </c>
      <c r="AK3462" s="175">
        <v>1</v>
      </c>
      <c r="AL3462" s="175">
        <v>1</v>
      </c>
      <c r="AM3462" s="175">
        <v>0</v>
      </c>
      <c r="AN3462" s="175">
        <v>0</v>
      </c>
      <c r="AO3462" s="175">
        <v>4</v>
      </c>
      <c r="AP3462" s="175">
        <v>4</v>
      </c>
      <c r="AQ3462" s="175">
        <v>3</v>
      </c>
      <c r="AR3462" s="175">
        <v>0</v>
      </c>
      <c r="AS3462" s="175">
        <v>0</v>
      </c>
      <c r="AT3462" s="175">
        <v>0</v>
      </c>
    </row>
    <row r="3463" spans="1:46">
      <c r="A3463">
        <v>50099</v>
      </c>
      <c r="B3463" t="s">
        <v>19187</v>
      </c>
      <c r="C3463" t="s">
        <v>19188</v>
      </c>
      <c r="D3463" t="s">
        <v>19189</v>
      </c>
      <c r="E3463" t="s">
        <v>19190</v>
      </c>
      <c r="F3463" t="s">
        <v>12570</v>
      </c>
      <c r="G3463" t="s">
        <v>2055</v>
      </c>
      <c r="H3463" t="s">
        <v>449</v>
      </c>
      <c r="J3463" t="s">
        <v>605</v>
      </c>
      <c r="K3463" t="s">
        <v>606</v>
      </c>
      <c r="L3463" t="s">
        <v>4273</v>
      </c>
      <c r="M3463" t="s">
        <v>2366</v>
      </c>
      <c r="N3463" t="s">
        <v>657</v>
      </c>
      <c r="O3463" t="s">
        <v>2037</v>
      </c>
      <c r="P3463" t="s">
        <v>670</v>
      </c>
      <c r="Q3463" t="s">
        <v>553</v>
      </c>
      <c r="R3463" t="s">
        <v>2368</v>
      </c>
      <c r="S3463" t="s">
        <v>2055</v>
      </c>
      <c r="T3463" t="s">
        <v>1568</v>
      </c>
      <c r="U3463">
        <v>230500</v>
      </c>
      <c r="V3463" t="s">
        <v>10469</v>
      </c>
      <c r="W3463" t="s">
        <v>2038</v>
      </c>
      <c r="X3463" t="s">
        <v>10392</v>
      </c>
      <c r="Y3463" t="s">
        <v>4276</v>
      </c>
      <c r="Z3463" t="s">
        <v>4277</v>
      </c>
      <c r="AA3463" t="s">
        <v>4278</v>
      </c>
      <c r="AB3463" t="s">
        <v>10393</v>
      </c>
      <c r="AE3463">
        <v>-40.349271080000001</v>
      </c>
      <c r="AF3463">
        <v>175.61635136999999</v>
      </c>
      <c r="AG3463" s="175">
        <v>50</v>
      </c>
      <c r="AH3463" s="175">
        <v>15</v>
      </c>
      <c r="AI3463" s="175">
        <v>1</v>
      </c>
      <c r="AJ3463" s="175">
        <v>9</v>
      </c>
      <c r="AK3463" s="175">
        <v>4</v>
      </c>
      <c r="AL3463" s="175">
        <v>9</v>
      </c>
      <c r="AM3463" s="175">
        <v>1</v>
      </c>
      <c r="AN3463" s="175">
        <v>0</v>
      </c>
      <c r="AO3463" s="175">
        <v>24</v>
      </c>
      <c r="AP3463" s="175">
        <v>0</v>
      </c>
      <c r="AQ3463" s="175">
        <v>24</v>
      </c>
      <c r="AR3463" s="175">
        <v>0</v>
      </c>
      <c r="AS3463" s="175">
        <v>0</v>
      </c>
      <c r="AT3463" s="175">
        <v>0</v>
      </c>
    </row>
    <row r="3464" spans="1:46">
      <c r="A3464">
        <v>50101</v>
      </c>
      <c r="B3464" t="s">
        <v>19191</v>
      </c>
      <c r="C3464" t="s">
        <v>19192</v>
      </c>
      <c r="D3464" t="s">
        <v>19193</v>
      </c>
      <c r="E3464" t="s">
        <v>19194</v>
      </c>
      <c r="G3464" t="s">
        <v>1923</v>
      </c>
      <c r="H3464" t="s">
        <v>449</v>
      </c>
      <c r="J3464" t="s">
        <v>605</v>
      </c>
      <c r="K3464" t="s">
        <v>606</v>
      </c>
      <c r="M3464" t="s">
        <v>1382</v>
      </c>
      <c r="N3464" t="s">
        <v>643</v>
      </c>
      <c r="O3464" t="s">
        <v>1968</v>
      </c>
      <c r="P3464" t="s">
        <v>670</v>
      </c>
      <c r="Q3464" t="s">
        <v>553</v>
      </c>
      <c r="R3464" t="s">
        <v>1841</v>
      </c>
      <c r="S3464" t="s">
        <v>1923</v>
      </c>
      <c r="T3464" t="s">
        <v>1568</v>
      </c>
      <c r="U3464">
        <v>225700</v>
      </c>
      <c r="V3464" t="s">
        <v>10327</v>
      </c>
      <c r="W3464" t="s">
        <v>1734</v>
      </c>
      <c r="X3464" t="s">
        <v>19195</v>
      </c>
      <c r="Y3464" t="s">
        <v>19196</v>
      </c>
      <c r="AA3464" t="s">
        <v>14572</v>
      </c>
      <c r="AB3464" t="s">
        <v>19197</v>
      </c>
      <c r="AC3464">
        <v>99218</v>
      </c>
      <c r="AD3464" t="s">
        <v>1974</v>
      </c>
      <c r="AE3464">
        <v>-39.92638135</v>
      </c>
      <c r="AF3464">
        <v>175.04296835</v>
      </c>
      <c r="AG3464" s="175">
        <v>22</v>
      </c>
      <c r="AH3464" s="175">
        <v>22</v>
      </c>
      <c r="AI3464" s="175">
        <v>4</v>
      </c>
      <c r="AJ3464" s="175">
        <v>12</v>
      </c>
      <c r="AK3464" s="175">
        <v>4</v>
      </c>
      <c r="AL3464" s="175">
        <v>0</v>
      </c>
      <c r="AM3464" s="175">
        <v>0</v>
      </c>
      <c r="AN3464" s="175">
        <v>0</v>
      </c>
      <c r="AO3464" s="175">
        <v>20</v>
      </c>
      <c r="AP3464" s="175">
        <v>19</v>
      </c>
      <c r="AQ3464" s="175">
        <v>6</v>
      </c>
      <c r="AR3464" s="175">
        <v>1</v>
      </c>
      <c r="AS3464" s="175">
        <v>1</v>
      </c>
      <c r="AT3464" s="175">
        <v>1</v>
      </c>
    </row>
    <row r="3465" spans="1:46">
      <c r="A3465">
        <v>50103</v>
      </c>
      <c r="B3465" t="s">
        <v>19198</v>
      </c>
      <c r="C3465" t="s">
        <v>19199</v>
      </c>
      <c r="D3465" t="s">
        <v>19200</v>
      </c>
      <c r="E3465" t="s">
        <v>19201</v>
      </c>
      <c r="G3465" t="s">
        <v>19202</v>
      </c>
      <c r="H3465" t="s">
        <v>449</v>
      </c>
      <c r="J3465" t="s">
        <v>605</v>
      </c>
      <c r="K3465" t="s">
        <v>606</v>
      </c>
      <c r="M3465" t="s">
        <v>1382</v>
      </c>
      <c r="N3465" t="s">
        <v>657</v>
      </c>
      <c r="O3465" t="s">
        <v>1718</v>
      </c>
      <c r="P3465" t="s">
        <v>610</v>
      </c>
      <c r="Q3465" t="s">
        <v>553</v>
      </c>
      <c r="R3465" t="s">
        <v>1841</v>
      </c>
      <c r="S3465" t="s">
        <v>1719</v>
      </c>
      <c r="T3465" t="s">
        <v>1568</v>
      </c>
      <c r="U3465">
        <v>223000</v>
      </c>
      <c r="V3465" t="s">
        <v>19202</v>
      </c>
      <c r="W3465" t="s">
        <v>1721</v>
      </c>
      <c r="X3465" t="s">
        <v>19203</v>
      </c>
      <c r="Y3465" t="s">
        <v>19201</v>
      </c>
      <c r="AA3465" t="s">
        <v>19204</v>
      </c>
      <c r="AB3465" t="s">
        <v>19205</v>
      </c>
      <c r="AC3465">
        <v>99079</v>
      </c>
      <c r="AD3465" t="s">
        <v>2092</v>
      </c>
      <c r="AE3465">
        <v>-39.431230079999999</v>
      </c>
      <c r="AF3465">
        <v>175.27897307999999</v>
      </c>
      <c r="AG3465" s="175">
        <v>53</v>
      </c>
      <c r="AH3465" s="175">
        <v>10</v>
      </c>
      <c r="AI3465" s="175">
        <v>1</v>
      </c>
      <c r="AJ3465" s="175">
        <v>9</v>
      </c>
      <c r="AK3465" s="175">
        <v>16</v>
      </c>
      <c r="AL3465" s="175">
        <v>17</v>
      </c>
      <c r="AM3465" s="175">
        <v>17</v>
      </c>
      <c r="AN3465" s="175">
        <v>0</v>
      </c>
      <c r="AO3465" s="175">
        <v>60</v>
      </c>
      <c r="AP3465" s="175">
        <v>44</v>
      </c>
      <c r="AQ3465" s="175">
        <v>33</v>
      </c>
      <c r="AR3465" s="175">
        <v>0</v>
      </c>
      <c r="AS3465" s="175">
        <v>1</v>
      </c>
      <c r="AT3465" s="175">
        <v>3</v>
      </c>
    </row>
    <row r="3466" spans="1:46">
      <c r="A3466">
        <v>50105</v>
      </c>
      <c r="B3466" t="s">
        <v>19206</v>
      </c>
      <c r="C3466" t="s">
        <v>19207</v>
      </c>
      <c r="D3466" t="s">
        <v>10409</v>
      </c>
      <c r="E3466" t="s">
        <v>10413</v>
      </c>
      <c r="F3466" t="s">
        <v>2119</v>
      </c>
      <c r="G3466" t="s">
        <v>2055</v>
      </c>
      <c r="H3466" t="s">
        <v>449</v>
      </c>
      <c r="J3466" t="s">
        <v>4032</v>
      </c>
      <c r="K3466" t="s">
        <v>606</v>
      </c>
      <c r="M3466" t="s">
        <v>1382</v>
      </c>
      <c r="N3466" t="s">
        <v>657</v>
      </c>
      <c r="O3466" t="s">
        <v>2037</v>
      </c>
      <c r="P3466" t="s">
        <v>670</v>
      </c>
      <c r="Q3466" t="s">
        <v>553</v>
      </c>
      <c r="R3466" t="s">
        <v>1841</v>
      </c>
      <c r="S3466" t="s">
        <v>2055</v>
      </c>
      <c r="T3466" t="s">
        <v>1568</v>
      </c>
      <c r="U3466">
        <v>231500</v>
      </c>
      <c r="V3466" t="s">
        <v>2120</v>
      </c>
      <c r="W3466" t="s">
        <v>2038</v>
      </c>
      <c r="X3466" t="s">
        <v>10412</v>
      </c>
      <c r="Y3466" t="s">
        <v>10413</v>
      </c>
      <c r="Z3466" t="s">
        <v>2119</v>
      </c>
      <c r="AA3466" t="s">
        <v>2041</v>
      </c>
      <c r="AB3466" t="s">
        <v>10408</v>
      </c>
      <c r="AC3466">
        <v>99052</v>
      </c>
      <c r="AD3466" t="s">
        <v>2043</v>
      </c>
      <c r="AE3466">
        <v>-40.344124119999996</v>
      </c>
      <c r="AF3466">
        <v>175.64255899</v>
      </c>
      <c r="AG3466" s="175">
        <v>80</v>
      </c>
      <c r="AH3466" s="175">
        <v>20</v>
      </c>
      <c r="AI3466" s="175">
        <v>3</v>
      </c>
      <c r="AJ3466" s="175">
        <v>6</v>
      </c>
      <c r="AK3466" s="175">
        <v>17</v>
      </c>
      <c r="AL3466" s="175">
        <v>18</v>
      </c>
      <c r="AM3466" s="175">
        <v>22</v>
      </c>
      <c r="AN3466" s="175">
        <v>0</v>
      </c>
      <c r="AO3466" s="175">
        <v>66</v>
      </c>
      <c r="AP3466" s="175">
        <v>55</v>
      </c>
      <c r="AQ3466" s="175">
        <v>14</v>
      </c>
      <c r="AR3466" s="175">
        <v>4</v>
      </c>
      <c r="AS3466" s="175">
        <v>9</v>
      </c>
      <c r="AT3466" s="175">
        <v>0</v>
      </c>
    </row>
    <row r="3467" spans="1:46">
      <c r="A3467">
        <v>50107</v>
      </c>
      <c r="B3467" t="s">
        <v>19208</v>
      </c>
      <c r="C3467" t="s">
        <v>19209</v>
      </c>
      <c r="D3467" t="s">
        <v>19210</v>
      </c>
      <c r="E3467" t="s">
        <v>19211</v>
      </c>
      <c r="G3467" t="s">
        <v>1923</v>
      </c>
      <c r="H3467" t="s">
        <v>449</v>
      </c>
      <c r="J3467" t="s">
        <v>4032</v>
      </c>
      <c r="K3467" t="s">
        <v>606</v>
      </c>
      <c r="M3467" t="s">
        <v>1382</v>
      </c>
      <c r="N3467" t="s">
        <v>4586</v>
      </c>
      <c r="O3467" t="s">
        <v>1968</v>
      </c>
      <c r="P3467" t="s">
        <v>670</v>
      </c>
      <c r="Q3467" t="s">
        <v>553</v>
      </c>
      <c r="R3467" t="s">
        <v>1841</v>
      </c>
      <c r="S3467" t="s">
        <v>1923</v>
      </c>
      <c r="T3467" t="s">
        <v>1568</v>
      </c>
      <c r="U3467">
        <v>225700</v>
      </c>
      <c r="V3467" t="s">
        <v>10327</v>
      </c>
      <c r="W3467" t="s">
        <v>1734</v>
      </c>
      <c r="X3467" t="s">
        <v>13344</v>
      </c>
      <c r="Y3467" t="s">
        <v>4807</v>
      </c>
      <c r="Z3467" t="s">
        <v>2473</v>
      </c>
      <c r="AA3467" t="s">
        <v>4808</v>
      </c>
      <c r="AE3467">
        <v>-39.935327469999997</v>
      </c>
      <c r="AF3467">
        <v>175.04357411000001</v>
      </c>
      <c r="AG3467" s="175">
        <v>30</v>
      </c>
      <c r="AH3467" s="175">
        <v>0</v>
      </c>
      <c r="AI3467" s="175">
        <v>0</v>
      </c>
      <c r="AJ3467" s="175">
        <v>0</v>
      </c>
      <c r="AK3467" s="175">
        <v>8</v>
      </c>
      <c r="AL3467" s="175">
        <v>9</v>
      </c>
      <c r="AM3467" s="175">
        <v>5</v>
      </c>
      <c r="AN3467" s="175">
        <v>1</v>
      </c>
      <c r="AO3467" s="175">
        <v>23</v>
      </c>
      <c r="AP3467" s="175">
        <v>15</v>
      </c>
      <c r="AQ3467" s="175">
        <v>5</v>
      </c>
      <c r="AR3467" s="175">
        <v>0</v>
      </c>
      <c r="AS3467" s="175">
        <v>7</v>
      </c>
      <c r="AT3467" s="175">
        <v>0</v>
      </c>
    </row>
    <row r="3468" spans="1:46">
      <c r="A3468">
        <v>50113</v>
      </c>
      <c r="B3468" t="s">
        <v>19212</v>
      </c>
      <c r="C3468" t="s">
        <v>13041</v>
      </c>
      <c r="D3468" t="s">
        <v>13038</v>
      </c>
      <c r="E3468" t="s">
        <v>19213</v>
      </c>
      <c r="F3468" t="s">
        <v>2140</v>
      </c>
      <c r="G3468" t="s">
        <v>2055</v>
      </c>
      <c r="H3468" t="s">
        <v>449</v>
      </c>
      <c r="J3468" t="s">
        <v>4032</v>
      </c>
      <c r="K3468" t="s">
        <v>606</v>
      </c>
      <c r="M3468" t="s">
        <v>1382</v>
      </c>
      <c r="N3468" t="s">
        <v>625</v>
      </c>
      <c r="O3468" t="s">
        <v>2037</v>
      </c>
      <c r="P3468" t="s">
        <v>670</v>
      </c>
      <c r="Q3468" t="s">
        <v>553</v>
      </c>
      <c r="R3468" t="s">
        <v>1841</v>
      </c>
      <c r="S3468" t="s">
        <v>2055</v>
      </c>
      <c r="T3468" t="s">
        <v>1568</v>
      </c>
      <c r="U3468">
        <v>230700</v>
      </c>
      <c r="V3468" t="s">
        <v>2141</v>
      </c>
      <c r="W3468" t="s">
        <v>2038</v>
      </c>
      <c r="X3468" t="s">
        <v>13040</v>
      </c>
      <c r="Y3468" t="s">
        <v>19213</v>
      </c>
      <c r="Z3468" t="s">
        <v>2140</v>
      </c>
      <c r="AA3468" t="s">
        <v>19214</v>
      </c>
      <c r="AB3468" t="s">
        <v>13041</v>
      </c>
      <c r="AC3468">
        <v>99165</v>
      </c>
      <c r="AD3468" t="s">
        <v>2057</v>
      </c>
      <c r="AE3468">
        <v>-40.371122739999997</v>
      </c>
      <c r="AF3468">
        <v>175.59419159999999</v>
      </c>
      <c r="AG3468" s="175">
        <v>30</v>
      </c>
      <c r="AH3468" s="175">
        <v>12</v>
      </c>
      <c r="AI3468" s="175">
        <v>0</v>
      </c>
      <c r="AJ3468" s="175">
        <v>6</v>
      </c>
      <c r="AK3468" s="175">
        <v>7</v>
      </c>
      <c r="AL3468" s="175">
        <v>4</v>
      </c>
      <c r="AM3468" s="175">
        <v>6</v>
      </c>
      <c r="AN3468" s="175">
        <v>1</v>
      </c>
      <c r="AO3468" s="175">
        <v>24</v>
      </c>
      <c r="AP3468" s="175">
        <v>9</v>
      </c>
      <c r="AQ3468" s="175">
        <v>16</v>
      </c>
      <c r="AR3468" s="175">
        <v>3</v>
      </c>
      <c r="AS3468" s="175">
        <v>4</v>
      </c>
      <c r="AT3468" s="175">
        <v>0</v>
      </c>
    </row>
    <row r="3469" spans="1:46">
      <c r="A3469">
        <v>50114</v>
      </c>
      <c r="B3469" t="s">
        <v>19215</v>
      </c>
      <c r="C3469" t="s">
        <v>13969</v>
      </c>
      <c r="D3469" t="s">
        <v>13970</v>
      </c>
      <c r="E3469" t="s">
        <v>13973</v>
      </c>
      <c r="F3469" t="s">
        <v>17217</v>
      </c>
      <c r="G3469" t="s">
        <v>1839</v>
      </c>
      <c r="H3469" t="s">
        <v>449</v>
      </c>
      <c r="J3469" t="s">
        <v>4032</v>
      </c>
      <c r="K3469" t="s">
        <v>606</v>
      </c>
      <c r="M3469" t="s">
        <v>1382</v>
      </c>
      <c r="N3469" t="s">
        <v>657</v>
      </c>
      <c r="O3469" t="s">
        <v>1840</v>
      </c>
      <c r="P3469" t="s">
        <v>670</v>
      </c>
      <c r="Q3469" t="s">
        <v>514</v>
      </c>
      <c r="R3469" t="s">
        <v>1841</v>
      </c>
      <c r="S3469" t="s">
        <v>1839</v>
      </c>
      <c r="T3469" t="s">
        <v>1568</v>
      </c>
      <c r="U3469">
        <v>216300</v>
      </c>
      <c r="V3469" t="s">
        <v>1900</v>
      </c>
      <c r="W3469" t="s">
        <v>1843</v>
      </c>
      <c r="X3469" t="s">
        <v>13972</v>
      </c>
      <c r="Y3469" t="s">
        <v>13973</v>
      </c>
      <c r="AA3469" t="s">
        <v>12635</v>
      </c>
      <c r="AB3469" t="s">
        <v>13974</v>
      </c>
      <c r="AE3469">
        <v>-39.078112599999997</v>
      </c>
      <c r="AF3469">
        <v>174.03426045</v>
      </c>
      <c r="AG3469" s="175">
        <v>50</v>
      </c>
      <c r="AH3469" s="175">
        <v>0</v>
      </c>
      <c r="AI3469" s="175">
        <v>0</v>
      </c>
      <c r="AJ3469" s="175">
        <v>0</v>
      </c>
      <c r="AK3469" s="175">
        <v>10</v>
      </c>
      <c r="AL3469" s="175">
        <v>16</v>
      </c>
      <c r="AM3469" s="175">
        <v>19</v>
      </c>
      <c r="AN3469" s="175">
        <v>1</v>
      </c>
      <c r="AO3469" s="175">
        <v>46</v>
      </c>
      <c r="AP3469" s="175">
        <v>35</v>
      </c>
      <c r="AQ3469" s="175">
        <v>12</v>
      </c>
      <c r="AR3469" s="175">
        <v>1</v>
      </c>
      <c r="AS3469" s="175">
        <v>6</v>
      </c>
      <c r="AT3469" s="175">
        <v>2</v>
      </c>
    </row>
    <row r="3470" spans="1:46">
      <c r="A3470">
        <v>50116</v>
      </c>
      <c r="B3470" t="s">
        <v>19216</v>
      </c>
      <c r="C3470" t="s">
        <v>19217</v>
      </c>
      <c r="E3470" t="s">
        <v>19218</v>
      </c>
      <c r="F3470" t="s">
        <v>1885</v>
      </c>
      <c r="G3470" t="s">
        <v>1839</v>
      </c>
      <c r="H3470" t="s">
        <v>449</v>
      </c>
      <c r="J3470" t="s">
        <v>4032</v>
      </c>
      <c r="K3470" t="s">
        <v>606</v>
      </c>
      <c r="M3470" t="s">
        <v>1382</v>
      </c>
      <c r="N3470" t="s">
        <v>657</v>
      </c>
      <c r="O3470" t="s">
        <v>1840</v>
      </c>
      <c r="P3470" t="s">
        <v>670</v>
      </c>
      <c r="Q3470" t="s">
        <v>514</v>
      </c>
      <c r="R3470" t="s">
        <v>1841</v>
      </c>
      <c r="S3470" t="s">
        <v>1839</v>
      </c>
      <c r="T3470" t="s">
        <v>1568</v>
      </c>
      <c r="U3470">
        <v>218100</v>
      </c>
      <c r="V3470" t="s">
        <v>1885</v>
      </c>
      <c r="W3470" t="s">
        <v>1843</v>
      </c>
      <c r="X3470" t="s">
        <v>19219</v>
      </c>
      <c r="Y3470" t="s">
        <v>19220</v>
      </c>
      <c r="Z3470" t="s">
        <v>1152</v>
      </c>
      <c r="AA3470" t="s">
        <v>19221</v>
      </c>
      <c r="AB3470" t="s">
        <v>19217</v>
      </c>
      <c r="AE3470">
        <v>-39.062878509999997</v>
      </c>
      <c r="AF3470">
        <v>174.10152488</v>
      </c>
      <c r="AG3470" s="175">
        <v>44</v>
      </c>
      <c r="AH3470" s="175">
        <v>14</v>
      </c>
      <c r="AI3470" s="175">
        <v>2</v>
      </c>
      <c r="AJ3470" s="175">
        <v>15</v>
      </c>
      <c r="AK3470" s="175">
        <v>10</v>
      </c>
      <c r="AL3470" s="175">
        <v>10</v>
      </c>
      <c r="AM3470" s="175">
        <v>8</v>
      </c>
      <c r="AN3470" s="175">
        <v>0</v>
      </c>
      <c r="AO3470" s="175">
        <v>45</v>
      </c>
      <c r="AP3470" s="175">
        <v>37</v>
      </c>
      <c r="AQ3470" s="175">
        <v>13</v>
      </c>
      <c r="AR3470" s="175">
        <v>0</v>
      </c>
      <c r="AS3470" s="175">
        <v>3</v>
      </c>
      <c r="AT3470" s="175">
        <v>4</v>
      </c>
    </row>
    <row r="3471" spans="1:46">
      <c r="A3471">
        <v>50119</v>
      </c>
      <c r="B3471" t="s">
        <v>19222</v>
      </c>
      <c r="C3471" t="s">
        <v>19223</v>
      </c>
      <c r="D3471" t="s">
        <v>19224</v>
      </c>
      <c r="E3471" t="s">
        <v>19225</v>
      </c>
      <c r="G3471" t="s">
        <v>1923</v>
      </c>
      <c r="H3471" t="s">
        <v>347</v>
      </c>
      <c r="J3471" t="s">
        <v>605</v>
      </c>
      <c r="K3471" t="s">
        <v>606</v>
      </c>
      <c r="L3471" t="s">
        <v>4273</v>
      </c>
      <c r="M3471" t="s">
        <v>1382</v>
      </c>
      <c r="N3471" t="s">
        <v>608</v>
      </c>
      <c r="O3471" t="s">
        <v>1968</v>
      </c>
      <c r="P3471" t="s">
        <v>670</v>
      </c>
      <c r="Q3471" t="s">
        <v>553</v>
      </c>
      <c r="R3471" t="s">
        <v>1841</v>
      </c>
      <c r="S3471" t="s">
        <v>1923</v>
      </c>
      <c r="T3471" t="s">
        <v>1568</v>
      </c>
      <c r="U3471">
        <v>225400</v>
      </c>
      <c r="V3471" t="s">
        <v>16132</v>
      </c>
      <c r="W3471" t="s">
        <v>1734</v>
      </c>
      <c r="X3471" t="s">
        <v>9133</v>
      </c>
      <c r="Y3471" t="s">
        <v>4276</v>
      </c>
      <c r="Z3471" t="s">
        <v>4277</v>
      </c>
      <c r="AA3471" t="s">
        <v>4278</v>
      </c>
      <c r="AB3471" t="s">
        <v>9134</v>
      </c>
      <c r="AE3471">
        <v>-39.928789219999999</v>
      </c>
      <c r="AF3471">
        <v>175.05288714</v>
      </c>
      <c r="AG3471" s="175">
        <v>33</v>
      </c>
      <c r="AH3471" s="175">
        <v>33</v>
      </c>
      <c r="AI3471" s="175">
        <v>6</v>
      </c>
      <c r="AJ3471" s="175">
        <v>15</v>
      </c>
      <c r="AK3471" s="175">
        <v>14</v>
      </c>
      <c r="AL3471" s="175">
        <v>0</v>
      </c>
      <c r="AM3471" s="175">
        <v>0</v>
      </c>
      <c r="AN3471" s="175">
        <v>0</v>
      </c>
      <c r="AO3471" s="175">
        <v>35</v>
      </c>
      <c r="AP3471" s="175">
        <v>0</v>
      </c>
      <c r="AQ3471" s="175">
        <v>31</v>
      </c>
      <c r="AR3471" s="175">
        <v>1</v>
      </c>
      <c r="AS3471" s="175">
        <v>0</v>
      </c>
      <c r="AT3471" s="175">
        <v>3</v>
      </c>
    </row>
    <row r="3472" spans="1:46">
      <c r="A3472">
        <v>50120</v>
      </c>
      <c r="B3472" t="s">
        <v>19226</v>
      </c>
      <c r="C3472" t="s">
        <v>19227</v>
      </c>
      <c r="E3472" t="s">
        <v>19228</v>
      </c>
      <c r="G3472" t="s">
        <v>1873</v>
      </c>
      <c r="H3472" t="s">
        <v>449</v>
      </c>
      <c r="J3472" t="s">
        <v>605</v>
      </c>
      <c r="K3472" t="s">
        <v>606</v>
      </c>
      <c r="M3472" t="s">
        <v>1382</v>
      </c>
      <c r="N3472" t="s">
        <v>657</v>
      </c>
      <c r="O3472" t="s">
        <v>1840</v>
      </c>
      <c r="P3472" t="s">
        <v>610</v>
      </c>
      <c r="Q3472" t="s">
        <v>514</v>
      </c>
      <c r="R3472" t="s">
        <v>1841</v>
      </c>
      <c r="S3472" t="s">
        <v>1501</v>
      </c>
      <c r="T3472" t="s">
        <v>1568</v>
      </c>
      <c r="U3472">
        <v>219601</v>
      </c>
      <c r="V3472" t="s">
        <v>1873</v>
      </c>
      <c r="W3472" t="s">
        <v>1874</v>
      </c>
      <c r="X3472" t="s">
        <v>10425</v>
      </c>
      <c r="Y3472" t="s">
        <v>4014</v>
      </c>
      <c r="Z3472" t="s">
        <v>4015</v>
      </c>
      <c r="AA3472" t="s">
        <v>4016</v>
      </c>
      <c r="AC3472">
        <v>99059</v>
      </c>
      <c r="AD3472" t="s">
        <v>1875</v>
      </c>
      <c r="AE3472">
        <v>-39.157393820000003</v>
      </c>
      <c r="AF3472">
        <v>174.20569380000001</v>
      </c>
      <c r="AG3472" s="175">
        <v>59</v>
      </c>
      <c r="AH3472" s="175">
        <v>15</v>
      </c>
      <c r="AI3472" s="175">
        <v>5</v>
      </c>
      <c r="AJ3472" s="175">
        <v>5</v>
      </c>
      <c r="AK3472" s="175">
        <v>26</v>
      </c>
      <c r="AL3472" s="175">
        <v>17</v>
      </c>
      <c r="AM3472" s="175">
        <v>21</v>
      </c>
      <c r="AN3472" s="175">
        <v>0</v>
      </c>
      <c r="AO3472" s="175">
        <v>74</v>
      </c>
      <c r="AP3472" s="175">
        <v>65</v>
      </c>
      <c r="AQ3472" s="175">
        <v>24</v>
      </c>
      <c r="AR3472" s="175">
        <v>3</v>
      </c>
      <c r="AS3472" s="175">
        <v>4</v>
      </c>
      <c r="AT3472" s="175">
        <v>4</v>
      </c>
    </row>
    <row r="3473" spans="1:46">
      <c r="A3473">
        <v>50121</v>
      </c>
      <c r="B3473" t="s">
        <v>19229</v>
      </c>
      <c r="C3473" t="s">
        <v>19230</v>
      </c>
      <c r="D3473" t="s">
        <v>19231</v>
      </c>
      <c r="E3473" t="s">
        <v>19232</v>
      </c>
      <c r="F3473" t="s">
        <v>17317</v>
      </c>
      <c r="G3473" t="s">
        <v>2055</v>
      </c>
      <c r="H3473" t="s">
        <v>449</v>
      </c>
      <c r="J3473" t="s">
        <v>4032</v>
      </c>
      <c r="K3473" t="s">
        <v>606</v>
      </c>
      <c r="M3473" t="s">
        <v>1382</v>
      </c>
      <c r="N3473" t="s">
        <v>657</v>
      </c>
      <c r="O3473" t="s">
        <v>2037</v>
      </c>
      <c r="P3473" t="s">
        <v>670</v>
      </c>
      <c r="Q3473" t="s">
        <v>553</v>
      </c>
      <c r="R3473" t="s">
        <v>1841</v>
      </c>
      <c r="S3473" t="s">
        <v>1719</v>
      </c>
      <c r="T3473" t="s">
        <v>1568</v>
      </c>
      <c r="U3473">
        <v>232701</v>
      </c>
      <c r="V3473" t="s">
        <v>17318</v>
      </c>
      <c r="W3473" t="s">
        <v>2038</v>
      </c>
      <c r="X3473" t="s">
        <v>19233</v>
      </c>
      <c r="Y3473" t="s">
        <v>4725</v>
      </c>
      <c r="Z3473" t="s">
        <v>1043</v>
      </c>
      <c r="AA3473" t="s">
        <v>4726</v>
      </c>
      <c r="AB3473" t="s">
        <v>19230</v>
      </c>
      <c r="AE3473">
        <v>-40.386711030000001</v>
      </c>
      <c r="AF3473">
        <v>175.6396072</v>
      </c>
      <c r="AG3473" s="175">
        <v>50</v>
      </c>
      <c r="AH3473" s="175">
        <v>25</v>
      </c>
      <c r="AI3473" s="175">
        <v>0</v>
      </c>
      <c r="AJ3473" s="175">
        <v>8</v>
      </c>
      <c r="AK3473" s="175">
        <v>13</v>
      </c>
      <c r="AL3473" s="175">
        <v>16</v>
      </c>
      <c r="AM3473" s="175">
        <v>9</v>
      </c>
      <c r="AN3473" s="175">
        <v>0</v>
      </c>
      <c r="AO3473" s="175">
        <v>46</v>
      </c>
      <c r="AP3473" s="175">
        <v>33</v>
      </c>
      <c r="AQ3473" s="175">
        <v>23</v>
      </c>
      <c r="AR3473" s="175">
        <v>4</v>
      </c>
      <c r="AS3473" s="175">
        <v>8</v>
      </c>
      <c r="AT3473" s="175">
        <v>0</v>
      </c>
    </row>
    <row r="3474" spans="1:46">
      <c r="A3474">
        <v>50123</v>
      </c>
      <c r="B3474" t="s">
        <v>19234</v>
      </c>
      <c r="C3474" t="s">
        <v>19235</v>
      </c>
      <c r="E3474" t="s">
        <v>19236</v>
      </c>
      <c r="G3474" t="s">
        <v>2055</v>
      </c>
      <c r="H3474" t="s">
        <v>449</v>
      </c>
      <c r="J3474" t="s">
        <v>4032</v>
      </c>
      <c r="K3474" t="s">
        <v>606</v>
      </c>
      <c r="M3474" t="s">
        <v>1382</v>
      </c>
      <c r="N3474" t="s">
        <v>657</v>
      </c>
      <c r="O3474" t="s">
        <v>2037</v>
      </c>
      <c r="P3474" t="s">
        <v>670</v>
      </c>
      <c r="Q3474" t="s">
        <v>553</v>
      </c>
      <c r="R3474" t="s">
        <v>1841</v>
      </c>
      <c r="S3474" t="s">
        <v>2055</v>
      </c>
      <c r="T3474" t="s">
        <v>1568</v>
      </c>
      <c r="U3474">
        <v>230600</v>
      </c>
      <c r="V3474" t="s">
        <v>2056</v>
      </c>
      <c r="W3474" t="s">
        <v>2038</v>
      </c>
      <c r="X3474" t="s">
        <v>19237</v>
      </c>
      <c r="Y3474" t="s">
        <v>19236</v>
      </c>
      <c r="AA3474" t="s">
        <v>2041</v>
      </c>
      <c r="AB3474" t="s">
        <v>19238</v>
      </c>
      <c r="AE3474">
        <v>-40.350472850000003</v>
      </c>
      <c r="AF3474">
        <v>175.6101601</v>
      </c>
      <c r="AG3474" s="175">
        <v>65</v>
      </c>
      <c r="AH3474" s="175">
        <v>15</v>
      </c>
      <c r="AI3474" s="175">
        <v>1</v>
      </c>
      <c r="AJ3474" s="175">
        <v>14</v>
      </c>
      <c r="AK3474" s="175">
        <v>11</v>
      </c>
      <c r="AL3474" s="175">
        <v>21</v>
      </c>
      <c r="AM3474" s="175">
        <v>15</v>
      </c>
      <c r="AN3474" s="175">
        <v>2</v>
      </c>
      <c r="AO3474" s="175">
        <v>64</v>
      </c>
      <c r="AP3474" s="175">
        <v>36</v>
      </c>
      <c r="AQ3474" s="175">
        <v>39</v>
      </c>
      <c r="AR3474" s="175">
        <v>7</v>
      </c>
      <c r="AS3474" s="175">
        <v>2</v>
      </c>
      <c r="AT3474" s="175">
        <v>3</v>
      </c>
    </row>
    <row r="3475" spans="1:46">
      <c r="A3475">
        <v>50124</v>
      </c>
      <c r="B3475" t="s">
        <v>19239</v>
      </c>
      <c r="C3475" t="s">
        <v>19240</v>
      </c>
      <c r="D3475" t="s">
        <v>19241</v>
      </c>
      <c r="E3475" t="s">
        <v>19242</v>
      </c>
      <c r="G3475" t="s">
        <v>2803</v>
      </c>
      <c r="H3475" t="s">
        <v>449</v>
      </c>
      <c r="J3475" t="s">
        <v>4032</v>
      </c>
      <c r="K3475" t="s">
        <v>606</v>
      </c>
      <c r="M3475" t="s">
        <v>2366</v>
      </c>
      <c r="N3475" t="s">
        <v>643</v>
      </c>
      <c r="O3475" t="s">
        <v>2147</v>
      </c>
      <c r="P3475" t="s">
        <v>1347</v>
      </c>
      <c r="Q3475" t="s">
        <v>553</v>
      </c>
      <c r="R3475" t="s">
        <v>2368</v>
      </c>
      <c r="S3475" t="s">
        <v>2148</v>
      </c>
      <c r="T3475" t="s">
        <v>1568</v>
      </c>
      <c r="U3475">
        <v>235000</v>
      </c>
      <c r="V3475" t="s">
        <v>19243</v>
      </c>
      <c r="W3475" t="s">
        <v>2805</v>
      </c>
      <c r="X3475" t="s">
        <v>19244</v>
      </c>
      <c r="Y3475" t="s">
        <v>19245</v>
      </c>
      <c r="AA3475" t="s">
        <v>19246</v>
      </c>
      <c r="AB3475" t="s">
        <v>19247</v>
      </c>
      <c r="AE3475">
        <v>-40.619245990000003</v>
      </c>
      <c r="AF3475">
        <v>175.27692751000001</v>
      </c>
      <c r="AG3475" s="175">
        <v>73</v>
      </c>
      <c r="AH3475" s="175">
        <v>23</v>
      </c>
      <c r="AI3475" s="175">
        <v>3</v>
      </c>
      <c r="AJ3475" s="175">
        <v>10</v>
      </c>
      <c r="AK3475" s="175">
        <v>10</v>
      </c>
      <c r="AL3475" s="175">
        <v>29</v>
      </c>
      <c r="AM3475" s="175">
        <v>20</v>
      </c>
      <c r="AN3475" s="175">
        <v>0</v>
      </c>
      <c r="AO3475" s="175">
        <v>72</v>
      </c>
      <c r="AP3475" s="175">
        <v>49</v>
      </c>
      <c r="AQ3475" s="175">
        <v>22</v>
      </c>
      <c r="AR3475" s="175">
        <v>7</v>
      </c>
      <c r="AS3475" s="175">
        <v>18</v>
      </c>
      <c r="AT3475" s="175">
        <v>3</v>
      </c>
    </row>
    <row r="3476" spans="1:46">
      <c r="A3476">
        <v>50129</v>
      </c>
      <c r="B3476" t="s">
        <v>19248</v>
      </c>
      <c r="C3476" t="s">
        <v>19249</v>
      </c>
      <c r="D3476" t="s">
        <v>13970</v>
      </c>
      <c r="E3476" t="s">
        <v>19250</v>
      </c>
      <c r="F3476" t="s">
        <v>11370</v>
      </c>
      <c r="G3476" t="s">
        <v>1839</v>
      </c>
      <c r="H3476" t="s">
        <v>449</v>
      </c>
      <c r="J3476" t="s">
        <v>4032</v>
      </c>
      <c r="K3476" t="s">
        <v>606</v>
      </c>
      <c r="M3476" t="s">
        <v>1382</v>
      </c>
      <c r="N3476" t="s">
        <v>657</v>
      </c>
      <c r="O3476" t="s">
        <v>1840</v>
      </c>
      <c r="P3476" t="s">
        <v>670</v>
      </c>
      <c r="Q3476" t="s">
        <v>514</v>
      </c>
      <c r="R3476" t="s">
        <v>1841</v>
      </c>
      <c r="S3476" t="s">
        <v>1839</v>
      </c>
      <c r="T3476" t="s">
        <v>1568</v>
      </c>
      <c r="U3476">
        <v>217300</v>
      </c>
      <c r="V3476" t="s">
        <v>11370</v>
      </c>
      <c r="W3476" t="s">
        <v>1843</v>
      </c>
      <c r="X3476" t="s">
        <v>13972</v>
      </c>
      <c r="Y3476" t="s">
        <v>13973</v>
      </c>
      <c r="AA3476" t="s">
        <v>12635</v>
      </c>
      <c r="AB3476" t="s">
        <v>13974</v>
      </c>
      <c r="AE3476">
        <v>-39.053716309999999</v>
      </c>
      <c r="AF3476">
        <v>174.10511167999999</v>
      </c>
      <c r="AG3476" s="175">
        <v>65</v>
      </c>
      <c r="AH3476" s="175">
        <v>15</v>
      </c>
      <c r="AI3476" s="175">
        <v>1</v>
      </c>
      <c r="AJ3476" s="175">
        <v>15</v>
      </c>
      <c r="AK3476" s="175">
        <v>32</v>
      </c>
      <c r="AL3476" s="175">
        <v>21</v>
      </c>
      <c r="AM3476" s="175">
        <v>0</v>
      </c>
      <c r="AN3476" s="175">
        <v>0</v>
      </c>
      <c r="AO3476" s="175">
        <v>69</v>
      </c>
      <c r="AP3476" s="175">
        <v>61</v>
      </c>
      <c r="AQ3476" s="175">
        <v>10</v>
      </c>
      <c r="AR3476" s="175">
        <v>1</v>
      </c>
      <c r="AS3476" s="175">
        <v>4</v>
      </c>
      <c r="AT3476" s="175">
        <v>1</v>
      </c>
    </row>
    <row r="3477" spans="1:46">
      <c r="A3477">
        <v>50130</v>
      </c>
      <c r="B3477" t="s">
        <v>19251</v>
      </c>
      <c r="C3477" t="s">
        <v>19252</v>
      </c>
      <c r="D3477" t="s">
        <v>19253</v>
      </c>
      <c r="E3477" t="s">
        <v>19254</v>
      </c>
      <c r="F3477" t="s">
        <v>10440</v>
      </c>
      <c r="G3477" t="s">
        <v>2055</v>
      </c>
      <c r="H3477" t="s">
        <v>449</v>
      </c>
      <c r="J3477" t="s">
        <v>4032</v>
      </c>
      <c r="K3477" t="s">
        <v>606</v>
      </c>
      <c r="M3477" t="s">
        <v>1382</v>
      </c>
      <c r="N3477" t="s">
        <v>657</v>
      </c>
      <c r="O3477" t="s">
        <v>2037</v>
      </c>
      <c r="P3477" t="s">
        <v>670</v>
      </c>
      <c r="Q3477" t="s">
        <v>553</v>
      </c>
      <c r="R3477" t="s">
        <v>1841</v>
      </c>
      <c r="S3477" t="s">
        <v>2055</v>
      </c>
      <c r="T3477" t="s">
        <v>1568</v>
      </c>
      <c r="U3477">
        <v>230400</v>
      </c>
      <c r="V3477" t="s">
        <v>19255</v>
      </c>
      <c r="W3477" t="s">
        <v>2038</v>
      </c>
      <c r="X3477" t="s">
        <v>19256</v>
      </c>
      <c r="Y3477" t="s">
        <v>19257</v>
      </c>
      <c r="AA3477" t="s">
        <v>19258</v>
      </c>
      <c r="AB3477" t="s">
        <v>8760</v>
      </c>
      <c r="AE3477">
        <v>-40.324295470000003</v>
      </c>
      <c r="AF3477">
        <v>175.65922459999999</v>
      </c>
      <c r="AG3477" s="175">
        <v>40</v>
      </c>
      <c r="AH3477" s="175">
        <v>13</v>
      </c>
      <c r="AI3477" s="175">
        <v>3</v>
      </c>
      <c r="AJ3477" s="175">
        <v>6</v>
      </c>
      <c r="AK3477" s="175">
        <v>12</v>
      </c>
      <c r="AL3477" s="175">
        <v>15</v>
      </c>
      <c r="AM3477" s="175">
        <v>15</v>
      </c>
      <c r="AN3477" s="175">
        <v>0</v>
      </c>
      <c r="AO3477" s="175">
        <v>51</v>
      </c>
      <c r="AP3477" s="175">
        <v>39</v>
      </c>
      <c r="AQ3477" s="175">
        <v>10</v>
      </c>
      <c r="AR3477" s="175">
        <v>5</v>
      </c>
      <c r="AS3477" s="175">
        <v>11</v>
      </c>
      <c r="AT3477" s="175">
        <v>0</v>
      </c>
    </row>
    <row r="3478" spans="1:46">
      <c r="A3478">
        <v>50131</v>
      </c>
      <c r="B3478" t="s">
        <v>19259</v>
      </c>
      <c r="C3478" t="s">
        <v>19260</v>
      </c>
      <c r="E3478" t="s">
        <v>19261</v>
      </c>
      <c r="G3478" t="s">
        <v>2068</v>
      </c>
      <c r="H3478" t="s">
        <v>449</v>
      </c>
      <c r="J3478" t="s">
        <v>4032</v>
      </c>
      <c r="K3478" t="s">
        <v>606</v>
      </c>
      <c r="M3478" t="s">
        <v>1382</v>
      </c>
      <c r="N3478" t="s">
        <v>657</v>
      </c>
      <c r="O3478" t="s">
        <v>2069</v>
      </c>
      <c r="P3478" t="s">
        <v>1347</v>
      </c>
      <c r="Q3478" t="s">
        <v>553</v>
      </c>
      <c r="R3478" t="s">
        <v>1841</v>
      </c>
      <c r="S3478" t="s">
        <v>1719</v>
      </c>
      <c r="T3478" t="s">
        <v>1568</v>
      </c>
      <c r="U3478">
        <v>228200</v>
      </c>
      <c r="V3478" t="s">
        <v>2108</v>
      </c>
      <c r="W3478" t="s">
        <v>2071</v>
      </c>
      <c r="X3478" t="s">
        <v>19262</v>
      </c>
      <c r="Y3478" t="s">
        <v>4176</v>
      </c>
      <c r="AA3478" t="s">
        <v>4052</v>
      </c>
      <c r="AB3478" t="s">
        <v>19263</v>
      </c>
      <c r="AC3478">
        <v>99134</v>
      </c>
      <c r="AD3478" t="s">
        <v>2072</v>
      </c>
      <c r="AE3478">
        <v>-40.222358960000001</v>
      </c>
      <c r="AF3478">
        <v>175.56114579999999</v>
      </c>
      <c r="AG3478" s="175">
        <v>78</v>
      </c>
      <c r="AH3478" s="175">
        <v>28</v>
      </c>
      <c r="AI3478" s="175">
        <v>5</v>
      </c>
      <c r="AJ3478" s="175">
        <v>15</v>
      </c>
      <c r="AK3478" s="175">
        <v>28</v>
      </c>
      <c r="AL3478" s="175">
        <v>25</v>
      </c>
      <c r="AM3478" s="175">
        <v>15</v>
      </c>
      <c r="AN3478" s="175">
        <v>0</v>
      </c>
      <c r="AO3478" s="175">
        <v>88</v>
      </c>
      <c r="AP3478" s="175">
        <v>78</v>
      </c>
      <c r="AQ3478" s="175">
        <v>16</v>
      </c>
      <c r="AR3478" s="175">
        <v>11</v>
      </c>
      <c r="AS3478" s="175">
        <v>5</v>
      </c>
      <c r="AT3478" s="175">
        <v>0</v>
      </c>
    </row>
    <row r="3479" spans="1:46">
      <c r="A3479">
        <v>50500</v>
      </c>
      <c r="B3479" t="s">
        <v>19264</v>
      </c>
      <c r="C3479" t="s">
        <v>19265</v>
      </c>
      <c r="D3479" t="s">
        <v>19266</v>
      </c>
      <c r="E3479" t="s">
        <v>19267</v>
      </c>
      <c r="G3479" t="s">
        <v>1921</v>
      </c>
      <c r="H3479" t="s">
        <v>449</v>
      </c>
      <c r="J3479" t="s">
        <v>605</v>
      </c>
      <c r="K3479" t="s">
        <v>606</v>
      </c>
      <c r="M3479" t="s">
        <v>1382</v>
      </c>
      <c r="N3479" t="s">
        <v>657</v>
      </c>
      <c r="O3479" t="s">
        <v>1922</v>
      </c>
      <c r="P3479" t="s">
        <v>610</v>
      </c>
      <c r="Q3479" t="s">
        <v>514</v>
      </c>
      <c r="R3479" t="s">
        <v>1841</v>
      </c>
      <c r="S3479" t="s">
        <v>1923</v>
      </c>
      <c r="T3479" t="s">
        <v>1568</v>
      </c>
      <c r="U3479">
        <v>220301</v>
      </c>
      <c r="V3479" t="s">
        <v>1958</v>
      </c>
      <c r="W3479" t="s">
        <v>1925</v>
      </c>
      <c r="X3479" t="s">
        <v>19268</v>
      </c>
      <c r="Y3479" t="s">
        <v>19267</v>
      </c>
      <c r="AA3479" t="s">
        <v>17233</v>
      </c>
      <c r="AB3479" t="s">
        <v>19269</v>
      </c>
      <c r="AC3479">
        <v>99108</v>
      </c>
      <c r="AD3479" t="s">
        <v>1926</v>
      </c>
      <c r="AE3479">
        <v>-39.336781639999998</v>
      </c>
      <c r="AF3479">
        <v>174.28681030000001</v>
      </c>
      <c r="AG3479" s="175">
        <v>48</v>
      </c>
      <c r="AH3479" s="175">
        <v>12</v>
      </c>
      <c r="AI3479" s="175">
        <v>0</v>
      </c>
      <c r="AJ3479" s="175">
        <v>11</v>
      </c>
      <c r="AK3479" s="175">
        <v>11</v>
      </c>
      <c r="AL3479" s="175">
        <v>13</v>
      </c>
      <c r="AM3479" s="175">
        <v>8</v>
      </c>
      <c r="AN3479" s="175">
        <v>1</v>
      </c>
      <c r="AO3479" s="175">
        <v>44</v>
      </c>
      <c r="AP3479" s="175">
        <v>31</v>
      </c>
      <c r="AQ3479" s="175">
        <v>12</v>
      </c>
      <c r="AR3479" s="175">
        <v>1</v>
      </c>
      <c r="AS3479" s="175">
        <v>8</v>
      </c>
      <c r="AT3479" s="175">
        <v>9</v>
      </c>
    </row>
    <row r="3480" spans="1:46">
      <c r="A3480">
        <v>50501</v>
      </c>
      <c r="B3480" t="s">
        <v>19270</v>
      </c>
      <c r="C3480" t="s">
        <v>19271</v>
      </c>
      <c r="D3480" t="s">
        <v>19272</v>
      </c>
      <c r="E3480" t="s">
        <v>19273</v>
      </c>
      <c r="F3480" t="s">
        <v>1838</v>
      </c>
      <c r="G3480" t="s">
        <v>1839</v>
      </c>
      <c r="H3480" t="s">
        <v>449</v>
      </c>
      <c r="J3480" t="s">
        <v>605</v>
      </c>
      <c r="K3480" t="s">
        <v>606</v>
      </c>
      <c r="M3480" t="s">
        <v>1382</v>
      </c>
      <c r="N3480" t="s">
        <v>657</v>
      </c>
      <c r="O3480" t="s">
        <v>1840</v>
      </c>
      <c r="P3480" t="s">
        <v>670</v>
      </c>
      <c r="Q3480" t="s">
        <v>514</v>
      </c>
      <c r="R3480" t="s">
        <v>1841</v>
      </c>
      <c r="S3480" t="s">
        <v>1839</v>
      </c>
      <c r="T3480" t="s">
        <v>1568</v>
      </c>
      <c r="U3480">
        <v>217501</v>
      </c>
      <c r="V3480" t="s">
        <v>1842</v>
      </c>
      <c r="W3480" t="s">
        <v>1843</v>
      </c>
      <c r="X3480" t="s">
        <v>19274</v>
      </c>
      <c r="Y3480" t="s">
        <v>19273</v>
      </c>
      <c r="Z3480" t="s">
        <v>1838</v>
      </c>
      <c r="AA3480" t="s">
        <v>13852</v>
      </c>
      <c r="AB3480" t="s">
        <v>19271</v>
      </c>
      <c r="AE3480">
        <v>-39.032797729999999</v>
      </c>
      <c r="AF3480">
        <v>174.14276581999999</v>
      </c>
      <c r="AG3480" s="175">
        <v>35</v>
      </c>
      <c r="AH3480" s="175">
        <v>8</v>
      </c>
      <c r="AI3480" s="175">
        <v>2</v>
      </c>
      <c r="AJ3480" s="175">
        <v>7</v>
      </c>
      <c r="AK3480" s="175">
        <v>13</v>
      </c>
      <c r="AL3480" s="175">
        <v>15</v>
      </c>
      <c r="AM3480" s="175">
        <v>8</v>
      </c>
      <c r="AN3480" s="175">
        <v>0</v>
      </c>
      <c r="AO3480" s="175">
        <v>45</v>
      </c>
      <c r="AP3480" s="175">
        <v>32</v>
      </c>
      <c r="AQ3480" s="175">
        <v>9</v>
      </c>
      <c r="AR3480" s="175">
        <v>2</v>
      </c>
      <c r="AS3480" s="175">
        <v>12</v>
      </c>
      <c r="AT3480" s="175">
        <v>1</v>
      </c>
    </row>
    <row r="3481" spans="1:46">
      <c r="A3481">
        <v>50506</v>
      </c>
      <c r="B3481" t="s">
        <v>19275</v>
      </c>
      <c r="C3481" t="s">
        <v>19276</v>
      </c>
      <c r="D3481" t="s">
        <v>19277</v>
      </c>
      <c r="E3481" t="s">
        <v>19278</v>
      </c>
      <c r="F3481" t="s">
        <v>1857</v>
      </c>
      <c r="G3481" t="s">
        <v>1839</v>
      </c>
      <c r="H3481" t="s">
        <v>449</v>
      </c>
      <c r="J3481" t="s">
        <v>4032</v>
      </c>
      <c r="K3481" t="s">
        <v>606</v>
      </c>
      <c r="M3481" t="s">
        <v>1382</v>
      </c>
      <c r="N3481" t="s">
        <v>657</v>
      </c>
      <c r="O3481" t="s">
        <v>1840</v>
      </c>
      <c r="P3481" t="s">
        <v>670</v>
      </c>
      <c r="Q3481" t="s">
        <v>514</v>
      </c>
      <c r="R3481" t="s">
        <v>1841</v>
      </c>
      <c r="S3481" t="s">
        <v>1839</v>
      </c>
      <c r="T3481" t="s">
        <v>1568</v>
      </c>
      <c r="U3481">
        <v>216600</v>
      </c>
      <c r="V3481" t="s">
        <v>1857</v>
      </c>
      <c r="W3481" t="s">
        <v>1843</v>
      </c>
      <c r="X3481" t="s">
        <v>19279</v>
      </c>
      <c r="Y3481" t="s">
        <v>19278</v>
      </c>
      <c r="Z3481" t="s">
        <v>1857</v>
      </c>
      <c r="AA3481" t="s">
        <v>12635</v>
      </c>
      <c r="AB3481" t="s">
        <v>19276</v>
      </c>
      <c r="AE3481">
        <v>-39.062300010000001</v>
      </c>
      <c r="AF3481">
        <v>174.04808193</v>
      </c>
      <c r="AG3481" s="175">
        <v>80</v>
      </c>
      <c r="AH3481" s="175">
        <v>25</v>
      </c>
      <c r="AI3481" s="175">
        <v>5</v>
      </c>
      <c r="AJ3481" s="175">
        <v>23</v>
      </c>
      <c r="AK3481" s="175">
        <v>26</v>
      </c>
      <c r="AL3481" s="175">
        <v>27</v>
      </c>
      <c r="AM3481" s="175">
        <v>23</v>
      </c>
      <c r="AN3481" s="175">
        <v>1</v>
      </c>
      <c r="AO3481" s="175">
        <v>105</v>
      </c>
      <c r="AP3481" s="175">
        <v>97</v>
      </c>
      <c r="AQ3481" s="175">
        <v>24</v>
      </c>
      <c r="AR3481" s="175">
        <v>2</v>
      </c>
      <c r="AS3481" s="175">
        <v>9</v>
      </c>
      <c r="AT3481" s="175">
        <v>5</v>
      </c>
    </row>
    <row r="3482" spans="1:46">
      <c r="A3482">
        <v>50508</v>
      </c>
      <c r="B3482" t="s">
        <v>19280</v>
      </c>
      <c r="C3482" t="s">
        <v>19281</v>
      </c>
      <c r="D3482" t="s">
        <v>19282</v>
      </c>
      <c r="E3482" t="s">
        <v>19283</v>
      </c>
      <c r="F3482" t="s">
        <v>11370</v>
      </c>
      <c r="G3482" t="s">
        <v>1839</v>
      </c>
      <c r="H3482" t="s">
        <v>449</v>
      </c>
      <c r="J3482" t="s">
        <v>605</v>
      </c>
      <c r="K3482" t="s">
        <v>606</v>
      </c>
      <c r="M3482" t="s">
        <v>1382</v>
      </c>
      <c r="N3482" t="s">
        <v>657</v>
      </c>
      <c r="O3482" t="s">
        <v>1840</v>
      </c>
      <c r="P3482" t="s">
        <v>670</v>
      </c>
      <c r="Q3482" t="s">
        <v>514</v>
      </c>
      <c r="R3482" t="s">
        <v>1841</v>
      </c>
      <c r="S3482" t="s">
        <v>1839</v>
      </c>
      <c r="T3482" t="s">
        <v>1568</v>
      </c>
      <c r="U3482">
        <v>217300</v>
      </c>
      <c r="V3482" t="s">
        <v>11370</v>
      </c>
      <c r="W3482" t="s">
        <v>1843</v>
      </c>
      <c r="X3482" t="s">
        <v>10425</v>
      </c>
      <c r="Y3482" t="s">
        <v>4014</v>
      </c>
      <c r="Z3482" t="s">
        <v>4015</v>
      </c>
      <c r="AA3482" t="s">
        <v>4016</v>
      </c>
      <c r="AE3482">
        <v>-39.056251619999998</v>
      </c>
      <c r="AF3482">
        <v>174.08965194999999</v>
      </c>
      <c r="AG3482" s="175">
        <v>70</v>
      </c>
      <c r="AH3482" s="175">
        <v>25</v>
      </c>
      <c r="AI3482" s="175">
        <v>2</v>
      </c>
      <c r="AJ3482" s="175">
        <v>14</v>
      </c>
      <c r="AK3482" s="175">
        <v>13</v>
      </c>
      <c r="AL3482" s="175">
        <v>24</v>
      </c>
      <c r="AM3482" s="175">
        <v>9</v>
      </c>
      <c r="AN3482" s="175">
        <v>1</v>
      </c>
      <c r="AO3482" s="175">
        <v>63</v>
      </c>
      <c r="AP3482" s="175">
        <v>44</v>
      </c>
      <c r="AQ3482" s="175">
        <v>25</v>
      </c>
      <c r="AR3482" s="175">
        <v>6</v>
      </c>
      <c r="AS3482" s="175">
        <v>11</v>
      </c>
      <c r="AT3482" s="175">
        <v>5</v>
      </c>
    </row>
    <row r="3483" spans="1:46">
      <c r="A3483">
        <v>50509</v>
      </c>
      <c r="B3483" t="s">
        <v>19284</v>
      </c>
      <c r="C3483" t="s">
        <v>19285</v>
      </c>
      <c r="E3483" t="s">
        <v>19286</v>
      </c>
      <c r="G3483" t="s">
        <v>1839</v>
      </c>
      <c r="H3483" t="s">
        <v>449</v>
      </c>
      <c r="J3483" t="s">
        <v>4032</v>
      </c>
      <c r="K3483" t="s">
        <v>606</v>
      </c>
      <c r="M3483" t="s">
        <v>1382</v>
      </c>
      <c r="N3483" t="s">
        <v>625</v>
      </c>
      <c r="O3483" t="s">
        <v>1840</v>
      </c>
      <c r="P3483" t="s">
        <v>670</v>
      </c>
      <c r="Q3483" t="s">
        <v>514</v>
      </c>
      <c r="R3483" t="s">
        <v>1841</v>
      </c>
      <c r="S3483" t="s">
        <v>1839</v>
      </c>
      <c r="T3483" t="s">
        <v>1568</v>
      </c>
      <c r="U3483">
        <v>218301</v>
      </c>
      <c r="V3483" t="s">
        <v>1890</v>
      </c>
      <c r="W3483" t="s">
        <v>1843</v>
      </c>
      <c r="X3483" t="s">
        <v>19287</v>
      </c>
      <c r="Y3483" t="s">
        <v>19286</v>
      </c>
      <c r="AA3483" t="s">
        <v>13852</v>
      </c>
      <c r="AE3483">
        <v>-39.063472140000002</v>
      </c>
      <c r="AF3483">
        <v>174.08766399000001</v>
      </c>
      <c r="AG3483" s="175">
        <v>32</v>
      </c>
      <c r="AH3483" s="175">
        <v>0</v>
      </c>
      <c r="AI3483" s="175">
        <v>0</v>
      </c>
      <c r="AJ3483" s="175">
        <v>0</v>
      </c>
      <c r="AK3483" s="175">
        <v>14</v>
      </c>
      <c r="AL3483" s="175">
        <v>9</v>
      </c>
      <c r="AM3483" s="175">
        <v>14</v>
      </c>
      <c r="AN3483" s="175">
        <v>0</v>
      </c>
      <c r="AO3483" s="175">
        <v>37</v>
      </c>
      <c r="AP3483" s="175">
        <v>35</v>
      </c>
      <c r="AQ3483" s="175">
        <v>8</v>
      </c>
      <c r="AR3483" s="175">
        <v>4</v>
      </c>
      <c r="AS3483" s="175">
        <v>1</v>
      </c>
      <c r="AT3483" s="175">
        <v>3</v>
      </c>
    </row>
    <row r="3484" spans="1:46">
      <c r="A3484">
        <v>50510</v>
      </c>
      <c r="B3484" t="s">
        <v>19288</v>
      </c>
      <c r="C3484" t="s">
        <v>19289</v>
      </c>
      <c r="D3484" t="s">
        <v>19290</v>
      </c>
      <c r="E3484" t="s">
        <v>19291</v>
      </c>
      <c r="G3484" t="s">
        <v>1873</v>
      </c>
      <c r="H3484" t="s">
        <v>449</v>
      </c>
      <c r="J3484" t="s">
        <v>605</v>
      </c>
      <c r="K3484" t="s">
        <v>606</v>
      </c>
      <c r="M3484" t="s">
        <v>1382</v>
      </c>
      <c r="N3484" t="s">
        <v>657</v>
      </c>
      <c r="O3484" t="s">
        <v>1840</v>
      </c>
      <c r="P3484" t="s">
        <v>610</v>
      </c>
      <c r="Q3484" t="s">
        <v>514</v>
      </c>
      <c r="R3484" t="s">
        <v>1841</v>
      </c>
      <c r="S3484" t="s">
        <v>1501</v>
      </c>
      <c r="T3484" t="s">
        <v>1568</v>
      </c>
      <c r="U3484">
        <v>219601</v>
      </c>
      <c r="V3484" t="s">
        <v>1873</v>
      </c>
      <c r="W3484" t="s">
        <v>1874</v>
      </c>
      <c r="X3484" t="s">
        <v>19292</v>
      </c>
      <c r="Y3484" t="s">
        <v>19291</v>
      </c>
      <c r="AA3484" t="s">
        <v>19293</v>
      </c>
      <c r="AB3484" t="s">
        <v>19289</v>
      </c>
      <c r="AC3484">
        <v>99059</v>
      </c>
      <c r="AD3484" t="s">
        <v>1875</v>
      </c>
      <c r="AE3484">
        <v>-39.157106300000002</v>
      </c>
      <c r="AF3484">
        <v>174.21311965000001</v>
      </c>
      <c r="AG3484" s="175">
        <v>67</v>
      </c>
      <c r="AH3484" s="175">
        <v>15</v>
      </c>
      <c r="AI3484" s="175">
        <v>3</v>
      </c>
      <c r="AJ3484" s="175">
        <v>15</v>
      </c>
      <c r="AK3484" s="175">
        <v>21</v>
      </c>
      <c r="AL3484" s="175">
        <v>22</v>
      </c>
      <c r="AM3484" s="175">
        <v>23</v>
      </c>
      <c r="AN3484" s="175">
        <v>2</v>
      </c>
      <c r="AO3484" s="175">
        <v>86</v>
      </c>
      <c r="AP3484" s="175">
        <v>86</v>
      </c>
      <c r="AQ3484" s="175">
        <v>7</v>
      </c>
      <c r="AR3484" s="175">
        <v>1</v>
      </c>
      <c r="AS3484" s="175">
        <v>1</v>
      </c>
      <c r="AT3484" s="175">
        <v>1</v>
      </c>
    </row>
    <row r="3485" spans="1:46">
      <c r="A3485">
        <v>50511</v>
      </c>
      <c r="B3485" t="s">
        <v>19294</v>
      </c>
      <c r="C3485" t="s">
        <v>19295</v>
      </c>
      <c r="D3485" t="s">
        <v>19296</v>
      </c>
      <c r="E3485" t="s">
        <v>19297</v>
      </c>
      <c r="G3485" t="s">
        <v>1839</v>
      </c>
      <c r="H3485" t="s">
        <v>449</v>
      </c>
      <c r="J3485" t="s">
        <v>605</v>
      </c>
      <c r="K3485" t="s">
        <v>606</v>
      </c>
      <c r="M3485" t="s">
        <v>1382</v>
      </c>
      <c r="N3485" t="s">
        <v>657</v>
      </c>
      <c r="O3485" t="s">
        <v>1840</v>
      </c>
      <c r="P3485" t="s">
        <v>670</v>
      </c>
      <c r="Q3485" t="s">
        <v>514</v>
      </c>
      <c r="R3485" t="s">
        <v>1841</v>
      </c>
      <c r="S3485" t="s">
        <v>1839</v>
      </c>
      <c r="T3485" t="s">
        <v>1568</v>
      </c>
      <c r="U3485">
        <v>216800</v>
      </c>
      <c r="V3485" t="s">
        <v>19298</v>
      </c>
      <c r="W3485" t="s">
        <v>1843</v>
      </c>
      <c r="X3485" t="s">
        <v>19299</v>
      </c>
      <c r="Y3485" t="s">
        <v>19300</v>
      </c>
      <c r="AA3485" t="s">
        <v>1846</v>
      </c>
      <c r="AB3485" t="s">
        <v>19295</v>
      </c>
      <c r="AE3485">
        <v>-39.06565183</v>
      </c>
      <c r="AF3485">
        <v>174.05671867999999</v>
      </c>
      <c r="AG3485" s="175">
        <v>108</v>
      </c>
      <c r="AH3485" s="175">
        <v>0</v>
      </c>
      <c r="AI3485" s="175">
        <v>0</v>
      </c>
      <c r="AJ3485" s="175">
        <v>0</v>
      </c>
      <c r="AK3485" s="175">
        <v>6</v>
      </c>
      <c r="AL3485" s="175">
        <v>36</v>
      </c>
      <c r="AM3485" s="175">
        <v>29</v>
      </c>
      <c r="AN3485" s="175">
        <v>19</v>
      </c>
      <c r="AO3485" s="175">
        <v>90</v>
      </c>
      <c r="AP3485" s="175">
        <v>60</v>
      </c>
      <c r="AQ3485" s="175">
        <v>7</v>
      </c>
      <c r="AR3485" s="175">
        <v>1</v>
      </c>
      <c r="AS3485" s="175">
        <v>29</v>
      </c>
      <c r="AT3485" s="175">
        <v>3</v>
      </c>
    </row>
    <row r="3486" spans="1:46">
      <c r="A3486">
        <v>50516</v>
      </c>
      <c r="B3486" t="s">
        <v>19301</v>
      </c>
      <c r="C3486" t="s">
        <v>19302</v>
      </c>
      <c r="D3486" t="s">
        <v>19303</v>
      </c>
      <c r="E3486" t="s">
        <v>19304</v>
      </c>
      <c r="G3486" t="s">
        <v>1905</v>
      </c>
      <c r="H3486" t="s">
        <v>449</v>
      </c>
      <c r="J3486" t="s">
        <v>605</v>
      </c>
      <c r="K3486" t="s">
        <v>606</v>
      </c>
      <c r="M3486" t="s">
        <v>1382</v>
      </c>
      <c r="N3486" t="s">
        <v>625</v>
      </c>
      <c r="O3486" t="s">
        <v>1840</v>
      </c>
      <c r="P3486" t="s">
        <v>610</v>
      </c>
      <c r="Q3486" t="s">
        <v>514</v>
      </c>
      <c r="R3486" t="s">
        <v>1841</v>
      </c>
      <c r="S3486" t="s">
        <v>1839</v>
      </c>
      <c r="T3486" t="s">
        <v>1568</v>
      </c>
      <c r="U3486">
        <v>218901</v>
      </c>
      <c r="V3486" t="s">
        <v>19030</v>
      </c>
      <c r="W3486" t="s">
        <v>1907</v>
      </c>
      <c r="X3486" t="s">
        <v>19305</v>
      </c>
      <c r="Y3486" t="s">
        <v>19306</v>
      </c>
      <c r="Z3486" t="s">
        <v>1905</v>
      </c>
      <c r="AA3486" t="s">
        <v>19307</v>
      </c>
      <c r="AB3486" t="s">
        <v>19302</v>
      </c>
      <c r="AE3486">
        <v>-38.993937959999997</v>
      </c>
      <c r="AF3486">
        <v>174.24161583</v>
      </c>
      <c r="AG3486" s="175">
        <v>40</v>
      </c>
      <c r="AH3486" s="175">
        <v>10</v>
      </c>
      <c r="AI3486" s="175">
        <v>0</v>
      </c>
      <c r="AJ3486" s="175">
        <v>3</v>
      </c>
      <c r="AK3486" s="175">
        <v>13</v>
      </c>
      <c r="AL3486" s="175">
        <v>12</v>
      </c>
      <c r="AM3486" s="175">
        <v>12</v>
      </c>
      <c r="AN3486" s="175">
        <v>0</v>
      </c>
      <c r="AO3486" s="175">
        <v>40</v>
      </c>
      <c r="AP3486" s="175">
        <v>32</v>
      </c>
      <c r="AQ3486" s="175">
        <v>19</v>
      </c>
      <c r="AR3486" s="175">
        <v>1</v>
      </c>
      <c r="AS3486" s="175">
        <v>0</v>
      </c>
      <c r="AT3486" s="175">
        <v>2</v>
      </c>
    </row>
    <row r="3487" spans="1:46">
      <c r="A3487">
        <v>50521</v>
      </c>
      <c r="B3487" t="s">
        <v>19308</v>
      </c>
      <c r="C3487" t="s">
        <v>19309</v>
      </c>
      <c r="D3487" t="s">
        <v>19310</v>
      </c>
      <c r="E3487" t="s">
        <v>19311</v>
      </c>
      <c r="G3487" t="s">
        <v>1839</v>
      </c>
      <c r="H3487" t="s">
        <v>449</v>
      </c>
      <c r="J3487" t="s">
        <v>605</v>
      </c>
      <c r="K3487" t="s">
        <v>606</v>
      </c>
      <c r="M3487" t="s">
        <v>1382</v>
      </c>
      <c r="N3487" t="s">
        <v>657</v>
      </c>
      <c r="O3487" t="s">
        <v>1840</v>
      </c>
      <c r="P3487" t="s">
        <v>670</v>
      </c>
      <c r="Q3487" t="s">
        <v>514</v>
      </c>
      <c r="R3487" t="s">
        <v>1841</v>
      </c>
      <c r="S3487" t="s">
        <v>1839</v>
      </c>
      <c r="T3487" t="s">
        <v>1568</v>
      </c>
      <c r="U3487">
        <v>217000</v>
      </c>
      <c r="V3487" t="s">
        <v>13695</v>
      </c>
      <c r="W3487" t="s">
        <v>1843</v>
      </c>
      <c r="X3487" t="s">
        <v>19312</v>
      </c>
      <c r="Y3487" t="s">
        <v>19313</v>
      </c>
      <c r="AA3487" t="s">
        <v>1846</v>
      </c>
      <c r="AB3487" t="s">
        <v>19309</v>
      </c>
      <c r="AE3487">
        <v>-39.059199880000001</v>
      </c>
      <c r="AF3487">
        <v>174.07727600999999</v>
      </c>
      <c r="AG3487" s="175">
        <v>49</v>
      </c>
      <c r="AH3487" s="175">
        <v>19</v>
      </c>
      <c r="AI3487" s="175">
        <v>4</v>
      </c>
      <c r="AJ3487" s="175">
        <v>7</v>
      </c>
      <c r="AK3487" s="175">
        <v>13</v>
      </c>
      <c r="AL3487" s="175">
        <v>17</v>
      </c>
      <c r="AM3487" s="175">
        <v>8</v>
      </c>
      <c r="AN3487" s="175">
        <v>1</v>
      </c>
      <c r="AO3487" s="175">
        <v>50</v>
      </c>
      <c r="AP3487" s="175">
        <v>35</v>
      </c>
      <c r="AQ3487" s="175">
        <v>23</v>
      </c>
      <c r="AR3487" s="175">
        <v>4</v>
      </c>
      <c r="AS3487" s="175">
        <v>7</v>
      </c>
      <c r="AT3487" s="175">
        <v>0</v>
      </c>
    </row>
    <row r="3488" spans="1:46">
      <c r="A3488">
        <v>50526</v>
      </c>
      <c r="B3488" t="s">
        <v>19314</v>
      </c>
      <c r="C3488" t="s">
        <v>19315</v>
      </c>
      <c r="D3488" t="s">
        <v>19316</v>
      </c>
      <c r="E3488" t="s">
        <v>19317</v>
      </c>
      <c r="F3488" t="s">
        <v>19318</v>
      </c>
      <c r="G3488" t="s">
        <v>1839</v>
      </c>
      <c r="H3488" t="s">
        <v>449</v>
      </c>
      <c r="J3488" t="s">
        <v>4032</v>
      </c>
      <c r="K3488" t="s">
        <v>606</v>
      </c>
      <c r="M3488" t="s">
        <v>1382</v>
      </c>
      <c r="N3488" t="s">
        <v>657</v>
      </c>
      <c r="O3488" t="s">
        <v>1840</v>
      </c>
      <c r="P3488" t="s">
        <v>670</v>
      </c>
      <c r="Q3488" t="s">
        <v>514</v>
      </c>
      <c r="R3488" t="s">
        <v>1841</v>
      </c>
      <c r="S3488" t="s">
        <v>1839</v>
      </c>
      <c r="T3488" t="s">
        <v>1568</v>
      </c>
      <c r="U3488">
        <v>218600</v>
      </c>
      <c r="V3488" t="s">
        <v>1852</v>
      </c>
      <c r="W3488" t="s">
        <v>1843</v>
      </c>
      <c r="X3488" t="s">
        <v>19319</v>
      </c>
      <c r="Y3488" t="s">
        <v>19320</v>
      </c>
      <c r="Z3488" t="s">
        <v>19318</v>
      </c>
      <c r="AA3488" t="s">
        <v>12635</v>
      </c>
      <c r="AB3488" t="s">
        <v>19315</v>
      </c>
      <c r="AE3488">
        <v>-39.085544400000003</v>
      </c>
      <c r="AF3488">
        <v>174.08229789999999</v>
      </c>
      <c r="AG3488" s="175">
        <v>20</v>
      </c>
      <c r="AH3488" s="175">
        <v>0</v>
      </c>
      <c r="AI3488" s="175">
        <v>0</v>
      </c>
      <c r="AJ3488" s="175">
        <v>0</v>
      </c>
      <c r="AK3488" s="175">
        <v>1</v>
      </c>
      <c r="AL3488" s="175">
        <v>15</v>
      </c>
      <c r="AM3488" s="175">
        <v>19</v>
      </c>
      <c r="AN3488" s="175">
        <v>0</v>
      </c>
      <c r="AO3488" s="175">
        <v>35</v>
      </c>
      <c r="AP3488" s="175">
        <v>31</v>
      </c>
      <c r="AQ3488" s="175">
        <v>7</v>
      </c>
      <c r="AR3488" s="175">
        <v>0</v>
      </c>
      <c r="AS3488" s="175">
        <v>1</v>
      </c>
      <c r="AT3488" s="175">
        <v>3</v>
      </c>
    </row>
    <row r="3489" spans="1:46">
      <c r="A3489">
        <v>50527</v>
      </c>
      <c r="B3489" t="s">
        <v>19321</v>
      </c>
      <c r="C3489" t="s">
        <v>19322</v>
      </c>
      <c r="D3489" t="s">
        <v>19323</v>
      </c>
      <c r="E3489" t="s">
        <v>19324</v>
      </c>
      <c r="G3489" t="s">
        <v>1921</v>
      </c>
      <c r="H3489" t="s">
        <v>449</v>
      </c>
      <c r="J3489" t="s">
        <v>4032</v>
      </c>
      <c r="K3489" t="s">
        <v>606</v>
      </c>
      <c r="M3489" t="s">
        <v>1382</v>
      </c>
      <c r="N3489" t="s">
        <v>657</v>
      </c>
      <c r="O3489" t="s">
        <v>1922</v>
      </c>
      <c r="P3489" t="s">
        <v>610</v>
      </c>
      <c r="Q3489" t="s">
        <v>514</v>
      </c>
      <c r="R3489" t="s">
        <v>1841</v>
      </c>
      <c r="S3489" t="s">
        <v>1923</v>
      </c>
      <c r="T3489" t="s">
        <v>1568</v>
      </c>
      <c r="U3489">
        <v>220301</v>
      </c>
      <c r="V3489" t="s">
        <v>1958</v>
      </c>
      <c r="W3489" t="s">
        <v>1925</v>
      </c>
      <c r="X3489" t="s">
        <v>19325</v>
      </c>
      <c r="Y3489" t="s">
        <v>4807</v>
      </c>
      <c r="Z3489" t="s">
        <v>2473</v>
      </c>
      <c r="AA3489" t="s">
        <v>4808</v>
      </c>
      <c r="AB3489" t="s">
        <v>19326</v>
      </c>
      <c r="AC3489">
        <v>99108</v>
      </c>
      <c r="AD3489" t="s">
        <v>1926</v>
      </c>
      <c r="AE3489">
        <v>-39.335209200000001</v>
      </c>
      <c r="AF3489">
        <v>174.28124962999999</v>
      </c>
      <c r="AG3489" s="175">
        <v>35</v>
      </c>
      <c r="AH3489" s="175">
        <v>10</v>
      </c>
      <c r="AI3489" s="175">
        <v>1</v>
      </c>
      <c r="AJ3489" s="175">
        <v>3</v>
      </c>
      <c r="AK3489" s="175">
        <v>4</v>
      </c>
      <c r="AL3489" s="175">
        <v>5</v>
      </c>
      <c r="AM3489" s="175">
        <v>5</v>
      </c>
      <c r="AN3489" s="175">
        <v>2</v>
      </c>
      <c r="AO3489" s="175">
        <v>20</v>
      </c>
      <c r="AP3489" s="175">
        <v>16</v>
      </c>
      <c r="AQ3489" s="175">
        <v>7</v>
      </c>
      <c r="AR3489" s="175">
        <v>4</v>
      </c>
      <c r="AS3489" s="175">
        <v>1</v>
      </c>
      <c r="AT3489" s="175">
        <v>0</v>
      </c>
    </row>
    <row r="3490" spans="1:46">
      <c r="A3490">
        <v>50529</v>
      </c>
      <c r="B3490" t="s">
        <v>19327</v>
      </c>
      <c r="C3490" t="s">
        <v>19328</v>
      </c>
      <c r="D3490" t="s">
        <v>19329</v>
      </c>
      <c r="E3490" t="s">
        <v>19330</v>
      </c>
      <c r="G3490" t="s">
        <v>2112</v>
      </c>
      <c r="H3490" t="s">
        <v>449</v>
      </c>
      <c r="J3490" t="s">
        <v>605</v>
      </c>
      <c r="K3490" t="s">
        <v>606</v>
      </c>
      <c r="M3490" t="s">
        <v>1382</v>
      </c>
      <c r="N3490" t="s">
        <v>608</v>
      </c>
      <c r="O3490" t="s">
        <v>2048</v>
      </c>
      <c r="P3490" t="s">
        <v>610</v>
      </c>
      <c r="Q3490" t="s">
        <v>553</v>
      </c>
      <c r="R3490" t="s">
        <v>1841</v>
      </c>
      <c r="S3490" t="s">
        <v>1719</v>
      </c>
      <c r="T3490" t="s">
        <v>1568</v>
      </c>
      <c r="U3490">
        <v>226900</v>
      </c>
      <c r="V3490" t="s">
        <v>2113</v>
      </c>
      <c r="W3490" t="s">
        <v>2114</v>
      </c>
      <c r="X3490" t="s">
        <v>19331</v>
      </c>
      <c r="Y3490" t="s">
        <v>19332</v>
      </c>
      <c r="Z3490" t="s">
        <v>2112</v>
      </c>
      <c r="AA3490" t="s">
        <v>19333</v>
      </c>
      <c r="AB3490" t="s">
        <v>19334</v>
      </c>
      <c r="AC3490">
        <v>99078</v>
      </c>
      <c r="AD3490" t="s">
        <v>2050</v>
      </c>
      <c r="AE3490">
        <v>-40.08783176</v>
      </c>
      <c r="AF3490">
        <v>175.38806149999999</v>
      </c>
      <c r="AG3490" s="175">
        <v>20</v>
      </c>
      <c r="AH3490" s="175">
        <v>0</v>
      </c>
      <c r="AI3490" s="175">
        <v>0</v>
      </c>
      <c r="AJ3490" s="175">
        <v>0</v>
      </c>
      <c r="AK3490" s="175">
        <v>1</v>
      </c>
      <c r="AL3490" s="175">
        <v>10</v>
      </c>
      <c r="AM3490" s="175">
        <v>6</v>
      </c>
      <c r="AN3490" s="175">
        <v>0</v>
      </c>
      <c r="AO3490" s="175">
        <v>17</v>
      </c>
      <c r="AP3490" s="175">
        <v>14</v>
      </c>
      <c r="AQ3490" s="175">
        <v>8</v>
      </c>
      <c r="AR3490" s="175">
        <v>2</v>
      </c>
      <c r="AS3490" s="175">
        <v>0</v>
      </c>
      <c r="AT3490" s="175">
        <v>0</v>
      </c>
    </row>
    <row r="3491" spans="1:46">
      <c r="A3491">
        <v>50531</v>
      </c>
      <c r="B3491" t="s">
        <v>19335</v>
      </c>
      <c r="C3491" t="s">
        <v>19336</v>
      </c>
      <c r="D3491" t="s">
        <v>19337</v>
      </c>
      <c r="E3491" t="s">
        <v>19338</v>
      </c>
      <c r="G3491" t="s">
        <v>19339</v>
      </c>
      <c r="H3491" t="s">
        <v>449</v>
      </c>
      <c r="J3491" t="s">
        <v>605</v>
      </c>
      <c r="K3491" t="s">
        <v>606</v>
      </c>
      <c r="M3491" t="s">
        <v>1382</v>
      </c>
      <c r="N3491" t="s">
        <v>657</v>
      </c>
      <c r="O3491" t="s">
        <v>1932</v>
      </c>
      <c r="P3491" t="s">
        <v>658</v>
      </c>
      <c r="Q3491" t="s">
        <v>514</v>
      </c>
      <c r="R3491" t="s">
        <v>1841</v>
      </c>
      <c r="S3491" t="s">
        <v>1923</v>
      </c>
      <c r="T3491" t="s">
        <v>1568</v>
      </c>
      <c r="U3491">
        <v>220800</v>
      </c>
      <c r="V3491" t="s">
        <v>18956</v>
      </c>
      <c r="W3491" t="s">
        <v>1933</v>
      </c>
      <c r="X3491" t="s">
        <v>19340</v>
      </c>
      <c r="Y3491" t="s">
        <v>19341</v>
      </c>
      <c r="AA3491" t="s">
        <v>19342</v>
      </c>
      <c r="AB3491" t="s">
        <v>19336</v>
      </c>
      <c r="AE3491">
        <v>-39.478777209999997</v>
      </c>
      <c r="AF3491">
        <v>174.22632589</v>
      </c>
      <c r="AG3491" s="175">
        <v>30</v>
      </c>
      <c r="AH3491" s="175">
        <v>0</v>
      </c>
      <c r="AI3491" s="175">
        <v>0</v>
      </c>
      <c r="AJ3491" s="175">
        <v>0</v>
      </c>
      <c r="AK3491" s="175">
        <v>0</v>
      </c>
      <c r="AL3491" s="175">
        <v>15</v>
      </c>
      <c r="AM3491" s="175">
        <v>21</v>
      </c>
      <c r="AN3491" s="175">
        <v>1</v>
      </c>
      <c r="AO3491" s="175">
        <v>37</v>
      </c>
      <c r="AP3491" s="175">
        <v>35</v>
      </c>
      <c r="AQ3491" s="175">
        <v>5</v>
      </c>
      <c r="AR3491" s="175">
        <v>0</v>
      </c>
      <c r="AS3491" s="175">
        <v>3</v>
      </c>
      <c r="AT3491" s="175">
        <v>3</v>
      </c>
    </row>
    <row r="3492" spans="1:46">
      <c r="A3492">
        <v>50533</v>
      </c>
      <c r="B3492" t="s">
        <v>19343</v>
      </c>
      <c r="C3492" t="s">
        <v>19344</v>
      </c>
      <c r="E3492" t="s">
        <v>19345</v>
      </c>
      <c r="F3492" t="s">
        <v>19346</v>
      </c>
      <c r="G3492" t="s">
        <v>1839</v>
      </c>
      <c r="H3492" t="s">
        <v>449</v>
      </c>
      <c r="J3492" t="s">
        <v>4032</v>
      </c>
      <c r="K3492" t="s">
        <v>606</v>
      </c>
      <c r="M3492" t="s">
        <v>1382</v>
      </c>
      <c r="N3492" t="s">
        <v>657</v>
      </c>
      <c r="O3492" t="s">
        <v>1840</v>
      </c>
      <c r="P3492" t="s">
        <v>670</v>
      </c>
      <c r="Q3492" t="s">
        <v>514</v>
      </c>
      <c r="R3492" t="s">
        <v>1841</v>
      </c>
      <c r="S3492" t="s">
        <v>1839</v>
      </c>
      <c r="T3492" t="s">
        <v>1568</v>
      </c>
      <c r="U3492">
        <v>216800</v>
      </c>
      <c r="V3492" t="s">
        <v>19298</v>
      </c>
      <c r="W3492" t="s">
        <v>1843</v>
      </c>
      <c r="X3492" t="s">
        <v>19347</v>
      </c>
      <c r="Y3492" t="s">
        <v>4725</v>
      </c>
      <c r="Z3492" t="s">
        <v>1043</v>
      </c>
      <c r="AA3492" t="s">
        <v>4726</v>
      </c>
      <c r="AB3492" t="s">
        <v>19344</v>
      </c>
      <c r="AE3492">
        <v>-39.069371670000002</v>
      </c>
      <c r="AF3492">
        <v>174.05461066000001</v>
      </c>
      <c r="AG3492" s="175">
        <v>70</v>
      </c>
      <c r="AH3492" s="175">
        <v>20</v>
      </c>
      <c r="AI3492" s="175">
        <v>1</v>
      </c>
      <c r="AJ3492" s="175">
        <v>9</v>
      </c>
      <c r="AK3492" s="175">
        <v>16</v>
      </c>
      <c r="AL3492" s="175">
        <v>17</v>
      </c>
      <c r="AM3492" s="175">
        <v>18</v>
      </c>
      <c r="AN3492" s="175">
        <v>0</v>
      </c>
      <c r="AO3492" s="175">
        <v>61</v>
      </c>
      <c r="AP3492" s="175">
        <v>40</v>
      </c>
      <c r="AQ3492" s="175">
        <v>20</v>
      </c>
      <c r="AR3492" s="175">
        <v>3</v>
      </c>
      <c r="AS3492" s="175">
        <v>13</v>
      </c>
      <c r="AT3492" s="175">
        <v>1</v>
      </c>
    </row>
    <row r="3493" spans="1:46">
      <c r="A3493">
        <v>50535</v>
      </c>
      <c r="B3493" t="s">
        <v>19348</v>
      </c>
      <c r="C3493" t="s">
        <v>19349</v>
      </c>
      <c r="D3493" t="s">
        <v>19350</v>
      </c>
      <c r="E3493" t="s">
        <v>19351</v>
      </c>
      <c r="G3493" t="s">
        <v>18934</v>
      </c>
      <c r="H3493" t="s">
        <v>449</v>
      </c>
      <c r="J3493" t="s">
        <v>605</v>
      </c>
      <c r="K3493" t="s">
        <v>606</v>
      </c>
      <c r="M3493" t="s">
        <v>1382</v>
      </c>
      <c r="N3493" t="s">
        <v>657</v>
      </c>
      <c r="O3493" t="s">
        <v>1932</v>
      </c>
      <c r="P3493" t="s">
        <v>610</v>
      </c>
      <c r="Q3493" t="s">
        <v>514</v>
      </c>
      <c r="R3493" t="s">
        <v>1841</v>
      </c>
      <c r="S3493" t="s">
        <v>1839</v>
      </c>
      <c r="T3493" t="s">
        <v>1568</v>
      </c>
      <c r="U3493">
        <v>220700</v>
      </c>
      <c r="V3493" t="s">
        <v>18935</v>
      </c>
      <c r="W3493" t="s">
        <v>10431</v>
      </c>
      <c r="X3493" t="s">
        <v>19352</v>
      </c>
      <c r="Y3493" t="s">
        <v>6747</v>
      </c>
      <c r="Z3493" t="s">
        <v>18934</v>
      </c>
      <c r="AA3493" t="s">
        <v>19353</v>
      </c>
      <c r="AB3493" t="s">
        <v>19354</v>
      </c>
      <c r="AE3493">
        <v>-39.450174199999999</v>
      </c>
      <c r="AF3493">
        <v>173.85542602999999</v>
      </c>
      <c r="AG3493" s="175">
        <v>65</v>
      </c>
      <c r="AH3493" s="175">
        <v>15</v>
      </c>
      <c r="AI3493" s="175">
        <v>1</v>
      </c>
      <c r="AJ3493" s="175">
        <v>4</v>
      </c>
      <c r="AK3493" s="175">
        <v>18</v>
      </c>
      <c r="AL3493" s="175">
        <v>26</v>
      </c>
      <c r="AM3493" s="175">
        <v>27</v>
      </c>
      <c r="AN3493" s="175">
        <v>2</v>
      </c>
      <c r="AO3493" s="175">
        <v>78</v>
      </c>
      <c r="AP3493" s="175">
        <v>67</v>
      </c>
      <c r="AQ3493" s="175">
        <v>37</v>
      </c>
      <c r="AR3493" s="175">
        <v>1</v>
      </c>
      <c r="AS3493" s="175">
        <v>2</v>
      </c>
      <c r="AT3493" s="175">
        <v>1</v>
      </c>
    </row>
    <row r="3494" spans="1:46">
      <c r="A3494">
        <v>51001</v>
      </c>
      <c r="B3494" t="s">
        <v>19355</v>
      </c>
      <c r="C3494" t="s">
        <v>19356</v>
      </c>
      <c r="E3494" t="s">
        <v>19357</v>
      </c>
      <c r="G3494" t="s">
        <v>19358</v>
      </c>
      <c r="H3494" t="s">
        <v>301</v>
      </c>
      <c r="J3494" t="s">
        <v>605</v>
      </c>
      <c r="K3494" t="s">
        <v>606</v>
      </c>
      <c r="M3494" t="s">
        <v>1382</v>
      </c>
      <c r="N3494" t="s">
        <v>657</v>
      </c>
      <c r="O3494" t="s">
        <v>1932</v>
      </c>
      <c r="P3494" t="s">
        <v>626</v>
      </c>
      <c r="Q3494" t="s">
        <v>514</v>
      </c>
      <c r="R3494" t="s">
        <v>1841</v>
      </c>
      <c r="S3494" t="s">
        <v>1923</v>
      </c>
      <c r="T3494" t="s">
        <v>1568</v>
      </c>
      <c r="U3494">
        <v>222101</v>
      </c>
      <c r="V3494" t="s">
        <v>19359</v>
      </c>
      <c r="W3494" t="s">
        <v>1953</v>
      </c>
      <c r="X3494" t="s">
        <v>10418</v>
      </c>
      <c r="Y3494" t="s">
        <v>5253</v>
      </c>
      <c r="AA3494" t="s">
        <v>5254</v>
      </c>
      <c r="AB3494" t="s">
        <v>10419</v>
      </c>
      <c r="AE3494">
        <v>-39.760551329999998</v>
      </c>
      <c r="AF3494">
        <v>174.63022946999999</v>
      </c>
      <c r="AG3494" s="175">
        <v>30</v>
      </c>
      <c r="AH3494" s="175">
        <v>15</v>
      </c>
      <c r="AI3494" s="175">
        <v>1</v>
      </c>
      <c r="AJ3494" s="175">
        <v>3</v>
      </c>
      <c r="AK3494" s="175">
        <v>1</v>
      </c>
      <c r="AL3494" s="175">
        <v>2</v>
      </c>
      <c r="AM3494" s="175">
        <v>1</v>
      </c>
      <c r="AN3494" s="175">
        <v>0</v>
      </c>
      <c r="AO3494" s="175">
        <v>8</v>
      </c>
      <c r="AP3494" s="175">
        <v>7</v>
      </c>
      <c r="AQ3494" s="175">
        <v>2</v>
      </c>
      <c r="AR3494" s="175">
        <v>0</v>
      </c>
      <c r="AS3494" s="175">
        <v>0</v>
      </c>
      <c r="AT3494" s="175">
        <v>0</v>
      </c>
    </row>
    <row r="3495" spans="1:46">
      <c r="A3495">
        <v>51002</v>
      </c>
      <c r="B3495" t="s">
        <v>19360</v>
      </c>
      <c r="C3495" t="s">
        <v>19361</v>
      </c>
      <c r="D3495" t="s">
        <v>19362</v>
      </c>
      <c r="E3495" t="s">
        <v>19363</v>
      </c>
      <c r="F3495" t="s">
        <v>1967</v>
      </c>
      <c r="G3495" t="s">
        <v>1923</v>
      </c>
      <c r="H3495" t="s">
        <v>301</v>
      </c>
      <c r="J3495" t="s">
        <v>605</v>
      </c>
      <c r="K3495" t="s">
        <v>606</v>
      </c>
      <c r="M3495" t="s">
        <v>1382</v>
      </c>
      <c r="N3495" t="s">
        <v>643</v>
      </c>
      <c r="O3495" t="s">
        <v>1968</v>
      </c>
      <c r="P3495" t="s">
        <v>670</v>
      </c>
      <c r="Q3495" t="s">
        <v>553</v>
      </c>
      <c r="R3495" t="s">
        <v>1841</v>
      </c>
      <c r="S3495" t="s">
        <v>1923</v>
      </c>
      <c r="T3495" t="s">
        <v>1568</v>
      </c>
      <c r="U3495">
        <v>224600</v>
      </c>
      <c r="V3495" t="s">
        <v>19364</v>
      </c>
      <c r="W3495" t="s">
        <v>1734</v>
      </c>
      <c r="X3495" t="s">
        <v>10418</v>
      </c>
      <c r="Y3495" t="s">
        <v>5253</v>
      </c>
      <c r="AA3495" t="s">
        <v>5254</v>
      </c>
      <c r="AB3495" t="s">
        <v>10419</v>
      </c>
      <c r="AE3495">
        <v>-39.891864040000002</v>
      </c>
      <c r="AF3495">
        <v>175.08442692</v>
      </c>
      <c r="AG3495" s="175">
        <v>27</v>
      </c>
      <c r="AH3495" s="175">
        <v>12</v>
      </c>
      <c r="AI3495" s="175">
        <v>2</v>
      </c>
      <c r="AJ3495" s="175">
        <v>2</v>
      </c>
      <c r="AK3495" s="175">
        <v>3</v>
      </c>
      <c r="AL3495" s="175">
        <v>1</v>
      </c>
      <c r="AM3495" s="175">
        <v>0</v>
      </c>
      <c r="AN3495" s="175">
        <v>0</v>
      </c>
      <c r="AO3495" s="175">
        <v>8</v>
      </c>
      <c r="AP3495" s="175">
        <v>8</v>
      </c>
      <c r="AQ3495" s="175">
        <v>1</v>
      </c>
      <c r="AR3495" s="175">
        <v>0</v>
      </c>
      <c r="AS3495" s="175">
        <v>0</v>
      </c>
      <c r="AT3495" s="175">
        <v>0</v>
      </c>
    </row>
    <row r="3496" spans="1:46">
      <c r="A3496">
        <v>51004</v>
      </c>
      <c r="B3496" t="s">
        <v>19365</v>
      </c>
      <c r="C3496" t="s">
        <v>19366</v>
      </c>
      <c r="D3496" t="s">
        <v>19367</v>
      </c>
      <c r="E3496" t="s">
        <v>19368</v>
      </c>
      <c r="F3496" t="s">
        <v>11297</v>
      </c>
      <c r="G3496" t="s">
        <v>1923</v>
      </c>
      <c r="H3496" t="s">
        <v>301</v>
      </c>
      <c r="J3496" t="s">
        <v>605</v>
      </c>
      <c r="K3496" t="s">
        <v>606</v>
      </c>
      <c r="M3496" t="s">
        <v>1382</v>
      </c>
      <c r="N3496" t="s">
        <v>657</v>
      </c>
      <c r="O3496" t="s">
        <v>1968</v>
      </c>
      <c r="P3496" t="s">
        <v>670</v>
      </c>
      <c r="Q3496" t="s">
        <v>553</v>
      </c>
      <c r="R3496" t="s">
        <v>1841</v>
      </c>
      <c r="S3496" t="s">
        <v>1923</v>
      </c>
      <c r="T3496" t="s">
        <v>1568</v>
      </c>
      <c r="U3496">
        <v>224401</v>
      </c>
      <c r="V3496" t="s">
        <v>19369</v>
      </c>
      <c r="W3496" t="s">
        <v>1734</v>
      </c>
      <c r="X3496" t="s">
        <v>10418</v>
      </c>
      <c r="Y3496" t="s">
        <v>5253</v>
      </c>
      <c r="AA3496" t="s">
        <v>5254</v>
      </c>
      <c r="AB3496" t="s">
        <v>10419</v>
      </c>
      <c r="AE3496">
        <v>-39.929097040000002</v>
      </c>
      <c r="AF3496">
        <v>175.01655993</v>
      </c>
      <c r="AG3496" s="175">
        <v>25</v>
      </c>
      <c r="AH3496" s="175">
        <v>20</v>
      </c>
      <c r="AI3496" s="175">
        <v>27</v>
      </c>
      <c r="AJ3496" s="175">
        <v>6</v>
      </c>
      <c r="AK3496" s="175">
        <v>13</v>
      </c>
      <c r="AL3496" s="175">
        <v>0</v>
      </c>
      <c r="AM3496" s="175">
        <v>2</v>
      </c>
      <c r="AN3496" s="175">
        <v>0</v>
      </c>
      <c r="AO3496" s="175">
        <v>48</v>
      </c>
      <c r="AP3496" s="175">
        <v>45</v>
      </c>
      <c r="AQ3496" s="175">
        <v>6</v>
      </c>
      <c r="AR3496" s="175">
        <v>4</v>
      </c>
      <c r="AS3496" s="175">
        <v>2</v>
      </c>
      <c r="AT3496" s="175">
        <v>1</v>
      </c>
    </row>
    <row r="3497" spans="1:46">
      <c r="A3497">
        <v>51005</v>
      </c>
      <c r="B3497" t="s">
        <v>19370</v>
      </c>
      <c r="C3497" t="s">
        <v>19371</v>
      </c>
      <c r="E3497" t="s">
        <v>19372</v>
      </c>
      <c r="G3497" t="s">
        <v>2155</v>
      </c>
      <c r="H3497" t="s">
        <v>301</v>
      </c>
      <c r="J3497" t="s">
        <v>605</v>
      </c>
      <c r="K3497" t="s">
        <v>606</v>
      </c>
      <c r="M3497" t="s">
        <v>1382</v>
      </c>
      <c r="N3497" t="s">
        <v>657</v>
      </c>
      <c r="O3497" t="s">
        <v>2048</v>
      </c>
      <c r="P3497" t="s">
        <v>610</v>
      </c>
      <c r="Q3497" t="s">
        <v>553</v>
      </c>
      <c r="R3497" t="s">
        <v>1841</v>
      </c>
      <c r="S3497" t="s">
        <v>1719</v>
      </c>
      <c r="T3497" t="s">
        <v>1568</v>
      </c>
      <c r="U3497">
        <v>226500</v>
      </c>
      <c r="V3497" t="s">
        <v>2155</v>
      </c>
      <c r="W3497" t="s">
        <v>2156</v>
      </c>
      <c r="X3497" t="s">
        <v>10418</v>
      </c>
      <c r="Y3497" t="s">
        <v>5253</v>
      </c>
      <c r="AA3497" t="s">
        <v>5254</v>
      </c>
      <c r="AB3497" t="s">
        <v>10419</v>
      </c>
      <c r="AE3497">
        <v>-39.677372460000001</v>
      </c>
      <c r="AF3497">
        <v>175.80122175</v>
      </c>
      <c r="AG3497" s="175">
        <v>25</v>
      </c>
      <c r="AH3497" s="175">
        <v>15</v>
      </c>
      <c r="AI3497" s="175">
        <v>1</v>
      </c>
      <c r="AJ3497" s="175">
        <v>3</v>
      </c>
      <c r="AK3497" s="175">
        <v>3</v>
      </c>
      <c r="AL3497" s="175">
        <v>0</v>
      </c>
      <c r="AM3497" s="175">
        <v>1</v>
      </c>
      <c r="AN3497" s="175">
        <v>1</v>
      </c>
      <c r="AO3497" s="175">
        <v>9</v>
      </c>
      <c r="AP3497" s="175">
        <v>9</v>
      </c>
      <c r="AQ3497" s="175">
        <v>3</v>
      </c>
      <c r="AR3497" s="175">
        <v>0</v>
      </c>
      <c r="AS3497" s="175">
        <v>0</v>
      </c>
      <c r="AT3497" s="175">
        <v>0</v>
      </c>
    </row>
    <row r="3498" spans="1:46">
      <c r="A3498">
        <v>51008</v>
      </c>
      <c r="B3498" t="s">
        <v>19373</v>
      </c>
      <c r="E3498" t="s">
        <v>19374</v>
      </c>
      <c r="G3498" t="s">
        <v>19375</v>
      </c>
      <c r="H3498" t="s">
        <v>301</v>
      </c>
      <c r="J3498" t="s">
        <v>605</v>
      </c>
      <c r="K3498" t="s">
        <v>606</v>
      </c>
      <c r="M3498" t="s">
        <v>1382</v>
      </c>
      <c r="N3498" t="s">
        <v>657</v>
      </c>
      <c r="O3498" t="s">
        <v>2048</v>
      </c>
      <c r="P3498" t="s">
        <v>626</v>
      </c>
      <c r="Q3498" t="s">
        <v>553</v>
      </c>
      <c r="R3498" t="s">
        <v>1841</v>
      </c>
      <c r="S3498" t="s">
        <v>1719</v>
      </c>
      <c r="T3498" t="s">
        <v>1568</v>
      </c>
      <c r="U3498">
        <v>226100</v>
      </c>
      <c r="V3498" t="s">
        <v>19376</v>
      </c>
      <c r="W3498" t="s">
        <v>2156</v>
      </c>
      <c r="X3498" t="s">
        <v>10418</v>
      </c>
      <c r="Y3498" t="s">
        <v>5253</v>
      </c>
      <c r="AA3498" t="s">
        <v>5254</v>
      </c>
      <c r="AB3498" t="s">
        <v>10419</v>
      </c>
      <c r="AE3498">
        <v>-39.809355660000001</v>
      </c>
      <c r="AF3498">
        <v>175.78792901</v>
      </c>
      <c r="AG3498" s="175">
        <v>30</v>
      </c>
      <c r="AH3498" s="175">
        <v>15</v>
      </c>
      <c r="AI3498" s="175">
        <v>1</v>
      </c>
      <c r="AJ3498" s="175">
        <v>4</v>
      </c>
      <c r="AK3498" s="175">
        <v>4</v>
      </c>
      <c r="AL3498" s="175">
        <v>4</v>
      </c>
      <c r="AM3498" s="175">
        <v>1</v>
      </c>
      <c r="AN3498" s="175">
        <v>1</v>
      </c>
      <c r="AO3498" s="175">
        <v>15</v>
      </c>
      <c r="AP3498" s="175">
        <v>11</v>
      </c>
      <c r="AQ3498" s="175">
        <v>9</v>
      </c>
      <c r="AR3498" s="175">
        <v>0</v>
      </c>
      <c r="AS3498" s="175">
        <v>1</v>
      </c>
      <c r="AT3498" s="175">
        <v>0</v>
      </c>
    </row>
    <row r="3499" spans="1:46">
      <c r="A3499">
        <v>51009</v>
      </c>
      <c r="B3499" t="s">
        <v>19377</v>
      </c>
      <c r="C3499" t="s">
        <v>19378</v>
      </c>
      <c r="D3499" t="s">
        <v>19379</v>
      </c>
      <c r="E3499" t="s">
        <v>19380</v>
      </c>
      <c r="G3499" t="s">
        <v>19381</v>
      </c>
      <c r="H3499" t="s">
        <v>301</v>
      </c>
      <c r="J3499" t="s">
        <v>605</v>
      </c>
      <c r="K3499" t="s">
        <v>606</v>
      </c>
      <c r="M3499" t="s">
        <v>1382</v>
      </c>
      <c r="N3499" t="s">
        <v>657</v>
      </c>
      <c r="O3499" t="s">
        <v>2048</v>
      </c>
      <c r="P3499" t="s">
        <v>626</v>
      </c>
      <c r="Q3499" t="s">
        <v>553</v>
      </c>
      <c r="R3499" t="s">
        <v>1841</v>
      </c>
      <c r="S3499" t="s">
        <v>1719</v>
      </c>
      <c r="T3499" t="s">
        <v>1568</v>
      </c>
      <c r="U3499">
        <v>226400</v>
      </c>
      <c r="V3499" t="s">
        <v>19382</v>
      </c>
      <c r="W3499" t="s">
        <v>2114</v>
      </c>
      <c r="X3499" t="s">
        <v>10418</v>
      </c>
      <c r="Y3499" t="s">
        <v>5253</v>
      </c>
      <c r="AA3499" t="s">
        <v>5254</v>
      </c>
      <c r="AB3499" t="s">
        <v>10419</v>
      </c>
      <c r="AE3499">
        <v>-39.936142519999997</v>
      </c>
      <c r="AF3499">
        <v>175.56746749999999</v>
      </c>
      <c r="AG3499" s="175">
        <v>30</v>
      </c>
      <c r="AH3499" s="175">
        <v>15</v>
      </c>
      <c r="AI3499" s="175">
        <v>3</v>
      </c>
      <c r="AJ3499" s="175">
        <v>3</v>
      </c>
      <c r="AK3499" s="175">
        <v>5</v>
      </c>
      <c r="AL3499" s="175">
        <v>4</v>
      </c>
      <c r="AM3499" s="175">
        <v>7</v>
      </c>
      <c r="AN3499" s="175">
        <v>0</v>
      </c>
      <c r="AO3499" s="175">
        <v>22</v>
      </c>
      <c r="AP3499" s="175">
        <v>17</v>
      </c>
      <c r="AQ3499" s="175">
        <v>9</v>
      </c>
      <c r="AR3499" s="175">
        <v>3</v>
      </c>
      <c r="AS3499" s="175">
        <v>0</v>
      </c>
      <c r="AT3499" s="175">
        <v>3</v>
      </c>
    </row>
    <row r="3500" spans="1:46">
      <c r="A3500">
        <v>51012</v>
      </c>
      <c r="B3500" t="s">
        <v>19383</v>
      </c>
      <c r="C3500" t="s">
        <v>19384</v>
      </c>
      <c r="D3500" t="s">
        <v>19385</v>
      </c>
      <c r="E3500" t="s">
        <v>19386</v>
      </c>
      <c r="G3500" t="s">
        <v>1923</v>
      </c>
      <c r="H3500" t="s">
        <v>301</v>
      </c>
      <c r="J3500" t="s">
        <v>605</v>
      </c>
      <c r="K3500" t="s">
        <v>606</v>
      </c>
      <c r="M3500" t="s">
        <v>1382</v>
      </c>
      <c r="N3500" t="s">
        <v>657</v>
      </c>
      <c r="O3500" t="s">
        <v>1968</v>
      </c>
      <c r="P3500" t="s">
        <v>658</v>
      </c>
      <c r="Q3500" t="s">
        <v>553</v>
      </c>
      <c r="R3500" t="s">
        <v>1841</v>
      </c>
      <c r="S3500" t="s">
        <v>1923</v>
      </c>
      <c r="T3500" t="s">
        <v>1568</v>
      </c>
      <c r="U3500">
        <v>223400</v>
      </c>
      <c r="V3500" t="s">
        <v>19004</v>
      </c>
      <c r="W3500" t="s">
        <v>1734</v>
      </c>
      <c r="X3500" t="s">
        <v>10418</v>
      </c>
      <c r="Y3500" t="s">
        <v>5253</v>
      </c>
      <c r="AA3500" t="s">
        <v>5254</v>
      </c>
      <c r="AB3500" t="s">
        <v>10419</v>
      </c>
      <c r="AE3500">
        <v>-39.88544667</v>
      </c>
      <c r="AF3500">
        <v>174.91996814000001</v>
      </c>
      <c r="AG3500" s="175">
        <v>30</v>
      </c>
      <c r="AH3500" s="175">
        <v>15</v>
      </c>
      <c r="AI3500" s="175">
        <v>0</v>
      </c>
      <c r="AJ3500" s="175">
        <v>5</v>
      </c>
      <c r="AK3500" s="175">
        <v>0</v>
      </c>
      <c r="AL3500" s="175">
        <v>4</v>
      </c>
      <c r="AM3500" s="175">
        <v>0</v>
      </c>
      <c r="AN3500" s="175">
        <v>1</v>
      </c>
      <c r="AO3500" s="175">
        <v>10</v>
      </c>
      <c r="AP3500" s="175">
        <v>10</v>
      </c>
      <c r="AQ3500" s="175">
        <v>1</v>
      </c>
      <c r="AR3500" s="175">
        <v>2</v>
      </c>
      <c r="AS3500" s="175">
        <v>0</v>
      </c>
      <c r="AT3500" s="175">
        <v>0</v>
      </c>
    </row>
    <row r="3501" spans="1:46">
      <c r="A3501">
        <v>51501</v>
      </c>
      <c r="B3501" t="s">
        <v>19387</v>
      </c>
      <c r="C3501" t="s">
        <v>19192</v>
      </c>
      <c r="D3501" t="s">
        <v>19388</v>
      </c>
      <c r="E3501" t="s">
        <v>19196</v>
      </c>
      <c r="G3501" t="s">
        <v>1923</v>
      </c>
      <c r="H3501" t="s">
        <v>449</v>
      </c>
      <c r="I3501" t="s">
        <v>5838</v>
      </c>
      <c r="J3501" t="s">
        <v>605</v>
      </c>
      <c r="K3501" t="s">
        <v>606</v>
      </c>
      <c r="M3501" t="s">
        <v>1382</v>
      </c>
      <c r="N3501" t="s">
        <v>643</v>
      </c>
      <c r="O3501" t="s">
        <v>1968</v>
      </c>
      <c r="P3501" t="s">
        <v>670</v>
      </c>
      <c r="Q3501" t="s">
        <v>553</v>
      </c>
      <c r="R3501" t="s">
        <v>1841</v>
      </c>
      <c r="S3501" t="s">
        <v>1923</v>
      </c>
      <c r="T3501" t="s">
        <v>1568</v>
      </c>
      <c r="U3501">
        <v>225700</v>
      </c>
      <c r="V3501" t="s">
        <v>10327</v>
      </c>
      <c r="W3501" t="s">
        <v>1734</v>
      </c>
      <c r="X3501" t="s">
        <v>19195</v>
      </c>
      <c r="Y3501" t="s">
        <v>19196</v>
      </c>
      <c r="AA3501" t="s">
        <v>14572</v>
      </c>
      <c r="AB3501" t="s">
        <v>19197</v>
      </c>
      <c r="AC3501">
        <v>99220</v>
      </c>
      <c r="AD3501" t="s">
        <v>1987</v>
      </c>
      <c r="AE3501">
        <v>-39.926893900000003</v>
      </c>
      <c r="AF3501">
        <v>175.04390591000001</v>
      </c>
      <c r="AG3501" s="175">
        <v>84</v>
      </c>
      <c r="AH3501" s="175">
        <v>4</v>
      </c>
      <c r="AI3501" s="175">
        <v>0</v>
      </c>
      <c r="AJ3501" s="175">
        <v>1</v>
      </c>
      <c r="AK3501" s="175">
        <v>33</v>
      </c>
      <c r="AL3501" s="175">
        <v>41</v>
      </c>
      <c r="AM3501" s="175">
        <v>35</v>
      </c>
      <c r="AN3501" s="175">
        <v>2</v>
      </c>
      <c r="AO3501" s="175">
        <v>112</v>
      </c>
      <c r="AP3501" s="175">
        <v>108</v>
      </c>
      <c r="AQ3501" s="175">
        <v>29</v>
      </c>
      <c r="AR3501" s="175">
        <v>4</v>
      </c>
      <c r="AS3501" s="175">
        <v>6</v>
      </c>
      <c r="AT3501" s="175">
        <v>2</v>
      </c>
    </row>
    <row r="3502" spans="1:46">
      <c r="A3502">
        <v>51506</v>
      </c>
      <c r="B3502" t="s">
        <v>19389</v>
      </c>
      <c r="C3502" t="s">
        <v>19390</v>
      </c>
      <c r="E3502" t="s">
        <v>19391</v>
      </c>
      <c r="G3502" t="s">
        <v>2112</v>
      </c>
      <c r="H3502" t="s">
        <v>449</v>
      </c>
      <c r="J3502" t="s">
        <v>4032</v>
      </c>
      <c r="K3502" t="s">
        <v>606</v>
      </c>
      <c r="M3502" t="s">
        <v>1382</v>
      </c>
      <c r="N3502" t="s">
        <v>643</v>
      </c>
      <c r="O3502" t="s">
        <v>2048</v>
      </c>
      <c r="P3502" t="s">
        <v>610</v>
      </c>
      <c r="Q3502" t="s">
        <v>553</v>
      </c>
      <c r="R3502" t="s">
        <v>1841</v>
      </c>
      <c r="S3502" t="s">
        <v>1719</v>
      </c>
      <c r="T3502" t="s">
        <v>1568</v>
      </c>
      <c r="U3502">
        <v>226701</v>
      </c>
      <c r="V3502" t="s">
        <v>3670</v>
      </c>
      <c r="W3502" t="s">
        <v>2114</v>
      </c>
      <c r="X3502" t="s">
        <v>19392</v>
      </c>
      <c r="Y3502" t="s">
        <v>19393</v>
      </c>
      <c r="AA3502" t="s">
        <v>19394</v>
      </c>
      <c r="AB3502" t="s">
        <v>19395</v>
      </c>
      <c r="AC3502">
        <v>99078</v>
      </c>
      <c r="AD3502" t="s">
        <v>2050</v>
      </c>
      <c r="AE3502">
        <v>-40.076426310000002</v>
      </c>
      <c r="AF3502">
        <v>175.37899164000001</v>
      </c>
      <c r="AG3502" s="175">
        <v>25</v>
      </c>
      <c r="AH3502" s="175">
        <v>8</v>
      </c>
      <c r="AI3502" s="175">
        <v>2</v>
      </c>
      <c r="AJ3502" s="175">
        <v>4</v>
      </c>
      <c r="AK3502" s="175">
        <v>6</v>
      </c>
      <c r="AL3502" s="175">
        <v>5</v>
      </c>
      <c r="AM3502" s="175">
        <v>8</v>
      </c>
      <c r="AN3502" s="175">
        <v>0</v>
      </c>
      <c r="AO3502" s="175">
        <v>25</v>
      </c>
      <c r="AP3502" s="175">
        <v>22</v>
      </c>
      <c r="AQ3502" s="175">
        <v>6</v>
      </c>
      <c r="AR3502" s="175">
        <v>0</v>
      </c>
      <c r="AS3502" s="175">
        <v>1</v>
      </c>
      <c r="AT3502" s="175">
        <v>1</v>
      </c>
    </row>
    <row r="3503" spans="1:46">
      <c r="A3503">
        <v>51511</v>
      </c>
      <c r="B3503" t="s">
        <v>19396</v>
      </c>
      <c r="C3503" t="s">
        <v>19397</v>
      </c>
      <c r="E3503" t="s">
        <v>19398</v>
      </c>
      <c r="G3503" t="s">
        <v>2047</v>
      </c>
      <c r="H3503" t="s">
        <v>449</v>
      </c>
      <c r="J3503" t="s">
        <v>4032</v>
      </c>
      <c r="K3503" t="s">
        <v>606</v>
      </c>
      <c r="M3503" t="s">
        <v>1382</v>
      </c>
      <c r="N3503" t="s">
        <v>657</v>
      </c>
      <c r="O3503" t="s">
        <v>2048</v>
      </c>
      <c r="P3503" t="s">
        <v>610</v>
      </c>
      <c r="Q3503" t="s">
        <v>553</v>
      </c>
      <c r="R3503" t="s">
        <v>1841</v>
      </c>
      <c r="S3503" t="s">
        <v>1719</v>
      </c>
      <c r="T3503" t="s">
        <v>1568</v>
      </c>
      <c r="U3503">
        <v>227000</v>
      </c>
      <c r="V3503" t="s">
        <v>2047</v>
      </c>
      <c r="W3503" t="s">
        <v>2049</v>
      </c>
      <c r="X3503" t="s">
        <v>19392</v>
      </c>
      <c r="Y3503" t="s">
        <v>19393</v>
      </c>
      <c r="AA3503" t="s">
        <v>19394</v>
      </c>
      <c r="AB3503" t="s">
        <v>19395</v>
      </c>
      <c r="AC3503">
        <v>99078</v>
      </c>
      <c r="AD3503" t="s">
        <v>2050</v>
      </c>
      <c r="AE3503">
        <v>-40.177462820000002</v>
      </c>
      <c r="AF3503">
        <v>175.38412528000001</v>
      </c>
      <c r="AG3503" s="175">
        <v>23</v>
      </c>
      <c r="AH3503" s="175">
        <v>13</v>
      </c>
      <c r="AI3503" s="175">
        <v>1</v>
      </c>
      <c r="AJ3503" s="175">
        <v>3</v>
      </c>
      <c r="AK3503" s="175">
        <v>11</v>
      </c>
      <c r="AL3503" s="175">
        <v>4</v>
      </c>
      <c r="AM3503" s="175">
        <v>8</v>
      </c>
      <c r="AN3503" s="175">
        <v>0</v>
      </c>
      <c r="AO3503" s="175">
        <v>27</v>
      </c>
      <c r="AP3503" s="175">
        <v>27</v>
      </c>
      <c r="AQ3503" s="175">
        <v>2</v>
      </c>
      <c r="AR3503" s="175">
        <v>0</v>
      </c>
      <c r="AS3503" s="175">
        <v>0</v>
      </c>
      <c r="AT3503" s="175">
        <v>0</v>
      </c>
    </row>
    <row r="3504" spans="1:46">
      <c r="A3504">
        <v>51527</v>
      </c>
      <c r="B3504" t="s">
        <v>19399</v>
      </c>
      <c r="C3504" t="s">
        <v>19400</v>
      </c>
      <c r="D3504" t="s">
        <v>19401</v>
      </c>
      <c r="E3504" t="s">
        <v>19402</v>
      </c>
      <c r="G3504" t="s">
        <v>1923</v>
      </c>
      <c r="H3504" t="s">
        <v>449</v>
      </c>
      <c r="J3504" t="s">
        <v>605</v>
      </c>
      <c r="K3504" t="s">
        <v>606</v>
      </c>
      <c r="M3504" t="s">
        <v>1382</v>
      </c>
      <c r="N3504" t="s">
        <v>657</v>
      </c>
      <c r="O3504" t="s">
        <v>1968</v>
      </c>
      <c r="P3504" t="s">
        <v>658</v>
      </c>
      <c r="Q3504" t="s">
        <v>553</v>
      </c>
      <c r="R3504" t="s">
        <v>1841</v>
      </c>
      <c r="S3504" t="s">
        <v>1923</v>
      </c>
      <c r="T3504" t="s">
        <v>1568</v>
      </c>
      <c r="U3504">
        <v>225600</v>
      </c>
      <c r="V3504" t="s">
        <v>19403</v>
      </c>
      <c r="W3504" t="s">
        <v>1734</v>
      </c>
      <c r="X3504" t="s">
        <v>19404</v>
      </c>
      <c r="Y3504" t="s">
        <v>19405</v>
      </c>
      <c r="Z3504" t="s">
        <v>19406</v>
      </c>
      <c r="AA3504" t="s">
        <v>13295</v>
      </c>
      <c r="AB3504" t="s">
        <v>19407</v>
      </c>
      <c r="AE3504">
        <v>-39.959455679999998</v>
      </c>
      <c r="AF3504">
        <v>175.19925602999999</v>
      </c>
      <c r="AG3504" s="175">
        <v>23</v>
      </c>
      <c r="AH3504" s="175">
        <v>0</v>
      </c>
      <c r="AI3504" s="175">
        <v>0</v>
      </c>
      <c r="AJ3504" s="175">
        <v>0</v>
      </c>
      <c r="AK3504" s="175">
        <v>3</v>
      </c>
      <c r="AL3504" s="175">
        <v>10</v>
      </c>
      <c r="AM3504" s="175">
        <v>9</v>
      </c>
      <c r="AN3504" s="175">
        <v>0</v>
      </c>
      <c r="AO3504" s="175">
        <v>22</v>
      </c>
      <c r="AP3504" s="175">
        <v>19</v>
      </c>
      <c r="AQ3504" s="175">
        <v>5</v>
      </c>
      <c r="AR3504" s="175">
        <v>1</v>
      </c>
      <c r="AS3504" s="175">
        <v>2</v>
      </c>
      <c r="AT3504" s="175">
        <v>1</v>
      </c>
    </row>
    <row r="3505" spans="1:46">
      <c r="A3505">
        <v>51528</v>
      </c>
      <c r="B3505" t="s">
        <v>18876</v>
      </c>
      <c r="C3505" t="s">
        <v>18877</v>
      </c>
      <c r="D3505" t="s">
        <v>18878</v>
      </c>
      <c r="E3505" t="s">
        <v>19408</v>
      </c>
      <c r="F3505" t="s">
        <v>2024</v>
      </c>
      <c r="G3505" t="s">
        <v>1923</v>
      </c>
      <c r="H3505" t="s">
        <v>449</v>
      </c>
      <c r="I3505" t="s">
        <v>4134</v>
      </c>
      <c r="J3505" t="s">
        <v>605</v>
      </c>
      <c r="K3505" t="s">
        <v>606</v>
      </c>
      <c r="M3505" t="s">
        <v>1382</v>
      </c>
      <c r="N3505" t="s">
        <v>3217</v>
      </c>
      <c r="O3505" t="s">
        <v>1968</v>
      </c>
      <c r="P3505" t="s">
        <v>670</v>
      </c>
      <c r="Q3505" t="s">
        <v>553</v>
      </c>
      <c r="R3505" t="s">
        <v>1841</v>
      </c>
      <c r="S3505" t="s">
        <v>1923</v>
      </c>
      <c r="T3505" t="s">
        <v>1568</v>
      </c>
      <c r="U3505">
        <v>223701</v>
      </c>
      <c r="V3505" t="s">
        <v>19409</v>
      </c>
      <c r="W3505" t="s">
        <v>1734</v>
      </c>
      <c r="Y3505" t="s">
        <v>18879</v>
      </c>
      <c r="Z3505" t="s">
        <v>2030</v>
      </c>
      <c r="AA3505" t="s">
        <v>14572</v>
      </c>
      <c r="AC3505">
        <v>99218</v>
      </c>
      <c r="AD3505" t="s">
        <v>1974</v>
      </c>
      <c r="AE3505">
        <v>-39.908260499999997</v>
      </c>
      <c r="AF3505">
        <v>175.02490890000001</v>
      </c>
      <c r="AG3505" s="175">
        <v>0</v>
      </c>
      <c r="AH3505" s="175">
        <v>0</v>
      </c>
      <c r="AI3505" s="175">
        <v>0</v>
      </c>
      <c r="AJ3505" s="175">
        <v>0</v>
      </c>
      <c r="AK3505" s="175">
        <v>7</v>
      </c>
      <c r="AL3505" s="175">
        <v>15</v>
      </c>
      <c r="AM3505" s="175">
        <v>23</v>
      </c>
      <c r="AN3505" s="175">
        <v>2</v>
      </c>
      <c r="AO3505" s="175">
        <v>47</v>
      </c>
      <c r="AP3505" s="175">
        <v>41</v>
      </c>
      <c r="AQ3505" s="175">
        <v>7</v>
      </c>
      <c r="AR3505" s="175">
        <v>0</v>
      </c>
      <c r="AS3505" s="175">
        <v>5</v>
      </c>
      <c r="AT3505" s="175">
        <v>5</v>
      </c>
    </row>
    <row r="3506" spans="1:46">
      <c r="A3506">
        <v>51529</v>
      </c>
      <c r="B3506" t="s">
        <v>19410</v>
      </c>
      <c r="C3506" t="s">
        <v>19411</v>
      </c>
      <c r="D3506" t="s">
        <v>19412</v>
      </c>
      <c r="E3506" t="s">
        <v>19413</v>
      </c>
      <c r="G3506" t="s">
        <v>1923</v>
      </c>
      <c r="H3506" t="s">
        <v>449</v>
      </c>
      <c r="J3506" t="s">
        <v>605</v>
      </c>
      <c r="K3506" t="s">
        <v>606</v>
      </c>
      <c r="M3506" t="s">
        <v>1382</v>
      </c>
      <c r="N3506" t="s">
        <v>643</v>
      </c>
      <c r="O3506" t="s">
        <v>1968</v>
      </c>
      <c r="P3506" t="s">
        <v>670</v>
      </c>
      <c r="Q3506" t="s">
        <v>553</v>
      </c>
      <c r="R3506" t="s">
        <v>1841</v>
      </c>
      <c r="S3506" t="s">
        <v>1923</v>
      </c>
      <c r="T3506" t="s">
        <v>1568</v>
      </c>
      <c r="U3506">
        <v>225400</v>
      </c>
      <c r="V3506" t="s">
        <v>16132</v>
      </c>
      <c r="W3506" t="s">
        <v>1734</v>
      </c>
      <c r="X3506" t="s">
        <v>10463</v>
      </c>
      <c r="Y3506" t="s">
        <v>4014</v>
      </c>
      <c r="Z3506" t="s">
        <v>4015</v>
      </c>
      <c r="AA3506" t="s">
        <v>4016</v>
      </c>
      <c r="AB3506" t="s">
        <v>10464</v>
      </c>
      <c r="AC3506">
        <v>99220</v>
      </c>
      <c r="AD3506" t="s">
        <v>1987</v>
      </c>
      <c r="AE3506">
        <v>-39.9264601</v>
      </c>
      <c r="AF3506">
        <v>175.05002676999999</v>
      </c>
      <c r="AG3506" s="175">
        <v>90</v>
      </c>
      <c r="AH3506" s="175">
        <v>25</v>
      </c>
      <c r="AI3506" s="175">
        <v>3</v>
      </c>
      <c r="AJ3506" s="175">
        <v>19</v>
      </c>
      <c r="AK3506" s="175">
        <v>25</v>
      </c>
      <c r="AL3506" s="175">
        <v>19</v>
      </c>
      <c r="AM3506" s="175">
        <v>23</v>
      </c>
      <c r="AN3506" s="175">
        <v>0</v>
      </c>
      <c r="AO3506" s="175">
        <v>89</v>
      </c>
      <c r="AP3506" s="175">
        <v>67</v>
      </c>
      <c r="AQ3506" s="175">
        <v>36</v>
      </c>
      <c r="AR3506" s="175">
        <v>4</v>
      </c>
      <c r="AS3506" s="175">
        <v>6</v>
      </c>
      <c r="AT3506" s="175">
        <v>10</v>
      </c>
    </row>
    <row r="3507" spans="1:46">
      <c r="A3507">
        <v>51901</v>
      </c>
      <c r="B3507" t="s">
        <v>19414</v>
      </c>
      <c r="C3507" t="s">
        <v>19415</v>
      </c>
      <c r="D3507" t="s">
        <v>19416</v>
      </c>
      <c r="E3507" t="s">
        <v>19417</v>
      </c>
      <c r="G3507" t="s">
        <v>1923</v>
      </c>
      <c r="H3507" t="s">
        <v>449</v>
      </c>
      <c r="J3507" t="s">
        <v>605</v>
      </c>
      <c r="K3507" t="s">
        <v>606</v>
      </c>
      <c r="M3507" t="s">
        <v>1382</v>
      </c>
      <c r="N3507" t="s">
        <v>643</v>
      </c>
      <c r="O3507" t="s">
        <v>1968</v>
      </c>
      <c r="P3507" t="s">
        <v>670</v>
      </c>
      <c r="Q3507" t="s">
        <v>553</v>
      </c>
      <c r="R3507" t="s">
        <v>1841</v>
      </c>
      <c r="S3507" t="s">
        <v>1923</v>
      </c>
      <c r="T3507" t="s">
        <v>1568</v>
      </c>
      <c r="U3507">
        <v>225800</v>
      </c>
      <c r="V3507" t="s">
        <v>13292</v>
      </c>
      <c r="W3507" t="s">
        <v>1734</v>
      </c>
      <c r="X3507" t="s">
        <v>19418</v>
      </c>
      <c r="Y3507" t="s">
        <v>19417</v>
      </c>
      <c r="AA3507" t="s">
        <v>13905</v>
      </c>
      <c r="AB3507" t="s">
        <v>19415</v>
      </c>
      <c r="AE3507">
        <v>-39.945125879999999</v>
      </c>
      <c r="AF3507">
        <v>175.03830088000001</v>
      </c>
      <c r="AG3507" s="175">
        <v>38</v>
      </c>
      <c r="AH3507" s="175">
        <v>12</v>
      </c>
      <c r="AI3507" s="175">
        <v>2</v>
      </c>
      <c r="AJ3507" s="175">
        <v>11</v>
      </c>
      <c r="AK3507" s="175">
        <v>8</v>
      </c>
      <c r="AL3507" s="175">
        <v>12</v>
      </c>
      <c r="AM3507" s="175">
        <v>5</v>
      </c>
      <c r="AN3507" s="175">
        <v>0</v>
      </c>
      <c r="AO3507" s="175">
        <v>38</v>
      </c>
      <c r="AP3507" s="175">
        <v>32</v>
      </c>
      <c r="AQ3507" s="175">
        <v>8</v>
      </c>
      <c r="AR3507" s="175">
        <v>0</v>
      </c>
      <c r="AS3507" s="175">
        <v>4</v>
      </c>
      <c r="AT3507" s="175">
        <v>0</v>
      </c>
    </row>
    <row r="3508" spans="1:46">
      <c r="A3508">
        <v>52003</v>
      </c>
      <c r="B3508" t="s">
        <v>19419</v>
      </c>
      <c r="C3508" t="s">
        <v>19420</v>
      </c>
      <c r="E3508" t="s">
        <v>19421</v>
      </c>
      <c r="F3508" t="s">
        <v>2102</v>
      </c>
      <c r="G3508" t="s">
        <v>2055</v>
      </c>
      <c r="H3508" t="s">
        <v>301</v>
      </c>
      <c r="J3508" t="s">
        <v>605</v>
      </c>
      <c r="K3508" t="s">
        <v>606</v>
      </c>
      <c r="M3508" t="s">
        <v>1382</v>
      </c>
      <c r="N3508" t="s">
        <v>657</v>
      </c>
      <c r="O3508" t="s">
        <v>2037</v>
      </c>
      <c r="P3508" t="s">
        <v>670</v>
      </c>
      <c r="Q3508" t="s">
        <v>553</v>
      </c>
      <c r="R3508" t="s">
        <v>1841</v>
      </c>
      <c r="S3508" t="s">
        <v>2055</v>
      </c>
      <c r="T3508" t="s">
        <v>1568</v>
      </c>
      <c r="U3508">
        <v>229300</v>
      </c>
      <c r="V3508" t="s">
        <v>18414</v>
      </c>
      <c r="W3508" t="s">
        <v>2038</v>
      </c>
      <c r="X3508" t="s">
        <v>10418</v>
      </c>
      <c r="Y3508" t="s">
        <v>5253</v>
      </c>
      <c r="AA3508" t="s">
        <v>5254</v>
      </c>
      <c r="AB3508" t="s">
        <v>10419</v>
      </c>
      <c r="AE3508">
        <v>-40.332132399999999</v>
      </c>
      <c r="AF3508">
        <v>175.61642692999999</v>
      </c>
      <c r="AG3508" s="175">
        <v>21</v>
      </c>
      <c r="AH3508" s="175">
        <v>15</v>
      </c>
      <c r="AI3508" s="175">
        <v>2</v>
      </c>
      <c r="AJ3508" s="175">
        <v>5</v>
      </c>
      <c r="AK3508" s="175">
        <v>7</v>
      </c>
      <c r="AL3508" s="175">
        <v>6</v>
      </c>
      <c r="AM3508" s="175">
        <v>1</v>
      </c>
      <c r="AN3508" s="175">
        <v>1</v>
      </c>
      <c r="AO3508" s="175">
        <v>22</v>
      </c>
      <c r="AP3508" s="175">
        <v>19</v>
      </c>
      <c r="AQ3508" s="175">
        <v>7</v>
      </c>
      <c r="AR3508" s="175">
        <v>2</v>
      </c>
      <c r="AS3508" s="175">
        <v>3</v>
      </c>
      <c r="AT3508" s="175">
        <v>0</v>
      </c>
    </row>
    <row r="3509" spans="1:46">
      <c r="A3509">
        <v>52007</v>
      </c>
      <c r="B3509" t="s">
        <v>19422</v>
      </c>
      <c r="C3509" t="s">
        <v>19423</v>
      </c>
      <c r="E3509" t="s">
        <v>19424</v>
      </c>
      <c r="G3509" t="s">
        <v>2803</v>
      </c>
      <c r="H3509" t="s">
        <v>301</v>
      </c>
      <c r="J3509" t="s">
        <v>605</v>
      </c>
      <c r="K3509" t="s">
        <v>606</v>
      </c>
      <c r="M3509" t="s">
        <v>1382</v>
      </c>
      <c r="N3509" t="s">
        <v>643</v>
      </c>
      <c r="O3509" t="s">
        <v>2147</v>
      </c>
      <c r="P3509" t="s">
        <v>1347</v>
      </c>
      <c r="Q3509" t="s">
        <v>553</v>
      </c>
      <c r="R3509" t="s">
        <v>1841</v>
      </c>
      <c r="S3509" t="s">
        <v>2148</v>
      </c>
      <c r="T3509" t="s">
        <v>1568</v>
      </c>
      <c r="U3509">
        <v>234900</v>
      </c>
      <c r="V3509" t="s">
        <v>3762</v>
      </c>
      <c r="W3509" t="s">
        <v>2805</v>
      </c>
      <c r="X3509" t="s">
        <v>10418</v>
      </c>
      <c r="Y3509" t="s">
        <v>5253</v>
      </c>
      <c r="AA3509" t="s">
        <v>5254</v>
      </c>
      <c r="AB3509" t="s">
        <v>10419</v>
      </c>
      <c r="AE3509">
        <v>-40.615927640000002</v>
      </c>
      <c r="AF3509">
        <v>175.29051810000001</v>
      </c>
      <c r="AG3509" s="175">
        <v>30</v>
      </c>
      <c r="AH3509" s="175">
        <v>15</v>
      </c>
      <c r="AI3509" s="175">
        <v>20</v>
      </c>
      <c r="AJ3509" s="175">
        <v>14</v>
      </c>
      <c r="AK3509" s="175">
        <v>12</v>
      </c>
      <c r="AL3509" s="175">
        <v>4</v>
      </c>
      <c r="AM3509" s="175">
        <v>5</v>
      </c>
      <c r="AN3509" s="175">
        <v>1</v>
      </c>
      <c r="AO3509" s="175">
        <v>56</v>
      </c>
      <c r="AP3509" s="175">
        <v>51</v>
      </c>
      <c r="AQ3509" s="175">
        <v>15</v>
      </c>
      <c r="AR3509" s="175">
        <v>5</v>
      </c>
      <c r="AS3509" s="175">
        <v>7</v>
      </c>
      <c r="AT3509" s="175">
        <v>1</v>
      </c>
    </row>
    <row r="3510" spans="1:46">
      <c r="A3510">
        <v>52008</v>
      </c>
      <c r="B3510" t="s">
        <v>19425</v>
      </c>
      <c r="C3510" t="s">
        <v>19426</v>
      </c>
      <c r="E3510" t="s">
        <v>19427</v>
      </c>
      <c r="G3510" t="s">
        <v>2036</v>
      </c>
      <c r="H3510" t="s">
        <v>301</v>
      </c>
      <c r="J3510" t="s">
        <v>605</v>
      </c>
      <c r="K3510" t="s">
        <v>606</v>
      </c>
      <c r="M3510" t="s">
        <v>1382</v>
      </c>
      <c r="N3510" t="s">
        <v>657</v>
      </c>
      <c r="O3510" t="s">
        <v>2037</v>
      </c>
      <c r="P3510" t="s">
        <v>610</v>
      </c>
      <c r="Q3510" t="s">
        <v>553</v>
      </c>
      <c r="R3510" t="s">
        <v>1841</v>
      </c>
      <c r="S3510" t="s">
        <v>1719</v>
      </c>
      <c r="T3510" t="s">
        <v>1568</v>
      </c>
      <c r="U3510">
        <v>232200</v>
      </c>
      <c r="V3510" t="s">
        <v>2036</v>
      </c>
      <c r="W3510" t="s">
        <v>2038</v>
      </c>
      <c r="X3510" t="s">
        <v>10418</v>
      </c>
      <c r="Y3510" t="s">
        <v>5253</v>
      </c>
      <c r="AA3510" t="s">
        <v>5254</v>
      </c>
      <c r="AB3510" t="s">
        <v>10419</v>
      </c>
      <c r="AE3510">
        <v>-40.288078349999999</v>
      </c>
      <c r="AF3510">
        <v>175.75731865</v>
      </c>
      <c r="AG3510" s="175">
        <v>30</v>
      </c>
      <c r="AH3510" s="175">
        <v>15</v>
      </c>
      <c r="AI3510" s="175">
        <v>1</v>
      </c>
      <c r="AJ3510" s="175">
        <v>4</v>
      </c>
      <c r="AK3510" s="175">
        <v>3</v>
      </c>
      <c r="AL3510" s="175">
        <v>4</v>
      </c>
      <c r="AM3510" s="175">
        <v>1</v>
      </c>
      <c r="AN3510" s="175">
        <v>1</v>
      </c>
      <c r="AO3510" s="175">
        <v>14</v>
      </c>
      <c r="AP3510" s="175">
        <v>14</v>
      </c>
      <c r="AQ3510" s="175">
        <v>3</v>
      </c>
      <c r="AR3510" s="175">
        <v>0</v>
      </c>
      <c r="AS3510" s="175">
        <v>0</v>
      </c>
      <c r="AT3510" s="175">
        <v>0</v>
      </c>
    </row>
    <row r="3511" spans="1:46">
      <c r="A3511">
        <v>52009</v>
      </c>
      <c r="B3511" t="s">
        <v>19428</v>
      </c>
      <c r="C3511" t="s">
        <v>19429</v>
      </c>
      <c r="E3511" t="s">
        <v>19430</v>
      </c>
      <c r="G3511" t="s">
        <v>2068</v>
      </c>
      <c r="H3511" t="s">
        <v>301</v>
      </c>
      <c r="J3511" t="s">
        <v>605</v>
      </c>
      <c r="K3511" t="s">
        <v>606</v>
      </c>
      <c r="M3511" t="s">
        <v>1382</v>
      </c>
      <c r="N3511" t="s">
        <v>643</v>
      </c>
      <c r="O3511" t="s">
        <v>2069</v>
      </c>
      <c r="P3511" t="s">
        <v>1347</v>
      </c>
      <c r="Q3511" t="s">
        <v>553</v>
      </c>
      <c r="R3511" t="s">
        <v>1841</v>
      </c>
      <c r="S3511" t="s">
        <v>1719</v>
      </c>
      <c r="T3511" t="s">
        <v>1568</v>
      </c>
      <c r="U3511">
        <v>228300</v>
      </c>
      <c r="V3511" t="s">
        <v>16903</v>
      </c>
      <c r="W3511" t="s">
        <v>2071</v>
      </c>
      <c r="X3511" t="s">
        <v>10418</v>
      </c>
      <c r="Y3511" t="s">
        <v>5253</v>
      </c>
      <c r="AA3511" t="s">
        <v>5254</v>
      </c>
      <c r="AB3511" t="s">
        <v>10419</v>
      </c>
      <c r="AC3511">
        <v>99134</v>
      </c>
      <c r="AD3511" t="s">
        <v>2072</v>
      </c>
      <c r="AE3511">
        <v>-40.218672660000003</v>
      </c>
      <c r="AF3511">
        <v>175.579151</v>
      </c>
      <c r="AG3511" s="175">
        <v>30</v>
      </c>
      <c r="AH3511" s="175">
        <v>20</v>
      </c>
      <c r="AI3511" s="175">
        <v>6</v>
      </c>
      <c r="AJ3511" s="175">
        <v>11</v>
      </c>
      <c r="AK3511" s="175">
        <v>22</v>
      </c>
      <c r="AL3511" s="175">
        <v>11</v>
      </c>
      <c r="AM3511" s="175">
        <v>11</v>
      </c>
      <c r="AN3511" s="175">
        <v>2</v>
      </c>
      <c r="AO3511" s="175">
        <v>63</v>
      </c>
      <c r="AP3511" s="175">
        <v>61</v>
      </c>
      <c r="AQ3511" s="175">
        <v>17</v>
      </c>
      <c r="AR3511" s="175">
        <v>0</v>
      </c>
      <c r="AS3511" s="175">
        <v>4</v>
      </c>
      <c r="AT3511" s="175">
        <v>1</v>
      </c>
    </row>
    <row r="3512" spans="1:46">
      <c r="A3512">
        <v>52010</v>
      </c>
      <c r="B3512" t="s">
        <v>19431</v>
      </c>
      <c r="C3512" t="s">
        <v>19432</v>
      </c>
      <c r="E3512" t="s">
        <v>19433</v>
      </c>
      <c r="G3512" t="s">
        <v>19434</v>
      </c>
      <c r="H3512" t="s">
        <v>301</v>
      </c>
      <c r="J3512" t="s">
        <v>605</v>
      </c>
      <c r="K3512" t="s">
        <v>606</v>
      </c>
      <c r="M3512" t="s">
        <v>1382</v>
      </c>
      <c r="N3512" t="s">
        <v>657</v>
      </c>
      <c r="O3512" t="s">
        <v>2069</v>
      </c>
      <c r="P3512" t="s">
        <v>626</v>
      </c>
      <c r="Q3512" t="s">
        <v>553</v>
      </c>
      <c r="R3512" t="s">
        <v>1841</v>
      </c>
      <c r="S3512" t="s">
        <v>1719</v>
      </c>
      <c r="T3512" t="s">
        <v>1568</v>
      </c>
      <c r="U3512">
        <v>227200</v>
      </c>
      <c r="V3512" t="s">
        <v>19435</v>
      </c>
      <c r="W3512" t="s">
        <v>12288</v>
      </c>
      <c r="X3512" t="s">
        <v>10418</v>
      </c>
      <c r="Y3512" t="s">
        <v>5253</v>
      </c>
      <c r="AA3512" t="s">
        <v>5254</v>
      </c>
      <c r="AB3512" t="s">
        <v>10419</v>
      </c>
      <c r="AE3512">
        <v>-40.142728730000002</v>
      </c>
      <c r="AF3512">
        <v>175.49385957000001</v>
      </c>
      <c r="AG3512" s="175">
        <v>25</v>
      </c>
      <c r="AH3512" s="175">
        <v>10</v>
      </c>
      <c r="AI3512" s="175">
        <v>3</v>
      </c>
      <c r="AJ3512" s="175">
        <v>8</v>
      </c>
      <c r="AK3512" s="175">
        <v>4</v>
      </c>
      <c r="AL3512" s="175">
        <v>6</v>
      </c>
      <c r="AM3512" s="175">
        <v>0</v>
      </c>
      <c r="AN3512" s="175">
        <v>0</v>
      </c>
      <c r="AO3512" s="175">
        <v>21</v>
      </c>
      <c r="AP3512" s="175">
        <v>19</v>
      </c>
      <c r="AQ3512" s="175">
        <v>3</v>
      </c>
      <c r="AR3512" s="175">
        <v>0</v>
      </c>
      <c r="AS3512" s="175">
        <v>0</v>
      </c>
      <c r="AT3512" s="175">
        <v>0</v>
      </c>
    </row>
    <row r="3513" spans="1:46">
      <c r="A3513">
        <v>52016</v>
      </c>
      <c r="B3513" t="s">
        <v>19436</v>
      </c>
      <c r="C3513" t="s">
        <v>19437</v>
      </c>
      <c r="E3513" t="s">
        <v>19438</v>
      </c>
      <c r="G3513" t="s">
        <v>2068</v>
      </c>
      <c r="H3513" t="s">
        <v>301</v>
      </c>
      <c r="J3513" t="s">
        <v>605</v>
      </c>
      <c r="K3513" t="s">
        <v>606</v>
      </c>
      <c r="M3513" t="s">
        <v>1382</v>
      </c>
      <c r="N3513" t="s">
        <v>657</v>
      </c>
      <c r="O3513" t="s">
        <v>2069</v>
      </c>
      <c r="P3513" t="s">
        <v>658</v>
      </c>
      <c r="Q3513" t="s">
        <v>553</v>
      </c>
      <c r="R3513" t="s">
        <v>1841</v>
      </c>
      <c r="S3513" t="s">
        <v>1719</v>
      </c>
      <c r="T3513" t="s">
        <v>1568</v>
      </c>
      <c r="U3513">
        <v>227100</v>
      </c>
      <c r="V3513" t="s">
        <v>16032</v>
      </c>
      <c r="W3513" t="s">
        <v>12288</v>
      </c>
      <c r="X3513" t="s">
        <v>10418</v>
      </c>
      <c r="Y3513" t="s">
        <v>5253</v>
      </c>
      <c r="AA3513" t="s">
        <v>5254</v>
      </c>
      <c r="AB3513" t="s">
        <v>10419</v>
      </c>
      <c r="AE3513">
        <v>-40.042194680000001</v>
      </c>
      <c r="AF3513">
        <v>175.64139337</v>
      </c>
      <c r="AG3513" s="175">
        <v>30</v>
      </c>
      <c r="AH3513" s="175">
        <v>15</v>
      </c>
      <c r="AI3513" s="175">
        <v>2</v>
      </c>
      <c r="AJ3513" s="175">
        <v>3</v>
      </c>
      <c r="AK3513" s="175">
        <v>3</v>
      </c>
      <c r="AL3513" s="175">
        <v>3</v>
      </c>
      <c r="AM3513" s="175">
        <v>5</v>
      </c>
      <c r="AN3513" s="175">
        <v>0</v>
      </c>
      <c r="AO3513" s="175">
        <v>16</v>
      </c>
      <c r="AP3513" s="175">
        <v>16</v>
      </c>
      <c r="AQ3513" s="175">
        <v>2</v>
      </c>
      <c r="AR3513" s="175">
        <v>0</v>
      </c>
      <c r="AS3513" s="175">
        <v>0</v>
      </c>
      <c r="AT3513" s="175">
        <v>0</v>
      </c>
    </row>
    <row r="3514" spans="1:46">
      <c r="A3514">
        <v>52018</v>
      </c>
      <c r="B3514" t="s">
        <v>19439</v>
      </c>
      <c r="C3514" t="s">
        <v>19440</v>
      </c>
      <c r="E3514" t="s">
        <v>19441</v>
      </c>
      <c r="F3514" t="s">
        <v>2119</v>
      </c>
      <c r="G3514" t="s">
        <v>2055</v>
      </c>
      <c r="H3514" t="s">
        <v>301</v>
      </c>
      <c r="J3514" t="s">
        <v>605</v>
      </c>
      <c r="K3514" t="s">
        <v>606</v>
      </c>
      <c r="M3514" t="s">
        <v>1382</v>
      </c>
      <c r="N3514" t="s">
        <v>657</v>
      </c>
      <c r="O3514" t="s">
        <v>2037</v>
      </c>
      <c r="P3514" t="s">
        <v>670</v>
      </c>
      <c r="Q3514" t="s">
        <v>553</v>
      </c>
      <c r="R3514" t="s">
        <v>1841</v>
      </c>
      <c r="S3514" t="s">
        <v>2055</v>
      </c>
      <c r="T3514" t="s">
        <v>1568</v>
      </c>
      <c r="U3514">
        <v>231500</v>
      </c>
      <c r="V3514" t="s">
        <v>2120</v>
      </c>
      <c r="W3514" t="s">
        <v>2038</v>
      </c>
      <c r="X3514" t="s">
        <v>10418</v>
      </c>
      <c r="Y3514" t="s">
        <v>5253</v>
      </c>
      <c r="AA3514" t="s">
        <v>5254</v>
      </c>
      <c r="AB3514" t="s">
        <v>10419</v>
      </c>
      <c r="AE3514">
        <v>-40.347918249999999</v>
      </c>
      <c r="AF3514">
        <v>175.6485217</v>
      </c>
      <c r="AG3514" s="175">
        <v>30</v>
      </c>
      <c r="AH3514" s="175">
        <v>15</v>
      </c>
      <c r="AI3514" s="175">
        <v>5</v>
      </c>
      <c r="AJ3514" s="175">
        <v>6</v>
      </c>
      <c r="AK3514" s="175">
        <v>7</v>
      </c>
      <c r="AL3514" s="175">
        <v>7</v>
      </c>
      <c r="AM3514" s="175">
        <v>3</v>
      </c>
      <c r="AN3514" s="175">
        <v>1</v>
      </c>
      <c r="AO3514" s="175">
        <v>29</v>
      </c>
      <c r="AP3514" s="175">
        <v>25</v>
      </c>
      <c r="AQ3514" s="175">
        <v>7</v>
      </c>
      <c r="AR3514" s="175">
        <v>0</v>
      </c>
      <c r="AS3514" s="175">
        <v>3</v>
      </c>
      <c r="AT3514" s="175">
        <v>1</v>
      </c>
    </row>
    <row r="3515" spans="1:46">
      <c r="A3515">
        <v>52019</v>
      </c>
      <c r="B3515" t="s">
        <v>19442</v>
      </c>
      <c r="C3515" t="s">
        <v>19443</v>
      </c>
      <c r="E3515" t="s">
        <v>19444</v>
      </c>
      <c r="G3515" t="s">
        <v>19445</v>
      </c>
      <c r="H3515" t="s">
        <v>301</v>
      </c>
      <c r="J3515" t="s">
        <v>605</v>
      </c>
      <c r="K3515" t="s">
        <v>606</v>
      </c>
      <c r="M3515" t="s">
        <v>1382</v>
      </c>
      <c r="N3515" t="s">
        <v>657</v>
      </c>
      <c r="O3515" t="s">
        <v>2069</v>
      </c>
      <c r="P3515" t="s">
        <v>626</v>
      </c>
      <c r="Q3515" t="s">
        <v>553</v>
      </c>
      <c r="R3515" t="s">
        <v>1841</v>
      </c>
      <c r="S3515" t="s">
        <v>1719</v>
      </c>
      <c r="T3515" t="s">
        <v>1568</v>
      </c>
      <c r="U3515">
        <v>227500</v>
      </c>
      <c r="V3515" t="s">
        <v>19446</v>
      </c>
      <c r="W3515" t="s">
        <v>12288</v>
      </c>
      <c r="X3515" t="s">
        <v>10418</v>
      </c>
      <c r="Y3515" t="s">
        <v>5253</v>
      </c>
      <c r="AA3515" t="s">
        <v>5254</v>
      </c>
      <c r="AB3515" t="s">
        <v>10419</v>
      </c>
      <c r="AE3515">
        <v>-40.291535609999997</v>
      </c>
      <c r="AF3515">
        <v>175.42465289</v>
      </c>
      <c r="AG3515" s="175">
        <v>30</v>
      </c>
      <c r="AH3515" s="175">
        <v>15</v>
      </c>
      <c r="AI3515" s="175">
        <v>2</v>
      </c>
      <c r="AJ3515" s="175">
        <v>2</v>
      </c>
      <c r="AK3515" s="175">
        <v>6</v>
      </c>
      <c r="AL3515" s="175">
        <v>5</v>
      </c>
      <c r="AM3515" s="175">
        <v>9</v>
      </c>
      <c r="AN3515" s="175">
        <v>1</v>
      </c>
      <c r="AO3515" s="175">
        <v>25</v>
      </c>
      <c r="AP3515" s="175">
        <v>25</v>
      </c>
      <c r="AQ3515" s="175">
        <v>6</v>
      </c>
      <c r="AR3515" s="175">
        <v>0</v>
      </c>
      <c r="AS3515" s="175">
        <v>0</v>
      </c>
      <c r="AT3515" s="175">
        <v>0</v>
      </c>
    </row>
    <row r="3516" spans="1:46">
      <c r="A3516">
        <v>52020</v>
      </c>
      <c r="B3516" t="s">
        <v>19447</v>
      </c>
      <c r="C3516" t="s">
        <v>19448</v>
      </c>
      <c r="E3516" t="s">
        <v>19449</v>
      </c>
      <c r="G3516" t="s">
        <v>19087</v>
      </c>
      <c r="H3516" t="s">
        <v>301</v>
      </c>
      <c r="J3516" t="s">
        <v>605</v>
      </c>
      <c r="K3516" t="s">
        <v>606</v>
      </c>
      <c r="M3516" t="s">
        <v>1382</v>
      </c>
      <c r="N3516" t="s">
        <v>812</v>
      </c>
      <c r="O3516" t="s">
        <v>2147</v>
      </c>
      <c r="P3516" t="s">
        <v>610</v>
      </c>
      <c r="Q3516" t="s">
        <v>553</v>
      </c>
      <c r="R3516" t="s">
        <v>1841</v>
      </c>
      <c r="S3516" t="s">
        <v>1719</v>
      </c>
      <c r="T3516" t="s">
        <v>1568</v>
      </c>
      <c r="U3516">
        <v>235400</v>
      </c>
      <c r="V3516" t="s">
        <v>19087</v>
      </c>
      <c r="W3516" t="s">
        <v>19088</v>
      </c>
      <c r="X3516" t="s">
        <v>10418</v>
      </c>
      <c r="Y3516" t="s">
        <v>5253</v>
      </c>
      <c r="AA3516" t="s">
        <v>5254</v>
      </c>
      <c r="AB3516" t="s">
        <v>10419</v>
      </c>
      <c r="AE3516">
        <v>-40.549049830000001</v>
      </c>
      <c r="AF3516">
        <v>175.41897981</v>
      </c>
      <c r="AG3516" s="175">
        <v>25</v>
      </c>
      <c r="AH3516" s="175">
        <v>15</v>
      </c>
      <c r="AI3516" s="175">
        <v>1</v>
      </c>
      <c r="AJ3516" s="175">
        <v>0</v>
      </c>
      <c r="AK3516" s="175">
        <v>3</v>
      </c>
      <c r="AL3516" s="175">
        <v>1</v>
      </c>
      <c r="AM3516" s="175">
        <v>0</v>
      </c>
      <c r="AN3516" s="175">
        <v>0</v>
      </c>
      <c r="AO3516" s="175">
        <v>5</v>
      </c>
      <c r="AP3516" s="175">
        <v>3</v>
      </c>
      <c r="AQ3516" s="175">
        <v>2</v>
      </c>
      <c r="AR3516" s="175">
        <v>2</v>
      </c>
      <c r="AS3516" s="175">
        <v>0</v>
      </c>
      <c r="AT3516" s="175">
        <v>1</v>
      </c>
    </row>
    <row r="3517" spans="1:46">
      <c r="A3517">
        <v>52023</v>
      </c>
      <c r="B3517" t="s">
        <v>19450</v>
      </c>
      <c r="C3517" t="s">
        <v>19451</v>
      </c>
      <c r="D3517" t="s">
        <v>19452</v>
      </c>
      <c r="E3517" t="s">
        <v>19453</v>
      </c>
      <c r="G3517" t="s">
        <v>2055</v>
      </c>
      <c r="H3517" t="s">
        <v>301</v>
      </c>
      <c r="J3517" t="s">
        <v>605</v>
      </c>
      <c r="K3517" t="s">
        <v>606</v>
      </c>
      <c r="M3517" t="s">
        <v>1382</v>
      </c>
      <c r="N3517" t="s">
        <v>4586</v>
      </c>
      <c r="O3517" t="s">
        <v>2037</v>
      </c>
      <c r="P3517" t="s">
        <v>670</v>
      </c>
      <c r="Q3517" t="s">
        <v>553</v>
      </c>
      <c r="R3517" t="s">
        <v>1841</v>
      </c>
      <c r="S3517" t="s">
        <v>2055</v>
      </c>
      <c r="T3517" t="s">
        <v>1568</v>
      </c>
      <c r="U3517">
        <v>231600</v>
      </c>
      <c r="V3517" t="s">
        <v>19454</v>
      </c>
      <c r="W3517" t="s">
        <v>2038</v>
      </c>
      <c r="X3517" t="s">
        <v>10418</v>
      </c>
      <c r="Y3517" t="s">
        <v>5253</v>
      </c>
      <c r="AA3517" t="s">
        <v>5254</v>
      </c>
      <c r="AB3517" t="s">
        <v>10419</v>
      </c>
      <c r="AC3517">
        <v>99165</v>
      </c>
      <c r="AD3517" t="s">
        <v>2057</v>
      </c>
      <c r="AE3517">
        <v>-40.367322770000001</v>
      </c>
      <c r="AF3517">
        <v>175.61749526</v>
      </c>
      <c r="AG3517" s="175">
        <v>30</v>
      </c>
      <c r="AH3517" s="175">
        <v>15</v>
      </c>
      <c r="AI3517" s="175">
        <v>6</v>
      </c>
      <c r="AJ3517" s="175">
        <v>10</v>
      </c>
      <c r="AK3517" s="175">
        <v>15</v>
      </c>
      <c r="AL3517" s="175">
        <v>10</v>
      </c>
      <c r="AM3517" s="175">
        <v>8</v>
      </c>
      <c r="AN3517" s="175">
        <v>2</v>
      </c>
      <c r="AO3517" s="175">
        <v>51</v>
      </c>
      <c r="AP3517" s="175">
        <v>49</v>
      </c>
      <c r="AQ3517" s="175">
        <v>6</v>
      </c>
      <c r="AR3517" s="175">
        <v>0</v>
      </c>
      <c r="AS3517" s="175">
        <v>0</v>
      </c>
      <c r="AT3517" s="175">
        <v>2</v>
      </c>
    </row>
    <row r="3518" spans="1:46">
      <c r="A3518">
        <v>52024</v>
      </c>
      <c r="B3518" t="s">
        <v>19455</v>
      </c>
      <c r="C3518" t="s">
        <v>19456</v>
      </c>
      <c r="D3518" t="s">
        <v>19457</v>
      </c>
      <c r="E3518" t="s">
        <v>19458</v>
      </c>
      <c r="G3518" t="s">
        <v>19459</v>
      </c>
      <c r="H3518" t="s">
        <v>301</v>
      </c>
      <c r="J3518" t="s">
        <v>605</v>
      </c>
      <c r="K3518" t="s">
        <v>606</v>
      </c>
      <c r="M3518" t="s">
        <v>1382</v>
      </c>
      <c r="N3518" t="s">
        <v>657</v>
      </c>
      <c r="O3518" t="s">
        <v>2147</v>
      </c>
      <c r="P3518" t="s">
        <v>626</v>
      </c>
      <c r="Q3518" t="s">
        <v>553</v>
      </c>
      <c r="R3518" t="s">
        <v>1841</v>
      </c>
      <c r="S3518" t="s">
        <v>2148</v>
      </c>
      <c r="T3518" t="s">
        <v>1568</v>
      </c>
      <c r="U3518">
        <v>234801</v>
      </c>
      <c r="V3518" t="s">
        <v>10474</v>
      </c>
      <c r="W3518" t="s">
        <v>10475</v>
      </c>
      <c r="X3518" t="s">
        <v>10418</v>
      </c>
      <c r="Y3518" t="s">
        <v>5253</v>
      </c>
      <c r="AA3518" t="s">
        <v>5254</v>
      </c>
      <c r="AB3518" t="s">
        <v>10419</v>
      </c>
      <c r="AE3518">
        <v>-40.662624030000003</v>
      </c>
      <c r="AF3518">
        <v>175.25130419999999</v>
      </c>
      <c r="AG3518" s="175">
        <v>30</v>
      </c>
      <c r="AH3518" s="175">
        <v>20</v>
      </c>
      <c r="AI3518" s="175">
        <v>2</v>
      </c>
      <c r="AJ3518" s="175">
        <v>1</v>
      </c>
      <c r="AK3518" s="175">
        <v>5</v>
      </c>
      <c r="AL3518" s="175">
        <v>1</v>
      </c>
      <c r="AM3518" s="175">
        <v>1</v>
      </c>
      <c r="AN3518" s="175">
        <v>0</v>
      </c>
      <c r="AO3518" s="175">
        <v>10</v>
      </c>
      <c r="AP3518" s="175">
        <v>10</v>
      </c>
      <c r="AQ3518" s="175">
        <v>1</v>
      </c>
      <c r="AR3518" s="175">
        <v>2</v>
      </c>
      <c r="AS3518" s="175">
        <v>0</v>
      </c>
      <c r="AT3518" s="175">
        <v>0</v>
      </c>
    </row>
    <row r="3519" spans="1:46">
      <c r="A3519">
        <v>52500</v>
      </c>
      <c r="B3519" t="s">
        <v>19460</v>
      </c>
      <c r="C3519" t="s">
        <v>19461</v>
      </c>
      <c r="E3519" t="s">
        <v>19462</v>
      </c>
      <c r="G3519" t="s">
        <v>2068</v>
      </c>
      <c r="H3519" t="s">
        <v>449</v>
      </c>
      <c r="J3519" t="s">
        <v>4032</v>
      </c>
      <c r="K3519" t="s">
        <v>606</v>
      </c>
      <c r="M3519" t="s">
        <v>1382</v>
      </c>
      <c r="N3519" t="s">
        <v>643</v>
      </c>
      <c r="O3519" t="s">
        <v>2069</v>
      </c>
      <c r="P3519" t="s">
        <v>1347</v>
      </c>
      <c r="Q3519" t="s">
        <v>553</v>
      </c>
      <c r="R3519" t="s">
        <v>1841</v>
      </c>
      <c r="S3519" t="s">
        <v>1719</v>
      </c>
      <c r="T3519" t="s">
        <v>1568</v>
      </c>
      <c r="U3519">
        <v>228100</v>
      </c>
      <c r="V3519" t="s">
        <v>19463</v>
      </c>
      <c r="W3519" t="s">
        <v>2071</v>
      </c>
      <c r="X3519" t="s">
        <v>10412</v>
      </c>
      <c r="Y3519" t="s">
        <v>19464</v>
      </c>
      <c r="AA3519" t="s">
        <v>15239</v>
      </c>
      <c r="AB3519" t="s">
        <v>10408</v>
      </c>
      <c r="AC3519">
        <v>99134</v>
      </c>
      <c r="AD3519" t="s">
        <v>2072</v>
      </c>
      <c r="AE3519">
        <v>-40.215616699999998</v>
      </c>
      <c r="AF3519">
        <v>175.5759821</v>
      </c>
      <c r="AG3519" s="175">
        <v>82</v>
      </c>
      <c r="AH3519" s="175">
        <v>25</v>
      </c>
      <c r="AI3519" s="175">
        <v>3</v>
      </c>
      <c r="AJ3519" s="175">
        <v>14</v>
      </c>
      <c r="AK3519" s="175">
        <v>22</v>
      </c>
      <c r="AL3519" s="175">
        <v>21</v>
      </c>
      <c r="AM3519" s="175">
        <v>20</v>
      </c>
      <c r="AN3519" s="175">
        <v>0</v>
      </c>
      <c r="AO3519" s="175">
        <v>80</v>
      </c>
      <c r="AP3519" s="175">
        <v>51</v>
      </c>
      <c r="AQ3519" s="175">
        <v>38</v>
      </c>
      <c r="AR3519" s="175">
        <v>8</v>
      </c>
      <c r="AS3519" s="175">
        <v>6</v>
      </c>
      <c r="AT3519" s="175">
        <v>2</v>
      </c>
    </row>
    <row r="3520" spans="1:46">
      <c r="A3520">
        <v>52502</v>
      </c>
      <c r="B3520" t="s">
        <v>19465</v>
      </c>
      <c r="C3520" t="s">
        <v>19466</v>
      </c>
      <c r="D3520" t="s">
        <v>19467</v>
      </c>
      <c r="E3520" t="s">
        <v>19468</v>
      </c>
      <c r="G3520" t="s">
        <v>2803</v>
      </c>
      <c r="H3520" t="s">
        <v>452</v>
      </c>
      <c r="J3520" t="s">
        <v>605</v>
      </c>
      <c r="K3520" t="s">
        <v>606</v>
      </c>
      <c r="M3520" t="s">
        <v>2366</v>
      </c>
      <c r="N3520" t="s">
        <v>625</v>
      </c>
      <c r="O3520" t="s">
        <v>2147</v>
      </c>
      <c r="P3520" t="s">
        <v>1347</v>
      </c>
      <c r="Q3520" t="s">
        <v>553</v>
      </c>
      <c r="R3520" t="s">
        <v>2368</v>
      </c>
      <c r="S3520" t="s">
        <v>2148</v>
      </c>
      <c r="T3520" t="s">
        <v>1568</v>
      </c>
      <c r="U3520">
        <v>235200</v>
      </c>
      <c r="V3520" t="s">
        <v>3716</v>
      </c>
      <c r="W3520" t="s">
        <v>2805</v>
      </c>
      <c r="X3520" t="s">
        <v>1970</v>
      </c>
      <c r="Y3520" t="s">
        <v>1971</v>
      </c>
      <c r="AA3520" t="s">
        <v>1972</v>
      </c>
      <c r="AB3520" t="s">
        <v>1973</v>
      </c>
      <c r="AC3520">
        <v>99058</v>
      </c>
      <c r="AD3520" t="s">
        <v>2806</v>
      </c>
      <c r="AE3520">
        <v>-40.627471980000003</v>
      </c>
      <c r="AF3520">
        <v>175.28412969999999</v>
      </c>
      <c r="AG3520" s="175">
        <v>46</v>
      </c>
      <c r="AH3520" s="175">
        <v>12</v>
      </c>
      <c r="AI3520" s="175">
        <v>1</v>
      </c>
      <c r="AJ3520" s="175">
        <v>6</v>
      </c>
      <c r="AK3520" s="175">
        <v>9</v>
      </c>
      <c r="AL3520" s="175">
        <v>17</v>
      </c>
      <c r="AM3520" s="175">
        <v>14</v>
      </c>
      <c r="AN3520" s="175">
        <v>0</v>
      </c>
      <c r="AO3520" s="175">
        <v>47</v>
      </c>
      <c r="AP3520" s="175">
        <v>17</v>
      </c>
      <c r="AQ3520" s="175">
        <v>25</v>
      </c>
      <c r="AR3520" s="175">
        <v>12</v>
      </c>
      <c r="AS3520" s="175">
        <v>5</v>
      </c>
      <c r="AT3520" s="175">
        <v>6</v>
      </c>
    </row>
    <row r="3521" spans="1:46">
      <c r="A3521">
        <v>52503</v>
      </c>
      <c r="B3521" t="s">
        <v>19469</v>
      </c>
      <c r="C3521" t="s">
        <v>19470</v>
      </c>
      <c r="E3521" t="s">
        <v>19471</v>
      </c>
      <c r="F3521" t="s">
        <v>19472</v>
      </c>
      <c r="G3521" t="s">
        <v>2055</v>
      </c>
      <c r="H3521" t="s">
        <v>450</v>
      </c>
      <c r="J3521" t="s">
        <v>605</v>
      </c>
      <c r="K3521" t="s">
        <v>606</v>
      </c>
      <c r="M3521" t="s">
        <v>1382</v>
      </c>
      <c r="N3521" t="s">
        <v>643</v>
      </c>
      <c r="O3521" t="s">
        <v>2037</v>
      </c>
      <c r="P3521" t="s">
        <v>670</v>
      </c>
      <c r="Q3521" t="s">
        <v>553</v>
      </c>
      <c r="R3521" t="s">
        <v>1841</v>
      </c>
      <c r="S3521" t="s">
        <v>2055</v>
      </c>
      <c r="T3521" t="s">
        <v>1568</v>
      </c>
      <c r="U3521">
        <v>230600</v>
      </c>
      <c r="V3521" t="s">
        <v>2056</v>
      </c>
      <c r="W3521" t="s">
        <v>2038</v>
      </c>
      <c r="X3521" t="s">
        <v>19473</v>
      </c>
      <c r="Y3521" t="s">
        <v>6434</v>
      </c>
      <c r="Z3521" t="s">
        <v>4622</v>
      </c>
      <c r="AA3521" t="s">
        <v>4623</v>
      </c>
      <c r="AE3521">
        <v>-40.350026870000001</v>
      </c>
      <c r="AF3521">
        <v>175.61633069000001</v>
      </c>
      <c r="AG3521" s="175">
        <v>80</v>
      </c>
      <c r="AH3521" s="175">
        <v>80</v>
      </c>
      <c r="AI3521" s="175">
        <v>2</v>
      </c>
      <c r="AJ3521" s="175">
        <v>12</v>
      </c>
      <c r="AK3521" s="175">
        <v>9</v>
      </c>
      <c r="AL3521" s="175">
        <v>6</v>
      </c>
      <c r="AM3521" s="175">
        <v>3</v>
      </c>
      <c r="AN3521" s="175">
        <v>1</v>
      </c>
      <c r="AO3521" s="175">
        <v>33</v>
      </c>
      <c r="AP3521" s="175">
        <v>27</v>
      </c>
      <c r="AQ3521" s="175">
        <v>9</v>
      </c>
      <c r="AR3521" s="175">
        <v>0</v>
      </c>
      <c r="AS3521" s="175">
        <v>2</v>
      </c>
      <c r="AT3521" s="175">
        <v>0</v>
      </c>
    </row>
    <row r="3522" spans="1:46">
      <c r="A3522">
        <v>52506</v>
      </c>
      <c r="B3522" t="s">
        <v>19474</v>
      </c>
      <c r="C3522" t="s">
        <v>19475</v>
      </c>
      <c r="D3522" t="s">
        <v>19476</v>
      </c>
      <c r="E3522" t="s">
        <v>19477</v>
      </c>
      <c r="G3522" t="s">
        <v>2803</v>
      </c>
      <c r="H3522" t="s">
        <v>449</v>
      </c>
      <c r="I3522" t="s">
        <v>5838</v>
      </c>
      <c r="J3522" t="s">
        <v>605</v>
      </c>
      <c r="K3522" t="s">
        <v>606</v>
      </c>
      <c r="M3522" t="s">
        <v>2366</v>
      </c>
      <c r="N3522" t="s">
        <v>643</v>
      </c>
      <c r="O3522" t="s">
        <v>2147</v>
      </c>
      <c r="P3522" t="s">
        <v>1347</v>
      </c>
      <c r="Q3522" t="s">
        <v>553</v>
      </c>
      <c r="R3522" t="s">
        <v>2368</v>
      </c>
      <c r="S3522" t="s">
        <v>2148</v>
      </c>
      <c r="T3522" t="s">
        <v>1568</v>
      </c>
      <c r="U3522">
        <v>235500</v>
      </c>
      <c r="V3522" t="s">
        <v>10459</v>
      </c>
      <c r="W3522" t="s">
        <v>2805</v>
      </c>
      <c r="X3522" t="s">
        <v>19478</v>
      </c>
      <c r="Y3522" t="s">
        <v>19479</v>
      </c>
      <c r="Z3522" t="s">
        <v>2803</v>
      </c>
      <c r="AA3522" t="s">
        <v>19480</v>
      </c>
      <c r="AB3522" t="s">
        <v>19481</v>
      </c>
      <c r="AC3522">
        <v>99058</v>
      </c>
      <c r="AD3522" t="s">
        <v>2806</v>
      </c>
      <c r="AE3522">
        <v>-40.622718829999997</v>
      </c>
      <c r="AF3522">
        <v>175.2929662</v>
      </c>
      <c r="AG3522" s="175">
        <v>40</v>
      </c>
      <c r="AH3522" s="175">
        <v>0</v>
      </c>
      <c r="AI3522" s="175">
        <v>0</v>
      </c>
      <c r="AJ3522" s="175">
        <v>0</v>
      </c>
      <c r="AK3522" s="175">
        <v>2</v>
      </c>
      <c r="AL3522" s="175">
        <v>18</v>
      </c>
      <c r="AM3522" s="175">
        <v>27</v>
      </c>
      <c r="AN3522" s="175">
        <v>2</v>
      </c>
      <c r="AO3522" s="175">
        <v>49</v>
      </c>
      <c r="AP3522" s="175">
        <v>29</v>
      </c>
      <c r="AQ3522" s="175">
        <v>11</v>
      </c>
      <c r="AR3522" s="175">
        <v>10</v>
      </c>
      <c r="AS3522" s="175">
        <v>11</v>
      </c>
      <c r="AT3522" s="175">
        <v>2</v>
      </c>
    </row>
    <row r="3523" spans="1:46">
      <c r="A3523">
        <v>52512</v>
      </c>
      <c r="B3523" t="s">
        <v>19482</v>
      </c>
      <c r="C3523" t="s">
        <v>19483</v>
      </c>
      <c r="D3523" t="s">
        <v>19484</v>
      </c>
      <c r="E3523" t="s">
        <v>19485</v>
      </c>
      <c r="G3523" t="s">
        <v>2068</v>
      </c>
      <c r="H3523" t="s">
        <v>449</v>
      </c>
      <c r="I3523" t="s">
        <v>19486</v>
      </c>
      <c r="J3523" t="s">
        <v>605</v>
      </c>
      <c r="K3523" t="s">
        <v>606</v>
      </c>
      <c r="M3523" t="s">
        <v>1382</v>
      </c>
      <c r="N3523" t="s">
        <v>643</v>
      </c>
      <c r="O3523" t="s">
        <v>2069</v>
      </c>
      <c r="P3523" t="s">
        <v>1347</v>
      </c>
      <c r="Q3523" t="s">
        <v>553</v>
      </c>
      <c r="R3523" t="s">
        <v>1841</v>
      </c>
      <c r="S3523" t="s">
        <v>1719</v>
      </c>
      <c r="T3523" t="s">
        <v>1568</v>
      </c>
      <c r="U3523">
        <v>228300</v>
      </c>
      <c r="V3523" t="s">
        <v>16903</v>
      </c>
      <c r="W3523" t="s">
        <v>2071</v>
      </c>
      <c r="X3523" t="s">
        <v>19487</v>
      </c>
      <c r="Y3523" t="s">
        <v>19485</v>
      </c>
      <c r="Z3523" t="s">
        <v>2068</v>
      </c>
      <c r="AA3523" t="s">
        <v>19488</v>
      </c>
      <c r="AB3523" t="s">
        <v>19483</v>
      </c>
      <c r="AE3523">
        <v>-40.214827589999999</v>
      </c>
      <c r="AF3523">
        <v>175.56629462999999</v>
      </c>
      <c r="AG3523" s="175">
        <v>50</v>
      </c>
      <c r="AH3523" s="175">
        <v>0</v>
      </c>
      <c r="AI3523" s="175">
        <v>0</v>
      </c>
      <c r="AJ3523" s="175">
        <v>0</v>
      </c>
      <c r="AK3523" s="175">
        <v>4</v>
      </c>
      <c r="AL3523" s="175">
        <v>24</v>
      </c>
      <c r="AM3523" s="175">
        <v>26</v>
      </c>
      <c r="AN3523" s="175">
        <v>2</v>
      </c>
      <c r="AO3523" s="175">
        <v>56</v>
      </c>
      <c r="AP3523" s="175">
        <v>45</v>
      </c>
      <c r="AQ3523" s="175">
        <v>6</v>
      </c>
      <c r="AR3523" s="175">
        <v>6</v>
      </c>
      <c r="AS3523" s="175">
        <v>2</v>
      </c>
      <c r="AT3523" s="175">
        <v>3</v>
      </c>
    </row>
    <row r="3524" spans="1:46">
      <c r="A3524">
        <v>52516</v>
      </c>
      <c r="B3524" t="s">
        <v>19489</v>
      </c>
      <c r="C3524" t="s">
        <v>19490</v>
      </c>
      <c r="E3524" t="s">
        <v>19491</v>
      </c>
      <c r="F3524" t="s">
        <v>12805</v>
      </c>
      <c r="G3524" t="s">
        <v>2055</v>
      </c>
      <c r="H3524" t="s">
        <v>449</v>
      </c>
      <c r="J3524" t="s">
        <v>605</v>
      </c>
      <c r="K3524" t="s">
        <v>606</v>
      </c>
      <c r="M3524" t="s">
        <v>1382</v>
      </c>
      <c r="N3524" t="s">
        <v>657</v>
      </c>
      <c r="O3524" t="s">
        <v>2037</v>
      </c>
      <c r="P3524" t="s">
        <v>670</v>
      </c>
      <c r="Q3524" t="s">
        <v>553</v>
      </c>
      <c r="R3524" t="s">
        <v>1841</v>
      </c>
      <c r="S3524" t="s">
        <v>1719</v>
      </c>
      <c r="T3524" t="s">
        <v>1568</v>
      </c>
      <c r="U3524">
        <v>231900</v>
      </c>
      <c r="V3524" t="s">
        <v>10391</v>
      </c>
      <c r="W3524" t="s">
        <v>2038</v>
      </c>
      <c r="X3524" t="s">
        <v>19492</v>
      </c>
      <c r="Y3524" t="s">
        <v>19493</v>
      </c>
      <c r="Z3524" t="s">
        <v>2119</v>
      </c>
      <c r="AA3524" t="s">
        <v>19494</v>
      </c>
      <c r="AB3524" t="s">
        <v>19490</v>
      </c>
      <c r="AE3524">
        <v>-40.377468409999999</v>
      </c>
      <c r="AF3524">
        <v>175.61863632999999</v>
      </c>
      <c r="AG3524" s="175">
        <v>105</v>
      </c>
      <c r="AH3524" s="175">
        <v>35</v>
      </c>
      <c r="AI3524" s="175">
        <v>5</v>
      </c>
      <c r="AJ3524" s="175">
        <v>15</v>
      </c>
      <c r="AK3524" s="175">
        <v>23</v>
      </c>
      <c r="AL3524" s="175">
        <v>20</v>
      </c>
      <c r="AM3524" s="175">
        <v>10</v>
      </c>
      <c r="AN3524" s="175">
        <v>0</v>
      </c>
      <c r="AO3524" s="175">
        <v>73</v>
      </c>
      <c r="AP3524" s="175">
        <v>58</v>
      </c>
      <c r="AQ3524" s="175">
        <v>15</v>
      </c>
      <c r="AR3524" s="175">
        <v>2</v>
      </c>
      <c r="AS3524" s="175">
        <v>15</v>
      </c>
      <c r="AT3524" s="175">
        <v>8</v>
      </c>
    </row>
    <row r="3525" spans="1:46">
      <c r="A3525">
        <v>52518</v>
      </c>
      <c r="B3525" t="s">
        <v>19495</v>
      </c>
      <c r="C3525" t="s">
        <v>19496</v>
      </c>
      <c r="D3525" t="s">
        <v>19497</v>
      </c>
      <c r="E3525" t="s">
        <v>19498</v>
      </c>
      <c r="F3525" t="s">
        <v>2140</v>
      </c>
      <c r="G3525" t="s">
        <v>2055</v>
      </c>
      <c r="H3525" t="s">
        <v>449</v>
      </c>
      <c r="J3525" t="s">
        <v>4032</v>
      </c>
      <c r="K3525" t="s">
        <v>606</v>
      </c>
      <c r="M3525" t="s">
        <v>1382</v>
      </c>
      <c r="N3525" t="s">
        <v>657</v>
      </c>
      <c r="O3525" t="s">
        <v>2037</v>
      </c>
      <c r="P3525" t="s">
        <v>670</v>
      </c>
      <c r="Q3525" t="s">
        <v>553</v>
      </c>
      <c r="R3525" t="s">
        <v>1841</v>
      </c>
      <c r="S3525" t="s">
        <v>2055</v>
      </c>
      <c r="T3525" t="s">
        <v>1568</v>
      </c>
      <c r="U3525">
        <v>230700</v>
      </c>
      <c r="V3525" t="s">
        <v>2141</v>
      </c>
      <c r="W3525" t="s">
        <v>2038</v>
      </c>
      <c r="X3525" t="s">
        <v>19499</v>
      </c>
      <c r="Y3525" t="s">
        <v>19500</v>
      </c>
      <c r="AA3525" t="s">
        <v>19501</v>
      </c>
      <c r="AE3525">
        <v>-40.37543934</v>
      </c>
      <c r="AF3525">
        <v>175.58187394999999</v>
      </c>
      <c r="AG3525" s="175">
        <v>50</v>
      </c>
      <c r="AH3525" s="175">
        <v>0</v>
      </c>
      <c r="AI3525" s="175">
        <v>0</v>
      </c>
      <c r="AJ3525" s="175">
        <v>0</v>
      </c>
      <c r="AK3525" s="175">
        <v>7</v>
      </c>
      <c r="AL3525" s="175">
        <v>21</v>
      </c>
      <c r="AM3525" s="175">
        <v>17</v>
      </c>
      <c r="AN3525" s="175">
        <v>2</v>
      </c>
      <c r="AO3525" s="175">
        <v>47</v>
      </c>
      <c r="AP3525" s="175">
        <v>39</v>
      </c>
      <c r="AQ3525" s="175">
        <v>6</v>
      </c>
      <c r="AR3525" s="175">
        <v>0</v>
      </c>
      <c r="AS3525" s="175">
        <v>6</v>
      </c>
      <c r="AT3525" s="175">
        <v>6</v>
      </c>
    </row>
    <row r="3526" spans="1:46">
      <c r="A3526">
        <v>52525</v>
      </c>
      <c r="B3526" t="s">
        <v>19502</v>
      </c>
      <c r="C3526" t="s">
        <v>19503</v>
      </c>
      <c r="D3526" t="s">
        <v>19504</v>
      </c>
      <c r="E3526" t="s">
        <v>19505</v>
      </c>
      <c r="F3526" t="s">
        <v>10390</v>
      </c>
      <c r="G3526" t="s">
        <v>2055</v>
      </c>
      <c r="H3526" t="s">
        <v>449</v>
      </c>
      <c r="J3526" t="s">
        <v>605</v>
      </c>
      <c r="K3526" t="s">
        <v>606</v>
      </c>
      <c r="M3526" t="s">
        <v>1382</v>
      </c>
      <c r="N3526" t="s">
        <v>657</v>
      </c>
      <c r="O3526" t="s">
        <v>2037</v>
      </c>
      <c r="P3526" t="s">
        <v>670</v>
      </c>
      <c r="Q3526" t="s">
        <v>553</v>
      </c>
      <c r="R3526" t="s">
        <v>1841</v>
      </c>
      <c r="S3526" t="s">
        <v>1719</v>
      </c>
      <c r="T3526" t="s">
        <v>1568</v>
      </c>
      <c r="U3526">
        <v>231900</v>
      </c>
      <c r="V3526" t="s">
        <v>10391</v>
      </c>
      <c r="W3526" t="s">
        <v>2038</v>
      </c>
      <c r="X3526" t="s">
        <v>19506</v>
      </c>
      <c r="Y3526" t="s">
        <v>17648</v>
      </c>
      <c r="AA3526" t="s">
        <v>17649</v>
      </c>
      <c r="AB3526" t="s">
        <v>19507</v>
      </c>
      <c r="AE3526">
        <v>-40.389768670000002</v>
      </c>
      <c r="AF3526">
        <v>175.61572984</v>
      </c>
      <c r="AG3526" s="175">
        <v>130</v>
      </c>
      <c r="AH3526" s="175">
        <v>40</v>
      </c>
      <c r="AI3526" s="175">
        <v>3</v>
      </c>
      <c r="AJ3526" s="175">
        <v>18</v>
      </c>
      <c r="AK3526" s="175">
        <v>19</v>
      </c>
      <c r="AL3526" s="175">
        <v>30</v>
      </c>
      <c r="AM3526" s="175">
        <v>19</v>
      </c>
      <c r="AN3526" s="175">
        <v>0</v>
      </c>
      <c r="AO3526" s="175">
        <v>89</v>
      </c>
      <c r="AP3526" s="175">
        <v>73</v>
      </c>
      <c r="AQ3526" s="175">
        <v>11</v>
      </c>
      <c r="AR3526" s="175">
        <v>3</v>
      </c>
      <c r="AS3526" s="175">
        <v>12</v>
      </c>
      <c r="AT3526" s="175">
        <v>7</v>
      </c>
    </row>
    <row r="3527" spans="1:46">
      <c r="A3527">
        <v>52526</v>
      </c>
      <c r="B3527" t="s">
        <v>19508</v>
      </c>
      <c r="C3527" t="s">
        <v>19509</v>
      </c>
      <c r="D3527" t="s">
        <v>19510</v>
      </c>
      <c r="E3527" t="s">
        <v>19511</v>
      </c>
      <c r="G3527" t="s">
        <v>2055</v>
      </c>
      <c r="H3527" t="s">
        <v>449</v>
      </c>
      <c r="J3527" t="s">
        <v>605</v>
      </c>
      <c r="K3527" t="s">
        <v>606</v>
      </c>
      <c r="M3527" t="s">
        <v>1382</v>
      </c>
      <c r="N3527" t="s">
        <v>643</v>
      </c>
      <c r="O3527" t="s">
        <v>2037</v>
      </c>
      <c r="P3527" t="s">
        <v>670</v>
      </c>
      <c r="Q3527" t="s">
        <v>553</v>
      </c>
      <c r="R3527" t="s">
        <v>1841</v>
      </c>
      <c r="S3527" t="s">
        <v>2055</v>
      </c>
      <c r="T3527" t="s">
        <v>1568</v>
      </c>
      <c r="U3527">
        <v>231200</v>
      </c>
      <c r="V3527" t="s">
        <v>12114</v>
      </c>
      <c r="W3527" t="s">
        <v>2038</v>
      </c>
      <c r="X3527" t="s">
        <v>19512</v>
      </c>
      <c r="Y3527" t="s">
        <v>19513</v>
      </c>
      <c r="Z3527" t="s">
        <v>19117</v>
      </c>
      <c r="AA3527" t="s">
        <v>19514</v>
      </c>
      <c r="AB3527" t="s">
        <v>19515</v>
      </c>
      <c r="AE3527">
        <v>-40.363616790000002</v>
      </c>
      <c r="AF3527">
        <v>175.59725444</v>
      </c>
      <c r="AG3527" s="175">
        <v>39</v>
      </c>
      <c r="AH3527" s="175">
        <v>10</v>
      </c>
      <c r="AI3527" s="175">
        <v>0</v>
      </c>
      <c r="AJ3527" s="175">
        <v>10</v>
      </c>
      <c r="AK3527" s="175">
        <v>9</v>
      </c>
      <c r="AL3527" s="175">
        <v>12</v>
      </c>
      <c r="AM3527" s="175">
        <v>12</v>
      </c>
      <c r="AN3527" s="175">
        <v>0</v>
      </c>
      <c r="AO3527" s="175">
        <v>43</v>
      </c>
      <c r="AP3527" s="175">
        <v>32</v>
      </c>
      <c r="AQ3527" s="175">
        <v>20</v>
      </c>
      <c r="AR3527" s="175">
        <v>5</v>
      </c>
      <c r="AS3527" s="175">
        <v>3</v>
      </c>
      <c r="AT3527" s="175">
        <v>3</v>
      </c>
    </row>
    <row r="3528" spans="1:46">
      <c r="A3528">
        <v>52533</v>
      </c>
      <c r="B3528" t="s">
        <v>19516</v>
      </c>
      <c r="C3528" t="s">
        <v>19517</v>
      </c>
      <c r="D3528" t="s">
        <v>19518</v>
      </c>
      <c r="E3528" t="s">
        <v>2096</v>
      </c>
      <c r="G3528" t="s">
        <v>2097</v>
      </c>
      <c r="H3528" t="s">
        <v>452</v>
      </c>
      <c r="J3528" t="s">
        <v>605</v>
      </c>
      <c r="K3528" t="s">
        <v>606</v>
      </c>
      <c r="M3528" t="s">
        <v>1382</v>
      </c>
      <c r="N3528" t="s">
        <v>657</v>
      </c>
      <c r="O3528" t="s">
        <v>2037</v>
      </c>
      <c r="P3528" t="s">
        <v>670</v>
      </c>
      <c r="Q3528" t="s">
        <v>553</v>
      </c>
      <c r="R3528" t="s">
        <v>1841</v>
      </c>
      <c r="S3528" t="s">
        <v>1719</v>
      </c>
      <c r="T3528" t="s">
        <v>1568</v>
      </c>
      <c r="U3528">
        <v>232101</v>
      </c>
      <c r="V3528" t="s">
        <v>2097</v>
      </c>
      <c r="W3528" t="s">
        <v>2038</v>
      </c>
      <c r="X3528" t="s">
        <v>2039</v>
      </c>
      <c r="Y3528" t="s">
        <v>2040</v>
      </c>
      <c r="AA3528" t="s">
        <v>2041</v>
      </c>
      <c r="AB3528" t="s">
        <v>2042</v>
      </c>
      <c r="AE3528">
        <v>-40.404665729999998</v>
      </c>
      <c r="AF3528">
        <v>175.5854156</v>
      </c>
      <c r="AG3528" s="175">
        <v>58</v>
      </c>
      <c r="AH3528" s="175">
        <v>25</v>
      </c>
      <c r="AI3528" s="175">
        <v>4</v>
      </c>
      <c r="AJ3528" s="175">
        <v>8</v>
      </c>
      <c r="AK3528" s="175">
        <v>7</v>
      </c>
      <c r="AL3528" s="175">
        <v>3</v>
      </c>
      <c r="AM3528" s="175">
        <v>2</v>
      </c>
      <c r="AN3528" s="175">
        <v>0</v>
      </c>
      <c r="AO3528" s="175">
        <v>24</v>
      </c>
      <c r="AP3528" s="175">
        <v>16</v>
      </c>
      <c r="AQ3528" s="175">
        <v>13</v>
      </c>
      <c r="AR3528" s="175">
        <v>3</v>
      </c>
      <c r="AS3528" s="175">
        <v>0</v>
      </c>
      <c r="AT3528" s="175">
        <v>0</v>
      </c>
    </row>
    <row r="3529" spans="1:46">
      <c r="A3529">
        <v>52535</v>
      </c>
      <c r="B3529" t="s">
        <v>19519</v>
      </c>
      <c r="C3529" t="s">
        <v>19520</v>
      </c>
      <c r="D3529" t="s">
        <v>19521</v>
      </c>
      <c r="E3529" t="s">
        <v>19522</v>
      </c>
      <c r="G3529" t="s">
        <v>2047</v>
      </c>
      <c r="H3529" t="s">
        <v>449</v>
      </c>
      <c r="J3529" t="s">
        <v>4032</v>
      </c>
      <c r="K3529" t="s">
        <v>606</v>
      </c>
      <c r="M3529" t="s">
        <v>1382</v>
      </c>
      <c r="N3529" t="s">
        <v>657</v>
      </c>
      <c r="O3529" t="s">
        <v>2048</v>
      </c>
      <c r="P3529" t="s">
        <v>610</v>
      </c>
      <c r="Q3529" t="s">
        <v>553</v>
      </c>
      <c r="R3529" t="s">
        <v>1841</v>
      </c>
      <c r="S3529" t="s">
        <v>1719</v>
      </c>
      <c r="T3529" t="s">
        <v>1568</v>
      </c>
      <c r="U3529">
        <v>227000</v>
      </c>
      <c r="V3529" t="s">
        <v>2047</v>
      </c>
      <c r="W3529" t="s">
        <v>2049</v>
      </c>
      <c r="X3529" t="s">
        <v>12879</v>
      </c>
      <c r="Y3529" t="s">
        <v>4701</v>
      </c>
      <c r="AA3529" t="s">
        <v>4702</v>
      </c>
      <c r="AB3529" t="s">
        <v>12880</v>
      </c>
      <c r="AC3529">
        <v>99078</v>
      </c>
      <c r="AD3529" t="s">
        <v>2050</v>
      </c>
      <c r="AE3529">
        <v>-40.17456241</v>
      </c>
      <c r="AF3529">
        <v>175.38443545999999</v>
      </c>
      <c r="AG3529" s="175">
        <v>57</v>
      </c>
      <c r="AH3529" s="175">
        <v>17</v>
      </c>
      <c r="AI3529" s="175">
        <v>2</v>
      </c>
      <c r="AJ3529" s="175">
        <v>6</v>
      </c>
      <c r="AK3529" s="175">
        <v>11</v>
      </c>
      <c r="AL3529" s="175">
        <v>22</v>
      </c>
      <c r="AM3529" s="175">
        <v>10</v>
      </c>
      <c r="AN3529" s="175">
        <v>1</v>
      </c>
      <c r="AO3529" s="175">
        <v>52</v>
      </c>
      <c r="AP3529" s="175">
        <v>37</v>
      </c>
      <c r="AQ3529" s="175">
        <v>18</v>
      </c>
      <c r="AR3529" s="175">
        <v>3</v>
      </c>
      <c r="AS3529" s="175">
        <v>4</v>
      </c>
      <c r="AT3529" s="175">
        <v>5</v>
      </c>
    </row>
    <row r="3530" spans="1:46">
      <c r="A3530">
        <v>52537</v>
      </c>
      <c r="B3530" t="s">
        <v>19523</v>
      </c>
      <c r="C3530" t="s">
        <v>19524</v>
      </c>
      <c r="D3530" t="s">
        <v>10467</v>
      </c>
      <c r="E3530" t="s">
        <v>19525</v>
      </c>
      <c r="G3530" t="s">
        <v>2055</v>
      </c>
      <c r="H3530" t="s">
        <v>449</v>
      </c>
      <c r="J3530" t="s">
        <v>605</v>
      </c>
      <c r="K3530" t="s">
        <v>606</v>
      </c>
      <c r="M3530" t="s">
        <v>1382</v>
      </c>
      <c r="N3530" t="s">
        <v>657</v>
      </c>
      <c r="O3530" t="s">
        <v>2037</v>
      </c>
      <c r="P3530" t="s">
        <v>670</v>
      </c>
      <c r="Q3530" t="s">
        <v>553</v>
      </c>
      <c r="R3530" t="s">
        <v>1841</v>
      </c>
      <c r="S3530" t="s">
        <v>2055</v>
      </c>
      <c r="T3530" t="s">
        <v>1568</v>
      </c>
      <c r="U3530">
        <v>230500</v>
      </c>
      <c r="V3530" t="s">
        <v>10469</v>
      </c>
      <c r="W3530" t="s">
        <v>2038</v>
      </c>
      <c r="X3530" t="s">
        <v>10463</v>
      </c>
      <c r="Y3530" t="s">
        <v>4014</v>
      </c>
      <c r="Z3530" t="s">
        <v>4015</v>
      </c>
      <c r="AA3530" t="s">
        <v>4016</v>
      </c>
      <c r="AB3530" t="s">
        <v>10464</v>
      </c>
      <c r="AE3530">
        <v>-40.35022644</v>
      </c>
      <c r="AF3530">
        <v>175.61073859999999</v>
      </c>
      <c r="AG3530" s="175">
        <v>79</v>
      </c>
      <c r="AH3530" s="175">
        <v>10</v>
      </c>
      <c r="AI3530" s="175">
        <v>0</v>
      </c>
      <c r="AJ3530" s="175">
        <v>2</v>
      </c>
      <c r="AK3530" s="175">
        <v>35</v>
      </c>
      <c r="AL3530" s="175">
        <v>33</v>
      </c>
      <c r="AM3530" s="175">
        <v>0</v>
      </c>
      <c r="AN3530" s="175">
        <v>0</v>
      </c>
      <c r="AO3530" s="175">
        <v>70</v>
      </c>
      <c r="AP3530" s="175">
        <v>48</v>
      </c>
      <c r="AQ3530" s="175">
        <v>18</v>
      </c>
      <c r="AR3530" s="175">
        <v>7</v>
      </c>
      <c r="AS3530" s="175">
        <v>14</v>
      </c>
      <c r="AT3530" s="175">
        <v>5</v>
      </c>
    </row>
    <row r="3531" spans="1:46">
      <c r="A3531">
        <v>52539</v>
      </c>
      <c r="B3531" t="s">
        <v>19526</v>
      </c>
      <c r="C3531" t="s">
        <v>19527</v>
      </c>
      <c r="D3531" t="s">
        <v>19528</v>
      </c>
      <c r="E3531" t="s">
        <v>19529</v>
      </c>
      <c r="G3531" t="s">
        <v>2803</v>
      </c>
      <c r="H3531" t="s">
        <v>449</v>
      </c>
      <c r="J3531" t="s">
        <v>4032</v>
      </c>
      <c r="K3531" t="s">
        <v>606</v>
      </c>
      <c r="M3531" t="s">
        <v>2366</v>
      </c>
      <c r="N3531" t="s">
        <v>625</v>
      </c>
      <c r="O3531" t="s">
        <v>2147</v>
      </c>
      <c r="P3531" t="s">
        <v>1347</v>
      </c>
      <c r="Q3531" t="s">
        <v>553</v>
      </c>
      <c r="R3531" t="s">
        <v>2368</v>
      </c>
      <c r="S3531" t="s">
        <v>2148</v>
      </c>
      <c r="T3531" t="s">
        <v>1568</v>
      </c>
      <c r="U3531">
        <v>235301</v>
      </c>
      <c r="V3531" t="s">
        <v>19530</v>
      </c>
      <c r="W3531" t="s">
        <v>2805</v>
      </c>
      <c r="X3531" t="s">
        <v>10476</v>
      </c>
      <c r="Y3531" t="s">
        <v>10477</v>
      </c>
      <c r="AA3531" t="s">
        <v>10478</v>
      </c>
      <c r="AB3531" t="s">
        <v>10479</v>
      </c>
      <c r="AE3531">
        <v>-40.628760120000003</v>
      </c>
      <c r="AF3531">
        <v>175.2766795</v>
      </c>
      <c r="AG3531" s="175">
        <v>30</v>
      </c>
      <c r="AH3531" s="175">
        <v>15</v>
      </c>
      <c r="AI3531" s="175">
        <v>0</v>
      </c>
      <c r="AJ3531" s="175">
        <v>0</v>
      </c>
      <c r="AK3531" s="175">
        <v>4</v>
      </c>
      <c r="AL3531" s="175">
        <v>14</v>
      </c>
      <c r="AM3531" s="175">
        <v>13</v>
      </c>
      <c r="AN3531" s="175">
        <v>0</v>
      </c>
      <c r="AO3531" s="175">
        <v>31</v>
      </c>
      <c r="AP3531" s="175">
        <v>24</v>
      </c>
      <c r="AQ3531" s="175">
        <v>11</v>
      </c>
      <c r="AR3531" s="175">
        <v>2</v>
      </c>
      <c r="AS3531" s="175">
        <v>4</v>
      </c>
      <c r="AT3531" s="175">
        <v>0</v>
      </c>
    </row>
    <row r="3532" spans="1:46">
      <c r="A3532">
        <v>52541</v>
      </c>
      <c r="B3532" t="s">
        <v>19531</v>
      </c>
      <c r="C3532" t="s">
        <v>19532</v>
      </c>
      <c r="D3532" t="s">
        <v>19533</v>
      </c>
      <c r="E3532" t="s">
        <v>19534</v>
      </c>
      <c r="G3532" t="s">
        <v>2055</v>
      </c>
      <c r="H3532" t="s">
        <v>449</v>
      </c>
      <c r="I3532" t="s">
        <v>4233</v>
      </c>
      <c r="J3532" t="s">
        <v>605</v>
      </c>
      <c r="K3532" t="s">
        <v>606</v>
      </c>
      <c r="M3532" t="s">
        <v>1382</v>
      </c>
      <c r="N3532" t="s">
        <v>643</v>
      </c>
      <c r="O3532" t="s">
        <v>2037</v>
      </c>
      <c r="P3532" t="s">
        <v>670</v>
      </c>
      <c r="Q3532" t="s">
        <v>553</v>
      </c>
      <c r="R3532" t="s">
        <v>1841</v>
      </c>
      <c r="S3532" t="s">
        <v>2055</v>
      </c>
      <c r="T3532" t="s">
        <v>1568</v>
      </c>
      <c r="U3532">
        <v>229500</v>
      </c>
      <c r="V3532" t="s">
        <v>2078</v>
      </c>
      <c r="W3532" t="s">
        <v>2038</v>
      </c>
      <c r="X3532" t="s">
        <v>19535</v>
      </c>
      <c r="Y3532" t="s">
        <v>19536</v>
      </c>
      <c r="Z3532" t="s">
        <v>12570</v>
      </c>
      <c r="AA3532" t="s">
        <v>17649</v>
      </c>
      <c r="AB3532" t="s">
        <v>19537</v>
      </c>
      <c r="AE3532">
        <v>-40.357228820000003</v>
      </c>
      <c r="AF3532">
        <v>175.57831274</v>
      </c>
      <c r="AG3532" s="175">
        <v>40</v>
      </c>
      <c r="AH3532" s="175">
        <v>15</v>
      </c>
      <c r="AI3532" s="175">
        <v>2</v>
      </c>
      <c r="AJ3532" s="175">
        <v>8</v>
      </c>
      <c r="AK3532" s="175">
        <v>8</v>
      </c>
      <c r="AL3532" s="175">
        <v>8</v>
      </c>
      <c r="AM3532" s="175">
        <v>3</v>
      </c>
      <c r="AN3532" s="175">
        <v>0</v>
      </c>
      <c r="AO3532" s="175">
        <v>29</v>
      </c>
      <c r="AP3532" s="175">
        <v>4</v>
      </c>
      <c r="AQ3532" s="175">
        <v>13</v>
      </c>
      <c r="AR3532" s="175">
        <v>24</v>
      </c>
      <c r="AS3532" s="175">
        <v>2</v>
      </c>
      <c r="AT3532" s="175">
        <v>3</v>
      </c>
    </row>
    <row r="3533" spans="1:46">
      <c r="A3533">
        <v>52543</v>
      </c>
      <c r="B3533" t="s">
        <v>19538</v>
      </c>
      <c r="C3533" t="s">
        <v>19539</v>
      </c>
      <c r="D3533" t="s">
        <v>19540</v>
      </c>
      <c r="E3533" t="s">
        <v>19541</v>
      </c>
      <c r="F3533" t="s">
        <v>10440</v>
      </c>
      <c r="G3533" t="s">
        <v>2055</v>
      </c>
      <c r="H3533" t="s">
        <v>449</v>
      </c>
      <c r="I3533" t="s">
        <v>4023</v>
      </c>
      <c r="J3533" t="s">
        <v>605</v>
      </c>
      <c r="K3533" t="s">
        <v>606</v>
      </c>
      <c r="M3533" t="s">
        <v>1382</v>
      </c>
      <c r="N3533" t="s">
        <v>657</v>
      </c>
      <c r="O3533" t="s">
        <v>2037</v>
      </c>
      <c r="P3533" t="s">
        <v>670</v>
      </c>
      <c r="Q3533" t="s">
        <v>553</v>
      </c>
      <c r="R3533" t="s">
        <v>1841</v>
      </c>
      <c r="S3533" t="s">
        <v>2055</v>
      </c>
      <c r="T3533" t="s">
        <v>1568</v>
      </c>
      <c r="U3533">
        <v>229201</v>
      </c>
      <c r="V3533" t="s">
        <v>12567</v>
      </c>
      <c r="W3533" t="s">
        <v>2038</v>
      </c>
      <c r="X3533" t="s">
        <v>19542</v>
      </c>
      <c r="Y3533" t="s">
        <v>19541</v>
      </c>
      <c r="Z3533" t="s">
        <v>10440</v>
      </c>
      <c r="AA3533" t="s">
        <v>15930</v>
      </c>
      <c r="AB3533" t="s">
        <v>19539</v>
      </c>
      <c r="AC3533">
        <v>99164</v>
      </c>
      <c r="AD3533" t="s">
        <v>18015</v>
      </c>
      <c r="AE3533">
        <v>-40.330158400000002</v>
      </c>
      <c r="AF3533">
        <v>175.65140360000001</v>
      </c>
      <c r="AG3533" s="175">
        <v>40</v>
      </c>
      <c r="AH3533" s="175">
        <v>0</v>
      </c>
      <c r="AI3533" s="175">
        <v>0</v>
      </c>
      <c r="AJ3533" s="175">
        <v>0</v>
      </c>
      <c r="AK3533" s="175">
        <v>0</v>
      </c>
      <c r="AL3533" s="175">
        <v>16</v>
      </c>
      <c r="AM3533" s="175">
        <v>25</v>
      </c>
      <c r="AN3533" s="175">
        <v>2</v>
      </c>
      <c r="AO3533" s="175">
        <v>43</v>
      </c>
      <c r="AP3533" s="175">
        <v>33</v>
      </c>
      <c r="AQ3533" s="175">
        <v>5</v>
      </c>
      <c r="AR3533" s="175">
        <v>3</v>
      </c>
      <c r="AS3533" s="175">
        <v>9</v>
      </c>
      <c r="AT3533" s="175">
        <v>0</v>
      </c>
    </row>
    <row r="3534" spans="1:46">
      <c r="A3534">
        <v>52545</v>
      </c>
      <c r="B3534" t="s">
        <v>19543</v>
      </c>
      <c r="C3534" t="s">
        <v>19544</v>
      </c>
      <c r="E3534" t="s">
        <v>19545</v>
      </c>
      <c r="G3534" t="s">
        <v>2068</v>
      </c>
      <c r="H3534" t="s">
        <v>449</v>
      </c>
      <c r="J3534" t="s">
        <v>4032</v>
      </c>
      <c r="K3534" t="s">
        <v>606</v>
      </c>
      <c r="M3534" t="s">
        <v>1382</v>
      </c>
      <c r="N3534" t="s">
        <v>657</v>
      </c>
      <c r="O3534" t="s">
        <v>2069</v>
      </c>
      <c r="P3534" t="s">
        <v>1347</v>
      </c>
      <c r="Q3534" t="s">
        <v>553</v>
      </c>
      <c r="R3534" t="s">
        <v>1841</v>
      </c>
      <c r="S3534" t="s">
        <v>1719</v>
      </c>
      <c r="T3534" t="s">
        <v>1568</v>
      </c>
      <c r="U3534">
        <v>228000</v>
      </c>
      <c r="V3534" t="s">
        <v>19546</v>
      </c>
      <c r="W3534" t="s">
        <v>2071</v>
      </c>
      <c r="X3534" t="s">
        <v>19547</v>
      </c>
      <c r="Y3534" t="s">
        <v>19548</v>
      </c>
      <c r="AA3534" t="s">
        <v>15239</v>
      </c>
      <c r="AB3534" t="s">
        <v>19544</v>
      </c>
      <c r="AC3534">
        <v>99134</v>
      </c>
      <c r="AD3534" t="s">
        <v>2072</v>
      </c>
      <c r="AE3534">
        <v>-40.231610189999998</v>
      </c>
      <c r="AF3534">
        <v>175.55314637999999</v>
      </c>
      <c r="AG3534" s="175">
        <v>27</v>
      </c>
      <c r="AH3534" s="175">
        <v>8</v>
      </c>
      <c r="AI3534" s="175">
        <v>2</v>
      </c>
      <c r="AJ3534" s="175">
        <v>10</v>
      </c>
      <c r="AK3534" s="175">
        <v>11</v>
      </c>
      <c r="AL3534" s="175">
        <v>6</v>
      </c>
      <c r="AM3534" s="175">
        <v>9</v>
      </c>
      <c r="AN3534" s="175">
        <v>1</v>
      </c>
      <c r="AO3534" s="175">
        <v>39</v>
      </c>
      <c r="AP3534" s="175">
        <v>35</v>
      </c>
      <c r="AQ3534" s="175">
        <v>9</v>
      </c>
      <c r="AR3534" s="175">
        <v>3</v>
      </c>
      <c r="AS3534" s="175">
        <v>0</v>
      </c>
      <c r="AT3534" s="175">
        <v>5</v>
      </c>
    </row>
    <row r="3535" spans="1:46">
      <c r="A3535">
        <v>52546</v>
      </c>
      <c r="B3535" t="s">
        <v>19549</v>
      </c>
      <c r="C3535" t="s">
        <v>19550</v>
      </c>
      <c r="D3535" t="s">
        <v>19551</v>
      </c>
      <c r="E3535" t="s">
        <v>19552</v>
      </c>
      <c r="F3535" t="s">
        <v>2130</v>
      </c>
      <c r="G3535" t="s">
        <v>2055</v>
      </c>
      <c r="H3535" t="s">
        <v>449</v>
      </c>
      <c r="J3535" t="s">
        <v>605</v>
      </c>
      <c r="K3535" t="s">
        <v>606</v>
      </c>
      <c r="M3535" t="s">
        <v>1382</v>
      </c>
      <c r="N3535" t="s">
        <v>657</v>
      </c>
      <c r="O3535" t="s">
        <v>2037</v>
      </c>
      <c r="P3535" t="s">
        <v>670</v>
      </c>
      <c r="Q3535" t="s">
        <v>553</v>
      </c>
      <c r="R3535" t="s">
        <v>1841</v>
      </c>
      <c r="S3535" t="s">
        <v>2055</v>
      </c>
      <c r="T3535" t="s">
        <v>1568</v>
      </c>
      <c r="U3535">
        <v>230200</v>
      </c>
      <c r="V3535" t="s">
        <v>10453</v>
      </c>
      <c r="W3535" t="s">
        <v>2038</v>
      </c>
      <c r="X3535" t="s">
        <v>12568</v>
      </c>
      <c r="Y3535" t="s">
        <v>12569</v>
      </c>
      <c r="Z3535" t="s">
        <v>12570</v>
      </c>
      <c r="AA3535" t="s">
        <v>2041</v>
      </c>
      <c r="AB3535" t="s">
        <v>12571</v>
      </c>
      <c r="AE3535">
        <v>-40.340844250000004</v>
      </c>
      <c r="AF3535">
        <v>175.62620491000001</v>
      </c>
      <c r="AG3535" s="175">
        <v>45</v>
      </c>
      <c r="AH3535" s="175">
        <v>15</v>
      </c>
      <c r="AI3535" s="175">
        <v>2</v>
      </c>
      <c r="AJ3535" s="175">
        <v>4</v>
      </c>
      <c r="AK3535" s="175">
        <v>11</v>
      </c>
      <c r="AL3535" s="175">
        <v>9</v>
      </c>
      <c r="AM3535" s="175">
        <v>15</v>
      </c>
      <c r="AN3535" s="175">
        <v>1</v>
      </c>
      <c r="AO3535" s="175">
        <v>42</v>
      </c>
      <c r="AP3535" s="175">
        <v>14</v>
      </c>
      <c r="AQ3535" s="175">
        <v>4</v>
      </c>
      <c r="AR3535" s="175">
        <v>2</v>
      </c>
      <c r="AS3535" s="175">
        <v>33</v>
      </c>
      <c r="AT3535" s="175">
        <v>0</v>
      </c>
    </row>
    <row r="3536" spans="1:46">
      <c r="A3536">
        <v>52548</v>
      </c>
      <c r="B3536" t="s">
        <v>19553</v>
      </c>
      <c r="C3536" t="s">
        <v>19554</v>
      </c>
      <c r="D3536" t="s">
        <v>19555</v>
      </c>
      <c r="E3536" t="s">
        <v>19556</v>
      </c>
      <c r="G3536" t="s">
        <v>19557</v>
      </c>
      <c r="H3536" t="s">
        <v>449</v>
      </c>
      <c r="J3536" t="s">
        <v>605</v>
      </c>
      <c r="K3536" t="s">
        <v>606</v>
      </c>
      <c r="M3536" t="s">
        <v>1382</v>
      </c>
      <c r="N3536" t="s">
        <v>657</v>
      </c>
      <c r="O3536" t="s">
        <v>2147</v>
      </c>
      <c r="P3536" t="s">
        <v>626</v>
      </c>
      <c r="Q3536" t="s">
        <v>553</v>
      </c>
      <c r="R3536" t="s">
        <v>1841</v>
      </c>
      <c r="S3536" t="s">
        <v>1719</v>
      </c>
      <c r="T3536" t="s">
        <v>1568</v>
      </c>
      <c r="U3536">
        <v>234600</v>
      </c>
      <c r="V3536" t="s">
        <v>19558</v>
      </c>
      <c r="W3536" t="s">
        <v>19088</v>
      </c>
      <c r="X3536" t="s">
        <v>19559</v>
      </c>
      <c r="Y3536" t="s">
        <v>19560</v>
      </c>
      <c r="Z3536" t="s">
        <v>19557</v>
      </c>
      <c r="AA3536" t="s">
        <v>19561</v>
      </c>
      <c r="AB3536" t="s">
        <v>19562</v>
      </c>
      <c r="AE3536">
        <v>-40.475049159999998</v>
      </c>
      <c r="AF3536">
        <v>175.51082829999999</v>
      </c>
      <c r="AG3536" s="175">
        <v>28</v>
      </c>
      <c r="AH3536" s="175">
        <v>0</v>
      </c>
      <c r="AI3536" s="175">
        <v>0</v>
      </c>
      <c r="AJ3536" s="175">
        <v>0</v>
      </c>
      <c r="AK3536" s="175">
        <v>4</v>
      </c>
      <c r="AL3536" s="175">
        <v>8</v>
      </c>
      <c r="AM3536" s="175">
        <v>12</v>
      </c>
      <c r="AN3536" s="175">
        <v>0</v>
      </c>
      <c r="AO3536" s="175">
        <v>24</v>
      </c>
      <c r="AP3536" s="175">
        <v>21</v>
      </c>
      <c r="AQ3536" s="175">
        <v>12</v>
      </c>
      <c r="AR3536" s="175">
        <v>1</v>
      </c>
      <c r="AS3536" s="175">
        <v>0</v>
      </c>
      <c r="AT3536" s="175">
        <v>1</v>
      </c>
    </row>
    <row r="3537" spans="1:46">
      <c r="A3537">
        <v>52703</v>
      </c>
      <c r="B3537" t="s">
        <v>19563</v>
      </c>
      <c r="C3537" t="s">
        <v>19564</v>
      </c>
      <c r="E3537" t="s">
        <v>19565</v>
      </c>
      <c r="G3537" t="s">
        <v>1905</v>
      </c>
      <c r="H3537" t="s">
        <v>347</v>
      </c>
      <c r="J3537" t="s">
        <v>605</v>
      </c>
      <c r="K3537" t="s">
        <v>606</v>
      </c>
      <c r="L3537" t="s">
        <v>4273</v>
      </c>
      <c r="M3537" t="s">
        <v>1382</v>
      </c>
      <c r="N3537" t="s">
        <v>608</v>
      </c>
      <c r="O3537" t="s">
        <v>1840</v>
      </c>
      <c r="P3537" t="s">
        <v>610</v>
      </c>
      <c r="Q3537" t="s">
        <v>514</v>
      </c>
      <c r="R3537" t="s">
        <v>1841</v>
      </c>
      <c r="S3537" t="s">
        <v>1839</v>
      </c>
      <c r="T3537" t="s">
        <v>1568</v>
      </c>
      <c r="U3537">
        <v>218901</v>
      </c>
      <c r="V3537" t="s">
        <v>19030</v>
      </c>
      <c r="W3537" t="s">
        <v>1907</v>
      </c>
      <c r="X3537" t="s">
        <v>9133</v>
      </c>
      <c r="Y3537" t="s">
        <v>4276</v>
      </c>
      <c r="Z3537" t="s">
        <v>4277</v>
      </c>
      <c r="AA3537" t="s">
        <v>4278</v>
      </c>
      <c r="AB3537" t="s">
        <v>9134</v>
      </c>
      <c r="AE3537">
        <v>-38.99822898</v>
      </c>
      <c r="AF3537">
        <v>174.24846590999999</v>
      </c>
      <c r="AG3537" s="175">
        <v>50</v>
      </c>
      <c r="AH3537" s="175">
        <v>16</v>
      </c>
      <c r="AI3537" s="175">
        <v>1</v>
      </c>
      <c r="AJ3537" s="175">
        <v>4</v>
      </c>
      <c r="AK3537" s="175">
        <v>8</v>
      </c>
      <c r="AL3537" s="175">
        <v>4</v>
      </c>
      <c r="AM3537" s="175">
        <v>8</v>
      </c>
      <c r="AN3537" s="175">
        <v>0</v>
      </c>
      <c r="AO3537" s="175">
        <v>25</v>
      </c>
      <c r="AP3537" s="175">
        <v>0</v>
      </c>
      <c r="AQ3537" s="175">
        <v>25</v>
      </c>
      <c r="AR3537" s="175">
        <v>0</v>
      </c>
      <c r="AS3537" s="175">
        <v>0</v>
      </c>
      <c r="AT3537" s="175">
        <v>0</v>
      </c>
    </row>
    <row r="3538" spans="1:46">
      <c r="A3538">
        <v>52705</v>
      </c>
      <c r="B3538" t="s">
        <v>19566</v>
      </c>
      <c r="C3538" t="s">
        <v>19567</v>
      </c>
      <c r="D3538" t="s">
        <v>19568</v>
      </c>
      <c r="E3538" t="s">
        <v>19569</v>
      </c>
      <c r="G3538" t="s">
        <v>1905</v>
      </c>
      <c r="H3538" t="s">
        <v>347</v>
      </c>
      <c r="J3538" t="s">
        <v>605</v>
      </c>
      <c r="K3538" t="s">
        <v>606</v>
      </c>
      <c r="L3538" t="s">
        <v>4273</v>
      </c>
      <c r="M3538" t="s">
        <v>1382</v>
      </c>
      <c r="N3538" t="s">
        <v>812</v>
      </c>
      <c r="O3538" t="s">
        <v>1840</v>
      </c>
      <c r="P3538" t="s">
        <v>610</v>
      </c>
      <c r="Q3538" t="s">
        <v>514</v>
      </c>
      <c r="R3538" t="s">
        <v>1841</v>
      </c>
      <c r="S3538" t="s">
        <v>1839</v>
      </c>
      <c r="T3538" t="s">
        <v>1568</v>
      </c>
      <c r="U3538">
        <v>218901</v>
      </c>
      <c r="V3538" t="s">
        <v>19030</v>
      </c>
      <c r="W3538" t="s">
        <v>1907</v>
      </c>
      <c r="X3538" t="s">
        <v>9133</v>
      </c>
      <c r="Y3538" t="s">
        <v>4276</v>
      </c>
      <c r="Z3538" t="s">
        <v>4277</v>
      </c>
      <c r="AA3538" t="s">
        <v>4278</v>
      </c>
      <c r="AB3538" t="s">
        <v>9134</v>
      </c>
      <c r="AE3538">
        <v>-38.997828079999998</v>
      </c>
      <c r="AF3538">
        <v>174.2411108</v>
      </c>
      <c r="AG3538" s="175">
        <v>50</v>
      </c>
      <c r="AH3538" s="175">
        <v>16</v>
      </c>
      <c r="AI3538" s="175">
        <v>0</v>
      </c>
      <c r="AJ3538" s="175">
        <v>6</v>
      </c>
      <c r="AK3538" s="175">
        <v>8</v>
      </c>
      <c r="AL3538" s="175">
        <v>7</v>
      </c>
      <c r="AM3538" s="175">
        <v>8</v>
      </c>
      <c r="AN3538" s="175">
        <v>0</v>
      </c>
      <c r="AO3538" s="175">
        <v>29</v>
      </c>
      <c r="AP3538" s="175">
        <v>0</v>
      </c>
      <c r="AQ3538" s="175">
        <v>28</v>
      </c>
      <c r="AR3538" s="175">
        <v>0</v>
      </c>
      <c r="AS3538" s="175">
        <v>0</v>
      </c>
      <c r="AT3538" s="175">
        <v>1</v>
      </c>
    </row>
    <row r="3539" spans="1:46">
      <c r="A3539">
        <v>52706</v>
      </c>
      <c r="B3539" t="s">
        <v>19570</v>
      </c>
      <c r="C3539" t="s">
        <v>19571</v>
      </c>
      <c r="D3539" t="s">
        <v>19572</v>
      </c>
      <c r="E3539" t="s">
        <v>19573</v>
      </c>
      <c r="F3539" t="s">
        <v>1900</v>
      </c>
      <c r="G3539" t="s">
        <v>1839</v>
      </c>
      <c r="H3539" t="s">
        <v>347</v>
      </c>
      <c r="J3539" t="s">
        <v>605</v>
      </c>
      <c r="K3539" t="s">
        <v>606</v>
      </c>
      <c r="L3539" t="s">
        <v>4273</v>
      </c>
      <c r="M3539" t="s">
        <v>1382</v>
      </c>
      <c r="N3539" t="s">
        <v>643</v>
      </c>
      <c r="O3539" t="s">
        <v>1840</v>
      </c>
      <c r="P3539" t="s">
        <v>670</v>
      </c>
      <c r="Q3539" t="s">
        <v>514</v>
      </c>
      <c r="R3539" t="s">
        <v>1841</v>
      </c>
      <c r="S3539" t="s">
        <v>1839</v>
      </c>
      <c r="T3539" t="s">
        <v>1568</v>
      </c>
      <c r="U3539">
        <v>216300</v>
      </c>
      <c r="V3539" t="s">
        <v>1900</v>
      </c>
      <c r="W3539" t="s">
        <v>1843</v>
      </c>
      <c r="X3539" t="s">
        <v>19574</v>
      </c>
      <c r="Y3539" t="s">
        <v>4276</v>
      </c>
      <c r="Z3539" t="s">
        <v>4277</v>
      </c>
      <c r="AA3539" t="s">
        <v>4278</v>
      </c>
      <c r="AB3539" t="s">
        <v>7696</v>
      </c>
      <c r="AE3539">
        <v>-39.072792679999999</v>
      </c>
      <c r="AF3539">
        <v>174.03526067999999</v>
      </c>
      <c r="AG3539" s="175">
        <v>30</v>
      </c>
      <c r="AH3539" s="175">
        <v>10</v>
      </c>
      <c r="AI3539" s="175">
        <v>0</v>
      </c>
      <c r="AJ3539" s="175">
        <v>2</v>
      </c>
      <c r="AK3539" s="175">
        <v>9</v>
      </c>
      <c r="AL3539" s="175">
        <v>7</v>
      </c>
      <c r="AM3539" s="175">
        <v>7</v>
      </c>
      <c r="AN3539" s="175">
        <v>0</v>
      </c>
      <c r="AO3539" s="175">
        <v>25</v>
      </c>
      <c r="AP3539" s="175">
        <v>0</v>
      </c>
      <c r="AQ3539" s="175">
        <v>25</v>
      </c>
      <c r="AR3539" s="175">
        <v>0</v>
      </c>
      <c r="AS3539" s="175">
        <v>0</v>
      </c>
      <c r="AT3539" s="175">
        <v>0</v>
      </c>
    </row>
    <row r="3540" spans="1:46">
      <c r="A3540">
        <v>52708</v>
      </c>
      <c r="B3540" t="s">
        <v>19575</v>
      </c>
      <c r="C3540" t="s">
        <v>19576</v>
      </c>
      <c r="E3540" t="s">
        <v>19577</v>
      </c>
      <c r="G3540" t="s">
        <v>1873</v>
      </c>
      <c r="H3540" t="s">
        <v>347</v>
      </c>
      <c r="J3540" t="s">
        <v>605</v>
      </c>
      <c r="K3540" t="s">
        <v>606</v>
      </c>
      <c r="L3540" t="s">
        <v>4273</v>
      </c>
      <c r="M3540" t="s">
        <v>1382</v>
      </c>
      <c r="N3540" t="s">
        <v>657</v>
      </c>
      <c r="O3540" t="s">
        <v>1840</v>
      </c>
      <c r="P3540" t="s">
        <v>610</v>
      </c>
      <c r="Q3540" t="s">
        <v>514</v>
      </c>
      <c r="R3540" t="s">
        <v>1841</v>
      </c>
      <c r="S3540" t="s">
        <v>1501</v>
      </c>
      <c r="T3540" t="s">
        <v>1568</v>
      </c>
      <c r="U3540">
        <v>219601</v>
      </c>
      <c r="V3540" t="s">
        <v>1873</v>
      </c>
      <c r="W3540" t="s">
        <v>1874</v>
      </c>
      <c r="X3540" t="s">
        <v>9133</v>
      </c>
      <c r="Y3540" t="s">
        <v>4276</v>
      </c>
      <c r="Z3540" t="s">
        <v>4277</v>
      </c>
      <c r="AA3540" t="s">
        <v>4278</v>
      </c>
      <c r="AB3540" t="s">
        <v>9134</v>
      </c>
      <c r="AC3540">
        <v>99059</v>
      </c>
      <c r="AD3540" t="s">
        <v>1875</v>
      </c>
      <c r="AE3540">
        <v>-39.158409820000003</v>
      </c>
      <c r="AF3540">
        <v>174.21096915999999</v>
      </c>
      <c r="AG3540" s="175">
        <v>16</v>
      </c>
      <c r="AH3540" s="175">
        <v>4</v>
      </c>
      <c r="AI3540" s="175">
        <v>1</v>
      </c>
      <c r="AJ3540" s="175">
        <v>1</v>
      </c>
      <c r="AK3540" s="175">
        <v>5</v>
      </c>
      <c r="AL3540" s="175">
        <v>5</v>
      </c>
      <c r="AM3540" s="175">
        <v>1</v>
      </c>
      <c r="AN3540" s="175">
        <v>0</v>
      </c>
      <c r="AO3540" s="175">
        <v>13</v>
      </c>
      <c r="AP3540" s="175">
        <v>0</v>
      </c>
      <c r="AQ3540" s="175">
        <v>11</v>
      </c>
      <c r="AR3540" s="175">
        <v>0</v>
      </c>
      <c r="AS3540" s="175">
        <v>0</v>
      </c>
      <c r="AT3540" s="175">
        <v>2</v>
      </c>
    </row>
    <row r="3541" spans="1:46">
      <c r="A3541">
        <v>52709</v>
      </c>
      <c r="B3541" t="s">
        <v>19578</v>
      </c>
      <c r="C3541" t="s">
        <v>19579</v>
      </c>
      <c r="E3541" t="s">
        <v>19580</v>
      </c>
      <c r="F3541" t="s">
        <v>1862</v>
      </c>
      <c r="G3541" t="s">
        <v>1839</v>
      </c>
      <c r="H3541" t="s">
        <v>347</v>
      </c>
      <c r="J3541" t="s">
        <v>605</v>
      </c>
      <c r="K3541" t="s">
        <v>606</v>
      </c>
      <c r="L3541" t="s">
        <v>4273</v>
      </c>
      <c r="M3541" t="s">
        <v>1382</v>
      </c>
      <c r="N3541" t="s">
        <v>657</v>
      </c>
      <c r="O3541" t="s">
        <v>1840</v>
      </c>
      <c r="P3541" t="s">
        <v>670</v>
      </c>
      <c r="Q3541" t="s">
        <v>514</v>
      </c>
      <c r="R3541" t="s">
        <v>1841</v>
      </c>
      <c r="S3541" t="s">
        <v>1839</v>
      </c>
      <c r="T3541" t="s">
        <v>1568</v>
      </c>
      <c r="U3541">
        <v>218401</v>
      </c>
      <c r="V3541" t="s">
        <v>1863</v>
      </c>
      <c r="W3541" t="s">
        <v>1843</v>
      </c>
      <c r="X3541" t="s">
        <v>9133</v>
      </c>
      <c r="Y3541" t="s">
        <v>4276</v>
      </c>
      <c r="Z3541" t="s">
        <v>4277</v>
      </c>
      <c r="AA3541" t="s">
        <v>4278</v>
      </c>
      <c r="AB3541" t="s">
        <v>9134</v>
      </c>
      <c r="AE3541">
        <v>-39.046774929999998</v>
      </c>
      <c r="AF3541">
        <v>174.10530603999999</v>
      </c>
      <c r="AG3541" s="175">
        <v>30</v>
      </c>
      <c r="AH3541" s="175">
        <v>6</v>
      </c>
      <c r="AI3541" s="175">
        <v>0</v>
      </c>
      <c r="AJ3541" s="175">
        <v>5</v>
      </c>
      <c r="AK3541" s="175">
        <v>8</v>
      </c>
      <c r="AL3541" s="175">
        <v>6</v>
      </c>
      <c r="AM3541" s="175">
        <v>4</v>
      </c>
      <c r="AN3541" s="175">
        <v>0</v>
      </c>
      <c r="AO3541" s="175">
        <v>23</v>
      </c>
      <c r="AP3541" s="175">
        <v>0</v>
      </c>
      <c r="AQ3541" s="175">
        <v>22</v>
      </c>
      <c r="AR3541" s="175">
        <v>0</v>
      </c>
      <c r="AS3541" s="175">
        <v>0</v>
      </c>
      <c r="AT3541" s="175">
        <v>1</v>
      </c>
    </row>
    <row r="3542" spans="1:46">
      <c r="A3542">
        <v>52711</v>
      </c>
      <c r="B3542" t="s">
        <v>19581</v>
      </c>
      <c r="C3542" t="s">
        <v>19582</v>
      </c>
      <c r="E3542" t="s">
        <v>19583</v>
      </c>
      <c r="G3542" t="s">
        <v>10430</v>
      </c>
      <c r="H3542" t="s">
        <v>347</v>
      </c>
      <c r="J3542" t="s">
        <v>605</v>
      </c>
      <c r="K3542" t="s">
        <v>606</v>
      </c>
      <c r="L3542" t="s">
        <v>4273</v>
      </c>
      <c r="M3542" t="s">
        <v>1382</v>
      </c>
      <c r="N3542" t="s">
        <v>625</v>
      </c>
      <c r="O3542" t="s">
        <v>1932</v>
      </c>
      <c r="P3542" t="s">
        <v>626</v>
      </c>
      <c r="Q3542" t="s">
        <v>514</v>
      </c>
      <c r="R3542" t="s">
        <v>1841</v>
      </c>
      <c r="S3542" t="s">
        <v>1923</v>
      </c>
      <c r="T3542" t="s">
        <v>1568</v>
      </c>
      <c r="U3542">
        <v>220901</v>
      </c>
      <c r="V3542" t="s">
        <v>10430</v>
      </c>
      <c r="W3542" t="s">
        <v>10431</v>
      </c>
      <c r="X3542" t="s">
        <v>9133</v>
      </c>
      <c r="Y3542" t="s">
        <v>4276</v>
      </c>
      <c r="Z3542" t="s">
        <v>4277</v>
      </c>
      <c r="AA3542" t="s">
        <v>4278</v>
      </c>
      <c r="AB3542" t="s">
        <v>9134</v>
      </c>
      <c r="AE3542">
        <v>-39.544950550000003</v>
      </c>
      <c r="AF3542">
        <v>174.14097849999999</v>
      </c>
      <c r="AG3542" s="175">
        <v>30</v>
      </c>
      <c r="AH3542" s="175">
        <v>10</v>
      </c>
      <c r="AI3542" s="175">
        <v>2</v>
      </c>
      <c r="AJ3542" s="175">
        <v>2</v>
      </c>
      <c r="AK3542" s="175">
        <v>7</v>
      </c>
      <c r="AL3542" s="175">
        <v>8</v>
      </c>
      <c r="AM3542" s="175">
        <v>7</v>
      </c>
      <c r="AN3542" s="175">
        <v>0</v>
      </c>
      <c r="AO3542" s="175">
        <v>26</v>
      </c>
      <c r="AP3542" s="175">
        <v>0</v>
      </c>
      <c r="AQ3542" s="175">
        <v>23</v>
      </c>
      <c r="AR3542" s="175">
        <v>0</v>
      </c>
      <c r="AS3542" s="175">
        <v>0</v>
      </c>
      <c r="AT3542" s="175">
        <v>3</v>
      </c>
    </row>
    <row r="3543" spans="1:46">
      <c r="A3543">
        <v>52713</v>
      </c>
      <c r="B3543" t="s">
        <v>19584</v>
      </c>
      <c r="C3543" t="s">
        <v>19585</v>
      </c>
      <c r="E3543" t="s">
        <v>19586</v>
      </c>
      <c r="G3543" t="s">
        <v>1938</v>
      </c>
      <c r="H3543" t="s">
        <v>347</v>
      </c>
      <c r="J3543" t="s">
        <v>605</v>
      </c>
      <c r="K3543" t="s">
        <v>606</v>
      </c>
      <c r="L3543" t="s">
        <v>4273</v>
      </c>
      <c r="M3543" t="s">
        <v>1382</v>
      </c>
      <c r="N3543" t="s">
        <v>657</v>
      </c>
      <c r="O3543" t="s">
        <v>1932</v>
      </c>
      <c r="P3543" t="s">
        <v>658</v>
      </c>
      <c r="Q3543" t="s">
        <v>514</v>
      </c>
      <c r="R3543" t="s">
        <v>1841</v>
      </c>
      <c r="S3543" t="s">
        <v>1923</v>
      </c>
      <c r="T3543" t="s">
        <v>1568</v>
      </c>
      <c r="U3543">
        <v>221500</v>
      </c>
      <c r="V3543" t="s">
        <v>19587</v>
      </c>
      <c r="W3543" t="s">
        <v>1940</v>
      </c>
      <c r="X3543" t="s">
        <v>9133</v>
      </c>
      <c r="Y3543" t="s">
        <v>4276</v>
      </c>
      <c r="Z3543" t="s">
        <v>4277</v>
      </c>
      <c r="AA3543" t="s">
        <v>4278</v>
      </c>
      <c r="AB3543" t="s">
        <v>9134</v>
      </c>
      <c r="AE3543">
        <v>-39.56435896</v>
      </c>
      <c r="AF3543">
        <v>174.31410356999999</v>
      </c>
      <c r="AG3543" s="175">
        <v>30</v>
      </c>
      <c r="AH3543" s="175">
        <v>10</v>
      </c>
      <c r="AI3543" s="175">
        <v>0</v>
      </c>
      <c r="AJ3543" s="175">
        <v>3</v>
      </c>
      <c r="AK3543" s="175">
        <v>2</v>
      </c>
      <c r="AL3543" s="175">
        <v>2</v>
      </c>
      <c r="AM3543" s="175">
        <v>4</v>
      </c>
      <c r="AN3543" s="175">
        <v>0</v>
      </c>
      <c r="AO3543" s="175">
        <v>11</v>
      </c>
      <c r="AP3543" s="175">
        <v>0</v>
      </c>
      <c r="AQ3543" s="175">
        <v>11</v>
      </c>
      <c r="AR3543" s="175">
        <v>0</v>
      </c>
      <c r="AS3543" s="175">
        <v>0</v>
      </c>
      <c r="AT3543" s="175">
        <v>0</v>
      </c>
    </row>
    <row r="3544" spans="1:46">
      <c r="A3544">
        <v>52717</v>
      </c>
      <c r="B3544" t="s">
        <v>19588</v>
      </c>
      <c r="C3544" t="s">
        <v>19589</v>
      </c>
      <c r="E3544" t="s">
        <v>19590</v>
      </c>
      <c r="G3544" t="s">
        <v>1921</v>
      </c>
      <c r="H3544" t="s">
        <v>347</v>
      </c>
      <c r="J3544" t="s">
        <v>605</v>
      </c>
      <c r="K3544" t="s">
        <v>606</v>
      </c>
      <c r="L3544" t="s">
        <v>4273</v>
      </c>
      <c r="M3544" t="s">
        <v>1382</v>
      </c>
      <c r="N3544" t="s">
        <v>643</v>
      </c>
      <c r="O3544" t="s">
        <v>1922</v>
      </c>
      <c r="P3544" t="s">
        <v>610</v>
      </c>
      <c r="Q3544" t="s">
        <v>514</v>
      </c>
      <c r="R3544" t="s">
        <v>1841</v>
      </c>
      <c r="S3544" t="s">
        <v>1923</v>
      </c>
      <c r="T3544" t="s">
        <v>1568</v>
      </c>
      <c r="U3544">
        <v>220301</v>
      </c>
      <c r="V3544" t="s">
        <v>1958</v>
      </c>
      <c r="W3544" t="s">
        <v>1925</v>
      </c>
      <c r="X3544" t="s">
        <v>9133</v>
      </c>
      <c r="Y3544" t="s">
        <v>4276</v>
      </c>
      <c r="Z3544" t="s">
        <v>4277</v>
      </c>
      <c r="AA3544" t="s">
        <v>4278</v>
      </c>
      <c r="AB3544" t="s">
        <v>9134</v>
      </c>
      <c r="AE3544">
        <v>-39.34268316</v>
      </c>
      <c r="AF3544">
        <v>174.29523710000001</v>
      </c>
      <c r="AG3544" s="175">
        <v>40</v>
      </c>
      <c r="AH3544" s="175">
        <v>10</v>
      </c>
      <c r="AI3544" s="175">
        <v>1</v>
      </c>
      <c r="AJ3544" s="175">
        <v>4</v>
      </c>
      <c r="AK3544" s="175">
        <v>3</v>
      </c>
      <c r="AL3544" s="175">
        <v>7</v>
      </c>
      <c r="AM3544" s="175">
        <v>3</v>
      </c>
      <c r="AN3544" s="175">
        <v>0</v>
      </c>
      <c r="AO3544" s="175">
        <v>18</v>
      </c>
      <c r="AP3544" s="175">
        <v>0</v>
      </c>
      <c r="AQ3544" s="175">
        <v>16</v>
      </c>
      <c r="AR3544" s="175">
        <v>0</v>
      </c>
      <c r="AS3544" s="175">
        <v>0</v>
      </c>
      <c r="AT3544" s="175">
        <v>2</v>
      </c>
    </row>
    <row r="3545" spans="1:46">
      <c r="A3545">
        <v>52720</v>
      </c>
      <c r="B3545" t="s">
        <v>19591</v>
      </c>
      <c r="C3545" t="s">
        <v>19592</v>
      </c>
      <c r="E3545" t="s">
        <v>19593</v>
      </c>
      <c r="G3545" t="s">
        <v>1951</v>
      </c>
      <c r="H3545" t="s">
        <v>347</v>
      </c>
      <c r="J3545" t="s">
        <v>605</v>
      </c>
      <c r="K3545" t="s">
        <v>606</v>
      </c>
      <c r="L3545" t="s">
        <v>4273</v>
      </c>
      <c r="M3545" t="s">
        <v>1382</v>
      </c>
      <c r="N3545" t="s">
        <v>608</v>
      </c>
      <c r="O3545" t="s">
        <v>1932</v>
      </c>
      <c r="P3545" t="s">
        <v>610</v>
      </c>
      <c r="Q3545" t="s">
        <v>514</v>
      </c>
      <c r="R3545" t="s">
        <v>1841</v>
      </c>
      <c r="S3545" t="s">
        <v>1923</v>
      </c>
      <c r="T3545" t="s">
        <v>1568</v>
      </c>
      <c r="U3545">
        <v>222201</v>
      </c>
      <c r="V3545" t="s">
        <v>1952</v>
      </c>
      <c r="W3545" t="s">
        <v>1953</v>
      </c>
      <c r="X3545" t="s">
        <v>9133</v>
      </c>
      <c r="Y3545" t="s">
        <v>4276</v>
      </c>
      <c r="Z3545" t="s">
        <v>4277</v>
      </c>
      <c r="AA3545" t="s">
        <v>4278</v>
      </c>
      <c r="AB3545" t="s">
        <v>9134</v>
      </c>
      <c r="AE3545">
        <v>-39.755711949999998</v>
      </c>
      <c r="AF3545">
        <v>174.4749162</v>
      </c>
      <c r="AG3545" s="175">
        <v>15</v>
      </c>
      <c r="AH3545" s="175">
        <v>2</v>
      </c>
      <c r="AI3545" s="175">
        <v>0</v>
      </c>
      <c r="AJ3545" s="175">
        <v>2</v>
      </c>
      <c r="AK3545" s="175">
        <v>1</v>
      </c>
      <c r="AL3545" s="175">
        <v>5</v>
      </c>
      <c r="AM3545" s="175">
        <v>7</v>
      </c>
      <c r="AN3545" s="175">
        <v>0</v>
      </c>
      <c r="AO3545" s="175">
        <v>15</v>
      </c>
      <c r="AP3545" s="175">
        <v>0</v>
      </c>
      <c r="AQ3545" s="175">
        <v>15</v>
      </c>
      <c r="AR3545" s="175">
        <v>0</v>
      </c>
      <c r="AS3545" s="175">
        <v>0</v>
      </c>
      <c r="AT3545" s="175">
        <v>0</v>
      </c>
    </row>
    <row r="3546" spans="1:46">
      <c r="A3546">
        <v>52722</v>
      </c>
      <c r="B3546" t="s">
        <v>19594</v>
      </c>
      <c r="C3546" t="s">
        <v>19595</v>
      </c>
      <c r="D3546" t="s">
        <v>19596</v>
      </c>
      <c r="E3546" t="s">
        <v>19597</v>
      </c>
      <c r="G3546" t="s">
        <v>1951</v>
      </c>
      <c r="H3546" t="s">
        <v>347</v>
      </c>
      <c r="J3546" t="s">
        <v>605</v>
      </c>
      <c r="K3546" t="s">
        <v>606</v>
      </c>
      <c r="L3546" t="s">
        <v>4273</v>
      </c>
      <c r="M3546" t="s">
        <v>1382</v>
      </c>
      <c r="N3546" t="s">
        <v>812</v>
      </c>
      <c r="O3546" t="s">
        <v>1932</v>
      </c>
      <c r="P3546" t="s">
        <v>658</v>
      </c>
      <c r="Q3546" t="s">
        <v>514</v>
      </c>
      <c r="R3546" t="s">
        <v>1841</v>
      </c>
      <c r="S3546" t="s">
        <v>1923</v>
      </c>
      <c r="T3546" t="s">
        <v>1568</v>
      </c>
      <c r="U3546">
        <v>222101</v>
      </c>
      <c r="V3546" t="s">
        <v>19359</v>
      </c>
      <c r="W3546" t="s">
        <v>1953</v>
      </c>
      <c r="X3546" t="s">
        <v>9133</v>
      </c>
      <c r="Y3546" t="s">
        <v>4276</v>
      </c>
      <c r="Z3546" t="s">
        <v>4277</v>
      </c>
      <c r="AA3546" t="s">
        <v>4278</v>
      </c>
      <c r="AB3546" t="s">
        <v>9134</v>
      </c>
      <c r="AE3546">
        <v>-39.753692919999999</v>
      </c>
      <c r="AF3546">
        <v>174.50307100000001</v>
      </c>
      <c r="AG3546" s="175">
        <v>30</v>
      </c>
      <c r="AH3546" s="175">
        <v>10</v>
      </c>
      <c r="AI3546" s="175">
        <v>3</v>
      </c>
      <c r="AJ3546" s="175">
        <v>6</v>
      </c>
      <c r="AK3546" s="175">
        <v>5</v>
      </c>
      <c r="AL3546" s="175">
        <v>4</v>
      </c>
      <c r="AM3546" s="175">
        <v>2</v>
      </c>
      <c r="AN3546" s="175">
        <v>0</v>
      </c>
      <c r="AO3546" s="175">
        <v>20</v>
      </c>
      <c r="AP3546" s="175">
        <v>0</v>
      </c>
      <c r="AQ3546" s="175">
        <v>19</v>
      </c>
      <c r="AR3546" s="175">
        <v>0</v>
      </c>
      <c r="AS3546" s="175">
        <v>0</v>
      </c>
      <c r="AT3546" s="175">
        <v>1</v>
      </c>
    </row>
    <row r="3547" spans="1:46">
      <c r="A3547">
        <v>52723</v>
      </c>
      <c r="B3547" t="s">
        <v>19598</v>
      </c>
      <c r="C3547" t="s">
        <v>19599</v>
      </c>
      <c r="E3547" t="s">
        <v>19600</v>
      </c>
      <c r="G3547" t="s">
        <v>19358</v>
      </c>
      <c r="H3547" t="s">
        <v>347</v>
      </c>
      <c r="J3547" t="s">
        <v>605</v>
      </c>
      <c r="K3547" t="s">
        <v>606</v>
      </c>
      <c r="L3547" t="s">
        <v>4273</v>
      </c>
      <c r="M3547" t="s">
        <v>1382</v>
      </c>
      <c r="N3547" t="s">
        <v>608</v>
      </c>
      <c r="O3547" t="s">
        <v>1932</v>
      </c>
      <c r="P3547" t="s">
        <v>626</v>
      </c>
      <c r="Q3547" t="s">
        <v>514</v>
      </c>
      <c r="R3547" t="s">
        <v>1841</v>
      </c>
      <c r="S3547" t="s">
        <v>1923</v>
      </c>
      <c r="T3547" t="s">
        <v>1568</v>
      </c>
      <c r="U3547">
        <v>222101</v>
      </c>
      <c r="V3547" t="s">
        <v>19359</v>
      </c>
      <c r="W3547" t="s">
        <v>1953</v>
      </c>
      <c r="X3547" t="s">
        <v>9133</v>
      </c>
      <c r="Y3547" t="s">
        <v>4276</v>
      </c>
      <c r="Z3547" t="s">
        <v>4277</v>
      </c>
      <c r="AA3547" t="s">
        <v>4278</v>
      </c>
      <c r="AB3547" t="s">
        <v>9134</v>
      </c>
      <c r="AE3547">
        <v>-39.762581900000001</v>
      </c>
      <c r="AF3547">
        <v>174.62913521999999</v>
      </c>
      <c r="AG3547" s="175">
        <v>20</v>
      </c>
      <c r="AH3547" s="175">
        <v>4</v>
      </c>
      <c r="AI3547" s="175">
        <v>1</v>
      </c>
      <c r="AJ3547" s="175">
        <v>0</v>
      </c>
      <c r="AK3547" s="175">
        <v>6</v>
      </c>
      <c r="AL3547" s="175">
        <v>6</v>
      </c>
      <c r="AM3547" s="175">
        <v>1</v>
      </c>
      <c r="AN3547" s="175">
        <v>0</v>
      </c>
      <c r="AO3547" s="175">
        <v>14</v>
      </c>
      <c r="AP3547" s="175">
        <v>0</v>
      </c>
      <c r="AQ3547" s="175">
        <v>9</v>
      </c>
      <c r="AR3547" s="175">
        <v>0</v>
      </c>
      <c r="AS3547" s="175">
        <v>0</v>
      </c>
      <c r="AT3547" s="175">
        <v>5</v>
      </c>
    </row>
    <row r="3548" spans="1:46">
      <c r="A3548">
        <v>52724</v>
      </c>
      <c r="B3548" t="s">
        <v>19601</v>
      </c>
      <c r="C3548" t="s">
        <v>19602</v>
      </c>
      <c r="E3548" t="s">
        <v>19603</v>
      </c>
      <c r="G3548" t="s">
        <v>1923</v>
      </c>
      <c r="H3548" t="s">
        <v>347</v>
      </c>
      <c r="J3548" t="s">
        <v>605</v>
      </c>
      <c r="K3548" t="s">
        <v>606</v>
      </c>
      <c r="L3548" t="s">
        <v>4273</v>
      </c>
      <c r="M3548" t="s">
        <v>1382</v>
      </c>
      <c r="N3548" t="s">
        <v>812</v>
      </c>
      <c r="O3548" t="s">
        <v>1968</v>
      </c>
      <c r="P3548" t="s">
        <v>670</v>
      </c>
      <c r="Q3548" t="s">
        <v>553</v>
      </c>
      <c r="R3548" t="s">
        <v>1841</v>
      </c>
      <c r="S3548" t="s">
        <v>1923</v>
      </c>
      <c r="T3548" t="s">
        <v>1568</v>
      </c>
      <c r="U3548">
        <v>223600</v>
      </c>
      <c r="V3548" t="s">
        <v>19604</v>
      </c>
      <c r="W3548" t="s">
        <v>1734</v>
      </c>
      <c r="X3548" t="s">
        <v>9133</v>
      </c>
      <c r="Y3548" t="s">
        <v>4276</v>
      </c>
      <c r="Z3548" t="s">
        <v>4277</v>
      </c>
      <c r="AA3548" t="s">
        <v>4278</v>
      </c>
      <c r="AB3548" t="s">
        <v>9134</v>
      </c>
      <c r="AE3548">
        <v>-39.930428050000003</v>
      </c>
      <c r="AF3548">
        <v>174.97538506999999</v>
      </c>
      <c r="AG3548" s="175">
        <v>27</v>
      </c>
      <c r="AH3548" s="175">
        <v>12</v>
      </c>
      <c r="AI3548" s="175">
        <v>0</v>
      </c>
      <c r="AJ3548" s="175">
        <v>3</v>
      </c>
      <c r="AK3548" s="175">
        <v>8</v>
      </c>
      <c r="AL3548" s="175">
        <v>4</v>
      </c>
      <c r="AM3548" s="175">
        <v>5</v>
      </c>
      <c r="AN3548" s="175">
        <v>0</v>
      </c>
      <c r="AO3548" s="175">
        <v>20</v>
      </c>
      <c r="AP3548" s="175">
        <v>0</v>
      </c>
      <c r="AQ3548" s="175">
        <v>20</v>
      </c>
      <c r="AR3548" s="175">
        <v>0</v>
      </c>
      <c r="AS3548" s="175">
        <v>0</v>
      </c>
      <c r="AT3548" s="175">
        <v>0</v>
      </c>
    </row>
    <row r="3549" spans="1:46">
      <c r="A3549">
        <v>52725</v>
      </c>
      <c r="B3549" t="s">
        <v>19605</v>
      </c>
      <c r="C3549" t="s">
        <v>19606</v>
      </c>
      <c r="E3549" t="s">
        <v>19607</v>
      </c>
      <c r="F3549" t="s">
        <v>1979</v>
      </c>
      <c r="G3549" t="s">
        <v>1923</v>
      </c>
      <c r="H3549" t="s">
        <v>347</v>
      </c>
      <c r="J3549" t="s">
        <v>605</v>
      </c>
      <c r="K3549" t="s">
        <v>606</v>
      </c>
      <c r="L3549" t="s">
        <v>4273</v>
      </c>
      <c r="M3549" t="s">
        <v>1382</v>
      </c>
      <c r="N3549" t="s">
        <v>812</v>
      </c>
      <c r="O3549" t="s">
        <v>1968</v>
      </c>
      <c r="P3549" t="s">
        <v>670</v>
      </c>
      <c r="Q3549" t="s">
        <v>553</v>
      </c>
      <c r="R3549" t="s">
        <v>1841</v>
      </c>
      <c r="S3549" t="s">
        <v>1923</v>
      </c>
      <c r="T3549" t="s">
        <v>1568</v>
      </c>
      <c r="U3549">
        <v>224700</v>
      </c>
      <c r="V3549" t="s">
        <v>19608</v>
      </c>
      <c r="W3549" t="s">
        <v>1734</v>
      </c>
      <c r="X3549" t="s">
        <v>19609</v>
      </c>
      <c r="Y3549" t="s">
        <v>4276</v>
      </c>
      <c r="Z3549" t="s">
        <v>4277</v>
      </c>
      <c r="AA3549" t="s">
        <v>4278</v>
      </c>
      <c r="AB3549" t="s">
        <v>19610</v>
      </c>
      <c r="AE3549">
        <v>-39.94455421</v>
      </c>
      <c r="AF3549">
        <v>175.00341879000001</v>
      </c>
      <c r="AG3549" s="175">
        <v>100</v>
      </c>
      <c r="AH3549" s="175">
        <v>25</v>
      </c>
      <c r="AI3549" s="175">
        <v>4</v>
      </c>
      <c r="AJ3549" s="175">
        <v>17</v>
      </c>
      <c r="AK3549" s="175">
        <v>19</v>
      </c>
      <c r="AL3549" s="175">
        <v>14</v>
      </c>
      <c r="AM3549" s="175">
        <v>13</v>
      </c>
      <c r="AN3549" s="175">
        <v>0</v>
      </c>
      <c r="AO3549" s="175">
        <v>67</v>
      </c>
      <c r="AP3549" s="175">
        <v>0</v>
      </c>
      <c r="AQ3549" s="175">
        <v>61</v>
      </c>
      <c r="AR3549" s="175">
        <v>3</v>
      </c>
      <c r="AS3549" s="175">
        <v>0</v>
      </c>
      <c r="AT3549" s="175">
        <v>3</v>
      </c>
    </row>
    <row r="3550" spans="1:46">
      <c r="A3550">
        <v>52727</v>
      </c>
      <c r="B3550" t="s">
        <v>19611</v>
      </c>
      <c r="C3550" t="s">
        <v>19612</v>
      </c>
      <c r="E3550" t="s">
        <v>19613</v>
      </c>
      <c r="G3550" t="s">
        <v>1923</v>
      </c>
      <c r="H3550" t="s">
        <v>347</v>
      </c>
      <c r="J3550" t="s">
        <v>605</v>
      </c>
      <c r="K3550" t="s">
        <v>606</v>
      </c>
      <c r="L3550" t="s">
        <v>4273</v>
      </c>
      <c r="M3550" t="s">
        <v>1382</v>
      </c>
      <c r="N3550" t="s">
        <v>608</v>
      </c>
      <c r="O3550" t="s">
        <v>1968</v>
      </c>
      <c r="P3550" t="s">
        <v>670</v>
      </c>
      <c r="Q3550" t="s">
        <v>553</v>
      </c>
      <c r="R3550" t="s">
        <v>1841</v>
      </c>
      <c r="S3550" t="s">
        <v>1923</v>
      </c>
      <c r="T3550" t="s">
        <v>1568</v>
      </c>
      <c r="U3550">
        <v>225100</v>
      </c>
      <c r="V3550" t="s">
        <v>14586</v>
      </c>
      <c r="W3550" t="s">
        <v>1734</v>
      </c>
      <c r="X3550" t="s">
        <v>9133</v>
      </c>
      <c r="Y3550" t="s">
        <v>4276</v>
      </c>
      <c r="Z3550" t="s">
        <v>4277</v>
      </c>
      <c r="AA3550" t="s">
        <v>4278</v>
      </c>
      <c r="AB3550" t="s">
        <v>9134</v>
      </c>
      <c r="AE3550">
        <v>-39.91055626</v>
      </c>
      <c r="AF3550">
        <v>175.06014003000001</v>
      </c>
      <c r="AG3550" s="175">
        <v>32</v>
      </c>
      <c r="AH3550" s="175">
        <v>8</v>
      </c>
      <c r="AI3550" s="175">
        <v>1</v>
      </c>
      <c r="AJ3550" s="175">
        <v>6</v>
      </c>
      <c r="AK3550" s="175">
        <v>5</v>
      </c>
      <c r="AL3550" s="175">
        <v>8</v>
      </c>
      <c r="AM3550" s="175">
        <v>7</v>
      </c>
      <c r="AN3550" s="175">
        <v>0</v>
      </c>
      <c r="AO3550" s="175">
        <v>27</v>
      </c>
      <c r="AP3550" s="175">
        <v>0</v>
      </c>
      <c r="AQ3550" s="175">
        <v>27</v>
      </c>
      <c r="AR3550" s="175">
        <v>0</v>
      </c>
      <c r="AS3550" s="175">
        <v>0</v>
      </c>
      <c r="AT3550" s="175">
        <v>0</v>
      </c>
    </row>
    <row r="3551" spans="1:46">
      <c r="A3551">
        <v>52728</v>
      </c>
      <c r="B3551" t="s">
        <v>19614</v>
      </c>
      <c r="C3551" t="s">
        <v>19615</v>
      </c>
      <c r="E3551" t="s">
        <v>19616</v>
      </c>
      <c r="G3551" t="s">
        <v>1923</v>
      </c>
      <c r="H3551" t="s">
        <v>347</v>
      </c>
      <c r="J3551" t="s">
        <v>605</v>
      </c>
      <c r="K3551" t="s">
        <v>606</v>
      </c>
      <c r="L3551" t="s">
        <v>4273</v>
      </c>
      <c r="M3551" t="s">
        <v>1382</v>
      </c>
      <c r="N3551" t="s">
        <v>608</v>
      </c>
      <c r="O3551" t="s">
        <v>1968</v>
      </c>
      <c r="P3551" t="s">
        <v>658</v>
      </c>
      <c r="Q3551" t="s">
        <v>553</v>
      </c>
      <c r="R3551" t="s">
        <v>1841</v>
      </c>
      <c r="S3551" t="s">
        <v>1923</v>
      </c>
      <c r="T3551" t="s">
        <v>1568</v>
      </c>
      <c r="U3551">
        <v>223300</v>
      </c>
      <c r="V3551" t="s">
        <v>19617</v>
      </c>
      <c r="W3551" t="s">
        <v>1734</v>
      </c>
      <c r="X3551" t="s">
        <v>9133</v>
      </c>
      <c r="Y3551" t="s">
        <v>4276</v>
      </c>
      <c r="Z3551" t="s">
        <v>4277</v>
      </c>
      <c r="AA3551" t="s">
        <v>4278</v>
      </c>
      <c r="AB3551" t="s">
        <v>9134</v>
      </c>
      <c r="AE3551">
        <v>-39.832561099999999</v>
      </c>
      <c r="AF3551">
        <v>175.07779418000001</v>
      </c>
      <c r="AG3551" s="175">
        <v>25</v>
      </c>
      <c r="AH3551" s="175">
        <v>6</v>
      </c>
      <c r="AI3551" s="175">
        <v>3</v>
      </c>
      <c r="AJ3551" s="175">
        <v>3</v>
      </c>
      <c r="AK3551" s="175">
        <v>5</v>
      </c>
      <c r="AL3551" s="175">
        <v>7</v>
      </c>
      <c r="AM3551" s="175">
        <v>5</v>
      </c>
      <c r="AN3551" s="175">
        <v>0</v>
      </c>
      <c r="AO3551" s="175">
        <v>23</v>
      </c>
      <c r="AP3551" s="175">
        <v>0</v>
      </c>
      <c r="AQ3551" s="175">
        <v>23</v>
      </c>
      <c r="AR3551" s="175">
        <v>0</v>
      </c>
      <c r="AS3551" s="175">
        <v>0</v>
      </c>
      <c r="AT3551" s="175">
        <v>0</v>
      </c>
    </row>
    <row r="3552" spans="1:46">
      <c r="A3552">
        <v>52729</v>
      </c>
      <c r="B3552" t="s">
        <v>19618</v>
      </c>
      <c r="C3552" t="s">
        <v>19223</v>
      </c>
      <c r="D3552" t="s">
        <v>19619</v>
      </c>
      <c r="E3552" t="s">
        <v>19225</v>
      </c>
      <c r="G3552" t="s">
        <v>1923</v>
      </c>
      <c r="H3552" t="s">
        <v>347</v>
      </c>
      <c r="J3552" t="s">
        <v>605</v>
      </c>
      <c r="K3552" t="s">
        <v>606</v>
      </c>
      <c r="L3552" t="s">
        <v>4273</v>
      </c>
      <c r="M3552" t="s">
        <v>1382</v>
      </c>
      <c r="N3552" t="s">
        <v>608</v>
      </c>
      <c r="O3552" t="s">
        <v>1968</v>
      </c>
      <c r="P3552" t="s">
        <v>670</v>
      </c>
      <c r="Q3552" t="s">
        <v>553</v>
      </c>
      <c r="R3552" t="s">
        <v>1841</v>
      </c>
      <c r="S3552" t="s">
        <v>1923</v>
      </c>
      <c r="T3552" t="s">
        <v>1568</v>
      </c>
      <c r="U3552">
        <v>225400</v>
      </c>
      <c r="V3552" t="s">
        <v>16132</v>
      </c>
      <c r="W3552" t="s">
        <v>1734</v>
      </c>
      <c r="X3552" t="s">
        <v>9133</v>
      </c>
      <c r="Y3552" t="s">
        <v>4276</v>
      </c>
      <c r="Z3552" t="s">
        <v>4277</v>
      </c>
      <c r="AA3552" t="s">
        <v>4278</v>
      </c>
      <c r="AB3552" t="s">
        <v>9134</v>
      </c>
      <c r="AE3552">
        <v>-39.928743169999997</v>
      </c>
      <c r="AF3552">
        <v>175.05280259</v>
      </c>
      <c r="AG3552" s="175">
        <v>33</v>
      </c>
      <c r="AH3552" s="175">
        <v>0</v>
      </c>
      <c r="AI3552" s="175">
        <v>0</v>
      </c>
      <c r="AJ3552" s="175">
        <v>0</v>
      </c>
      <c r="AK3552" s="175">
        <v>5</v>
      </c>
      <c r="AL3552" s="175">
        <v>16</v>
      </c>
      <c r="AM3552" s="175">
        <v>10</v>
      </c>
      <c r="AN3552" s="175">
        <v>0</v>
      </c>
      <c r="AO3552" s="175">
        <v>31</v>
      </c>
      <c r="AP3552" s="175">
        <v>0</v>
      </c>
      <c r="AQ3552" s="175">
        <v>30</v>
      </c>
      <c r="AR3552" s="175">
        <v>0</v>
      </c>
      <c r="AS3552" s="175">
        <v>0</v>
      </c>
      <c r="AT3552" s="175">
        <v>1</v>
      </c>
    </row>
    <row r="3553" spans="1:46">
      <c r="A3553">
        <v>52730</v>
      </c>
      <c r="B3553" t="s">
        <v>19620</v>
      </c>
      <c r="C3553" t="s">
        <v>19621</v>
      </c>
      <c r="E3553" t="s">
        <v>19622</v>
      </c>
      <c r="G3553" t="s">
        <v>1923</v>
      </c>
      <c r="H3553" t="s">
        <v>347</v>
      </c>
      <c r="J3553" t="s">
        <v>605</v>
      </c>
      <c r="K3553" t="s">
        <v>606</v>
      </c>
      <c r="L3553" t="s">
        <v>4273</v>
      </c>
      <c r="M3553" t="s">
        <v>1382</v>
      </c>
      <c r="N3553" t="s">
        <v>608</v>
      </c>
      <c r="O3553" t="s">
        <v>1968</v>
      </c>
      <c r="P3553" t="s">
        <v>658</v>
      </c>
      <c r="Q3553" t="s">
        <v>553</v>
      </c>
      <c r="R3553" t="s">
        <v>1841</v>
      </c>
      <c r="S3553" t="s">
        <v>1923</v>
      </c>
      <c r="T3553" t="s">
        <v>1568</v>
      </c>
      <c r="U3553">
        <v>223300</v>
      </c>
      <c r="V3553" t="s">
        <v>19617</v>
      </c>
      <c r="W3553" t="s">
        <v>1734</v>
      </c>
      <c r="X3553" t="s">
        <v>9133</v>
      </c>
      <c r="Y3553" t="s">
        <v>4276</v>
      </c>
      <c r="Z3553" t="s">
        <v>4277</v>
      </c>
      <c r="AA3553" t="s">
        <v>4278</v>
      </c>
      <c r="AB3553" t="s">
        <v>9134</v>
      </c>
      <c r="AE3553">
        <v>-39.830204270000003</v>
      </c>
      <c r="AF3553">
        <v>175.08084955000001</v>
      </c>
      <c r="AG3553" s="175">
        <v>24</v>
      </c>
      <c r="AH3553" s="175">
        <v>6</v>
      </c>
      <c r="AI3553" s="175">
        <v>0</v>
      </c>
      <c r="AJ3553" s="175">
        <v>4</v>
      </c>
      <c r="AK3553" s="175">
        <v>2</v>
      </c>
      <c r="AL3553" s="175">
        <v>4</v>
      </c>
      <c r="AM3553" s="175">
        <v>5</v>
      </c>
      <c r="AN3553" s="175">
        <v>0</v>
      </c>
      <c r="AO3553" s="175">
        <v>15</v>
      </c>
      <c r="AP3553" s="175">
        <v>0</v>
      </c>
      <c r="AQ3553" s="175">
        <v>15</v>
      </c>
      <c r="AR3553" s="175">
        <v>0</v>
      </c>
      <c r="AS3553" s="175">
        <v>0</v>
      </c>
      <c r="AT3553" s="175">
        <v>0</v>
      </c>
    </row>
    <row r="3554" spans="1:46">
      <c r="A3554">
        <v>52732</v>
      </c>
      <c r="B3554" t="s">
        <v>19623</v>
      </c>
      <c r="C3554" t="s">
        <v>19624</v>
      </c>
      <c r="E3554" t="s">
        <v>19625</v>
      </c>
      <c r="G3554" t="s">
        <v>1923</v>
      </c>
      <c r="H3554" t="s">
        <v>347</v>
      </c>
      <c r="J3554" t="s">
        <v>605</v>
      </c>
      <c r="K3554" t="s">
        <v>606</v>
      </c>
      <c r="L3554" t="s">
        <v>4273</v>
      </c>
      <c r="M3554" t="s">
        <v>1382</v>
      </c>
      <c r="N3554" t="s">
        <v>608</v>
      </c>
      <c r="O3554" t="s">
        <v>1968</v>
      </c>
      <c r="P3554" t="s">
        <v>658</v>
      </c>
      <c r="Q3554" t="s">
        <v>553</v>
      </c>
      <c r="R3554" t="s">
        <v>1841</v>
      </c>
      <c r="S3554" t="s">
        <v>1923</v>
      </c>
      <c r="T3554" t="s">
        <v>1568</v>
      </c>
      <c r="U3554">
        <v>223300</v>
      </c>
      <c r="V3554" t="s">
        <v>19617</v>
      </c>
      <c r="W3554" t="s">
        <v>1734</v>
      </c>
      <c r="X3554" t="s">
        <v>9133</v>
      </c>
      <c r="Y3554" t="s">
        <v>4276</v>
      </c>
      <c r="Z3554" t="s">
        <v>4277</v>
      </c>
      <c r="AA3554" t="s">
        <v>4278</v>
      </c>
      <c r="AB3554" t="s">
        <v>9134</v>
      </c>
      <c r="AE3554">
        <v>-39.79426874</v>
      </c>
      <c r="AF3554">
        <v>175.14942264999999</v>
      </c>
      <c r="AG3554" s="175">
        <v>20</v>
      </c>
      <c r="AH3554" s="175">
        <v>8</v>
      </c>
      <c r="AI3554" s="175">
        <v>1</v>
      </c>
      <c r="AJ3554" s="175">
        <v>1</v>
      </c>
      <c r="AK3554" s="175">
        <v>4</v>
      </c>
      <c r="AL3554" s="175">
        <v>4</v>
      </c>
      <c r="AM3554" s="175">
        <v>3</v>
      </c>
      <c r="AN3554" s="175">
        <v>0</v>
      </c>
      <c r="AO3554" s="175">
        <v>13</v>
      </c>
      <c r="AP3554" s="175">
        <v>0</v>
      </c>
      <c r="AQ3554" s="175">
        <v>13</v>
      </c>
      <c r="AR3554" s="175">
        <v>0</v>
      </c>
      <c r="AS3554" s="175">
        <v>0</v>
      </c>
      <c r="AT3554" s="175">
        <v>0</v>
      </c>
    </row>
    <row r="3555" spans="1:46">
      <c r="A3555">
        <v>52734</v>
      </c>
      <c r="B3555" t="s">
        <v>19626</v>
      </c>
      <c r="C3555" t="s">
        <v>19627</v>
      </c>
      <c r="E3555" t="s">
        <v>19628</v>
      </c>
      <c r="G3555" t="s">
        <v>1923</v>
      </c>
      <c r="H3555" t="s">
        <v>347</v>
      </c>
      <c r="J3555" t="s">
        <v>605</v>
      </c>
      <c r="K3555" t="s">
        <v>606</v>
      </c>
      <c r="L3555" t="s">
        <v>4273</v>
      </c>
      <c r="M3555" t="s">
        <v>1382</v>
      </c>
      <c r="N3555" t="s">
        <v>625</v>
      </c>
      <c r="O3555" t="s">
        <v>1968</v>
      </c>
      <c r="P3555" t="s">
        <v>670</v>
      </c>
      <c r="Q3555" t="s">
        <v>553</v>
      </c>
      <c r="R3555" t="s">
        <v>1841</v>
      </c>
      <c r="S3555" t="s">
        <v>1923</v>
      </c>
      <c r="T3555" t="s">
        <v>1568</v>
      </c>
      <c r="U3555">
        <v>226000</v>
      </c>
      <c r="V3555" t="s">
        <v>2019</v>
      </c>
      <c r="W3555" t="s">
        <v>1734</v>
      </c>
      <c r="X3555" t="s">
        <v>9133</v>
      </c>
      <c r="Y3555" t="s">
        <v>4276</v>
      </c>
      <c r="Z3555" t="s">
        <v>4277</v>
      </c>
      <c r="AA3555" t="s">
        <v>4278</v>
      </c>
      <c r="AB3555" t="s">
        <v>9134</v>
      </c>
      <c r="AE3555">
        <v>-39.945729640000003</v>
      </c>
      <c r="AF3555">
        <v>175.04899508</v>
      </c>
      <c r="AG3555" s="175">
        <v>35</v>
      </c>
      <c r="AH3555" s="175">
        <v>10</v>
      </c>
      <c r="AI3555" s="175">
        <v>0</v>
      </c>
      <c r="AJ3555" s="175">
        <v>3</v>
      </c>
      <c r="AK3555" s="175">
        <v>7</v>
      </c>
      <c r="AL3555" s="175">
        <v>7</v>
      </c>
      <c r="AM3555" s="175">
        <v>5</v>
      </c>
      <c r="AN3555" s="175">
        <v>0</v>
      </c>
      <c r="AO3555" s="175">
        <v>22</v>
      </c>
      <c r="AP3555" s="175">
        <v>0</v>
      </c>
      <c r="AQ3555" s="175">
        <v>21</v>
      </c>
      <c r="AR3555" s="175">
        <v>0</v>
      </c>
      <c r="AS3555" s="175">
        <v>0</v>
      </c>
      <c r="AT3555" s="175">
        <v>1</v>
      </c>
    </row>
    <row r="3556" spans="1:46">
      <c r="A3556">
        <v>52735</v>
      </c>
      <c r="B3556" t="s">
        <v>19629</v>
      </c>
      <c r="C3556" t="s">
        <v>19630</v>
      </c>
      <c r="E3556" t="s">
        <v>19631</v>
      </c>
      <c r="G3556" t="s">
        <v>1923</v>
      </c>
      <c r="H3556" t="s">
        <v>347</v>
      </c>
      <c r="J3556" t="s">
        <v>605</v>
      </c>
      <c r="K3556" t="s">
        <v>606</v>
      </c>
      <c r="L3556" t="s">
        <v>4273</v>
      </c>
      <c r="M3556" t="s">
        <v>1382</v>
      </c>
      <c r="N3556" t="s">
        <v>608</v>
      </c>
      <c r="O3556" t="s">
        <v>1968</v>
      </c>
      <c r="P3556" t="s">
        <v>670</v>
      </c>
      <c r="Q3556" t="s">
        <v>553</v>
      </c>
      <c r="R3556" t="s">
        <v>1841</v>
      </c>
      <c r="S3556" t="s">
        <v>1923</v>
      </c>
      <c r="T3556" t="s">
        <v>1568</v>
      </c>
      <c r="U3556">
        <v>224600</v>
      </c>
      <c r="V3556" t="s">
        <v>19364</v>
      </c>
      <c r="W3556" t="s">
        <v>1734</v>
      </c>
      <c r="X3556" t="s">
        <v>9133</v>
      </c>
      <c r="Y3556" t="s">
        <v>4276</v>
      </c>
      <c r="Z3556" t="s">
        <v>4277</v>
      </c>
      <c r="AA3556" t="s">
        <v>4278</v>
      </c>
      <c r="AB3556" t="s">
        <v>9134</v>
      </c>
      <c r="AE3556">
        <v>-39.893831669999997</v>
      </c>
      <c r="AF3556">
        <v>175.08009716000001</v>
      </c>
      <c r="AG3556" s="175">
        <v>40</v>
      </c>
      <c r="AH3556" s="175">
        <v>10</v>
      </c>
      <c r="AI3556" s="175">
        <v>1</v>
      </c>
      <c r="AJ3556" s="175">
        <v>6</v>
      </c>
      <c r="AK3556" s="175">
        <v>5</v>
      </c>
      <c r="AL3556" s="175">
        <v>3</v>
      </c>
      <c r="AM3556" s="175">
        <v>6</v>
      </c>
      <c r="AN3556" s="175">
        <v>0</v>
      </c>
      <c r="AO3556" s="175">
        <v>21</v>
      </c>
      <c r="AP3556" s="175">
        <v>0</v>
      </c>
      <c r="AQ3556" s="175">
        <v>20</v>
      </c>
      <c r="AR3556" s="175">
        <v>0</v>
      </c>
      <c r="AS3556" s="175">
        <v>0</v>
      </c>
      <c r="AT3556" s="175">
        <v>1</v>
      </c>
    </row>
    <row r="3557" spans="1:46">
      <c r="A3557">
        <v>52737</v>
      </c>
      <c r="B3557" t="s">
        <v>19632</v>
      </c>
      <c r="C3557" t="s">
        <v>19633</v>
      </c>
      <c r="E3557" t="s">
        <v>19634</v>
      </c>
      <c r="G3557" t="s">
        <v>1923</v>
      </c>
      <c r="H3557" t="s">
        <v>347</v>
      </c>
      <c r="J3557" t="s">
        <v>605</v>
      </c>
      <c r="K3557" t="s">
        <v>606</v>
      </c>
      <c r="L3557" t="s">
        <v>4273</v>
      </c>
      <c r="M3557" t="s">
        <v>1382</v>
      </c>
      <c r="N3557" t="s">
        <v>812</v>
      </c>
      <c r="O3557" t="s">
        <v>1968</v>
      </c>
      <c r="P3557" t="s">
        <v>670</v>
      </c>
      <c r="Q3557" t="s">
        <v>553</v>
      </c>
      <c r="R3557" t="s">
        <v>1841</v>
      </c>
      <c r="S3557" t="s">
        <v>1923</v>
      </c>
      <c r="T3557" t="s">
        <v>1568</v>
      </c>
      <c r="U3557">
        <v>223600</v>
      </c>
      <c r="V3557" t="s">
        <v>19604</v>
      </c>
      <c r="W3557" t="s">
        <v>1734</v>
      </c>
      <c r="X3557" t="s">
        <v>19635</v>
      </c>
      <c r="Y3557" t="s">
        <v>4276</v>
      </c>
      <c r="Z3557" t="s">
        <v>4277</v>
      </c>
      <c r="AA3557" t="s">
        <v>4278</v>
      </c>
      <c r="AB3557" t="s">
        <v>19636</v>
      </c>
      <c r="AE3557">
        <v>-39.937896600000002</v>
      </c>
      <c r="AF3557">
        <v>174.97917426999999</v>
      </c>
      <c r="AG3557" s="175">
        <v>42</v>
      </c>
      <c r="AH3557" s="175">
        <v>12</v>
      </c>
      <c r="AI3557" s="175">
        <v>3</v>
      </c>
      <c r="AJ3557" s="175">
        <v>7</v>
      </c>
      <c r="AK3557" s="175">
        <v>4</v>
      </c>
      <c r="AL3557" s="175">
        <v>4</v>
      </c>
      <c r="AM3557" s="175">
        <v>10</v>
      </c>
      <c r="AN3557" s="175">
        <v>0</v>
      </c>
      <c r="AO3557" s="175">
        <v>28</v>
      </c>
      <c r="AP3557" s="175">
        <v>0</v>
      </c>
      <c r="AQ3557" s="175">
        <v>25</v>
      </c>
      <c r="AR3557" s="175">
        <v>3</v>
      </c>
      <c r="AS3557" s="175">
        <v>0</v>
      </c>
      <c r="AT3557" s="175">
        <v>0</v>
      </c>
    </row>
    <row r="3558" spans="1:46">
      <c r="A3558">
        <v>52740</v>
      </c>
      <c r="B3558" t="s">
        <v>19637</v>
      </c>
      <c r="C3558" t="s">
        <v>19638</v>
      </c>
      <c r="E3558" t="s">
        <v>19639</v>
      </c>
      <c r="F3558" t="s">
        <v>1992</v>
      </c>
      <c r="G3558" t="s">
        <v>1923</v>
      </c>
      <c r="H3558" t="s">
        <v>347</v>
      </c>
      <c r="J3558" t="s">
        <v>605</v>
      </c>
      <c r="K3558" t="s">
        <v>606</v>
      </c>
      <c r="L3558" t="s">
        <v>4273</v>
      </c>
      <c r="M3558" t="s">
        <v>1382</v>
      </c>
      <c r="N3558" t="s">
        <v>608</v>
      </c>
      <c r="O3558" t="s">
        <v>1968</v>
      </c>
      <c r="P3558" t="s">
        <v>670</v>
      </c>
      <c r="Q3558" t="s">
        <v>553</v>
      </c>
      <c r="R3558" t="s">
        <v>1841</v>
      </c>
      <c r="S3558" t="s">
        <v>1923</v>
      </c>
      <c r="T3558" t="s">
        <v>1568</v>
      </c>
      <c r="U3558">
        <v>225800</v>
      </c>
      <c r="V3558" t="s">
        <v>13292</v>
      </c>
      <c r="W3558" t="s">
        <v>1734</v>
      </c>
      <c r="X3558" t="s">
        <v>9133</v>
      </c>
      <c r="Y3558" t="s">
        <v>4276</v>
      </c>
      <c r="Z3558" t="s">
        <v>4277</v>
      </c>
      <c r="AA3558" t="s">
        <v>4278</v>
      </c>
      <c r="AB3558" t="s">
        <v>9134</v>
      </c>
      <c r="AE3558">
        <v>-39.944816369999998</v>
      </c>
      <c r="AF3558">
        <v>175.03107409</v>
      </c>
      <c r="AG3558" s="175">
        <v>35</v>
      </c>
      <c r="AH3558" s="175">
        <v>10</v>
      </c>
      <c r="AI3558" s="175">
        <v>1</v>
      </c>
      <c r="AJ3558" s="175">
        <v>3</v>
      </c>
      <c r="AK3558" s="175">
        <v>3</v>
      </c>
      <c r="AL3558" s="175">
        <v>3</v>
      </c>
      <c r="AM3558" s="175">
        <v>4</v>
      </c>
      <c r="AN3558" s="175">
        <v>0</v>
      </c>
      <c r="AO3558" s="175">
        <v>14</v>
      </c>
      <c r="AP3558" s="175">
        <v>0</v>
      </c>
      <c r="AQ3558" s="175">
        <v>14</v>
      </c>
      <c r="AR3558" s="175">
        <v>0</v>
      </c>
      <c r="AS3558" s="175">
        <v>0</v>
      </c>
      <c r="AT3558" s="175">
        <v>0</v>
      </c>
    </row>
    <row r="3559" spans="1:46">
      <c r="A3559">
        <v>52741</v>
      </c>
      <c r="B3559" t="s">
        <v>19640</v>
      </c>
      <c r="C3559" t="s">
        <v>19641</v>
      </c>
      <c r="E3559" t="s">
        <v>19642</v>
      </c>
      <c r="G3559" t="s">
        <v>2112</v>
      </c>
      <c r="H3559" t="s">
        <v>347</v>
      </c>
      <c r="J3559" t="s">
        <v>605</v>
      </c>
      <c r="K3559" t="s">
        <v>606</v>
      </c>
      <c r="L3559" t="s">
        <v>4273</v>
      </c>
      <c r="M3559" t="s">
        <v>1382</v>
      </c>
      <c r="N3559" t="s">
        <v>608</v>
      </c>
      <c r="O3559" t="s">
        <v>2048</v>
      </c>
      <c r="P3559" t="s">
        <v>610</v>
      </c>
      <c r="Q3559" t="s">
        <v>553</v>
      </c>
      <c r="R3559" t="s">
        <v>1841</v>
      </c>
      <c r="S3559" t="s">
        <v>1719</v>
      </c>
      <c r="T3559" t="s">
        <v>1568</v>
      </c>
      <c r="U3559">
        <v>226701</v>
      </c>
      <c r="V3559" t="s">
        <v>3670</v>
      </c>
      <c r="W3559" t="s">
        <v>2114</v>
      </c>
      <c r="X3559" t="s">
        <v>9133</v>
      </c>
      <c r="Y3559" t="s">
        <v>4276</v>
      </c>
      <c r="Z3559" t="s">
        <v>4277</v>
      </c>
      <c r="AA3559" t="s">
        <v>4278</v>
      </c>
      <c r="AB3559" t="s">
        <v>9134</v>
      </c>
      <c r="AE3559">
        <v>-40.06985169</v>
      </c>
      <c r="AF3559">
        <v>175.37436928</v>
      </c>
      <c r="AG3559" s="175">
        <v>35</v>
      </c>
      <c r="AH3559" s="175">
        <v>10</v>
      </c>
      <c r="AI3559" s="175">
        <v>0</v>
      </c>
      <c r="AJ3559" s="175">
        <v>2</v>
      </c>
      <c r="AK3559" s="175">
        <v>4</v>
      </c>
      <c r="AL3559" s="175">
        <v>9</v>
      </c>
      <c r="AM3559" s="175">
        <v>4</v>
      </c>
      <c r="AN3559" s="175">
        <v>0</v>
      </c>
      <c r="AO3559" s="175">
        <v>19</v>
      </c>
      <c r="AP3559" s="175">
        <v>0</v>
      </c>
      <c r="AQ3559" s="175">
        <v>13</v>
      </c>
      <c r="AR3559" s="175">
        <v>6</v>
      </c>
      <c r="AS3559" s="175">
        <v>0</v>
      </c>
      <c r="AT3559" s="175">
        <v>0</v>
      </c>
    </row>
    <row r="3560" spans="1:46">
      <c r="A3560">
        <v>52745</v>
      </c>
      <c r="B3560" t="s">
        <v>19643</v>
      </c>
      <c r="C3560" t="s">
        <v>19644</v>
      </c>
      <c r="E3560" t="s">
        <v>19645</v>
      </c>
      <c r="G3560" t="s">
        <v>19646</v>
      </c>
      <c r="H3560" t="s">
        <v>347</v>
      </c>
      <c r="J3560" t="s">
        <v>605</v>
      </c>
      <c r="K3560" t="s">
        <v>606</v>
      </c>
      <c r="L3560" t="s">
        <v>4273</v>
      </c>
      <c r="M3560" t="s">
        <v>1382</v>
      </c>
      <c r="N3560" t="s">
        <v>812</v>
      </c>
      <c r="O3560" t="s">
        <v>2048</v>
      </c>
      <c r="P3560" t="s">
        <v>626</v>
      </c>
      <c r="Q3560" t="s">
        <v>553</v>
      </c>
      <c r="R3560" t="s">
        <v>1841</v>
      </c>
      <c r="S3560" t="s">
        <v>1719</v>
      </c>
      <c r="T3560" t="s">
        <v>1568</v>
      </c>
      <c r="U3560">
        <v>226300</v>
      </c>
      <c r="V3560" t="s">
        <v>19647</v>
      </c>
      <c r="W3560" t="s">
        <v>2049</v>
      </c>
      <c r="X3560" t="s">
        <v>9133</v>
      </c>
      <c r="Y3560" t="s">
        <v>4276</v>
      </c>
      <c r="Z3560" t="s">
        <v>4277</v>
      </c>
      <c r="AA3560" t="s">
        <v>4278</v>
      </c>
      <c r="AB3560" t="s">
        <v>9134</v>
      </c>
      <c r="AE3560">
        <v>-40.037899850000002</v>
      </c>
      <c r="AF3560">
        <v>175.17839509999999</v>
      </c>
      <c r="AG3560" s="175">
        <v>26</v>
      </c>
      <c r="AH3560" s="175">
        <v>6</v>
      </c>
      <c r="AI3560" s="175">
        <v>1</v>
      </c>
      <c r="AJ3560" s="175">
        <v>1</v>
      </c>
      <c r="AK3560" s="175">
        <v>8</v>
      </c>
      <c r="AL3560" s="175">
        <v>5</v>
      </c>
      <c r="AM3560" s="175">
        <v>2</v>
      </c>
      <c r="AN3560" s="175">
        <v>0</v>
      </c>
      <c r="AO3560" s="175">
        <v>17</v>
      </c>
      <c r="AP3560" s="175">
        <v>0</v>
      </c>
      <c r="AQ3560" s="175">
        <v>17</v>
      </c>
      <c r="AR3560" s="175">
        <v>0</v>
      </c>
      <c r="AS3560" s="175">
        <v>0</v>
      </c>
      <c r="AT3560" s="175">
        <v>0</v>
      </c>
    </row>
    <row r="3561" spans="1:46">
      <c r="A3561">
        <v>52746</v>
      </c>
      <c r="B3561" t="s">
        <v>19648</v>
      </c>
      <c r="C3561" t="s">
        <v>19649</v>
      </c>
      <c r="E3561" t="s">
        <v>19650</v>
      </c>
      <c r="G3561" t="s">
        <v>2155</v>
      </c>
      <c r="H3561" t="s">
        <v>347</v>
      </c>
      <c r="J3561" t="s">
        <v>605</v>
      </c>
      <c r="K3561" t="s">
        <v>606</v>
      </c>
      <c r="L3561" t="s">
        <v>4273</v>
      </c>
      <c r="M3561" t="s">
        <v>1382</v>
      </c>
      <c r="N3561" t="s">
        <v>657</v>
      </c>
      <c r="O3561" t="s">
        <v>2048</v>
      </c>
      <c r="P3561" t="s">
        <v>610</v>
      </c>
      <c r="Q3561" t="s">
        <v>553</v>
      </c>
      <c r="R3561" t="s">
        <v>1841</v>
      </c>
      <c r="S3561" t="s">
        <v>1719</v>
      </c>
      <c r="T3561" t="s">
        <v>1568</v>
      </c>
      <c r="U3561">
        <v>226500</v>
      </c>
      <c r="V3561" t="s">
        <v>2155</v>
      </c>
      <c r="W3561" t="s">
        <v>2156</v>
      </c>
      <c r="X3561" t="s">
        <v>9133</v>
      </c>
      <c r="Y3561" t="s">
        <v>4276</v>
      </c>
      <c r="Z3561" t="s">
        <v>4277</v>
      </c>
      <c r="AA3561" t="s">
        <v>4278</v>
      </c>
      <c r="AB3561" t="s">
        <v>9134</v>
      </c>
      <c r="AE3561">
        <v>-39.67484632</v>
      </c>
      <c r="AF3561">
        <v>175.80225515000001</v>
      </c>
      <c r="AG3561" s="175">
        <v>32</v>
      </c>
      <c r="AH3561" s="175">
        <v>12</v>
      </c>
      <c r="AI3561" s="175">
        <v>0</v>
      </c>
      <c r="AJ3561" s="175">
        <v>9</v>
      </c>
      <c r="AK3561" s="175">
        <v>5</v>
      </c>
      <c r="AL3561" s="175">
        <v>8</v>
      </c>
      <c r="AM3561" s="175">
        <v>9</v>
      </c>
      <c r="AN3561" s="175">
        <v>0</v>
      </c>
      <c r="AO3561" s="175">
        <v>31</v>
      </c>
      <c r="AP3561" s="175">
        <v>0</v>
      </c>
      <c r="AQ3561" s="175">
        <v>27</v>
      </c>
      <c r="AR3561" s="175">
        <v>1</v>
      </c>
      <c r="AS3561" s="175">
        <v>0</v>
      </c>
      <c r="AT3561" s="175">
        <v>3</v>
      </c>
    </row>
    <row r="3562" spans="1:46">
      <c r="A3562">
        <v>52747</v>
      </c>
      <c r="B3562" t="s">
        <v>19651</v>
      </c>
      <c r="C3562" t="s">
        <v>19652</v>
      </c>
      <c r="E3562" t="s">
        <v>19653</v>
      </c>
      <c r="G3562" t="s">
        <v>19202</v>
      </c>
      <c r="H3562" t="s">
        <v>347</v>
      </c>
      <c r="J3562" t="s">
        <v>605</v>
      </c>
      <c r="K3562" t="s">
        <v>606</v>
      </c>
      <c r="L3562" t="s">
        <v>4273</v>
      </c>
      <c r="M3562" t="s">
        <v>1382</v>
      </c>
      <c r="N3562" t="s">
        <v>608</v>
      </c>
      <c r="O3562" t="s">
        <v>1718</v>
      </c>
      <c r="P3562" t="s">
        <v>610</v>
      </c>
      <c r="Q3562" t="s">
        <v>553</v>
      </c>
      <c r="R3562" t="s">
        <v>1841</v>
      </c>
      <c r="S3562" t="s">
        <v>1719</v>
      </c>
      <c r="T3562" t="s">
        <v>1568</v>
      </c>
      <c r="U3562">
        <v>223000</v>
      </c>
      <c r="V3562" t="s">
        <v>19202</v>
      </c>
      <c r="W3562" t="s">
        <v>1721</v>
      </c>
      <c r="X3562" t="s">
        <v>19654</v>
      </c>
      <c r="Y3562" t="s">
        <v>4276</v>
      </c>
      <c r="Z3562" t="s">
        <v>4277</v>
      </c>
      <c r="AA3562" t="s">
        <v>4278</v>
      </c>
      <c r="AE3562">
        <v>-39.428005560000003</v>
      </c>
      <c r="AF3562">
        <v>175.27790346</v>
      </c>
      <c r="AG3562" s="175">
        <v>25</v>
      </c>
      <c r="AH3562" s="175">
        <v>10</v>
      </c>
      <c r="AI3562" s="175">
        <v>0</v>
      </c>
      <c r="AJ3562" s="175">
        <v>4</v>
      </c>
      <c r="AK3562" s="175">
        <v>5</v>
      </c>
      <c r="AL3562" s="175">
        <v>2</v>
      </c>
      <c r="AM3562" s="175">
        <v>5</v>
      </c>
      <c r="AN3562" s="175">
        <v>0</v>
      </c>
      <c r="AO3562" s="175">
        <v>16</v>
      </c>
      <c r="AP3562" s="175">
        <v>0</v>
      </c>
      <c r="AQ3562" s="175">
        <v>12</v>
      </c>
      <c r="AR3562" s="175">
        <v>0</v>
      </c>
      <c r="AS3562" s="175">
        <v>0</v>
      </c>
      <c r="AT3562" s="175">
        <v>4</v>
      </c>
    </row>
    <row r="3563" spans="1:46">
      <c r="A3563">
        <v>52749</v>
      </c>
      <c r="B3563" t="s">
        <v>19655</v>
      </c>
      <c r="C3563" t="s">
        <v>19656</v>
      </c>
      <c r="E3563" t="s">
        <v>19657</v>
      </c>
      <c r="G3563" t="s">
        <v>19202</v>
      </c>
      <c r="H3563" t="s">
        <v>347</v>
      </c>
      <c r="J3563" t="s">
        <v>605</v>
      </c>
      <c r="K3563" t="s">
        <v>606</v>
      </c>
      <c r="L3563" t="s">
        <v>4273</v>
      </c>
      <c r="M3563" t="s">
        <v>1382</v>
      </c>
      <c r="N3563" t="s">
        <v>625</v>
      </c>
      <c r="O3563" t="s">
        <v>1718</v>
      </c>
      <c r="P3563" t="s">
        <v>610</v>
      </c>
      <c r="Q3563" t="s">
        <v>553</v>
      </c>
      <c r="R3563" t="s">
        <v>1841</v>
      </c>
      <c r="S3563" t="s">
        <v>1719</v>
      </c>
      <c r="T3563" t="s">
        <v>1568</v>
      </c>
      <c r="U3563">
        <v>223000</v>
      </c>
      <c r="V3563" t="s">
        <v>19202</v>
      </c>
      <c r="W3563" t="s">
        <v>1721</v>
      </c>
      <c r="X3563" t="s">
        <v>9133</v>
      </c>
      <c r="Y3563" t="s">
        <v>4276</v>
      </c>
      <c r="Z3563" t="s">
        <v>4277</v>
      </c>
      <c r="AA3563" t="s">
        <v>4278</v>
      </c>
      <c r="AB3563" t="s">
        <v>9134</v>
      </c>
      <c r="AE3563">
        <v>-39.424864169999999</v>
      </c>
      <c r="AF3563">
        <v>175.26758348000001</v>
      </c>
      <c r="AG3563" s="175">
        <v>30</v>
      </c>
      <c r="AH3563" s="175">
        <v>10</v>
      </c>
      <c r="AI3563" s="175">
        <v>0</v>
      </c>
      <c r="AJ3563" s="175">
        <v>4</v>
      </c>
      <c r="AK3563" s="175">
        <v>7</v>
      </c>
      <c r="AL3563" s="175">
        <v>7</v>
      </c>
      <c r="AM3563" s="175">
        <v>1</v>
      </c>
      <c r="AN3563" s="175">
        <v>0</v>
      </c>
      <c r="AO3563" s="175">
        <v>19</v>
      </c>
      <c r="AP3563" s="175">
        <v>0</v>
      </c>
      <c r="AQ3563" s="175">
        <v>18</v>
      </c>
      <c r="AR3563" s="175">
        <v>1</v>
      </c>
      <c r="AS3563" s="175">
        <v>0</v>
      </c>
      <c r="AT3563" s="175">
        <v>0</v>
      </c>
    </row>
    <row r="3564" spans="1:46">
      <c r="A3564">
        <v>52750</v>
      </c>
      <c r="B3564" t="s">
        <v>19658</v>
      </c>
      <c r="C3564" t="s">
        <v>19659</v>
      </c>
      <c r="E3564" t="s">
        <v>19660</v>
      </c>
      <c r="G3564" t="s">
        <v>2007</v>
      </c>
      <c r="H3564" t="s">
        <v>347</v>
      </c>
      <c r="J3564" t="s">
        <v>605</v>
      </c>
      <c r="K3564" t="s">
        <v>606</v>
      </c>
      <c r="L3564" t="s">
        <v>4273</v>
      </c>
      <c r="M3564" t="s">
        <v>1382</v>
      </c>
      <c r="N3564" t="s">
        <v>812</v>
      </c>
      <c r="O3564" t="s">
        <v>1718</v>
      </c>
      <c r="P3564" t="s">
        <v>610</v>
      </c>
      <c r="Q3564" t="s">
        <v>553</v>
      </c>
      <c r="R3564" t="s">
        <v>1841</v>
      </c>
      <c r="S3564" t="s">
        <v>1719</v>
      </c>
      <c r="T3564" t="s">
        <v>1568</v>
      </c>
      <c r="U3564">
        <v>223100</v>
      </c>
      <c r="V3564" t="s">
        <v>2008</v>
      </c>
      <c r="W3564" t="s">
        <v>1721</v>
      </c>
      <c r="X3564" t="s">
        <v>9133</v>
      </c>
      <c r="Y3564" t="s">
        <v>4276</v>
      </c>
      <c r="Z3564" t="s">
        <v>4277</v>
      </c>
      <c r="AA3564" t="s">
        <v>4278</v>
      </c>
      <c r="AB3564" t="s">
        <v>9134</v>
      </c>
      <c r="AE3564">
        <v>-39.41491465</v>
      </c>
      <c r="AF3564">
        <v>175.39125594000001</v>
      </c>
      <c r="AG3564" s="175">
        <v>40</v>
      </c>
      <c r="AH3564" s="175">
        <v>15</v>
      </c>
      <c r="AI3564" s="175">
        <v>0</v>
      </c>
      <c r="AJ3564" s="175">
        <v>8</v>
      </c>
      <c r="AK3564" s="175">
        <v>9</v>
      </c>
      <c r="AL3564" s="175">
        <v>7</v>
      </c>
      <c r="AM3564" s="175">
        <v>2</v>
      </c>
      <c r="AN3564" s="175">
        <v>0</v>
      </c>
      <c r="AO3564" s="175">
        <v>26</v>
      </c>
      <c r="AP3564" s="175">
        <v>0</v>
      </c>
      <c r="AQ3564" s="175">
        <v>23</v>
      </c>
      <c r="AR3564" s="175">
        <v>0</v>
      </c>
      <c r="AS3564" s="175">
        <v>0</v>
      </c>
      <c r="AT3564" s="175">
        <v>3</v>
      </c>
    </row>
    <row r="3565" spans="1:46">
      <c r="A3565">
        <v>52751</v>
      </c>
      <c r="B3565" t="s">
        <v>19661</v>
      </c>
      <c r="C3565" t="s">
        <v>19662</v>
      </c>
      <c r="E3565" t="s">
        <v>19663</v>
      </c>
      <c r="G3565" t="s">
        <v>2155</v>
      </c>
      <c r="H3565" t="s">
        <v>347</v>
      </c>
      <c r="J3565" t="s">
        <v>605</v>
      </c>
      <c r="K3565" t="s">
        <v>606</v>
      </c>
      <c r="L3565" t="s">
        <v>4273</v>
      </c>
      <c r="M3565" t="s">
        <v>1382</v>
      </c>
      <c r="N3565" t="s">
        <v>657</v>
      </c>
      <c r="O3565" t="s">
        <v>2048</v>
      </c>
      <c r="P3565" t="s">
        <v>610</v>
      </c>
      <c r="Q3565" t="s">
        <v>553</v>
      </c>
      <c r="R3565" t="s">
        <v>1841</v>
      </c>
      <c r="S3565" t="s">
        <v>1719</v>
      </c>
      <c r="T3565" t="s">
        <v>1568</v>
      </c>
      <c r="U3565">
        <v>226500</v>
      </c>
      <c r="V3565" t="s">
        <v>2155</v>
      </c>
      <c r="W3565" t="s">
        <v>2156</v>
      </c>
      <c r="X3565" t="s">
        <v>19664</v>
      </c>
      <c r="Y3565" t="s">
        <v>4276</v>
      </c>
      <c r="Z3565" t="s">
        <v>4277</v>
      </c>
      <c r="AA3565" t="s">
        <v>4278</v>
      </c>
      <c r="AB3565" t="s">
        <v>19665</v>
      </c>
      <c r="AE3565">
        <v>-39.669230300000002</v>
      </c>
      <c r="AF3565">
        <v>175.796888</v>
      </c>
      <c r="AG3565" s="175">
        <v>30</v>
      </c>
      <c r="AH3565" s="175">
        <v>10</v>
      </c>
      <c r="AI3565" s="175">
        <v>1</v>
      </c>
      <c r="AJ3565" s="175">
        <v>3</v>
      </c>
      <c r="AK3565" s="175">
        <v>6</v>
      </c>
      <c r="AL3565" s="175">
        <v>4</v>
      </c>
      <c r="AM3565" s="175">
        <v>3</v>
      </c>
      <c r="AN3565" s="175">
        <v>0</v>
      </c>
      <c r="AO3565" s="175">
        <v>17</v>
      </c>
      <c r="AP3565" s="175">
        <v>0</v>
      </c>
      <c r="AQ3565" s="175">
        <v>13</v>
      </c>
      <c r="AR3565" s="175">
        <v>2</v>
      </c>
      <c r="AS3565" s="175">
        <v>0</v>
      </c>
      <c r="AT3565" s="175">
        <v>2</v>
      </c>
    </row>
    <row r="3566" spans="1:46">
      <c r="A3566">
        <v>52758</v>
      </c>
      <c r="B3566" t="s">
        <v>19666</v>
      </c>
      <c r="C3566" t="s">
        <v>19667</v>
      </c>
      <c r="D3566" t="s">
        <v>19668</v>
      </c>
      <c r="E3566" t="s">
        <v>19669</v>
      </c>
      <c r="F3566" t="s">
        <v>2130</v>
      </c>
      <c r="G3566" t="s">
        <v>2055</v>
      </c>
      <c r="H3566" t="s">
        <v>347</v>
      </c>
      <c r="J3566" t="s">
        <v>605</v>
      </c>
      <c r="K3566" t="s">
        <v>606</v>
      </c>
      <c r="L3566" t="s">
        <v>4273</v>
      </c>
      <c r="M3566" t="s">
        <v>2366</v>
      </c>
      <c r="N3566" t="s">
        <v>657</v>
      </c>
      <c r="O3566" t="s">
        <v>2037</v>
      </c>
      <c r="P3566" t="s">
        <v>670</v>
      </c>
      <c r="Q3566" t="s">
        <v>553</v>
      </c>
      <c r="R3566" t="s">
        <v>2368</v>
      </c>
      <c r="S3566" t="s">
        <v>2055</v>
      </c>
      <c r="T3566" t="s">
        <v>1568</v>
      </c>
      <c r="U3566">
        <v>230800</v>
      </c>
      <c r="V3566" t="s">
        <v>2119</v>
      </c>
      <c r="W3566" t="s">
        <v>2038</v>
      </c>
      <c r="X3566" t="s">
        <v>10392</v>
      </c>
      <c r="Y3566" t="s">
        <v>4276</v>
      </c>
      <c r="Z3566" t="s">
        <v>4277</v>
      </c>
      <c r="AA3566" t="s">
        <v>4278</v>
      </c>
      <c r="AB3566" t="s">
        <v>10393</v>
      </c>
      <c r="AE3566">
        <v>-40.341179330000003</v>
      </c>
      <c r="AF3566">
        <v>175.63348151</v>
      </c>
      <c r="AG3566" s="175">
        <v>30</v>
      </c>
      <c r="AH3566" s="175">
        <v>10</v>
      </c>
      <c r="AI3566" s="175">
        <v>1</v>
      </c>
      <c r="AJ3566" s="175">
        <v>2</v>
      </c>
      <c r="AK3566" s="175">
        <v>5</v>
      </c>
      <c r="AL3566" s="175">
        <v>6</v>
      </c>
      <c r="AM3566" s="175">
        <v>3</v>
      </c>
      <c r="AN3566" s="175">
        <v>0</v>
      </c>
      <c r="AO3566" s="175">
        <v>17</v>
      </c>
      <c r="AP3566" s="175">
        <v>0</v>
      </c>
      <c r="AQ3566" s="175">
        <v>16</v>
      </c>
      <c r="AR3566" s="175">
        <v>1</v>
      </c>
      <c r="AS3566" s="175">
        <v>0</v>
      </c>
      <c r="AT3566" s="175">
        <v>0</v>
      </c>
    </row>
    <row r="3567" spans="1:46">
      <c r="A3567">
        <v>52759</v>
      </c>
      <c r="B3567" t="s">
        <v>19670</v>
      </c>
      <c r="C3567" t="s">
        <v>19671</v>
      </c>
      <c r="D3567" t="s">
        <v>19672</v>
      </c>
      <c r="E3567" t="s">
        <v>19673</v>
      </c>
      <c r="F3567" t="s">
        <v>2130</v>
      </c>
      <c r="G3567" t="s">
        <v>2055</v>
      </c>
      <c r="H3567" t="s">
        <v>347</v>
      </c>
      <c r="J3567" t="s">
        <v>605</v>
      </c>
      <c r="K3567" t="s">
        <v>606</v>
      </c>
      <c r="L3567" t="s">
        <v>4273</v>
      </c>
      <c r="M3567" t="s">
        <v>2366</v>
      </c>
      <c r="N3567" t="s">
        <v>657</v>
      </c>
      <c r="O3567" t="s">
        <v>2037</v>
      </c>
      <c r="P3567" t="s">
        <v>670</v>
      </c>
      <c r="Q3567" t="s">
        <v>553</v>
      </c>
      <c r="R3567" t="s">
        <v>2368</v>
      </c>
      <c r="S3567" t="s">
        <v>2055</v>
      </c>
      <c r="T3567" t="s">
        <v>1568</v>
      </c>
      <c r="U3567">
        <v>230200</v>
      </c>
      <c r="V3567" t="s">
        <v>10453</v>
      </c>
      <c r="W3567" t="s">
        <v>2038</v>
      </c>
      <c r="X3567" t="s">
        <v>10392</v>
      </c>
      <c r="Y3567" t="s">
        <v>4276</v>
      </c>
      <c r="Z3567" t="s">
        <v>4277</v>
      </c>
      <c r="AA3567" t="s">
        <v>4278</v>
      </c>
      <c r="AB3567" t="s">
        <v>10393</v>
      </c>
      <c r="AE3567">
        <v>-40.335270379999997</v>
      </c>
      <c r="AF3567">
        <v>175.63396026000001</v>
      </c>
      <c r="AG3567" s="175">
        <v>38</v>
      </c>
      <c r="AH3567" s="175">
        <v>8</v>
      </c>
      <c r="AI3567" s="175">
        <v>0</v>
      </c>
      <c r="AJ3567" s="175">
        <v>4</v>
      </c>
      <c r="AK3567" s="175">
        <v>8</v>
      </c>
      <c r="AL3567" s="175">
        <v>6</v>
      </c>
      <c r="AM3567" s="175">
        <v>9</v>
      </c>
      <c r="AN3567" s="175">
        <v>0</v>
      </c>
      <c r="AO3567" s="175">
        <v>27</v>
      </c>
      <c r="AP3567" s="175">
        <v>0</v>
      </c>
      <c r="AQ3567" s="175">
        <v>26</v>
      </c>
      <c r="AR3567" s="175">
        <v>0</v>
      </c>
      <c r="AS3567" s="175">
        <v>0</v>
      </c>
      <c r="AT3567" s="175">
        <v>1</v>
      </c>
    </row>
    <row r="3568" spans="1:46">
      <c r="A3568">
        <v>52761</v>
      </c>
      <c r="B3568" t="s">
        <v>19674</v>
      </c>
      <c r="C3568" t="s">
        <v>19675</v>
      </c>
      <c r="D3568" t="s">
        <v>19676</v>
      </c>
      <c r="E3568" t="s">
        <v>19677</v>
      </c>
      <c r="G3568" t="s">
        <v>19087</v>
      </c>
      <c r="H3568" t="s">
        <v>347</v>
      </c>
      <c r="J3568" t="s">
        <v>605</v>
      </c>
      <c r="K3568" t="s">
        <v>606</v>
      </c>
      <c r="L3568" t="s">
        <v>4273</v>
      </c>
      <c r="M3568" t="s">
        <v>2366</v>
      </c>
      <c r="N3568" t="s">
        <v>608</v>
      </c>
      <c r="O3568" t="s">
        <v>2147</v>
      </c>
      <c r="P3568" t="s">
        <v>610</v>
      </c>
      <c r="Q3568" t="s">
        <v>553</v>
      </c>
      <c r="R3568" t="s">
        <v>2368</v>
      </c>
      <c r="S3568" t="s">
        <v>1719</v>
      </c>
      <c r="T3568" t="s">
        <v>1568</v>
      </c>
      <c r="U3568">
        <v>235400</v>
      </c>
      <c r="V3568" t="s">
        <v>19087</v>
      </c>
      <c r="W3568" t="s">
        <v>19088</v>
      </c>
      <c r="X3568" t="s">
        <v>10392</v>
      </c>
      <c r="Y3568" t="s">
        <v>4276</v>
      </c>
      <c r="Z3568" t="s">
        <v>4277</v>
      </c>
      <c r="AA3568" t="s">
        <v>4278</v>
      </c>
      <c r="AB3568" t="s">
        <v>10393</v>
      </c>
      <c r="AE3568">
        <v>-40.553735779999997</v>
      </c>
      <c r="AF3568">
        <v>175.41893966000001</v>
      </c>
      <c r="AG3568" s="175">
        <v>26</v>
      </c>
      <c r="AH3568" s="175">
        <v>8</v>
      </c>
      <c r="AI3568" s="175">
        <v>1</v>
      </c>
      <c r="AJ3568" s="175">
        <v>2</v>
      </c>
      <c r="AK3568" s="175">
        <v>1</v>
      </c>
      <c r="AL3568" s="175">
        <v>4</v>
      </c>
      <c r="AM3568" s="175">
        <v>4</v>
      </c>
      <c r="AN3568" s="175">
        <v>0</v>
      </c>
      <c r="AO3568" s="175">
        <v>12</v>
      </c>
      <c r="AP3568" s="175">
        <v>0</v>
      </c>
      <c r="AQ3568" s="175">
        <v>10</v>
      </c>
      <c r="AR3568" s="175">
        <v>2</v>
      </c>
      <c r="AS3568" s="175">
        <v>0</v>
      </c>
      <c r="AT3568" s="175">
        <v>0</v>
      </c>
    </row>
    <row r="3569" spans="1:46">
      <c r="A3569">
        <v>52763</v>
      </c>
      <c r="B3569" t="s">
        <v>19678</v>
      </c>
      <c r="C3569" t="s">
        <v>19679</v>
      </c>
      <c r="D3569" t="s">
        <v>19680</v>
      </c>
      <c r="E3569" t="s">
        <v>19681</v>
      </c>
      <c r="G3569" t="s">
        <v>2803</v>
      </c>
      <c r="H3569" t="s">
        <v>347</v>
      </c>
      <c r="J3569" t="s">
        <v>605</v>
      </c>
      <c r="K3569" t="s">
        <v>606</v>
      </c>
      <c r="L3569" t="s">
        <v>4273</v>
      </c>
      <c r="M3569" t="s">
        <v>2366</v>
      </c>
      <c r="N3569" t="s">
        <v>4586</v>
      </c>
      <c r="O3569" t="s">
        <v>2147</v>
      </c>
      <c r="P3569" t="s">
        <v>658</v>
      </c>
      <c r="Q3569" t="s">
        <v>553</v>
      </c>
      <c r="R3569" t="s">
        <v>2368</v>
      </c>
      <c r="S3569" t="s">
        <v>2148</v>
      </c>
      <c r="T3569" t="s">
        <v>1568</v>
      </c>
      <c r="U3569">
        <v>234001</v>
      </c>
      <c r="V3569" t="s">
        <v>19682</v>
      </c>
      <c r="W3569" t="s">
        <v>10475</v>
      </c>
      <c r="X3569" t="s">
        <v>10392</v>
      </c>
      <c r="Y3569" t="s">
        <v>4276</v>
      </c>
      <c r="Z3569" t="s">
        <v>4277</v>
      </c>
      <c r="AA3569" t="s">
        <v>4278</v>
      </c>
      <c r="AB3569" t="s">
        <v>10393</v>
      </c>
      <c r="AE3569">
        <v>-40.571484949999999</v>
      </c>
      <c r="AF3569">
        <v>175.33693769999999</v>
      </c>
      <c r="AG3569" s="175">
        <v>50</v>
      </c>
      <c r="AH3569" s="175">
        <v>10</v>
      </c>
      <c r="AI3569" s="175">
        <v>2</v>
      </c>
      <c r="AJ3569" s="175">
        <v>6</v>
      </c>
      <c r="AK3569" s="175">
        <v>8</v>
      </c>
      <c r="AL3569" s="175">
        <v>6</v>
      </c>
      <c r="AM3569" s="175">
        <v>5</v>
      </c>
      <c r="AN3569" s="175">
        <v>0</v>
      </c>
      <c r="AO3569" s="175">
        <v>27</v>
      </c>
      <c r="AP3569" s="175">
        <v>0</v>
      </c>
      <c r="AQ3569" s="175">
        <v>27</v>
      </c>
      <c r="AR3569" s="175">
        <v>0</v>
      </c>
      <c r="AS3569" s="175">
        <v>0</v>
      </c>
      <c r="AT3569" s="175">
        <v>0</v>
      </c>
    </row>
    <row r="3570" spans="1:46">
      <c r="A3570">
        <v>52771</v>
      </c>
      <c r="B3570" t="s">
        <v>19683</v>
      </c>
      <c r="C3570" t="s">
        <v>19684</v>
      </c>
      <c r="E3570" t="s">
        <v>19685</v>
      </c>
      <c r="G3570" t="s">
        <v>1938</v>
      </c>
      <c r="H3570" t="s">
        <v>347</v>
      </c>
      <c r="J3570" t="s">
        <v>605</v>
      </c>
      <c r="K3570" t="s">
        <v>606</v>
      </c>
      <c r="L3570" t="s">
        <v>4273</v>
      </c>
      <c r="M3570" t="s">
        <v>1382</v>
      </c>
      <c r="N3570" t="s">
        <v>625</v>
      </c>
      <c r="O3570" t="s">
        <v>1932</v>
      </c>
      <c r="P3570" t="s">
        <v>658</v>
      </c>
      <c r="Q3570" t="s">
        <v>514</v>
      </c>
      <c r="R3570" t="s">
        <v>1841</v>
      </c>
      <c r="S3570" t="s">
        <v>1923</v>
      </c>
      <c r="T3570" t="s">
        <v>1568</v>
      </c>
      <c r="U3570">
        <v>221402</v>
      </c>
      <c r="V3570" t="s">
        <v>19686</v>
      </c>
      <c r="W3570" t="s">
        <v>1940</v>
      </c>
      <c r="X3570" t="s">
        <v>9133</v>
      </c>
      <c r="Y3570" t="s">
        <v>4276</v>
      </c>
      <c r="Z3570" t="s">
        <v>4277</v>
      </c>
      <c r="AA3570" t="s">
        <v>4278</v>
      </c>
      <c r="AB3570" t="s">
        <v>9134</v>
      </c>
      <c r="AE3570">
        <v>-39.576718730000003</v>
      </c>
      <c r="AF3570">
        <v>174.32182323000001</v>
      </c>
      <c r="AG3570" s="175">
        <v>41</v>
      </c>
      <c r="AH3570" s="175">
        <v>16</v>
      </c>
      <c r="AI3570" s="175">
        <v>1</v>
      </c>
      <c r="AJ3570" s="175">
        <v>4</v>
      </c>
      <c r="AK3570" s="175">
        <v>2</v>
      </c>
      <c r="AL3570" s="175">
        <v>4</v>
      </c>
      <c r="AM3570" s="175">
        <v>4</v>
      </c>
      <c r="AN3570" s="175">
        <v>0</v>
      </c>
      <c r="AO3570" s="175">
        <v>15</v>
      </c>
      <c r="AP3570" s="175">
        <v>0</v>
      </c>
      <c r="AQ3570" s="175">
        <v>14</v>
      </c>
      <c r="AR3570" s="175">
        <v>0</v>
      </c>
      <c r="AS3570" s="175">
        <v>0</v>
      </c>
      <c r="AT3570" s="175">
        <v>1</v>
      </c>
    </row>
    <row r="3571" spans="1:46">
      <c r="A3571">
        <v>52772</v>
      </c>
      <c r="B3571" t="s">
        <v>19687</v>
      </c>
      <c r="C3571" t="s">
        <v>19688</v>
      </c>
      <c r="E3571" t="s">
        <v>19689</v>
      </c>
      <c r="G3571" t="s">
        <v>19690</v>
      </c>
      <c r="H3571" t="s">
        <v>347</v>
      </c>
      <c r="J3571" t="s">
        <v>605</v>
      </c>
      <c r="K3571" t="s">
        <v>606</v>
      </c>
      <c r="L3571" t="s">
        <v>4273</v>
      </c>
      <c r="M3571" t="s">
        <v>1382</v>
      </c>
      <c r="N3571" t="s">
        <v>608</v>
      </c>
      <c r="O3571" t="s">
        <v>1932</v>
      </c>
      <c r="P3571" t="s">
        <v>658</v>
      </c>
      <c r="Q3571" t="s">
        <v>514</v>
      </c>
      <c r="R3571" t="s">
        <v>1841</v>
      </c>
      <c r="S3571" t="s">
        <v>1923</v>
      </c>
      <c r="T3571" t="s">
        <v>1568</v>
      </c>
      <c r="U3571">
        <v>222101</v>
      </c>
      <c r="V3571" t="s">
        <v>19359</v>
      </c>
      <c r="W3571" t="s">
        <v>1953</v>
      </c>
      <c r="X3571" t="s">
        <v>19691</v>
      </c>
      <c r="Y3571" t="s">
        <v>4276</v>
      </c>
      <c r="Z3571" t="s">
        <v>4277</v>
      </c>
      <c r="AA3571" t="s">
        <v>4278</v>
      </c>
      <c r="AE3571">
        <v>-39.715865479999998</v>
      </c>
      <c r="AF3571">
        <v>174.4669317</v>
      </c>
      <c r="AG3571" s="175">
        <v>30</v>
      </c>
      <c r="AH3571" s="175">
        <v>15</v>
      </c>
      <c r="AI3571" s="175">
        <v>4</v>
      </c>
      <c r="AJ3571" s="175">
        <v>4</v>
      </c>
      <c r="AK3571" s="175">
        <v>11</v>
      </c>
      <c r="AL3571" s="175">
        <v>5</v>
      </c>
      <c r="AM3571" s="175">
        <v>6</v>
      </c>
      <c r="AN3571" s="175">
        <v>0</v>
      </c>
      <c r="AO3571" s="175">
        <v>30</v>
      </c>
      <c r="AP3571" s="175">
        <v>0</v>
      </c>
      <c r="AQ3571" s="175">
        <v>27</v>
      </c>
      <c r="AR3571" s="175">
        <v>2</v>
      </c>
      <c r="AS3571" s="175">
        <v>0</v>
      </c>
      <c r="AT3571" s="175">
        <v>1</v>
      </c>
    </row>
    <row r="3572" spans="1:46">
      <c r="A3572">
        <v>52781</v>
      </c>
      <c r="B3572" t="s">
        <v>19692</v>
      </c>
      <c r="C3572" t="s">
        <v>19693</v>
      </c>
      <c r="E3572" t="s">
        <v>19694</v>
      </c>
      <c r="G3572" t="s">
        <v>1923</v>
      </c>
      <c r="H3572" t="s">
        <v>347</v>
      </c>
      <c r="J3572" t="s">
        <v>605</v>
      </c>
      <c r="K3572" t="s">
        <v>606</v>
      </c>
      <c r="L3572" t="s">
        <v>4273</v>
      </c>
      <c r="M3572" t="s">
        <v>1382</v>
      </c>
      <c r="N3572" t="s">
        <v>812</v>
      </c>
      <c r="O3572" t="s">
        <v>1968</v>
      </c>
      <c r="P3572" t="s">
        <v>658</v>
      </c>
      <c r="Q3572" t="s">
        <v>553</v>
      </c>
      <c r="R3572" t="s">
        <v>1841</v>
      </c>
      <c r="S3572" t="s">
        <v>1923</v>
      </c>
      <c r="T3572" t="s">
        <v>1568</v>
      </c>
      <c r="U3572">
        <v>223300</v>
      </c>
      <c r="V3572" t="s">
        <v>19617</v>
      </c>
      <c r="W3572" t="s">
        <v>1734</v>
      </c>
      <c r="X3572" t="s">
        <v>9133</v>
      </c>
      <c r="Y3572" t="s">
        <v>4276</v>
      </c>
      <c r="Z3572" t="s">
        <v>4277</v>
      </c>
      <c r="AA3572" t="s">
        <v>4278</v>
      </c>
      <c r="AB3572" t="s">
        <v>9134</v>
      </c>
      <c r="AE3572">
        <v>-39.656921140000001</v>
      </c>
      <c r="AF3572">
        <v>175.15711288</v>
      </c>
      <c r="AG3572" s="175">
        <v>40</v>
      </c>
      <c r="AH3572" s="175">
        <v>10</v>
      </c>
      <c r="AI3572" s="175">
        <v>2</v>
      </c>
      <c r="AJ3572" s="175">
        <v>2</v>
      </c>
      <c r="AK3572" s="175">
        <v>4</v>
      </c>
      <c r="AL3572" s="175">
        <v>0</v>
      </c>
      <c r="AM3572" s="175">
        <v>0</v>
      </c>
      <c r="AN3572" s="175">
        <v>0</v>
      </c>
      <c r="AO3572" s="175">
        <v>8</v>
      </c>
      <c r="AP3572" s="175">
        <v>0</v>
      </c>
      <c r="AQ3572" s="175">
        <v>6</v>
      </c>
      <c r="AR3572" s="175">
        <v>0</v>
      </c>
      <c r="AS3572" s="175">
        <v>0</v>
      </c>
      <c r="AT3572" s="175">
        <v>2</v>
      </c>
    </row>
    <row r="3573" spans="1:46">
      <c r="A3573">
        <v>52785</v>
      </c>
      <c r="B3573" t="s">
        <v>19695</v>
      </c>
      <c r="C3573" t="s">
        <v>19696</v>
      </c>
      <c r="E3573" t="s">
        <v>19697</v>
      </c>
      <c r="G3573" t="s">
        <v>18934</v>
      </c>
      <c r="H3573" t="s">
        <v>347</v>
      </c>
      <c r="J3573" t="s">
        <v>605</v>
      </c>
      <c r="K3573" t="s">
        <v>606</v>
      </c>
      <c r="L3573" t="s">
        <v>4273</v>
      </c>
      <c r="M3573" t="s">
        <v>1382</v>
      </c>
      <c r="N3573" t="s">
        <v>625</v>
      </c>
      <c r="O3573" t="s">
        <v>1932</v>
      </c>
      <c r="P3573" t="s">
        <v>610</v>
      </c>
      <c r="Q3573" t="s">
        <v>514</v>
      </c>
      <c r="R3573" t="s">
        <v>1841</v>
      </c>
      <c r="S3573" t="s">
        <v>1839</v>
      </c>
      <c r="T3573" t="s">
        <v>1568</v>
      </c>
      <c r="U3573">
        <v>220700</v>
      </c>
      <c r="V3573" t="s">
        <v>18935</v>
      </c>
      <c r="W3573" t="s">
        <v>10431</v>
      </c>
      <c r="X3573" t="s">
        <v>9133</v>
      </c>
      <c r="Y3573" t="s">
        <v>4276</v>
      </c>
      <c r="Z3573" t="s">
        <v>4277</v>
      </c>
      <c r="AA3573" t="s">
        <v>4278</v>
      </c>
      <c r="AB3573" t="s">
        <v>9134</v>
      </c>
      <c r="AE3573">
        <v>-39.450039169999997</v>
      </c>
      <c r="AF3573">
        <v>173.84940126999999</v>
      </c>
      <c r="AG3573" s="175">
        <v>45</v>
      </c>
      <c r="AH3573" s="175">
        <v>12</v>
      </c>
      <c r="AI3573" s="175">
        <v>1</v>
      </c>
      <c r="AJ3573" s="175">
        <v>7</v>
      </c>
      <c r="AK3573" s="175">
        <v>9</v>
      </c>
      <c r="AL3573" s="175">
        <v>10</v>
      </c>
      <c r="AM3573" s="175">
        <v>6</v>
      </c>
      <c r="AN3573" s="175">
        <v>0</v>
      </c>
      <c r="AO3573" s="175">
        <v>33</v>
      </c>
      <c r="AP3573" s="175">
        <v>0</v>
      </c>
      <c r="AQ3573" s="175">
        <v>31</v>
      </c>
      <c r="AR3573" s="175">
        <v>0</v>
      </c>
      <c r="AS3573" s="175">
        <v>0</v>
      </c>
      <c r="AT3573" s="175">
        <v>2</v>
      </c>
    </row>
    <row r="3574" spans="1:46">
      <c r="A3574">
        <v>52786</v>
      </c>
      <c r="B3574" t="s">
        <v>19698</v>
      </c>
      <c r="C3574" t="s">
        <v>19699</v>
      </c>
      <c r="E3574" t="s">
        <v>19700</v>
      </c>
      <c r="G3574" t="s">
        <v>1923</v>
      </c>
      <c r="H3574" t="s">
        <v>347</v>
      </c>
      <c r="J3574" t="s">
        <v>605</v>
      </c>
      <c r="K3574" t="s">
        <v>606</v>
      </c>
      <c r="L3574" t="s">
        <v>4273</v>
      </c>
      <c r="M3574" t="s">
        <v>1382</v>
      </c>
      <c r="N3574" t="s">
        <v>608</v>
      </c>
      <c r="O3574" t="s">
        <v>1968</v>
      </c>
      <c r="P3574" t="s">
        <v>670</v>
      </c>
      <c r="Q3574" t="s">
        <v>553</v>
      </c>
      <c r="R3574" t="s">
        <v>1841</v>
      </c>
      <c r="S3574" t="s">
        <v>1923</v>
      </c>
      <c r="T3574" t="s">
        <v>1568</v>
      </c>
      <c r="U3574">
        <v>224800</v>
      </c>
      <c r="V3574" t="s">
        <v>1986</v>
      </c>
      <c r="W3574" t="s">
        <v>1734</v>
      </c>
      <c r="X3574" t="s">
        <v>9133</v>
      </c>
      <c r="Y3574" t="s">
        <v>4276</v>
      </c>
      <c r="Z3574" t="s">
        <v>4277</v>
      </c>
      <c r="AA3574" t="s">
        <v>4278</v>
      </c>
      <c r="AB3574" t="s">
        <v>9134</v>
      </c>
      <c r="AE3574">
        <v>-39.924920100000001</v>
      </c>
      <c r="AF3574">
        <v>175.04521757000001</v>
      </c>
      <c r="AG3574" s="175">
        <v>43</v>
      </c>
      <c r="AH3574" s="175">
        <v>15</v>
      </c>
      <c r="AI3574" s="175">
        <v>0</v>
      </c>
      <c r="AJ3574" s="175">
        <v>5</v>
      </c>
      <c r="AK3574" s="175">
        <v>2</v>
      </c>
      <c r="AL3574" s="175">
        <v>6</v>
      </c>
      <c r="AM3574" s="175">
        <v>14</v>
      </c>
      <c r="AN3574" s="175">
        <v>0</v>
      </c>
      <c r="AO3574" s="175">
        <v>27</v>
      </c>
      <c r="AP3574" s="175">
        <v>0</v>
      </c>
      <c r="AQ3574" s="175">
        <v>27</v>
      </c>
      <c r="AR3574" s="175">
        <v>0</v>
      </c>
      <c r="AS3574" s="175">
        <v>0</v>
      </c>
      <c r="AT3574" s="175">
        <v>0</v>
      </c>
    </row>
    <row r="3575" spans="1:46">
      <c r="A3575">
        <v>52792</v>
      </c>
      <c r="B3575" t="s">
        <v>19701</v>
      </c>
      <c r="C3575" t="s">
        <v>19702</v>
      </c>
      <c r="D3575" t="s">
        <v>19703</v>
      </c>
      <c r="E3575" t="s">
        <v>19704</v>
      </c>
      <c r="G3575" t="s">
        <v>2068</v>
      </c>
      <c r="H3575" t="s">
        <v>347</v>
      </c>
      <c r="J3575" t="s">
        <v>605</v>
      </c>
      <c r="K3575" t="s">
        <v>606</v>
      </c>
      <c r="L3575" t="s">
        <v>4273</v>
      </c>
      <c r="M3575" t="s">
        <v>2366</v>
      </c>
      <c r="N3575" t="s">
        <v>625</v>
      </c>
      <c r="O3575" t="s">
        <v>2069</v>
      </c>
      <c r="P3575" t="s">
        <v>1347</v>
      </c>
      <c r="Q3575" t="s">
        <v>553</v>
      </c>
      <c r="R3575" t="s">
        <v>2368</v>
      </c>
      <c r="S3575" t="s">
        <v>1719</v>
      </c>
      <c r="T3575" t="s">
        <v>1568</v>
      </c>
      <c r="U3575">
        <v>228400</v>
      </c>
      <c r="V3575" t="s">
        <v>12614</v>
      </c>
      <c r="W3575" t="s">
        <v>2071</v>
      </c>
      <c r="X3575" t="s">
        <v>10392</v>
      </c>
      <c r="Y3575" t="s">
        <v>4276</v>
      </c>
      <c r="Z3575" t="s">
        <v>4277</v>
      </c>
      <c r="AA3575" t="s">
        <v>4278</v>
      </c>
      <c r="AB3575" t="s">
        <v>10393</v>
      </c>
      <c r="AE3575">
        <v>-40.233771859999997</v>
      </c>
      <c r="AF3575">
        <v>175.57721806000001</v>
      </c>
      <c r="AG3575" s="175">
        <v>36</v>
      </c>
      <c r="AH3575" s="175">
        <v>7</v>
      </c>
      <c r="AI3575" s="175">
        <v>0</v>
      </c>
      <c r="AJ3575" s="175">
        <v>7</v>
      </c>
      <c r="AK3575" s="175">
        <v>8</v>
      </c>
      <c r="AL3575" s="175">
        <v>8</v>
      </c>
      <c r="AM3575" s="175">
        <v>8</v>
      </c>
      <c r="AN3575" s="175">
        <v>0</v>
      </c>
      <c r="AO3575" s="175">
        <v>31</v>
      </c>
      <c r="AP3575" s="175">
        <v>0</v>
      </c>
      <c r="AQ3575" s="175">
        <v>31</v>
      </c>
      <c r="AR3575" s="175">
        <v>0</v>
      </c>
      <c r="AS3575" s="175">
        <v>0</v>
      </c>
      <c r="AT3575" s="175">
        <v>0</v>
      </c>
    </row>
    <row r="3576" spans="1:46">
      <c r="A3576">
        <v>52794</v>
      </c>
      <c r="B3576" t="s">
        <v>19705</v>
      </c>
      <c r="C3576" t="s">
        <v>19706</v>
      </c>
      <c r="E3576" t="s">
        <v>19707</v>
      </c>
      <c r="G3576" t="s">
        <v>1923</v>
      </c>
      <c r="H3576" t="s">
        <v>347</v>
      </c>
      <c r="J3576" t="s">
        <v>605</v>
      </c>
      <c r="K3576" t="s">
        <v>606</v>
      </c>
      <c r="L3576" t="s">
        <v>4273</v>
      </c>
      <c r="M3576" t="s">
        <v>1382</v>
      </c>
      <c r="N3576" t="s">
        <v>812</v>
      </c>
      <c r="O3576" t="s">
        <v>2048</v>
      </c>
      <c r="P3576" t="s">
        <v>658</v>
      </c>
      <c r="Q3576" t="s">
        <v>553</v>
      </c>
      <c r="R3576" t="s">
        <v>1841</v>
      </c>
      <c r="S3576" t="s">
        <v>1719</v>
      </c>
      <c r="T3576" t="s">
        <v>1568</v>
      </c>
      <c r="U3576">
        <v>226300</v>
      </c>
      <c r="V3576" t="s">
        <v>19647</v>
      </c>
      <c r="W3576" t="s">
        <v>2049</v>
      </c>
      <c r="X3576" t="s">
        <v>9133</v>
      </c>
      <c r="Y3576" t="s">
        <v>4276</v>
      </c>
      <c r="Z3576" t="s">
        <v>4277</v>
      </c>
      <c r="AA3576" t="s">
        <v>4278</v>
      </c>
      <c r="AB3576" t="s">
        <v>9134</v>
      </c>
      <c r="AE3576">
        <v>-40.012891920000001</v>
      </c>
      <c r="AF3576">
        <v>175.16357123</v>
      </c>
      <c r="AG3576" s="175">
        <v>37</v>
      </c>
      <c r="AH3576" s="175">
        <v>18</v>
      </c>
      <c r="AI3576" s="175">
        <v>3</v>
      </c>
      <c r="AJ3576" s="175">
        <v>6</v>
      </c>
      <c r="AK3576" s="175">
        <v>9</v>
      </c>
      <c r="AL3576" s="175">
        <v>10</v>
      </c>
      <c r="AM3576" s="175">
        <v>8</v>
      </c>
      <c r="AN3576" s="175">
        <v>0</v>
      </c>
      <c r="AO3576" s="175">
        <v>36</v>
      </c>
      <c r="AP3576" s="175">
        <v>0</v>
      </c>
      <c r="AQ3576" s="175">
        <v>36</v>
      </c>
      <c r="AR3576" s="175">
        <v>0</v>
      </c>
      <c r="AS3576" s="175">
        <v>0</v>
      </c>
      <c r="AT3576" s="175">
        <v>0</v>
      </c>
    </row>
    <row r="3577" spans="1:46">
      <c r="A3577">
        <v>52796</v>
      </c>
      <c r="B3577" t="s">
        <v>19708</v>
      </c>
      <c r="C3577" t="s">
        <v>19709</v>
      </c>
      <c r="D3577" t="s">
        <v>19710</v>
      </c>
      <c r="E3577" t="s">
        <v>19711</v>
      </c>
      <c r="F3577" t="s">
        <v>2130</v>
      </c>
      <c r="G3577" t="s">
        <v>2055</v>
      </c>
      <c r="H3577" t="s">
        <v>347</v>
      </c>
      <c r="J3577" t="s">
        <v>605</v>
      </c>
      <c r="K3577" t="s">
        <v>606</v>
      </c>
      <c r="L3577" t="s">
        <v>4273</v>
      </c>
      <c r="M3577" t="s">
        <v>2366</v>
      </c>
      <c r="N3577" t="s">
        <v>643</v>
      </c>
      <c r="O3577" t="s">
        <v>2037</v>
      </c>
      <c r="P3577" t="s">
        <v>670</v>
      </c>
      <c r="Q3577" t="s">
        <v>553</v>
      </c>
      <c r="R3577" t="s">
        <v>2368</v>
      </c>
      <c r="S3577" t="s">
        <v>2055</v>
      </c>
      <c r="T3577" t="s">
        <v>1568</v>
      </c>
      <c r="U3577">
        <v>230800</v>
      </c>
      <c r="V3577" t="s">
        <v>2119</v>
      </c>
      <c r="W3577" t="s">
        <v>2038</v>
      </c>
      <c r="X3577" t="s">
        <v>10392</v>
      </c>
      <c r="Y3577" t="s">
        <v>4276</v>
      </c>
      <c r="Z3577" t="s">
        <v>4277</v>
      </c>
      <c r="AA3577" t="s">
        <v>4278</v>
      </c>
      <c r="AB3577" t="s">
        <v>10393</v>
      </c>
      <c r="AE3577">
        <v>-40.345693070000003</v>
      </c>
      <c r="AF3577">
        <v>175.62859961000001</v>
      </c>
      <c r="AG3577" s="175">
        <v>24</v>
      </c>
      <c r="AH3577" s="175">
        <v>6</v>
      </c>
      <c r="AI3577" s="175">
        <v>0</v>
      </c>
      <c r="AJ3577" s="175">
        <v>3</v>
      </c>
      <c r="AK3577" s="175">
        <v>5</v>
      </c>
      <c r="AL3577" s="175">
        <v>7</v>
      </c>
      <c r="AM3577" s="175">
        <v>2</v>
      </c>
      <c r="AN3577" s="175">
        <v>0</v>
      </c>
      <c r="AO3577" s="175">
        <v>17</v>
      </c>
      <c r="AP3577" s="175">
        <v>0</v>
      </c>
      <c r="AQ3577" s="175">
        <v>16</v>
      </c>
      <c r="AR3577" s="175">
        <v>1</v>
      </c>
      <c r="AS3577" s="175">
        <v>0</v>
      </c>
      <c r="AT3577" s="175">
        <v>0</v>
      </c>
    </row>
    <row r="3578" spans="1:46">
      <c r="A3578">
        <v>55001</v>
      </c>
      <c r="B3578" t="s">
        <v>19712</v>
      </c>
      <c r="C3578" t="s">
        <v>19713</v>
      </c>
      <c r="D3578" t="s">
        <v>19714</v>
      </c>
      <c r="E3578" t="s">
        <v>19715</v>
      </c>
      <c r="F3578" t="s">
        <v>2177</v>
      </c>
      <c r="G3578" t="s">
        <v>2162</v>
      </c>
      <c r="H3578" t="s">
        <v>449</v>
      </c>
      <c r="J3578" t="s">
        <v>605</v>
      </c>
      <c r="K3578" t="s">
        <v>606</v>
      </c>
      <c r="M3578" t="s">
        <v>1382</v>
      </c>
      <c r="N3578" t="s">
        <v>657</v>
      </c>
      <c r="O3578" t="s">
        <v>2163</v>
      </c>
      <c r="P3578" t="s">
        <v>670</v>
      </c>
      <c r="Q3578" t="s">
        <v>512</v>
      </c>
      <c r="R3578" t="s">
        <v>2164</v>
      </c>
      <c r="S3578" t="s">
        <v>1556</v>
      </c>
      <c r="T3578" t="s">
        <v>2165</v>
      </c>
      <c r="U3578">
        <v>206200</v>
      </c>
      <c r="V3578" t="s">
        <v>2178</v>
      </c>
      <c r="W3578" t="s">
        <v>2167</v>
      </c>
      <c r="X3578" t="s">
        <v>19716</v>
      </c>
      <c r="Y3578" t="s">
        <v>19715</v>
      </c>
      <c r="Z3578" t="s">
        <v>2177</v>
      </c>
      <c r="AA3578" t="s">
        <v>10927</v>
      </c>
      <c r="AB3578" t="s">
        <v>19713</v>
      </c>
      <c r="AC3578">
        <v>99082</v>
      </c>
      <c r="AD3578" t="s">
        <v>2172</v>
      </c>
      <c r="AE3578">
        <v>-38.651166250000003</v>
      </c>
      <c r="AF3578">
        <v>178.02166122</v>
      </c>
      <c r="AG3578" s="175">
        <v>54</v>
      </c>
      <c r="AH3578" s="175">
        <v>0</v>
      </c>
      <c r="AI3578" s="175">
        <v>0</v>
      </c>
      <c r="AJ3578" s="175">
        <v>0</v>
      </c>
      <c r="AK3578" s="175">
        <v>9</v>
      </c>
      <c r="AL3578" s="175">
        <v>22</v>
      </c>
      <c r="AM3578" s="175">
        <v>12</v>
      </c>
      <c r="AN3578" s="175">
        <v>1</v>
      </c>
      <c r="AO3578" s="175">
        <v>44</v>
      </c>
      <c r="AP3578" s="175">
        <v>34</v>
      </c>
      <c r="AQ3578" s="175">
        <v>16</v>
      </c>
      <c r="AR3578" s="175">
        <v>1</v>
      </c>
      <c r="AS3578" s="175">
        <v>6</v>
      </c>
      <c r="AT3578" s="175">
        <v>0</v>
      </c>
    </row>
    <row r="3579" spans="1:46">
      <c r="A3579">
        <v>55002</v>
      </c>
      <c r="B3579" t="s">
        <v>19717</v>
      </c>
      <c r="C3579" t="s">
        <v>19718</v>
      </c>
      <c r="D3579" t="s">
        <v>19719</v>
      </c>
      <c r="E3579" t="s">
        <v>19720</v>
      </c>
      <c r="G3579" t="s">
        <v>2196</v>
      </c>
      <c r="H3579" t="s">
        <v>449</v>
      </c>
      <c r="J3579" t="s">
        <v>605</v>
      </c>
      <c r="K3579" t="s">
        <v>606</v>
      </c>
      <c r="M3579" t="s">
        <v>1382</v>
      </c>
      <c r="N3579" t="s">
        <v>643</v>
      </c>
      <c r="O3579" t="s">
        <v>2197</v>
      </c>
      <c r="P3579" t="s">
        <v>610</v>
      </c>
      <c r="Q3579" t="s">
        <v>513</v>
      </c>
      <c r="R3579" t="s">
        <v>2164</v>
      </c>
      <c r="S3579" t="s">
        <v>2198</v>
      </c>
      <c r="T3579" t="s">
        <v>2165</v>
      </c>
      <c r="U3579">
        <v>207800</v>
      </c>
      <c r="V3579" t="s">
        <v>2196</v>
      </c>
      <c r="W3579" t="s">
        <v>651</v>
      </c>
      <c r="X3579" t="s">
        <v>19721</v>
      </c>
      <c r="Y3579" t="s">
        <v>19720</v>
      </c>
      <c r="Z3579" t="s">
        <v>2196</v>
      </c>
      <c r="AA3579" t="s">
        <v>19722</v>
      </c>
      <c r="AB3579" t="s">
        <v>19723</v>
      </c>
      <c r="AC3579">
        <v>99091</v>
      </c>
      <c r="AD3579" t="s">
        <v>2204</v>
      </c>
      <c r="AE3579">
        <v>-39.033925799999999</v>
      </c>
      <c r="AF3579">
        <v>177.42517988</v>
      </c>
      <c r="AG3579" s="175">
        <v>44</v>
      </c>
      <c r="AH3579" s="175">
        <v>10</v>
      </c>
      <c r="AI3579" s="175">
        <v>0</v>
      </c>
      <c r="AJ3579" s="175">
        <v>0</v>
      </c>
      <c r="AK3579" s="175">
        <v>2</v>
      </c>
      <c r="AL3579" s="175">
        <v>23</v>
      </c>
      <c r="AM3579" s="175">
        <v>11</v>
      </c>
      <c r="AN3579" s="175">
        <v>0</v>
      </c>
      <c r="AO3579" s="175">
        <v>36</v>
      </c>
      <c r="AP3579" s="175">
        <v>20</v>
      </c>
      <c r="AQ3579" s="175">
        <v>24</v>
      </c>
      <c r="AR3579" s="175">
        <v>2</v>
      </c>
      <c r="AS3579" s="175">
        <v>1</v>
      </c>
      <c r="AT3579" s="175">
        <v>1</v>
      </c>
    </row>
    <row r="3580" spans="1:46">
      <c r="A3580">
        <v>55003</v>
      </c>
      <c r="B3580" t="s">
        <v>19724</v>
      </c>
      <c r="C3580" t="s">
        <v>19725</v>
      </c>
      <c r="D3580" t="s">
        <v>19726</v>
      </c>
      <c r="E3580" t="s">
        <v>19727</v>
      </c>
      <c r="F3580" t="s">
        <v>16383</v>
      </c>
      <c r="G3580" t="s">
        <v>2162</v>
      </c>
      <c r="H3580" t="s">
        <v>449</v>
      </c>
      <c r="I3580" t="s">
        <v>4023</v>
      </c>
      <c r="J3580" t="s">
        <v>605</v>
      </c>
      <c r="K3580" t="s">
        <v>606</v>
      </c>
      <c r="M3580" t="s">
        <v>1382</v>
      </c>
      <c r="N3580" t="s">
        <v>643</v>
      </c>
      <c r="O3580" t="s">
        <v>2163</v>
      </c>
      <c r="P3580" t="s">
        <v>670</v>
      </c>
      <c r="Q3580" t="s">
        <v>512</v>
      </c>
      <c r="R3580" t="s">
        <v>2164</v>
      </c>
      <c r="S3580" t="s">
        <v>1556</v>
      </c>
      <c r="T3580" t="s">
        <v>2165</v>
      </c>
      <c r="U3580">
        <v>206801</v>
      </c>
      <c r="V3580" t="s">
        <v>16384</v>
      </c>
      <c r="W3580" t="s">
        <v>2167</v>
      </c>
      <c r="X3580" t="s">
        <v>19728</v>
      </c>
      <c r="Y3580" t="s">
        <v>19727</v>
      </c>
      <c r="Z3580" t="s">
        <v>2162</v>
      </c>
      <c r="AA3580" t="s">
        <v>10927</v>
      </c>
      <c r="AB3580" t="s">
        <v>19729</v>
      </c>
      <c r="AC3580">
        <v>99082</v>
      </c>
      <c r="AD3580" t="s">
        <v>2172</v>
      </c>
      <c r="AE3580">
        <v>-38.663390980000003</v>
      </c>
      <c r="AF3580">
        <v>178.02508463000001</v>
      </c>
      <c r="AG3580" s="175">
        <v>35</v>
      </c>
      <c r="AH3580" s="175">
        <v>10</v>
      </c>
      <c r="AI3580" s="175">
        <v>0</v>
      </c>
      <c r="AJ3580" s="175">
        <v>8</v>
      </c>
      <c r="AK3580" s="175">
        <v>8</v>
      </c>
      <c r="AL3580" s="175">
        <v>16</v>
      </c>
      <c r="AM3580" s="175">
        <v>7</v>
      </c>
      <c r="AN3580" s="175">
        <v>0</v>
      </c>
      <c r="AO3580" s="175">
        <v>39</v>
      </c>
      <c r="AP3580" s="175">
        <v>27</v>
      </c>
      <c r="AQ3580" s="175">
        <v>16</v>
      </c>
      <c r="AR3580" s="175">
        <v>3</v>
      </c>
      <c r="AS3580" s="175">
        <v>4</v>
      </c>
      <c r="AT3580" s="175">
        <v>1</v>
      </c>
    </row>
    <row r="3581" spans="1:46">
      <c r="A3581">
        <v>55004</v>
      </c>
      <c r="B3581" t="s">
        <v>19730</v>
      </c>
      <c r="C3581" t="s">
        <v>19731</v>
      </c>
      <c r="D3581" t="s">
        <v>19732</v>
      </c>
      <c r="E3581" t="s">
        <v>19733</v>
      </c>
      <c r="G3581" t="s">
        <v>2162</v>
      </c>
      <c r="H3581" t="s">
        <v>449</v>
      </c>
      <c r="J3581" t="s">
        <v>605</v>
      </c>
      <c r="K3581" t="s">
        <v>606</v>
      </c>
      <c r="M3581" t="s">
        <v>1382</v>
      </c>
      <c r="N3581" t="s">
        <v>657</v>
      </c>
      <c r="O3581" t="s">
        <v>2163</v>
      </c>
      <c r="P3581" t="s">
        <v>670</v>
      </c>
      <c r="Q3581" t="s">
        <v>512</v>
      </c>
      <c r="R3581" t="s">
        <v>2164</v>
      </c>
      <c r="S3581" t="s">
        <v>1556</v>
      </c>
      <c r="T3581" t="s">
        <v>2165</v>
      </c>
      <c r="U3581">
        <v>206801</v>
      </c>
      <c r="V3581" t="s">
        <v>16384</v>
      </c>
      <c r="W3581" t="s">
        <v>2167</v>
      </c>
      <c r="X3581" t="s">
        <v>19734</v>
      </c>
      <c r="Y3581" t="s">
        <v>19735</v>
      </c>
      <c r="Z3581" t="s">
        <v>2162</v>
      </c>
      <c r="AA3581" t="s">
        <v>2170</v>
      </c>
      <c r="AB3581" t="s">
        <v>19736</v>
      </c>
      <c r="AC3581">
        <v>99082</v>
      </c>
      <c r="AD3581" t="s">
        <v>2172</v>
      </c>
      <c r="AE3581">
        <v>-38.664794749999999</v>
      </c>
      <c r="AF3581">
        <v>178.02698770000001</v>
      </c>
      <c r="AG3581" s="175">
        <v>55</v>
      </c>
      <c r="AH3581" s="175">
        <v>25</v>
      </c>
      <c r="AI3581" s="175">
        <v>1</v>
      </c>
      <c r="AJ3581" s="175">
        <v>8</v>
      </c>
      <c r="AK3581" s="175">
        <v>19</v>
      </c>
      <c r="AL3581" s="175">
        <v>12</v>
      </c>
      <c r="AM3581" s="175">
        <v>12</v>
      </c>
      <c r="AN3581" s="175">
        <v>2</v>
      </c>
      <c r="AO3581" s="175">
        <v>54</v>
      </c>
      <c r="AP3581" s="175">
        <v>42</v>
      </c>
      <c r="AQ3581" s="175">
        <v>23</v>
      </c>
      <c r="AR3581" s="175">
        <v>1</v>
      </c>
      <c r="AS3581" s="175">
        <v>6</v>
      </c>
      <c r="AT3581" s="175">
        <v>3</v>
      </c>
    </row>
    <row r="3582" spans="1:46">
      <c r="A3582">
        <v>55005</v>
      </c>
      <c r="B3582" t="s">
        <v>19737</v>
      </c>
      <c r="C3582" t="s">
        <v>19738</v>
      </c>
      <c r="D3582" t="s">
        <v>19739</v>
      </c>
      <c r="E3582" t="s">
        <v>19740</v>
      </c>
      <c r="F3582" t="s">
        <v>2177</v>
      </c>
      <c r="G3582" t="s">
        <v>2162</v>
      </c>
      <c r="H3582" t="s">
        <v>449</v>
      </c>
      <c r="J3582" t="s">
        <v>605</v>
      </c>
      <c r="K3582" t="s">
        <v>606</v>
      </c>
      <c r="M3582" t="s">
        <v>1382</v>
      </c>
      <c r="N3582" t="s">
        <v>657</v>
      </c>
      <c r="O3582" t="s">
        <v>2163</v>
      </c>
      <c r="P3582" t="s">
        <v>670</v>
      </c>
      <c r="Q3582" t="s">
        <v>512</v>
      </c>
      <c r="R3582" t="s">
        <v>2164</v>
      </c>
      <c r="S3582" t="s">
        <v>1556</v>
      </c>
      <c r="T3582" t="s">
        <v>2165</v>
      </c>
      <c r="U3582">
        <v>205500</v>
      </c>
      <c r="V3582" t="s">
        <v>11739</v>
      </c>
      <c r="W3582" t="s">
        <v>2167</v>
      </c>
      <c r="X3582" t="s">
        <v>19741</v>
      </c>
      <c r="Y3582" t="s">
        <v>19740</v>
      </c>
      <c r="Z3582" t="s">
        <v>2162</v>
      </c>
      <c r="AA3582" t="s">
        <v>10927</v>
      </c>
      <c r="AB3582" t="s">
        <v>19742</v>
      </c>
      <c r="AC3582">
        <v>99082</v>
      </c>
      <c r="AD3582" t="s">
        <v>2172</v>
      </c>
      <c r="AE3582">
        <v>-38.638009500000003</v>
      </c>
      <c r="AF3582">
        <v>178.00210329999999</v>
      </c>
      <c r="AG3582" s="175">
        <v>40</v>
      </c>
      <c r="AH3582" s="175">
        <v>12</v>
      </c>
      <c r="AI3582" s="175">
        <v>2</v>
      </c>
      <c r="AJ3582" s="175">
        <v>12</v>
      </c>
      <c r="AK3582" s="175">
        <v>11</v>
      </c>
      <c r="AL3582" s="175">
        <v>18</v>
      </c>
      <c r="AM3582" s="175">
        <v>9</v>
      </c>
      <c r="AN3582" s="175">
        <v>0</v>
      </c>
      <c r="AO3582" s="175">
        <v>52</v>
      </c>
      <c r="AP3582" s="175">
        <v>26</v>
      </c>
      <c r="AQ3582" s="175">
        <v>15</v>
      </c>
      <c r="AR3582" s="175">
        <v>1</v>
      </c>
      <c r="AS3582" s="175">
        <v>15</v>
      </c>
      <c r="AT3582" s="175">
        <v>9</v>
      </c>
    </row>
    <row r="3583" spans="1:46">
      <c r="A3583">
        <v>55008</v>
      </c>
      <c r="B3583" t="s">
        <v>19743</v>
      </c>
      <c r="C3583" t="s">
        <v>19744</v>
      </c>
      <c r="D3583" t="s">
        <v>19745</v>
      </c>
      <c r="E3583" t="s">
        <v>19746</v>
      </c>
      <c r="F3583" t="s">
        <v>16384</v>
      </c>
      <c r="G3583" t="s">
        <v>2162</v>
      </c>
      <c r="H3583" t="s">
        <v>449</v>
      </c>
      <c r="J3583" t="s">
        <v>605</v>
      </c>
      <c r="K3583" t="s">
        <v>606</v>
      </c>
      <c r="M3583" t="s">
        <v>1382</v>
      </c>
      <c r="N3583" t="s">
        <v>657</v>
      </c>
      <c r="O3583" t="s">
        <v>2163</v>
      </c>
      <c r="P3583" t="s">
        <v>670</v>
      </c>
      <c r="Q3583" t="s">
        <v>512</v>
      </c>
      <c r="R3583" t="s">
        <v>2164</v>
      </c>
      <c r="S3583" t="s">
        <v>1556</v>
      </c>
      <c r="T3583" t="s">
        <v>2165</v>
      </c>
      <c r="U3583">
        <v>206500</v>
      </c>
      <c r="V3583" t="s">
        <v>19747</v>
      </c>
      <c r="W3583" t="s">
        <v>2167</v>
      </c>
      <c r="X3583" t="s">
        <v>19748</v>
      </c>
      <c r="Y3583" t="s">
        <v>19749</v>
      </c>
      <c r="Z3583" t="s">
        <v>2162</v>
      </c>
      <c r="AA3583" t="s">
        <v>2170</v>
      </c>
      <c r="AB3583" t="s">
        <v>19750</v>
      </c>
      <c r="AE3583">
        <v>-38.664011610000003</v>
      </c>
      <c r="AF3583">
        <v>178.00865002</v>
      </c>
      <c r="AG3583" s="175">
        <v>52</v>
      </c>
      <c r="AH3583" s="175">
        <v>12</v>
      </c>
      <c r="AI3583" s="175">
        <v>1</v>
      </c>
      <c r="AJ3583" s="175">
        <v>11</v>
      </c>
      <c r="AK3583" s="175">
        <v>12</v>
      </c>
      <c r="AL3583" s="175">
        <v>18</v>
      </c>
      <c r="AM3583" s="175">
        <v>9</v>
      </c>
      <c r="AN3583" s="175">
        <v>1</v>
      </c>
      <c r="AO3583" s="175">
        <v>52</v>
      </c>
      <c r="AP3583" s="175">
        <v>30</v>
      </c>
      <c r="AQ3583" s="175">
        <v>26</v>
      </c>
      <c r="AR3583" s="175">
        <v>9</v>
      </c>
      <c r="AS3583" s="175">
        <v>1</v>
      </c>
      <c r="AT3583" s="175">
        <v>3</v>
      </c>
    </row>
    <row r="3584" spans="1:46">
      <c r="A3584">
        <v>55011</v>
      </c>
      <c r="B3584" t="s">
        <v>19751</v>
      </c>
      <c r="C3584" t="s">
        <v>9071</v>
      </c>
      <c r="D3584" t="s">
        <v>19752</v>
      </c>
      <c r="E3584" t="s">
        <v>19753</v>
      </c>
      <c r="F3584" t="s">
        <v>9070</v>
      </c>
      <c r="G3584" t="s">
        <v>2162</v>
      </c>
      <c r="H3584" t="s">
        <v>449</v>
      </c>
      <c r="J3584" t="s">
        <v>4032</v>
      </c>
      <c r="K3584" t="s">
        <v>606</v>
      </c>
      <c r="M3584" t="s">
        <v>1382</v>
      </c>
      <c r="N3584" t="s">
        <v>657</v>
      </c>
      <c r="O3584" t="s">
        <v>2163</v>
      </c>
      <c r="P3584" t="s">
        <v>670</v>
      </c>
      <c r="Q3584" t="s">
        <v>512</v>
      </c>
      <c r="R3584" t="s">
        <v>2164</v>
      </c>
      <c r="S3584" t="s">
        <v>1556</v>
      </c>
      <c r="T3584" t="s">
        <v>2165</v>
      </c>
      <c r="U3584">
        <v>205800</v>
      </c>
      <c r="V3584" t="s">
        <v>11551</v>
      </c>
      <c r="W3584" t="s">
        <v>2167</v>
      </c>
      <c r="X3584" t="s">
        <v>19754</v>
      </c>
      <c r="Y3584" t="s">
        <v>4176</v>
      </c>
      <c r="AA3584" t="s">
        <v>4052</v>
      </c>
      <c r="AB3584" t="s">
        <v>9071</v>
      </c>
      <c r="AE3584">
        <v>-38.653282160000003</v>
      </c>
      <c r="AF3584">
        <v>178.00843068</v>
      </c>
      <c r="AG3584" s="175">
        <v>60</v>
      </c>
      <c r="AH3584" s="175">
        <v>25</v>
      </c>
      <c r="AI3584" s="175">
        <v>4</v>
      </c>
      <c r="AJ3584" s="175">
        <v>14</v>
      </c>
      <c r="AK3584" s="175">
        <v>16</v>
      </c>
      <c r="AL3584" s="175">
        <v>15</v>
      </c>
      <c r="AM3584" s="175">
        <v>19</v>
      </c>
      <c r="AN3584" s="175">
        <v>0</v>
      </c>
      <c r="AO3584" s="175">
        <v>68</v>
      </c>
      <c r="AP3584" s="175">
        <v>55</v>
      </c>
      <c r="AQ3584" s="175">
        <v>16</v>
      </c>
      <c r="AR3584" s="175">
        <v>1</v>
      </c>
      <c r="AS3584" s="175">
        <v>8</v>
      </c>
      <c r="AT3584" s="175">
        <v>4</v>
      </c>
    </row>
    <row r="3585" spans="1:46">
      <c r="A3585">
        <v>55012</v>
      </c>
      <c r="B3585" t="s">
        <v>19755</v>
      </c>
      <c r="C3585" t="s">
        <v>19756</v>
      </c>
      <c r="D3585" t="s">
        <v>19757</v>
      </c>
      <c r="E3585" t="s">
        <v>19758</v>
      </c>
      <c r="F3585" t="s">
        <v>2184</v>
      </c>
      <c r="G3585" t="s">
        <v>2162</v>
      </c>
      <c r="H3585" t="s">
        <v>449</v>
      </c>
      <c r="I3585" t="s">
        <v>4023</v>
      </c>
      <c r="J3585" t="s">
        <v>605</v>
      </c>
      <c r="K3585" t="s">
        <v>606</v>
      </c>
      <c r="M3585" t="s">
        <v>1382</v>
      </c>
      <c r="N3585" t="s">
        <v>812</v>
      </c>
      <c r="O3585" t="s">
        <v>2163</v>
      </c>
      <c r="P3585" t="s">
        <v>670</v>
      </c>
      <c r="Q3585" t="s">
        <v>512</v>
      </c>
      <c r="R3585" t="s">
        <v>2164</v>
      </c>
      <c r="S3585" t="s">
        <v>1556</v>
      </c>
      <c r="T3585" t="s">
        <v>2165</v>
      </c>
      <c r="U3585">
        <v>207200</v>
      </c>
      <c r="V3585" t="s">
        <v>17550</v>
      </c>
      <c r="W3585" t="s">
        <v>2167</v>
      </c>
      <c r="X3585" t="s">
        <v>19759</v>
      </c>
      <c r="Y3585" t="s">
        <v>19760</v>
      </c>
      <c r="Z3585" t="s">
        <v>2184</v>
      </c>
      <c r="AA3585" t="s">
        <v>19761</v>
      </c>
      <c r="AB3585" t="s">
        <v>19762</v>
      </c>
      <c r="AC3585">
        <v>99050</v>
      </c>
      <c r="AD3585" t="s">
        <v>2186</v>
      </c>
      <c r="AE3585">
        <v>-38.67606679</v>
      </c>
      <c r="AF3585">
        <v>178.04867711</v>
      </c>
      <c r="AG3585" s="175">
        <v>30</v>
      </c>
      <c r="AH3585" s="175">
        <v>0</v>
      </c>
      <c r="AI3585" s="175">
        <v>0</v>
      </c>
      <c r="AJ3585" s="175">
        <v>3</v>
      </c>
      <c r="AK3585" s="175">
        <v>3</v>
      </c>
      <c r="AL3585" s="175">
        <v>12</v>
      </c>
      <c r="AM3585" s="175">
        <v>11</v>
      </c>
      <c r="AN3585" s="175">
        <v>1</v>
      </c>
      <c r="AO3585" s="175">
        <v>30</v>
      </c>
      <c r="AP3585" s="175">
        <v>8</v>
      </c>
      <c r="AQ3585" s="175">
        <v>25</v>
      </c>
      <c r="AR3585" s="175">
        <v>2</v>
      </c>
      <c r="AS3585" s="175">
        <v>0</v>
      </c>
      <c r="AT3585" s="175">
        <v>3</v>
      </c>
    </row>
    <row r="3586" spans="1:46">
      <c r="A3586">
        <v>55014</v>
      </c>
      <c r="B3586" t="s">
        <v>19763</v>
      </c>
      <c r="C3586" t="s">
        <v>19764</v>
      </c>
      <c r="D3586" t="s">
        <v>19765</v>
      </c>
      <c r="E3586" t="s">
        <v>19766</v>
      </c>
      <c r="F3586" t="s">
        <v>2184</v>
      </c>
      <c r="G3586" t="s">
        <v>2162</v>
      </c>
      <c r="H3586" t="s">
        <v>301</v>
      </c>
      <c r="J3586" t="s">
        <v>605</v>
      </c>
      <c r="K3586" t="s">
        <v>606</v>
      </c>
      <c r="M3586" t="s">
        <v>1382</v>
      </c>
      <c r="N3586" t="s">
        <v>812</v>
      </c>
      <c r="O3586" t="s">
        <v>2163</v>
      </c>
      <c r="P3586" t="s">
        <v>670</v>
      </c>
      <c r="Q3586" t="s">
        <v>512</v>
      </c>
      <c r="R3586" t="s">
        <v>2164</v>
      </c>
      <c r="S3586" t="s">
        <v>1556</v>
      </c>
      <c r="T3586" t="s">
        <v>2165</v>
      </c>
      <c r="U3586">
        <v>207200</v>
      </c>
      <c r="V3586" t="s">
        <v>17550</v>
      </c>
      <c r="W3586" t="s">
        <v>2167</v>
      </c>
      <c r="X3586" t="s">
        <v>19767</v>
      </c>
      <c r="Y3586" t="s">
        <v>5253</v>
      </c>
      <c r="AA3586" t="s">
        <v>5254</v>
      </c>
      <c r="AE3586">
        <v>-38.672223379999998</v>
      </c>
      <c r="AF3586">
        <v>178.04387893000001</v>
      </c>
      <c r="AG3586" s="175">
        <v>30</v>
      </c>
      <c r="AH3586" s="175">
        <v>15</v>
      </c>
      <c r="AI3586" s="175">
        <v>0</v>
      </c>
      <c r="AJ3586" s="175">
        <v>1</v>
      </c>
      <c r="AK3586" s="175">
        <v>2</v>
      </c>
      <c r="AL3586" s="175">
        <v>1</v>
      </c>
      <c r="AM3586" s="175">
        <v>1</v>
      </c>
      <c r="AN3586" s="175">
        <v>0</v>
      </c>
      <c r="AO3586" s="175">
        <v>5</v>
      </c>
      <c r="AP3586" s="175">
        <v>3</v>
      </c>
      <c r="AQ3586" s="175">
        <v>3</v>
      </c>
      <c r="AR3586" s="175">
        <v>0</v>
      </c>
      <c r="AS3586" s="175">
        <v>1</v>
      </c>
      <c r="AT3586" s="175">
        <v>0</v>
      </c>
    </row>
    <row r="3587" spans="1:46">
      <c r="A3587">
        <v>55015</v>
      </c>
      <c r="B3587" t="s">
        <v>19768</v>
      </c>
      <c r="C3587" t="s">
        <v>19764</v>
      </c>
      <c r="D3587" t="s">
        <v>19769</v>
      </c>
      <c r="E3587" t="s">
        <v>19770</v>
      </c>
      <c r="F3587" t="s">
        <v>2177</v>
      </c>
      <c r="G3587" t="s">
        <v>2162</v>
      </c>
      <c r="H3587" t="s">
        <v>301</v>
      </c>
      <c r="J3587" t="s">
        <v>605</v>
      </c>
      <c r="K3587" t="s">
        <v>606</v>
      </c>
      <c r="M3587" t="s">
        <v>1382</v>
      </c>
      <c r="N3587" t="s">
        <v>657</v>
      </c>
      <c r="O3587" t="s">
        <v>2163</v>
      </c>
      <c r="P3587" t="s">
        <v>670</v>
      </c>
      <c r="Q3587" t="s">
        <v>512</v>
      </c>
      <c r="R3587" t="s">
        <v>2164</v>
      </c>
      <c r="S3587" t="s">
        <v>1556</v>
      </c>
      <c r="T3587" t="s">
        <v>2165</v>
      </c>
      <c r="U3587">
        <v>205900</v>
      </c>
      <c r="V3587" t="s">
        <v>18190</v>
      </c>
      <c r="W3587" t="s">
        <v>2167</v>
      </c>
      <c r="X3587" t="s">
        <v>19767</v>
      </c>
      <c r="Y3587" t="s">
        <v>5253</v>
      </c>
      <c r="AA3587" t="s">
        <v>5254</v>
      </c>
      <c r="AE3587">
        <v>-38.643216619999997</v>
      </c>
      <c r="AF3587">
        <v>178.01006576</v>
      </c>
      <c r="AG3587" s="175">
        <v>25</v>
      </c>
      <c r="AH3587" s="175">
        <v>15</v>
      </c>
      <c r="AI3587" s="175">
        <v>2</v>
      </c>
      <c r="AJ3587" s="175">
        <v>3</v>
      </c>
      <c r="AK3587" s="175">
        <v>7</v>
      </c>
      <c r="AL3587" s="175">
        <v>2</v>
      </c>
      <c r="AM3587" s="175">
        <v>0</v>
      </c>
      <c r="AN3587" s="175">
        <v>0</v>
      </c>
      <c r="AO3587" s="175">
        <v>14</v>
      </c>
      <c r="AP3587" s="175">
        <v>5</v>
      </c>
      <c r="AQ3587" s="175">
        <v>9</v>
      </c>
      <c r="AR3587" s="175">
        <v>1</v>
      </c>
      <c r="AS3587" s="175">
        <v>3</v>
      </c>
      <c r="AT3587" s="175">
        <v>0</v>
      </c>
    </row>
    <row r="3588" spans="1:46">
      <c r="A3588">
        <v>55017</v>
      </c>
      <c r="B3588" t="s">
        <v>19771</v>
      </c>
      <c r="C3588" t="s">
        <v>19764</v>
      </c>
      <c r="D3588" t="s">
        <v>19772</v>
      </c>
      <c r="E3588" t="s">
        <v>19773</v>
      </c>
      <c r="G3588" t="s">
        <v>19774</v>
      </c>
      <c r="H3588" t="s">
        <v>301</v>
      </c>
      <c r="J3588" t="s">
        <v>605</v>
      </c>
      <c r="K3588" t="s">
        <v>606</v>
      </c>
      <c r="M3588" t="s">
        <v>1382</v>
      </c>
      <c r="N3588" t="s">
        <v>657</v>
      </c>
      <c r="O3588" t="s">
        <v>2163</v>
      </c>
      <c r="P3588" t="s">
        <v>658</v>
      </c>
      <c r="Q3588" t="s">
        <v>512</v>
      </c>
      <c r="R3588" t="s">
        <v>2164</v>
      </c>
      <c r="S3588" t="s">
        <v>2198</v>
      </c>
      <c r="T3588" t="s">
        <v>2165</v>
      </c>
      <c r="U3588">
        <v>204800</v>
      </c>
      <c r="V3588" t="s">
        <v>19775</v>
      </c>
      <c r="W3588" t="s">
        <v>2167</v>
      </c>
      <c r="X3588" t="s">
        <v>19767</v>
      </c>
      <c r="Y3588" t="s">
        <v>5253</v>
      </c>
      <c r="AA3588" t="s">
        <v>5254</v>
      </c>
      <c r="AE3588">
        <v>-38.359842319999998</v>
      </c>
      <c r="AF3588">
        <v>177.53401037</v>
      </c>
      <c r="AG3588" s="175">
        <v>0</v>
      </c>
      <c r="AH3588" s="175">
        <v>0</v>
      </c>
      <c r="AI3588" s="175"/>
      <c r="AJ3588" s="175"/>
      <c r="AK3588" s="175"/>
      <c r="AL3588" s="175"/>
      <c r="AM3588" s="175"/>
      <c r="AN3588" s="175"/>
      <c r="AO3588" s="175"/>
      <c r="AP3588" s="175"/>
      <c r="AQ3588" s="175"/>
      <c r="AR3588" s="175"/>
      <c r="AS3588" s="175"/>
    </row>
    <row r="3589" spans="1:46">
      <c r="A3589">
        <v>55023</v>
      </c>
      <c r="B3589" t="s">
        <v>19776</v>
      </c>
      <c r="C3589" t="s">
        <v>19764</v>
      </c>
      <c r="D3589" t="s">
        <v>19777</v>
      </c>
      <c r="E3589" t="s">
        <v>19778</v>
      </c>
      <c r="G3589" t="s">
        <v>19779</v>
      </c>
      <c r="H3589" t="s">
        <v>301</v>
      </c>
      <c r="J3589" t="s">
        <v>605</v>
      </c>
      <c r="K3589" t="s">
        <v>606</v>
      </c>
      <c r="M3589" t="s">
        <v>1382</v>
      </c>
      <c r="N3589" t="s">
        <v>657</v>
      </c>
      <c r="O3589" t="s">
        <v>2163</v>
      </c>
      <c r="P3589" t="s">
        <v>670</v>
      </c>
      <c r="Q3589" t="s">
        <v>512</v>
      </c>
      <c r="R3589" t="s">
        <v>2164</v>
      </c>
      <c r="S3589" t="s">
        <v>1556</v>
      </c>
      <c r="T3589" t="s">
        <v>2165</v>
      </c>
      <c r="U3589">
        <v>207301</v>
      </c>
      <c r="V3589" t="s">
        <v>19780</v>
      </c>
      <c r="W3589" t="s">
        <v>2167</v>
      </c>
      <c r="X3589" t="s">
        <v>19767</v>
      </c>
      <c r="Y3589" t="s">
        <v>5253</v>
      </c>
      <c r="AA3589" t="s">
        <v>5254</v>
      </c>
      <c r="AE3589">
        <v>-38.683150869999999</v>
      </c>
      <c r="AF3589">
        <v>178.07426505000001</v>
      </c>
      <c r="AG3589" s="175">
        <v>25</v>
      </c>
      <c r="AH3589" s="175">
        <v>15</v>
      </c>
      <c r="AI3589" s="175">
        <v>6</v>
      </c>
      <c r="AJ3589" s="175">
        <v>3</v>
      </c>
      <c r="AK3589" s="175">
        <v>5</v>
      </c>
      <c r="AL3589" s="175">
        <v>5</v>
      </c>
      <c r="AM3589" s="175">
        <v>3</v>
      </c>
      <c r="AN3589" s="175">
        <v>1</v>
      </c>
      <c r="AO3589" s="175">
        <v>23</v>
      </c>
      <c r="AP3589" s="175">
        <v>23</v>
      </c>
      <c r="AQ3589" s="175">
        <v>1</v>
      </c>
      <c r="AR3589" s="175">
        <v>2</v>
      </c>
      <c r="AS3589" s="175">
        <v>3</v>
      </c>
      <c r="AT3589" s="175">
        <v>0</v>
      </c>
    </row>
    <row r="3590" spans="1:46">
      <c r="A3590">
        <v>55024</v>
      </c>
      <c r="B3590" t="s">
        <v>19781</v>
      </c>
      <c r="C3590" t="s">
        <v>19764</v>
      </c>
      <c r="D3590" t="s">
        <v>19782</v>
      </c>
      <c r="E3590" t="s">
        <v>19783</v>
      </c>
      <c r="F3590" t="s">
        <v>9066</v>
      </c>
      <c r="G3590" t="s">
        <v>2162</v>
      </c>
      <c r="H3590" t="s">
        <v>301</v>
      </c>
      <c r="J3590" t="s">
        <v>605</v>
      </c>
      <c r="K3590" t="s">
        <v>606</v>
      </c>
      <c r="M3590" t="s">
        <v>1382</v>
      </c>
      <c r="N3590" t="s">
        <v>657</v>
      </c>
      <c r="O3590" t="s">
        <v>2163</v>
      </c>
      <c r="P3590" t="s">
        <v>670</v>
      </c>
      <c r="Q3590" t="s">
        <v>512</v>
      </c>
      <c r="R3590" t="s">
        <v>2164</v>
      </c>
      <c r="S3590" t="s">
        <v>1556</v>
      </c>
      <c r="T3590" t="s">
        <v>2165</v>
      </c>
      <c r="U3590">
        <v>206700</v>
      </c>
      <c r="V3590" t="s">
        <v>9067</v>
      </c>
      <c r="W3590" t="s">
        <v>2167</v>
      </c>
      <c r="X3590" t="s">
        <v>19767</v>
      </c>
      <c r="Y3590" t="s">
        <v>5253</v>
      </c>
      <c r="AA3590" t="s">
        <v>5254</v>
      </c>
      <c r="AE3590">
        <v>-38.6551118</v>
      </c>
      <c r="AF3590">
        <v>178.0307262</v>
      </c>
      <c r="AG3590" s="175">
        <v>25</v>
      </c>
      <c r="AH3590" s="175">
        <v>15</v>
      </c>
      <c r="AI3590" s="175">
        <v>2</v>
      </c>
      <c r="AJ3590" s="175">
        <v>11</v>
      </c>
      <c r="AK3590" s="175">
        <v>5</v>
      </c>
      <c r="AL3590" s="175">
        <v>3</v>
      </c>
      <c r="AM3590" s="175">
        <v>5</v>
      </c>
      <c r="AN3590" s="175">
        <v>1</v>
      </c>
      <c r="AO3590" s="175">
        <v>27</v>
      </c>
      <c r="AP3590" s="175">
        <v>22</v>
      </c>
      <c r="AQ3590" s="175">
        <v>10</v>
      </c>
      <c r="AR3590" s="175">
        <v>3</v>
      </c>
      <c r="AS3590" s="175">
        <v>3</v>
      </c>
      <c r="AT3590" s="175">
        <v>2</v>
      </c>
    </row>
    <row r="3591" spans="1:46">
      <c r="A3591">
        <v>55028</v>
      </c>
      <c r="B3591" t="s">
        <v>19784</v>
      </c>
      <c r="C3591" t="s">
        <v>19764</v>
      </c>
      <c r="D3591" t="s">
        <v>19785</v>
      </c>
      <c r="E3591" t="s">
        <v>19786</v>
      </c>
      <c r="G3591" t="s">
        <v>2196</v>
      </c>
      <c r="H3591" t="s">
        <v>301</v>
      </c>
      <c r="J3591" t="s">
        <v>605</v>
      </c>
      <c r="K3591" t="s">
        <v>606</v>
      </c>
      <c r="M3591" t="s">
        <v>1382</v>
      </c>
      <c r="N3591" t="s">
        <v>608</v>
      </c>
      <c r="O3591" t="s">
        <v>2197</v>
      </c>
      <c r="P3591" t="s">
        <v>610</v>
      </c>
      <c r="Q3591" t="s">
        <v>513</v>
      </c>
      <c r="R3591" t="s">
        <v>2164</v>
      </c>
      <c r="S3591" t="s">
        <v>2198</v>
      </c>
      <c r="T3591" t="s">
        <v>2165</v>
      </c>
      <c r="U3591">
        <v>207800</v>
      </c>
      <c r="V3591" t="s">
        <v>2196</v>
      </c>
      <c r="W3591" t="s">
        <v>651</v>
      </c>
      <c r="X3591" t="s">
        <v>19767</v>
      </c>
      <c r="Y3591" t="s">
        <v>5253</v>
      </c>
      <c r="AA3591" t="s">
        <v>5254</v>
      </c>
      <c r="AE3591">
        <v>-39.0370068</v>
      </c>
      <c r="AF3591">
        <v>177.41957558999999</v>
      </c>
      <c r="AG3591" s="175">
        <v>30</v>
      </c>
      <c r="AH3591" s="175">
        <v>13</v>
      </c>
      <c r="AI3591" s="175">
        <v>2</v>
      </c>
      <c r="AJ3591" s="175">
        <v>2</v>
      </c>
      <c r="AK3591" s="175">
        <v>3</v>
      </c>
      <c r="AL3591" s="175">
        <v>7</v>
      </c>
      <c r="AM3591" s="175">
        <v>2</v>
      </c>
      <c r="AN3591" s="175">
        <v>1</v>
      </c>
      <c r="AO3591" s="175">
        <v>17</v>
      </c>
      <c r="AP3591" s="175">
        <v>14</v>
      </c>
      <c r="AQ3591" s="175">
        <v>9</v>
      </c>
      <c r="AR3591" s="175">
        <v>0</v>
      </c>
      <c r="AS3591" s="175">
        <v>1</v>
      </c>
      <c r="AT3591" s="175">
        <v>1</v>
      </c>
    </row>
    <row r="3592" spans="1:46">
      <c r="A3592">
        <v>55032</v>
      </c>
      <c r="B3592" t="s">
        <v>19787</v>
      </c>
      <c r="C3592" t="s">
        <v>19788</v>
      </c>
      <c r="E3592" t="s">
        <v>19789</v>
      </c>
      <c r="G3592" t="s">
        <v>14138</v>
      </c>
      <c r="H3592" t="s">
        <v>301</v>
      </c>
      <c r="J3592" t="s">
        <v>605</v>
      </c>
      <c r="K3592" t="s">
        <v>606</v>
      </c>
      <c r="M3592" t="s">
        <v>1382</v>
      </c>
      <c r="N3592" t="s">
        <v>657</v>
      </c>
      <c r="O3592" t="s">
        <v>2367</v>
      </c>
      <c r="P3592" t="s">
        <v>610</v>
      </c>
      <c r="Q3592" t="s">
        <v>553</v>
      </c>
      <c r="R3592" t="s">
        <v>1841</v>
      </c>
      <c r="S3592" t="s">
        <v>2348</v>
      </c>
      <c r="T3592" t="s">
        <v>2165</v>
      </c>
      <c r="U3592">
        <v>233100</v>
      </c>
      <c r="V3592" t="s">
        <v>14138</v>
      </c>
      <c r="W3592" t="s">
        <v>2386</v>
      </c>
      <c r="X3592" t="s">
        <v>10418</v>
      </c>
      <c r="Y3592" t="s">
        <v>5253</v>
      </c>
      <c r="AA3592" t="s">
        <v>5254</v>
      </c>
      <c r="AB3592" t="s">
        <v>10419</v>
      </c>
      <c r="AE3592">
        <v>-40.340342319999998</v>
      </c>
      <c r="AF3592">
        <v>175.86823150999999</v>
      </c>
      <c r="AG3592" s="175">
        <v>25</v>
      </c>
      <c r="AH3592" s="175">
        <v>10</v>
      </c>
      <c r="AI3592" s="175">
        <v>1</v>
      </c>
      <c r="AJ3592" s="175">
        <v>0</v>
      </c>
      <c r="AK3592" s="175">
        <v>3</v>
      </c>
      <c r="AL3592" s="175">
        <v>1</v>
      </c>
      <c r="AM3592" s="175">
        <v>2</v>
      </c>
      <c r="AN3592" s="175">
        <v>0</v>
      </c>
      <c r="AO3592" s="175">
        <v>7</v>
      </c>
      <c r="AP3592" s="175">
        <v>7</v>
      </c>
      <c r="AQ3592" s="175">
        <v>0</v>
      </c>
      <c r="AR3592" s="175">
        <v>0</v>
      </c>
      <c r="AS3592" s="175">
        <v>0</v>
      </c>
      <c r="AT3592" s="175">
        <v>0</v>
      </c>
    </row>
    <row r="3593" spans="1:46">
      <c r="A3593">
        <v>55035</v>
      </c>
      <c r="B3593" t="s">
        <v>19790</v>
      </c>
      <c r="C3593" t="s">
        <v>19791</v>
      </c>
      <c r="D3593" t="s">
        <v>19792</v>
      </c>
      <c r="E3593" t="s">
        <v>19793</v>
      </c>
      <c r="G3593" t="s">
        <v>2365</v>
      </c>
      <c r="H3593" t="s">
        <v>449</v>
      </c>
      <c r="J3593" t="s">
        <v>605</v>
      </c>
      <c r="K3593" t="s">
        <v>606</v>
      </c>
      <c r="M3593" t="s">
        <v>2366</v>
      </c>
      <c r="N3593" t="s">
        <v>657</v>
      </c>
      <c r="O3593" t="s">
        <v>2367</v>
      </c>
      <c r="P3593" t="s">
        <v>610</v>
      </c>
      <c r="Q3593" t="s">
        <v>553</v>
      </c>
      <c r="R3593" t="s">
        <v>2368</v>
      </c>
      <c r="S3593" t="s">
        <v>2348</v>
      </c>
      <c r="T3593" t="s">
        <v>2165</v>
      </c>
      <c r="U3593">
        <v>233300</v>
      </c>
      <c r="V3593" t="s">
        <v>2380</v>
      </c>
      <c r="W3593" t="s">
        <v>2370</v>
      </c>
      <c r="X3593" t="s">
        <v>19794</v>
      </c>
      <c r="Y3593" t="s">
        <v>19793</v>
      </c>
      <c r="Z3593" t="s">
        <v>2365</v>
      </c>
      <c r="AA3593" t="s">
        <v>19795</v>
      </c>
      <c r="AB3593" t="s">
        <v>19796</v>
      </c>
      <c r="AC3593">
        <v>99047</v>
      </c>
      <c r="AD3593" t="s">
        <v>2375</v>
      </c>
      <c r="AE3593">
        <v>-40.206931640000001</v>
      </c>
      <c r="AF3593">
        <v>176.10001371999999</v>
      </c>
      <c r="AG3593" s="175">
        <v>56</v>
      </c>
      <c r="AH3593" s="175">
        <v>18</v>
      </c>
      <c r="AI3593" s="175">
        <v>5</v>
      </c>
      <c r="AJ3593" s="175">
        <v>12</v>
      </c>
      <c r="AK3593" s="175">
        <v>22</v>
      </c>
      <c r="AL3593" s="175">
        <v>15</v>
      </c>
      <c r="AM3593" s="175">
        <v>15</v>
      </c>
      <c r="AN3593" s="175">
        <v>0</v>
      </c>
      <c r="AO3593" s="175">
        <v>69</v>
      </c>
      <c r="AP3593" s="175">
        <v>67</v>
      </c>
      <c r="AQ3593" s="175">
        <v>29</v>
      </c>
      <c r="AR3593" s="175">
        <v>3</v>
      </c>
      <c r="AS3593" s="175">
        <v>2</v>
      </c>
      <c r="AT3593" s="175">
        <v>3</v>
      </c>
    </row>
    <row r="3594" spans="1:46">
      <c r="A3594">
        <v>55036</v>
      </c>
      <c r="B3594" t="s">
        <v>19797</v>
      </c>
      <c r="C3594" t="s">
        <v>19798</v>
      </c>
      <c r="D3594" t="s">
        <v>19799</v>
      </c>
      <c r="E3594" t="s">
        <v>19800</v>
      </c>
      <c r="F3594" t="s">
        <v>2302</v>
      </c>
      <c r="G3594" t="s">
        <v>2276</v>
      </c>
      <c r="H3594" t="s">
        <v>449</v>
      </c>
      <c r="J3594" t="s">
        <v>605</v>
      </c>
      <c r="K3594" t="s">
        <v>606</v>
      </c>
      <c r="M3594" t="s">
        <v>1382</v>
      </c>
      <c r="N3594" t="s">
        <v>812</v>
      </c>
      <c r="O3594" t="s">
        <v>2277</v>
      </c>
      <c r="P3594" t="s">
        <v>670</v>
      </c>
      <c r="Q3594" t="s">
        <v>513</v>
      </c>
      <c r="R3594" t="s">
        <v>2164</v>
      </c>
      <c r="S3594" t="s">
        <v>2278</v>
      </c>
      <c r="T3594" t="s">
        <v>2165</v>
      </c>
      <c r="U3594">
        <v>208800</v>
      </c>
      <c r="V3594" t="s">
        <v>12985</v>
      </c>
      <c r="W3594" t="s">
        <v>2304</v>
      </c>
      <c r="X3594" t="s">
        <v>19801</v>
      </c>
      <c r="Y3594" t="s">
        <v>19802</v>
      </c>
      <c r="Z3594" t="s">
        <v>2302</v>
      </c>
      <c r="AA3594" t="s">
        <v>8688</v>
      </c>
      <c r="AB3594" t="s">
        <v>19803</v>
      </c>
      <c r="AC3594">
        <v>99135</v>
      </c>
      <c r="AD3594" t="s">
        <v>2305</v>
      </c>
      <c r="AE3594">
        <v>-39.614398999999999</v>
      </c>
      <c r="AF3594">
        <v>176.7739703</v>
      </c>
      <c r="AG3594" s="175">
        <v>70</v>
      </c>
      <c r="AH3594" s="175">
        <v>12</v>
      </c>
      <c r="AI3594" s="175">
        <v>3</v>
      </c>
      <c r="AJ3594" s="175">
        <v>6</v>
      </c>
      <c r="AK3594" s="175">
        <v>15</v>
      </c>
      <c r="AL3594" s="175">
        <v>19</v>
      </c>
      <c r="AM3594" s="175">
        <v>13</v>
      </c>
      <c r="AN3594" s="175">
        <v>0</v>
      </c>
      <c r="AO3594" s="175">
        <v>56</v>
      </c>
      <c r="AP3594" s="175">
        <v>7</v>
      </c>
      <c r="AQ3594" s="175">
        <v>34</v>
      </c>
      <c r="AR3594" s="175">
        <v>32</v>
      </c>
      <c r="AS3594" s="175">
        <v>2</v>
      </c>
      <c r="AT3594" s="175">
        <v>2</v>
      </c>
    </row>
    <row r="3595" spans="1:46">
      <c r="A3595">
        <v>55037</v>
      </c>
      <c r="B3595" t="s">
        <v>19804</v>
      </c>
      <c r="C3595" t="s">
        <v>19805</v>
      </c>
      <c r="D3595" t="s">
        <v>19806</v>
      </c>
      <c r="E3595" t="s">
        <v>19807</v>
      </c>
      <c r="F3595" t="s">
        <v>8762</v>
      </c>
      <c r="G3595" t="s">
        <v>2276</v>
      </c>
      <c r="H3595" t="s">
        <v>452</v>
      </c>
      <c r="J3595" t="s">
        <v>605</v>
      </c>
      <c r="K3595" t="s">
        <v>606</v>
      </c>
      <c r="M3595" t="s">
        <v>1382</v>
      </c>
      <c r="N3595" t="s">
        <v>657</v>
      </c>
      <c r="O3595" t="s">
        <v>2277</v>
      </c>
      <c r="P3595" t="s">
        <v>670</v>
      </c>
      <c r="Q3595" t="s">
        <v>513</v>
      </c>
      <c r="R3595" t="s">
        <v>2164</v>
      </c>
      <c r="S3595" t="s">
        <v>2278</v>
      </c>
      <c r="T3595" t="s">
        <v>2165</v>
      </c>
      <c r="U3595">
        <v>209401</v>
      </c>
      <c r="V3595" t="s">
        <v>8762</v>
      </c>
      <c r="W3595" t="s">
        <v>2279</v>
      </c>
      <c r="X3595" t="s">
        <v>2280</v>
      </c>
      <c r="Y3595" t="s">
        <v>2281</v>
      </c>
      <c r="Z3595" t="s">
        <v>2282</v>
      </c>
      <c r="AA3595" t="s">
        <v>2283</v>
      </c>
      <c r="AB3595" t="s">
        <v>2284</v>
      </c>
      <c r="AC3595">
        <v>99159</v>
      </c>
      <c r="AD3595" t="s">
        <v>2285</v>
      </c>
      <c r="AE3595">
        <v>-39.625910840000003</v>
      </c>
      <c r="AF3595">
        <v>176.83087191999999</v>
      </c>
      <c r="AG3595" s="175">
        <v>30</v>
      </c>
      <c r="AH3595" s="175">
        <v>0</v>
      </c>
      <c r="AI3595" s="175">
        <v>0</v>
      </c>
      <c r="AJ3595" s="175">
        <v>0</v>
      </c>
      <c r="AK3595" s="175">
        <v>0</v>
      </c>
      <c r="AL3595" s="175">
        <v>13</v>
      </c>
      <c r="AM3595" s="175">
        <v>18</v>
      </c>
      <c r="AN3595" s="175">
        <v>1</v>
      </c>
      <c r="AO3595" s="175">
        <v>32</v>
      </c>
      <c r="AP3595" s="175">
        <v>11</v>
      </c>
      <c r="AQ3595" s="175">
        <v>15</v>
      </c>
      <c r="AR3595" s="175">
        <v>4</v>
      </c>
      <c r="AS3595" s="175">
        <v>12</v>
      </c>
      <c r="AT3595" s="175">
        <v>1</v>
      </c>
    </row>
    <row r="3596" spans="1:46">
      <c r="A3596">
        <v>55043</v>
      </c>
      <c r="B3596" t="s">
        <v>19808</v>
      </c>
      <c r="C3596" t="s">
        <v>13514</v>
      </c>
      <c r="E3596" t="s">
        <v>19809</v>
      </c>
      <c r="F3596" t="s">
        <v>11711</v>
      </c>
      <c r="G3596" t="s">
        <v>2276</v>
      </c>
      <c r="H3596" t="s">
        <v>449</v>
      </c>
      <c r="I3596" t="s">
        <v>4298</v>
      </c>
      <c r="J3596" t="s">
        <v>605</v>
      </c>
      <c r="K3596" t="s">
        <v>606</v>
      </c>
      <c r="M3596" t="s">
        <v>1382</v>
      </c>
      <c r="N3596" t="s">
        <v>643</v>
      </c>
      <c r="O3596" t="s">
        <v>2277</v>
      </c>
      <c r="P3596" t="s">
        <v>670</v>
      </c>
      <c r="Q3596" t="s">
        <v>513</v>
      </c>
      <c r="R3596" t="s">
        <v>2164</v>
      </c>
      <c r="S3596" t="s">
        <v>2278</v>
      </c>
      <c r="T3596" t="s">
        <v>2165</v>
      </c>
      <c r="U3596">
        <v>210000</v>
      </c>
      <c r="V3596" t="s">
        <v>19810</v>
      </c>
      <c r="W3596" t="s">
        <v>2279</v>
      </c>
      <c r="X3596" t="s">
        <v>19811</v>
      </c>
      <c r="Y3596" t="s">
        <v>13518</v>
      </c>
      <c r="AA3596" t="s">
        <v>13519</v>
      </c>
      <c r="AB3596" t="s">
        <v>19812</v>
      </c>
      <c r="AC3596">
        <v>99110</v>
      </c>
      <c r="AD3596" t="s">
        <v>4304</v>
      </c>
      <c r="AE3596">
        <v>-39.635970729999997</v>
      </c>
      <c r="AF3596">
        <v>176.84441919</v>
      </c>
      <c r="AG3596" s="175">
        <v>40</v>
      </c>
      <c r="AH3596" s="175">
        <v>0</v>
      </c>
      <c r="AI3596" s="175">
        <v>0</v>
      </c>
      <c r="AJ3596" s="175">
        <v>0</v>
      </c>
      <c r="AK3596" s="175">
        <v>0</v>
      </c>
      <c r="AL3596" s="175">
        <v>1</v>
      </c>
      <c r="AM3596" s="175">
        <v>10</v>
      </c>
      <c r="AN3596" s="175">
        <v>14</v>
      </c>
      <c r="AO3596" s="175">
        <v>25</v>
      </c>
      <c r="AP3596" s="175">
        <v>22</v>
      </c>
      <c r="AQ3596" s="175">
        <v>5</v>
      </c>
      <c r="AR3596" s="175">
        <v>2</v>
      </c>
      <c r="AS3596" s="175">
        <v>3</v>
      </c>
      <c r="AT3596" s="175">
        <v>3</v>
      </c>
    </row>
    <row r="3597" spans="1:46">
      <c r="A3597">
        <v>55044</v>
      </c>
      <c r="B3597" t="s">
        <v>19813</v>
      </c>
      <c r="C3597" t="s">
        <v>19814</v>
      </c>
      <c r="D3597" t="s">
        <v>19815</v>
      </c>
      <c r="E3597" t="s">
        <v>19816</v>
      </c>
      <c r="F3597" t="s">
        <v>19817</v>
      </c>
      <c r="G3597" t="s">
        <v>2276</v>
      </c>
      <c r="H3597" t="s">
        <v>449</v>
      </c>
      <c r="I3597" t="s">
        <v>4023</v>
      </c>
      <c r="J3597" t="s">
        <v>605</v>
      </c>
      <c r="K3597" t="s">
        <v>606</v>
      </c>
      <c r="M3597" t="s">
        <v>1382</v>
      </c>
      <c r="N3597" t="s">
        <v>657</v>
      </c>
      <c r="O3597" t="s">
        <v>2277</v>
      </c>
      <c r="P3597" t="s">
        <v>670</v>
      </c>
      <c r="Q3597" t="s">
        <v>513</v>
      </c>
      <c r="R3597" t="s">
        <v>2164</v>
      </c>
      <c r="S3597" t="s">
        <v>2278</v>
      </c>
      <c r="T3597" t="s">
        <v>2165</v>
      </c>
      <c r="U3597">
        <v>208901</v>
      </c>
      <c r="V3597" t="s">
        <v>19818</v>
      </c>
      <c r="W3597" t="s">
        <v>11923</v>
      </c>
      <c r="X3597" t="s">
        <v>19819</v>
      </c>
      <c r="Y3597" t="s">
        <v>19820</v>
      </c>
      <c r="Z3597" t="s">
        <v>2276</v>
      </c>
      <c r="AA3597" t="s">
        <v>8862</v>
      </c>
      <c r="AB3597" t="s">
        <v>19814</v>
      </c>
      <c r="AE3597">
        <v>-39.616341540000001</v>
      </c>
      <c r="AF3597">
        <v>176.80761837</v>
      </c>
      <c r="AG3597" s="175">
        <v>39</v>
      </c>
      <c r="AH3597" s="175">
        <v>1</v>
      </c>
      <c r="AI3597" s="175">
        <v>0</v>
      </c>
      <c r="AJ3597" s="175">
        <v>0</v>
      </c>
      <c r="AK3597" s="175">
        <v>9</v>
      </c>
      <c r="AL3597" s="175">
        <v>11</v>
      </c>
      <c r="AM3597" s="175">
        <v>12</v>
      </c>
      <c r="AN3597" s="175">
        <v>1</v>
      </c>
      <c r="AO3597" s="175">
        <v>33</v>
      </c>
      <c r="AP3597" s="175">
        <v>16</v>
      </c>
      <c r="AQ3597" s="175">
        <v>9</v>
      </c>
      <c r="AR3597" s="175">
        <v>13</v>
      </c>
      <c r="AS3597" s="175">
        <v>6</v>
      </c>
      <c r="AT3597" s="175">
        <v>3</v>
      </c>
    </row>
    <row r="3598" spans="1:46">
      <c r="A3598">
        <v>55045</v>
      </c>
      <c r="B3598" t="s">
        <v>19821</v>
      </c>
      <c r="C3598" t="s">
        <v>19822</v>
      </c>
      <c r="D3598" t="s">
        <v>19823</v>
      </c>
      <c r="E3598" t="s">
        <v>19824</v>
      </c>
      <c r="G3598" t="s">
        <v>2276</v>
      </c>
      <c r="H3598" t="s">
        <v>449</v>
      </c>
      <c r="I3598" t="s">
        <v>6871</v>
      </c>
      <c r="J3598" t="s">
        <v>605</v>
      </c>
      <c r="K3598" t="s">
        <v>606</v>
      </c>
      <c r="M3598" t="s">
        <v>1382</v>
      </c>
      <c r="N3598" t="s">
        <v>643</v>
      </c>
      <c r="O3598" t="s">
        <v>2277</v>
      </c>
      <c r="P3598" t="s">
        <v>670</v>
      </c>
      <c r="Q3598" t="s">
        <v>513</v>
      </c>
      <c r="R3598" t="s">
        <v>2164</v>
      </c>
      <c r="S3598" t="s">
        <v>2278</v>
      </c>
      <c r="T3598" t="s">
        <v>2165</v>
      </c>
      <c r="U3598">
        <v>210500</v>
      </c>
      <c r="V3598" t="s">
        <v>11711</v>
      </c>
      <c r="W3598" t="s">
        <v>2279</v>
      </c>
      <c r="X3598" t="s">
        <v>19825</v>
      </c>
      <c r="Y3598" t="s">
        <v>8431</v>
      </c>
      <c r="AA3598" t="s">
        <v>8432</v>
      </c>
      <c r="AE3598">
        <v>-39.641170109999997</v>
      </c>
      <c r="AF3598">
        <v>176.84102580000001</v>
      </c>
      <c r="AG3598" s="175">
        <v>35</v>
      </c>
      <c r="AH3598" s="175">
        <v>5</v>
      </c>
      <c r="AI3598" s="175">
        <v>1</v>
      </c>
      <c r="AJ3598" s="175">
        <v>4</v>
      </c>
      <c r="AK3598" s="175">
        <v>8</v>
      </c>
      <c r="AL3598" s="175">
        <v>7</v>
      </c>
      <c r="AM3598" s="175">
        <v>7</v>
      </c>
      <c r="AN3598" s="175">
        <v>1</v>
      </c>
      <c r="AO3598" s="175">
        <v>28</v>
      </c>
      <c r="AP3598" s="175">
        <v>3</v>
      </c>
      <c r="AQ3598" s="175">
        <v>4</v>
      </c>
      <c r="AR3598" s="175">
        <v>6</v>
      </c>
      <c r="AS3598" s="175">
        <v>18</v>
      </c>
      <c r="AT3598" s="175">
        <v>0</v>
      </c>
    </row>
    <row r="3599" spans="1:46">
      <c r="A3599">
        <v>55047</v>
      </c>
      <c r="B3599" t="s">
        <v>19826</v>
      </c>
      <c r="C3599" t="s">
        <v>11562</v>
      </c>
      <c r="D3599" t="s">
        <v>8995</v>
      </c>
      <c r="E3599" t="s">
        <v>19827</v>
      </c>
      <c r="G3599" t="s">
        <v>2346</v>
      </c>
      <c r="H3599" t="s">
        <v>449</v>
      </c>
      <c r="J3599" t="s">
        <v>4032</v>
      </c>
      <c r="K3599" t="s">
        <v>606</v>
      </c>
      <c r="M3599" t="s">
        <v>1382</v>
      </c>
      <c r="N3599" t="s">
        <v>657</v>
      </c>
      <c r="O3599" t="s">
        <v>2347</v>
      </c>
      <c r="P3599" t="s">
        <v>610</v>
      </c>
      <c r="Q3599" t="s">
        <v>513</v>
      </c>
      <c r="R3599" t="s">
        <v>2164</v>
      </c>
      <c r="S3599" t="s">
        <v>2348</v>
      </c>
      <c r="T3599" t="s">
        <v>2165</v>
      </c>
      <c r="U3599">
        <v>215801</v>
      </c>
      <c r="V3599" t="s">
        <v>2349</v>
      </c>
      <c r="W3599" t="s">
        <v>2350</v>
      </c>
      <c r="X3599" t="s">
        <v>8997</v>
      </c>
      <c r="Y3599" t="s">
        <v>8998</v>
      </c>
      <c r="Z3599" t="s">
        <v>2346</v>
      </c>
      <c r="AA3599" t="s">
        <v>8999</v>
      </c>
      <c r="AB3599" t="s">
        <v>9000</v>
      </c>
      <c r="AC3599">
        <v>99160</v>
      </c>
      <c r="AD3599" t="s">
        <v>2351</v>
      </c>
      <c r="AE3599">
        <v>-39.994992009999997</v>
      </c>
      <c r="AF3599">
        <v>176.55861562999999</v>
      </c>
      <c r="AG3599" s="175">
        <v>60</v>
      </c>
      <c r="AH3599" s="175">
        <v>5</v>
      </c>
      <c r="AI3599" s="175">
        <v>0</v>
      </c>
      <c r="AJ3599" s="175">
        <v>0</v>
      </c>
      <c r="AK3599" s="175">
        <v>18</v>
      </c>
      <c r="AL3599" s="175">
        <v>23</v>
      </c>
      <c r="AM3599" s="175">
        <v>21</v>
      </c>
      <c r="AN3599" s="175">
        <v>4</v>
      </c>
      <c r="AO3599" s="175">
        <v>66</v>
      </c>
      <c r="AP3599" s="175">
        <v>42</v>
      </c>
      <c r="AQ3599" s="175">
        <v>28</v>
      </c>
      <c r="AR3599" s="175">
        <v>1</v>
      </c>
      <c r="AS3599" s="175">
        <v>3</v>
      </c>
      <c r="AT3599" s="175">
        <v>5</v>
      </c>
    </row>
    <row r="3600" spans="1:46">
      <c r="A3600">
        <v>55048</v>
      </c>
      <c r="B3600" t="s">
        <v>19828</v>
      </c>
      <c r="C3600" t="s">
        <v>19829</v>
      </c>
      <c r="D3600" t="s">
        <v>19830</v>
      </c>
      <c r="E3600" t="s">
        <v>19831</v>
      </c>
      <c r="F3600" t="s">
        <v>2201</v>
      </c>
      <c r="G3600" t="s">
        <v>2198</v>
      </c>
      <c r="H3600" t="s">
        <v>449</v>
      </c>
      <c r="J3600" t="s">
        <v>605</v>
      </c>
      <c r="K3600" t="s">
        <v>606</v>
      </c>
      <c r="M3600" t="s">
        <v>1382</v>
      </c>
      <c r="N3600" t="s">
        <v>608</v>
      </c>
      <c r="O3600" t="s">
        <v>2210</v>
      </c>
      <c r="P3600" t="s">
        <v>670</v>
      </c>
      <c r="Q3600" t="s">
        <v>513</v>
      </c>
      <c r="R3600" t="s">
        <v>2164</v>
      </c>
      <c r="S3600" t="s">
        <v>2198</v>
      </c>
      <c r="T3600" t="s">
        <v>2165</v>
      </c>
      <c r="U3600">
        <v>215000</v>
      </c>
      <c r="V3600" t="s">
        <v>2225</v>
      </c>
      <c r="W3600" t="s">
        <v>2211</v>
      </c>
      <c r="X3600" t="s">
        <v>19832</v>
      </c>
      <c r="Y3600" t="s">
        <v>13660</v>
      </c>
      <c r="Z3600" t="s">
        <v>2235</v>
      </c>
      <c r="AA3600" t="s">
        <v>13661</v>
      </c>
      <c r="AB3600" t="s">
        <v>19833</v>
      </c>
      <c r="AC3600">
        <v>99002</v>
      </c>
      <c r="AD3600" t="s">
        <v>2212</v>
      </c>
      <c r="AE3600">
        <v>-39.505515770000002</v>
      </c>
      <c r="AF3600">
        <v>176.90700526000001</v>
      </c>
      <c r="AG3600" s="175">
        <v>62</v>
      </c>
      <c r="AH3600" s="175">
        <v>14</v>
      </c>
      <c r="AI3600" s="175">
        <v>3</v>
      </c>
      <c r="AJ3600" s="175">
        <v>8</v>
      </c>
      <c r="AK3600" s="175">
        <v>16</v>
      </c>
      <c r="AL3600" s="175">
        <v>7</v>
      </c>
      <c r="AM3600" s="175">
        <v>20</v>
      </c>
      <c r="AN3600" s="175">
        <v>0</v>
      </c>
      <c r="AO3600" s="175">
        <v>54</v>
      </c>
      <c r="AP3600" s="175">
        <v>28</v>
      </c>
      <c r="AQ3600" s="175">
        <v>37</v>
      </c>
      <c r="AR3600" s="175">
        <v>9</v>
      </c>
      <c r="AS3600" s="175">
        <v>2</v>
      </c>
      <c r="AT3600" s="175">
        <v>0</v>
      </c>
    </row>
    <row r="3601" spans="1:46">
      <c r="A3601">
        <v>55049</v>
      </c>
      <c r="B3601" t="s">
        <v>19834</v>
      </c>
      <c r="C3601" t="s">
        <v>19835</v>
      </c>
      <c r="D3601" t="s">
        <v>19836</v>
      </c>
      <c r="E3601" t="s">
        <v>19837</v>
      </c>
      <c r="F3601" t="s">
        <v>19838</v>
      </c>
      <c r="G3601" t="s">
        <v>2276</v>
      </c>
      <c r="H3601" t="s">
        <v>449</v>
      </c>
      <c r="J3601" t="s">
        <v>4032</v>
      </c>
      <c r="K3601" t="s">
        <v>606</v>
      </c>
      <c r="M3601" t="s">
        <v>1382</v>
      </c>
      <c r="N3601" t="s">
        <v>657</v>
      </c>
      <c r="O3601" t="s">
        <v>2277</v>
      </c>
      <c r="P3601" t="s">
        <v>670</v>
      </c>
      <c r="Q3601" t="s">
        <v>513</v>
      </c>
      <c r="R3601" t="s">
        <v>2164</v>
      </c>
      <c r="S3601" t="s">
        <v>2278</v>
      </c>
      <c r="T3601" t="s">
        <v>2165</v>
      </c>
      <c r="U3601">
        <v>211000</v>
      </c>
      <c r="V3601" t="s">
        <v>2332</v>
      </c>
      <c r="W3601" t="s">
        <v>2279</v>
      </c>
      <c r="X3601" t="s">
        <v>19839</v>
      </c>
      <c r="Y3601" t="s">
        <v>19840</v>
      </c>
      <c r="Z3601" t="s">
        <v>19838</v>
      </c>
      <c r="AA3601" t="s">
        <v>11713</v>
      </c>
      <c r="AB3601" t="s">
        <v>19841</v>
      </c>
      <c r="AC3601">
        <v>99022</v>
      </c>
      <c r="AD3601" t="s">
        <v>2297</v>
      </c>
      <c r="AE3601">
        <v>-39.653365890000003</v>
      </c>
      <c r="AF3601">
        <v>176.85249472999999</v>
      </c>
      <c r="AG3601" s="175">
        <v>68</v>
      </c>
      <c r="AH3601" s="175">
        <v>15</v>
      </c>
      <c r="AI3601" s="175">
        <v>1</v>
      </c>
      <c r="AJ3601" s="175">
        <v>16</v>
      </c>
      <c r="AK3601" s="175">
        <v>13</v>
      </c>
      <c r="AL3601" s="175">
        <v>19</v>
      </c>
      <c r="AM3601" s="175">
        <v>26</v>
      </c>
      <c r="AN3601" s="175">
        <v>0</v>
      </c>
      <c r="AO3601" s="175">
        <v>75</v>
      </c>
      <c r="AP3601" s="175">
        <v>60</v>
      </c>
      <c r="AQ3601" s="175">
        <v>21</v>
      </c>
      <c r="AR3601" s="175">
        <v>3</v>
      </c>
      <c r="AS3601" s="175">
        <v>14</v>
      </c>
      <c r="AT3601" s="175">
        <v>5</v>
      </c>
    </row>
    <row r="3602" spans="1:46">
      <c r="A3602">
        <v>55050</v>
      </c>
      <c r="B3602" t="s">
        <v>19842</v>
      </c>
      <c r="C3602" t="s">
        <v>19843</v>
      </c>
      <c r="D3602" t="s">
        <v>19844</v>
      </c>
      <c r="E3602" t="s">
        <v>19845</v>
      </c>
      <c r="F3602" t="s">
        <v>2254</v>
      </c>
      <c r="G3602" t="s">
        <v>2198</v>
      </c>
      <c r="H3602" t="s">
        <v>449</v>
      </c>
      <c r="J3602" t="s">
        <v>605</v>
      </c>
      <c r="K3602" t="s">
        <v>606</v>
      </c>
      <c r="M3602" t="s">
        <v>1382</v>
      </c>
      <c r="N3602" t="s">
        <v>657</v>
      </c>
      <c r="O3602" t="s">
        <v>2210</v>
      </c>
      <c r="P3602" t="s">
        <v>670</v>
      </c>
      <c r="Q3602" t="s">
        <v>513</v>
      </c>
      <c r="R3602" t="s">
        <v>2164</v>
      </c>
      <c r="S3602" t="s">
        <v>2198</v>
      </c>
      <c r="T3602" t="s">
        <v>2165</v>
      </c>
      <c r="U3602">
        <v>213200</v>
      </c>
      <c r="V3602" t="s">
        <v>19846</v>
      </c>
      <c r="W3602" t="s">
        <v>2219</v>
      </c>
      <c r="X3602" t="s">
        <v>19847</v>
      </c>
      <c r="Y3602" t="s">
        <v>7418</v>
      </c>
      <c r="AA3602" t="s">
        <v>7419</v>
      </c>
      <c r="AB3602" t="s">
        <v>19843</v>
      </c>
      <c r="AC3602">
        <v>99217</v>
      </c>
      <c r="AD3602" t="s">
        <v>2220</v>
      </c>
      <c r="AE3602">
        <v>-39.538543910000001</v>
      </c>
      <c r="AF3602">
        <v>176.84730411000001</v>
      </c>
      <c r="AG3602" s="175">
        <v>61</v>
      </c>
      <c r="AH3602" s="175">
        <v>20</v>
      </c>
      <c r="AI3602" s="175">
        <v>1</v>
      </c>
      <c r="AJ3602" s="175">
        <v>13</v>
      </c>
      <c r="AK3602" s="175">
        <v>16</v>
      </c>
      <c r="AL3602" s="175">
        <v>16</v>
      </c>
      <c r="AM3602" s="175">
        <v>19</v>
      </c>
      <c r="AN3602" s="175">
        <v>0</v>
      </c>
      <c r="AO3602" s="175">
        <v>65</v>
      </c>
      <c r="AP3602" s="175">
        <v>50</v>
      </c>
      <c r="AQ3602" s="175">
        <v>23</v>
      </c>
      <c r="AR3602" s="175">
        <v>2</v>
      </c>
      <c r="AS3602" s="175">
        <v>8</v>
      </c>
      <c r="AT3602" s="175">
        <v>0</v>
      </c>
    </row>
    <row r="3603" spans="1:46">
      <c r="A3603">
        <v>55051</v>
      </c>
      <c r="B3603" t="s">
        <v>19848</v>
      </c>
      <c r="C3603" t="s">
        <v>19849</v>
      </c>
      <c r="D3603" t="s">
        <v>19850</v>
      </c>
      <c r="E3603" t="s">
        <v>19851</v>
      </c>
      <c r="F3603" t="s">
        <v>11177</v>
      </c>
      <c r="G3603" t="s">
        <v>2198</v>
      </c>
      <c r="H3603" t="s">
        <v>449</v>
      </c>
      <c r="J3603" t="s">
        <v>605</v>
      </c>
      <c r="K3603" t="s">
        <v>606</v>
      </c>
      <c r="M3603" t="s">
        <v>1382</v>
      </c>
      <c r="N3603" t="s">
        <v>657</v>
      </c>
      <c r="O3603" t="s">
        <v>2210</v>
      </c>
      <c r="P3603" t="s">
        <v>670</v>
      </c>
      <c r="Q3603" t="s">
        <v>513</v>
      </c>
      <c r="R3603" t="s">
        <v>2164</v>
      </c>
      <c r="S3603" t="s">
        <v>2198</v>
      </c>
      <c r="T3603" t="s">
        <v>2165</v>
      </c>
      <c r="U3603">
        <v>212900</v>
      </c>
      <c r="V3603" t="s">
        <v>11177</v>
      </c>
      <c r="W3603" t="s">
        <v>3807</v>
      </c>
      <c r="X3603" t="s">
        <v>19852</v>
      </c>
      <c r="Y3603" t="s">
        <v>19851</v>
      </c>
      <c r="Z3603" t="s">
        <v>11177</v>
      </c>
      <c r="AA3603" t="s">
        <v>12183</v>
      </c>
      <c r="AB3603" t="s">
        <v>19853</v>
      </c>
      <c r="AE3603">
        <v>-39.484053709999998</v>
      </c>
      <c r="AF3603">
        <v>176.89908779999999</v>
      </c>
      <c r="AG3603" s="175">
        <v>50</v>
      </c>
      <c r="AH3603" s="175">
        <v>12</v>
      </c>
      <c r="AI3603" s="175">
        <v>3</v>
      </c>
      <c r="AJ3603" s="175">
        <v>7</v>
      </c>
      <c r="AK3603" s="175">
        <v>16</v>
      </c>
      <c r="AL3603" s="175">
        <v>14</v>
      </c>
      <c r="AM3603" s="175">
        <v>18</v>
      </c>
      <c r="AN3603" s="175">
        <v>1</v>
      </c>
      <c r="AO3603" s="175">
        <v>59</v>
      </c>
      <c r="AP3603" s="175">
        <v>48</v>
      </c>
      <c r="AQ3603" s="175">
        <v>14</v>
      </c>
      <c r="AR3603" s="175">
        <v>1</v>
      </c>
      <c r="AS3603" s="175">
        <v>2</v>
      </c>
      <c r="AT3603" s="175">
        <v>7</v>
      </c>
    </row>
    <row r="3604" spans="1:46">
      <c r="A3604">
        <v>55053</v>
      </c>
      <c r="B3604" t="s">
        <v>19854</v>
      </c>
      <c r="C3604" t="s">
        <v>19855</v>
      </c>
      <c r="D3604" t="s">
        <v>19856</v>
      </c>
      <c r="E3604" t="s">
        <v>19857</v>
      </c>
      <c r="F3604" t="s">
        <v>2248</v>
      </c>
      <c r="G3604" t="s">
        <v>2198</v>
      </c>
      <c r="H3604" t="s">
        <v>449</v>
      </c>
      <c r="J3604" t="s">
        <v>605</v>
      </c>
      <c r="K3604" t="s">
        <v>606</v>
      </c>
      <c r="M3604" t="s">
        <v>1382</v>
      </c>
      <c r="N3604" t="s">
        <v>812</v>
      </c>
      <c r="O3604" t="s">
        <v>2210</v>
      </c>
      <c r="P3604" t="s">
        <v>670</v>
      </c>
      <c r="Q3604" t="s">
        <v>513</v>
      </c>
      <c r="R3604" t="s">
        <v>2164</v>
      </c>
      <c r="S3604" t="s">
        <v>2198</v>
      </c>
      <c r="T3604" t="s">
        <v>2165</v>
      </c>
      <c r="U3604">
        <v>214700</v>
      </c>
      <c r="V3604" t="s">
        <v>2249</v>
      </c>
      <c r="W3604" t="s">
        <v>2211</v>
      </c>
      <c r="X3604" t="s">
        <v>12933</v>
      </c>
      <c r="Y3604" t="s">
        <v>12934</v>
      </c>
      <c r="Z3604" t="s">
        <v>2201</v>
      </c>
      <c r="AA3604" t="s">
        <v>2202</v>
      </c>
      <c r="AB3604" t="s">
        <v>12935</v>
      </c>
      <c r="AE3604">
        <v>-39.517752100000003</v>
      </c>
      <c r="AF3604">
        <v>176.8822241</v>
      </c>
      <c r="AG3604" s="175">
        <v>37</v>
      </c>
      <c r="AH3604" s="175">
        <v>1</v>
      </c>
      <c r="AI3604" s="175">
        <v>0</v>
      </c>
      <c r="AJ3604" s="175">
        <v>0</v>
      </c>
      <c r="AK3604" s="175">
        <v>12</v>
      </c>
      <c r="AL3604" s="175">
        <v>9</v>
      </c>
      <c r="AM3604" s="175">
        <v>9</v>
      </c>
      <c r="AN3604" s="175">
        <v>0</v>
      </c>
      <c r="AO3604" s="175">
        <v>30</v>
      </c>
      <c r="AP3604" s="175">
        <v>18</v>
      </c>
      <c r="AQ3604" s="175">
        <v>19</v>
      </c>
      <c r="AR3604" s="175">
        <v>9</v>
      </c>
      <c r="AS3604" s="175">
        <v>2</v>
      </c>
      <c r="AT3604" s="175">
        <v>0</v>
      </c>
    </row>
    <row r="3605" spans="1:46">
      <c r="A3605">
        <v>55054</v>
      </c>
      <c r="B3605" t="s">
        <v>19858</v>
      </c>
      <c r="C3605" t="s">
        <v>19859</v>
      </c>
      <c r="D3605" t="s">
        <v>19860</v>
      </c>
      <c r="E3605" t="s">
        <v>19861</v>
      </c>
      <c r="G3605" t="s">
        <v>2295</v>
      </c>
      <c r="H3605" t="s">
        <v>301</v>
      </c>
      <c r="J3605" t="s">
        <v>605</v>
      </c>
      <c r="K3605" t="s">
        <v>606</v>
      </c>
      <c r="M3605" t="s">
        <v>1382</v>
      </c>
      <c r="N3605" t="s">
        <v>657</v>
      </c>
      <c r="O3605" t="s">
        <v>2277</v>
      </c>
      <c r="P3605" t="s">
        <v>1347</v>
      </c>
      <c r="Q3605" t="s">
        <v>513</v>
      </c>
      <c r="R3605" t="s">
        <v>2164</v>
      </c>
      <c r="S3605" t="s">
        <v>2278</v>
      </c>
      <c r="T3605" t="s">
        <v>2165</v>
      </c>
      <c r="U3605">
        <v>211600</v>
      </c>
      <c r="V3605" t="s">
        <v>8785</v>
      </c>
      <c r="W3605" t="s">
        <v>2279</v>
      </c>
      <c r="X3605" t="s">
        <v>12299</v>
      </c>
      <c r="Y3605" t="s">
        <v>5253</v>
      </c>
      <c r="AA3605" t="s">
        <v>5254</v>
      </c>
      <c r="AB3605" t="s">
        <v>12300</v>
      </c>
      <c r="AE3605">
        <v>-39.668128830000001</v>
      </c>
      <c r="AF3605">
        <v>176.87692000000001</v>
      </c>
      <c r="AG3605" s="175">
        <v>29</v>
      </c>
      <c r="AH3605" s="175">
        <v>15</v>
      </c>
      <c r="AI3605" s="175">
        <v>1</v>
      </c>
      <c r="AJ3605" s="175">
        <v>6</v>
      </c>
      <c r="AK3605" s="175">
        <v>4</v>
      </c>
      <c r="AL3605" s="175">
        <v>6</v>
      </c>
      <c r="AM3605" s="175">
        <v>4</v>
      </c>
      <c r="AN3605" s="175">
        <v>2</v>
      </c>
      <c r="AO3605" s="175">
        <v>23</v>
      </c>
      <c r="AP3605" s="175">
        <v>22</v>
      </c>
      <c r="AQ3605" s="175">
        <v>5</v>
      </c>
      <c r="AR3605" s="175">
        <v>1</v>
      </c>
      <c r="AS3605" s="175">
        <v>0</v>
      </c>
      <c r="AT3605" s="175">
        <v>0</v>
      </c>
    </row>
    <row r="3606" spans="1:46">
      <c r="A3606">
        <v>55056</v>
      </c>
      <c r="B3606" t="s">
        <v>19862</v>
      </c>
      <c r="C3606" t="s">
        <v>19863</v>
      </c>
      <c r="D3606" t="s">
        <v>19864</v>
      </c>
      <c r="E3606" t="s">
        <v>19865</v>
      </c>
      <c r="G3606" t="s">
        <v>19866</v>
      </c>
      <c r="H3606" t="s">
        <v>301</v>
      </c>
      <c r="J3606" t="s">
        <v>605</v>
      </c>
      <c r="K3606" t="s">
        <v>606</v>
      </c>
      <c r="M3606" t="s">
        <v>1382</v>
      </c>
      <c r="N3606" t="s">
        <v>657</v>
      </c>
      <c r="O3606" t="s">
        <v>2277</v>
      </c>
      <c r="P3606" t="s">
        <v>658</v>
      </c>
      <c r="Q3606" t="s">
        <v>513</v>
      </c>
      <c r="R3606" t="s">
        <v>2164</v>
      </c>
      <c r="S3606" t="s">
        <v>2278</v>
      </c>
      <c r="T3606" t="s">
        <v>2165</v>
      </c>
      <c r="U3606">
        <v>208100</v>
      </c>
      <c r="V3606" t="s">
        <v>19867</v>
      </c>
      <c r="W3606" t="s">
        <v>19868</v>
      </c>
      <c r="X3606" t="s">
        <v>12299</v>
      </c>
      <c r="Y3606" t="s">
        <v>5253</v>
      </c>
      <c r="AA3606" t="s">
        <v>5254</v>
      </c>
      <c r="AB3606" t="s">
        <v>12300</v>
      </c>
      <c r="AE3606">
        <v>-39.501558580000001</v>
      </c>
      <c r="AF3606">
        <v>176.499244</v>
      </c>
      <c r="AG3606" s="175">
        <v>25</v>
      </c>
      <c r="AH3606" s="175">
        <v>15</v>
      </c>
      <c r="AI3606" s="175">
        <v>1</v>
      </c>
      <c r="AJ3606" s="175">
        <v>2</v>
      </c>
      <c r="AK3606" s="175">
        <v>5</v>
      </c>
      <c r="AL3606" s="175">
        <v>2</v>
      </c>
      <c r="AM3606" s="175">
        <v>5</v>
      </c>
      <c r="AN3606" s="175">
        <v>0</v>
      </c>
      <c r="AO3606" s="175">
        <v>15</v>
      </c>
      <c r="AP3606" s="175">
        <v>15</v>
      </c>
      <c r="AQ3606" s="175">
        <v>0</v>
      </c>
      <c r="AR3606" s="175">
        <v>0</v>
      </c>
      <c r="AS3606" s="175">
        <v>0</v>
      </c>
      <c r="AT3606" s="175">
        <v>0</v>
      </c>
    </row>
    <row r="3607" spans="1:46">
      <c r="A3607">
        <v>55057</v>
      </c>
      <c r="B3607" t="s">
        <v>19869</v>
      </c>
      <c r="D3607" t="s">
        <v>19870</v>
      </c>
      <c r="E3607" t="s">
        <v>19871</v>
      </c>
      <c r="F3607" t="s">
        <v>2201</v>
      </c>
      <c r="G3607" t="s">
        <v>2198</v>
      </c>
      <c r="H3607" t="s">
        <v>301</v>
      </c>
      <c r="J3607" t="s">
        <v>605</v>
      </c>
      <c r="K3607" t="s">
        <v>606</v>
      </c>
      <c r="M3607" t="s">
        <v>1382</v>
      </c>
      <c r="N3607" t="s">
        <v>657</v>
      </c>
      <c r="O3607" t="s">
        <v>2210</v>
      </c>
      <c r="P3607" t="s">
        <v>670</v>
      </c>
      <c r="Q3607" t="s">
        <v>513</v>
      </c>
      <c r="R3607" t="s">
        <v>2164</v>
      </c>
      <c r="S3607" t="s">
        <v>2198</v>
      </c>
      <c r="T3607" t="s">
        <v>2165</v>
      </c>
      <c r="U3607">
        <v>215200</v>
      </c>
      <c r="V3607" t="s">
        <v>12180</v>
      </c>
      <c r="W3607" t="s">
        <v>2211</v>
      </c>
      <c r="X3607" t="s">
        <v>12299</v>
      </c>
      <c r="Y3607" t="s">
        <v>5253</v>
      </c>
      <c r="AA3607" t="s">
        <v>5254</v>
      </c>
      <c r="AB3607" t="s">
        <v>12300</v>
      </c>
      <c r="AE3607">
        <v>-39.504479510000003</v>
      </c>
      <c r="AF3607">
        <v>176.91372820999999</v>
      </c>
      <c r="AG3607" s="175">
        <v>25</v>
      </c>
      <c r="AH3607" s="175">
        <v>15</v>
      </c>
      <c r="AI3607" s="175">
        <v>0</v>
      </c>
      <c r="AJ3607" s="175">
        <v>4</v>
      </c>
      <c r="AK3607" s="175">
        <v>2</v>
      </c>
      <c r="AL3607" s="175">
        <v>2</v>
      </c>
      <c r="AM3607" s="175">
        <v>3</v>
      </c>
      <c r="AN3607" s="175">
        <v>0</v>
      </c>
      <c r="AO3607" s="175">
        <v>11</v>
      </c>
      <c r="AP3607" s="175">
        <v>9</v>
      </c>
      <c r="AQ3607" s="175">
        <v>1</v>
      </c>
      <c r="AR3607" s="175">
        <v>0</v>
      </c>
      <c r="AS3607" s="175">
        <v>4</v>
      </c>
      <c r="AT3607" s="175">
        <v>1</v>
      </c>
    </row>
    <row r="3608" spans="1:46">
      <c r="A3608">
        <v>55058</v>
      </c>
      <c r="B3608" t="s">
        <v>19872</v>
      </c>
      <c r="C3608" t="s">
        <v>19873</v>
      </c>
      <c r="D3608" t="s">
        <v>19874</v>
      </c>
      <c r="E3608" t="s">
        <v>19875</v>
      </c>
      <c r="F3608" t="s">
        <v>11177</v>
      </c>
      <c r="G3608" t="s">
        <v>2198</v>
      </c>
      <c r="H3608" t="s">
        <v>301</v>
      </c>
      <c r="J3608" t="s">
        <v>605</v>
      </c>
      <c r="K3608" t="s">
        <v>606</v>
      </c>
      <c r="M3608" t="s">
        <v>1382</v>
      </c>
      <c r="N3608" t="s">
        <v>657</v>
      </c>
      <c r="O3608" t="s">
        <v>2210</v>
      </c>
      <c r="P3608" t="s">
        <v>670</v>
      </c>
      <c r="Q3608" t="s">
        <v>513</v>
      </c>
      <c r="R3608" t="s">
        <v>2164</v>
      </c>
      <c r="S3608" t="s">
        <v>2198</v>
      </c>
      <c r="T3608" t="s">
        <v>2165</v>
      </c>
      <c r="U3608">
        <v>212900</v>
      </c>
      <c r="V3608" t="s">
        <v>11177</v>
      </c>
      <c r="W3608" t="s">
        <v>3807</v>
      </c>
      <c r="X3608" t="s">
        <v>12299</v>
      </c>
      <c r="Y3608" t="s">
        <v>5253</v>
      </c>
      <c r="AA3608" t="s">
        <v>5254</v>
      </c>
      <c r="AB3608" t="s">
        <v>12300</v>
      </c>
      <c r="AE3608">
        <v>-39.484464799999998</v>
      </c>
      <c r="AF3608">
        <v>176.8982795</v>
      </c>
      <c r="AG3608" s="175">
        <v>23</v>
      </c>
      <c r="AH3608" s="175">
        <v>13</v>
      </c>
      <c r="AI3608" s="175">
        <v>1</v>
      </c>
      <c r="AJ3608" s="175">
        <v>3</v>
      </c>
      <c r="AK3608" s="175">
        <v>3</v>
      </c>
      <c r="AL3608" s="175">
        <v>4</v>
      </c>
      <c r="AM3608" s="175">
        <v>3</v>
      </c>
      <c r="AN3608" s="175">
        <v>0</v>
      </c>
      <c r="AO3608" s="175">
        <v>14</v>
      </c>
      <c r="AP3608" s="175">
        <v>13</v>
      </c>
      <c r="AQ3608" s="175">
        <v>1</v>
      </c>
      <c r="AR3608" s="175">
        <v>0</v>
      </c>
      <c r="AS3608" s="175">
        <v>1</v>
      </c>
      <c r="AT3608" s="175">
        <v>1</v>
      </c>
    </row>
    <row r="3609" spans="1:46">
      <c r="A3609">
        <v>55059</v>
      </c>
      <c r="B3609" t="s">
        <v>19876</v>
      </c>
      <c r="C3609" t="s">
        <v>19877</v>
      </c>
      <c r="D3609" t="s">
        <v>19878</v>
      </c>
      <c r="E3609" t="s">
        <v>19879</v>
      </c>
      <c r="F3609" t="s">
        <v>2260</v>
      </c>
      <c r="G3609" t="s">
        <v>2198</v>
      </c>
      <c r="H3609" t="s">
        <v>301</v>
      </c>
      <c r="J3609" t="s">
        <v>605</v>
      </c>
      <c r="K3609" t="s">
        <v>606</v>
      </c>
      <c r="M3609" t="s">
        <v>1382</v>
      </c>
      <c r="N3609" t="s">
        <v>643</v>
      </c>
      <c r="O3609" t="s">
        <v>2210</v>
      </c>
      <c r="P3609" t="s">
        <v>670</v>
      </c>
      <c r="Q3609" t="s">
        <v>513</v>
      </c>
      <c r="R3609" t="s">
        <v>2164</v>
      </c>
      <c r="S3609" t="s">
        <v>2198</v>
      </c>
      <c r="T3609" t="s">
        <v>2165</v>
      </c>
      <c r="U3609">
        <v>213800</v>
      </c>
      <c r="V3609" t="s">
        <v>19880</v>
      </c>
      <c r="W3609" t="s">
        <v>2242</v>
      </c>
      <c r="X3609" t="s">
        <v>12299</v>
      </c>
      <c r="Y3609" t="s">
        <v>5253</v>
      </c>
      <c r="AA3609" t="s">
        <v>5254</v>
      </c>
      <c r="AB3609" t="s">
        <v>12300</v>
      </c>
      <c r="AE3609">
        <v>-39.516967880000003</v>
      </c>
      <c r="AF3609">
        <v>176.86676209000001</v>
      </c>
      <c r="AG3609" s="175">
        <v>25</v>
      </c>
      <c r="AH3609" s="175">
        <v>15</v>
      </c>
      <c r="AI3609" s="175">
        <v>0</v>
      </c>
      <c r="AJ3609" s="175">
        <v>2</v>
      </c>
      <c r="AK3609" s="175">
        <v>4</v>
      </c>
      <c r="AL3609" s="175">
        <v>1</v>
      </c>
      <c r="AM3609" s="175">
        <v>3</v>
      </c>
      <c r="AN3609" s="175">
        <v>0</v>
      </c>
      <c r="AO3609" s="175">
        <v>10</v>
      </c>
      <c r="AP3609" s="175">
        <v>9</v>
      </c>
      <c r="AQ3609" s="175">
        <v>2</v>
      </c>
      <c r="AR3609" s="175">
        <v>0</v>
      </c>
      <c r="AS3609" s="175">
        <v>1</v>
      </c>
      <c r="AT3609" s="175">
        <v>0</v>
      </c>
    </row>
    <row r="3610" spans="1:46">
      <c r="A3610">
        <v>55060</v>
      </c>
      <c r="B3610" t="s">
        <v>19881</v>
      </c>
      <c r="C3610" t="s">
        <v>19882</v>
      </c>
      <c r="D3610" t="s">
        <v>19883</v>
      </c>
      <c r="E3610" t="s">
        <v>19884</v>
      </c>
      <c r="F3610" t="s">
        <v>2254</v>
      </c>
      <c r="G3610" t="s">
        <v>2198</v>
      </c>
      <c r="H3610" t="s">
        <v>301</v>
      </c>
      <c r="J3610" t="s">
        <v>605</v>
      </c>
      <c r="K3610" t="s">
        <v>606</v>
      </c>
      <c r="M3610" t="s">
        <v>1382</v>
      </c>
      <c r="N3610" t="s">
        <v>657</v>
      </c>
      <c r="O3610" t="s">
        <v>2210</v>
      </c>
      <c r="P3610" t="s">
        <v>670</v>
      </c>
      <c r="Q3610" t="s">
        <v>513</v>
      </c>
      <c r="R3610" t="s">
        <v>2164</v>
      </c>
      <c r="S3610" t="s">
        <v>2198</v>
      </c>
      <c r="T3610" t="s">
        <v>2165</v>
      </c>
      <c r="U3610">
        <v>214600</v>
      </c>
      <c r="V3610" t="s">
        <v>19885</v>
      </c>
      <c r="W3610" t="s">
        <v>2219</v>
      </c>
      <c r="X3610" t="s">
        <v>12299</v>
      </c>
      <c r="Y3610" t="s">
        <v>5253</v>
      </c>
      <c r="AA3610" t="s">
        <v>5254</v>
      </c>
      <c r="AB3610" t="s">
        <v>12300</v>
      </c>
      <c r="AE3610">
        <v>-39.534497000000002</v>
      </c>
      <c r="AF3610">
        <v>176.85204569999999</v>
      </c>
      <c r="AG3610" s="175">
        <v>25</v>
      </c>
      <c r="AH3610" s="175">
        <v>15</v>
      </c>
      <c r="AI3610" s="175">
        <v>0</v>
      </c>
      <c r="AJ3610" s="175">
        <v>2</v>
      </c>
      <c r="AK3610" s="175">
        <v>3</v>
      </c>
      <c r="AL3610" s="175">
        <v>11</v>
      </c>
      <c r="AM3610" s="175">
        <v>1</v>
      </c>
      <c r="AN3610" s="175">
        <v>0</v>
      </c>
      <c r="AO3610" s="175">
        <v>17</v>
      </c>
      <c r="AP3610" s="175">
        <v>15</v>
      </c>
      <c r="AQ3610" s="175">
        <v>5</v>
      </c>
      <c r="AR3610" s="175">
        <v>0</v>
      </c>
      <c r="AS3610" s="175">
        <v>0</v>
      </c>
      <c r="AT3610" s="175">
        <v>0</v>
      </c>
    </row>
    <row r="3611" spans="1:46">
      <c r="A3611">
        <v>55063</v>
      </c>
      <c r="B3611" t="s">
        <v>19886</v>
      </c>
      <c r="D3611" t="s">
        <v>19887</v>
      </c>
      <c r="E3611" t="s">
        <v>19888</v>
      </c>
      <c r="G3611" t="s">
        <v>19889</v>
      </c>
      <c r="H3611" t="s">
        <v>301</v>
      </c>
      <c r="J3611" t="s">
        <v>605</v>
      </c>
      <c r="K3611" t="s">
        <v>606</v>
      </c>
      <c r="M3611" t="s">
        <v>1382</v>
      </c>
      <c r="N3611" t="s">
        <v>657</v>
      </c>
      <c r="O3611" t="s">
        <v>2277</v>
      </c>
      <c r="P3611" t="s">
        <v>610</v>
      </c>
      <c r="Q3611" t="s">
        <v>513</v>
      </c>
      <c r="R3611" t="s">
        <v>2164</v>
      </c>
      <c r="S3611" t="s">
        <v>2278</v>
      </c>
      <c r="T3611" t="s">
        <v>2165</v>
      </c>
      <c r="U3611">
        <v>211301</v>
      </c>
      <c r="V3611" t="s">
        <v>19889</v>
      </c>
      <c r="W3611" t="s">
        <v>11923</v>
      </c>
      <c r="X3611" t="s">
        <v>12299</v>
      </c>
      <c r="Y3611" t="s">
        <v>5253</v>
      </c>
      <c r="AA3611" t="s">
        <v>5254</v>
      </c>
      <c r="AB3611" t="s">
        <v>12300</v>
      </c>
      <c r="AE3611">
        <v>-39.602770380000003</v>
      </c>
      <c r="AF3611">
        <v>176.94428177</v>
      </c>
      <c r="AG3611" s="175">
        <v>17</v>
      </c>
      <c r="AH3611" s="175">
        <v>10</v>
      </c>
      <c r="AI3611" s="175">
        <v>4</v>
      </c>
      <c r="AJ3611" s="175">
        <v>3</v>
      </c>
      <c r="AK3611" s="175">
        <v>1</v>
      </c>
      <c r="AL3611" s="175">
        <v>2</v>
      </c>
      <c r="AM3611" s="175">
        <v>1</v>
      </c>
      <c r="AN3611" s="175">
        <v>0</v>
      </c>
      <c r="AO3611" s="175">
        <v>11</v>
      </c>
      <c r="AP3611" s="175">
        <v>9</v>
      </c>
      <c r="AQ3611" s="175">
        <v>3</v>
      </c>
      <c r="AR3611" s="175">
        <v>0</v>
      </c>
      <c r="AS3611" s="175">
        <v>2</v>
      </c>
      <c r="AT3611" s="175">
        <v>0</v>
      </c>
    </row>
    <row r="3612" spans="1:46">
      <c r="A3612">
        <v>55066</v>
      </c>
      <c r="B3612" t="s">
        <v>19890</v>
      </c>
      <c r="D3612" t="s">
        <v>19891</v>
      </c>
      <c r="E3612" t="s">
        <v>19892</v>
      </c>
      <c r="G3612" t="s">
        <v>19889</v>
      </c>
      <c r="H3612" t="s">
        <v>301</v>
      </c>
      <c r="J3612" t="s">
        <v>605</v>
      </c>
      <c r="K3612" t="s">
        <v>606</v>
      </c>
      <c r="M3612" t="s">
        <v>1382</v>
      </c>
      <c r="N3612" t="s">
        <v>657</v>
      </c>
      <c r="O3612" t="s">
        <v>2277</v>
      </c>
      <c r="P3612" t="s">
        <v>610</v>
      </c>
      <c r="Q3612" t="s">
        <v>513</v>
      </c>
      <c r="R3612" t="s">
        <v>2164</v>
      </c>
      <c r="S3612" t="s">
        <v>2278</v>
      </c>
      <c r="T3612" t="s">
        <v>2165</v>
      </c>
      <c r="U3612">
        <v>211301</v>
      </c>
      <c r="V3612" t="s">
        <v>19889</v>
      </c>
      <c r="W3612" t="s">
        <v>11923</v>
      </c>
      <c r="X3612" t="s">
        <v>12299</v>
      </c>
      <c r="Y3612" t="s">
        <v>5253</v>
      </c>
      <c r="AA3612" t="s">
        <v>5254</v>
      </c>
      <c r="AB3612" t="s">
        <v>12300</v>
      </c>
      <c r="AE3612">
        <v>-39.60263613</v>
      </c>
      <c r="AF3612">
        <v>176.94413868000001</v>
      </c>
      <c r="AG3612" s="175">
        <v>17</v>
      </c>
      <c r="AH3612" s="175">
        <v>10</v>
      </c>
      <c r="AI3612" s="175">
        <v>6</v>
      </c>
      <c r="AJ3612" s="175">
        <v>4</v>
      </c>
      <c r="AK3612" s="175">
        <v>3</v>
      </c>
      <c r="AL3612" s="175">
        <v>4</v>
      </c>
      <c r="AM3612" s="175">
        <v>1</v>
      </c>
      <c r="AN3612" s="175">
        <v>0</v>
      </c>
      <c r="AO3612" s="175">
        <v>18</v>
      </c>
      <c r="AP3612" s="175">
        <v>18</v>
      </c>
      <c r="AQ3612" s="175">
        <v>2</v>
      </c>
      <c r="AR3612" s="175">
        <v>0</v>
      </c>
      <c r="AS3612" s="175">
        <v>0</v>
      </c>
      <c r="AT3612" s="175">
        <v>0</v>
      </c>
    </row>
    <row r="3613" spans="1:46">
      <c r="A3613">
        <v>55070</v>
      </c>
      <c r="B3613" t="s">
        <v>19893</v>
      </c>
      <c r="C3613" t="s">
        <v>19894</v>
      </c>
      <c r="D3613" t="s">
        <v>19895</v>
      </c>
      <c r="E3613" t="s">
        <v>19896</v>
      </c>
      <c r="G3613" t="s">
        <v>19897</v>
      </c>
      <c r="H3613" t="s">
        <v>301</v>
      </c>
      <c r="J3613" t="s">
        <v>605</v>
      </c>
      <c r="K3613" t="s">
        <v>606</v>
      </c>
      <c r="M3613" t="s">
        <v>1382</v>
      </c>
      <c r="N3613" t="s">
        <v>657</v>
      </c>
      <c r="O3613" t="s">
        <v>2347</v>
      </c>
      <c r="P3613" t="s">
        <v>626</v>
      </c>
      <c r="Q3613" t="s">
        <v>513</v>
      </c>
      <c r="R3613" t="s">
        <v>2164</v>
      </c>
      <c r="S3613" t="s">
        <v>2278</v>
      </c>
      <c r="T3613" t="s">
        <v>2165</v>
      </c>
      <c r="U3613">
        <v>215600</v>
      </c>
      <c r="V3613" t="s">
        <v>12297</v>
      </c>
      <c r="W3613" t="s">
        <v>12298</v>
      </c>
      <c r="X3613" t="s">
        <v>12299</v>
      </c>
      <c r="Y3613" t="s">
        <v>5253</v>
      </c>
      <c r="AA3613" t="s">
        <v>5254</v>
      </c>
      <c r="AB3613" t="s">
        <v>12300</v>
      </c>
      <c r="AE3613">
        <v>-39.913732090000003</v>
      </c>
      <c r="AF3613">
        <v>176.4207318</v>
      </c>
      <c r="AG3613" s="175">
        <v>30</v>
      </c>
      <c r="AH3613" s="175">
        <v>10</v>
      </c>
      <c r="AI3613" s="175">
        <v>2</v>
      </c>
      <c r="AJ3613" s="175">
        <v>1</v>
      </c>
      <c r="AK3613" s="175">
        <v>3</v>
      </c>
      <c r="AL3613" s="175">
        <v>1</v>
      </c>
      <c r="AM3613" s="175">
        <v>0</v>
      </c>
      <c r="AN3613" s="175">
        <v>0</v>
      </c>
      <c r="AO3613" s="175">
        <v>7</v>
      </c>
      <c r="AP3613" s="175">
        <v>7</v>
      </c>
      <c r="AQ3613" s="175">
        <v>2</v>
      </c>
      <c r="AR3613" s="175">
        <v>0</v>
      </c>
      <c r="AS3613" s="175">
        <v>0</v>
      </c>
      <c r="AT3613" s="175">
        <v>0</v>
      </c>
    </row>
    <row r="3614" spans="1:46">
      <c r="A3614">
        <v>55071</v>
      </c>
      <c r="B3614" t="s">
        <v>19898</v>
      </c>
      <c r="C3614" t="s">
        <v>19899</v>
      </c>
      <c r="D3614" t="s">
        <v>19900</v>
      </c>
      <c r="E3614" t="s">
        <v>19901</v>
      </c>
      <c r="G3614" t="s">
        <v>19902</v>
      </c>
      <c r="H3614" t="s">
        <v>301</v>
      </c>
      <c r="J3614" t="s">
        <v>605</v>
      </c>
      <c r="K3614" t="s">
        <v>606</v>
      </c>
      <c r="M3614" t="s">
        <v>1382</v>
      </c>
      <c r="N3614" t="s">
        <v>657</v>
      </c>
      <c r="O3614" t="s">
        <v>2347</v>
      </c>
      <c r="P3614" t="s">
        <v>626</v>
      </c>
      <c r="Q3614" t="s">
        <v>513</v>
      </c>
      <c r="R3614" t="s">
        <v>2164</v>
      </c>
      <c r="S3614" t="s">
        <v>2348</v>
      </c>
      <c r="T3614" t="s">
        <v>2165</v>
      </c>
      <c r="U3614">
        <v>216101</v>
      </c>
      <c r="V3614" t="s">
        <v>19903</v>
      </c>
      <c r="W3614" t="s">
        <v>12298</v>
      </c>
      <c r="X3614" t="s">
        <v>12299</v>
      </c>
      <c r="Y3614" t="s">
        <v>5253</v>
      </c>
      <c r="AA3614" t="s">
        <v>5254</v>
      </c>
      <c r="AB3614" t="s">
        <v>12300</v>
      </c>
      <c r="AE3614">
        <v>-40.303299899999999</v>
      </c>
      <c r="AF3614">
        <v>176.616806</v>
      </c>
      <c r="AG3614" s="175">
        <v>30</v>
      </c>
      <c r="AH3614" s="175">
        <v>15</v>
      </c>
      <c r="AI3614" s="175">
        <v>2</v>
      </c>
      <c r="AJ3614" s="175">
        <v>3</v>
      </c>
      <c r="AK3614" s="175">
        <v>4</v>
      </c>
      <c r="AL3614" s="175">
        <v>1</v>
      </c>
      <c r="AM3614" s="175">
        <v>4</v>
      </c>
      <c r="AN3614" s="175">
        <v>0</v>
      </c>
      <c r="AO3614" s="175">
        <v>14</v>
      </c>
      <c r="AP3614" s="175">
        <v>10</v>
      </c>
      <c r="AQ3614" s="175">
        <v>9</v>
      </c>
      <c r="AR3614" s="175">
        <v>2</v>
      </c>
      <c r="AS3614" s="175">
        <v>0</v>
      </c>
      <c r="AT3614" s="175">
        <v>0</v>
      </c>
    </row>
    <row r="3615" spans="1:46">
      <c r="A3615">
        <v>55074</v>
      </c>
      <c r="B3615" t="s">
        <v>19904</v>
      </c>
      <c r="C3615" t="s">
        <v>19905</v>
      </c>
      <c r="D3615" t="s">
        <v>19906</v>
      </c>
      <c r="E3615" t="s">
        <v>19907</v>
      </c>
      <c r="G3615" t="s">
        <v>19908</v>
      </c>
      <c r="H3615" t="s">
        <v>301</v>
      </c>
      <c r="J3615" t="s">
        <v>605</v>
      </c>
      <c r="K3615" t="s">
        <v>606</v>
      </c>
      <c r="M3615" t="s">
        <v>1382</v>
      </c>
      <c r="N3615" t="s">
        <v>657</v>
      </c>
      <c r="O3615" t="s">
        <v>2347</v>
      </c>
      <c r="P3615" t="s">
        <v>626</v>
      </c>
      <c r="Q3615" t="s">
        <v>513</v>
      </c>
      <c r="R3615" t="s">
        <v>2164</v>
      </c>
      <c r="S3615" t="s">
        <v>2278</v>
      </c>
      <c r="T3615" t="s">
        <v>2165</v>
      </c>
      <c r="U3615">
        <v>215500</v>
      </c>
      <c r="V3615" t="s">
        <v>19909</v>
      </c>
      <c r="W3615" t="s">
        <v>12298</v>
      </c>
      <c r="X3615" t="s">
        <v>12299</v>
      </c>
      <c r="Y3615" t="s">
        <v>5253</v>
      </c>
      <c r="AA3615" t="s">
        <v>5254</v>
      </c>
      <c r="AB3615" t="s">
        <v>12300</v>
      </c>
      <c r="AE3615">
        <v>-39.8217207</v>
      </c>
      <c r="AF3615">
        <v>176.45686140000001</v>
      </c>
      <c r="AG3615" s="175">
        <v>30</v>
      </c>
      <c r="AH3615" s="175">
        <v>10</v>
      </c>
      <c r="AI3615" s="175">
        <v>1</v>
      </c>
      <c r="AJ3615" s="175">
        <v>2</v>
      </c>
      <c r="AK3615" s="175">
        <v>3</v>
      </c>
      <c r="AL3615" s="175">
        <v>0</v>
      </c>
      <c r="AM3615" s="175">
        <v>0</v>
      </c>
      <c r="AN3615" s="175">
        <v>0</v>
      </c>
      <c r="AO3615" s="175">
        <v>6</v>
      </c>
      <c r="AP3615" s="175">
        <v>6</v>
      </c>
      <c r="AQ3615" s="175">
        <v>2</v>
      </c>
      <c r="AR3615" s="175">
        <v>0</v>
      </c>
      <c r="AS3615" s="175">
        <v>0</v>
      </c>
      <c r="AT3615" s="175">
        <v>0</v>
      </c>
    </row>
    <row r="3616" spans="1:46">
      <c r="A3616">
        <v>55077</v>
      </c>
      <c r="B3616" t="s">
        <v>19910</v>
      </c>
      <c r="C3616" t="s">
        <v>19911</v>
      </c>
      <c r="D3616" t="s">
        <v>19912</v>
      </c>
      <c r="E3616" t="s">
        <v>19913</v>
      </c>
      <c r="F3616" t="s">
        <v>2217</v>
      </c>
      <c r="G3616" t="s">
        <v>2198</v>
      </c>
      <c r="H3616" t="s">
        <v>449</v>
      </c>
      <c r="I3616" t="s">
        <v>12083</v>
      </c>
      <c r="J3616" t="s">
        <v>605</v>
      </c>
      <c r="K3616" t="s">
        <v>606</v>
      </c>
      <c r="M3616" t="s">
        <v>1382</v>
      </c>
      <c r="N3616" t="s">
        <v>657</v>
      </c>
      <c r="O3616" t="s">
        <v>2210</v>
      </c>
      <c r="P3616" t="s">
        <v>670</v>
      </c>
      <c r="Q3616" t="s">
        <v>513</v>
      </c>
      <c r="R3616" t="s">
        <v>2164</v>
      </c>
      <c r="S3616" t="s">
        <v>2198</v>
      </c>
      <c r="T3616" t="s">
        <v>2165</v>
      </c>
      <c r="U3616">
        <v>214400</v>
      </c>
      <c r="V3616" t="s">
        <v>8961</v>
      </c>
      <c r="W3616" t="s">
        <v>2219</v>
      </c>
      <c r="X3616" t="s">
        <v>19914</v>
      </c>
      <c r="Y3616" t="s">
        <v>19915</v>
      </c>
      <c r="Z3616" t="s">
        <v>2217</v>
      </c>
      <c r="AA3616" t="s">
        <v>14121</v>
      </c>
      <c r="AB3616" t="s">
        <v>19916</v>
      </c>
      <c r="AC3616">
        <v>99217</v>
      </c>
      <c r="AD3616" t="s">
        <v>2220</v>
      </c>
      <c r="AE3616">
        <v>-39.52585217</v>
      </c>
      <c r="AF3616">
        <v>176.86602149999999</v>
      </c>
      <c r="AG3616" s="175">
        <v>50</v>
      </c>
      <c r="AH3616" s="175">
        <v>10</v>
      </c>
      <c r="AI3616" s="175">
        <v>2</v>
      </c>
      <c r="AJ3616" s="175">
        <v>5</v>
      </c>
      <c r="AK3616" s="175">
        <v>11</v>
      </c>
      <c r="AL3616" s="175">
        <v>13</v>
      </c>
      <c r="AM3616" s="175">
        <v>9</v>
      </c>
      <c r="AN3616" s="175">
        <v>0</v>
      </c>
      <c r="AO3616" s="175">
        <v>40</v>
      </c>
      <c r="AP3616" s="175">
        <v>36</v>
      </c>
      <c r="AQ3616" s="175">
        <v>12</v>
      </c>
      <c r="AR3616" s="175">
        <v>1</v>
      </c>
      <c r="AS3616" s="175">
        <v>2</v>
      </c>
      <c r="AT3616" s="175">
        <v>0</v>
      </c>
    </row>
    <row r="3617" spans="1:46">
      <c r="A3617">
        <v>55078</v>
      </c>
      <c r="B3617" t="s">
        <v>19917</v>
      </c>
      <c r="C3617" t="s">
        <v>19918</v>
      </c>
      <c r="E3617" t="s">
        <v>19919</v>
      </c>
      <c r="F3617" t="s">
        <v>9070</v>
      </c>
      <c r="G3617" t="s">
        <v>2162</v>
      </c>
      <c r="H3617" t="s">
        <v>449</v>
      </c>
      <c r="I3617" t="s">
        <v>6871</v>
      </c>
      <c r="J3617" t="s">
        <v>605</v>
      </c>
      <c r="K3617" t="s">
        <v>606</v>
      </c>
      <c r="M3617" t="s">
        <v>1382</v>
      </c>
      <c r="N3617" t="s">
        <v>812</v>
      </c>
      <c r="O3617" t="s">
        <v>2163</v>
      </c>
      <c r="P3617" t="s">
        <v>670</v>
      </c>
      <c r="Q3617" t="s">
        <v>512</v>
      </c>
      <c r="R3617" t="s">
        <v>2164</v>
      </c>
      <c r="S3617" t="s">
        <v>1556</v>
      </c>
      <c r="T3617" t="s">
        <v>2165</v>
      </c>
      <c r="U3617">
        <v>206000</v>
      </c>
      <c r="V3617" t="s">
        <v>2166</v>
      </c>
      <c r="W3617" t="s">
        <v>2167</v>
      </c>
      <c r="X3617" t="s">
        <v>19920</v>
      </c>
      <c r="Y3617" t="s">
        <v>8431</v>
      </c>
      <c r="AA3617" t="s">
        <v>8432</v>
      </c>
      <c r="AB3617" t="s">
        <v>19921</v>
      </c>
      <c r="AC3617">
        <v>99083</v>
      </c>
      <c r="AD3617" t="s">
        <v>2179</v>
      </c>
      <c r="AE3617">
        <v>-38.656429680000002</v>
      </c>
      <c r="AF3617">
        <v>177.99275037000001</v>
      </c>
      <c r="AG3617" s="175">
        <v>50</v>
      </c>
      <c r="AH3617" s="175">
        <v>20</v>
      </c>
      <c r="AI3617" s="175">
        <v>2</v>
      </c>
      <c r="AJ3617" s="175">
        <v>7</v>
      </c>
      <c r="AK3617" s="175">
        <v>9</v>
      </c>
      <c r="AL3617" s="175">
        <v>9</v>
      </c>
      <c r="AM3617" s="175">
        <v>7</v>
      </c>
      <c r="AN3617" s="175">
        <v>1</v>
      </c>
      <c r="AO3617" s="175">
        <v>35</v>
      </c>
      <c r="AP3617" s="175">
        <v>7</v>
      </c>
      <c r="AQ3617" s="175">
        <v>30</v>
      </c>
      <c r="AR3617" s="175">
        <v>2</v>
      </c>
      <c r="AS3617" s="175">
        <v>0</v>
      </c>
      <c r="AT3617" s="175">
        <v>0</v>
      </c>
    </row>
    <row r="3618" spans="1:46">
      <c r="A3618">
        <v>55087</v>
      </c>
      <c r="B3618" t="s">
        <v>19922</v>
      </c>
      <c r="C3618" t="s">
        <v>19923</v>
      </c>
      <c r="D3618" t="s">
        <v>19924</v>
      </c>
      <c r="E3618" t="s">
        <v>19925</v>
      </c>
      <c r="F3618" t="s">
        <v>3700</v>
      </c>
      <c r="G3618" t="s">
        <v>2198</v>
      </c>
      <c r="H3618" t="s">
        <v>449</v>
      </c>
      <c r="J3618" t="s">
        <v>605</v>
      </c>
      <c r="K3618" t="s">
        <v>606</v>
      </c>
      <c r="M3618" t="s">
        <v>1382</v>
      </c>
      <c r="N3618" t="s">
        <v>657</v>
      </c>
      <c r="O3618" t="s">
        <v>2210</v>
      </c>
      <c r="P3618" t="s">
        <v>670</v>
      </c>
      <c r="Q3618" t="s">
        <v>513</v>
      </c>
      <c r="R3618" t="s">
        <v>2164</v>
      </c>
      <c r="S3618" t="s">
        <v>2198</v>
      </c>
      <c r="T3618" t="s">
        <v>2165</v>
      </c>
      <c r="U3618">
        <v>214300</v>
      </c>
      <c r="V3618" t="s">
        <v>19926</v>
      </c>
      <c r="W3618" t="s">
        <v>2211</v>
      </c>
      <c r="X3618" t="s">
        <v>19927</v>
      </c>
      <c r="Y3618" t="s">
        <v>19851</v>
      </c>
      <c r="Z3618" t="s">
        <v>11177</v>
      </c>
      <c r="AA3618" t="s">
        <v>12183</v>
      </c>
      <c r="AB3618" t="s">
        <v>19928</v>
      </c>
      <c r="AE3618">
        <v>-39.494243130000001</v>
      </c>
      <c r="AF3618">
        <v>176.91729543</v>
      </c>
      <c r="AG3618" s="175">
        <v>50</v>
      </c>
      <c r="AH3618" s="175">
        <v>15</v>
      </c>
      <c r="AI3618" s="175">
        <v>4</v>
      </c>
      <c r="AJ3618" s="175">
        <v>9</v>
      </c>
      <c r="AK3618" s="175">
        <v>14</v>
      </c>
      <c r="AL3618" s="175">
        <v>13</v>
      </c>
      <c r="AM3618" s="175">
        <v>14</v>
      </c>
      <c r="AN3618" s="175">
        <v>1</v>
      </c>
      <c r="AO3618" s="175">
        <v>55</v>
      </c>
      <c r="AP3618" s="175">
        <v>45</v>
      </c>
      <c r="AQ3618" s="175">
        <v>19</v>
      </c>
      <c r="AR3618" s="175">
        <v>2</v>
      </c>
      <c r="AS3618" s="175">
        <v>6</v>
      </c>
      <c r="AT3618" s="175">
        <v>4</v>
      </c>
    </row>
    <row r="3619" spans="1:46">
      <c r="A3619">
        <v>55089</v>
      </c>
      <c r="B3619" t="s">
        <v>19929</v>
      </c>
      <c r="C3619" t="s">
        <v>19930</v>
      </c>
      <c r="D3619" t="s">
        <v>19931</v>
      </c>
      <c r="E3619" t="s">
        <v>19932</v>
      </c>
      <c r="F3619" t="s">
        <v>2323</v>
      </c>
      <c r="G3619" t="s">
        <v>2276</v>
      </c>
      <c r="H3619" t="s">
        <v>449</v>
      </c>
      <c r="J3619" t="s">
        <v>605</v>
      </c>
      <c r="K3619" t="s">
        <v>606</v>
      </c>
      <c r="M3619" t="s">
        <v>1382</v>
      </c>
      <c r="N3619" t="s">
        <v>643</v>
      </c>
      <c r="O3619" t="s">
        <v>2277</v>
      </c>
      <c r="P3619" t="s">
        <v>670</v>
      </c>
      <c r="Q3619" t="s">
        <v>513</v>
      </c>
      <c r="R3619" t="s">
        <v>2164</v>
      </c>
      <c r="S3619" t="s">
        <v>2278</v>
      </c>
      <c r="T3619" t="s">
        <v>2165</v>
      </c>
      <c r="U3619">
        <v>210600</v>
      </c>
      <c r="V3619" t="s">
        <v>19933</v>
      </c>
      <c r="W3619" t="s">
        <v>2279</v>
      </c>
      <c r="X3619" t="s">
        <v>8962</v>
      </c>
      <c r="Y3619" t="s">
        <v>4014</v>
      </c>
      <c r="Z3619" t="s">
        <v>4015</v>
      </c>
      <c r="AA3619" t="s">
        <v>4016</v>
      </c>
      <c r="AB3619" t="s">
        <v>8963</v>
      </c>
      <c r="AC3619">
        <v>99159</v>
      </c>
      <c r="AD3619" t="s">
        <v>2285</v>
      </c>
      <c r="AE3619">
        <v>-39.629437369999998</v>
      </c>
      <c r="AF3619">
        <v>176.85097404999999</v>
      </c>
      <c r="AG3619" s="175">
        <v>42</v>
      </c>
      <c r="AH3619" s="175">
        <v>15</v>
      </c>
      <c r="AI3619" s="175">
        <v>2</v>
      </c>
      <c r="AJ3619" s="175">
        <v>7</v>
      </c>
      <c r="AK3619" s="175">
        <v>9</v>
      </c>
      <c r="AL3619" s="175">
        <v>12</v>
      </c>
      <c r="AM3619" s="175">
        <v>14</v>
      </c>
      <c r="AN3619" s="175">
        <v>2</v>
      </c>
      <c r="AO3619" s="175">
        <v>46</v>
      </c>
      <c r="AP3619" s="175">
        <v>16</v>
      </c>
      <c r="AQ3619" s="175">
        <v>25</v>
      </c>
      <c r="AR3619" s="175">
        <v>6</v>
      </c>
      <c r="AS3619" s="175">
        <v>7</v>
      </c>
      <c r="AT3619" s="175">
        <v>2</v>
      </c>
    </row>
    <row r="3620" spans="1:46">
      <c r="A3620">
        <v>55092</v>
      </c>
      <c r="B3620" t="s">
        <v>19934</v>
      </c>
      <c r="C3620" t="s">
        <v>19935</v>
      </c>
      <c r="E3620" t="s">
        <v>19936</v>
      </c>
      <c r="F3620" t="s">
        <v>2217</v>
      </c>
      <c r="G3620" t="s">
        <v>2198</v>
      </c>
      <c r="H3620" t="s">
        <v>449</v>
      </c>
      <c r="J3620" t="s">
        <v>4032</v>
      </c>
      <c r="K3620" t="s">
        <v>606</v>
      </c>
      <c r="M3620" t="s">
        <v>1382</v>
      </c>
      <c r="N3620" t="s">
        <v>657</v>
      </c>
      <c r="O3620" t="s">
        <v>2210</v>
      </c>
      <c r="P3620" t="s">
        <v>670</v>
      </c>
      <c r="Q3620" t="s">
        <v>513</v>
      </c>
      <c r="R3620" t="s">
        <v>2164</v>
      </c>
      <c r="S3620" t="s">
        <v>2198</v>
      </c>
      <c r="T3620" t="s">
        <v>2165</v>
      </c>
      <c r="U3620">
        <v>214600</v>
      </c>
      <c r="V3620" t="s">
        <v>19885</v>
      </c>
      <c r="W3620" t="s">
        <v>2219</v>
      </c>
      <c r="X3620" t="s">
        <v>18845</v>
      </c>
      <c r="Y3620" t="s">
        <v>19937</v>
      </c>
      <c r="Z3620" t="s">
        <v>2254</v>
      </c>
      <c r="AA3620" t="s">
        <v>16635</v>
      </c>
      <c r="AB3620" t="s">
        <v>18847</v>
      </c>
      <c r="AC3620">
        <v>99217</v>
      </c>
      <c r="AD3620" t="s">
        <v>2220</v>
      </c>
      <c r="AE3620">
        <v>-39.529918350000003</v>
      </c>
      <c r="AF3620">
        <v>176.85927938</v>
      </c>
      <c r="AG3620" s="175">
        <v>28</v>
      </c>
      <c r="AH3620" s="175">
        <v>25</v>
      </c>
      <c r="AI3620" s="175">
        <v>4</v>
      </c>
      <c r="AJ3620" s="175">
        <v>12</v>
      </c>
      <c r="AK3620" s="175">
        <v>11</v>
      </c>
      <c r="AL3620" s="175">
        <v>0</v>
      </c>
      <c r="AM3620" s="175">
        <v>0</v>
      </c>
      <c r="AN3620" s="175">
        <v>0</v>
      </c>
      <c r="AO3620" s="175">
        <v>27</v>
      </c>
      <c r="AP3620" s="175">
        <v>20</v>
      </c>
      <c r="AQ3620" s="175">
        <v>7</v>
      </c>
      <c r="AR3620" s="175">
        <v>3</v>
      </c>
      <c r="AS3620" s="175">
        <v>3</v>
      </c>
      <c r="AT3620" s="175">
        <v>3</v>
      </c>
    </row>
    <row r="3621" spans="1:46">
      <c r="A3621">
        <v>55093</v>
      </c>
      <c r="B3621" t="s">
        <v>19938</v>
      </c>
      <c r="C3621" t="s">
        <v>19939</v>
      </c>
      <c r="D3621" t="s">
        <v>19940</v>
      </c>
      <c r="E3621" t="s">
        <v>19941</v>
      </c>
      <c r="F3621" t="s">
        <v>2282</v>
      </c>
      <c r="G3621" t="s">
        <v>2276</v>
      </c>
      <c r="H3621" t="s">
        <v>449</v>
      </c>
      <c r="J3621" t="s">
        <v>605</v>
      </c>
      <c r="K3621" t="s">
        <v>606</v>
      </c>
      <c r="M3621" t="s">
        <v>1382</v>
      </c>
      <c r="N3621" t="s">
        <v>608</v>
      </c>
      <c r="O3621" t="s">
        <v>2277</v>
      </c>
      <c r="P3621" t="s">
        <v>670</v>
      </c>
      <c r="Q3621" t="s">
        <v>513</v>
      </c>
      <c r="R3621" t="s">
        <v>2164</v>
      </c>
      <c r="S3621" t="s">
        <v>2278</v>
      </c>
      <c r="T3621" t="s">
        <v>2165</v>
      </c>
      <c r="U3621">
        <v>210900</v>
      </c>
      <c r="V3621" t="s">
        <v>2282</v>
      </c>
      <c r="W3621" t="s">
        <v>2279</v>
      </c>
      <c r="X3621" t="s">
        <v>19942</v>
      </c>
      <c r="Y3621" t="s">
        <v>6434</v>
      </c>
      <c r="Z3621" t="s">
        <v>4622</v>
      </c>
      <c r="AA3621" t="s">
        <v>4623</v>
      </c>
      <c r="AB3621" t="s">
        <v>19943</v>
      </c>
      <c r="AE3621">
        <v>-39.639994979999997</v>
      </c>
      <c r="AF3621">
        <v>176.86365597</v>
      </c>
      <c r="AG3621" s="175">
        <v>45</v>
      </c>
      <c r="AH3621" s="175">
        <v>15</v>
      </c>
      <c r="AI3621" s="175">
        <v>2</v>
      </c>
      <c r="AJ3621" s="175">
        <v>10</v>
      </c>
      <c r="AK3621" s="175">
        <v>13</v>
      </c>
      <c r="AL3621" s="175">
        <v>11</v>
      </c>
      <c r="AM3621" s="175">
        <v>9</v>
      </c>
      <c r="AN3621" s="175">
        <v>1</v>
      </c>
      <c r="AO3621" s="175">
        <v>46</v>
      </c>
      <c r="AP3621" s="175">
        <v>23</v>
      </c>
      <c r="AQ3621" s="175">
        <v>27</v>
      </c>
      <c r="AR3621" s="175">
        <v>7</v>
      </c>
      <c r="AS3621" s="175">
        <v>5</v>
      </c>
      <c r="AT3621" s="175">
        <v>2</v>
      </c>
    </row>
    <row r="3622" spans="1:46">
      <c r="A3622">
        <v>55097</v>
      </c>
      <c r="B3622" t="s">
        <v>19944</v>
      </c>
      <c r="C3622" t="s">
        <v>19945</v>
      </c>
      <c r="D3622" t="s">
        <v>19946</v>
      </c>
      <c r="E3622" t="s">
        <v>19947</v>
      </c>
      <c r="G3622" t="s">
        <v>2365</v>
      </c>
      <c r="H3622" t="s">
        <v>347</v>
      </c>
      <c r="J3622" t="s">
        <v>605</v>
      </c>
      <c r="K3622" t="s">
        <v>606</v>
      </c>
      <c r="L3622" t="s">
        <v>4273</v>
      </c>
      <c r="M3622" t="s">
        <v>1382</v>
      </c>
      <c r="N3622" t="s">
        <v>608</v>
      </c>
      <c r="O3622" t="s">
        <v>2367</v>
      </c>
      <c r="P3622" t="s">
        <v>610</v>
      </c>
      <c r="Q3622" t="s">
        <v>553</v>
      </c>
      <c r="R3622" t="s">
        <v>2164</v>
      </c>
      <c r="S3622" t="s">
        <v>2348</v>
      </c>
      <c r="T3622" t="s">
        <v>2165</v>
      </c>
      <c r="U3622">
        <v>233300</v>
      </c>
      <c r="V3622" t="s">
        <v>2380</v>
      </c>
      <c r="W3622" t="s">
        <v>2370</v>
      </c>
      <c r="X3622" t="s">
        <v>8868</v>
      </c>
      <c r="Y3622" t="s">
        <v>4276</v>
      </c>
      <c r="Z3622" t="s">
        <v>4277</v>
      </c>
      <c r="AA3622" t="s">
        <v>4278</v>
      </c>
      <c r="AB3622" t="s">
        <v>8869</v>
      </c>
      <c r="AE3622">
        <v>-40.206072020000001</v>
      </c>
      <c r="AF3622">
        <v>176.1015874</v>
      </c>
      <c r="AG3622" s="175">
        <v>36</v>
      </c>
      <c r="AH3622" s="175">
        <v>10</v>
      </c>
      <c r="AI3622" s="175">
        <v>1</v>
      </c>
      <c r="AJ3622" s="175">
        <v>6</v>
      </c>
      <c r="AK3622" s="175">
        <v>7</v>
      </c>
      <c r="AL3622" s="175">
        <v>7</v>
      </c>
      <c r="AM3622" s="175">
        <v>4</v>
      </c>
      <c r="AN3622" s="175">
        <v>0</v>
      </c>
      <c r="AO3622" s="175">
        <v>25</v>
      </c>
      <c r="AP3622" s="175">
        <v>0</v>
      </c>
      <c r="AQ3622" s="175">
        <v>25</v>
      </c>
      <c r="AR3622" s="175">
        <v>0</v>
      </c>
      <c r="AS3622" s="175">
        <v>0</v>
      </c>
      <c r="AT3622" s="175">
        <v>0</v>
      </c>
    </row>
    <row r="3623" spans="1:46">
      <c r="A3623">
        <v>55098</v>
      </c>
      <c r="B3623" t="s">
        <v>19948</v>
      </c>
      <c r="C3623" t="s">
        <v>19949</v>
      </c>
      <c r="D3623" t="s">
        <v>19950</v>
      </c>
      <c r="E3623" t="s">
        <v>19951</v>
      </c>
      <c r="G3623" t="s">
        <v>2385</v>
      </c>
      <c r="H3623" t="s">
        <v>347</v>
      </c>
      <c r="J3623" t="s">
        <v>605</v>
      </c>
      <c r="K3623" t="s">
        <v>606</v>
      </c>
      <c r="L3623" t="s">
        <v>4273</v>
      </c>
      <c r="M3623" t="s">
        <v>1382</v>
      </c>
      <c r="N3623" t="s">
        <v>608</v>
      </c>
      <c r="O3623" t="s">
        <v>2367</v>
      </c>
      <c r="P3623" t="s">
        <v>610</v>
      </c>
      <c r="Q3623" t="s">
        <v>553</v>
      </c>
      <c r="R3623" t="s">
        <v>2164</v>
      </c>
      <c r="S3623" t="s">
        <v>2348</v>
      </c>
      <c r="T3623" t="s">
        <v>2165</v>
      </c>
      <c r="U3623">
        <v>233600</v>
      </c>
      <c r="V3623" t="s">
        <v>2385</v>
      </c>
      <c r="W3623" t="s">
        <v>2386</v>
      </c>
      <c r="X3623" t="s">
        <v>19952</v>
      </c>
      <c r="Y3623" t="s">
        <v>4276</v>
      </c>
      <c r="Z3623" t="s">
        <v>4277</v>
      </c>
      <c r="AA3623" t="s">
        <v>4278</v>
      </c>
      <c r="AB3623" t="s">
        <v>8869</v>
      </c>
      <c r="AE3623">
        <v>-40.46292347</v>
      </c>
      <c r="AF3623">
        <v>175.83792581</v>
      </c>
      <c r="AG3623" s="175">
        <v>20</v>
      </c>
      <c r="AH3623" s="175">
        <v>8</v>
      </c>
      <c r="AI3623" s="175">
        <v>0</v>
      </c>
      <c r="AJ3623" s="175">
        <v>5</v>
      </c>
      <c r="AK3623" s="175">
        <v>5</v>
      </c>
      <c r="AL3623" s="175">
        <v>6</v>
      </c>
      <c r="AM3623" s="175">
        <v>1</v>
      </c>
      <c r="AN3623" s="175">
        <v>0</v>
      </c>
      <c r="AO3623" s="175">
        <v>17</v>
      </c>
      <c r="AP3623" s="175">
        <v>0</v>
      </c>
      <c r="AQ3623" s="175">
        <v>15</v>
      </c>
      <c r="AR3623" s="175">
        <v>1</v>
      </c>
      <c r="AS3623" s="175">
        <v>0</v>
      </c>
      <c r="AT3623" s="175">
        <v>1</v>
      </c>
    </row>
    <row r="3624" spans="1:46">
      <c r="A3624">
        <v>55102</v>
      </c>
      <c r="B3624" t="s">
        <v>19953</v>
      </c>
      <c r="C3624" t="s">
        <v>19954</v>
      </c>
      <c r="D3624" t="s">
        <v>19955</v>
      </c>
      <c r="E3624" t="s">
        <v>19956</v>
      </c>
      <c r="F3624" t="s">
        <v>2209</v>
      </c>
      <c r="G3624" t="s">
        <v>2198</v>
      </c>
      <c r="H3624" t="s">
        <v>347</v>
      </c>
      <c r="J3624" t="s">
        <v>605</v>
      </c>
      <c r="K3624" t="s">
        <v>606</v>
      </c>
      <c r="L3624" t="s">
        <v>4273</v>
      </c>
      <c r="M3624" t="s">
        <v>1382</v>
      </c>
      <c r="N3624" t="s">
        <v>812</v>
      </c>
      <c r="O3624" t="s">
        <v>2210</v>
      </c>
      <c r="P3624" t="s">
        <v>670</v>
      </c>
      <c r="Q3624" t="s">
        <v>513</v>
      </c>
      <c r="R3624" t="s">
        <v>2164</v>
      </c>
      <c r="S3624" t="s">
        <v>2198</v>
      </c>
      <c r="T3624" t="s">
        <v>2165</v>
      </c>
      <c r="U3624">
        <v>215300</v>
      </c>
      <c r="V3624" t="s">
        <v>2209</v>
      </c>
      <c r="W3624" t="s">
        <v>2211</v>
      </c>
      <c r="X3624" t="s">
        <v>8868</v>
      </c>
      <c r="Y3624" t="s">
        <v>4276</v>
      </c>
      <c r="Z3624" t="s">
        <v>4277</v>
      </c>
      <c r="AA3624" t="s">
        <v>4278</v>
      </c>
      <c r="AB3624" t="s">
        <v>8869</v>
      </c>
      <c r="AE3624">
        <v>-39.51330008</v>
      </c>
      <c r="AF3624">
        <v>176.90224816</v>
      </c>
      <c r="AG3624" s="175">
        <v>35</v>
      </c>
      <c r="AH3624" s="175">
        <v>10</v>
      </c>
      <c r="AI3624" s="175">
        <v>1</v>
      </c>
      <c r="AJ3624" s="175">
        <v>5</v>
      </c>
      <c r="AK3624" s="175">
        <v>6</v>
      </c>
      <c r="AL3624" s="175">
        <v>6</v>
      </c>
      <c r="AM3624" s="175">
        <v>6</v>
      </c>
      <c r="AN3624" s="175">
        <v>0</v>
      </c>
      <c r="AO3624" s="175">
        <v>24</v>
      </c>
      <c r="AP3624" s="175">
        <v>0</v>
      </c>
      <c r="AQ3624" s="175">
        <v>23</v>
      </c>
      <c r="AR3624" s="175">
        <v>1</v>
      </c>
      <c r="AS3624" s="175">
        <v>0</v>
      </c>
      <c r="AT3624" s="175">
        <v>0</v>
      </c>
    </row>
    <row r="3625" spans="1:46">
      <c r="A3625">
        <v>55103</v>
      </c>
      <c r="B3625" t="s">
        <v>19957</v>
      </c>
      <c r="C3625" t="s">
        <v>19958</v>
      </c>
      <c r="D3625" t="s">
        <v>19959</v>
      </c>
      <c r="E3625" t="s">
        <v>19960</v>
      </c>
      <c r="F3625" t="s">
        <v>2275</v>
      </c>
      <c r="G3625" t="s">
        <v>2276</v>
      </c>
      <c r="H3625" t="s">
        <v>347</v>
      </c>
      <c r="J3625" t="s">
        <v>605</v>
      </c>
      <c r="K3625" t="s">
        <v>606</v>
      </c>
      <c r="L3625" t="s">
        <v>4273</v>
      </c>
      <c r="M3625" t="s">
        <v>1382</v>
      </c>
      <c r="N3625" t="s">
        <v>812</v>
      </c>
      <c r="O3625" t="s">
        <v>2277</v>
      </c>
      <c r="P3625" t="s">
        <v>670</v>
      </c>
      <c r="Q3625" t="s">
        <v>513</v>
      </c>
      <c r="R3625" t="s">
        <v>2164</v>
      </c>
      <c r="S3625" t="s">
        <v>2278</v>
      </c>
      <c r="T3625" t="s">
        <v>2165</v>
      </c>
      <c r="U3625">
        <v>209500</v>
      </c>
      <c r="V3625" t="s">
        <v>2275</v>
      </c>
      <c r="W3625" t="s">
        <v>2279</v>
      </c>
      <c r="X3625" t="s">
        <v>19952</v>
      </c>
      <c r="Y3625" t="s">
        <v>4276</v>
      </c>
      <c r="Z3625" t="s">
        <v>4277</v>
      </c>
      <c r="AA3625" t="s">
        <v>4278</v>
      </c>
      <c r="AB3625" t="s">
        <v>8869</v>
      </c>
      <c r="AE3625">
        <v>-39.628012730000002</v>
      </c>
      <c r="AF3625">
        <v>176.81938137</v>
      </c>
      <c r="AG3625" s="175">
        <v>25</v>
      </c>
      <c r="AH3625" s="175">
        <v>8</v>
      </c>
      <c r="AI3625" s="175">
        <v>2</v>
      </c>
      <c r="AJ3625" s="175">
        <v>3</v>
      </c>
      <c r="AK3625" s="175">
        <v>8</v>
      </c>
      <c r="AL3625" s="175">
        <v>3</v>
      </c>
      <c r="AM3625" s="175">
        <v>7</v>
      </c>
      <c r="AN3625" s="175">
        <v>0</v>
      </c>
      <c r="AO3625" s="175">
        <v>23</v>
      </c>
      <c r="AP3625" s="175">
        <v>0</v>
      </c>
      <c r="AQ3625" s="175">
        <v>19</v>
      </c>
      <c r="AR3625" s="175">
        <v>2</v>
      </c>
      <c r="AS3625" s="175">
        <v>0</v>
      </c>
      <c r="AT3625" s="175">
        <v>2</v>
      </c>
    </row>
    <row r="3626" spans="1:46">
      <c r="A3626">
        <v>55104</v>
      </c>
      <c r="B3626" t="s">
        <v>19961</v>
      </c>
      <c r="C3626" t="s">
        <v>19962</v>
      </c>
      <c r="D3626" t="s">
        <v>19963</v>
      </c>
      <c r="E3626" t="s">
        <v>19964</v>
      </c>
      <c r="G3626" t="s">
        <v>19965</v>
      </c>
      <c r="H3626" t="s">
        <v>347</v>
      </c>
      <c r="J3626" t="s">
        <v>605</v>
      </c>
      <c r="K3626" t="s">
        <v>606</v>
      </c>
      <c r="L3626" t="s">
        <v>4273</v>
      </c>
      <c r="M3626" t="s">
        <v>1382</v>
      </c>
      <c r="N3626" t="s">
        <v>812</v>
      </c>
      <c r="O3626" t="s">
        <v>2277</v>
      </c>
      <c r="P3626" t="s">
        <v>658</v>
      </c>
      <c r="Q3626" t="s">
        <v>513</v>
      </c>
      <c r="R3626" t="s">
        <v>2164</v>
      </c>
      <c r="S3626" t="s">
        <v>2278</v>
      </c>
      <c r="T3626" t="s">
        <v>2165</v>
      </c>
      <c r="U3626">
        <v>208301</v>
      </c>
      <c r="V3626" t="s">
        <v>19966</v>
      </c>
      <c r="W3626" t="s">
        <v>19868</v>
      </c>
      <c r="X3626" t="s">
        <v>8868</v>
      </c>
      <c r="Y3626" t="s">
        <v>4276</v>
      </c>
      <c r="Z3626" t="s">
        <v>4277</v>
      </c>
      <c r="AA3626" t="s">
        <v>4278</v>
      </c>
      <c r="AB3626" t="s">
        <v>8869</v>
      </c>
      <c r="AE3626">
        <v>-39.519849260000001</v>
      </c>
      <c r="AF3626">
        <v>176.77017495000001</v>
      </c>
      <c r="AG3626" s="175">
        <v>15</v>
      </c>
      <c r="AH3626" s="175">
        <v>5</v>
      </c>
      <c r="AI3626" s="175">
        <v>0</v>
      </c>
      <c r="AJ3626" s="175">
        <v>2</v>
      </c>
      <c r="AK3626" s="175">
        <v>2</v>
      </c>
      <c r="AL3626" s="175">
        <v>4</v>
      </c>
      <c r="AM3626" s="175">
        <v>2</v>
      </c>
      <c r="AN3626" s="175">
        <v>0</v>
      </c>
      <c r="AO3626" s="175">
        <v>10</v>
      </c>
      <c r="AP3626" s="175">
        <v>0</v>
      </c>
      <c r="AQ3626" s="175">
        <v>8</v>
      </c>
      <c r="AR3626" s="175">
        <v>0</v>
      </c>
      <c r="AS3626" s="175">
        <v>0</v>
      </c>
      <c r="AT3626" s="175">
        <v>2</v>
      </c>
    </row>
    <row r="3627" spans="1:46">
      <c r="A3627">
        <v>55106</v>
      </c>
      <c r="B3627" t="s">
        <v>19967</v>
      </c>
      <c r="C3627" t="s">
        <v>19968</v>
      </c>
      <c r="D3627" t="s">
        <v>19969</v>
      </c>
      <c r="E3627" t="s">
        <v>19970</v>
      </c>
      <c r="F3627" t="s">
        <v>18650</v>
      </c>
      <c r="G3627" t="s">
        <v>2276</v>
      </c>
      <c r="H3627" t="s">
        <v>347</v>
      </c>
      <c r="J3627" t="s">
        <v>605</v>
      </c>
      <c r="K3627" t="s">
        <v>606</v>
      </c>
      <c r="L3627" t="s">
        <v>4273</v>
      </c>
      <c r="M3627" t="s">
        <v>1382</v>
      </c>
      <c r="N3627" t="s">
        <v>812</v>
      </c>
      <c r="O3627" t="s">
        <v>2277</v>
      </c>
      <c r="P3627" t="s">
        <v>670</v>
      </c>
      <c r="Q3627" t="s">
        <v>513</v>
      </c>
      <c r="R3627" t="s">
        <v>2164</v>
      </c>
      <c r="S3627" t="s">
        <v>2278</v>
      </c>
      <c r="T3627" t="s">
        <v>2165</v>
      </c>
      <c r="U3627">
        <v>210100</v>
      </c>
      <c r="V3627" t="s">
        <v>19971</v>
      </c>
      <c r="W3627" t="s">
        <v>11923</v>
      </c>
      <c r="X3627" t="s">
        <v>19952</v>
      </c>
      <c r="Y3627" t="s">
        <v>4276</v>
      </c>
      <c r="Z3627" t="s">
        <v>4277</v>
      </c>
      <c r="AA3627" t="s">
        <v>4278</v>
      </c>
      <c r="AB3627" t="s">
        <v>8869</v>
      </c>
      <c r="AE3627">
        <v>-39.63030217</v>
      </c>
      <c r="AF3627">
        <v>176.87268749</v>
      </c>
      <c r="AG3627" s="175">
        <v>20</v>
      </c>
      <c r="AH3627" s="175">
        <v>6</v>
      </c>
      <c r="AI3627" s="175">
        <v>0</v>
      </c>
      <c r="AJ3627" s="175">
        <v>5</v>
      </c>
      <c r="AK3627" s="175">
        <v>7</v>
      </c>
      <c r="AL3627" s="175">
        <v>6</v>
      </c>
      <c r="AM3627" s="175">
        <v>1</v>
      </c>
      <c r="AN3627" s="175">
        <v>0</v>
      </c>
      <c r="AO3627" s="175">
        <v>19</v>
      </c>
      <c r="AP3627" s="175">
        <v>0</v>
      </c>
      <c r="AQ3627" s="175">
        <v>18</v>
      </c>
      <c r="AR3627" s="175">
        <v>1</v>
      </c>
      <c r="AS3627" s="175">
        <v>0</v>
      </c>
      <c r="AT3627" s="175">
        <v>0</v>
      </c>
    </row>
    <row r="3628" spans="1:46">
      <c r="A3628">
        <v>55107</v>
      </c>
      <c r="B3628" t="s">
        <v>19972</v>
      </c>
      <c r="C3628" t="s">
        <v>19973</v>
      </c>
      <c r="D3628" t="s">
        <v>19974</v>
      </c>
      <c r="E3628" t="s">
        <v>19975</v>
      </c>
      <c r="G3628" t="s">
        <v>19976</v>
      </c>
      <c r="H3628" t="s">
        <v>347</v>
      </c>
      <c r="J3628" t="s">
        <v>605</v>
      </c>
      <c r="K3628" t="s">
        <v>606</v>
      </c>
      <c r="L3628" t="s">
        <v>4273</v>
      </c>
      <c r="M3628" t="s">
        <v>1382</v>
      </c>
      <c r="N3628" t="s">
        <v>625</v>
      </c>
      <c r="O3628" t="s">
        <v>2277</v>
      </c>
      <c r="P3628" t="s">
        <v>626</v>
      </c>
      <c r="Q3628" t="s">
        <v>513</v>
      </c>
      <c r="R3628" t="s">
        <v>2164</v>
      </c>
      <c r="S3628" t="s">
        <v>2278</v>
      </c>
      <c r="T3628" t="s">
        <v>2165</v>
      </c>
      <c r="U3628">
        <v>210400</v>
      </c>
      <c r="V3628" t="s">
        <v>18651</v>
      </c>
      <c r="W3628" t="s">
        <v>11923</v>
      </c>
      <c r="X3628" t="s">
        <v>19977</v>
      </c>
      <c r="Y3628" t="s">
        <v>4276</v>
      </c>
      <c r="Z3628" t="s">
        <v>4277</v>
      </c>
      <c r="AA3628" t="s">
        <v>4278</v>
      </c>
      <c r="AB3628" t="s">
        <v>19978</v>
      </c>
      <c r="AE3628">
        <v>-39.601189759999997</v>
      </c>
      <c r="AF3628">
        <v>176.89770813999999</v>
      </c>
      <c r="AG3628" s="175">
        <v>20</v>
      </c>
      <c r="AH3628" s="175">
        <v>4</v>
      </c>
      <c r="AI3628" s="175">
        <v>0</v>
      </c>
      <c r="AJ3628" s="175">
        <v>4</v>
      </c>
      <c r="AK3628" s="175">
        <v>4</v>
      </c>
      <c r="AL3628" s="175">
        <v>5</v>
      </c>
      <c r="AM3628" s="175">
        <v>3</v>
      </c>
      <c r="AN3628" s="175">
        <v>0</v>
      </c>
      <c r="AO3628" s="175">
        <v>16</v>
      </c>
      <c r="AP3628" s="175">
        <v>0</v>
      </c>
      <c r="AQ3628" s="175">
        <v>16</v>
      </c>
      <c r="AR3628" s="175">
        <v>0</v>
      </c>
      <c r="AS3628" s="175">
        <v>0</v>
      </c>
      <c r="AT3628" s="175">
        <v>0</v>
      </c>
    </row>
    <row r="3629" spans="1:46">
      <c r="A3629">
        <v>55110</v>
      </c>
      <c r="B3629" t="s">
        <v>19979</v>
      </c>
      <c r="C3629" t="s">
        <v>19980</v>
      </c>
      <c r="D3629" t="s">
        <v>19981</v>
      </c>
      <c r="E3629" t="s">
        <v>19982</v>
      </c>
      <c r="G3629" t="s">
        <v>19983</v>
      </c>
      <c r="H3629" t="s">
        <v>347</v>
      </c>
      <c r="J3629" t="s">
        <v>605</v>
      </c>
      <c r="K3629" t="s">
        <v>606</v>
      </c>
      <c r="L3629" t="s">
        <v>4273</v>
      </c>
      <c r="M3629" t="s">
        <v>1382</v>
      </c>
      <c r="N3629" t="s">
        <v>812</v>
      </c>
      <c r="O3629" t="s">
        <v>2277</v>
      </c>
      <c r="P3629" t="s">
        <v>658</v>
      </c>
      <c r="Q3629" t="s">
        <v>513</v>
      </c>
      <c r="R3629" t="s">
        <v>2164</v>
      </c>
      <c r="S3629" t="s">
        <v>2278</v>
      </c>
      <c r="T3629" t="s">
        <v>2165</v>
      </c>
      <c r="U3629">
        <v>212201</v>
      </c>
      <c r="V3629" t="s">
        <v>19984</v>
      </c>
      <c r="W3629" t="s">
        <v>8813</v>
      </c>
      <c r="X3629" t="s">
        <v>19952</v>
      </c>
      <c r="Y3629" t="s">
        <v>4276</v>
      </c>
      <c r="Z3629" t="s">
        <v>4277</v>
      </c>
      <c r="AA3629" t="s">
        <v>4278</v>
      </c>
      <c r="AB3629" t="s">
        <v>8869</v>
      </c>
      <c r="AE3629">
        <v>-39.804340920000001</v>
      </c>
      <c r="AF3629">
        <v>176.98519256</v>
      </c>
      <c r="AG3629" s="175">
        <v>15</v>
      </c>
      <c r="AH3629" s="175">
        <v>3</v>
      </c>
      <c r="AI3629" s="175">
        <v>0</v>
      </c>
      <c r="AJ3629" s="175">
        <v>0</v>
      </c>
      <c r="AK3629" s="175">
        <v>2</v>
      </c>
      <c r="AL3629" s="175">
        <v>3</v>
      </c>
      <c r="AM3629" s="175">
        <v>3</v>
      </c>
      <c r="AN3629" s="175">
        <v>0</v>
      </c>
      <c r="AO3629" s="175">
        <v>8</v>
      </c>
      <c r="AP3629" s="175">
        <v>0</v>
      </c>
      <c r="AQ3629" s="175">
        <v>8</v>
      </c>
      <c r="AR3629" s="175">
        <v>0</v>
      </c>
      <c r="AS3629" s="175">
        <v>0</v>
      </c>
      <c r="AT3629" s="175">
        <v>0</v>
      </c>
    </row>
    <row r="3630" spans="1:46">
      <c r="A3630">
        <v>55111</v>
      </c>
      <c r="B3630" t="s">
        <v>19985</v>
      </c>
      <c r="C3630" t="s">
        <v>19986</v>
      </c>
      <c r="D3630" t="s">
        <v>19987</v>
      </c>
      <c r="E3630" t="s">
        <v>19988</v>
      </c>
      <c r="G3630" t="s">
        <v>2358</v>
      </c>
      <c r="H3630" t="s">
        <v>347</v>
      </c>
      <c r="J3630" t="s">
        <v>605</v>
      </c>
      <c r="K3630" t="s">
        <v>606</v>
      </c>
      <c r="L3630" t="s">
        <v>4273</v>
      </c>
      <c r="M3630" t="s">
        <v>1382</v>
      </c>
      <c r="N3630" t="s">
        <v>608</v>
      </c>
      <c r="O3630" t="s">
        <v>2347</v>
      </c>
      <c r="P3630" t="s">
        <v>610</v>
      </c>
      <c r="Q3630" t="s">
        <v>513</v>
      </c>
      <c r="R3630" t="s">
        <v>2164</v>
      </c>
      <c r="S3630" t="s">
        <v>2348</v>
      </c>
      <c r="T3630" t="s">
        <v>2165</v>
      </c>
      <c r="U3630">
        <v>215700</v>
      </c>
      <c r="V3630" t="s">
        <v>2359</v>
      </c>
      <c r="W3630" t="s">
        <v>2350</v>
      </c>
      <c r="X3630" t="s">
        <v>19952</v>
      </c>
      <c r="Y3630" t="s">
        <v>4276</v>
      </c>
      <c r="Z3630" t="s">
        <v>4277</v>
      </c>
      <c r="AA3630" t="s">
        <v>4278</v>
      </c>
      <c r="AB3630" t="s">
        <v>8869</v>
      </c>
      <c r="AE3630">
        <v>-39.935811749999999</v>
      </c>
      <c r="AF3630">
        <v>176.59016033</v>
      </c>
      <c r="AG3630" s="175">
        <v>25</v>
      </c>
      <c r="AH3630" s="175">
        <v>10</v>
      </c>
      <c r="AI3630" s="175">
        <v>2</v>
      </c>
      <c r="AJ3630" s="175">
        <v>5</v>
      </c>
      <c r="AK3630" s="175">
        <v>5</v>
      </c>
      <c r="AL3630" s="175">
        <v>6</v>
      </c>
      <c r="AM3630" s="175">
        <v>5</v>
      </c>
      <c r="AN3630" s="175">
        <v>0</v>
      </c>
      <c r="AO3630" s="175">
        <v>23</v>
      </c>
      <c r="AP3630" s="175">
        <v>0</v>
      </c>
      <c r="AQ3630" s="175">
        <v>23</v>
      </c>
      <c r="AR3630" s="175">
        <v>0</v>
      </c>
      <c r="AS3630" s="175">
        <v>0</v>
      </c>
      <c r="AT3630" s="175">
        <v>0</v>
      </c>
    </row>
    <row r="3631" spans="1:46">
      <c r="A3631">
        <v>55112</v>
      </c>
      <c r="B3631" t="s">
        <v>19989</v>
      </c>
      <c r="C3631" t="s">
        <v>19990</v>
      </c>
      <c r="D3631" t="s">
        <v>19991</v>
      </c>
      <c r="E3631" t="s">
        <v>19992</v>
      </c>
      <c r="F3631" t="s">
        <v>2235</v>
      </c>
      <c r="G3631" t="s">
        <v>2198</v>
      </c>
      <c r="H3631" t="s">
        <v>347</v>
      </c>
      <c r="J3631" t="s">
        <v>605</v>
      </c>
      <c r="K3631" t="s">
        <v>606</v>
      </c>
      <c r="L3631" t="s">
        <v>4273</v>
      </c>
      <c r="M3631" t="s">
        <v>1382</v>
      </c>
      <c r="N3631" t="s">
        <v>812</v>
      </c>
      <c r="O3631" t="s">
        <v>2210</v>
      </c>
      <c r="P3631" t="s">
        <v>670</v>
      </c>
      <c r="Q3631" t="s">
        <v>513</v>
      </c>
      <c r="R3631" t="s">
        <v>2164</v>
      </c>
      <c r="S3631" t="s">
        <v>2198</v>
      </c>
      <c r="T3631" t="s">
        <v>2165</v>
      </c>
      <c r="U3631">
        <v>215101</v>
      </c>
      <c r="V3631" t="s">
        <v>19993</v>
      </c>
      <c r="W3631" t="s">
        <v>2211</v>
      </c>
      <c r="X3631" t="s">
        <v>8868</v>
      </c>
      <c r="Y3631" t="s">
        <v>4276</v>
      </c>
      <c r="Z3631" t="s">
        <v>4277</v>
      </c>
      <c r="AA3631" t="s">
        <v>4278</v>
      </c>
      <c r="AB3631" t="s">
        <v>8869</v>
      </c>
      <c r="AE3631">
        <v>-39.516216460000003</v>
      </c>
      <c r="AF3631">
        <v>176.88769483999999</v>
      </c>
      <c r="AG3631" s="175">
        <v>25</v>
      </c>
      <c r="AH3631" s="175">
        <v>10</v>
      </c>
      <c r="AI3631" s="175">
        <v>0</v>
      </c>
      <c r="AJ3631" s="175">
        <v>4</v>
      </c>
      <c r="AK3631" s="175">
        <v>8</v>
      </c>
      <c r="AL3631" s="175">
        <v>5</v>
      </c>
      <c r="AM3631" s="175">
        <v>7</v>
      </c>
      <c r="AN3631" s="175">
        <v>0</v>
      </c>
      <c r="AO3631" s="175">
        <v>24</v>
      </c>
      <c r="AP3631" s="175">
        <v>0</v>
      </c>
      <c r="AQ3631" s="175">
        <v>23</v>
      </c>
      <c r="AR3631" s="175">
        <v>1</v>
      </c>
      <c r="AS3631" s="175">
        <v>0</v>
      </c>
      <c r="AT3631" s="175">
        <v>0</v>
      </c>
    </row>
    <row r="3632" spans="1:46">
      <c r="A3632">
        <v>55115</v>
      </c>
      <c r="B3632" t="s">
        <v>19994</v>
      </c>
      <c r="C3632" t="s">
        <v>19995</v>
      </c>
      <c r="D3632" t="s">
        <v>19996</v>
      </c>
      <c r="E3632" t="s">
        <v>19997</v>
      </c>
      <c r="G3632" t="s">
        <v>2196</v>
      </c>
      <c r="H3632" t="s">
        <v>347</v>
      </c>
      <c r="J3632" t="s">
        <v>605</v>
      </c>
      <c r="K3632" t="s">
        <v>606</v>
      </c>
      <c r="L3632" t="s">
        <v>4273</v>
      </c>
      <c r="M3632" t="s">
        <v>1382</v>
      </c>
      <c r="N3632" t="s">
        <v>812</v>
      </c>
      <c r="O3632" t="s">
        <v>2197</v>
      </c>
      <c r="P3632" t="s">
        <v>610</v>
      </c>
      <c r="Q3632" t="s">
        <v>513</v>
      </c>
      <c r="R3632" t="s">
        <v>2164</v>
      </c>
      <c r="S3632" t="s">
        <v>2198</v>
      </c>
      <c r="T3632" t="s">
        <v>2165</v>
      </c>
      <c r="U3632">
        <v>207800</v>
      </c>
      <c r="V3632" t="s">
        <v>2196</v>
      </c>
      <c r="W3632" t="s">
        <v>651</v>
      </c>
      <c r="X3632" t="s">
        <v>18191</v>
      </c>
      <c r="Y3632" t="s">
        <v>4276</v>
      </c>
      <c r="Z3632" t="s">
        <v>4277</v>
      </c>
      <c r="AA3632" t="s">
        <v>4278</v>
      </c>
      <c r="AB3632" t="s">
        <v>18192</v>
      </c>
      <c r="AE3632">
        <v>-39.017503069999997</v>
      </c>
      <c r="AF3632">
        <v>177.41668106</v>
      </c>
      <c r="AG3632" s="175">
        <v>30</v>
      </c>
      <c r="AH3632" s="175">
        <v>10</v>
      </c>
      <c r="AI3632" s="175">
        <v>2</v>
      </c>
      <c r="AJ3632" s="175">
        <v>5</v>
      </c>
      <c r="AK3632" s="175">
        <v>8</v>
      </c>
      <c r="AL3632" s="175">
        <v>4</v>
      </c>
      <c r="AM3632" s="175">
        <v>7</v>
      </c>
      <c r="AN3632" s="175">
        <v>0</v>
      </c>
      <c r="AO3632" s="175">
        <v>26</v>
      </c>
      <c r="AP3632" s="175">
        <v>0</v>
      </c>
      <c r="AQ3632" s="175">
        <v>26</v>
      </c>
      <c r="AR3632" s="175">
        <v>0</v>
      </c>
      <c r="AS3632" s="175">
        <v>0</v>
      </c>
      <c r="AT3632" s="175">
        <v>0</v>
      </c>
    </row>
    <row r="3633" spans="1:46">
      <c r="A3633">
        <v>55117</v>
      </c>
      <c r="B3633" t="s">
        <v>19998</v>
      </c>
      <c r="C3633" t="s">
        <v>19999</v>
      </c>
      <c r="D3633" t="s">
        <v>20000</v>
      </c>
      <c r="E3633" t="s">
        <v>20001</v>
      </c>
      <c r="G3633" t="s">
        <v>18902</v>
      </c>
      <c r="H3633" t="s">
        <v>347</v>
      </c>
      <c r="J3633" t="s">
        <v>605</v>
      </c>
      <c r="K3633" t="s">
        <v>606</v>
      </c>
      <c r="L3633" t="s">
        <v>4273</v>
      </c>
      <c r="M3633" t="s">
        <v>1382</v>
      </c>
      <c r="N3633" t="s">
        <v>608</v>
      </c>
      <c r="O3633" t="s">
        <v>2163</v>
      </c>
      <c r="P3633" t="s">
        <v>658</v>
      </c>
      <c r="Q3633" t="s">
        <v>512</v>
      </c>
      <c r="R3633" t="s">
        <v>2164</v>
      </c>
      <c r="S3633" t="s">
        <v>1556</v>
      </c>
      <c r="T3633" t="s">
        <v>2165</v>
      </c>
      <c r="U3633">
        <v>205300</v>
      </c>
      <c r="V3633" t="s">
        <v>20002</v>
      </c>
      <c r="W3633" t="s">
        <v>2167</v>
      </c>
      <c r="X3633" t="s">
        <v>18191</v>
      </c>
      <c r="Y3633" t="s">
        <v>4276</v>
      </c>
      <c r="Z3633" t="s">
        <v>4277</v>
      </c>
      <c r="AA3633" t="s">
        <v>4278</v>
      </c>
      <c r="AB3633" t="s">
        <v>18192</v>
      </c>
      <c r="AE3633">
        <v>-38.591537520000003</v>
      </c>
      <c r="AF3633">
        <v>177.90006167999999</v>
      </c>
      <c r="AG3633" s="175">
        <v>14</v>
      </c>
      <c r="AH3633" s="175">
        <v>3</v>
      </c>
      <c r="AI3633" s="175">
        <v>1</v>
      </c>
      <c r="AJ3633" s="175">
        <v>3</v>
      </c>
      <c r="AK3633" s="175">
        <v>2</v>
      </c>
      <c r="AL3633" s="175">
        <v>2</v>
      </c>
      <c r="AM3633" s="175">
        <v>4</v>
      </c>
      <c r="AN3633" s="175">
        <v>0</v>
      </c>
      <c r="AO3633" s="175">
        <v>12</v>
      </c>
      <c r="AP3633" s="175">
        <v>0</v>
      </c>
      <c r="AQ3633" s="175">
        <v>12</v>
      </c>
      <c r="AR3633" s="175">
        <v>0</v>
      </c>
      <c r="AS3633" s="175">
        <v>0</v>
      </c>
      <c r="AT3633" s="175">
        <v>0</v>
      </c>
    </row>
    <row r="3634" spans="1:46">
      <c r="A3634">
        <v>55118</v>
      </c>
      <c r="B3634" t="s">
        <v>20003</v>
      </c>
      <c r="C3634" t="s">
        <v>20004</v>
      </c>
      <c r="D3634" t="s">
        <v>20005</v>
      </c>
      <c r="E3634" t="s">
        <v>20006</v>
      </c>
      <c r="G3634" t="s">
        <v>20007</v>
      </c>
      <c r="H3634" t="s">
        <v>347</v>
      </c>
      <c r="J3634" t="s">
        <v>605</v>
      </c>
      <c r="K3634" t="s">
        <v>606</v>
      </c>
      <c r="L3634" t="s">
        <v>4273</v>
      </c>
      <c r="M3634" t="s">
        <v>1382</v>
      </c>
      <c r="N3634" t="s">
        <v>812</v>
      </c>
      <c r="O3634" t="s">
        <v>2163</v>
      </c>
      <c r="P3634" t="s">
        <v>626</v>
      </c>
      <c r="Q3634" t="s">
        <v>512</v>
      </c>
      <c r="R3634" t="s">
        <v>2164</v>
      </c>
      <c r="S3634" t="s">
        <v>1556</v>
      </c>
      <c r="T3634" t="s">
        <v>2165</v>
      </c>
      <c r="U3634">
        <v>205300</v>
      </c>
      <c r="V3634" t="s">
        <v>20002</v>
      </c>
      <c r="W3634" t="s">
        <v>2167</v>
      </c>
      <c r="X3634" t="s">
        <v>20008</v>
      </c>
      <c r="Y3634" t="s">
        <v>4276</v>
      </c>
      <c r="Z3634" t="s">
        <v>4277</v>
      </c>
      <c r="AA3634" t="s">
        <v>4278</v>
      </c>
      <c r="AB3634" t="s">
        <v>20009</v>
      </c>
      <c r="AE3634">
        <v>-38.683804799999997</v>
      </c>
      <c r="AF3634">
        <v>177.91105906999999</v>
      </c>
      <c r="AG3634" s="175">
        <v>28</v>
      </c>
      <c r="AH3634" s="175">
        <v>10</v>
      </c>
      <c r="AI3634" s="175">
        <v>0</v>
      </c>
      <c r="AJ3634" s="175">
        <v>3</v>
      </c>
      <c r="AK3634" s="175">
        <v>2</v>
      </c>
      <c r="AL3634" s="175">
        <v>8</v>
      </c>
      <c r="AM3634" s="175">
        <v>2</v>
      </c>
      <c r="AN3634" s="175">
        <v>0</v>
      </c>
      <c r="AO3634" s="175">
        <v>15</v>
      </c>
      <c r="AP3634" s="175">
        <v>0</v>
      </c>
      <c r="AQ3634" s="175">
        <v>15</v>
      </c>
      <c r="AR3634" s="175">
        <v>0</v>
      </c>
      <c r="AS3634" s="175">
        <v>0</v>
      </c>
      <c r="AT3634" s="175">
        <v>0</v>
      </c>
    </row>
    <row r="3635" spans="1:46">
      <c r="A3635">
        <v>55119</v>
      </c>
      <c r="B3635" t="s">
        <v>20010</v>
      </c>
      <c r="C3635" t="s">
        <v>20011</v>
      </c>
      <c r="D3635" t="s">
        <v>20012</v>
      </c>
      <c r="E3635" t="s">
        <v>20013</v>
      </c>
      <c r="G3635" t="s">
        <v>20007</v>
      </c>
      <c r="H3635" t="s">
        <v>347</v>
      </c>
      <c r="J3635" t="s">
        <v>605</v>
      </c>
      <c r="K3635" t="s">
        <v>606</v>
      </c>
      <c r="L3635" t="s">
        <v>4273</v>
      </c>
      <c r="M3635" t="s">
        <v>1382</v>
      </c>
      <c r="N3635" t="s">
        <v>608</v>
      </c>
      <c r="O3635" t="s">
        <v>2163</v>
      </c>
      <c r="P3635" t="s">
        <v>626</v>
      </c>
      <c r="Q3635" t="s">
        <v>512</v>
      </c>
      <c r="R3635" t="s">
        <v>2164</v>
      </c>
      <c r="S3635" t="s">
        <v>1556</v>
      </c>
      <c r="T3635" t="s">
        <v>2165</v>
      </c>
      <c r="U3635">
        <v>205300</v>
      </c>
      <c r="V3635" t="s">
        <v>20002</v>
      </c>
      <c r="W3635" t="s">
        <v>2167</v>
      </c>
      <c r="X3635" t="s">
        <v>18191</v>
      </c>
      <c r="Y3635" t="s">
        <v>4276</v>
      </c>
      <c r="Z3635" t="s">
        <v>4277</v>
      </c>
      <c r="AA3635" t="s">
        <v>4278</v>
      </c>
      <c r="AB3635" t="s">
        <v>18192</v>
      </c>
      <c r="AE3635">
        <v>-38.679900089999997</v>
      </c>
      <c r="AF3635">
        <v>177.90885660999999</v>
      </c>
      <c r="AG3635" s="175">
        <v>20</v>
      </c>
      <c r="AH3635" s="175">
        <v>6</v>
      </c>
      <c r="AI3635" s="175">
        <v>3</v>
      </c>
      <c r="AJ3635" s="175">
        <v>2</v>
      </c>
      <c r="AK3635" s="175">
        <v>6</v>
      </c>
      <c r="AL3635" s="175">
        <v>4</v>
      </c>
      <c r="AM3635" s="175">
        <v>6</v>
      </c>
      <c r="AN3635" s="175">
        <v>0</v>
      </c>
      <c r="AO3635" s="175">
        <v>21</v>
      </c>
      <c r="AP3635" s="175">
        <v>0</v>
      </c>
      <c r="AQ3635" s="175">
        <v>21</v>
      </c>
      <c r="AR3635" s="175">
        <v>0</v>
      </c>
      <c r="AS3635" s="175">
        <v>0</v>
      </c>
      <c r="AT3635" s="175">
        <v>0</v>
      </c>
    </row>
    <row r="3636" spans="1:46">
      <c r="A3636">
        <v>55120</v>
      </c>
      <c r="B3636" t="s">
        <v>20014</v>
      </c>
      <c r="C3636" t="s">
        <v>20015</v>
      </c>
      <c r="D3636" t="s">
        <v>20016</v>
      </c>
      <c r="E3636" t="s">
        <v>20017</v>
      </c>
      <c r="G3636" t="s">
        <v>20018</v>
      </c>
      <c r="H3636" t="s">
        <v>347</v>
      </c>
      <c r="J3636" t="s">
        <v>605</v>
      </c>
      <c r="K3636" t="s">
        <v>606</v>
      </c>
      <c r="L3636" t="s">
        <v>4273</v>
      </c>
      <c r="M3636" t="s">
        <v>1382</v>
      </c>
      <c r="N3636" t="s">
        <v>812</v>
      </c>
      <c r="O3636" t="s">
        <v>2163</v>
      </c>
      <c r="P3636" t="s">
        <v>626</v>
      </c>
      <c r="Q3636" t="s">
        <v>512</v>
      </c>
      <c r="R3636" t="s">
        <v>2164</v>
      </c>
      <c r="S3636" t="s">
        <v>1556</v>
      </c>
      <c r="T3636" t="s">
        <v>2165</v>
      </c>
      <c r="U3636">
        <v>205201</v>
      </c>
      <c r="V3636" t="s">
        <v>20019</v>
      </c>
      <c r="W3636" t="s">
        <v>2167</v>
      </c>
      <c r="X3636" t="s">
        <v>20008</v>
      </c>
      <c r="Y3636" t="s">
        <v>4276</v>
      </c>
      <c r="Z3636" t="s">
        <v>4277</v>
      </c>
      <c r="AA3636" t="s">
        <v>4278</v>
      </c>
      <c r="AB3636" t="s">
        <v>20009</v>
      </c>
      <c r="AE3636">
        <v>-38.378065620000001</v>
      </c>
      <c r="AF3636">
        <v>178.29897061</v>
      </c>
      <c r="AG3636" s="175">
        <v>28</v>
      </c>
      <c r="AH3636" s="175">
        <v>8</v>
      </c>
      <c r="AI3636" s="175">
        <v>0</v>
      </c>
      <c r="AJ3636" s="175">
        <v>5</v>
      </c>
      <c r="AK3636" s="175">
        <v>8</v>
      </c>
      <c r="AL3636" s="175">
        <v>6</v>
      </c>
      <c r="AM3636" s="175">
        <v>9</v>
      </c>
      <c r="AN3636" s="175">
        <v>0</v>
      </c>
      <c r="AO3636" s="175">
        <v>28</v>
      </c>
      <c r="AP3636" s="175">
        <v>0</v>
      </c>
      <c r="AQ3636" s="175">
        <v>26</v>
      </c>
      <c r="AR3636" s="175">
        <v>0</v>
      </c>
      <c r="AS3636" s="175">
        <v>0</v>
      </c>
      <c r="AT3636" s="175">
        <v>2</v>
      </c>
    </row>
    <row r="3637" spans="1:46">
      <c r="A3637">
        <v>55121</v>
      </c>
      <c r="B3637" t="s">
        <v>20020</v>
      </c>
      <c r="C3637" t="s">
        <v>20021</v>
      </c>
      <c r="D3637" t="s">
        <v>20022</v>
      </c>
      <c r="E3637" t="s">
        <v>20023</v>
      </c>
      <c r="G3637" t="s">
        <v>20024</v>
      </c>
      <c r="H3637" t="s">
        <v>347</v>
      </c>
      <c r="J3637" t="s">
        <v>605</v>
      </c>
      <c r="K3637" t="s">
        <v>606</v>
      </c>
      <c r="L3637" t="s">
        <v>4273</v>
      </c>
      <c r="M3637" t="s">
        <v>1382</v>
      </c>
      <c r="N3637" t="s">
        <v>812</v>
      </c>
      <c r="O3637" t="s">
        <v>2163</v>
      </c>
      <c r="P3637" t="s">
        <v>626</v>
      </c>
      <c r="Q3637" t="s">
        <v>512</v>
      </c>
      <c r="R3637" t="s">
        <v>2164</v>
      </c>
      <c r="S3637" t="s">
        <v>1556</v>
      </c>
      <c r="T3637" t="s">
        <v>2165</v>
      </c>
      <c r="U3637">
        <v>204700</v>
      </c>
      <c r="V3637" t="s">
        <v>14028</v>
      </c>
      <c r="W3637" t="s">
        <v>2167</v>
      </c>
      <c r="X3637" t="s">
        <v>20008</v>
      </c>
      <c r="Y3637" t="s">
        <v>4276</v>
      </c>
      <c r="Z3637" t="s">
        <v>4277</v>
      </c>
      <c r="AA3637" t="s">
        <v>4278</v>
      </c>
      <c r="AB3637" t="s">
        <v>20009</v>
      </c>
      <c r="AC3637">
        <v>99162</v>
      </c>
      <c r="AD3637" t="s">
        <v>13419</v>
      </c>
      <c r="AE3637">
        <v>-37.633148290000001</v>
      </c>
      <c r="AF3637">
        <v>178.37018685999999</v>
      </c>
      <c r="AG3637" s="175">
        <v>30</v>
      </c>
      <c r="AH3637" s="175">
        <v>14</v>
      </c>
      <c r="AI3637" s="175">
        <v>0</v>
      </c>
      <c r="AJ3637" s="175">
        <v>3</v>
      </c>
      <c r="AK3637" s="175">
        <v>5</v>
      </c>
      <c r="AL3637" s="175">
        <v>2</v>
      </c>
      <c r="AM3637" s="175">
        <v>6</v>
      </c>
      <c r="AN3637" s="175">
        <v>0</v>
      </c>
      <c r="AO3637" s="175">
        <v>16</v>
      </c>
      <c r="AP3637" s="175">
        <v>0</v>
      </c>
      <c r="AQ3637" s="175">
        <v>14</v>
      </c>
      <c r="AR3637" s="175">
        <v>0</v>
      </c>
      <c r="AS3637" s="175">
        <v>0</v>
      </c>
      <c r="AT3637" s="175">
        <v>2</v>
      </c>
    </row>
    <row r="3638" spans="1:46">
      <c r="A3638">
        <v>55123</v>
      </c>
      <c r="B3638" t="s">
        <v>20025</v>
      </c>
      <c r="C3638" t="s">
        <v>20026</v>
      </c>
      <c r="D3638" t="s">
        <v>20027</v>
      </c>
      <c r="E3638" t="s">
        <v>20028</v>
      </c>
      <c r="G3638" t="s">
        <v>20007</v>
      </c>
      <c r="H3638" t="s">
        <v>347</v>
      </c>
      <c r="J3638" t="s">
        <v>605</v>
      </c>
      <c r="K3638" t="s">
        <v>606</v>
      </c>
      <c r="L3638" t="s">
        <v>4273</v>
      </c>
      <c r="M3638" t="s">
        <v>1382</v>
      </c>
      <c r="N3638" t="s">
        <v>625</v>
      </c>
      <c r="O3638" t="s">
        <v>2163</v>
      </c>
      <c r="P3638" t="s">
        <v>658</v>
      </c>
      <c r="Q3638" t="s">
        <v>512</v>
      </c>
      <c r="R3638" t="s">
        <v>2164</v>
      </c>
      <c r="S3638" t="s">
        <v>1556</v>
      </c>
      <c r="T3638" t="s">
        <v>2165</v>
      </c>
      <c r="U3638">
        <v>205300</v>
      </c>
      <c r="V3638" t="s">
        <v>20002</v>
      </c>
      <c r="W3638" t="s">
        <v>2167</v>
      </c>
      <c r="X3638" t="s">
        <v>20029</v>
      </c>
      <c r="Y3638" t="s">
        <v>4276</v>
      </c>
      <c r="Z3638" t="s">
        <v>4277</v>
      </c>
      <c r="AA3638" t="s">
        <v>4278</v>
      </c>
      <c r="AB3638" t="s">
        <v>20030</v>
      </c>
      <c r="AC3638">
        <v>99081</v>
      </c>
      <c r="AD3638" t="s">
        <v>13069</v>
      </c>
      <c r="AE3638">
        <v>-38.686453589999999</v>
      </c>
      <c r="AF3638">
        <v>177.91778445</v>
      </c>
      <c r="AG3638" s="175">
        <v>15</v>
      </c>
      <c r="AH3638" s="175">
        <v>6</v>
      </c>
      <c r="AI3638" s="175">
        <v>1</v>
      </c>
      <c r="AJ3638" s="175">
        <v>4</v>
      </c>
      <c r="AK3638" s="175">
        <v>4</v>
      </c>
      <c r="AL3638" s="175">
        <v>2</v>
      </c>
      <c r="AM3638" s="175">
        <v>2</v>
      </c>
      <c r="AN3638" s="175">
        <v>0</v>
      </c>
      <c r="AO3638" s="175">
        <v>13</v>
      </c>
      <c r="AP3638" s="175">
        <v>0</v>
      </c>
      <c r="AQ3638" s="175">
        <v>13</v>
      </c>
      <c r="AR3638" s="175">
        <v>0</v>
      </c>
      <c r="AS3638" s="175">
        <v>0</v>
      </c>
      <c r="AT3638" s="175">
        <v>0</v>
      </c>
    </row>
    <row r="3639" spans="1:46">
      <c r="A3639">
        <v>55127</v>
      </c>
      <c r="B3639" t="s">
        <v>20031</v>
      </c>
      <c r="C3639" t="s">
        <v>20032</v>
      </c>
      <c r="D3639" t="s">
        <v>20033</v>
      </c>
      <c r="E3639" t="s">
        <v>20034</v>
      </c>
      <c r="G3639" t="s">
        <v>20035</v>
      </c>
      <c r="H3639" t="s">
        <v>347</v>
      </c>
      <c r="J3639" t="s">
        <v>605</v>
      </c>
      <c r="K3639" t="s">
        <v>606</v>
      </c>
      <c r="L3639" t="s">
        <v>4273</v>
      </c>
      <c r="M3639" t="s">
        <v>1382</v>
      </c>
      <c r="N3639" t="s">
        <v>625</v>
      </c>
      <c r="O3639" t="s">
        <v>2163</v>
      </c>
      <c r="P3639" t="s">
        <v>626</v>
      </c>
      <c r="Q3639" t="s">
        <v>512</v>
      </c>
      <c r="R3639" t="s">
        <v>2164</v>
      </c>
      <c r="S3639" t="s">
        <v>1556</v>
      </c>
      <c r="T3639" t="s">
        <v>2165</v>
      </c>
      <c r="U3639">
        <v>205000</v>
      </c>
      <c r="V3639" t="s">
        <v>19557</v>
      </c>
      <c r="W3639" t="s">
        <v>2167</v>
      </c>
      <c r="X3639" t="s">
        <v>18191</v>
      </c>
      <c r="Y3639" t="s">
        <v>4276</v>
      </c>
      <c r="Z3639" t="s">
        <v>4277</v>
      </c>
      <c r="AA3639" t="s">
        <v>4278</v>
      </c>
      <c r="AB3639" t="s">
        <v>18192</v>
      </c>
      <c r="AE3639">
        <v>-38.118288819999997</v>
      </c>
      <c r="AF3639">
        <v>178.32532803000001</v>
      </c>
      <c r="AG3639" s="175">
        <v>13</v>
      </c>
      <c r="AH3639" s="175">
        <v>4</v>
      </c>
      <c r="AI3639" s="175">
        <v>0</v>
      </c>
      <c r="AJ3639" s="175">
        <v>1</v>
      </c>
      <c r="AK3639" s="175">
        <v>4</v>
      </c>
      <c r="AL3639" s="175">
        <v>2</v>
      </c>
      <c r="AM3639" s="175">
        <v>4</v>
      </c>
      <c r="AN3639" s="175">
        <v>0</v>
      </c>
      <c r="AO3639" s="175">
        <v>11</v>
      </c>
      <c r="AP3639" s="175">
        <v>0</v>
      </c>
      <c r="AQ3639" s="175">
        <v>11</v>
      </c>
      <c r="AR3639" s="175">
        <v>0</v>
      </c>
      <c r="AS3639" s="175">
        <v>0</v>
      </c>
      <c r="AT3639" s="175">
        <v>0</v>
      </c>
    </row>
    <row r="3640" spans="1:46">
      <c r="A3640">
        <v>55130</v>
      </c>
      <c r="B3640" t="s">
        <v>20036</v>
      </c>
      <c r="C3640" t="s">
        <v>20037</v>
      </c>
      <c r="D3640" t="s">
        <v>20038</v>
      </c>
      <c r="E3640" t="s">
        <v>20039</v>
      </c>
      <c r="G3640" t="s">
        <v>20040</v>
      </c>
      <c r="H3640" t="s">
        <v>347</v>
      </c>
      <c r="J3640" t="s">
        <v>605</v>
      </c>
      <c r="K3640" t="s">
        <v>606</v>
      </c>
      <c r="L3640" t="s">
        <v>4273</v>
      </c>
      <c r="M3640" t="s">
        <v>1382</v>
      </c>
      <c r="N3640" t="s">
        <v>812</v>
      </c>
      <c r="O3640" t="s">
        <v>2163</v>
      </c>
      <c r="P3640" t="s">
        <v>658</v>
      </c>
      <c r="Q3640" t="s">
        <v>512</v>
      </c>
      <c r="R3640" t="s">
        <v>2164</v>
      </c>
      <c r="S3640" t="s">
        <v>1556</v>
      </c>
      <c r="T3640" t="s">
        <v>2165</v>
      </c>
      <c r="U3640">
        <v>204700</v>
      </c>
      <c r="V3640" t="s">
        <v>14028</v>
      </c>
      <c r="W3640" t="s">
        <v>2167</v>
      </c>
      <c r="X3640" t="s">
        <v>18191</v>
      </c>
      <c r="Y3640" t="s">
        <v>4276</v>
      </c>
      <c r="Z3640" t="s">
        <v>4277</v>
      </c>
      <c r="AA3640" t="s">
        <v>4278</v>
      </c>
      <c r="AB3640" t="s">
        <v>18192</v>
      </c>
      <c r="AE3640">
        <v>-37.795549639999997</v>
      </c>
      <c r="AF3640">
        <v>178.40917898000001</v>
      </c>
      <c r="AG3640" s="175">
        <v>15</v>
      </c>
      <c r="AH3640" s="175">
        <v>8</v>
      </c>
      <c r="AI3640" s="175">
        <v>0</v>
      </c>
      <c r="AJ3640" s="175">
        <v>3</v>
      </c>
      <c r="AK3640" s="175">
        <v>1</v>
      </c>
      <c r="AL3640" s="175">
        <v>7</v>
      </c>
      <c r="AM3640" s="175">
        <v>3</v>
      </c>
      <c r="AN3640" s="175">
        <v>0</v>
      </c>
      <c r="AO3640" s="175">
        <v>14</v>
      </c>
      <c r="AP3640" s="175">
        <v>0</v>
      </c>
      <c r="AQ3640" s="175">
        <v>14</v>
      </c>
      <c r="AR3640" s="175">
        <v>0</v>
      </c>
      <c r="AS3640" s="175">
        <v>0</v>
      </c>
      <c r="AT3640" s="175">
        <v>0</v>
      </c>
    </row>
    <row r="3641" spans="1:46">
      <c r="A3641">
        <v>55131</v>
      </c>
      <c r="B3641" t="s">
        <v>20041</v>
      </c>
      <c r="C3641" t="s">
        <v>20042</v>
      </c>
      <c r="D3641" t="s">
        <v>20043</v>
      </c>
      <c r="E3641" t="s">
        <v>20044</v>
      </c>
      <c r="G3641" t="s">
        <v>19009</v>
      </c>
      <c r="H3641" t="s">
        <v>347</v>
      </c>
      <c r="J3641" t="s">
        <v>605</v>
      </c>
      <c r="K3641" t="s">
        <v>606</v>
      </c>
      <c r="L3641" t="s">
        <v>4273</v>
      </c>
      <c r="M3641" t="s">
        <v>1382</v>
      </c>
      <c r="N3641" t="s">
        <v>812</v>
      </c>
      <c r="O3641" t="s">
        <v>2197</v>
      </c>
      <c r="P3641" t="s">
        <v>658</v>
      </c>
      <c r="Q3641" t="s">
        <v>513</v>
      </c>
      <c r="R3641" t="s">
        <v>2164</v>
      </c>
      <c r="S3641" t="s">
        <v>2198</v>
      </c>
      <c r="T3641" t="s">
        <v>2165</v>
      </c>
      <c r="U3641">
        <v>207400</v>
      </c>
      <c r="V3641" t="s">
        <v>10364</v>
      </c>
      <c r="W3641" t="s">
        <v>651</v>
      </c>
      <c r="X3641" t="s">
        <v>19952</v>
      </c>
      <c r="Y3641" t="s">
        <v>4276</v>
      </c>
      <c r="Z3641" t="s">
        <v>4277</v>
      </c>
      <c r="AA3641" t="s">
        <v>4278</v>
      </c>
      <c r="AB3641" t="s">
        <v>8869</v>
      </c>
      <c r="AE3641">
        <v>-39.0198994</v>
      </c>
      <c r="AF3641">
        <v>177.1018105</v>
      </c>
      <c r="AG3641" s="175">
        <v>17</v>
      </c>
      <c r="AH3641" s="175">
        <v>4</v>
      </c>
      <c r="AI3641" s="175">
        <v>0</v>
      </c>
      <c r="AJ3641" s="175">
        <v>2</v>
      </c>
      <c r="AK3641" s="175">
        <v>1</v>
      </c>
      <c r="AL3641" s="175">
        <v>7</v>
      </c>
      <c r="AM3641" s="175">
        <v>6</v>
      </c>
      <c r="AN3641" s="175">
        <v>0</v>
      </c>
      <c r="AO3641" s="175">
        <v>16</v>
      </c>
      <c r="AP3641" s="175">
        <v>0</v>
      </c>
      <c r="AQ3641" s="175">
        <v>16</v>
      </c>
      <c r="AR3641" s="175">
        <v>0</v>
      </c>
      <c r="AS3641" s="175">
        <v>0</v>
      </c>
      <c r="AT3641" s="175">
        <v>0</v>
      </c>
    </row>
    <row r="3642" spans="1:46">
      <c r="A3642">
        <v>55137</v>
      </c>
      <c r="B3642" t="s">
        <v>20045</v>
      </c>
      <c r="C3642" t="s">
        <v>20046</v>
      </c>
      <c r="D3642" t="s">
        <v>20047</v>
      </c>
      <c r="E3642" t="s">
        <v>20048</v>
      </c>
      <c r="G3642" t="s">
        <v>20049</v>
      </c>
      <c r="H3642" t="s">
        <v>347</v>
      </c>
      <c r="J3642" t="s">
        <v>605</v>
      </c>
      <c r="K3642" t="s">
        <v>606</v>
      </c>
      <c r="L3642" t="s">
        <v>4273</v>
      </c>
      <c r="M3642" t="s">
        <v>1382</v>
      </c>
      <c r="N3642" t="s">
        <v>812</v>
      </c>
      <c r="O3642" t="s">
        <v>2277</v>
      </c>
      <c r="P3642" t="s">
        <v>658</v>
      </c>
      <c r="Q3642" t="s">
        <v>513</v>
      </c>
      <c r="R3642" t="s">
        <v>2164</v>
      </c>
      <c r="S3642" t="s">
        <v>2278</v>
      </c>
      <c r="T3642" t="s">
        <v>2165</v>
      </c>
      <c r="U3642">
        <v>208700</v>
      </c>
      <c r="V3642" t="s">
        <v>20050</v>
      </c>
      <c r="W3642" t="s">
        <v>8813</v>
      </c>
      <c r="X3642" t="s">
        <v>8868</v>
      </c>
      <c r="Y3642" t="s">
        <v>4276</v>
      </c>
      <c r="Z3642" t="s">
        <v>4277</v>
      </c>
      <c r="AA3642" t="s">
        <v>4278</v>
      </c>
      <c r="AB3642" t="s">
        <v>8869</v>
      </c>
      <c r="AE3642">
        <v>-39.772303299999997</v>
      </c>
      <c r="AF3642">
        <v>176.68941459000001</v>
      </c>
      <c r="AG3642" s="175">
        <v>30</v>
      </c>
      <c r="AH3642" s="175">
        <v>5</v>
      </c>
      <c r="AI3642" s="175">
        <v>0</v>
      </c>
      <c r="AJ3642" s="175">
        <v>3</v>
      </c>
      <c r="AK3642" s="175">
        <v>5</v>
      </c>
      <c r="AL3642" s="175">
        <v>6</v>
      </c>
      <c r="AM3642" s="175">
        <v>2</v>
      </c>
      <c r="AN3642" s="175">
        <v>0</v>
      </c>
      <c r="AO3642" s="175">
        <v>16</v>
      </c>
      <c r="AP3642" s="175">
        <v>0</v>
      </c>
      <c r="AQ3642" s="175">
        <v>16</v>
      </c>
      <c r="AR3642" s="175">
        <v>0</v>
      </c>
      <c r="AS3642" s="175">
        <v>0</v>
      </c>
      <c r="AT3642" s="175">
        <v>0</v>
      </c>
    </row>
    <row r="3643" spans="1:46">
      <c r="A3643">
        <v>55138</v>
      </c>
      <c r="B3643" t="s">
        <v>20051</v>
      </c>
      <c r="C3643" t="s">
        <v>20052</v>
      </c>
      <c r="D3643" t="s">
        <v>20053</v>
      </c>
      <c r="E3643" t="s">
        <v>20054</v>
      </c>
      <c r="F3643" t="s">
        <v>2282</v>
      </c>
      <c r="G3643" t="s">
        <v>2276</v>
      </c>
      <c r="H3643" t="s">
        <v>347</v>
      </c>
      <c r="J3643" t="s">
        <v>605</v>
      </c>
      <c r="K3643" t="s">
        <v>606</v>
      </c>
      <c r="L3643" t="s">
        <v>4273</v>
      </c>
      <c r="M3643" t="s">
        <v>1382</v>
      </c>
      <c r="N3643" t="s">
        <v>812</v>
      </c>
      <c r="O3643" t="s">
        <v>2277</v>
      </c>
      <c r="P3643" t="s">
        <v>670</v>
      </c>
      <c r="Q3643" t="s">
        <v>513</v>
      </c>
      <c r="R3643" t="s">
        <v>2164</v>
      </c>
      <c r="S3643" t="s">
        <v>2278</v>
      </c>
      <c r="T3643" t="s">
        <v>2165</v>
      </c>
      <c r="U3643">
        <v>210500</v>
      </c>
      <c r="V3643" t="s">
        <v>11711</v>
      </c>
      <c r="W3643" t="s">
        <v>2279</v>
      </c>
      <c r="X3643" t="s">
        <v>19952</v>
      </c>
      <c r="Y3643" t="s">
        <v>4276</v>
      </c>
      <c r="Z3643" t="s">
        <v>4277</v>
      </c>
      <c r="AA3643" t="s">
        <v>4278</v>
      </c>
      <c r="AB3643" t="s">
        <v>8869</v>
      </c>
      <c r="AE3643">
        <v>-39.637389880000001</v>
      </c>
      <c r="AF3643">
        <v>176.85065456000001</v>
      </c>
      <c r="AG3643" s="175">
        <v>30</v>
      </c>
      <c r="AH3643" s="175">
        <v>10</v>
      </c>
      <c r="AI3643" s="175">
        <v>1</v>
      </c>
      <c r="AJ3643" s="175">
        <v>2</v>
      </c>
      <c r="AK3643" s="175">
        <v>9</v>
      </c>
      <c r="AL3643" s="175">
        <v>4</v>
      </c>
      <c r="AM3643" s="175">
        <v>10</v>
      </c>
      <c r="AN3643" s="175">
        <v>0</v>
      </c>
      <c r="AO3643" s="175">
        <v>26</v>
      </c>
      <c r="AP3643" s="175">
        <v>0</v>
      </c>
      <c r="AQ3643" s="175">
        <v>23</v>
      </c>
      <c r="AR3643" s="175">
        <v>1</v>
      </c>
      <c r="AS3643" s="175">
        <v>0</v>
      </c>
      <c r="AT3643" s="175">
        <v>2</v>
      </c>
    </row>
    <row r="3644" spans="1:46">
      <c r="A3644">
        <v>55145</v>
      </c>
      <c r="B3644" t="s">
        <v>20055</v>
      </c>
      <c r="C3644" t="s">
        <v>20056</v>
      </c>
      <c r="D3644" t="s">
        <v>20057</v>
      </c>
      <c r="E3644" t="s">
        <v>20058</v>
      </c>
      <c r="G3644" t="s">
        <v>2346</v>
      </c>
      <c r="H3644" t="s">
        <v>347</v>
      </c>
      <c r="J3644" t="s">
        <v>605</v>
      </c>
      <c r="K3644" t="s">
        <v>606</v>
      </c>
      <c r="L3644" t="s">
        <v>4273</v>
      </c>
      <c r="M3644" t="s">
        <v>1382</v>
      </c>
      <c r="N3644" t="s">
        <v>812</v>
      </c>
      <c r="O3644" t="s">
        <v>2347</v>
      </c>
      <c r="P3644" t="s">
        <v>610</v>
      </c>
      <c r="Q3644" t="s">
        <v>513</v>
      </c>
      <c r="R3644" t="s">
        <v>2164</v>
      </c>
      <c r="S3644" t="s">
        <v>2348</v>
      </c>
      <c r="T3644" t="s">
        <v>2165</v>
      </c>
      <c r="U3644">
        <v>215801</v>
      </c>
      <c r="V3644" t="s">
        <v>2349</v>
      </c>
      <c r="W3644" t="s">
        <v>2350</v>
      </c>
      <c r="X3644" t="s">
        <v>19952</v>
      </c>
      <c r="Y3644" t="s">
        <v>4276</v>
      </c>
      <c r="Z3644" t="s">
        <v>4277</v>
      </c>
      <c r="AA3644" t="s">
        <v>4278</v>
      </c>
      <c r="AB3644" t="s">
        <v>8869</v>
      </c>
      <c r="AE3644">
        <v>-39.991674240000002</v>
      </c>
      <c r="AF3644">
        <v>176.54083173000001</v>
      </c>
      <c r="AG3644" s="175">
        <v>20</v>
      </c>
      <c r="AH3644" s="175">
        <v>10</v>
      </c>
      <c r="AI3644" s="175">
        <v>2</v>
      </c>
      <c r="AJ3644" s="175">
        <v>5</v>
      </c>
      <c r="AK3644" s="175">
        <v>5</v>
      </c>
      <c r="AL3644" s="175">
        <v>5</v>
      </c>
      <c r="AM3644" s="175">
        <v>3</v>
      </c>
      <c r="AN3644" s="175">
        <v>0</v>
      </c>
      <c r="AO3644" s="175">
        <v>20</v>
      </c>
      <c r="AP3644" s="175">
        <v>0</v>
      </c>
      <c r="AQ3644" s="175">
        <v>18</v>
      </c>
      <c r="AR3644" s="175">
        <v>0</v>
      </c>
      <c r="AS3644" s="175">
        <v>0</v>
      </c>
      <c r="AT3644" s="175">
        <v>2</v>
      </c>
    </row>
    <row r="3645" spans="1:46">
      <c r="A3645">
        <v>55146</v>
      </c>
      <c r="B3645" t="s">
        <v>20059</v>
      </c>
      <c r="C3645" t="s">
        <v>20060</v>
      </c>
      <c r="D3645" t="s">
        <v>20061</v>
      </c>
      <c r="E3645" t="s">
        <v>20062</v>
      </c>
      <c r="G3645" t="s">
        <v>20063</v>
      </c>
      <c r="H3645" t="s">
        <v>347</v>
      </c>
      <c r="J3645" t="s">
        <v>605</v>
      </c>
      <c r="K3645" t="s">
        <v>606</v>
      </c>
      <c r="L3645" t="s">
        <v>4273</v>
      </c>
      <c r="M3645" t="s">
        <v>1382</v>
      </c>
      <c r="N3645" t="s">
        <v>812</v>
      </c>
      <c r="O3645" t="s">
        <v>2277</v>
      </c>
      <c r="P3645" t="s">
        <v>658</v>
      </c>
      <c r="Q3645" t="s">
        <v>513</v>
      </c>
      <c r="R3645" t="s">
        <v>2164</v>
      </c>
      <c r="S3645" t="s">
        <v>2278</v>
      </c>
      <c r="T3645" t="s">
        <v>2165</v>
      </c>
      <c r="U3645">
        <v>210201</v>
      </c>
      <c r="V3645" t="s">
        <v>20064</v>
      </c>
      <c r="W3645" t="s">
        <v>8813</v>
      </c>
      <c r="X3645" t="s">
        <v>20065</v>
      </c>
      <c r="Y3645" t="s">
        <v>4276</v>
      </c>
      <c r="Z3645" t="s">
        <v>4277</v>
      </c>
      <c r="AA3645" t="s">
        <v>4278</v>
      </c>
      <c r="AB3645" t="s">
        <v>20066</v>
      </c>
      <c r="AE3645">
        <v>-39.692830700000002</v>
      </c>
      <c r="AF3645">
        <v>176.79268947</v>
      </c>
      <c r="AG3645" s="175">
        <v>25</v>
      </c>
      <c r="AH3645" s="175">
        <v>10</v>
      </c>
      <c r="AI3645" s="175">
        <v>0</v>
      </c>
      <c r="AJ3645" s="175">
        <v>5</v>
      </c>
      <c r="AK3645" s="175">
        <v>1</v>
      </c>
      <c r="AL3645" s="175">
        <v>2</v>
      </c>
      <c r="AM3645" s="175">
        <v>3</v>
      </c>
      <c r="AN3645" s="175">
        <v>0</v>
      </c>
      <c r="AO3645" s="175">
        <v>11</v>
      </c>
      <c r="AP3645" s="175">
        <v>0</v>
      </c>
      <c r="AQ3645" s="175">
        <v>11</v>
      </c>
      <c r="AR3645" s="175">
        <v>0</v>
      </c>
      <c r="AS3645" s="175">
        <v>0</v>
      </c>
      <c r="AT3645" s="175">
        <v>0</v>
      </c>
    </row>
    <row r="3646" spans="1:46">
      <c r="A3646">
        <v>55147</v>
      </c>
      <c r="B3646" t="s">
        <v>20067</v>
      </c>
      <c r="C3646" t="s">
        <v>20068</v>
      </c>
      <c r="D3646" t="s">
        <v>20069</v>
      </c>
      <c r="E3646" t="s">
        <v>20070</v>
      </c>
      <c r="F3646" t="s">
        <v>2302</v>
      </c>
      <c r="G3646" t="s">
        <v>2276</v>
      </c>
      <c r="H3646" t="s">
        <v>347</v>
      </c>
      <c r="J3646" t="s">
        <v>605</v>
      </c>
      <c r="K3646" t="s">
        <v>606</v>
      </c>
      <c r="L3646" t="s">
        <v>4273</v>
      </c>
      <c r="M3646" t="s">
        <v>1382</v>
      </c>
      <c r="N3646" t="s">
        <v>812</v>
      </c>
      <c r="O3646" t="s">
        <v>2277</v>
      </c>
      <c r="P3646" t="s">
        <v>670</v>
      </c>
      <c r="Q3646" t="s">
        <v>513</v>
      </c>
      <c r="R3646" t="s">
        <v>2164</v>
      </c>
      <c r="S3646" t="s">
        <v>2278</v>
      </c>
      <c r="T3646" t="s">
        <v>2165</v>
      </c>
      <c r="U3646">
        <v>208800</v>
      </c>
      <c r="V3646" t="s">
        <v>12985</v>
      </c>
      <c r="W3646" t="s">
        <v>2304</v>
      </c>
      <c r="X3646" t="s">
        <v>8868</v>
      </c>
      <c r="Y3646" t="s">
        <v>4276</v>
      </c>
      <c r="Z3646" t="s">
        <v>4277</v>
      </c>
      <c r="AA3646" t="s">
        <v>4278</v>
      </c>
      <c r="AB3646" t="s">
        <v>8869</v>
      </c>
      <c r="AE3646">
        <v>-39.614446000000001</v>
      </c>
      <c r="AF3646">
        <v>176.77142038</v>
      </c>
      <c r="AG3646" s="175">
        <v>30</v>
      </c>
      <c r="AH3646" s="175">
        <v>10</v>
      </c>
      <c r="AI3646" s="175">
        <v>1</v>
      </c>
      <c r="AJ3646" s="175">
        <v>7</v>
      </c>
      <c r="AK3646" s="175">
        <v>7</v>
      </c>
      <c r="AL3646" s="175">
        <v>9</v>
      </c>
      <c r="AM3646" s="175">
        <v>3</v>
      </c>
      <c r="AN3646" s="175">
        <v>0</v>
      </c>
      <c r="AO3646" s="175">
        <v>27</v>
      </c>
      <c r="AP3646" s="175">
        <v>0</v>
      </c>
      <c r="AQ3646" s="175">
        <v>26</v>
      </c>
      <c r="AR3646" s="175">
        <v>1</v>
      </c>
      <c r="AS3646" s="175">
        <v>0</v>
      </c>
      <c r="AT3646" s="175">
        <v>0</v>
      </c>
    </row>
    <row r="3647" spans="1:46">
      <c r="A3647">
        <v>55148</v>
      </c>
      <c r="B3647" t="s">
        <v>20071</v>
      </c>
      <c r="C3647" t="s">
        <v>20072</v>
      </c>
      <c r="D3647" t="s">
        <v>20073</v>
      </c>
      <c r="E3647" t="s">
        <v>20074</v>
      </c>
      <c r="F3647" t="s">
        <v>2185</v>
      </c>
      <c r="G3647" t="s">
        <v>2162</v>
      </c>
      <c r="H3647" t="s">
        <v>347</v>
      </c>
      <c r="J3647" t="s">
        <v>605</v>
      </c>
      <c r="K3647" t="s">
        <v>606</v>
      </c>
      <c r="L3647" t="s">
        <v>4273</v>
      </c>
      <c r="M3647" t="s">
        <v>1382</v>
      </c>
      <c r="N3647" t="s">
        <v>812</v>
      </c>
      <c r="O3647" t="s">
        <v>2163</v>
      </c>
      <c r="P3647" t="s">
        <v>670</v>
      </c>
      <c r="Q3647" t="s">
        <v>512</v>
      </c>
      <c r="R3647" t="s">
        <v>2164</v>
      </c>
      <c r="S3647" t="s">
        <v>1556</v>
      </c>
      <c r="T3647" t="s">
        <v>2165</v>
      </c>
      <c r="U3647">
        <v>207100</v>
      </c>
      <c r="V3647" t="s">
        <v>2185</v>
      </c>
      <c r="W3647" t="s">
        <v>2167</v>
      </c>
      <c r="X3647" t="s">
        <v>18191</v>
      </c>
      <c r="Y3647" t="s">
        <v>4276</v>
      </c>
      <c r="Z3647" t="s">
        <v>4277</v>
      </c>
      <c r="AA3647" t="s">
        <v>4278</v>
      </c>
      <c r="AB3647" t="s">
        <v>18192</v>
      </c>
      <c r="AE3647">
        <v>-38.66944951</v>
      </c>
      <c r="AF3647">
        <v>178.05249971000001</v>
      </c>
      <c r="AG3647" s="175">
        <v>50</v>
      </c>
      <c r="AH3647" s="175">
        <v>10</v>
      </c>
      <c r="AI3647" s="175">
        <v>0</v>
      </c>
      <c r="AJ3647" s="175">
        <v>8</v>
      </c>
      <c r="AK3647" s="175">
        <v>8</v>
      </c>
      <c r="AL3647" s="175">
        <v>5</v>
      </c>
      <c r="AM3647" s="175">
        <v>7</v>
      </c>
      <c r="AN3647" s="175">
        <v>0</v>
      </c>
      <c r="AO3647" s="175">
        <v>28</v>
      </c>
      <c r="AP3647" s="175">
        <v>0</v>
      </c>
      <c r="AQ3647" s="175">
        <v>28</v>
      </c>
      <c r="AR3647" s="175">
        <v>0</v>
      </c>
      <c r="AS3647" s="175">
        <v>0</v>
      </c>
      <c r="AT3647" s="175">
        <v>0</v>
      </c>
    </row>
    <row r="3648" spans="1:46">
      <c r="A3648">
        <v>55149</v>
      </c>
      <c r="B3648" t="s">
        <v>20075</v>
      </c>
      <c r="C3648" t="s">
        <v>20076</v>
      </c>
      <c r="D3648" t="s">
        <v>20077</v>
      </c>
      <c r="E3648" t="s">
        <v>20078</v>
      </c>
      <c r="F3648" t="s">
        <v>2337</v>
      </c>
      <c r="G3648" t="s">
        <v>2276</v>
      </c>
      <c r="H3648" t="s">
        <v>347</v>
      </c>
      <c r="J3648" t="s">
        <v>605</v>
      </c>
      <c r="K3648" t="s">
        <v>606</v>
      </c>
      <c r="L3648" t="s">
        <v>4273</v>
      </c>
      <c r="M3648" t="s">
        <v>1382</v>
      </c>
      <c r="N3648" t="s">
        <v>812</v>
      </c>
      <c r="O3648" t="s">
        <v>2277</v>
      </c>
      <c r="P3648" t="s">
        <v>670</v>
      </c>
      <c r="Q3648" t="s">
        <v>513</v>
      </c>
      <c r="R3648" t="s">
        <v>2164</v>
      </c>
      <c r="S3648" t="s">
        <v>2278</v>
      </c>
      <c r="T3648" t="s">
        <v>2165</v>
      </c>
      <c r="U3648">
        <v>209500</v>
      </c>
      <c r="V3648" t="s">
        <v>2275</v>
      </c>
      <c r="W3648" t="s">
        <v>2279</v>
      </c>
      <c r="X3648" t="s">
        <v>8868</v>
      </c>
      <c r="Y3648" t="s">
        <v>4276</v>
      </c>
      <c r="Z3648" t="s">
        <v>4277</v>
      </c>
      <c r="AA3648" t="s">
        <v>4278</v>
      </c>
      <c r="AB3648" t="s">
        <v>8869</v>
      </c>
      <c r="AC3648">
        <v>99203</v>
      </c>
      <c r="AD3648" t="s">
        <v>20079</v>
      </c>
      <c r="AE3648">
        <v>-39.630210779999999</v>
      </c>
      <c r="AF3648">
        <v>176.83029707</v>
      </c>
      <c r="AG3648" s="175">
        <v>40</v>
      </c>
      <c r="AH3648" s="175">
        <v>12</v>
      </c>
      <c r="AI3648" s="175">
        <v>1</v>
      </c>
      <c r="AJ3648" s="175">
        <v>10</v>
      </c>
      <c r="AK3648" s="175">
        <v>9</v>
      </c>
      <c r="AL3648" s="175">
        <v>12</v>
      </c>
      <c r="AM3648" s="175">
        <v>4</v>
      </c>
      <c r="AN3648" s="175">
        <v>0</v>
      </c>
      <c r="AO3648" s="175">
        <v>36</v>
      </c>
      <c r="AP3648" s="175">
        <v>0</v>
      </c>
      <c r="AQ3648" s="175">
        <v>33</v>
      </c>
      <c r="AR3648" s="175">
        <v>3</v>
      </c>
      <c r="AS3648" s="175">
        <v>0</v>
      </c>
      <c r="AT3648" s="175">
        <v>0</v>
      </c>
    </row>
    <row r="3649" spans="1:46">
      <c r="A3649">
        <v>55151</v>
      </c>
      <c r="B3649" t="s">
        <v>20080</v>
      </c>
      <c r="C3649" t="s">
        <v>20081</v>
      </c>
      <c r="D3649" t="s">
        <v>20082</v>
      </c>
      <c r="E3649" t="s">
        <v>20083</v>
      </c>
      <c r="G3649" t="s">
        <v>2365</v>
      </c>
      <c r="H3649" t="s">
        <v>347</v>
      </c>
      <c r="J3649" t="s">
        <v>605</v>
      </c>
      <c r="K3649" t="s">
        <v>606</v>
      </c>
      <c r="L3649" t="s">
        <v>4273</v>
      </c>
      <c r="M3649" t="s">
        <v>1382</v>
      </c>
      <c r="N3649" t="s">
        <v>625</v>
      </c>
      <c r="O3649" t="s">
        <v>2367</v>
      </c>
      <c r="P3649" t="s">
        <v>658</v>
      </c>
      <c r="Q3649" t="s">
        <v>553</v>
      </c>
      <c r="R3649" t="s">
        <v>2164</v>
      </c>
      <c r="S3649" t="s">
        <v>2348</v>
      </c>
      <c r="T3649" t="s">
        <v>2165</v>
      </c>
      <c r="U3649">
        <v>233400</v>
      </c>
      <c r="V3649" t="s">
        <v>20084</v>
      </c>
      <c r="W3649" t="s">
        <v>2370</v>
      </c>
      <c r="X3649" t="s">
        <v>8868</v>
      </c>
      <c r="Y3649" t="s">
        <v>4276</v>
      </c>
      <c r="Z3649" t="s">
        <v>4277</v>
      </c>
      <c r="AA3649" t="s">
        <v>4278</v>
      </c>
      <c r="AB3649" t="s">
        <v>8869</v>
      </c>
      <c r="AE3649">
        <v>-40.242004250000001</v>
      </c>
      <c r="AF3649">
        <v>176.11678024</v>
      </c>
      <c r="AG3649" s="175">
        <v>25</v>
      </c>
      <c r="AH3649" s="175">
        <v>8</v>
      </c>
      <c r="AI3649" s="175">
        <v>1</v>
      </c>
      <c r="AJ3649" s="175">
        <v>3</v>
      </c>
      <c r="AK3649" s="175">
        <v>11</v>
      </c>
      <c r="AL3649" s="175">
        <v>3</v>
      </c>
      <c r="AM3649" s="175">
        <v>5</v>
      </c>
      <c r="AN3649" s="175">
        <v>0</v>
      </c>
      <c r="AO3649" s="175">
        <v>23</v>
      </c>
      <c r="AP3649" s="175">
        <v>0</v>
      </c>
      <c r="AQ3649" s="175">
        <v>20</v>
      </c>
      <c r="AR3649" s="175">
        <v>1</v>
      </c>
      <c r="AS3649" s="175">
        <v>0</v>
      </c>
      <c r="AT3649" s="175">
        <v>2</v>
      </c>
    </row>
    <row r="3650" spans="1:46">
      <c r="A3650">
        <v>55152</v>
      </c>
      <c r="B3650" t="s">
        <v>10162</v>
      </c>
      <c r="C3650" t="s">
        <v>20085</v>
      </c>
      <c r="D3650" t="s">
        <v>20086</v>
      </c>
      <c r="E3650" t="s">
        <v>20087</v>
      </c>
      <c r="G3650" t="s">
        <v>14138</v>
      </c>
      <c r="H3650" t="s">
        <v>347</v>
      </c>
      <c r="J3650" t="s">
        <v>605</v>
      </c>
      <c r="K3650" t="s">
        <v>606</v>
      </c>
      <c r="L3650" t="s">
        <v>4273</v>
      </c>
      <c r="M3650" t="s">
        <v>1382</v>
      </c>
      <c r="N3650" t="s">
        <v>643</v>
      </c>
      <c r="O3650" t="s">
        <v>2367</v>
      </c>
      <c r="P3650" t="s">
        <v>610</v>
      </c>
      <c r="Q3650" t="s">
        <v>553</v>
      </c>
      <c r="R3650" t="s">
        <v>2164</v>
      </c>
      <c r="S3650" t="s">
        <v>2348</v>
      </c>
      <c r="T3650" t="s">
        <v>2165</v>
      </c>
      <c r="U3650">
        <v>233100</v>
      </c>
      <c r="V3650" t="s">
        <v>14138</v>
      </c>
      <c r="W3650" t="s">
        <v>2386</v>
      </c>
      <c r="X3650" t="s">
        <v>8868</v>
      </c>
      <c r="Y3650" t="s">
        <v>4276</v>
      </c>
      <c r="Z3650" t="s">
        <v>4277</v>
      </c>
      <c r="AA3650" t="s">
        <v>4278</v>
      </c>
      <c r="AB3650" t="s">
        <v>8869</v>
      </c>
      <c r="AC3650">
        <v>99071</v>
      </c>
      <c r="AD3650" t="s">
        <v>2387</v>
      </c>
      <c r="AE3650">
        <v>-40.339109440000001</v>
      </c>
      <c r="AF3650">
        <v>175.87349230000001</v>
      </c>
      <c r="AG3650" s="175">
        <v>25</v>
      </c>
      <c r="AH3650" s="175">
        <v>6</v>
      </c>
      <c r="AI3650" s="175">
        <v>1</v>
      </c>
      <c r="AJ3650" s="175">
        <v>4</v>
      </c>
      <c r="AK3650" s="175">
        <v>2</v>
      </c>
      <c r="AL3650" s="175">
        <v>3</v>
      </c>
      <c r="AM3650" s="175">
        <v>2</v>
      </c>
      <c r="AN3650" s="175">
        <v>0</v>
      </c>
      <c r="AO3650" s="175">
        <v>12</v>
      </c>
      <c r="AP3650" s="175">
        <v>0</v>
      </c>
      <c r="AQ3650" s="175">
        <v>10</v>
      </c>
      <c r="AR3650" s="175">
        <v>1</v>
      </c>
      <c r="AS3650" s="175">
        <v>0</v>
      </c>
      <c r="AT3650" s="175">
        <v>1</v>
      </c>
    </row>
    <row r="3651" spans="1:46">
      <c r="A3651">
        <v>55153</v>
      </c>
      <c r="B3651" t="s">
        <v>20088</v>
      </c>
      <c r="C3651" t="s">
        <v>20089</v>
      </c>
      <c r="D3651" t="s">
        <v>20090</v>
      </c>
      <c r="E3651" t="s">
        <v>20091</v>
      </c>
      <c r="G3651" t="s">
        <v>20092</v>
      </c>
      <c r="H3651" t="s">
        <v>347</v>
      </c>
      <c r="J3651" t="s">
        <v>605</v>
      </c>
      <c r="K3651" t="s">
        <v>606</v>
      </c>
      <c r="L3651" t="s">
        <v>4273</v>
      </c>
      <c r="M3651" t="s">
        <v>1382</v>
      </c>
      <c r="N3651" t="s">
        <v>608</v>
      </c>
      <c r="O3651" t="s">
        <v>2277</v>
      </c>
      <c r="P3651" t="s">
        <v>658</v>
      </c>
      <c r="Q3651" t="s">
        <v>513</v>
      </c>
      <c r="R3651" t="s">
        <v>2164</v>
      </c>
      <c r="S3651" t="s">
        <v>2278</v>
      </c>
      <c r="T3651" t="s">
        <v>2165</v>
      </c>
      <c r="U3651">
        <v>208500</v>
      </c>
      <c r="V3651" t="s">
        <v>20092</v>
      </c>
      <c r="W3651" t="s">
        <v>8813</v>
      </c>
      <c r="X3651" t="s">
        <v>8868</v>
      </c>
      <c r="Y3651" t="s">
        <v>4276</v>
      </c>
      <c r="Z3651" t="s">
        <v>4277</v>
      </c>
      <c r="AA3651" t="s">
        <v>4278</v>
      </c>
      <c r="AB3651" t="s">
        <v>8869</v>
      </c>
      <c r="AE3651">
        <v>-39.651025400000002</v>
      </c>
      <c r="AF3651">
        <v>176.75391475999999</v>
      </c>
      <c r="AG3651" s="175">
        <v>22</v>
      </c>
      <c r="AH3651" s="175">
        <v>8</v>
      </c>
      <c r="AI3651" s="175">
        <v>0</v>
      </c>
      <c r="AJ3651" s="175">
        <v>5</v>
      </c>
      <c r="AK3651" s="175">
        <v>2</v>
      </c>
      <c r="AL3651" s="175">
        <v>1</v>
      </c>
      <c r="AM3651" s="175">
        <v>4</v>
      </c>
      <c r="AN3651" s="175">
        <v>0</v>
      </c>
      <c r="AO3651" s="175">
        <v>12</v>
      </c>
      <c r="AP3651" s="175">
        <v>0</v>
      </c>
      <c r="AQ3651" s="175">
        <v>12</v>
      </c>
      <c r="AR3651" s="175">
        <v>0</v>
      </c>
      <c r="AS3651" s="175">
        <v>0</v>
      </c>
      <c r="AT3651" s="175">
        <v>0</v>
      </c>
    </row>
    <row r="3652" spans="1:46">
      <c r="A3652">
        <v>55155</v>
      </c>
      <c r="B3652" t="s">
        <v>20093</v>
      </c>
      <c r="C3652" t="s">
        <v>20094</v>
      </c>
      <c r="D3652" t="s">
        <v>20095</v>
      </c>
      <c r="E3652" t="s">
        <v>20096</v>
      </c>
      <c r="F3652" t="s">
        <v>2254</v>
      </c>
      <c r="G3652" t="s">
        <v>2198</v>
      </c>
      <c r="H3652" t="s">
        <v>347</v>
      </c>
      <c r="J3652" t="s">
        <v>605</v>
      </c>
      <c r="K3652" t="s">
        <v>606</v>
      </c>
      <c r="L3652" t="s">
        <v>4273</v>
      </c>
      <c r="M3652" t="s">
        <v>1382</v>
      </c>
      <c r="N3652" t="s">
        <v>657</v>
      </c>
      <c r="O3652" t="s">
        <v>2210</v>
      </c>
      <c r="P3652" t="s">
        <v>670</v>
      </c>
      <c r="Q3652" t="s">
        <v>513</v>
      </c>
      <c r="R3652" t="s">
        <v>2164</v>
      </c>
      <c r="S3652" t="s">
        <v>2198</v>
      </c>
      <c r="T3652" t="s">
        <v>2165</v>
      </c>
      <c r="U3652">
        <v>214900</v>
      </c>
      <c r="V3652" t="s">
        <v>2255</v>
      </c>
      <c r="W3652" t="s">
        <v>2219</v>
      </c>
      <c r="X3652" t="s">
        <v>8868</v>
      </c>
      <c r="Y3652" t="s">
        <v>4276</v>
      </c>
      <c r="Z3652" t="s">
        <v>4277</v>
      </c>
      <c r="AA3652" t="s">
        <v>4278</v>
      </c>
      <c r="AB3652" t="s">
        <v>8869</v>
      </c>
      <c r="AE3652">
        <v>-39.539762639999999</v>
      </c>
      <c r="AF3652">
        <v>176.85484133</v>
      </c>
      <c r="AG3652" s="175">
        <v>15</v>
      </c>
      <c r="AH3652" s="175">
        <v>5</v>
      </c>
      <c r="AI3652" s="175">
        <v>0</v>
      </c>
      <c r="AJ3652" s="175">
        <v>0</v>
      </c>
      <c r="AK3652" s="175">
        <v>7</v>
      </c>
      <c r="AL3652" s="175">
        <v>3</v>
      </c>
      <c r="AM3652" s="175">
        <v>1</v>
      </c>
      <c r="AN3652" s="175">
        <v>0</v>
      </c>
      <c r="AO3652" s="175">
        <v>11</v>
      </c>
      <c r="AP3652" s="175">
        <v>0</v>
      </c>
      <c r="AQ3652" s="175">
        <v>11</v>
      </c>
      <c r="AR3652" s="175">
        <v>0</v>
      </c>
      <c r="AS3652" s="175">
        <v>0</v>
      </c>
      <c r="AT3652" s="175">
        <v>0</v>
      </c>
    </row>
    <row r="3653" spans="1:46">
      <c r="A3653">
        <v>55159</v>
      </c>
      <c r="B3653" t="s">
        <v>20097</v>
      </c>
      <c r="C3653" t="s">
        <v>20098</v>
      </c>
      <c r="D3653" t="s">
        <v>20099</v>
      </c>
      <c r="E3653" t="s">
        <v>20100</v>
      </c>
      <c r="F3653" t="s">
        <v>2184</v>
      </c>
      <c r="G3653" t="s">
        <v>2162</v>
      </c>
      <c r="H3653" t="s">
        <v>347</v>
      </c>
      <c r="J3653" t="s">
        <v>605</v>
      </c>
      <c r="K3653" t="s">
        <v>606</v>
      </c>
      <c r="L3653" t="s">
        <v>4273</v>
      </c>
      <c r="M3653" t="s">
        <v>1382</v>
      </c>
      <c r="N3653" t="s">
        <v>608</v>
      </c>
      <c r="O3653" t="s">
        <v>2163</v>
      </c>
      <c r="P3653" t="s">
        <v>670</v>
      </c>
      <c r="Q3653" t="s">
        <v>512</v>
      </c>
      <c r="R3653" t="s">
        <v>2164</v>
      </c>
      <c r="S3653" t="s">
        <v>1556</v>
      </c>
      <c r="T3653" t="s">
        <v>2165</v>
      </c>
      <c r="U3653">
        <v>207000</v>
      </c>
      <c r="V3653" t="s">
        <v>3918</v>
      </c>
      <c r="W3653" t="s">
        <v>2167</v>
      </c>
      <c r="X3653" t="s">
        <v>18191</v>
      </c>
      <c r="Y3653" t="s">
        <v>4276</v>
      </c>
      <c r="Z3653" t="s">
        <v>4277</v>
      </c>
      <c r="AA3653" t="s">
        <v>4278</v>
      </c>
      <c r="AB3653" t="s">
        <v>18192</v>
      </c>
      <c r="AE3653">
        <v>-38.67431715</v>
      </c>
      <c r="AF3653">
        <v>178.04528213</v>
      </c>
      <c r="AG3653" s="175">
        <v>30</v>
      </c>
      <c r="AH3653" s="175">
        <v>8</v>
      </c>
      <c r="AI3653" s="175">
        <v>0</v>
      </c>
      <c r="AJ3653" s="175">
        <v>3</v>
      </c>
      <c r="AK3653" s="175">
        <v>6</v>
      </c>
      <c r="AL3653" s="175">
        <v>2</v>
      </c>
      <c r="AM3653" s="175">
        <v>2</v>
      </c>
      <c r="AN3653" s="175">
        <v>0</v>
      </c>
      <c r="AO3653" s="175">
        <v>13</v>
      </c>
      <c r="AP3653" s="175">
        <v>0</v>
      </c>
      <c r="AQ3653" s="175">
        <v>13</v>
      </c>
      <c r="AR3653" s="175">
        <v>0</v>
      </c>
      <c r="AS3653" s="175">
        <v>0</v>
      </c>
      <c r="AT3653" s="175">
        <v>0</v>
      </c>
    </row>
    <row r="3654" spans="1:46">
      <c r="A3654">
        <v>55167</v>
      </c>
      <c r="B3654" t="s">
        <v>20101</v>
      </c>
      <c r="C3654" t="s">
        <v>20102</v>
      </c>
      <c r="D3654" t="s">
        <v>20103</v>
      </c>
      <c r="E3654" t="s">
        <v>20104</v>
      </c>
      <c r="F3654" t="s">
        <v>2209</v>
      </c>
      <c r="G3654" t="s">
        <v>2198</v>
      </c>
      <c r="H3654" t="s">
        <v>347</v>
      </c>
      <c r="J3654" t="s">
        <v>605</v>
      </c>
      <c r="K3654" t="s">
        <v>606</v>
      </c>
      <c r="L3654" t="s">
        <v>4273</v>
      </c>
      <c r="M3654" t="s">
        <v>1382</v>
      </c>
      <c r="N3654" t="s">
        <v>812</v>
      </c>
      <c r="O3654" t="s">
        <v>2210</v>
      </c>
      <c r="P3654" t="s">
        <v>670</v>
      </c>
      <c r="Q3654" t="s">
        <v>513</v>
      </c>
      <c r="R3654" t="s">
        <v>2164</v>
      </c>
      <c r="S3654" t="s">
        <v>2198</v>
      </c>
      <c r="T3654" t="s">
        <v>2165</v>
      </c>
      <c r="U3654">
        <v>215300</v>
      </c>
      <c r="V3654" t="s">
        <v>2209</v>
      </c>
      <c r="W3654" t="s">
        <v>2211</v>
      </c>
      <c r="X3654" t="s">
        <v>20105</v>
      </c>
      <c r="Y3654" t="s">
        <v>4276</v>
      </c>
      <c r="Z3654" t="s">
        <v>4277</v>
      </c>
      <c r="AA3654" t="s">
        <v>4278</v>
      </c>
      <c r="AB3654" t="s">
        <v>20106</v>
      </c>
      <c r="AE3654">
        <v>-39.514075650000002</v>
      </c>
      <c r="AF3654">
        <v>176.90423831000001</v>
      </c>
      <c r="AG3654" s="175">
        <v>30</v>
      </c>
      <c r="AH3654" s="175">
        <v>10</v>
      </c>
      <c r="AI3654" s="175">
        <v>1</v>
      </c>
      <c r="AJ3654" s="175">
        <v>7</v>
      </c>
      <c r="AK3654" s="175">
        <v>7</v>
      </c>
      <c r="AL3654" s="175">
        <v>5</v>
      </c>
      <c r="AM3654" s="175">
        <v>2</v>
      </c>
      <c r="AN3654" s="175">
        <v>0</v>
      </c>
      <c r="AO3654" s="175">
        <v>22</v>
      </c>
      <c r="AP3654" s="175">
        <v>0</v>
      </c>
      <c r="AQ3654" s="175">
        <v>20</v>
      </c>
      <c r="AR3654" s="175">
        <v>2</v>
      </c>
      <c r="AS3654" s="175">
        <v>0</v>
      </c>
      <c r="AT3654" s="175">
        <v>0</v>
      </c>
    </row>
    <row r="3655" spans="1:46">
      <c r="A3655">
        <v>55170</v>
      </c>
      <c r="B3655" t="s">
        <v>20107</v>
      </c>
      <c r="C3655" t="s">
        <v>20108</v>
      </c>
      <c r="D3655" t="s">
        <v>20109</v>
      </c>
      <c r="E3655" t="s">
        <v>20110</v>
      </c>
      <c r="F3655" t="s">
        <v>2282</v>
      </c>
      <c r="G3655" t="s">
        <v>2276</v>
      </c>
      <c r="H3655" t="s">
        <v>347</v>
      </c>
      <c r="J3655" t="s">
        <v>605</v>
      </c>
      <c r="K3655" t="s">
        <v>606</v>
      </c>
      <c r="L3655" t="s">
        <v>4273</v>
      </c>
      <c r="M3655" t="s">
        <v>1382</v>
      </c>
      <c r="N3655" t="s">
        <v>812</v>
      </c>
      <c r="O3655" t="s">
        <v>2277</v>
      </c>
      <c r="P3655" t="s">
        <v>670</v>
      </c>
      <c r="Q3655" t="s">
        <v>513</v>
      </c>
      <c r="R3655" t="s">
        <v>2164</v>
      </c>
      <c r="S3655" t="s">
        <v>2278</v>
      </c>
      <c r="T3655" t="s">
        <v>2165</v>
      </c>
      <c r="U3655">
        <v>210600</v>
      </c>
      <c r="V3655" t="s">
        <v>19933</v>
      </c>
      <c r="W3655" t="s">
        <v>2279</v>
      </c>
      <c r="X3655" t="s">
        <v>19952</v>
      </c>
      <c r="Y3655" t="s">
        <v>4276</v>
      </c>
      <c r="Z3655" t="s">
        <v>4277</v>
      </c>
      <c r="AA3655" t="s">
        <v>4278</v>
      </c>
      <c r="AB3655" t="s">
        <v>8869</v>
      </c>
      <c r="AE3655">
        <v>-39.635768329999998</v>
      </c>
      <c r="AF3655">
        <v>176.85505617999999</v>
      </c>
      <c r="AG3655" s="175">
        <v>30</v>
      </c>
      <c r="AH3655" s="175">
        <v>10</v>
      </c>
      <c r="AI3655" s="175">
        <v>1</v>
      </c>
      <c r="AJ3655" s="175">
        <v>3</v>
      </c>
      <c r="AK3655" s="175">
        <v>9</v>
      </c>
      <c r="AL3655" s="175">
        <v>8</v>
      </c>
      <c r="AM3655" s="175">
        <v>5</v>
      </c>
      <c r="AN3655" s="175">
        <v>0</v>
      </c>
      <c r="AO3655" s="175">
        <v>26</v>
      </c>
      <c r="AP3655" s="175">
        <v>0</v>
      </c>
      <c r="AQ3655" s="175">
        <v>25</v>
      </c>
      <c r="AR3655" s="175">
        <v>0</v>
      </c>
      <c r="AS3655" s="175">
        <v>0</v>
      </c>
      <c r="AT3655" s="175">
        <v>1</v>
      </c>
    </row>
    <row r="3656" spans="1:46">
      <c r="A3656">
        <v>55173</v>
      </c>
      <c r="B3656" t="s">
        <v>20111</v>
      </c>
      <c r="C3656" t="s">
        <v>20112</v>
      </c>
      <c r="D3656" t="s">
        <v>20113</v>
      </c>
      <c r="E3656" t="s">
        <v>20114</v>
      </c>
      <c r="G3656" t="s">
        <v>13414</v>
      </c>
      <c r="H3656" t="s">
        <v>347</v>
      </c>
      <c r="J3656" t="s">
        <v>605</v>
      </c>
      <c r="K3656" t="s">
        <v>606</v>
      </c>
      <c r="L3656" t="s">
        <v>4273</v>
      </c>
      <c r="M3656" t="s">
        <v>1382</v>
      </c>
      <c r="N3656" t="s">
        <v>608</v>
      </c>
      <c r="O3656" t="s">
        <v>2163</v>
      </c>
      <c r="P3656" t="s">
        <v>658</v>
      </c>
      <c r="Q3656" t="s">
        <v>512</v>
      </c>
      <c r="R3656" t="s">
        <v>2164</v>
      </c>
      <c r="S3656" t="s">
        <v>1556</v>
      </c>
      <c r="T3656" t="s">
        <v>2165</v>
      </c>
      <c r="U3656">
        <v>204900</v>
      </c>
      <c r="V3656" t="s">
        <v>13415</v>
      </c>
      <c r="W3656" t="s">
        <v>2167</v>
      </c>
      <c r="X3656" t="s">
        <v>18191</v>
      </c>
      <c r="Y3656" t="s">
        <v>4276</v>
      </c>
      <c r="Z3656" t="s">
        <v>4277</v>
      </c>
      <c r="AA3656" t="s">
        <v>4278</v>
      </c>
      <c r="AB3656" t="s">
        <v>18192</v>
      </c>
      <c r="AE3656">
        <v>-37.926768369999998</v>
      </c>
      <c r="AF3656">
        <v>178.26042960999999</v>
      </c>
      <c r="AG3656" s="175">
        <v>22</v>
      </c>
      <c r="AH3656" s="175">
        <v>8</v>
      </c>
      <c r="AI3656" s="175">
        <v>1</v>
      </c>
      <c r="AJ3656" s="175">
        <v>3</v>
      </c>
      <c r="AK3656" s="175">
        <v>5</v>
      </c>
      <c r="AL3656" s="175">
        <v>4</v>
      </c>
      <c r="AM3656" s="175">
        <v>8</v>
      </c>
      <c r="AN3656" s="175">
        <v>0</v>
      </c>
      <c r="AO3656" s="175">
        <v>21</v>
      </c>
      <c r="AP3656" s="175">
        <v>0</v>
      </c>
      <c r="AQ3656" s="175">
        <v>18</v>
      </c>
      <c r="AR3656" s="175">
        <v>0</v>
      </c>
      <c r="AS3656" s="175">
        <v>0</v>
      </c>
      <c r="AT3656" s="175">
        <v>3</v>
      </c>
    </row>
    <row r="3657" spans="1:46">
      <c r="A3657">
        <v>55174</v>
      </c>
      <c r="B3657" t="s">
        <v>20115</v>
      </c>
      <c r="C3657" t="s">
        <v>20116</v>
      </c>
      <c r="D3657" t="s">
        <v>20117</v>
      </c>
      <c r="E3657" t="s">
        <v>20118</v>
      </c>
      <c r="F3657" t="s">
        <v>2184</v>
      </c>
      <c r="G3657" t="s">
        <v>2162</v>
      </c>
      <c r="H3657" t="s">
        <v>347</v>
      </c>
      <c r="J3657" t="s">
        <v>605</v>
      </c>
      <c r="K3657" t="s">
        <v>606</v>
      </c>
      <c r="L3657" t="s">
        <v>4273</v>
      </c>
      <c r="M3657" t="s">
        <v>1382</v>
      </c>
      <c r="N3657" t="s">
        <v>608</v>
      </c>
      <c r="O3657" t="s">
        <v>2163</v>
      </c>
      <c r="P3657" t="s">
        <v>670</v>
      </c>
      <c r="Q3657" t="s">
        <v>512</v>
      </c>
      <c r="R3657" t="s">
        <v>2164</v>
      </c>
      <c r="S3657" t="s">
        <v>1556</v>
      </c>
      <c r="T3657" t="s">
        <v>2165</v>
      </c>
      <c r="U3657">
        <v>207000</v>
      </c>
      <c r="V3657" t="s">
        <v>3918</v>
      </c>
      <c r="W3657" t="s">
        <v>2167</v>
      </c>
      <c r="X3657" t="s">
        <v>20119</v>
      </c>
      <c r="Y3657" t="s">
        <v>4276</v>
      </c>
      <c r="Z3657" t="s">
        <v>4277</v>
      </c>
      <c r="AA3657" t="s">
        <v>4278</v>
      </c>
      <c r="AE3657">
        <v>-38.674959919999999</v>
      </c>
      <c r="AF3657">
        <v>178.03616077000001</v>
      </c>
      <c r="AG3657" s="175">
        <v>30</v>
      </c>
      <c r="AH3657" s="175">
        <v>10</v>
      </c>
      <c r="AI3657" s="175">
        <v>5</v>
      </c>
      <c r="AJ3657" s="175">
        <v>5</v>
      </c>
      <c r="AK3657" s="175">
        <v>4</v>
      </c>
      <c r="AL3657" s="175">
        <v>7</v>
      </c>
      <c r="AM3657" s="175">
        <v>6</v>
      </c>
      <c r="AN3657" s="175">
        <v>0</v>
      </c>
      <c r="AO3657" s="175">
        <v>27</v>
      </c>
      <c r="AP3657" s="175">
        <v>0</v>
      </c>
      <c r="AQ3657" s="175">
        <v>27</v>
      </c>
      <c r="AR3657" s="175">
        <v>0</v>
      </c>
      <c r="AS3657" s="175">
        <v>0</v>
      </c>
      <c r="AT3657" s="175">
        <v>0</v>
      </c>
    </row>
    <row r="3658" spans="1:46">
      <c r="A3658">
        <v>55180</v>
      </c>
      <c r="B3658" t="s">
        <v>20120</v>
      </c>
      <c r="C3658" t="s">
        <v>20121</v>
      </c>
      <c r="D3658" t="s">
        <v>20122</v>
      </c>
      <c r="E3658" t="s">
        <v>20123</v>
      </c>
      <c r="G3658" t="s">
        <v>20124</v>
      </c>
      <c r="H3658" t="s">
        <v>449</v>
      </c>
      <c r="J3658" t="s">
        <v>605</v>
      </c>
      <c r="K3658" t="s">
        <v>606</v>
      </c>
      <c r="M3658" t="s">
        <v>1382</v>
      </c>
      <c r="N3658" t="s">
        <v>657</v>
      </c>
      <c r="O3658" t="s">
        <v>2277</v>
      </c>
      <c r="P3658" t="s">
        <v>658</v>
      </c>
      <c r="Q3658" t="s">
        <v>513</v>
      </c>
      <c r="R3658" t="s">
        <v>2164</v>
      </c>
      <c r="S3658" t="s">
        <v>2198</v>
      </c>
      <c r="T3658" t="s">
        <v>2165</v>
      </c>
      <c r="U3658">
        <v>208001</v>
      </c>
      <c r="V3658" t="s">
        <v>20125</v>
      </c>
      <c r="W3658" t="s">
        <v>19868</v>
      </c>
      <c r="X3658" t="s">
        <v>20126</v>
      </c>
      <c r="Y3658" t="s">
        <v>20127</v>
      </c>
      <c r="AA3658" t="s">
        <v>20128</v>
      </c>
      <c r="AB3658" t="s">
        <v>20129</v>
      </c>
      <c r="AC3658">
        <v>99217</v>
      </c>
      <c r="AD3658" t="s">
        <v>2220</v>
      </c>
      <c r="AE3658">
        <v>-39.346620379999997</v>
      </c>
      <c r="AF3658">
        <v>176.60435835999999</v>
      </c>
      <c r="AG3658" s="175">
        <v>20</v>
      </c>
      <c r="AH3658" s="175">
        <v>0</v>
      </c>
      <c r="AI3658" s="175">
        <v>0</v>
      </c>
      <c r="AJ3658" s="175">
        <v>0</v>
      </c>
      <c r="AK3658" s="175">
        <v>5</v>
      </c>
      <c r="AL3658" s="175">
        <v>5</v>
      </c>
      <c r="AM3658" s="175">
        <v>5</v>
      </c>
      <c r="AN3658" s="175">
        <v>1</v>
      </c>
      <c r="AO3658" s="175">
        <v>16</v>
      </c>
      <c r="AP3658" s="175">
        <v>14</v>
      </c>
      <c r="AQ3658" s="175">
        <v>2</v>
      </c>
      <c r="AR3658" s="175">
        <v>4</v>
      </c>
      <c r="AS3658" s="175">
        <v>1</v>
      </c>
      <c r="AT3658" s="175">
        <v>0</v>
      </c>
    </row>
    <row r="3659" spans="1:46">
      <c r="A3659">
        <v>55181</v>
      </c>
      <c r="B3659" t="s">
        <v>20130</v>
      </c>
      <c r="C3659" t="s">
        <v>20131</v>
      </c>
      <c r="D3659" t="s">
        <v>20132</v>
      </c>
      <c r="E3659" t="s">
        <v>20133</v>
      </c>
      <c r="G3659" t="s">
        <v>2276</v>
      </c>
      <c r="H3659" t="s">
        <v>347</v>
      </c>
      <c r="J3659" t="s">
        <v>605</v>
      </c>
      <c r="K3659" t="s">
        <v>606</v>
      </c>
      <c r="L3659" t="s">
        <v>4273</v>
      </c>
      <c r="M3659" t="s">
        <v>1382</v>
      </c>
      <c r="N3659" t="s">
        <v>812</v>
      </c>
      <c r="O3659" t="s">
        <v>2277</v>
      </c>
      <c r="P3659" t="s">
        <v>610</v>
      </c>
      <c r="Q3659" t="s">
        <v>513</v>
      </c>
      <c r="R3659" t="s">
        <v>2164</v>
      </c>
      <c r="S3659" t="s">
        <v>2278</v>
      </c>
      <c r="T3659" t="s">
        <v>2165</v>
      </c>
      <c r="U3659">
        <v>209601</v>
      </c>
      <c r="V3659" t="s">
        <v>11922</v>
      </c>
      <c r="W3659" t="s">
        <v>11923</v>
      </c>
      <c r="X3659" t="s">
        <v>8868</v>
      </c>
      <c r="Y3659" t="s">
        <v>4276</v>
      </c>
      <c r="Z3659" t="s">
        <v>4277</v>
      </c>
      <c r="AA3659" t="s">
        <v>4278</v>
      </c>
      <c r="AB3659" t="s">
        <v>8869</v>
      </c>
      <c r="AE3659">
        <v>-39.584755719999997</v>
      </c>
      <c r="AF3659">
        <v>176.91832016000001</v>
      </c>
      <c r="AG3659" s="175">
        <v>16</v>
      </c>
      <c r="AH3659" s="175">
        <v>4</v>
      </c>
      <c r="AI3659" s="175">
        <v>0</v>
      </c>
      <c r="AJ3659" s="175">
        <v>3</v>
      </c>
      <c r="AK3659" s="175">
        <v>2</v>
      </c>
      <c r="AL3659" s="175">
        <v>4</v>
      </c>
      <c r="AM3659" s="175">
        <v>1</v>
      </c>
      <c r="AN3659" s="175">
        <v>0</v>
      </c>
      <c r="AO3659" s="175">
        <v>10</v>
      </c>
      <c r="AP3659" s="175">
        <v>0</v>
      </c>
      <c r="AQ3659" s="175">
        <v>10</v>
      </c>
      <c r="AR3659" s="175">
        <v>0</v>
      </c>
      <c r="AS3659" s="175">
        <v>0</v>
      </c>
      <c r="AT3659" s="175">
        <v>0</v>
      </c>
    </row>
    <row r="3660" spans="1:46">
      <c r="A3660">
        <v>55182</v>
      </c>
      <c r="B3660" t="s">
        <v>20134</v>
      </c>
      <c r="C3660" t="s">
        <v>20135</v>
      </c>
      <c r="D3660" t="s">
        <v>20136</v>
      </c>
      <c r="E3660" t="s">
        <v>20137</v>
      </c>
      <c r="G3660" t="s">
        <v>20092</v>
      </c>
      <c r="H3660" t="s">
        <v>347</v>
      </c>
      <c r="J3660" t="s">
        <v>605</v>
      </c>
      <c r="K3660" t="s">
        <v>606</v>
      </c>
      <c r="L3660" t="s">
        <v>4273</v>
      </c>
      <c r="M3660" t="s">
        <v>1382</v>
      </c>
      <c r="N3660" t="s">
        <v>812</v>
      </c>
      <c r="O3660" t="s">
        <v>2277</v>
      </c>
      <c r="P3660" t="s">
        <v>658</v>
      </c>
      <c r="Q3660" t="s">
        <v>513</v>
      </c>
      <c r="R3660" t="s">
        <v>2164</v>
      </c>
      <c r="S3660" t="s">
        <v>2278</v>
      </c>
      <c r="T3660" t="s">
        <v>2165</v>
      </c>
      <c r="U3660">
        <v>208500</v>
      </c>
      <c r="V3660" t="s">
        <v>20092</v>
      </c>
      <c r="W3660" t="s">
        <v>8813</v>
      </c>
      <c r="X3660" t="s">
        <v>8868</v>
      </c>
      <c r="Y3660" t="s">
        <v>4276</v>
      </c>
      <c r="Z3660" t="s">
        <v>4277</v>
      </c>
      <c r="AA3660" t="s">
        <v>4278</v>
      </c>
      <c r="AB3660" t="s">
        <v>8869</v>
      </c>
      <c r="AE3660">
        <v>-39.651928699999999</v>
      </c>
      <c r="AF3660">
        <v>176.75884665999999</v>
      </c>
      <c r="AG3660" s="175">
        <v>27</v>
      </c>
      <c r="AH3660" s="175">
        <v>10</v>
      </c>
      <c r="AI3660" s="175">
        <v>2</v>
      </c>
      <c r="AJ3660" s="175">
        <v>3</v>
      </c>
      <c r="AK3660" s="175">
        <v>3</v>
      </c>
      <c r="AL3660" s="175">
        <v>6</v>
      </c>
      <c r="AM3660" s="175">
        <v>1</v>
      </c>
      <c r="AN3660" s="175">
        <v>0</v>
      </c>
      <c r="AO3660" s="175">
        <v>15</v>
      </c>
      <c r="AP3660" s="175">
        <v>0</v>
      </c>
      <c r="AQ3660" s="175">
        <v>15</v>
      </c>
      <c r="AR3660" s="175">
        <v>0</v>
      </c>
      <c r="AS3660" s="175">
        <v>0</v>
      </c>
      <c r="AT3660" s="175">
        <v>0</v>
      </c>
    </row>
    <row r="3661" spans="1:46">
      <c r="A3661">
        <v>55190</v>
      </c>
      <c r="B3661" t="s">
        <v>20138</v>
      </c>
      <c r="C3661" t="s">
        <v>20139</v>
      </c>
      <c r="D3661" t="s">
        <v>20140</v>
      </c>
      <c r="E3661" t="s">
        <v>20141</v>
      </c>
      <c r="F3661" t="s">
        <v>2302</v>
      </c>
      <c r="G3661" t="s">
        <v>2276</v>
      </c>
      <c r="H3661" t="s">
        <v>347</v>
      </c>
      <c r="J3661" t="s">
        <v>605</v>
      </c>
      <c r="K3661" t="s">
        <v>606</v>
      </c>
      <c r="L3661" t="s">
        <v>4273</v>
      </c>
      <c r="M3661" t="s">
        <v>1382</v>
      </c>
      <c r="N3661" t="s">
        <v>812</v>
      </c>
      <c r="O3661" t="s">
        <v>2277</v>
      </c>
      <c r="P3661" t="s">
        <v>670</v>
      </c>
      <c r="Q3661" t="s">
        <v>513</v>
      </c>
      <c r="R3661" t="s">
        <v>2164</v>
      </c>
      <c r="S3661" t="s">
        <v>2278</v>
      </c>
      <c r="T3661" t="s">
        <v>2165</v>
      </c>
      <c r="U3661">
        <v>209000</v>
      </c>
      <c r="V3661" t="s">
        <v>2303</v>
      </c>
      <c r="W3661" t="s">
        <v>2304</v>
      </c>
      <c r="X3661" t="s">
        <v>8868</v>
      </c>
      <c r="Y3661" t="s">
        <v>4276</v>
      </c>
      <c r="Z3661" t="s">
        <v>4277</v>
      </c>
      <c r="AA3661" t="s">
        <v>4278</v>
      </c>
      <c r="AB3661" t="s">
        <v>8869</v>
      </c>
      <c r="AE3661">
        <v>-39.620252280000003</v>
      </c>
      <c r="AF3661">
        <v>176.78079839</v>
      </c>
      <c r="AG3661" s="175">
        <v>37</v>
      </c>
      <c r="AH3661" s="175">
        <v>15</v>
      </c>
      <c r="AI3661" s="175">
        <v>6</v>
      </c>
      <c r="AJ3661" s="175">
        <v>9</v>
      </c>
      <c r="AK3661" s="175">
        <v>11</v>
      </c>
      <c r="AL3661" s="175">
        <v>5</v>
      </c>
      <c r="AM3661" s="175">
        <v>5</v>
      </c>
      <c r="AN3661" s="175">
        <v>0</v>
      </c>
      <c r="AO3661" s="175">
        <v>36</v>
      </c>
      <c r="AP3661" s="175">
        <v>0</v>
      </c>
      <c r="AQ3661" s="175">
        <v>36</v>
      </c>
      <c r="AR3661" s="175">
        <v>0</v>
      </c>
      <c r="AS3661" s="175">
        <v>0</v>
      </c>
      <c r="AT3661" s="175">
        <v>0</v>
      </c>
    </row>
    <row r="3662" spans="1:46">
      <c r="A3662">
        <v>55195</v>
      </c>
      <c r="B3662" t="s">
        <v>20142</v>
      </c>
      <c r="C3662" t="s">
        <v>20143</v>
      </c>
      <c r="D3662" t="s">
        <v>20144</v>
      </c>
      <c r="E3662" t="s">
        <v>20145</v>
      </c>
      <c r="F3662" t="s">
        <v>2337</v>
      </c>
      <c r="G3662" t="s">
        <v>2276</v>
      </c>
      <c r="H3662" t="s">
        <v>449</v>
      </c>
      <c r="J3662" t="s">
        <v>4032</v>
      </c>
      <c r="K3662" t="s">
        <v>606</v>
      </c>
      <c r="M3662" t="s">
        <v>1382</v>
      </c>
      <c r="N3662" t="s">
        <v>625</v>
      </c>
      <c r="O3662" t="s">
        <v>2277</v>
      </c>
      <c r="P3662" t="s">
        <v>670</v>
      </c>
      <c r="Q3662" t="s">
        <v>513</v>
      </c>
      <c r="R3662" t="s">
        <v>2164</v>
      </c>
      <c r="S3662" t="s">
        <v>2278</v>
      </c>
      <c r="T3662" t="s">
        <v>2165</v>
      </c>
      <c r="U3662">
        <v>209901</v>
      </c>
      <c r="V3662" t="s">
        <v>2337</v>
      </c>
      <c r="W3662" t="s">
        <v>2279</v>
      </c>
      <c r="X3662" t="s">
        <v>20146</v>
      </c>
      <c r="Y3662" t="s">
        <v>20147</v>
      </c>
      <c r="AA3662" t="s">
        <v>16635</v>
      </c>
      <c r="AB3662" t="s">
        <v>20148</v>
      </c>
      <c r="AE3662">
        <v>-39.636202480000001</v>
      </c>
      <c r="AF3662">
        <v>176.82742417</v>
      </c>
      <c r="AG3662" s="175">
        <v>25</v>
      </c>
      <c r="AH3662" s="175">
        <v>10</v>
      </c>
      <c r="AI3662" s="175">
        <v>1</v>
      </c>
      <c r="AJ3662" s="175">
        <v>5</v>
      </c>
      <c r="AK3662" s="175">
        <v>3</v>
      </c>
      <c r="AL3662" s="175">
        <v>6</v>
      </c>
      <c r="AM3662" s="175">
        <v>8</v>
      </c>
      <c r="AN3662" s="175">
        <v>0</v>
      </c>
      <c r="AO3662" s="175">
        <v>23</v>
      </c>
      <c r="AP3662" s="175">
        <v>17</v>
      </c>
      <c r="AQ3662" s="175">
        <v>7</v>
      </c>
      <c r="AR3662" s="175">
        <v>0</v>
      </c>
      <c r="AS3662" s="175">
        <v>5</v>
      </c>
      <c r="AT3662" s="175">
        <v>1</v>
      </c>
    </row>
    <row r="3663" spans="1:46">
      <c r="A3663">
        <v>55197</v>
      </c>
      <c r="B3663" t="s">
        <v>20149</v>
      </c>
      <c r="C3663" t="s">
        <v>20150</v>
      </c>
      <c r="D3663" t="s">
        <v>20151</v>
      </c>
      <c r="E3663" t="s">
        <v>20152</v>
      </c>
      <c r="G3663" t="s">
        <v>20018</v>
      </c>
      <c r="H3663" t="s">
        <v>347</v>
      </c>
      <c r="J3663" t="s">
        <v>605</v>
      </c>
      <c r="K3663" t="s">
        <v>606</v>
      </c>
      <c r="L3663" t="s">
        <v>4273</v>
      </c>
      <c r="M3663" t="s">
        <v>1382</v>
      </c>
      <c r="N3663" t="s">
        <v>608</v>
      </c>
      <c r="O3663" t="s">
        <v>2163</v>
      </c>
      <c r="P3663" t="s">
        <v>626</v>
      </c>
      <c r="Q3663" t="s">
        <v>512</v>
      </c>
      <c r="R3663" t="s">
        <v>2164</v>
      </c>
      <c r="S3663" t="s">
        <v>1556</v>
      </c>
      <c r="T3663" t="s">
        <v>2165</v>
      </c>
      <c r="U3663">
        <v>205201</v>
      </c>
      <c r="V3663" t="s">
        <v>20019</v>
      </c>
      <c r="W3663" t="s">
        <v>2167</v>
      </c>
      <c r="X3663" t="s">
        <v>18191</v>
      </c>
      <c r="Y3663" t="s">
        <v>4276</v>
      </c>
      <c r="Z3663" t="s">
        <v>4277</v>
      </c>
      <c r="AA3663" t="s">
        <v>4278</v>
      </c>
      <c r="AB3663" t="s">
        <v>18192</v>
      </c>
      <c r="AC3663">
        <v>99162</v>
      </c>
      <c r="AD3663" t="s">
        <v>13419</v>
      </c>
      <c r="AE3663">
        <v>-38.377812040000002</v>
      </c>
      <c r="AF3663">
        <v>178.2953493</v>
      </c>
      <c r="AG3663" s="175">
        <v>35</v>
      </c>
      <c r="AH3663" s="175">
        <v>15</v>
      </c>
      <c r="AI3663" s="175">
        <v>2</v>
      </c>
      <c r="AJ3663" s="175">
        <v>5</v>
      </c>
      <c r="AK3663" s="175">
        <v>5</v>
      </c>
      <c r="AL3663" s="175">
        <v>8</v>
      </c>
      <c r="AM3663" s="175">
        <v>7</v>
      </c>
      <c r="AN3663" s="175">
        <v>0</v>
      </c>
      <c r="AO3663" s="175">
        <v>27</v>
      </c>
      <c r="AP3663" s="175">
        <v>0</v>
      </c>
      <c r="AQ3663" s="175">
        <v>26</v>
      </c>
      <c r="AR3663" s="175">
        <v>0</v>
      </c>
      <c r="AS3663" s="175">
        <v>0</v>
      </c>
      <c r="AT3663" s="175">
        <v>1</v>
      </c>
    </row>
    <row r="3664" spans="1:46">
      <c r="A3664">
        <v>55198</v>
      </c>
      <c r="B3664" t="s">
        <v>20153</v>
      </c>
      <c r="C3664" t="s">
        <v>20154</v>
      </c>
      <c r="D3664" t="s">
        <v>20155</v>
      </c>
      <c r="E3664" t="s">
        <v>20156</v>
      </c>
      <c r="G3664" t="s">
        <v>2196</v>
      </c>
      <c r="H3664" t="s">
        <v>347</v>
      </c>
      <c r="J3664" t="s">
        <v>605</v>
      </c>
      <c r="K3664" t="s">
        <v>606</v>
      </c>
      <c r="L3664" t="s">
        <v>4273</v>
      </c>
      <c r="M3664" t="s">
        <v>1382</v>
      </c>
      <c r="N3664" t="s">
        <v>625</v>
      </c>
      <c r="O3664" t="s">
        <v>2197</v>
      </c>
      <c r="P3664" t="s">
        <v>658</v>
      </c>
      <c r="Q3664" t="s">
        <v>513</v>
      </c>
      <c r="R3664" t="s">
        <v>2164</v>
      </c>
      <c r="S3664" t="s">
        <v>2198</v>
      </c>
      <c r="T3664" t="s">
        <v>2165</v>
      </c>
      <c r="U3664">
        <v>207700</v>
      </c>
      <c r="V3664" t="s">
        <v>20157</v>
      </c>
      <c r="W3664" t="s">
        <v>651</v>
      </c>
      <c r="X3664" t="s">
        <v>18191</v>
      </c>
      <c r="Y3664" t="s">
        <v>4276</v>
      </c>
      <c r="Z3664" t="s">
        <v>4277</v>
      </c>
      <c r="AA3664" t="s">
        <v>4278</v>
      </c>
      <c r="AB3664" t="s">
        <v>18192</v>
      </c>
      <c r="AE3664">
        <v>-39.024601609999998</v>
      </c>
      <c r="AF3664">
        <v>177.39506706</v>
      </c>
      <c r="AG3664" s="175">
        <v>20</v>
      </c>
      <c r="AH3664" s="175">
        <v>6</v>
      </c>
      <c r="AI3664" s="175">
        <v>0</v>
      </c>
      <c r="AJ3664" s="175">
        <v>6</v>
      </c>
      <c r="AK3664" s="175">
        <v>3</v>
      </c>
      <c r="AL3664" s="175">
        <v>5</v>
      </c>
      <c r="AM3664" s="175">
        <v>4</v>
      </c>
      <c r="AN3664" s="175">
        <v>0</v>
      </c>
      <c r="AO3664" s="175">
        <v>18</v>
      </c>
      <c r="AP3664" s="175">
        <v>0</v>
      </c>
      <c r="AQ3664" s="175">
        <v>18</v>
      </c>
      <c r="AR3664" s="175">
        <v>0</v>
      </c>
      <c r="AS3664" s="175">
        <v>0</v>
      </c>
      <c r="AT3664" s="175">
        <v>0</v>
      </c>
    </row>
    <row r="3665" spans="1:46">
      <c r="A3665">
        <v>55199</v>
      </c>
      <c r="B3665" t="s">
        <v>20158</v>
      </c>
      <c r="C3665" t="s">
        <v>20159</v>
      </c>
      <c r="D3665" t="s">
        <v>20160</v>
      </c>
      <c r="E3665" t="s">
        <v>20161</v>
      </c>
      <c r="F3665" t="s">
        <v>2254</v>
      </c>
      <c r="G3665" t="s">
        <v>2198</v>
      </c>
      <c r="H3665" t="s">
        <v>347</v>
      </c>
      <c r="J3665" t="s">
        <v>605</v>
      </c>
      <c r="K3665" t="s">
        <v>606</v>
      </c>
      <c r="L3665" t="s">
        <v>4273</v>
      </c>
      <c r="M3665" t="s">
        <v>1382</v>
      </c>
      <c r="N3665" t="s">
        <v>608</v>
      </c>
      <c r="O3665" t="s">
        <v>2277</v>
      </c>
      <c r="P3665" t="s">
        <v>626</v>
      </c>
      <c r="Q3665" t="s">
        <v>513</v>
      </c>
      <c r="R3665" t="s">
        <v>2164</v>
      </c>
      <c r="S3665" t="s">
        <v>2278</v>
      </c>
      <c r="T3665" t="s">
        <v>2165</v>
      </c>
      <c r="U3665">
        <v>208401</v>
      </c>
      <c r="V3665" t="s">
        <v>20162</v>
      </c>
      <c r="W3665" t="s">
        <v>11923</v>
      </c>
      <c r="X3665" t="s">
        <v>20163</v>
      </c>
      <c r="Y3665" t="s">
        <v>4276</v>
      </c>
      <c r="Z3665" t="s">
        <v>4277</v>
      </c>
      <c r="AA3665" t="s">
        <v>4278</v>
      </c>
      <c r="AB3665" t="s">
        <v>20164</v>
      </c>
      <c r="AC3665">
        <v>99217</v>
      </c>
      <c r="AD3665" t="s">
        <v>2220</v>
      </c>
      <c r="AE3665">
        <v>-39.553355680000003</v>
      </c>
      <c r="AF3665">
        <v>176.83514067999999</v>
      </c>
      <c r="AG3665" s="175">
        <v>25</v>
      </c>
      <c r="AH3665" s="175">
        <v>5</v>
      </c>
      <c r="AI3665" s="175">
        <v>0</v>
      </c>
      <c r="AJ3665" s="175">
        <v>4</v>
      </c>
      <c r="AK3665" s="175">
        <v>6</v>
      </c>
      <c r="AL3665" s="175">
        <v>3</v>
      </c>
      <c r="AM3665" s="175">
        <v>4</v>
      </c>
      <c r="AN3665" s="175">
        <v>0</v>
      </c>
      <c r="AO3665" s="175">
        <v>17</v>
      </c>
      <c r="AP3665" s="175">
        <v>0</v>
      </c>
      <c r="AQ3665" s="175">
        <v>13</v>
      </c>
      <c r="AR3665" s="175">
        <v>2</v>
      </c>
      <c r="AS3665" s="175">
        <v>0</v>
      </c>
      <c r="AT3665" s="175">
        <v>2</v>
      </c>
    </row>
    <row r="3666" spans="1:46">
      <c r="A3666">
        <v>55200</v>
      </c>
      <c r="B3666" t="s">
        <v>20165</v>
      </c>
      <c r="C3666" t="s">
        <v>20166</v>
      </c>
      <c r="D3666" t="s">
        <v>20167</v>
      </c>
      <c r="E3666" t="s">
        <v>20168</v>
      </c>
      <c r="G3666" t="s">
        <v>2276</v>
      </c>
      <c r="H3666" t="s">
        <v>347</v>
      </c>
      <c r="J3666" t="s">
        <v>605</v>
      </c>
      <c r="K3666" t="s">
        <v>606</v>
      </c>
      <c r="L3666" t="s">
        <v>4273</v>
      </c>
      <c r="M3666" t="s">
        <v>1382</v>
      </c>
      <c r="N3666" t="s">
        <v>812</v>
      </c>
      <c r="O3666" t="s">
        <v>2277</v>
      </c>
      <c r="P3666" t="s">
        <v>626</v>
      </c>
      <c r="Q3666" t="s">
        <v>513</v>
      </c>
      <c r="R3666" t="s">
        <v>2164</v>
      </c>
      <c r="S3666" t="s">
        <v>2278</v>
      </c>
      <c r="T3666" t="s">
        <v>2165</v>
      </c>
      <c r="U3666">
        <v>208401</v>
      </c>
      <c r="V3666" t="s">
        <v>20162</v>
      </c>
      <c r="W3666" t="s">
        <v>11923</v>
      </c>
      <c r="X3666" t="s">
        <v>19952</v>
      </c>
      <c r="Y3666" t="s">
        <v>4276</v>
      </c>
      <c r="Z3666" t="s">
        <v>4277</v>
      </c>
      <c r="AA3666" t="s">
        <v>4278</v>
      </c>
      <c r="AB3666" t="s">
        <v>8869</v>
      </c>
      <c r="AE3666">
        <v>-39.581937340000003</v>
      </c>
      <c r="AF3666">
        <v>176.75937519999999</v>
      </c>
      <c r="AG3666" s="175">
        <v>24</v>
      </c>
      <c r="AH3666" s="175">
        <v>8</v>
      </c>
      <c r="AI3666" s="175">
        <v>1</v>
      </c>
      <c r="AJ3666" s="175">
        <v>1</v>
      </c>
      <c r="AK3666" s="175">
        <v>1</v>
      </c>
      <c r="AL3666" s="175">
        <v>0</v>
      </c>
      <c r="AM3666" s="175">
        <v>2</v>
      </c>
      <c r="AN3666" s="175">
        <v>0</v>
      </c>
      <c r="AO3666" s="175">
        <v>5</v>
      </c>
      <c r="AP3666" s="175">
        <v>0</v>
      </c>
      <c r="AQ3666" s="175">
        <v>5</v>
      </c>
      <c r="AR3666" s="175">
        <v>0</v>
      </c>
      <c r="AS3666" s="175">
        <v>0</v>
      </c>
      <c r="AT3666" s="175">
        <v>0</v>
      </c>
    </row>
    <row r="3667" spans="1:46">
      <c r="A3667">
        <v>55203</v>
      </c>
      <c r="B3667" t="s">
        <v>20169</v>
      </c>
      <c r="C3667" t="s">
        <v>20170</v>
      </c>
      <c r="D3667" t="s">
        <v>20171</v>
      </c>
      <c r="E3667" t="s">
        <v>20172</v>
      </c>
      <c r="G3667" t="s">
        <v>2295</v>
      </c>
      <c r="H3667" t="s">
        <v>347</v>
      </c>
      <c r="J3667" t="s">
        <v>605</v>
      </c>
      <c r="K3667" t="s">
        <v>606</v>
      </c>
      <c r="L3667" t="s">
        <v>4273</v>
      </c>
      <c r="M3667" t="s">
        <v>1382</v>
      </c>
      <c r="N3667" t="s">
        <v>812</v>
      </c>
      <c r="O3667" t="s">
        <v>2277</v>
      </c>
      <c r="P3667" t="s">
        <v>1347</v>
      </c>
      <c r="Q3667" t="s">
        <v>513</v>
      </c>
      <c r="R3667" t="s">
        <v>2164</v>
      </c>
      <c r="S3667" t="s">
        <v>2278</v>
      </c>
      <c r="T3667" t="s">
        <v>2165</v>
      </c>
      <c r="U3667">
        <v>211401</v>
      </c>
      <c r="V3667" t="s">
        <v>2318</v>
      </c>
      <c r="W3667" t="s">
        <v>2279</v>
      </c>
      <c r="X3667" t="s">
        <v>20173</v>
      </c>
      <c r="Y3667" t="s">
        <v>4276</v>
      </c>
      <c r="Z3667" t="s">
        <v>4277</v>
      </c>
      <c r="AA3667" t="s">
        <v>4278</v>
      </c>
      <c r="AB3667" t="s">
        <v>20174</v>
      </c>
      <c r="AE3667">
        <v>-39.670976209999999</v>
      </c>
      <c r="AF3667">
        <v>176.86806695999999</v>
      </c>
      <c r="AG3667" s="175">
        <v>15</v>
      </c>
      <c r="AH3667" s="175">
        <v>5</v>
      </c>
      <c r="AI3667" s="175">
        <v>2</v>
      </c>
      <c r="AJ3667" s="175">
        <v>2</v>
      </c>
      <c r="AK3667" s="175">
        <v>5</v>
      </c>
      <c r="AL3667" s="175">
        <v>3</v>
      </c>
      <c r="AM3667" s="175">
        <v>2</v>
      </c>
      <c r="AN3667" s="175">
        <v>0</v>
      </c>
      <c r="AO3667" s="175">
        <v>14</v>
      </c>
      <c r="AP3667" s="175">
        <v>0</v>
      </c>
      <c r="AQ3667" s="175">
        <v>10</v>
      </c>
      <c r="AR3667" s="175">
        <v>4</v>
      </c>
      <c r="AS3667" s="175">
        <v>0</v>
      </c>
      <c r="AT3667" s="175">
        <v>0</v>
      </c>
    </row>
    <row r="3668" spans="1:46">
      <c r="A3668">
        <v>55206</v>
      </c>
      <c r="B3668" t="s">
        <v>20175</v>
      </c>
      <c r="C3668" t="s">
        <v>20176</v>
      </c>
      <c r="D3668" t="s">
        <v>20177</v>
      </c>
      <c r="E3668" t="s">
        <v>20178</v>
      </c>
      <c r="G3668" t="s">
        <v>20179</v>
      </c>
      <c r="H3668" t="s">
        <v>347</v>
      </c>
      <c r="J3668" t="s">
        <v>605</v>
      </c>
      <c r="K3668" t="s">
        <v>606</v>
      </c>
      <c r="L3668" t="s">
        <v>4273</v>
      </c>
      <c r="M3668" t="s">
        <v>1382</v>
      </c>
      <c r="N3668" t="s">
        <v>608</v>
      </c>
      <c r="O3668" t="s">
        <v>2163</v>
      </c>
      <c r="P3668" t="s">
        <v>658</v>
      </c>
      <c r="Q3668" t="s">
        <v>512</v>
      </c>
      <c r="R3668" t="s">
        <v>2164</v>
      </c>
      <c r="S3668" t="s">
        <v>1556</v>
      </c>
      <c r="T3668" t="s">
        <v>2165</v>
      </c>
      <c r="U3668">
        <v>205401</v>
      </c>
      <c r="V3668" t="s">
        <v>20180</v>
      </c>
      <c r="W3668" t="s">
        <v>2167</v>
      </c>
      <c r="X3668" t="s">
        <v>18191</v>
      </c>
      <c r="Y3668" t="s">
        <v>4276</v>
      </c>
      <c r="Z3668" t="s">
        <v>4277</v>
      </c>
      <c r="AA3668" t="s">
        <v>4278</v>
      </c>
      <c r="AB3668" t="s">
        <v>18192</v>
      </c>
      <c r="AE3668">
        <v>-38.557105049999997</v>
      </c>
      <c r="AF3668">
        <v>177.9256369</v>
      </c>
      <c r="AG3668" s="175">
        <v>12</v>
      </c>
      <c r="AH3668" s="175">
        <v>5</v>
      </c>
      <c r="AI3668" s="175">
        <v>0</v>
      </c>
      <c r="AJ3668" s="175">
        <v>3</v>
      </c>
      <c r="AK3668" s="175">
        <v>4</v>
      </c>
      <c r="AL3668" s="175">
        <v>1</v>
      </c>
      <c r="AM3668" s="175">
        <v>1</v>
      </c>
      <c r="AN3668" s="175">
        <v>0</v>
      </c>
      <c r="AO3668" s="175">
        <v>9</v>
      </c>
      <c r="AP3668" s="175">
        <v>0</v>
      </c>
      <c r="AQ3668" s="175">
        <v>9</v>
      </c>
      <c r="AR3668" s="175">
        <v>0</v>
      </c>
      <c r="AS3668" s="175">
        <v>0</v>
      </c>
      <c r="AT3668" s="175">
        <v>0</v>
      </c>
    </row>
    <row r="3669" spans="1:46">
      <c r="A3669">
        <v>55208</v>
      </c>
      <c r="B3669" t="s">
        <v>20181</v>
      </c>
      <c r="C3669" t="s">
        <v>20182</v>
      </c>
      <c r="D3669" t="s">
        <v>20183</v>
      </c>
      <c r="E3669" t="s">
        <v>20184</v>
      </c>
      <c r="G3669" t="s">
        <v>20035</v>
      </c>
      <c r="H3669" t="s">
        <v>347</v>
      </c>
      <c r="J3669" t="s">
        <v>605</v>
      </c>
      <c r="K3669" t="s">
        <v>606</v>
      </c>
      <c r="L3669" t="s">
        <v>4273</v>
      </c>
      <c r="M3669" t="s">
        <v>1382</v>
      </c>
      <c r="N3669" t="s">
        <v>608</v>
      </c>
      <c r="O3669" t="s">
        <v>2163</v>
      </c>
      <c r="P3669" t="s">
        <v>626</v>
      </c>
      <c r="Q3669" t="s">
        <v>512</v>
      </c>
      <c r="R3669" t="s">
        <v>2164</v>
      </c>
      <c r="S3669" t="s">
        <v>1556</v>
      </c>
      <c r="T3669" t="s">
        <v>2165</v>
      </c>
      <c r="U3669">
        <v>205000</v>
      </c>
      <c r="V3669" t="s">
        <v>19557</v>
      </c>
      <c r="W3669" t="s">
        <v>2167</v>
      </c>
      <c r="X3669" t="s">
        <v>18191</v>
      </c>
      <c r="Y3669" t="s">
        <v>4276</v>
      </c>
      <c r="Z3669" t="s">
        <v>4277</v>
      </c>
      <c r="AA3669" t="s">
        <v>4278</v>
      </c>
      <c r="AB3669" t="s">
        <v>18192</v>
      </c>
      <c r="AE3669">
        <v>-38.110550969999998</v>
      </c>
      <c r="AF3669">
        <v>178.33929821000001</v>
      </c>
      <c r="AG3669" s="175">
        <v>18</v>
      </c>
      <c r="AH3669" s="175">
        <v>4</v>
      </c>
      <c r="AI3669" s="175">
        <v>1</v>
      </c>
      <c r="AJ3669" s="175">
        <v>1</v>
      </c>
      <c r="AK3669" s="175">
        <v>3</v>
      </c>
      <c r="AL3669" s="175">
        <v>3</v>
      </c>
      <c r="AM3669" s="175">
        <v>3</v>
      </c>
      <c r="AN3669" s="175">
        <v>0</v>
      </c>
      <c r="AO3669" s="175">
        <v>11</v>
      </c>
      <c r="AP3669" s="175">
        <v>0</v>
      </c>
      <c r="AQ3669" s="175">
        <v>10</v>
      </c>
      <c r="AR3669" s="175">
        <v>0</v>
      </c>
      <c r="AS3669" s="175">
        <v>0</v>
      </c>
      <c r="AT3669" s="175">
        <v>1</v>
      </c>
    </row>
    <row r="3670" spans="1:46">
      <c r="A3670">
        <v>55210</v>
      </c>
      <c r="B3670" t="s">
        <v>20185</v>
      </c>
      <c r="C3670" t="s">
        <v>20186</v>
      </c>
      <c r="D3670" t="s">
        <v>20187</v>
      </c>
      <c r="E3670" t="s">
        <v>20188</v>
      </c>
      <c r="F3670" t="s">
        <v>2302</v>
      </c>
      <c r="G3670" t="s">
        <v>2276</v>
      </c>
      <c r="H3670" t="s">
        <v>347</v>
      </c>
      <c r="J3670" t="s">
        <v>605</v>
      </c>
      <c r="K3670" t="s">
        <v>606</v>
      </c>
      <c r="L3670" t="s">
        <v>4273</v>
      </c>
      <c r="M3670" t="s">
        <v>1382</v>
      </c>
      <c r="N3670" t="s">
        <v>812</v>
      </c>
      <c r="O3670" t="s">
        <v>2277</v>
      </c>
      <c r="P3670" t="s">
        <v>670</v>
      </c>
      <c r="Q3670" t="s">
        <v>513</v>
      </c>
      <c r="R3670" t="s">
        <v>2164</v>
      </c>
      <c r="S3670" t="s">
        <v>2278</v>
      </c>
      <c r="T3670" t="s">
        <v>2165</v>
      </c>
      <c r="U3670">
        <v>209100</v>
      </c>
      <c r="V3670" t="s">
        <v>2314</v>
      </c>
      <c r="W3670" t="s">
        <v>2304</v>
      </c>
      <c r="X3670" t="s">
        <v>8868</v>
      </c>
      <c r="Y3670" t="s">
        <v>4276</v>
      </c>
      <c r="Z3670" t="s">
        <v>4277</v>
      </c>
      <c r="AA3670" t="s">
        <v>4278</v>
      </c>
      <c r="AB3670" t="s">
        <v>8869</v>
      </c>
      <c r="AE3670">
        <v>-39.627443030000002</v>
      </c>
      <c r="AF3670">
        <v>176.77939988</v>
      </c>
      <c r="AG3670" s="175">
        <v>20</v>
      </c>
      <c r="AH3670" s="175">
        <v>6</v>
      </c>
      <c r="AI3670" s="175">
        <v>0</v>
      </c>
      <c r="AJ3670" s="175">
        <v>2</v>
      </c>
      <c r="AK3670" s="175">
        <v>4</v>
      </c>
      <c r="AL3670" s="175">
        <v>1</v>
      </c>
      <c r="AM3670" s="175">
        <v>5</v>
      </c>
      <c r="AN3670" s="175">
        <v>0</v>
      </c>
      <c r="AO3670" s="175">
        <v>12</v>
      </c>
      <c r="AP3670" s="175">
        <v>0</v>
      </c>
      <c r="AQ3670" s="175">
        <v>12</v>
      </c>
      <c r="AR3670" s="175">
        <v>0</v>
      </c>
      <c r="AS3670" s="175">
        <v>0</v>
      </c>
      <c r="AT3670" s="175">
        <v>0</v>
      </c>
    </row>
    <row r="3671" spans="1:46">
      <c r="A3671">
        <v>55211</v>
      </c>
      <c r="B3671" t="s">
        <v>20189</v>
      </c>
      <c r="C3671" t="s">
        <v>20190</v>
      </c>
      <c r="D3671" t="s">
        <v>20191</v>
      </c>
      <c r="E3671" t="s">
        <v>20192</v>
      </c>
      <c r="G3671" t="s">
        <v>13414</v>
      </c>
      <c r="H3671" t="s">
        <v>347</v>
      </c>
      <c r="J3671" t="s">
        <v>605</v>
      </c>
      <c r="K3671" t="s">
        <v>606</v>
      </c>
      <c r="L3671" t="s">
        <v>4273</v>
      </c>
      <c r="M3671" t="s">
        <v>1382</v>
      </c>
      <c r="N3671" t="s">
        <v>608</v>
      </c>
      <c r="O3671" t="s">
        <v>2163</v>
      </c>
      <c r="P3671" t="s">
        <v>626</v>
      </c>
      <c r="Q3671" t="s">
        <v>512</v>
      </c>
      <c r="R3671" t="s">
        <v>2164</v>
      </c>
      <c r="S3671" t="s">
        <v>1556</v>
      </c>
      <c r="T3671" t="s">
        <v>2165</v>
      </c>
      <c r="U3671">
        <v>204900</v>
      </c>
      <c r="V3671" t="s">
        <v>13415</v>
      </c>
      <c r="W3671" t="s">
        <v>2167</v>
      </c>
      <c r="X3671" t="s">
        <v>18191</v>
      </c>
      <c r="Y3671" t="s">
        <v>4276</v>
      </c>
      <c r="Z3671" t="s">
        <v>4277</v>
      </c>
      <c r="AA3671" t="s">
        <v>4278</v>
      </c>
      <c r="AB3671" t="s">
        <v>18192</v>
      </c>
      <c r="AE3671">
        <v>-37.88788375</v>
      </c>
      <c r="AF3671">
        <v>178.34413286</v>
      </c>
      <c r="AG3671" s="175">
        <v>40</v>
      </c>
      <c r="AH3671" s="175">
        <v>10</v>
      </c>
      <c r="AI3671" s="175">
        <v>0</v>
      </c>
      <c r="AJ3671" s="175">
        <v>6</v>
      </c>
      <c r="AK3671" s="175">
        <v>6</v>
      </c>
      <c r="AL3671" s="175">
        <v>5</v>
      </c>
      <c r="AM3671" s="175">
        <v>5</v>
      </c>
      <c r="AN3671" s="175">
        <v>0</v>
      </c>
      <c r="AO3671" s="175">
        <v>22</v>
      </c>
      <c r="AP3671" s="175">
        <v>0</v>
      </c>
      <c r="AQ3671" s="175">
        <v>21</v>
      </c>
      <c r="AR3671" s="175">
        <v>0</v>
      </c>
      <c r="AS3671" s="175">
        <v>0</v>
      </c>
      <c r="AT3671" s="175">
        <v>1</v>
      </c>
    </row>
    <row r="3672" spans="1:46">
      <c r="A3672">
        <v>55214</v>
      </c>
      <c r="B3672" t="s">
        <v>20193</v>
      </c>
      <c r="C3672" t="s">
        <v>20194</v>
      </c>
      <c r="D3672" t="s">
        <v>20195</v>
      </c>
      <c r="E3672" t="s">
        <v>20196</v>
      </c>
      <c r="G3672" t="s">
        <v>14027</v>
      </c>
      <c r="H3672" t="s">
        <v>347</v>
      </c>
      <c r="J3672" t="s">
        <v>605</v>
      </c>
      <c r="K3672" t="s">
        <v>606</v>
      </c>
      <c r="L3672" t="s">
        <v>4273</v>
      </c>
      <c r="M3672" t="s">
        <v>1382</v>
      </c>
      <c r="N3672" t="s">
        <v>812</v>
      </c>
      <c r="O3672" t="s">
        <v>2163</v>
      </c>
      <c r="P3672" t="s">
        <v>626</v>
      </c>
      <c r="Q3672" t="s">
        <v>512</v>
      </c>
      <c r="R3672" t="s">
        <v>2164</v>
      </c>
      <c r="S3672" t="s">
        <v>1556</v>
      </c>
      <c r="T3672" t="s">
        <v>2165</v>
      </c>
      <c r="U3672">
        <v>204700</v>
      </c>
      <c r="V3672" t="s">
        <v>14028</v>
      </c>
      <c r="W3672" t="s">
        <v>2167</v>
      </c>
      <c r="X3672" t="s">
        <v>18191</v>
      </c>
      <c r="Y3672" t="s">
        <v>4276</v>
      </c>
      <c r="Z3672" t="s">
        <v>4277</v>
      </c>
      <c r="AA3672" t="s">
        <v>4278</v>
      </c>
      <c r="AB3672" t="s">
        <v>18192</v>
      </c>
      <c r="AE3672">
        <v>-37.59271656</v>
      </c>
      <c r="AF3672">
        <v>178.28901415999999</v>
      </c>
      <c r="AG3672" s="175">
        <v>12</v>
      </c>
      <c r="AH3672" s="175">
        <v>8</v>
      </c>
      <c r="AI3672" s="175">
        <v>1</v>
      </c>
      <c r="AJ3672" s="175">
        <v>1</v>
      </c>
      <c r="AK3672" s="175">
        <v>0</v>
      </c>
      <c r="AL3672" s="175">
        <v>2</v>
      </c>
      <c r="AM3672" s="175">
        <v>0</v>
      </c>
      <c r="AN3672" s="175">
        <v>0</v>
      </c>
      <c r="AO3672" s="175">
        <v>4</v>
      </c>
      <c r="AP3672" s="175">
        <v>0</v>
      </c>
      <c r="AQ3672" s="175">
        <v>4</v>
      </c>
      <c r="AR3672" s="175">
        <v>0</v>
      </c>
      <c r="AS3672" s="175">
        <v>0</v>
      </c>
      <c r="AT3672" s="175">
        <v>0</v>
      </c>
    </row>
    <row r="3673" spans="1:46">
      <c r="A3673">
        <v>55215</v>
      </c>
      <c r="B3673" t="s">
        <v>20197</v>
      </c>
      <c r="C3673" t="s">
        <v>20198</v>
      </c>
      <c r="D3673" t="s">
        <v>20199</v>
      </c>
      <c r="E3673" t="s">
        <v>20200</v>
      </c>
      <c r="G3673" t="s">
        <v>2295</v>
      </c>
      <c r="H3673" t="s">
        <v>449</v>
      </c>
      <c r="J3673" t="s">
        <v>4032</v>
      </c>
      <c r="K3673" t="s">
        <v>606</v>
      </c>
      <c r="M3673" t="s">
        <v>1382</v>
      </c>
      <c r="N3673" t="s">
        <v>657</v>
      </c>
      <c r="O3673" t="s">
        <v>2277</v>
      </c>
      <c r="P3673" t="s">
        <v>1347</v>
      </c>
      <c r="Q3673" t="s">
        <v>513</v>
      </c>
      <c r="R3673" t="s">
        <v>2164</v>
      </c>
      <c r="S3673" t="s">
        <v>2278</v>
      </c>
      <c r="T3673" t="s">
        <v>2165</v>
      </c>
      <c r="U3673">
        <v>211600</v>
      </c>
      <c r="V3673" t="s">
        <v>8785</v>
      </c>
      <c r="W3673" t="s">
        <v>2279</v>
      </c>
      <c r="X3673" t="s">
        <v>20201</v>
      </c>
      <c r="Y3673" t="s">
        <v>20200</v>
      </c>
      <c r="AA3673" t="s">
        <v>14810</v>
      </c>
      <c r="AB3673" t="s">
        <v>20202</v>
      </c>
      <c r="AC3673">
        <v>99022</v>
      </c>
      <c r="AD3673" t="s">
        <v>2297</v>
      </c>
      <c r="AE3673">
        <v>-39.667859819999997</v>
      </c>
      <c r="AF3673">
        <v>176.87928239999999</v>
      </c>
      <c r="AG3673" s="175">
        <v>61</v>
      </c>
      <c r="AH3673" s="175">
        <v>16</v>
      </c>
      <c r="AI3673" s="175">
        <v>2</v>
      </c>
      <c r="AJ3673" s="175">
        <v>9</v>
      </c>
      <c r="AK3673" s="175">
        <v>11</v>
      </c>
      <c r="AL3673" s="175">
        <v>12</v>
      </c>
      <c r="AM3673" s="175">
        <v>17</v>
      </c>
      <c r="AN3673" s="175">
        <v>1</v>
      </c>
      <c r="AO3673" s="175">
        <v>52</v>
      </c>
      <c r="AP3673" s="175">
        <v>40</v>
      </c>
      <c r="AQ3673" s="175">
        <v>14</v>
      </c>
      <c r="AR3673" s="175">
        <v>0</v>
      </c>
      <c r="AS3673" s="175">
        <v>11</v>
      </c>
      <c r="AT3673" s="175">
        <v>1</v>
      </c>
    </row>
    <row r="3674" spans="1:46">
      <c r="A3674">
        <v>55216</v>
      </c>
      <c r="B3674" t="s">
        <v>20203</v>
      </c>
      <c r="C3674" t="s">
        <v>20204</v>
      </c>
      <c r="D3674" t="s">
        <v>20205</v>
      </c>
      <c r="E3674" t="s">
        <v>20206</v>
      </c>
      <c r="F3674" t="s">
        <v>20207</v>
      </c>
      <c r="G3674" t="s">
        <v>2162</v>
      </c>
      <c r="H3674" t="s">
        <v>452</v>
      </c>
      <c r="J3674" t="s">
        <v>605</v>
      </c>
      <c r="K3674" t="s">
        <v>606</v>
      </c>
      <c r="M3674" t="s">
        <v>1382</v>
      </c>
      <c r="N3674" t="s">
        <v>657</v>
      </c>
      <c r="O3674" t="s">
        <v>2163</v>
      </c>
      <c r="P3674" t="s">
        <v>658</v>
      </c>
      <c r="Q3674" t="s">
        <v>512</v>
      </c>
      <c r="R3674" t="s">
        <v>2164</v>
      </c>
      <c r="S3674" t="s">
        <v>1556</v>
      </c>
      <c r="T3674" t="s">
        <v>2165</v>
      </c>
      <c r="U3674">
        <v>205401</v>
      </c>
      <c r="V3674" t="s">
        <v>20180</v>
      </c>
      <c r="W3674" t="s">
        <v>2167</v>
      </c>
      <c r="X3674" t="s">
        <v>2168</v>
      </c>
      <c r="Y3674" t="s">
        <v>2169</v>
      </c>
      <c r="AA3674" t="s">
        <v>2170</v>
      </c>
      <c r="AB3674" t="s">
        <v>2171</v>
      </c>
      <c r="AC3674">
        <v>99082</v>
      </c>
      <c r="AD3674" t="s">
        <v>2172</v>
      </c>
      <c r="AE3674">
        <v>-38.553142549999997</v>
      </c>
      <c r="AF3674">
        <v>177.91958898999999</v>
      </c>
      <c r="AG3674" s="175">
        <v>34</v>
      </c>
      <c r="AH3674" s="175">
        <v>4</v>
      </c>
      <c r="AI3674" s="175">
        <v>0</v>
      </c>
      <c r="AJ3674" s="175">
        <v>3</v>
      </c>
      <c r="AK3674" s="175">
        <v>9</v>
      </c>
      <c r="AL3674" s="175">
        <v>17</v>
      </c>
      <c r="AM3674" s="175">
        <v>16</v>
      </c>
      <c r="AN3674" s="175">
        <v>0</v>
      </c>
      <c r="AO3674" s="175">
        <v>45</v>
      </c>
      <c r="AP3674" s="175">
        <v>42</v>
      </c>
      <c r="AQ3674" s="175">
        <v>17</v>
      </c>
      <c r="AR3674" s="175">
        <v>3</v>
      </c>
      <c r="AS3674" s="175">
        <v>0</v>
      </c>
      <c r="AT3674" s="175">
        <v>0</v>
      </c>
    </row>
    <row r="3675" spans="1:46">
      <c r="A3675">
        <v>55217</v>
      </c>
      <c r="B3675" t="s">
        <v>20208</v>
      </c>
      <c r="C3675" t="s">
        <v>20209</v>
      </c>
      <c r="D3675" t="s">
        <v>20210</v>
      </c>
      <c r="E3675" t="s">
        <v>20211</v>
      </c>
      <c r="F3675" t="s">
        <v>9869</v>
      </c>
      <c r="G3675" t="s">
        <v>2162</v>
      </c>
      <c r="H3675" t="s">
        <v>449</v>
      </c>
      <c r="J3675" t="s">
        <v>605</v>
      </c>
      <c r="K3675" t="s">
        <v>606</v>
      </c>
      <c r="M3675" t="s">
        <v>1382</v>
      </c>
      <c r="N3675" t="s">
        <v>643</v>
      </c>
      <c r="O3675" t="s">
        <v>2163</v>
      </c>
      <c r="P3675" t="s">
        <v>670</v>
      </c>
      <c r="Q3675" t="s">
        <v>512</v>
      </c>
      <c r="R3675" t="s">
        <v>2164</v>
      </c>
      <c r="S3675" t="s">
        <v>1556</v>
      </c>
      <c r="T3675" t="s">
        <v>2165</v>
      </c>
      <c r="U3675">
        <v>205601</v>
      </c>
      <c r="V3675" t="s">
        <v>20212</v>
      </c>
      <c r="W3675" t="s">
        <v>2167</v>
      </c>
      <c r="X3675" t="s">
        <v>20213</v>
      </c>
      <c r="Y3675" t="s">
        <v>10569</v>
      </c>
      <c r="Z3675" t="s">
        <v>2162</v>
      </c>
      <c r="AA3675" t="s">
        <v>2170</v>
      </c>
      <c r="AB3675" t="s">
        <v>20214</v>
      </c>
      <c r="AE3675">
        <v>-38.667446900000002</v>
      </c>
      <c r="AF3675">
        <v>178.0095508</v>
      </c>
      <c r="AG3675" s="175">
        <v>40</v>
      </c>
      <c r="AH3675" s="175">
        <v>8</v>
      </c>
      <c r="AI3675" s="175">
        <v>2</v>
      </c>
      <c r="AJ3675" s="175">
        <v>9</v>
      </c>
      <c r="AK3675" s="175">
        <v>13</v>
      </c>
      <c r="AL3675" s="175">
        <v>12</v>
      </c>
      <c r="AM3675" s="175">
        <v>10</v>
      </c>
      <c r="AN3675" s="175">
        <v>1</v>
      </c>
      <c r="AO3675" s="175">
        <v>47</v>
      </c>
      <c r="AP3675" s="175">
        <v>40</v>
      </c>
      <c r="AQ3675" s="175">
        <v>24</v>
      </c>
      <c r="AR3675" s="175">
        <v>1</v>
      </c>
      <c r="AS3675" s="175">
        <v>0</v>
      </c>
      <c r="AT3675" s="175">
        <v>4</v>
      </c>
    </row>
    <row r="3676" spans="1:46">
      <c r="A3676">
        <v>55223</v>
      </c>
      <c r="B3676" t="s">
        <v>20215</v>
      </c>
      <c r="C3676" t="s">
        <v>20216</v>
      </c>
      <c r="D3676" t="s">
        <v>20217</v>
      </c>
      <c r="E3676" t="s">
        <v>20218</v>
      </c>
      <c r="F3676" t="s">
        <v>2161</v>
      </c>
      <c r="G3676" t="s">
        <v>2162</v>
      </c>
      <c r="H3676" t="s">
        <v>347</v>
      </c>
      <c r="J3676" t="s">
        <v>605</v>
      </c>
      <c r="K3676" t="s">
        <v>606</v>
      </c>
      <c r="L3676" t="s">
        <v>4273</v>
      </c>
      <c r="M3676" t="s">
        <v>1382</v>
      </c>
      <c r="N3676" t="s">
        <v>608</v>
      </c>
      <c r="O3676" t="s">
        <v>2163</v>
      </c>
      <c r="P3676" t="s">
        <v>670</v>
      </c>
      <c r="Q3676" t="s">
        <v>512</v>
      </c>
      <c r="R3676" t="s">
        <v>2164</v>
      </c>
      <c r="S3676" t="s">
        <v>1556</v>
      </c>
      <c r="T3676" t="s">
        <v>2165</v>
      </c>
      <c r="U3676">
        <v>206000</v>
      </c>
      <c r="V3676" t="s">
        <v>2166</v>
      </c>
      <c r="W3676" t="s">
        <v>2167</v>
      </c>
      <c r="X3676" t="s">
        <v>18191</v>
      </c>
      <c r="Y3676" t="s">
        <v>4276</v>
      </c>
      <c r="Z3676" t="s">
        <v>4277</v>
      </c>
      <c r="AA3676" t="s">
        <v>4278</v>
      </c>
      <c r="AB3676" t="s">
        <v>18192</v>
      </c>
      <c r="AE3676">
        <v>-38.654626639999996</v>
      </c>
      <c r="AF3676">
        <v>177.99698197000001</v>
      </c>
      <c r="AG3676" s="175">
        <v>30</v>
      </c>
      <c r="AH3676" s="175">
        <v>10</v>
      </c>
      <c r="AI3676" s="175">
        <v>2</v>
      </c>
      <c r="AJ3676" s="175">
        <v>5</v>
      </c>
      <c r="AK3676" s="175">
        <v>5</v>
      </c>
      <c r="AL3676" s="175">
        <v>5</v>
      </c>
      <c r="AM3676" s="175">
        <v>4</v>
      </c>
      <c r="AN3676" s="175">
        <v>0</v>
      </c>
      <c r="AO3676" s="175">
        <v>21</v>
      </c>
      <c r="AP3676" s="175">
        <v>0</v>
      </c>
      <c r="AQ3676" s="175">
        <v>20</v>
      </c>
      <c r="AR3676" s="175">
        <v>0</v>
      </c>
      <c r="AS3676" s="175">
        <v>0</v>
      </c>
      <c r="AT3676" s="175">
        <v>1</v>
      </c>
    </row>
    <row r="3677" spans="1:46">
      <c r="A3677">
        <v>55224</v>
      </c>
      <c r="B3677" t="s">
        <v>20219</v>
      </c>
      <c r="C3677" t="s">
        <v>20220</v>
      </c>
      <c r="D3677" t="s">
        <v>20221</v>
      </c>
      <c r="E3677" t="s">
        <v>20222</v>
      </c>
      <c r="G3677" t="s">
        <v>2162</v>
      </c>
      <c r="H3677" t="s">
        <v>452</v>
      </c>
      <c r="J3677" t="s">
        <v>605</v>
      </c>
      <c r="K3677" t="s">
        <v>606</v>
      </c>
      <c r="M3677" t="s">
        <v>1382</v>
      </c>
      <c r="N3677" t="s">
        <v>657</v>
      </c>
      <c r="O3677" t="s">
        <v>2163</v>
      </c>
      <c r="P3677" t="s">
        <v>658</v>
      </c>
      <c r="Q3677" t="s">
        <v>512</v>
      </c>
      <c r="R3677" t="s">
        <v>2164</v>
      </c>
      <c r="S3677" t="s">
        <v>1556</v>
      </c>
      <c r="T3677" t="s">
        <v>2165</v>
      </c>
      <c r="U3677">
        <v>205401</v>
      </c>
      <c r="V3677" t="s">
        <v>20180</v>
      </c>
      <c r="W3677" t="s">
        <v>2167</v>
      </c>
      <c r="X3677" t="s">
        <v>2168</v>
      </c>
      <c r="Y3677" t="s">
        <v>2169</v>
      </c>
      <c r="AA3677" t="s">
        <v>2170</v>
      </c>
      <c r="AB3677" t="s">
        <v>2171</v>
      </c>
      <c r="AC3677">
        <v>99082</v>
      </c>
      <c r="AD3677" t="s">
        <v>2172</v>
      </c>
      <c r="AE3677">
        <v>-38.624844760000002</v>
      </c>
      <c r="AF3677">
        <v>177.95701169</v>
      </c>
      <c r="AG3677" s="175">
        <v>40</v>
      </c>
      <c r="AH3677" s="175">
        <v>0</v>
      </c>
      <c r="AI3677" s="175">
        <v>0</v>
      </c>
      <c r="AJ3677" s="175">
        <v>0</v>
      </c>
      <c r="AK3677" s="175">
        <v>5</v>
      </c>
      <c r="AL3677" s="175">
        <v>18</v>
      </c>
      <c r="AM3677" s="175">
        <v>21</v>
      </c>
      <c r="AN3677" s="175">
        <v>3</v>
      </c>
      <c r="AO3677" s="175">
        <v>47</v>
      </c>
      <c r="AP3677" s="175">
        <v>40</v>
      </c>
      <c r="AQ3677" s="175">
        <v>10</v>
      </c>
      <c r="AR3677" s="175">
        <v>1</v>
      </c>
      <c r="AS3677" s="175">
        <v>5</v>
      </c>
      <c r="AT3677" s="175">
        <v>1</v>
      </c>
    </row>
    <row r="3678" spans="1:46">
      <c r="A3678">
        <v>55226</v>
      </c>
      <c r="B3678" t="s">
        <v>20223</v>
      </c>
      <c r="C3678" t="s">
        <v>20224</v>
      </c>
      <c r="D3678" t="s">
        <v>20225</v>
      </c>
      <c r="E3678" t="s">
        <v>20096</v>
      </c>
      <c r="F3678" t="s">
        <v>2254</v>
      </c>
      <c r="G3678" t="s">
        <v>2198</v>
      </c>
      <c r="H3678" t="s">
        <v>347</v>
      </c>
      <c r="J3678" t="s">
        <v>605</v>
      </c>
      <c r="K3678" t="s">
        <v>606</v>
      </c>
      <c r="L3678" t="s">
        <v>4273</v>
      </c>
      <c r="M3678" t="s">
        <v>1382</v>
      </c>
      <c r="N3678" t="s">
        <v>812</v>
      </c>
      <c r="O3678" t="s">
        <v>2210</v>
      </c>
      <c r="P3678" t="s">
        <v>670</v>
      </c>
      <c r="Q3678" t="s">
        <v>513</v>
      </c>
      <c r="R3678" t="s">
        <v>2164</v>
      </c>
      <c r="S3678" t="s">
        <v>2198</v>
      </c>
      <c r="T3678" t="s">
        <v>2165</v>
      </c>
      <c r="U3678">
        <v>214900</v>
      </c>
      <c r="V3678" t="s">
        <v>2255</v>
      </c>
      <c r="W3678" t="s">
        <v>2219</v>
      </c>
      <c r="X3678" t="s">
        <v>8868</v>
      </c>
      <c r="Y3678" t="s">
        <v>4276</v>
      </c>
      <c r="Z3678" t="s">
        <v>4277</v>
      </c>
      <c r="AA3678" t="s">
        <v>4278</v>
      </c>
      <c r="AB3678" t="s">
        <v>8869</v>
      </c>
      <c r="AE3678">
        <v>-39.539803810000002</v>
      </c>
      <c r="AF3678">
        <v>176.85484360999999</v>
      </c>
      <c r="AG3678" s="175">
        <v>24</v>
      </c>
      <c r="AH3678" s="175">
        <v>4</v>
      </c>
      <c r="AI3678" s="175">
        <v>1</v>
      </c>
      <c r="AJ3678" s="175">
        <v>3</v>
      </c>
      <c r="AK3678" s="175">
        <v>6</v>
      </c>
      <c r="AL3678" s="175">
        <v>5</v>
      </c>
      <c r="AM3678" s="175">
        <v>7</v>
      </c>
      <c r="AN3678" s="175">
        <v>0</v>
      </c>
      <c r="AO3678" s="175">
        <v>22</v>
      </c>
      <c r="AP3678" s="175">
        <v>0</v>
      </c>
      <c r="AQ3678" s="175">
        <v>22</v>
      </c>
      <c r="AR3678" s="175">
        <v>0</v>
      </c>
      <c r="AS3678" s="175">
        <v>0</v>
      </c>
      <c r="AT3678" s="175">
        <v>0</v>
      </c>
    </row>
    <row r="3679" spans="1:46">
      <c r="A3679">
        <v>55233</v>
      </c>
      <c r="B3679" t="s">
        <v>20226</v>
      </c>
      <c r="C3679" t="s">
        <v>20227</v>
      </c>
      <c r="D3679" t="s">
        <v>20228</v>
      </c>
      <c r="E3679" t="s">
        <v>20229</v>
      </c>
      <c r="G3679" t="s">
        <v>20230</v>
      </c>
      <c r="H3679" t="s">
        <v>347</v>
      </c>
      <c r="J3679" t="s">
        <v>605</v>
      </c>
      <c r="K3679" t="s">
        <v>606</v>
      </c>
      <c r="L3679" t="s">
        <v>4273</v>
      </c>
      <c r="M3679" t="s">
        <v>1382</v>
      </c>
      <c r="N3679" t="s">
        <v>608</v>
      </c>
      <c r="O3679" t="s">
        <v>2197</v>
      </c>
      <c r="P3679" t="s">
        <v>658</v>
      </c>
      <c r="Q3679" t="s">
        <v>513</v>
      </c>
      <c r="R3679" t="s">
        <v>2164</v>
      </c>
      <c r="S3679" t="s">
        <v>2198</v>
      </c>
      <c r="T3679" t="s">
        <v>2165</v>
      </c>
      <c r="U3679">
        <v>207900</v>
      </c>
      <c r="V3679" t="s">
        <v>20230</v>
      </c>
      <c r="W3679" t="s">
        <v>651</v>
      </c>
      <c r="X3679" t="s">
        <v>18191</v>
      </c>
      <c r="Y3679" t="s">
        <v>4276</v>
      </c>
      <c r="Z3679" t="s">
        <v>4277</v>
      </c>
      <c r="AA3679" t="s">
        <v>4278</v>
      </c>
      <c r="AB3679" t="s">
        <v>18192</v>
      </c>
      <c r="AE3679">
        <v>-39.0469212</v>
      </c>
      <c r="AF3679">
        <v>177.86557091</v>
      </c>
      <c r="AG3679" s="175">
        <v>20</v>
      </c>
      <c r="AH3679" s="175">
        <v>8</v>
      </c>
      <c r="AI3679" s="175">
        <v>0</v>
      </c>
      <c r="AJ3679" s="175">
        <v>3</v>
      </c>
      <c r="AK3679" s="175">
        <v>3</v>
      </c>
      <c r="AL3679" s="175">
        <v>7</v>
      </c>
      <c r="AM3679" s="175">
        <v>4</v>
      </c>
      <c r="AN3679" s="175">
        <v>0</v>
      </c>
      <c r="AO3679" s="175">
        <v>17</v>
      </c>
      <c r="AP3679" s="175">
        <v>0</v>
      </c>
      <c r="AQ3679" s="175">
        <v>17</v>
      </c>
      <c r="AR3679" s="175">
        <v>0</v>
      </c>
      <c r="AS3679" s="175">
        <v>0</v>
      </c>
      <c r="AT3679" s="175">
        <v>0</v>
      </c>
    </row>
    <row r="3680" spans="1:46">
      <c r="A3680">
        <v>55234</v>
      </c>
      <c r="B3680" t="s">
        <v>20231</v>
      </c>
      <c r="C3680" t="s">
        <v>20232</v>
      </c>
      <c r="D3680" t="s">
        <v>20233</v>
      </c>
      <c r="E3680" t="s">
        <v>20234</v>
      </c>
      <c r="F3680" t="s">
        <v>9070</v>
      </c>
      <c r="G3680" t="s">
        <v>2162</v>
      </c>
      <c r="H3680" t="s">
        <v>347</v>
      </c>
      <c r="J3680" t="s">
        <v>605</v>
      </c>
      <c r="K3680" t="s">
        <v>606</v>
      </c>
      <c r="L3680" t="s">
        <v>4273</v>
      </c>
      <c r="M3680" t="s">
        <v>1382</v>
      </c>
      <c r="N3680" t="s">
        <v>812</v>
      </c>
      <c r="O3680" t="s">
        <v>2163</v>
      </c>
      <c r="P3680" t="s">
        <v>670</v>
      </c>
      <c r="Q3680" t="s">
        <v>512</v>
      </c>
      <c r="R3680" t="s">
        <v>2164</v>
      </c>
      <c r="S3680" t="s">
        <v>1556</v>
      </c>
      <c r="T3680" t="s">
        <v>2165</v>
      </c>
      <c r="U3680">
        <v>206400</v>
      </c>
      <c r="V3680" t="s">
        <v>15880</v>
      </c>
      <c r="W3680" t="s">
        <v>2167</v>
      </c>
      <c r="X3680" t="s">
        <v>18191</v>
      </c>
      <c r="Y3680" t="s">
        <v>4276</v>
      </c>
      <c r="Z3680" t="s">
        <v>4277</v>
      </c>
      <c r="AA3680" t="s">
        <v>4278</v>
      </c>
      <c r="AB3680" t="s">
        <v>18192</v>
      </c>
      <c r="AE3680">
        <v>-38.658450440000003</v>
      </c>
      <c r="AF3680">
        <v>178.0177367</v>
      </c>
      <c r="AG3680" s="175">
        <v>70</v>
      </c>
      <c r="AH3680" s="175">
        <v>30</v>
      </c>
      <c r="AI3680" s="175">
        <v>3</v>
      </c>
      <c r="AJ3680" s="175">
        <v>14</v>
      </c>
      <c r="AK3680" s="175">
        <v>12</v>
      </c>
      <c r="AL3680" s="175">
        <v>13</v>
      </c>
      <c r="AM3680" s="175">
        <v>6</v>
      </c>
      <c r="AN3680" s="175">
        <v>0</v>
      </c>
      <c r="AO3680" s="175">
        <v>48</v>
      </c>
      <c r="AP3680" s="175">
        <v>0</v>
      </c>
      <c r="AQ3680" s="175">
        <v>48</v>
      </c>
      <c r="AR3680" s="175">
        <v>0</v>
      </c>
      <c r="AS3680" s="175">
        <v>0</v>
      </c>
      <c r="AT3680" s="175">
        <v>0</v>
      </c>
    </row>
    <row r="3681" spans="1:46">
      <c r="A3681">
        <v>55238</v>
      </c>
      <c r="B3681" t="s">
        <v>20235</v>
      </c>
      <c r="C3681" t="s">
        <v>20236</v>
      </c>
      <c r="D3681" t="s">
        <v>20237</v>
      </c>
      <c r="E3681" t="s">
        <v>20238</v>
      </c>
      <c r="G3681" t="s">
        <v>20239</v>
      </c>
      <c r="H3681" t="s">
        <v>347</v>
      </c>
      <c r="J3681" t="s">
        <v>605</v>
      </c>
      <c r="K3681" t="s">
        <v>606</v>
      </c>
      <c r="L3681" t="s">
        <v>4273</v>
      </c>
      <c r="M3681" t="s">
        <v>1382</v>
      </c>
      <c r="N3681" t="s">
        <v>608</v>
      </c>
      <c r="O3681" t="s">
        <v>2197</v>
      </c>
      <c r="P3681" t="s">
        <v>658</v>
      </c>
      <c r="Q3681" t="s">
        <v>513</v>
      </c>
      <c r="R3681" t="s">
        <v>2164</v>
      </c>
      <c r="S3681" t="s">
        <v>2198</v>
      </c>
      <c r="T3681" t="s">
        <v>2165</v>
      </c>
      <c r="U3681">
        <v>207700</v>
      </c>
      <c r="V3681" t="s">
        <v>20157</v>
      </c>
      <c r="W3681" t="s">
        <v>651</v>
      </c>
      <c r="X3681" t="s">
        <v>19952</v>
      </c>
      <c r="Y3681" t="s">
        <v>4276</v>
      </c>
      <c r="Z3681" t="s">
        <v>4277</v>
      </c>
      <c r="AA3681" t="s">
        <v>4278</v>
      </c>
      <c r="AB3681" t="s">
        <v>8869</v>
      </c>
      <c r="AE3681">
        <v>-39.013049430000002</v>
      </c>
      <c r="AF3681">
        <v>177.41342646999999</v>
      </c>
      <c r="AG3681" s="175">
        <v>20</v>
      </c>
      <c r="AH3681" s="175">
        <v>8</v>
      </c>
      <c r="AI3681" s="175">
        <v>2</v>
      </c>
      <c r="AJ3681" s="175">
        <v>4</v>
      </c>
      <c r="AK3681" s="175">
        <v>4</v>
      </c>
      <c r="AL3681" s="175">
        <v>2</v>
      </c>
      <c r="AM3681" s="175">
        <v>1</v>
      </c>
      <c r="AN3681" s="175">
        <v>0</v>
      </c>
      <c r="AO3681" s="175">
        <v>13</v>
      </c>
      <c r="AP3681" s="175">
        <v>0</v>
      </c>
      <c r="AQ3681" s="175">
        <v>13</v>
      </c>
      <c r="AR3681" s="175">
        <v>0</v>
      </c>
      <c r="AS3681" s="175">
        <v>0</v>
      </c>
      <c r="AT3681" s="175">
        <v>0</v>
      </c>
    </row>
    <row r="3682" spans="1:46">
      <c r="A3682">
        <v>55239</v>
      </c>
      <c r="B3682" t="s">
        <v>10613</v>
      </c>
      <c r="C3682" t="s">
        <v>20240</v>
      </c>
      <c r="D3682" t="s">
        <v>20241</v>
      </c>
      <c r="E3682" t="s">
        <v>20242</v>
      </c>
      <c r="G3682" t="s">
        <v>2196</v>
      </c>
      <c r="H3682" t="s">
        <v>347</v>
      </c>
      <c r="J3682" t="s">
        <v>605</v>
      </c>
      <c r="K3682" t="s">
        <v>606</v>
      </c>
      <c r="L3682" t="s">
        <v>4273</v>
      </c>
      <c r="M3682" t="s">
        <v>1382</v>
      </c>
      <c r="N3682" t="s">
        <v>812</v>
      </c>
      <c r="O3682" t="s">
        <v>2197</v>
      </c>
      <c r="P3682" t="s">
        <v>610</v>
      </c>
      <c r="Q3682" t="s">
        <v>513</v>
      </c>
      <c r="R3682" t="s">
        <v>2164</v>
      </c>
      <c r="S3682" t="s">
        <v>2198</v>
      </c>
      <c r="T3682" t="s">
        <v>2165</v>
      </c>
      <c r="U3682">
        <v>207800</v>
      </c>
      <c r="V3682" t="s">
        <v>2196</v>
      </c>
      <c r="W3682" t="s">
        <v>651</v>
      </c>
      <c r="X3682" t="s">
        <v>19952</v>
      </c>
      <c r="Y3682" t="s">
        <v>4276</v>
      </c>
      <c r="Z3682" t="s">
        <v>4277</v>
      </c>
      <c r="AA3682" t="s">
        <v>4278</v>
      </c>
      <c r="AB3682" t="s">
        <v>8869</v>
      </c>
      <c r="AE3682">
        <v>-39.041492820000002</v>
      </c>
      <c r="AF3682">
        <v>177.42111639000001</v>
      </c>
      <c r="AG3682" s="175">
        <v>20</v>
      </c>
      <c r="AH3682" s="175">
        <v>8</v>
      </c>
      <c r="AI3682" s="175">
        <v>0</v>
      </c>
      <c r="AJ3682" s="175">
        <v>1</v>
      </c>
      <c r="AK3682" s="175">
        <v>3</v>
      </c>
      <c r="AL3682" s="175">
        <v>2</v>
      </c>
      <c r="AM3682" s="175">
        <v>5</v>
      </c>
      <c r="AN3682" s="175">
        <v>0</v>
      </c>
      <c r="AO3682" s="175">
        <v>11</v>
      </c>
      <c r="AP3682" s="175">
        <v>0</v>
      </c>
      <c r="AQ3682" s="175">
        <v>11</v>
      </c>
      <c r="AR3682" s="175">
        <v>0</v>
      </c>
      <c r="AS3682" s="175">
        <v>0</v>
      </c>
      <c r="AT3682" s="175">
        <v>0</v>
      </c>
    </row>
    <row r="3683" spans="1:46">
      <c r="A3683">
        <v>55240</v>
      </c>
      <c r="B3683" t="s">
        <v>20243</v>
      </c>
      <c r="C3683" t="s">
        <v>20244</v>
      </c>
      <c r="D3683" t="s">
        <v>20245</v>
      </c>
      <c r="E3683" t="s">
        <v>20246</v>
      </c>
      <c r="G3683" t="s">
        <v>2196</v>
      </c>
      <c r="H3683" t="s">
        <v>347</v>
      </c>
      <c r="J3683" t="s">
        <v>605</v>
      </c>
      <c r="K3683" t="s">
        <v>606</v>
      </c>
      <c r="L3683" t="s">
        <v>4273</v>
      </c>
      <c r="M3683" t="s">
        <v>1382</v>
      </c>
      <c r="N3683" t="s">
        <v>608</v>
      </c>
      <c r="O3683" t="s">
        <v>2197</v>
      </c>
      <c r="P3683" t="s">
        <v>610</v>
      </c>
      <c r="Q3683" t="s">
        <v>513</v>
      </c>
      <c r="R3683" t="s">
        <v>2164</v>
      </c>
      <c r="S3683" t="s">
        <v>2198</v>
      </c>
      <c r="T3683" t="s">
        <v>2165</v>
      </c>
      <c r="U3683">
        <v>207800</v>
      </c>
      <c r="V3683" t="s">
        <v>2196</v>
      </c>
      <c r="W3683" t="s">
        <v>651</v>
      </c>
      <c r="X3683" t="s">
        <v>19952</v>
      </c>
      <c r="Y3683" t="s">
        <v>4276</v>
      </c>
      <c r="Z3683" t="s">
        <v>4277</v>
      </c>
      <c r="AA3683" t="s">
        <v>4278</v>
      </c>
      <c r="AB3683" t="s">
        <v>8869</v>
      </c>
      <c r="AE3683">
        <v>-39.040184009999997</v>
      </c>
      <c r="AF3683">
        <v>177.42949146999999</v>
      </c>
      <c r="AG3683" s="175">
        <v>16</v>
      </c>
      <c r="AH3683" s="175">
        <v>6</v>
      </c>
      <c r="AI3683" s="175">
        <v>1</v>
      </c>
      <c r="AJ3683" s="175">
        <v>3</v>
      </c>
      <c r="AK3683" s="175">
        <v>6</v>
      </c>
      <c r="AL3683" s="175">
        <v>2</v>
      </c>
      <c r="AM3683" s="175">
        <v>0</v>
      </c>
      <c r="AN3683" s="175">
        <v>0</v>
      </c>
      <c r="AO3683" s="175">
        <v>12</v>
      </c>
      <c r="AP3683" s="175">
        <v>0</v>
      </c>
      <c r="AQ3683" s="175">
        <v>12</v>
      </c>
      <c r="AR3683" s="175">
        <v>0</v>
      </c>
      <c r="AS3683" s="175">
        <v>0</v>
      </c>
      <c r="AT3683" s="175">
        <v>0</v>
      </c>
    </row>
    <row r="3684" spans="1:46">
      <c r="A3684">
        <v>55254</v>
      </c>
      <c r="B3684" t="s">
        <v>20247</v>
      </c>
      <c r="C3684" t="s">
        <v>20202</v>
      </c>
      <c r="D3684" t="s">
        <v>11843</v>
      </c>
      <c r="E3684" t="s">
        <v>11844</v>
      </c>
      <c r="F3684" t="s">
        <v>2235</v>
      </c>
      <c r="G3684" t="s">
        <v>2198</v>
      </c>
      <c r="H3684" t="s">
        <v>449</v>
      </c>
      <c r="J3684" t="s">
        <v>4032</v>
      </c>
      <c r="K3684" t="s">
        <v>606</v>
      </c>
      <c r="M3684" t="s">
        <v>1382</v>
      </c>
      <c r="N3684" t="s">
        <v>643</v>
      </c>
      <c r="O3684" t="s">
        <v>2210</v>
      </c>
      <c r="P3684" t="s">
        <v>670</v>
      </c>
      <c r="Q3684" t="s">
        <v>513</v>
      </c>
      <c r="R3684" t="s">
        <v>2164</v>
      </c>
      <c r="S3684" t="s">
        <v>2198</v>
      </c>
      <c r="T3684" t="s">
        <v>2165</v>
      </c>
      <c r="U3684">
        <v>212800</v>
      </c>
      <c r="V3684" t="s">
        <v>11845</v>
      </c>
      <c r="W3684" t="s">
        <v>2242</v>
      </c>
      <c r="X3684" t="s">
        <v>11846</v>
      </c>
      <c r="Y3684" t="s">
        <v>11847</v>
      </c>
      <c r="AA3684" t="s">
        <v>8855</v>
      </c>
      <c r="AB3684" t="s">
        <v>11848</v>
      </c>
      <c r="AE3684">
        <v>-39.504913870000003</v>
      </c>
      <c r="AF3684">
        <v>176.88155140999999</v>
      </c>
      <c r="AG3684" s="175">
        <v>120</v>
      </c>
      <c r="AH3684" s="175">
        <v>32</v>
      </c>
      <c r="AI3684" s="175">
        <v>6</v>
      </c>
      <c r="AJ3684" s="175">
        <v>15</v>
      </c>
      <c r="AK3684" s="175">
        <v>27</v>
      </c>
      <c r="AL3684" s="175">
        <v>28</v>
      </c>
      <c r="AM3684" s="175">
        <v>26</v>
      </c>
      <c r="AN3684" s="175">
        <v>0</v>
      </c>
      <c r="AO3684" s="175">
        <v>102</v>
      </c>
      <c r="AP3684" s="175">
        <v>83</v>
      </c>
      <c r="AQ3684" s="175">
        <v>37</v>
      </c>
      <c r="AR3684" s="175">
        <v>5</v>
      </c>
      <c r="AS3684" s="175">
        <v>9</v>
      </c>
      <c r="AT3684" s="175">
        <v>0</v>
      </c>
    </row>
    <row r="3685" spans="1:46">
      <c r="A3685">
        <v>55255</v>
      </c>
      <c r="B3685" t="s">
        <v>20248</v>
      </c>
      <c r="C3685" t="s">
        <v>20249</v>
      </c>
      <c r="D3685" t="s">
        <v>20250</v>
      </c>
      <c r="E3685" t="s">
        <v>20251</v>
      </c>
      <c r="G3685" t="s">
        <v>2196</v>
      </c>
      <c r="H3685" t="s">
        <v>347</v>
      </c>
      <c r="J3685" t="s">
        <v>605</v>
      </c>
      <c r="K3685" t="s">
        <v>606</v>
      </c>
      <c r="L3685" t="s">
        <v>4273</v>
      </c>
      <c r="M3685" t="s">
        <v>1382</v>
      </c>
      <c r="N3685" t="s">
        <v>812</v>
      </c>
      <c r="O3685" t="s">
        <v>2197</v>
      </c>
      <c r="P3685" t="s">
        <v>658</v>
      </c>
      <c r="Q3685" t="s">
        <v>513</v>
      </c>
      <c r="R3685" t="s">
        <v>2164</v>
      </c>
      <c r="S3685" t="s">
        <v>2198</v>
      </c>
      <c r="T3685" t="s">
        <v>2165</v>
      </c>
      <c r="U3685">
        <v>207700</v>
      </c>
      <c r="V3685" t="s">
        <v>20157</v>
      </c>
      <c r="W3685" t="s">
        <v>651</v>
      </c>
      <c r="X3685" t="s">
        <v>19952</v>
      </c>
      <c r="Y3685" t="s">
        <v>4276</v>
      </c>
      <c r="Z3685" t="s">
        <v>4277</v>
      </c>
      <c r="AA3685" t="s">
        <v>4278</v>
      </c>
      <c r="AB3685" t="s">
        <v>8869</v>
      </c>
      <c r="AE3685">
        <v>-39.029775469999997</v>
      </c>
      <c r="AF3685">
        <v>177.40894745</v>
      </c>
      <c r="AG3685" s="175">
        <v>22</v>
      </c>
      <c r="AH3685" s="175">
        <v>8</v>
      </c>
      <c r="AI3685" s="175"/>
      <c r="AJ3685" s="175"/>
      <c r="AK3685" s="175"/>
      <c r="AL3685" s="175"/>
      <c r="AM3685" s="175"/>
      <c r="AN3685" s="175"/>
      <c r="AO3685" s="175"/>
      <c r="AP3685" s="175"/>
      <c r="AQ3685" s="175"/>
      <c r="AR3685" s="175"/>
      <c r="AS3685" s="175"/>
    </row>
    <row r="3686" spans="1:46">
      <c r="A3686">
        <v>55256</v>
      </c>
      <c r="B3686" t="s">
        <v>20252</v>
      </c>
      <c r="C3686" t="s">
        <v>20253</v>
      </c>
      <c r="D3686" t="s">
        <v>20254</v>
      </c>
      <c r="E3686" t="s">
        <v>20255</v>
      </c>
      <c r="F3686" t="s">
        <v>2302</v>
      </c>
      <c r="G3686" t="s">
        <v>2276</v>
      </c>
      <c r="H3686" t="s">
        <v>347</v>
      </c>
      <c r="J3686" t="s">
        <v>605</v>
      </c>
      <c r="K3686" t="s">
        <v>606</v>
      </c>
      <c r="L3686" t="s">
        <v>4273</v>
      </c>
      <c r="M3686" t="s">
        <v>1382</v>
      </c>
      <c r="N3686" t="s">
        <v>812</v>
      </c>
      <c r="O3686" t="s">
        <v>2277</v>
      </c>
      <c r="P3686" t="s">
        <v>670</v>
      </c>
      <c r="Q3686" t="s">
        <v>513</v>
      </c>
      <c r="R3686" t="s">
        <v>2164</v>
      </c>
      <c r="S3686" t="s">
        <v>2278</v>
      </c>
      <c r="T3686" t="s">
        <v>2165</v>
      </c>
      <c r="U3686">
        <v>209100</v>
      </c>
      <c r="V3686" t="s">
        <v>2314</v>
      </c>
      <c r="W3686" t="s">
        <v>2304</v>
      </c>
      <c r="X3686" t="s">
        <v>19952</v>
      </c>
      <c r="Y3686" t="s">
        <v>4276</v>
      </c>
      <c r="Z3686" t="s">
        <v>4277</v>
      </c>
      <c r="AA3686" t="s">
        <v>4278</v>
      </c>
      <c r="AB3686" t="s">
        <v>8869</v>
      </c>
      <c r="AE3686">
        <v>-39.624819449999997</v>
      </c>
      <c r="AF3686">
        <v>176.78539339</v>
      </c>
      <c r="AG3686" s="175">
        <v>25</v>
      </c>
      <c r="AH3686" s="175">
        <v>8</v>
      </c>
      <c r="AI3686" s="175">
        <v>0</v>
      </c>
      <c r="AJ3686" s="175">
        <v>7</v>
      </c>
      <c r="AK3686" s="175">
        <v>5</v>
      </c>
      <c r="AL3686" s="175">
        <v>5</v>
      </c>
      <c r="AM3686" s="175">
        <v>6</v>
      </c>
      <c r="AN3686" s="175">
        <v>0</v>
      </c>
      <c r="AO3686" s="175">
        <v>23</v>
      </c>
      <c r="AP3686" s="175">
        <v>0</v>
      </c>
      <c r="AQ3686" s="175">
        <v>21</v>
      </c>
      <c r="AR3686" s="175">
        <v>2</v>
      </c>
      <c r="AS3686" s="175">
        <v>0</v>
      </c>
      <c r="AT3686" s="175">
        <v>0</v>
      </c>
    </row>
    <row r="3687" spans="1:46">
      <c r="A3687">
        <v>55257</v>
      </c>
      <c r="B3687" t="s">
        <v>20256</v>
      </c>
      <c r="C3687" t="s">
        <v>20257</v>
      </c>
      <c r="D3687" t="s">
        <v>20258</v>
      </c>
      <c r="E3687" t="s">
        <v>20259</v>
      </c>
      <c r="F3687" t="s">
        <v>2161</v>
      </c>
      <c r="G3687" t="s">
        <v>2162</v>
      </c>
      <c r="H3687" t="s">
        <v>347</v>
      </c>
      <c r="J3687" t="s">
        <v>605</v>
      </c>
      <c r="K3687" t="s">
        <v>606</v>
      </c>
      <c r="L3687" t="s">
        <v>4273</v>
      </c>
      <c r="M3687" t="s">
        <v>1382</v>
      </c>
      <c r="N3687" t="s">
        <v>812</v>
      </c>
      <c r="O3687" t="s">
        <v>2163</v>
      </c>
      <c r="P3687" t="s">
        <v>670</v>
      </c>
      <c r="Q3687" t="s">
        <v>512</v>
      </c>
      <c r="R3687" t="s">
        <v>2164</v>
      </c>
      <c r="S3687" t="s">
        <v>1556</v>
      </c>
      <c r="T3687" t="s">
        <v>2165</v>
      </c>
      <c r="U3687">
        <v>206500</v>
      </c>
      <c r="V3687" t="s">
        <v>19747</v>
      </c>
      <c r="W3687" t="s">
        <v>2167</v>
      </c>
      <c r="X3687" t="s">
        <v>18191</v>
      </c>
      <c r="Y3687" t="s">
        <v>4276</v>
      </c>
      <c r="Z3687" t="s">
        <v>4277</v>
      </c>
      <c r="AA3687" t="s">
        <v>4278</v>
      </c>
      <c r="AB3687" t="s">
        <v>18192</v>
      </c>
      <c r="AE3687">
        <v>-38.659593049999998</v>
      </c>
      <c r="AF3687">
        <v>178.00187317999999</v>
      </c>
      <c r="AG3687" s="175">
        <v>93</v>
      </c>
      <c r="AH3687" s="175">
        <v>20</v>
      </c>
      <c r="AI3687" s="175">
        <v>1</v>
      </c>
      <c r="AJ3687" s="175">
        <v>11</v>
      </c>
      <c r="AK3687" s="175">
        <v>12</v>
      </c>
      <c r="AL3687" s="175">
        <v>18</v>
      </c>
      <c r="AM3687" s="175">
        <v>16</v>
      </c>
      <c r="AN3687" s="175">
        <v>0</v>
      </c>
      <c r="AO3687" s="175">
        <v>58</v>
      </c>
      <c r="AP3687" s="175">
        <v>0</v>
      </c>
      <c r="AQ3687" s="175">
        <v>58</v>
      </c>
      <c r="AR3687" s="175">
        <v>0</v>
      </c>
      <c r="AS3687" s="175">
        <v>0</v>
      </c>
      <c r="AT3687" s="175">
        <v>0</v>
      </c>
    </row>
    <row r="3688" spans="1:46">
      <c r="A3688">
        <v>55258</v>
      </c>
      <c r="B3688" t="s">
        <v>20260</v>
      </c>
      <c r="C3688" t="s">
        <v>20261</v>
      </c>
      <c r="D3688" t="s">
        <v>20262</v>
      </c>
      <c r="E3688" t="s">
        <v>20263</v>
      </c>
      <c r="G3688" t="s">
        <v>20264</v>
      </c>
      <c r="H3688" t="s">
        <v>347</v>
      </c>
      <c r="J3688" t="s">
        <v>605</v>
      </c>
      <c r="K3688" t="s">
        <v>606</v>
      </c>
      <c r="L3688" t="s">
        <v>4273</v>
      </c>
      <c r="M3688" t="s">
        <v>1382</v>
      </c>
      <c r="N3688" t="s">
        <v>608</v>
      </c>
      <c r="O3688" t="s">
        <v>2197</v>
      </c>
      <c r="P3688" t="s">
        <v>658</v>
      </c>
      <c r="Q3688" t="s">
        <v>513</v>
      </c>
      <c r="R3688" t="s">
        <v>2164</v>
      </c>
      <c r="S3688" t="s">
        <v>2198</v>
      </c>
      <c r="T3688" t="s">
        <v>2165</v>
      </c>
      <c r="U3688">
        <v>207900</v>
      </c>
      <c r="V3688" t="s">
        <v>20230</v>
      </c>
      <c r="W3688" t="s">
        <v>651</v>
      </c>
      <c r="X3688" t="s">
        <v>8868</v>
      </c>
      <c r="Y3688" t="s">
        <v>4276</v>
      </c>
      <c r="Z3688" t="s">
        <v>4277</v>
      </c>
      <c r="AA3688" t="s">
        <v>4278</v>
      </c>
      <c r="AB3688" t="s">
        <v>8869</v>
      </c>
      <c r="AE3688">
        <v>-39.07100793</v>
      </c>
      <c r="AF3688">
        <v>177.82447341</v>
      </c>
      <c r="AG3688" s="175">
        <v>20</v>
      </c>
      <c r="AH3688" s="175">
        <v>6</v>
      </c>
      <c r="AI3688" s="175">
        <v>0</v>
      </c>
      <c r="AJ3688" s="175">
        <v>5</v>
      </c>
      <c r="AK3688" s="175">
        <v>3</v>
      </c>
      <c r="AL3688" s="175">
        <v>5</v>
      </c>
      <c r="AM3688" s="175">
        <v>3</v>
      </c>
      <c r="AN3688" s="175">
        <v>0</v>
      </c>
      <c r="AO3688" s="175">
        <v>16</v>
      </c>
      <c r="AP3688" s="175">
        <v>0</v>
      </c>
      <c r="AQ3688" s="175">
        <v>14</v>
      </c>
      <c r="AR3688" s="175">
        <v>0</v>
      </c>
      <c r="AS3688" s="175">
        <v>0</v>
      </c>
      <c r="AT3688" s="175">
        <v>2</v>
      </c>
    </row>
    <row r="3689" spans="1:46">
      <c r="A3689">
        <v>55260</v>
      </c>
      <c r="B3689" t="s">
        <v>20265</v>
      </c>
      <c r="C3689" t="s">
        <v>20266</v>
      </c>
      <c r="D3689" t="s">
        <v>20267</v>
      </c>
      <c r="E3689" t="s">
        <v>20268</v>
      </c>
      <c r="F3689" t="s">
        <v>2302</v>
      </c>
      <c r="G3689" t="s">
        <v>2276</v>
      </c>
      <c r="H3689" t="s">
        <v>347</v>
      </c>
      <c r="J3689" t="s">
        <v>605</v>
      </c>
      <c r="K3689" t="s">
        <v>606</v>
      </c>
      <c r="L3689" t="s">
        <v>4273</v>
      </c>
      <c r="M3689" t="s">
        <v>1382</v>
      </c>
      <c r="N3689" t="s">
        <v>812</v>
      </c>
      <c r="O3689" t="s">
        <v>2277</v>
      </c>
      <c r="P3689" t="s">
        <v>670</v>
      </c>
      <c r="Q3689" t="s">
        <v>513</v>
      </c>
      <c r="R3689" t="s">
        <v>2164</v>
      </c>
      <c r="S3689" t="s">
        <v>2278</v>
      </c>
      <c r="T3689" t="s">
        <v>2165</v>
      </c>
      <c r="U3689">
        <v>209000</v>
      </c>
      <c r="V3689" t="s">
        <v>2303</v>
      </c>
      <c r="W3689" t="s">
        <v>2304</v>
      </c>
      <c r="X3689" t="s">
        <v>19952</v>
      </c>
      <c r="Y3689" t="s">
        <v>4276</v>
      </c>
      <c r="Z3689" t="s">
        <v>4277</v>
      </c>
      <c r="AA3689" t="s">
        <v>4278</v>
      </c>
      <c r="AB3689" t="s">
        <v>8869</v>
      </c>
      <c r="AE3689">
        <v>-39.617410390000003</v>
      </c>
      <c r="AF3689">
        <v>176.78851177000001</v>
      </c>
      <c r="AG3689" s="175">
        <v>23</v>
      </c>
      <c r="AH3689" s="175">
        <v>8</v>
      </c>
      <c r="AI3689" s="175">
        <v>1</v>
      </c>
      <c r="AJ3689" s="175">
        <v>1</v>
      </c>
      <c r="AK3689" s="175">
        <v>10</v>
      </c>
      <c r="AL3689" s="175">
        <v>5</v>
      </c>
      <c r="AM3689" s="175">
        <v>2</v>
      </c>
      <c r="AN3689" s="175">
        <v>0</v>
      </c>
      <c r="AO3689" s="175">
        <v>19</v>
      </c>
      <c r="AP3689" s="175">
        <v>0</v>
      </c>
      <c r="AQ3689" s="175">
        <v>19</v>
      </c>
      <c r="AR3689" s="175">
        <v>0</v>
      </c>
      <c r="AS3689" s="175">
        <v>0</v>
      </c>
      <c r="AT3689" s="175">
        <v>0</v>
      </c>
    </row>
    <row r="3690" spans="1:46">
      <c r="A3690">
        <v>55261</v>
      </c>
      <c r="B3690" t="s">
        <v>20269</v>
      </c>
      <c r="C3690" t="s">
        <v>20270</v>
      </c>
      <c r="D3690" t="s">
        <v>20271</v>
      </c>
      <c r="E3690" t="s">
        <v>20272</v>
      </c>
      <c r="F3690" t="s">
        <v>2201</v>
      </c>
      <c r="G3690" t="s">
        <v>2198</v>
      </c>
      <c r="H3690" t="s">
        <v>347</v>
      </c>
      <c r="J3690" t="s">
        <v>605</v>
      </c>
      <c r="K3690" t="s">
        <v>606</v>
      </c>
      <c r="L3690" t="s">
        <v>4273</v>
      </c>
      <c r="M3690" t="s">
        <v>1382</v>
      </c>
      <c r="N3690" t="s">
        <v>812</v>
      </c>
      <c r="O3690" t="s">
        <v>2210</v>
      </c>
      <c r="P3690" t="s">
        <v>670</v>
      </c>
      <c r="Q3690" t="s">
        <v>513</v>
      </c>
      <c r="R3690" t="s">
        <v>2164</v>
      </c>
      <c r="S3690" t="s">
        <v>2198</v>
      </c>
      <c r="T3690" t="s">
        <v>2165</v>
      </c>
      <c r="U3690">
        <v>214800</v>
      </c>
      <c r="V3690" t="s">
        <v>2236</v>
      </c>
      <c r="W3690" t="s">
        <v>2211</v>
      </c>
      <c r="X3690" t="s">
        <v>19952</v>
      </c>
      <c r="Y3690" t="s">
        <v>4276</v>
      </c>
      <c r="Z3690" t="s">
        <v>4277</v>
      </c>
      <c r="AA3690" t="s">
        <v>4278</v>
      </c>
      <c r="AB3690" t="s">
        <v>8869</v>
      </c>
      <c r="AE3690">
        <v>-39.509094699999999</v>
      </c>
      <c r="AF3690">
        <v>176.89987951000001</v>
      </c>
      <c r="AG3690" s="175">
        <v>20</v>
      </c>
      <c r="AH3690" s="175">
        <v>0</v>
      </c>
      <c r="AI3690" s="175">
        <v>0</v>
      </c>
      <c r="AJ3690" s="175">
        <v>2</v>
      </c>
      <c r="AK3690" s="175">
        <v>4</v>
      </c>
      <c r="AL3690" s="175">
        <v>5</v>
      </c>
      <c r="AM3690" s="175">
        <v>2</v>
      </c>
      <c r="AN3690" s="175">
        <v>0</v>
      </c>
      <c r="AO3690" s="175">
        <v>13</v>
      </c>
      <c r="AP3690" s="175">
        <v>0</v>
      </c>
      <c r="AQ3690" s="175">
        <v>12</v>
      </c>
      <c r="AR3690" s="175">
        <v>0</v>
      </c>
      <c r="AS3690" s="175">
        <v>0</v>
      </c>
      <c r="AT3690" s="175">
        <v>1</v>
      </c>
    </row>
    <row r="3691" spans="1:46">
      <c r="A3691">
        <v>55267</v>
      </c>
      <c r="B3691" t="s">
        <v>20273</v>
      </c>
      <c r="C3691" t="s">
        <v>20274</v>
      </c>
      <c r="D3691" t="s">
        <v>20275</v>
      </c>
      <c r="E3691" t="s">
        <v>20276</v>
      </c>
      <c r="F3691" t="s">
        <v>2235</v>
      </c>
      <c r="G3691" t="s">
        <v>2198</v>
      </c>
      <c r="H3691" t="s">
        <v>347</v>
      </c>
      <c r="J3691" t="s">
        <v>605</v>
      </c>
      <c r="K3691" t="s">
        <v>606</v>
      </c>
      <c r="L3691" t="s">
        <v>4273</v>
      </c>
      <c r="M3691" t="s">
        <v>1382</v>
      </c>
      <c r="N3691" t="s">
        <v>608</v>
      </c>
      <c r="O3691" t="s">
        <v>2210</v>
      </c>
      <c r="P3691" t="s">
        <v>670</v>
      </c>
      <c r="Q3691" t="s">
        <v>513</v>
      </c>
      <c r="R3691" t="s">
        <v>2164</v>
      </c>
      <c r="S3691" t="s">
        <v>2198</v>
      </c>
      <c r="T3691" t="s">
        <v>2165</v>
      </c>
      <c r="U3691">
        <v>214800</v>
      </c>
      <c r="V3691" t="s">
        <v>2236</v>
      </c>
      <c r="W3691" t="s">
        <v>2211</v>
      </c>
      <c r="X3691" t="s">
        <v>20277</v>
      </c>
      <c r="Y3691" t="s">
        <v>4276</v>
      </c>
      <c r="Z3691" t="s">
        <v>4277</v>
      </c>
      <c r="AA3691" t="s">
        <v>4278</v>
      </c>
      <c r="AB3691" t="s">
        <v>20278</v>
      </c>
      <c r="AE3691">
        <v>-39.510284220000003</v>
      </c>
      <c r="AF3691">
        <v>176.89184653000001</v>
      </c>
      <c r="AG3691" s="175">
        <v>32</v>
      </c>
      <c r="AH3691" s="175">
        <v>9</v>
      </c>
      <c r="AI3691" s="175">
        <v>0</v>
      </c>
      <c r="AJ3691" s="175">
        <v>7</v>
      </c>
      <c r="AK3691" s="175">
        <v>8</v>
      </c>
      <c r="AL3691" s="175">
        <v>7</v>
      </c>
      <c r="AM3691" s="175">
        <v>4</v>
      </c>
      <c r="AN3691" s="175">
        <v>0</v>
      </c>
      <c r="AO3691" s="175">
        <v>26</v>
      </c>
      <c r="AP3691" s="175">
        <v>0</v>
      </c>
      <c r="AQ3691" s="175">
        <v>24</v>
      </c>
      <c r="AR3691" s="175">
        <v>2</v>
      </c>
      <c r="AS3691" s="175">
        <v>0</v>
      </c>
      <c r="AT3691" s="175">
        <v>0</v>
      </c>
    </row>
    <row r="3692" spans="1:46">
      <c r="A3692">
        <v>55269</v>
      </c>
      <c r="B3692" t="s">
        <v>20279</v>
      </c>
      <c r="C3692" t="s">
        <v>20280</v>
      </c>
      <c r="D3692" t="s">
        <v>20281</v>
      </c>
      <c r="E3692" t="s">
        <v>20282</v>
      </c>
      <c r="F3692" t="s">
        <v>2201</v>
      </c>
      <c r="G3692" t="s">
        <v>2198</v>
      </c>
      <c r="H3692" t="s">
        <v>347</v>
      </c>
      <c r="J3692" t="s">
        <v>605</v>
      </c>
      <c r="K3692" t="s">
        <v>606</v>
      </c>
      <c r="L3692" t="s">
        <v>4273</v>
      </c>
      <c r="M3692" t="s">
        <v>1382</v>
      </c>
      <c r="N3692" t="s">
        <v>812</v>
      </c>
      <c r="O3692" t="s">
        <v>2210</v>
      </c>
      <c r="P3692" t="s">
        <v>670</v>
      </c>
      <c r="Q3692" t="s">
        <v>513</v>
      </c>
      <c r="R3692" t="s">
        <v>2164</v>
      </c>
      <c r="S3692" t="s">
        <v>2198</v>
      </c>
      <c r="T3692" t="s">
        <v>2165</v>
      </c>
      <c r="U3692">
        <v>215000</v>
      </c>
      <c r="V3692" t="s">
        <v>2225</v>
      </c>
      <c r="W3692" t="s">
        <v>2211</v>
      </c>
      <c r="X3692" t="s">
        <v>20283</v>
      </c>
      <c r="Y3692" t="s">
        <v>4276</v>
      </c>
      <c r="Z3692" t="s">
        <v>4277</v>
      </c>
      <c r="AA3692" t="s">
        <v>4278</v>
      </c>
      <c r="AB3692" t="s">
        <v>20284</v>
      </c>
      <c r="AE3692">
        <v>-39.5046404</v>
      </c>
      <c r="AF3692">
        <v>176.90429109999999</v>
      </c>
      <c r="AG3692" s="175">
        <v>20</v>
      </c>
      <c r="AH3692" s="175">
        <v>7</v>
      </c>
      <c r="AI3692" s="175">
        <v>0</v>
      </c>
      <c r="AJ3692" s="175">
        <v>4</v>
      </c>
      <c r="AK3692" s="175">
        <v>3</v>
      </c>
      <c r="AL3692" s="175">
        <v>7</v>
      </c>
      <c r="AM3692" s="175">
        <v>1</v>
      </c>
      <c r="AN3692" s="175">
        <v>0</v>
      </c>
      <c r="AO3692" s="175">
        <v>15</v>
      </c>
      <c r="AP3692" s="175">
        <v>0</v>
      </c>
      <c r="AQ3692" s="175">
        <v>15</v>
      </c>
      <c r="AR3692" s="175">
        <v>0</v>
      </c>
      <c r="AS3692" s="175">
        <v>0</v>
      </c>
      <c r="AT3692" s="175">
        <v>0</v>
      </c>
    </row>
    <row r="3693" spans="1:46">
      <c r="A3693">
        <v>55271</v>
      </c>
      <c r="B3693" t="s">
        <v>20285</v>
      </c>
      <c r="C3693" t="s">
        <v>20286</v>
      </c>
      <c r="E3693" t="s">
        <v>20287</v>
      </c>
      <c r="F3693" t="s">
        <v>2675</v>
      </c>
      <c r="G3693" t="s">
        <v>2368</v>
      </c>
      <c r="H3693" t="s">
        <v>449</v>
      </c>
      <c r="J3693" t="s">
        <v>4032</v>
      </c>
      <c r="K3693" t="s">
        <v>606</v>
      </c>
      <c r="M3693" t="s">
        <v>2366</v>
      </c>
      <c r="N3693" t="s">
        <v>657</v>
      </c>
      <c r="O3693" t="s">
        <v>2614</v>
      </c>
      <c r="P3693" t="s">
        <v>739</v>
      </c>
      <c r="Q3693" t="s">
        <v>516</v>
      </c>
      <c r="R3693" t="s">
        <v>2368</v>
      </c>
      <c r="S3693" t="s">
        <v>2623</v>
      </c>
      <c r="T3693" t="s">
        <v>2526</v>
      </c>
      <c r="U3693">
        <v>248600</v>
      </c>
      <c r="V3693" t="s">
        <v>16950</v>
      </c>
      <c r="W3693" t="s">
        <v>2625</v>
      </c>
      <c r="X3693" t="s">
        <v>20288</v>
      </c>
      <c r="Y3693" t="s">
        <v>20289</v>
      </c>
      <c r="Z3693" t="s">
        <v>2675</v>
      </c>
      <c r="AA3693" t="s">
        <v>20290</v>
      </c>
      <c r="AB3693" t="s">
        <v>20291</v>
      </c>
      <c r="AE3693">
        <v>-41.219185299999999</v>
      </c>
      <c r="AF3693">
        <v>174.80570729999999</v>
      </c>
      <c r="AG3693" s="175">
        <v>20</v>
      </c>
      <c r="AH3693" s="175">
        <v>0</v>
      </c>
      <c r="AI3693" s="175">
        <v>0</v>
      </c>
      <c r="AJ3693" s="175">
        <v>0</v>
      </c>
      <c r="AK3693" s="175">
        <v>4</v>
      </c>
      <c r="AL3693" s="175">
        <v>6</v>
      </c>
      <c r="AM3693" s="175">
        <v>14</v>
      </c>
      <c r="AN3693" s="175">
        <v>0</v>
      </c>
      <c r="AO3693" s="175">
        <v>24</v>
      </c>
      <c r="AP3693" s="175">
        <v>8</v>
      </c>
      <c r="AQ3693" s="175">
        <v>3</v>
      </c>
      <c r="AR3693" s="175">
        <v>0</v>
      </c>
      <c r="AS3693" s="175">
        <v>15</v>
      </c>
      <c r="AT3693" s="175">
        <v>3</v>
      </c>
    </row>
    <row r="3694" spans="1:46">
      <c r="A3694">
        <v>55272</v>
      </c>
      <c r="B3694" t="s">
        <v>20292</v>
      </c>
      <c r="C3694" t="s">
        <v>20293</v>
      </c>
      <c r="D3694" t="s">
        <v>20294</v>
      </c>
      <c r="E3694" t="s">
        <v>20295</v>
      </c>
      <c r="G3694" t="s">
        <v>2358</v>
      </c>
      <c r="H3694" t="s">
        <v>449</v>
      </c>
      <c r="J3694" t="s">
        <v>605</v>
      </c>
      <c r="K3694" t="s">
        <v>606</v>
      </c>
      <c r="M3694" t="s">
        <v>1382</v>
      </c>
      <c r="N3694" t="s">
        <v>657</v>
      </c>
      <c r="O3694" t="s">
        <v>2347</v>
      </c>
      <c r="P3694" t="s">
        <v>610</v>
      </c>
      <c r="Q3694" t="s">
        <v>513</v>
      </c>
      <c r="R3694" t="s">
        <v>2164</v>
      </c>
      <c r="S3694" t="s">
        <v>2348</v>
      </c>
      <c r="T3694" t="s">
        <v>2165</v>
      </c>
      <c r="U3694">
        <v>215700</v>
      </c>
      <c r="V3694" t="s">
        <v>2359</v>
      </c>
      <c r="W3694" t="s">
        <v>2350</v>
      </c>
      <c r="X3694" t="s">
        <v>19825</v>
      </c>
      <c r="Y3694" t="s">
        <v>8431</v>
      </c>
      <c r="AA3694" t="s">
        <v>8432</v>
      </c>
      <c r="AC3694">
        <v>99161</v>
      </c>
      <c r="AD3694" t="s">
        <v>2360</v>
      </c>
      <c r="AE3694">
        <v>-39.943534839999998</v>
      </c>
      <c r="AF3694">
        <v>176.58570187000001</v>
      </c>
      <c r="AG3694" s="175">
        <v>33</v>
      </c>
      <c r="AH3694" s="175">
        <v>9</v>
      </c>
      <c r="AI3694" s="175">
        <v>0</v>
      </c>
      <c r="AJ3694" s="175">
        <v>6</v>
      </c>
      <c r="AK3694" s="175">
        <v>9</v>
      </c>
      <c r="AL3694" s="175">
        <v>7</v>
      </c>
      <c r="AM3694" s="175">
        <v>13</v>
      </c>
      <c r="AN3694" s="175">
        <v>0</v>
      </c>
      <c r="AO3694" s="175">
        <v>35</v>
      </c>
      <c r="AP3694" s="175">
        <v>34</v>
      </c>
      <c r="AQ3694" s="175">
        <v>21</v>
      </c>
      <c r="AR3694" s="175">
        <v>4</v>
      </c>
      <c r="AS3694" s="175">
        <v>0</v>
      </c>
      <c r="AT3694" s="175">
        <v>0</v>
      </c>
    </row>
    <row r="3695" spans="1:46">
      <c r="A3695">
        <v>55274</v>
      </c>
      <c r="B3695" t="s">
        <v>20296</v>
      </c>
      <c r="C3695" t="s">
        <v>20297</v>
      </c>
      <c r="E3695" t="s">
        <v>20298</v>
      </c>
      <c r="F3695" t="s">
        <v>2254</v>
      </c>
      <c r="G3695" t="s">
        <v>2198</v>
      </c>
      <c r="H3695" t="s">
        <v>449</v>
      </c>
      <c r="J3695" t="s">
        <v>4032</v>
      </c>
      <c r="K3695" t="s">
        <v>606</v>
      </c>
      <c r="M3695" t="s">
        <v>1382</v>
      </c>
      <c r="N3695" t="s">
        <v>4586</v>
      </c>
      <c r="O3695" t="s">
        <v>2210</v>
      </c>
      <c r="P3695" t="s">
        <v>670</v>
      </c>
      <c r="Q3695" t="s">
        <v>513</v>
      </c>
      <c r="R3695" t="s">
        <v>2164</v>
      </c>
      <c r="S3695" t="s">
        <v>2198</v>
      </c>
      <c r="T3695" t="s">
        <v>2165</v>
      </c>
      <c r="U3695">
        <v>213700</v>
      </c>
      <c r="V3695" t="s">
        <v>2266</v>
      </c>
      <c r="W3695" t="s">
        <v>2219</v>
      </c>
      <c r="X3695" t="s">
        <v>20299</v>
      </c>
      <c r="Y3695" t="s">
        <v>20300</v>
      </c>
      <c r="Z3695" t="s">
        <v>2217</v>
      </c>
      <c r="AA3695" t="s">
        <v>13661</v>
      </c>
      <c r="AB3695" t="s">
        <v>20301</v>
      </c>
      <c r="AC3695">
        <v>99217</v>
      </c>
      <c r="AD3695" t="s">
        <v>2220</v>
      </c>
      <c r="AE3695">
        <v>-39.534246789999997</v>
      </c>
      <c r="AF3695">
        <v>176.84668679999999</v>
      </c>
      <c r="AG3695" s="175">
        <v>32</v>
      </c>
      <c r="AH3695" s="175">
        <v>10</v>
      </c>
      <c r="AI3695" s="175">
        <v>2</v>
      </c>
      <c r="AJ3695" s="175">
        <v>11</v>
      </c>
      <c r="AK3695" s="175">
        <v>12</v>
      </c>
      <c r="AL3695" s="175">
        <v>7</v>
      </c>
      <c r="AM3695" s="175">
        <v>10</v>
      </c>
      <c r="AN3695" s="175">
        <v>0</v>
      </c>
      <c r="AO3695" s="175">
        <v>42</v>
      </c>
      <c r="AP3695" s="175">
        <v>39</v>
      </c>
      <c r="AQ3695" s="175">
        <v>9</v>
      </c>
      <c r="AR3695" s="175">
        <v>1</v>
      </c>
      <c r="AS3695" s="175">
        <v>5</v>
      </c>
      <c r="AT3695" s="175">
        <v>0</v>
      </c>
    </row>
    <row r="3696" spans="1:46">
      <c r="A3696">
        <v>55280</v>
      </c>
      <c r="B3696" t="s">
        <v>20302</v>
      </c>
      <c r="C3696" t="s">
        <v>20303</v>
      </c>
      <c r="D3696" t="s">
        <v>8849</v>
      </c>
      <c r="E3696" t="s">
        <v>20304</v>
      </c>
      <c r="F3696" t="s">
        <v>2260</v>
      </c>
      <c r="G3696" t="s">
        <v>2198</v>
      </c>
      <c r="H3696" t="s">
        <v>449</v>
      </c>
      <c r="J3696" t="s">
        <v>4032</v>
      </c>
      <c r="K3696" t="s">
        <v>606</v>
      </c>
      <c r="M3696" t="s">
        <v>1382</v>
      </c>
      <c r="N3696" t="s">
        <v>657</v>
      </c>
      <c r="O3696" t="s">
        <v>2210</v>
      </c>
      <c r="P3696" t="s">
        <v>670</v>
      </c>
      <c r="Q3696" t="s">
        <v>513</v>
      </c>
      <c r="R3696" t="s">
        <v>2164</v>
      </c>
      <c r="S3696" t="s">
        <v>2198</v>
      </c>
      <c r="T3696" t="s">
        <v>2165</v>
      </c>
      <c r="U3696">
        <v>213500</v>
      </c>
      <c r="V3696" t="s">
        <v>2261</v>
      </c>
      <c r="W3696" t="s">
        <v>2242</v>
      </c>
      <c r="X3696" t="s">
        <v>8853</v>
      </c>
      <c r="Y3696" t="s">
        <v>20305</v>
      </c>
      <c r="Z3696" t="s">
        <v>12514</v>
      </c>
      <c r="AA3696" t="s">
        <v>4977</v>
      </c>
      <c r="AE3696">
        <v>-39.507702950000002</v>
      </c>
      <c r="AF3696">
        <v>176.86555562000001</v>
      </c>
      <c r="AG3696" s="175">
        <v>27</v>
      </c>
      <c r="AH3696" s="175">
        <v>11</v>
      </c>
      <c r="AI3696" s="175">
        <v>0</v>
      </c>
      <c r="AJ3696" s="175">
        <v>3</v>
      </c>
      <c r="AK3696" s="175">
        <v>7</v>
      </c>
      <c r="AL3696" s="175">
        <v>3</v>
      </c>
      <c r="AM3696" s="175">
        <v>13</v>
      </c>
      <c r="AN3696" s="175">
        <v>0</v>
      </c>
      <c r="AO3696" s="175">
        <v>26</v>
      </c>
      <c r="AP3696" s="175">
        <v>17</v>
      </c>
      <c r="AQ3696" s="175">
        <v>5</v>
      </c>
      <c r="AR3696" s="175">
        <v>0</v>
      </c>
      <c r="AS3696" s="175">
        <v>3</v>
      </c>
      <c r="AT3696" s="175">
        <v>2</v>
      </c>
    </row>
    <row r="3697" spans="1:46">
      <c r="A3697">
        <v>55285</v>
      </c>
      <c r="B3697" t="s">
        <v>20306</v>
      </c>
      <c r="C3697" t="s">
        <v>20307</v>
      </c>
      <c r="D3697" t="s">
        <v>20308</v>
      </c>
      <c r="E3697" t="s">
        <v>20309</v>
      </c>
      <c r="F3697" t="s">
        <v>20310</v>
      </c>
      <c r="G3697" t="s">
        <v>2276</v>
      </c>
      <c r="H3697" t="s">
        <v>449</v>
      </c>
      <c r="J3697" t="s">
        <v>605</v>
      </c>
      <c r="K3697" t="s">
        <v>606</v>
      </c>
      <c r="M3697" t="s">
        <v>1382</v>
      </c>
      <c r="N3697" t="s">
        <v>812</v>
      </c>
      <c r="O3697" t="s">
        <v>2277</v>
      </c>
      <c r="P3697" t="s">
        <v>670</v>
      </c>
      <c r="Q3697" t="s">
        <v>513</v>
      </c>
      <c r="R3697" t="s">
        <v>2164</v>
      </c>
      <c r="S3697" t="s">
        <v>2278</v>
      </c>
      <c r="T3697" t="s">
        <v>2165</v>
      </c>
      <c r="U3697">
        <v>209401</v>
      </c>
      <c r="V3697" t="s">
        <v>8762</v>
      </c>
      <c r="W3697" t="s">
        <v>2279</v>
      </c>
      <c r="X3697" t="s">
        <v>20311</v>
      </c>
      <c r="Y3697" t="s">
        <v>20309</v>
      </c>
      <c r="Z3697" t="s">
        <v>8762</v>
      </c>
      <c r="AA3697" t="s">
        <v>2283</v>
      </c>
      <c r="AB3697" t="s">
        <v>20312</v>
      </c>
      <c r="AE3697">
        <v>-39.626348419999999</v>
      </c>
      <c r="AF3697">
        <v>176.83607240000001</v>
      </c>
      <c r="AG3697" s="175">
        <v>22</v>
      </c>
      <c r="AH3697" s="175">
        <v>5</v>
      </c>
      <c r="AI3697" s="175">
        <v>2</v>
      </c>
      <c r="AJ3697" s="175">
        <v>3</v>
      </c>
      <c r="AK3697" s="175">
        <v>5</v>
      </c>
      <c r="AL3697" s="175">
        <v>5</v>
      </c>
      <c r="AM3697" s="175">
        <v>3</v>
      </c>
      <c r="AN3697" s="175">
        <v>0</v>
      </c>
      <c r="AO3697" s="175">
        <v>18</v>
      </c>
      <c r="AP3697" s="175">
        <v>3</v>
      </c>
      <c r="AQ3697" s="175">
        <v>14</v>
      </c>
      <c r="AR3697" s="175">
        <v>5</v>
      </c>
      <c r="AS3697" s="175">
        <v>2</v>
      </c>
      <c r="AT3697" s="175">
        <v>3</v>
      </c>
    </row>
    <row r="3698" spans="1:46">
      <c r="A3698">
        <v>55294</v>
      </c>
      <c r="B3698" t="s">
        <v>20313</v>
      </c>
      <c r="C3698" t="s">
        <v>20314</v>
      </c>
      <c r="D3698" t="s">
        <v>20315</v>
      </c>
      <c r="E3698" t="s">
        <v>20316</v>
      </c>
      <c r="F3698" t="s">
        <v>2302</v>
      </c>
      <c r="G3698" t="s">
        <v>2276</v>
      </c>
      <c r="H3698" t="s">
        <v>347</v>
      </c>
      <c r="J3698" t="s">
        <v>605</v>
      </c>
      <c r="K3698" t="s">
        <v>606</v>
      </c>
      <c r="L3698" t="s">
        <v>4273</v>
      </c>
      <c r="M3698" t="s">
        <v>1382</v>
      </c>
      <c r="N3698" t="s">
        <v>608</v>
      </c>
      <c r="O3698" t="s">
        <v>2277</v>
      </c>
      <c r="P3698" t="s">
        <v>670</v>
      </c>
      <c r="Q3698" t="s">
        <v>513</v>
      </c>
      <c r="R3698" t="s">
        <v>2164</v>
      </c>
      <c r="S3698" t="s">
        <v>2278</v>
      </c>
      <c r="T3698" t="s">
        <v>2165</v>
      </c>
      <c r="U3698">
        <v>209201</v>
      </c>
      <c r="V3698" t="s">
        <v>2310</v>
      </c>
      <c r="W3698" t="s">
        <v>2304</v>
      </c>
      <c r="X3698" t="s">
        <v>8868</v>
      </c>
      <c r="Y3698" t="s">
        <v>4276</v>
      </c>
      <c r="Z3698" t="s">
        <v>4277</v>
      </c>
      <c r="AA3698" t="s">
        <v>4278</v>
      </c>
      <c r="AB3698" t="s">
        <v>8869</v>
      </c>
      <c r="AE3698">
        <v>-39.635148309999998</v>
      </c>
      <c r="AF3698">
        <v>176.79283285</v>
      </c>
      <c r="AG3698" s="175">
        <v>30</v>
      </c>
      <c r="AH3698" s="175">
        <v>10</v>
      </c>
      <c r="AI3698" s="175">
        <v>0</v>
      </c>
      <c r="AJ3698" s="175">
        <v>4</v>
      </c>
      <c r="AK3698" s="175">
        <v>1</v>
      </c>
      <c r="AL3698" s="175">
        <v>0</v>
      </c>
      <c r="AM3698" s="175">
        <v>2</v>
      </c>
      <c r="AN3698" s="175">
        <v>0</v>
      </c>
      <c r="AO3698" s="175">
        <v>7</v>
      </c>
      <c r="AP3698" s="175">
        <v>0</v>
      </c>
      <c r="AQ3698" s="175">
        <v>6</v>
      </c>
      <c r="AR3698" s="175">
        <v>1</v>
      </c>
      <c r="AS3698" s="175">
        <v>0</v>
      </c>
      <c r="AT3698" s="175">
        <v>0</v>
      </c>
    </row>
    <row r="3699" spans="1:46">
      <c r="A3699">
        <v>55296</v>
      </c>
      <c r="B3699" t="s">
        <v>20317</v>
      </c>
      <c r="C3699" t="s">
        <v>20318</v>
      </c>
      <c r="D3699" t="s">
        <v>20319</v>
      </c>
      <c r="E3699" t="s">
        <v>20320</v>
      </c>
      <c r="G3699" t="s">
        <v>20321</v>
      </c>
      <c r="H3699" t="s">
        <v>347</v>
      </c>
      <c r="J3699" t="s">
        <v>605</v>
      </c>
      <c r="K3699" t="s">
        <v>606</v>
      </c>
      <c r="L3699" t="s">
        <v>4273</v>
      </c>
      <c r="M3699" t="s">
        <v>1382</v>
      </c>
      <c r="N3699" t="s">
        <v>625</v>
      </c>
      <c r="O3699" t="s">
        <v>2347</v>
      </c>
      <c r="P3699" t="s">
        <v>626</v>
      </c>
      <c r="Q3699" t="s">
        <v>513</v>
      </c>
      <c r="R3699" t="s">
        <v>2164</v>
      </c>
      <c r="S3699" t="s">
        <v>2278</v>
      </c>
      <c r="T3699" t="s">
        <v>2165</v>
      </c>
      <c r="U3699">
        <v>215900</v>
      </c>
      <c r="V3699" t="s">
        <v>20322</v>
      </c>
      <c r="W3699" t="s">
        <v>12298</v>
      </c>
      <c r="X3699" t="s">
        <v>8868</v>
      </c>
      <c r="Y3699" t="s">
        <v>4276</v>
      </c>
      <c r="Z3699" t="s">
        <v>4277</v>
      </c>
      <c r="AA3699" t="s">
        <v>4278</v>
      </c>
      <c r="AB3699" t="s">
        <v>8869</v>
      </c>
      <c r="AE3699">
        <v>-39.897248679999997</v>
      </c>
      <c r="AF3699">
        <v>176.62984392000001</v>
      </c>
      <c r="AG3699" s="175">
        <v>20</v>
      </c>
      <c r="AH3699" s="175">
        <v>5</v>
      </c>
      <c r="AI3699" s="175">
        <v>0</v>
      </c>
      <c r="AJ3699" s="175">
        <v>2</v>
      </c>
      <c r="AK3699" s="175">
        <v>4</v>
      </c>
      <c r="AL3699" s="175">
        <v>5</v>
      </c>
      <c r="AM3699" s="175">
        <v>5</v>
      </c>
      <c r="AN3699" s="175">
        <v>0</v>
      </c>
      <c r="AO3699" s="175">
        <v>16</v>
      </c>
      <c r="AP3699" s="175">
        <v>0</v>
      </c>
      <c r="AQ3699" s="175">
        <v>16</v>
      </c>
      <c r="AR3699" s="175">
        <v>0</v>
      </c>
      <c r="AS3699" s="175">
        <v>0</v>
      </c>
      <c r="AT3699" s="175">
        <v>0</v>
      </c>
    </row>
    <row r="3700" spans="1:46">
      <c r="A3700">
        <v>55305</v>
      </c>
      <c r="B3700" t="s">
        <v>19998</v>
      </c>
      <c r="C3700" t="s">
        <v>20323</v>
      </c>
      <c r="D3700" t="s">
        <v>20324</v>
      </c>
      <c r="E3700" t="s">
        <v>20325</v>
      </c>
      <c r="G3700" t="s">
        <v>20239</v>
      </c>
      <c r="H3700" t="s">
        <v>347</v>
      </c>
      <c r="J3700" t="s">
        <v>605</v>
      </c>
      <c r="K3700" t="s">
        <v>606</v>
      </c>
      <c r="L3700" t="s">
        <v>4273</v>
      </c>
      <c r="M3700" t="s">
        <v>1382</v>
      </c>
      <c r="N3700" t="s">
        <v>812</v>
      </c>
      <c r="O3700" t="s">
        <v>2197</v>
      </c>
      <c r="P3700" t="s">
        <v>658</v>
      </c>
      <c r="Q3700" t="s">
        <v>513</v>
      </c>
      <c r="R3700" t="s">
        <v>2164</v>
      </c>
      <c r="S3700" t="s">
        <v>2198</v>
      </c>
      <c r="T3700" t="s">
        <v>2165</v>
      </c>
      <c r="U3700">
        <v>207600</v>
      </c>
      <c r="V3700" t="s">
        <v>20326</v>
      </c>
      <c r="W3700" t="s">
        <v>651</v>
      </c>
      <c r="X3700" t="s">
        <v>8868</v>
      </c>
      <c r="Y3700" t="s">
        <v>4276</v>
      </c>
      <c r="Z3700" t="s">
        <v>4277</v>
      </c>
      <c r="AA3700" t="s">
        <v>4278</v>
      </c>
      <c r="AB3700" t="s">
        <v>8869</v>
      </c>
      <c r="AE3700">
        <v>-38.964113169999997</v>
      </c>
      <c r="AF3700">
        <v>177.39702392000001</v>
      </c>
      <c r="AG3700" s="175">
        <v>20</v>
      </c>
      <c r="AH3700" s="175">
        <v>6</v>
      </c>
      <c r="AI3700" s="175">
        <v>0</v>
      </c>
      <c r="AJ3700" s="175">
        <v>5</v>
      </c>
      <c r="AK3700" s="175">
        <v>5</v>
      </c>
      <c r="AL3700" s="175">
        <v>6</v>
      </c>
      <c r="AM3700" s="175">
        <v>3</v>
      </c>
      <c r="AN3700" s="175">
        <v>0</v>
      </c>
      <c r="AO3700" s="175">
        <v>19</v>
      </c>
      <c r="AP3700" s="175">
        <v>0</v>
      </c>
      <c r="AQ3700" s="175">
        <v>19</v>
      </c>
      <c r="AR3700" s="175">
        <v>0</v>
      </c>
      <c r="AS3700" s="175">
        <v>0</v>
      </c>
      <c r="AT3700" s="175">
        <v>0</v>
      </c>
    </row>
    <row r="3701" spans="1:46">
      <c r="A3701">
        <v>55307</v>
      </c>
      <c r="B3701" t="s">
        <v>20327</v>
      </c>
      <c r="C3701" t="s">
        <v>20328</v>
      </c>
      <c r="D3701" t="s">
        <v>20329</v>
      </c>
      <c r="E3701" t="s">
        <v>20330</v>
      </c>
      <c r="G3701" t="s">
        <v>11922</v>
      </c>
      <c r="H3701" t="s">
        <v>449</v>
      </c>
      <c r="J3701" t="s">
        <v>4032</v>
      </c>
      <c r="K3701" t="s">
        <v>606</v>
      </c>
      <c r="M3701" t="s">
        <v>1382</v>
      </c>
      <c r="N3701" t="s">
        <v>657</v>
      </c>
      <c r="O3701" t="s">
        <v>2277</v>
      </c>
      <c r="P3701" t="s">
        <v>610</v>
      </c>
      <c r="Q3701" t="s">
        <v>513</v>
      </c>
      <c r="R3701" t="s">
        <v>2164</v>
      </c>
      <c r="S3701" t="s">
        <v>2278</v>
      </c>
      <c r="T3701" t="s">
        <v>2165</v>
      </c>
      <c r="U3701">
        <v>209601</v>
      </c>
      <c r="V3701" t="s">
        <v>11922</v>
      </c>
      <c r="W3701" t="s">
        <v>11923</v>
      </c>
      <c r="X3701" t="s">
        <v>20331</v>
      </c>
      <c r="Y3701" t="s">
        <v>20332</v>
      </c>
      <c r="Z3701" t="s">
        <v>19889</v>
      </c>
      <c r="AA3701" t="s">
        <v>20333</v>
      </c>
      <c r="AB3701" t="s">
        <v>20334</v>
      </c>
      <c r="AE3701">
        <v>-39.587330170000001</v>
      </c>
      <c r="AF3701">
        <v>176.91221343999999</v>
      </c>
      <c r="AG3701" s="175">
        <v>30</v>
      </c>
      <c r="AH3701" s="175">
        <v>10</v>
      </c>
      <c r="AI3701" s="175">
        <v>0</v>
      </c>
      <c r="AJ3701" s="175">
        <v>11</v>
      </c>
      <c r="AK3701" s="175">
        <v>6</v>
      </c>
      <c r="AL3701" s="175">
        <v>8</v>
      </c>
      <c r="AM3701" s="175">
        <v>13</v>
      </c>
      <c r="AN3701" s="175">
        <v>0</v>
      </c>
      <c r="AO3701" s="175">
        <v>38</v>
      </c>
      <c r="AP3701" s="175">
        <v>32</v>
      </c>
      <c r="AQ3701" s="175">
        <v>14</v>
      </c>
      <c r="AR3701" s="175">
        <v>4</v>
      </c>
      <c r="AS3701" s="175">
        <v>2</v>
      </c>
      <c r="AT3701" s="175">
        <v>2</v>
      </c>
    </row>
    <row r="3702" spans="1:46">
      <c r="A3702">
        <v>55309</v>
      </c>
      <c r="B3702" t="s">
        <v>20335</v>
      </c>
      <c r="C3702" t="s">
        <v>14221</v>
      </c>
      <c r="D3702" t="s">
        <v>20336</v>
      </c>
      <c r="E3702" t="s">
        <v>20337</v>
      </c>
      <c r="F3702" t="s">
        <v>2201</v>
      </c>
      <c r="G3702" t="s">
        <v>2198</v>
      </c>
      <c r="H3702" t="s">
        <v>449</v>
      </c>
      <c r="J3702" t="s">
        <v>4032</v>
      </c>
      <c r="K3702" t="s">
        <v>606</v>
      </c>
      <c r="M3702" t="s">
        <v>1382</v>
      </c>
      <c r="N3702" t="s">
        <v>812</v>
      </c>
      <c r="O3702" t="s">
        <v>2210</v>
      </c>
      <c r="P3702" t="s">
        <v>670</v>
      </c>
      <c r="Q3702" t="s">
        <v>513</v>
      </c>
      <c r="R3702" t="s">
        <v>2164</v>
      </c>
      <c r="S3702" t="s">
        <v>2198</v>
      </c>
      <c r="T3702" t="s">
        <v>2165</v>
      </c>
      <c r="U3702">
        <v>214800</v>
      </c>
      <c r="V3702" t="s">
        <v>2236</v>
      </c>
      <c r="W3702" t="s">
        <v>2211</v>
      </c>
      <c r="X3702" t="s">
        <v>14220</v>
      </c>
      <c r="Y3702" t="s">
        <v>8787</v>
      </c>
      <c r="Z3702" t="s">
        <v>2295</v>
      </c>
      <c r="AA3702" t="s">
        <v>8788</v>
      </c>
      <c r="AB3702" t="s">
        <v>14221</v>
      </c>
      <c r="AE3702">
        <v>-39.508437100000002</v>
      </c>
      <c r="AF3702">
        <v>176.90084390999999</v>
      </c>
      <c r="AG3702" s="175">
        <v>50</v>
      </c>
      <c r="AH3702" s="175">
        <v>16</v>
      </c>
      <c r="AI3702" s="175">
        <v>1</v>
      </c>
      <c r="AJ3702" s="175">
        <v>8</v>
      </c>
      <c r="AK3702" s="175">
        <v>11</v>
      </c>
      <c r="AL3702" s="175">
        <v>8</v>
      </c>
      <c r="AM3702" s="175">
        <v>12</v>
      </c>
      <c r="AN3702" s="175">
        <v>1</v>
      </c>
      <c r="AO3702" s="175">
        <v>41</v>
      </c>
      <c r="AP3702" s="175">
        <v>15</v>
      </c>
      <c r="AQ3702" s="175">
        <v>33</v>
      </c>
      <c r="AR3702" s="175">
        <v>7</v>
      </c>
      <c r="AS3702" s="175">
        <v>2</v>
      </c>
      <c r="AT3702" s="175">
        <v>0</v>
      </c>
    </row>
    <row r="3703" spans="1:46">
      <c r="A3703">
        <v>55316</v>
      </c>
      <c r="B3703" t="s">
        <v>20338</v>
      </c>
      <c r="C3703" t="s">
        <v>11562</v>
      </c>
      <c r="D3703" t="s">
        <v>17235</v>
      </c>
      <c r="E3703" t="s">
        <v>20339</v>
      </c>
      <c r="G3703" t="s">
        <v>2346</v>
      </c>
      <c r="H3703" t="s">
        <v>449</v>
      </c>
      <c r="J3703" t="s">
        <v>4032</v>
      </c>
      <c r="K3703" t="s">
        <v>606</v>
      </c>
      <c r="M3703" t="s">
        <v>1382</v>
      </c>
      <c r="N3703" t="s">
        <v>657</v>
      </c>
      <c r="O3703" t="s">
        <v>2347</v>
      </c>
      <c r="P3703" t="s">
        <v>610</v>
      </c>
      <c r="Q3703" t="s">
        <v>513</v>
      </c>
      <c r="R3703" t="s">
        <v>2164</v>
      </c>
      <c r="S3703" t="s">
        <v>2348</v>
      </c>
      <c r="T3703" t="s">
        <v>2165</v>
      </c>
      <c r="U3703">
        <v>215801</v>
      </c>
      <c r="V3703" t="s">
        <v>2349</v>
      </c>
      <c r="W3703" t="s">
        <v>2350</v>
      </c>
      <c r="X3703" t="s">
        <v>8997</v>
      </c>
      <c r="Y3703" t="s">
        <v>8998</v>
      </c>
      <c r="Z3703" t="s">
        <v>2346</v>
      </c>
      <c r="AA3703" t="s">
        <v>8999</v>
      </c>
      <c r="AB3703" t="s">
        <v>9000</v>
      </c>
      <c r="AC3703">
        <v>99160</v>
      </c>
      <c r="AD3703" t="s">
        <v>2351</v>
      </c>
      <c r="AE3703">
        <v>-39.995037750000002</v>
      </c>
      <c r="AF3703">
        <v>176.55881509</v>
      </c>
      <c r="AG3703" s="175">
        <v>30</v>
      </c>
      <c r="AH3703" s="175">
        <v>0</v>
      </c>
      <c r="AI3703" s="175">
        <v>0</v>
      </c>
      <c r="AJ3703" s="175">
        <v>0</v>
      </c>
      <c r="AK3703" s="175">
        <v>0</v>
      </c>
      <c r="AL3703" s="175">
        <v>1</v>
      </c>
      <c r="AM3703" s="175">
        <v>19</v>
      </c>
      <c r="AN3703" s="175">
        <v>2</v>
      </c>
      <c r="AO3703" s="175">
        <v>22</v>
      </c>
      <c r="AP3703" s="175">
        <v>9</v>
      </c>
      <c r="AQ3703" s="175">
        <v>9</v>
      </c>
      <c r="AR3703" s="175">
        <v>0</v>
      </c>
      <c r="AS3703" s="175">
        <v>5</v>
      </c>
      <c r="AT3703" s="175">
        <v>3</v>
      </c>
    </row>
    <row r="3704" spans="1:46">
      <c r="A3704">
        <v>55318</v>
      </c>
      <c r="B3704" t="s">
        <v>20340</v>
      </c>
      <c r="C3704" t="s">
        <v>20341</v>
      </c>
      <c r="D3704" t="s">
        <v>20342</v>
      </c>
      <c r="E3704" t="s">
        <v>20343</v>
      </c>
      <c r="F3704" t="s">
        <v>2337</v>
      </c>
      <c r="G3704" t="s">
        <v>2276</v>
      </c>
      <c r="H3704" t="s">
        <v>449</v>
      </c>
      <c r="J3704" t="s">
        <v>605</v>
      </c>
      <c r="K3704" t="s">
        <v>606</v>
      </c>
      <c r="M3704" t="s">
        <v>1382</v>
      </c>
      <c r="N3704" t="s">
        <v>812</v>
      </c>
      <c r="O3704" t="s">
        <v>2277</v>
      </c>
      <c r="P3704" t="s">
        <v>670</v>
      </c>
      <c r="Q3704" t="s">
        <v>513</v>
      </c>
      <c r="R3704" t="s">
        <v>2164</v>
      </c>
      <c r="S3704" t="s">
        <v>2278</v>
      </c>
      <c r="T3704" t="s">
        <v>2165</v>
      </c>
      <c r="U3704">
        <v>209901</v>
      </c>
      <c r="V3704" t="s">
        <v>2337</v>
      </c>
      <c r="W3704" t="s">
        <v>2279</v>
      </c>
      <c r="X3704" t="s">
        <v>8962</v>
      </c>
      <c r="Y3704" t="s">
        <v>4014</v>
      </c>
      <c r="Z3704" t="s">
        <v>4015</v>
      </c>
      <c r="AA3704" t="s">
        <v>4016</v>
      </c>
      <c r="AB3704" t="s">
        <v>8963</v>
      </c>
      <c r="AC3704">
        <v>99159</v>
      </c>
      <c r="AD3704" t="s">
        <v>2285</v>
      </c>
      <c r="AE3704">
        <v>-39.641651430000003</v>
      </c>
      <c r="AF3704">
        <v>176.82452817000001</v>
      </c>
      <c r="AG3704" s="175">
        <v>49</v>
      </c>
      <c r="AH3704" s="175">
        <v>15</v>
      </c>
      <c r="AI3704" s="175">
        <v>1</v>
      </c>
      <c r="AJ3704" s="175">
        <v>11</v>
      </c>
      <c r="AK3704" s="175">
        <v>9</v>
      </c>
      <c r="AL3704" s="175">
        <v>11</v>
      </c>
      <c r="AM3704" s="175">
        <v>14</v>
      </c>
      <c r="AN3704" s="175">
        <v>1</v>
      </c>
      <c r="AO3704" s="175">
        <v>47</v>
      </c>
      <c r="AP3704" s="175">
        <v>19</v>
      </c>
      <c r="AQ3704" s="175">
        <v>25</v>
      </c>
      <c r="AR3704" s="175">
        <v>12</v>
      </c>
      <c r="AS3704" s="175">
        <v>5</v>
      </c>
      <c r="AT3704" s="175">
        <v>2</v>
      </c>
    </row>
    <row r="3705" spans="1:46">
      <c r="A3705">
        <v>55321</v>
      </c>
      <c r="B3705" t="s">
        <v>20344</v>
      </c>
      <c r="C3705" t="s">
        <v>20345</v>
      </c>
      <c r="D3705" t="s">
        <v>20346</v>
      </c>
      <c r="E3705" t="s">
        <v>20347</v>
      </c>
      <c r="F3705" t="s">
        <v>2201</v>
      </c>
      <c r="G3705" t="s">
        <v>2198</v>
      </c>
      <c r="H3705" t="s">
        <v>449</v>
      </c>
      <c r="J3705" t="s">
        <v>605</v>
      </c>
      <c r="K3705" t="s">
        <v>606</v>
      </c>
      <c r="M3705" t="s">
        <v>1382</v>
      </c>
      <c r="N3705" t="s">
        <v>643</v>
      </c>
      <c r="O3705" t="s">
        <v>2210</v>
      </c>
      <c r="P3705" t="s">
        <v>670</v>
      </c>
      <c r="Q3705" t="s">
        <v>513</v>
      </c>
      <c r="R3705" t="s">
        <v>2164</v>
      </c>
      <c r="S3705" t="s">
        <v>2198</v>
      </c>
      <c r="T3705" t="s">
        <v>2165</v>
      </c>
      <c r="U3705">
        <v>215000</v>
      </c>
      <c r="V3705" t="s">
        <v>2225</v>
      </c>
      <c r="W3705" t="s">
        <v>2211</v>
      </c>
      <c r="X3705" t="s">
        <v>8962</v>
      </c>
      <c r="Y3705" t="s">
        <v>4014</v>
      </c>
      <c r="Z3705" t="s">
        <v>4015</v>
      </c>
      <c r="AA3705" t="s">
        <v>4016</v>
      </c>
      <c r="AB3705" t="s">
        <v>8963</v>
      </c>
      <c r="AE3705">
        <v>-39.501123339999999</v>
      </c>
      <c r="AF3705">
        <v>176.90160288000001</v>
      </c>
      <c r="AG3705" s="175">
        <v>46</v>
      </c>
      <c r="AH3705" s="175">
        <v>16</v>
      </c>
      <c r="AI3705" s="175">
        <v>4</v>
      </c>
      <c r="AJ3705" s="175">
        <v>8</v>
      </c>
      <c r="AK3705" s="175">
        <v>7</v>
      </c>
      <c r="AL3705" s="175">
        <v>12</v>
      </c>
      <c r="AM3705" s="175">
        <v>12</v>
      </c>
      <c r="AN3705" s="175">
        <v>0</v>
      </c>
      <c r="AO3705" s="175">
        <v>43</v>
      </c>
      <c r="AP3705" s="175">
        <v>17</v>
      </c>
      <c r="AQ3705" s="175">
        <v>14</v>
      </c>
      <c r="AR3705" s="175">
        <v>2</v>
      </c>
      <c r="AS3705" s="175">
        <v>11</v>
      </c>
      <c r="AT3705" s="175">
        <v>7</v>
      </c>
    </row>
    <row r="3706" spans="1:46">
      <c r="A3706">
        <v>55324</v>
      </c>
      <c r="B3706" t="s">
        <v>20348</v>
      </c>
      <c r="C3706" t="s">
        <v>20349</v>
      </c>
      <c r="D3706" t="s">
        <v>20350</v>
      </c>
      <c r="E3706" t="s">
        <v>20351</v>
      </c>
      <c r="F3706" t="s">
        <v>16383</v>
      </c>
      <c r="G3706" t="s">
        <v>2162</v>
      </c>
      <c r="H3706" t="s">
        <v>449</v>
      </c>
      <c r="J3706" t="s">
        <v>605</v>
      </c>
      <c r="K3706" t="s">
        <v>606</v>
      </c>
      <c r="M3706" t="s">
        <v>1382</v>
      </c>
      <c r="N3706" t="s">
        <v>625</v>
      </c>
      <c r="O3706" t="s">
        <v>2163</v>
      </c>
      <c r="P3706" t="s">
        <v>670</v>
      </c>
      <c r="Q3706" t="s">
        <v>512</v>
      </c>
      <c r="R3706" t="s">
        <v>2164</v>
      </c>
      <c r="S3706" t="s">
        <v>1556</v>
      </c>
      <c r="T3706" t="s">
        <v>2165</v>
      </c>
      <c r="U3706">
        <v>206801</v>
      </c>
      <c r="V3706" t="s">
        <v>16384</v>
      </c>
      <c r="W3706" t="s">
        <v>2167</v>
      </c>
      <c r="X3706" t="s">
        <v>20352</v>
      </c>
      <c r="Y3706" t="s">
        <v>20353</v>
      </c>
      <c r="Z3706" t="s">
        <v>2162</v>
      </c>
      <c r="AA3706" t="s">
        <v>2170</v>
      </c>
      <c r="AB3706" t="s">
        <v>20349</v>
      </c>
      <c r="AC3706">
        <v>99083</v>
      </c>
      <c r="AD3706" t="s">
        <v>2179</v>
      </c>
      <c r="AE3706">
        <v>-38.662021899999999</v>
      </c>
      <c r="AF3706">
        <v>178.02131861999999</v>
      </c>
      <c r="AG3706" s="175">
        <v>45</v>
      </c>
      <c r="AH3706" s="175">
        <v>12</v>
      </c>
      <c r="AI3706" s="175">
        <v>1</v>
      </c>
      <c r="AJ3706" s="175">
        <v>4</v>
      </c>
      <c r="AK3706" s="175">
        <v>11</v>
      </c>
      <c r="AL3706" s="175">
        <v>14</v>
      </c>
      <c r="AM3706" s="175">
        <v>16</v>
      </c>
      <c r="AN3706" s="175">
        <v>0</v>
      </c>
      <c r="AO3706" s="175">
        <v>46</v>
      </c>
      <c r="AP3706" s="175">
        <v>11</v>
      </c>
      <c r="AQ3706" s="175">
        <v>36</v>
      </c>
      <c r="AR3706" s="175">
        <v>5</v>
      </c>
      <c r="AS3706" s="175">
        <v>2</v>
      </c>
      <c r="AT3706" s="175">
        <v>0</v>
      </c>
    </row>
    <row r="3707" spans="1:46">
      <c r="A3707">
        <v>55326</v>
      </c>
      <c r="B3707" t="s">
        <v>20354</v>
      </c>
      <c r="C3707" t="s">
        <v>20355</v>
      </c>
      <c r="D3707" t="s">
        <v>20356</v>
      </c>
      <c r="E3707" t="s">
        <v>20357</v>
      </c>
      <c r="F3707" t="s">
        <v>2302</v>
      </c>
      <c r="G3707" t="s">
        <v>2276</v>
      </c>
      <c r="H3707" t="s">
        <v>347</v>
      </c>
      <c r="J3707" t="s">
        <v>605</v>
      </c>
      <c r="K3707" t="s">
        <v>606</v>
      </c>
      <c r="L3707" t="s">
        <v>4273</v>
      </c>
      <c r="M3707" t="s">
        <v>1382</v>
      </c>
      <c r="N3707" t="s">
        <v>812</v>
      </c>
      <c r="O3707" t="s">
        <v>2277</v>
      </c>
      <c r="P3707" t="s">
        <v>670</v>
      </c>
      <c r="Q3707" t="s">
        <v>513</v>
      </c>
      <c r="R3707" t="s">
        <v>2164</v>
      </c>
      <c r="S3707" t="s">
        <v>2278</v>
      </c>
      <c r="T3707" t="s">
        <v>2165</v>
      </c>
      <c r="U3707">
        <v>209000</v>
      </c>
      <c r="V3707" t="s">
        <v>2303</v>
      </c>
      <c r="W3707" t="s">
        <v>2304</v>
      </c>
      <c r="X3707" t="s">
        <v>19952</v>
      </c>
      <c r="Y3707" t="s">
        <v>4276</v>
      </c>
      <c r="Z3707" t="s">
        <v>4277</v>
      </c>
      <c r="AA3707" t="s">
        <v>4278</v>
      </c>
      <c r="AB3707" t="s">
        <v>8869</v>
      </c>
      <c r="AE3707">
        <v>-39.62203804</v>
      </c>
      <c r="AF3707">
        <v>176.77592651000001</v>
      </c>
      <c r="AG3707" s="175">
        <v>30</v>
      </c>
      <c r="AH3707" s="175">
        <v>8</v>
      </c>
      <c r="AI3707" s="175">
        <v>3</v>
      </c>
      <c r="AJ3707" s="175">
        <v>6</v>
      </c>
      <c r="AK3707" s="175">
        <v>6</v>
      </c>
      <c r="AL3707" s="175">
        <v>6</v>
      </c>
      <c r="AM3707" s="175">
        <v>6</v>
      </c>
      <c r="AN3707" s="175">
        <v>0</v>
      </c>
      <c r="AO3707" s="175">
        <v>27</v>
      </c>
      <c r="AP3707" s="175">
        <v>0</v>
      </c>
      <c r="AQ3707" s="175">
        <v>23</v>
      </c>
      <c r="AR3707" s="175">
        <v>4</v>
      </c>
      <c r="AS3707" s="175">
        <v>0</v>
      </c>
      <c r="AT3707" s="175">
        <v>0</v>
      </c>
    </row>
    <row r="3708" spans="1:46">
      <c r="A3708">
        <v>55328</v>
      </c>
      <c r="B3708" t="s">
        <v>20358</v>
      </c>
      <c r="C3708" t="s">
        <v>20359</v>
      </c>
      <c r="D3708" t="s">
        <v>20360</v>
      </c>
      <c r="E3708" t="s">
        <v>20361</v>
      </c>
      <c r="G3708" t="s">
        <v>20362</v>
      </c>
      <c r="H3708" t="s">
        <v>452</v>
      </c>
      <c r="J3708" t="s">
        <v>605</v>
      </c>
      <c r="K3708" t="s">
        <v>606</v>
      </c>
      <c r="M3708" t="s">
        <v>1382</v>
      </c>
      <c r="N3708" t="s">
        <v>625</v>
      </c>
      <c r="O3708" t="s">
        <v>2163</v>
      </c>
      <c r="P3708" t="s">
        <v>658</v>
      </c>
      <c r="Q3708" t="s">
        <v>512</v>
      </c>
      <c r="R3708" t="s">
        <v>2164</v>
      </c>
      <c r="S3708" t="s">
        <v>1556</v>
      </c>
      <c r="T3708" t="s">
        <v>2165</v>
      </c>
      <c r="U3708">
        <v>205201</v>
      </c>
      <c r="V3708" t="s">
        <v>20019</v>
      </c>
      <c r="W3708" t="s">
        <v>2167</v>
      </c>
      <c r="X3708" t="s">
        <v>2168</v>
      </c>
      <c r="Y3708" t="s">
        <v>2169</v>
      </c>
      <c r="AA3708" t="s">
        <v>2170</v>
      </c>
      <c r="AB3708" t="s">
        <v>2171</v>
      </c>
      <c r="AC3708">
        <v>99050</v>
      </c>
      <c r="AD3708" t="s">
        <v>2186</v>
      </c>
      <c r="AE3708">
        <v>-38.556983350000003</v>
      </c>
      <c r="AF3708">
        <v>178.21513898000001</v>
      </c>
      <c r="AG3708" s="175">
        <v>20</v>
      </c>
      <c r="AH3708" s="175">
        <v>0</v>
      </c>
      <c r="AI3708" s="175">
        <v>0</v>
      </c>
      <c r="AJ3708" s="175">
        <v>0</v>
      </c>
      <c r="AK3708" s="175">
        <v>7</v>
      </c>
      <c r="AL3708" s="175">
        <v>9</v>
      </c>
      <c r="AM3708" s="175">
        <v>8</v>
      </c>
      <c r="AN3708" s="175">
        <v>1</v>
      </c>
      <c r="AO3708" s="175">
        <v>25</v>
      </c>
      <c r="AP3708" s="175">
        <v>18</v>
      </c>
      <c r="AQ3708" s="175">
        <v>13</v>
      </c>
      <c r="AR3708" s="175">
        <v>1</v>
      </c>
      <c r="AS3708" s="175">
        <v>0</v>
      </c>
      <c r="AT3708" s="175">
        <v>0</v>
      </c>
    </row>
    <row r="3709" spans="1:46">
      <c r="A3709">
        <v>55336</v>
      </c>
      <c r="B3709" t="s">
        <v>20363</v>
      </c>
      <c r="C3709" t="s">
        <v>20364</v>
      </c>
      <c r="D3709" t="s">
        <v>20365</v>
      </c>
      <c r="E3709" t="s">
        <v>20366</v>
      </c>
      <c r="G3709" t="s">
        <v>2196</v>
      </c>
      <c r="H3709" t="s">
        <v>347</v>
      </c>
      <c r="J3709" t="s">
        <v>605</v>
      </c>
      <c r="K3709" t="s">
        <v>606</v>
      </c>
      <c r="L3709" t="s">
        <v>4273</v>
      </c>
      <c r="M3709" t="s">
        <v>1382</v>
      </c>
      <c r="N3709" t="s">
        <v>812</v>
      </c>
      <c r="O3709" t="s">
        <v>2197</v>
      </c>
      <c r="P3709" t="s">
        <v>610</v>
      </c>
      <c r="Q3709" t="s">
        <v>513</v>
      </c>
      <c r="R3709" t="s">
        <v>2164</v>
      </c>
      <c r="S3709" t="s">
        <v>2198</v>
      </c>
      <c r="T3709" t="s">
        <v>2165</v>
      </c>
      <c r="U3709">
        <v>207800</v>
      </c>
      <c r="V3709" t="s">
        <v>2196</v>
      </c>
      <c r="W3709" t="s">
        <v>651</v>
      </c>
      <c r="X3709" t="s">
        <v>8868</v>
      </c>
      <c r="Y3709" t="s">
        <v>4276</v>
      </c>
      <c r="Z3709" t="s">
        <v>4277</v>
      </c>
      <c r="AA3709" t="s">
        <v>4278</v>
      </c>
      <c r="AB3709" t="s">
        <v>8869</v>
      </c>
      <c r="AE3709">
        <v>-39.036135350000002</v>
      </c>
      <c r="AF3709">
        <v>177.40931705</v>
      </c>
      <c r="AG3709" s="175">
        <v>20</v>
      </c>
      <c r="AH3709" s="175">
        <v>10</v>
      </c>
      <c r="AI3709" s="175">
        <v>1</v>
      </c>
      <c r="AJ3709" s="175">
        <v>7</v>
      </c>
      <c r="AK3709" s="175">
        <v>8</v>
      </c>
      <c r="AL3709" s="175">
        <v>5</v>
      </c>
      <c r="AM3709" s="175">
        <v>0</v>
      </c>
      <c r="AN3709" s="175">
        <v>0</v>
      </c>
      <c r="AO3709" s="175">
        <v>21</v>
      </c>
      <c r="AP3709" s="175">
        <v>0</v>
      </c>
      <c r="AQ3709" s="175">
        <v>21</v>
      </c>
      <c r="AR3709" s="175">
        <v>0</v>
      </c>
      <c r="AS3709" s="175">
        <v>0</v>
      </c>
      <c r="AT3709" s="175">
        <v>0</v>
      </c>
    </row>
    <row r="3710" spans="1:46">
      <c r="A3710">
        <v>55341</v>
      </c>
      <c r="B3710" t="s">
        <v>20367</v>
      </c>
      <c r="C3710" t="s">
        <v>20368</v>
      </c>
      <c r="D3710" t="s">
        <v>20369</v>
      </c>
      <c r="E3710" t="s">
        <v>20370</v>
      </c>
      <c r="G3710" t="s">
        <v>20371</v>
      </c>
      <c r="H3710" t="s">
        <v>449</v>
      </c>
      <c r="J3710" t="s">
        <v>605</v>
      </c>
      <c r="K3710" t="s">
        <v>606</v>
      </c>
      <c r="M3710" t="s">
        <v>1382</v>
      </c>
      <c r="N3710" t="s">
        <v>625</v>
      </c>
      <c r="O3710" t="s">
        <v>2163</v>
      </c>
      <c r="P3710" t="s">
        <v>626</v>
      </c>
      <c r="Q3710" t="s">
        <v>512</v>
      </c>
      <c r="R3710" t="s">
        <v>2164</v>
      </c>
      <c r="S3710" t="s">
        <v>1556</v>
      </c>
      <c r="T3710" t="s">
        <v>2165</v>
      </c>
      <c r="U3710">
        <v>204800</v>
      </c>
      <c r="V3710" t="s">
        <v>19775</v>
      </c>
      <c r="W3710" t="s">
        <v>2167</v>
      </c>
      <c r="X3710" t="s">
        <v>20372</v>
      </c>
      <c r="Y3710" t="s">
        <v>20373</v>
      </c>
      <c r="Z3710" t="s">
        <v>20374</v>
      </c>
      <c r="AA3710" t="s">
        <v>20375</v>
      </c>
      <c r="AB3710" t="s">
        <v>20368</v>
      </c>
      <c r="AE3710">
        <v>-38.469188699999997</v>
      </c>
      <c r="AF3710">
        <v>177.86635851</v>
      </c>
      <c r="AG3710" s="175">
        <v>26</v>
      </c>
      <c r="AH3710" s="175">
        <v>8</v>
      </c>
      <c r="AI3710" s="175">
        <v>0</v>
      </c>
      <c r="AJ3710" s="175">
        <v>3</v>
      </c>
      <c r="AK3710" s="175">
        <v>8</v>
      </c>
      <c r="AL3710" s="175">
        <v>9</v>
      </c>
      <c r="AM3710" s="175">
        <v>7</v>
      </c>
      <c r="AN3710" s="175">
        <v>0</v>
      </c>
      <c r="AO3710" s="175">
        <v>27</v>
      </c>
      <c r="AP3710" s="175">
        <v>5</v>
      </c>
      <c r="AQ3710" s="175">
        <v>26</v>
      </c>
      <c r="AR3710" s="175">
        <v>1</v>
      </c>
      <c r="AS3710" s="175">
        <v>0</v>
      </c>
      <c r="AT3710" s="175">
        <v>0</v>
      </c>
    </row>
    <row r="3711" spans="1:46">
      <c r="A3711">
        <v>55342</v>
      </c>
      <c r="B3711" t="s">
        <v>20376</v>
      </c>
      <c r="C3711" t="s">
        <v>20377</v>
      </c>
      <c r="E3711" t="s">
        <v>20378</v>
      </c>
      <c r="G3711" t="s">
        <v>2276</v>
      </c>
      <c r="H3711" t="s">
        <v>449</v>
      </c>
      <c r="J3711" t="s">
        <v>605</v>
      </c>
      <c r="K3711" t="s">
        <v>606</v>
      </c>
      <c r="M3711" t="s">
        <v>1382</v>
      </c>
      <c r="N3711" t="s">
        <v>657</v>
      </c>
      <c r="O3711" t="s">
        <v>2277</v>
      </c>
      <c r="P3711" t="s">
        <v>658</v>
      </c>
      <c r="Q3711" t="s">
        <v>513</v>
      </c>
      <c r="R3711" t="s">
        <v>2164</v>
      </c>
      <c r="S3711" t="s">
        <v>2278</v>
      </c>
      <c r="T3711" t="s">
        <v>2165</v>
      </c>
      <c r="U3711">
        <v>208200</v>
      </c>
      <c r="V3711" t="s">
        <v>8812</v>
      </c>
      <c r="W3711" t="s">
        <v>8813</v>
      </c>
      <c r="X3711" t="s">
        <v>20379</v>
      </c>
      <c r="Y3711" t="s">
        <v>20380</v>
      </c>
      <c r="AA3711" t="s">
        <v>20381</v>
      </c>
      <c r="AB3711" t="s">
        <v>20382</v>
      </c>
      <c r="AE3711">
        <v>-39.647348559999998</v>
      </c>
      <c r="AF3711">
        <v>176.41498655000001</v>
      </c>
      <c r="AG3711" s="175">
        <v>12</v>
      </c>
      <c r="AH3711" s="175">
        <v>0</v>
      </c>
      <c r="AI3711" s="175">
        <v>0</v>
      </c>
      <c r="AJ3711" s="175">
        <v>0</v>
      </c>
      <c r="AK3711" s="175">
        <v>1</v>
      </c>
      <c r="AL3711" s="175">
        <v>2</v>
      </c>
      <c r="AM3711" s="175">
        <v>4</v>
      </c>
      <c r="AN3711" s="175">
        <v>0</v>
      </c>
      <c r="AO3711" s="175">
        <v>7</v>
      </c>
      <c r="AP3711" s="175">
        <v>7</v>
      </c>
      <c r="AQ3711" s="175">
        <v>0</v>
      </c>
      <c r="AR3711" s="175">
        <v>0</v>
      </c>
      <c r="AS3711" s="175">
        <v>0</v>
      </c>
      <c r="AT3711" s="175">
        <v>1</v>
      </c>
    </row>
    <row r="3712" spans="1:46">
      <c r="A3712">
        <v>55347</v>
      </c>
      <c r="B3712" t="s">
        <v>20383</v>
      </c>
      <c r="C3712" t="s">
        <v>20384</v>
      </c>
      <c r="D3712" t="s">
        <v>20385</v>
      </c>
      <c r="E3712" t="s">
        <v>20386</v>
      </c>
      <c r="F3712" t="s">
        <v>2708</v>
      </c>
      <c r="G3712" t="s">
        <v>2604</v>
      </c>
      <c r="H3712" t="s">
        <v>347</v>
      </c>
      <c r="J3712" t="s">
        <v>605</v>
      </c>
      <c r="K3712" t="s">
        <v>606</v>
      </c>
      <c r="L3712" t="s">
        <v>4273</v>
      </c>
      <c r="M3712" t="s">
        <v>2366</v>
      </c>
      <c r="N3712" t="s">
        <v>608</v>
      </c>
      <c r="O3712" t="s">
        <v>2605</v>
      </c>
      <c r="P3712" t="s">
        <v>670</v>
      </c>
      <c r="Q3712" t="s">
        <v>516</v>
      </c>
      <c r="R3712" t="s">
        <v>2368</v>
      </c>
      <c r="S3712" t="s">
        <v>2606</v>
      </c>
      <c r="T3712" t="s">
        <v>1568</v>
      </c>
      <c r="U3712">
        <v>241100</v>
      </c>
      <c r="V3712" t="s">
        <v>2727</v>
      </c>
      <c r="W3712" t="s">
        <v>2607</v>
      </c>
      <c r="X3712" t="s">
        <v>10392</v>
      </c>
      <c r="Y3712" t="s">
        <v>4276</v>
      </c>
      <c r="Z3712" t="s">
        <v>4277</v>
      </c>
      <c r="AA3712" t="s">
        <v>4278</v>
      </c>
      <c r="AB3712" t="s">
        <v>10393</v>
      </c>
      <c r="AE3712">
        <v>-41.140838459999998</v>
      </c>
      <c r="AF3712">
        <v>174.8589461</v>
      </c>
      <c r="AG3712" s="175">
        <v>40</v>
      </c>
      <c r="AH3712" s="175">
        <v>9</v>
      </c>
      <c r="AI3712" s="175">
        <v>0</v>
      </c>
      <c r="AJ3712" s="175">
        <v>7</v>
      </c>
      <c r="AK3712" s="175">
        <v>3</v>
      </c>
      <c r="AL3712" s="175">
        <v>10</v>
      </c>
      <c r="AM3712" s="175">
        <v>8</v>
      </c>
      <c r="AN3712" s="175">
        <v>0</v>
      </c>
      <c r="AO3712" s="175">
        <v>28</v>
      </c>
      <c r="AP3712" s="175">
        <v>0</v>
      </c>
      <c r="AQ3712" s="175">
        <v>23</v>
      </c>
      <c r="AR3712" s="175">
        <v>5</v>
      </c>
      <c r="AS3712" s="175">
        <v>0</v>
      </c>
      <c r="AT3712" s="175">
        <v>0</v>
      </c>
    </row>
    <row r="3713" spans="1:46">
      <c r="A3713">
        <v>55348</v>
      </c>
      <c r="B3713" t="s">
        <v>20387</v>
      </c>
      <c r="C3713" t="s">
        <v>20388</v>
      </c>
      <c r="D3713" t="s">
        <v>20389</v>
      </c>
      <c r="E3713" t="s">
        <v>20390</v>
      </c>
      <c r="F3713" t="s">
        <v>13286</v>
      </c>
      <c r="G3713" t="s">
        <v>2368</v>
      </c>
      <c r="H3713" t="s">
        <v>449</v>
      </c>
      <c r="J3713" t="s">
        <v>4032</v>
      </c>
      <c r="K3713" t="s">
        <v>606</v>
      </c>
      <c r="M3713" t="s">
        <v>2366</v>
      </c>
      <c r="N3713" t="s">
        <v>657</v>
      </c>
      <c r="O3713" t="s">
        <v>2614</v>
      </c>
      <c r="P3713" t="s">
        <v>739</v>
      </c>
      <c r="Q3713" t="s">
        <v>516</v>
      </c>
      <c r="R3713" t="s">
        <v>2368</v>
      </c>
      <c r="S3713" t="s">
        <v>2631</v>
      </c>
      <c r="T3713" t="s">
        <v>2526</v>
      </c>
      <c r="U3713">
        <v>250100</v>
      </c>
      <c r="V3713" t="s">
        <v>13286</v>
      </c>
      <c r="W3713" t="s">
        <v>2639</v>
      </c>
      <c r="X3713" t="s">
        <v>20391</v>
      </c>
      <c r="Y3713" t="s">
        <v>20392</v>
      </c>
      <c r="Z3713" t="s">
        <v>2675</v>
      </c>
      <c r="AA3713" t="s">
        <v>12467</v>
      </c>
      <c r="AC3713">
        <v>99213</v>
      </c>
      <c r="AD3713" t="s">
        <v>20393</v>
      </c>
      <c r="AE3713">
        <v>-41.27146166</v>
      </c>
      <c r="AF3713">
        <v>174.75502510999999</v>
      </c>
      <c r="AG3713" s="175">
        <v>34</v>
      </c>
      <c r="AH3713" s="175">
        <v>0</v>
      </c>
      <c r="AI3713" s="175">
        <v>0</v>
      </c>
      <c r="AJ3713" s="175">
        <v>0</v>
      </c>
      <c r="AK3713" s="175">
        <v>16</v>
      </c>
      <c r="AL3713" s="175">
        <v>8</v>
      </c>
      <c r="AM3713" s="175">
        <v>15</v>
      </c>
      <c r="AN3713" s="175">
        <v>0</v>
      </c>
      <c r="AO3713" s="175">
        <v>39</v>
      </c>
      <c r="AP3713" s="175">
        <v>38</v>
      </c>
      <c r="AQ3713" s="175">
        <v>2</v>
      </c>
      <c r="AR3713" s="175">
        <v>1</v>
      </c>
      <c r="AS3713" s="175">
        <v>5</v>
      </c>
      <c r="AT3713" s="175">
        <v>1</v>
      </c>
    </row>
    <row r="3714" spans="1:46">
      <c r="A3714">
        <v>55349</v>
      </c>
      <c r="B3714" t="s">
        <v>20394</v>
      </c>
      <c r="C3714" t="s">
        <v>20395</v>
      </c>
      <c r="D3714" t="s">
        <v>20396</v>
      </c>
      <c r="E3714" t="s">
        <v>20397</v>
      </c>
      <c r="G3714" t="s">
        <v>20398</v>
      </c>
      <c r="H3714" t="s">
        <v>452</v>
      </c>
      <c r="J3714" t="s">
        <v>605</v>
      </c>
      <c r="K3714" t="s">
        <v>606</v>
      </c>
      <c r="M3714" t="s">
        <v>1382</v>
      </c>
      <c r="N3714" t="s">
        <v>657</v>
      </c>
      <c r="O3714" t="s">
        <v>2277</v>
      </c>
      <c r="P3714" t="s">
        <v>658</v>
      </c>
      <c r="Q3714" t="s">
        <v>513</v>
      </c>
      <c r="R3714" t="s">
        <v>2164</v>
      </c>
      <c r="S3714" t="s">
        <v>2198</v>
      </c>
      <c r="T3714" t="s">
        <v>2165</v>
      </c>
      <c r="U3714">
        <v>208001</v>
      </c>
      <c r="V3714" t="s">
        <v>20125</v>
      </c>
      <c r="W3714" t="s">
        <v>19868</v>
      </c>
      <c r="X3714" t="s">
        <v>2168</v>
      </c>
      <c r="Y3714" t="s">
        <v>2169</v>
      </c>
      <c r="AA3714" t="s">
        <v>2170</v>
      </c>
      <c r="AB3714" t="s">
        <v>2171</v>
      </c>
      <c r="AE3714">
        <v>-39.208549920000003</v>
      </c>
      <c r="AF3714">
        <v>176.88051390999999</v>
      </c>
      <c r="AG3714" s="175">
        <v>25</v>
      </c>
      <c r="AH3714" s="175">
        <v>5</v>
      </c>
      <c r="AI3714" s="175">
        <v>0</v>
      </c>
      <c r="AJ3714" s="175">
        <v>4</v>
      </c>
      <c r="AK3714" s="175">
        <v>5</v>
      </c>
      <c r="AL3714" s="175">
        <v>4</v>
      </c>
      <c r="AM3714" s="175">
        <v>1</v>
      </c>
      <c r="AN3714" s="175">
        <v>1</v>
      </c>
      <c r="AO3714" s="175">
        <v>15</v>
      </c>
      <c r="AP3714" s="175">
        <v>13</v>
      </c>
      <c r="AQ3714" s="175">
        <v>8</v>
      </c>
      <c r="AR3714" s="175">
        <v>0</v>
      </c>
      <c r="AS3714" s="175">
        <v>2</v>
      </c>
      <c r="AT3714" s="175">
        <v>0</v>
      </c>
    </row>
    <row r="3715" spans="1:46">
      <c r="A3715">
        <v>55352</v>
      </c>
      <c r="B3715" t="s">
        <v>20399</v>
      </c>
      <c r="C3715" t="s">
        <v>20400</v>
      </c>
      <c r="D3715" t="s">
        <v>20401</v>
      </c>
      <c r="E3715" t="s">
        <v>20402</v>
      </c>
      <c r="G3715" t="s">
        <v>19965</v>
      </c>
      <c r="H3715" t="s">
        <v>449</v>
      </c>
      <c r="J3715" t="s">
        <v>605</v>
      </c>
      <c r="K3715" t="s">
        <v>606</v>
      </c>
      <c r="M3715" t="s">
        <v>1382</v>
      </c>
      <c r="N3715" t="s">
        <v>657</v>
      </c>
      <c r="O3715" t="s">
        <v>2277</v>
      </c>
      <c r="P3715" t="s">
        <v>658</v>
      </c>
      <c r="Q3715" t="s">
        <v>513</v>
      </c>
      <c r="R3715" t="s">
        <v>2164</v>
      </c>
      <c r="S3715" t="s">
        <v>2198</v>
      </c>
      <c r="T3715" t="s">
        <v>2165</v>
      </c>
      <c r="U3715">
        <v>208301</v>
      </c>
      <c r="V3715" t="s">
        <v>19966</v>
      </c>
      <c r="W3715" t="s">
        <v>19868</v>
      </c>
      <c r="X3715" t="s">
        <v>20403</v>
      </c>
      <c r="Y3715" t="s">
        <v>20404</v>
      </c>
      <c r="Z3715" t="s">
        <v>20405</v>
      </c>
      <c r="AA3715" t="s">
        <v>20406</v>
      </c>
      <c r="AB3715" t="s">
        <v>20407</v>
      </c>
      <c r="AC3715">
        <v>99217</v>
      </c>
      <c r="AD3715" t="s">
        <v>2220</v>
      </c>
      <c r="AE3715">
        <v>-39.50777566</v>
      </c>
      <c r="AF3715">
        <v>176.79136054</v>
      </c>
      <c r="AG3715" s="175">
        <v>27</v>
      </c>
      <c r="AH3715" s="175">
        <v>0</v>
      </c>
      <c r="AI3715" s="175">
        <v>0</v>
      </c>
      <c r="AJ3715" s="175">
        <v>0</v>
      </c>
      <c r="AK3715" s="175">
        <v>9</v>
      </c>
      <c r="AL3715" s="175">
        <v>10</v>
      </c>
      <c r="AM3715" s="175">
        <v>14</v>
      </c>
      <c r="AN3715" s="175">
        <v>0</v>
      </c>
      <c r="AO3715" s="175">
        <v>33</v>
      </c>
      <c r="AP3715" s="175">
        <v>32</v>
      </c>
      <c r="AQ3715" s="175">
        <v>7</v>
      </c>
      <c r="AR3715" s="175">
        <v>4</v>
      </c>
      <c r="AS3715" s="175">
        <v>0</v>
      </c>
      <c r="AT3715" s="175">
        <v>0</v>
      </c>
    </row>
    <row r="3716" spans="1:46">
      <c r="A3716">
        <v>55355</v>
      </c>
      <c r="B3716" t="s">
        <v>20408</v>
      </c>
      <c r="C3716" t="s">
        <v>20409</v>
      </c>
      <c r="D3716" t="s">
        <v>20410</v>
      </c>
      <c r="E3716" t="s">
        <v>20411</v>
      </c>
      <c r="G3716" t="s">
        <v>2396</v>
      </c>
      <c r="H3716" t="s">
        <v>449</v>
      </c>
      <c r="J3716" t="s">
        <v>4032</v>
      </c>
      <c r="K3716" t="s">
        <v>606</v>
      </c>
      <c r="M3716" t="s">
        <v>2366</v>
      </c>
      <c r="N3716" t="s">
        <v>657</v>
      </c>
      <c r="O3716" t="s">
        <v>2397</v>
      </c>
      <c r="P3716" t="s">
        <v>1347</v>
      </c>
      <c r="Q3716" t="s">
        <v>516</v>
      </c>
      <c r="R3716" t="s">
        <v>2368</v>
      </c>
      <c r="S3716" t="s">
        <v>2348</v>
      </c>
      <c r="T3716" t="s">
        <v>2165</v>
      </c>
      <c r="U3716">
        <v>256100</v>
      </c>
      <c r="V3716" t="s">
        <v>2405</v>
      </c>
      <c r="W3716" t="s">
        <v>2399</v>
      </c>
      <c r="X3716" t="s">
        <v>20412</v>
      </c>
      <c r="Y3716" t="s">
        <v>20411</v>
      </c>
      <c r="Z3716" t="s">
        <v>2396</v>
      </c>
      <c r="AA3716" t="s">
        <v>11995</v>
      </c>
      <c r="AB3716" t="s">
        <v>20409</v>
      </c>
      <c r="AC3716">
        <v>99204</v>
      </c>
      <c r="AD3716" t="s">
        <v>2400</v>
      </c>
      <c r="AE3716">
        <v>-40.947690690000002</v>
      </c>
      <c r="AF3716">
        <v>175.65067267000001</v>
      </c>
      <c r="AG3716" s="175">
        <v>24</v>
      </c>
      <c r="AH3716" s="175">
        <v>10</v>
      </c>
      <c r="AI3716" s="175">
        <v>3</v>
      </c>
      <c r="AJ3716" s="175">
        <v>4</v>
      </c>
      <c r="AK3716" s="175">
        <v>10</v>
      </c>
      <c r="AL3716" s="175">
        <v>8</v>
      </c>
      <c r="AM3716" s="175">
        <v>7</v>
      </c>
      <c r="AN3716" s="175">
        <v>0</v>
      </c>
      <c r="AO3716" s="175">
        <v>32</v>
      </c>
      <c r="AP3716" s="175">
        <v>30</v>
      </c>
      <c r="AQ3716" s="175">
        <v>6</v>
      </c>
      <c r="AR3716" s="175">
        <v>0</v>
      </c>
      <c r="AS3716" s="175">
        <v>0</v>
      </c>
      <c r="AT3716" s="175">
        <v>0</v>
      </c>
    </row>
    <row r="3717" spans="1:46">
      <c r="A3717">
        <v>55358</v>
      </c>
      <c r="B3717" t="s">
        <v>20413</v>
      </c>
      <c r="C3717" t="s">
        <v>20414</v>
      </c>
      <c r="D3717" t="s">
        <v>20415</v>
      </c>
      <c r="E3717" t="s">
        <v>20416</v>
      </c>
      <c r="F3717" t="s">
        <v>2302</v>
      </c>
      <c r="G3717" t="s">
        <v>2276</v>
      </c>
      <c r="H3717" t="s">
        <v>347</v>
      </c>
      <c r="J3717" t="s">
        <v>605</v>
      </c>
      <c r="K3717" t="s">
        <v>606</v>
      </c>
      <c r="L3717" t="s">
        <v>4273</v>
      </c>
      <c r="M3717" t="s">
        <v>1382</v>
      </c>
      <c r="N3717" t="s">
        <v>812</v>
      </c>
      <c r="O3717" t="s">
        <v>2277</v>
      </c>
      <c r="P3717" t="s">
        <v>670</v>
      </c>
      <c r="Q3717" t="s">
        <v>513</v>
      </c>
      <c r="R3717" t="s">
        <v>2164</v>
      </c>
      <c r="S3717" t="s">
        <v>2278</v>
      </c>
      <c r="T3717" t="s">
        <v>2165</v>
      </c>
      <c r="U3717">
        <v>208800</v>
      </c>
      <c r="V3717" t="s">
        <v>12985</v>
      </c>
      <c r="W3717" t="s">
        <v>2304</v>
      </c>
      <c r="X3717" t="s">
        <v>8868</v>
      </c>
      <c r="Y3717" t="s">
        <v>4276</v>
      </c>
      <c r="Z3717" t="s">
        <v>4277</v>
      </c>
      <c r="AA3717" t="s">
        <v>4278</v>
      </c>
      <c r="AB3717" t="s">
        <v>8869</v>
      </c>
      <c r="AE3717">
        <v>-39.616549499999998</v>
      </c>
      <c r="AF3717">
        <v>176.77161380000001</v>
      </c>
      <c r="AG3717" s="175">
        <v>20</v>
      </c>
      <c r="AH3717" s="175">
        <v>8</v>
      </c>
      <c r="AI3717" s="175">
        <v>2</v>
      </c>
      <c r="AJ3717" s="175">
        <v>7</v>
      </c>
      <c r="AK3717" s="175">
        <v>5</v>
      </c>
      <c r="AL3717" s="175">
        <v>3</v>
      </c>
      <c r="AM3717" s="175">
        <v>3</v>
      </c>
      <c r="AN3717" s="175">
        <v>0</v>
      </c>
      <c r="AO3717" s="175">
        <v>20</v>
      </c>
      <c r="AP3717" s="175">
        <v>0</v>
      </c>
      <c r="AQ3717" s="175">
        <v>17</v>
      </c>
      <c r="AR3717" s="175">
        <v>3</v>
      </c>
      <c r="AS3717" s="175">
        <v>0</v>
      </c>
      <c r="AT3717" s="175">
        <v>0</v>
      </c>
    </row>
    <row r="3718" spans="1:46">
      <c r="A3718">
        <v>55359</v>
      </c>
      <c r="B3718" t="s">
        <v>20417</v>
      </c>
      <c r="C3718" t="s">
        <v>20418</v>
      </c>
      <c r="D3718" t="s">
        <v>20419</v>
      </c>
      <c r="E3718" t="s">
        <v>20420</v>
      </c>
      <c r="F3718" t="s">
        <v>20421</v>
      </c>
      <c r="G3718" t="s">
        <v>2368</v>
      </c>
      <c r="H3718" t="s">
        <v>301</v>
      </c>
      <c r="J3718" t="s">
        <v>605</v>
      </c>
      <c r="K3718" t="s">
        <v>606</v>
      </c>
      <c r="M3718" t="s">
        <v>2366</v>
      </c>
      <c r="N3718" t="s">
        <v>657</v>
      </c>
      <c r="O3718" t="s">
        <v>2614</v>
      </c>
      <c r="P3718" t="s">
        <v>739</v>
      </c>
      <c r="Q3718" t="s">
        <v>516</v>
      </c>
      <c r="R3718" t="s">
        <v>2368</v>
      </c>
      <c r="S3718" t="s">
        <v>2615</v>
      </c>
      <c r="T3718" t="s">
        <v>2526</v>
      </c>
      <c r="U3718">
        <v>254700</v>
      </c>
      <c r="V3718" t="s">
        <v>20421</v>
      </c>
      <c r="W3718" t="s">
        <v>2669</v>
      </c>
      <c r="X3718" t="s">
        <v>20422</v>
      </c>
      <c r="Y3718" t="s">
        <v>5253</v>
      </c>
      <c r="AA3718" t="s">
        <v>5254</v>
      </c>
      <c r="AB3718" t="s">
        <v>20423</v>
      </c>
      <c r="AE3718">
        <v>-41.332805209999997</v>
      </c>
      <c r="AF3718">
        <v>174.78804409</v>
      </c>
      <c r="AG3718" s="175">
        <v>25</v>
      </c>
      <c r="AH3718" s="175">
        <v>15</v>
      </c>
      <c r="AI3718" s="175">
        <v>3</v>
      </c>
      <c r="AJ3718" s="175">
        <v>5</v>
      </c>
      <c r="AK3718" s="175">
        <v>8</v>
      </c>
      <c r="AL3718" s="175">
        <v>3</v>
      </c>
      <c r="AM3718" s="175">
        <v>7</v>
      </c>
      <c r="AN3718" s="175">
        <v>0</v>
      </c>
      <c r="AO3718" s="175">
        <v>26</v>
      </c>
      <c r="AP3718" s="175">
        <v>25</v>
      </c>
      <c r="AQ3718" s="175">
        <v>2</v>
      </c>
      <c r="AR3718" s="175">
        <v>0</v>
      </c>
      <c r="AS3718" s="175">
        <v>2</v>
      </c>
      <c r="AT3718" s="175">
        <v>0</v>
      </c>
    </row>
    <row r="3719" spans="1:46">
      <c r="A3719">
        <v>55360</v>
      </c>
      <c r="B3719" t="s">
        <v>20424</v>
      </c>
      <c r="C3719" t="s">
        <v>20425</v>
      </c>
      <c r="D3719" t="s">
        <v>20426</v>
      </c>
      <c r="E3719" t="s">
        <v>20427</v>
      </c>
      <c r="F3719" t="s">
        <v>2557</v>
      </c>
      <c r="G3719" t="s">
        <v>2505</v>
      </c>
      <c r="H3719" t="s">
        <v>449</v>
      </c>
      <c r="I3719" t="s">
        <v>4182</v>
      </c>
      <c r="J3719" t="s">
        <v>605</v>
      </c>
      <c r="K3719" t="s">
        <v>606</v>
      </c>
      <c r="M3719" t="s">
        <v>2366</v>
      </c>
      <c r="N3719" t="s">
        <v>625</v>
      </c>
      <c r="O3719" t="s">
        <v>2506</v>
      </c>
      <c r="P3719" t="s">
        <v>739</v>
      </c>
      <c r="Q3719" t="s">
        <v>516</v>
      </c>
      <c r="R3719" t="s">
        <v>2368</v>
      </c>
      <c r="S3719" t="s">
        <v>2451</v>
      </c>
      <c r="T3719" t="s">
        <v>2165</v>
      </c>
      <c r="U3719">
        <v>245400</v>
      </c>
      <c r="V3719" t="s">
        <v>2558</v>
      </c>
      <c r="W3719" t="s">
        <v>2533</v>
      </c>
      <c r="X3719" t="s">
        <v>20428</v>
      </c>
      <c r="Y3719" t="s">
        <v>20429</v>
      </c>
      <c r="Z3719" t="s">
        <v>2557</v>
      </c>
      <c r="AA3719" t="s">
        <v>20430</v>
      </c>
      <c r="AE3719">
        <v>-41.203848399999998</v>
      </c>
      <c r="AF3719">
        <v>174.94657921000001</v>
      </c>
      <c r="AG3719" s="175">
        <v>20</v>
      </c>
      <c r="AH3719" s="175">
        <v>5</v>
      </c>
      <c r="AI3719" s="175">
        <v>0</v>
      </c>
      <c r="AJ3719" s="175">
        <v>1</v>
      </c>
      <c r="AK3719" s="175">
        <v>6</v>
      </c>
      <c r="AL3719" s="175">
        <v>3</v>
      </c>
      <c r="AM3719" s="175">
        <v>5</v>
      </c>
      <c r="AN3719" s="175">
        <v>2</v>
      </c>
      <c r="AO3719" s="175">
        <v>17</v>
      </c>
      <c r="AP3719" s="175">
        <v>13</v>
      </c>
      <c r="AQ3719" s="175">
        <v>10</v>
      </c>
      <c r="AR3719" s="175">
        <v>3</v>
      </c>
      <c r="AS3719" s="175">
        <v>1</v>
      </c>
      <c r="AT3719" s="175">
        <v>0</v>
      </c>
    </row>
    <row r="3720" spans="1:46">
      <c r="A3720">
        <v>55362</v>
      </c>
      <c r="B3720" t="s">
        <v>20431</v>
      </c>
      <c r="C3720" t="s">
        <v>20432</v>
      </c>
      <c r="D3720" t="s">
        <v>20433</v>
      </c>
      <c r="E3720" t="s">
        <v>20434</v>
      </c>
      <c r="F3720" t="s">
        <v>2746</v>
      </c>
      <c r="G3720" t="s">
        <v>2368</v>
      </c>
      <c r="H3720" t="s">
        <v>449</v>
      </c>
      <c r="I3720" t="s">
        <v>4233</v>
      </c>
      <c r="J3720" t="s">
        <v>605</v>
      </c>
      <c r="K3720" t="s">
        <v>606</v>
      </c>
      <c r="M3720" t="s">
        <v>2366</v>
      </c>
      <c r="N3720" t="s">
        <v>657</v>
      </c>
      <c r="O3720" t="s">
        <v>2614</v>
      </c>
      <c r="P3720" t="s">
        <v>739</v>
      </c>
      <c r="Q3720" t="s">
        <v>516</v>
      </c>
      <c r="R3720" t="s">
        <v>2368</v>
      </c>
      <c r="S3720" t="s">
        <v>2615</v>
      </c>
      <c r="T3720" t="s">
        <v>2526</v>
      </c>
      <c r="U3720">
        <v>252900</v>
      </c>
      <c r="V3720" t="s">
        <v>2747</v>
      </c>
      <c r="W3720" t="s">
        <v>2616</v>
      </c>
      <c r="X3720" t="s">
        <v>20435</v>
      </c>
      <c r="Y3720" t="s">
        <v>20436</v>
      </c>
      <c r="Z3720" t="s">
        <v>2746</v>
      </c>
      <c r="AA3720" t="s">
        <v>20437</v>
      </c>
      <c r="AE3720">
        <v>-41.31153553</v>
      </c>
      <c r="AF3720">
        <v>174.78058103000001</v>
      </c>
      <c r="AG3720" s="175">
        <v>25</v>
      </c>
      <c r="AH3720" s="175">
        <v>5</v>
      </c>
      <c r="AI3720" s="175">
        <v>0</v>
      </c>
      <c r="AJ3720" s="175">
        <v>5</v>
      </c>
      <c r="AK3720" s="175">
        <v>9</v>
      </c>
      <c r="AL3720" s="175">
        <v>3</v>
      </c>
      <c r="AM3720" s="175">
        <v>5</v>
      </c>
      <c r="AN3720" s="175">
        <v>0</v>
      </c>
      <c r="AO3720" s="175">
        <v>22</v>
      </c>
      <c r="AP3720" s="175">
        <v>7</v>
      </c>
      <c r="AQ3720" s="175">
        <v>4</v>
      </c>
      <c r="AR3720" s="175">
        <v>19</v>
      </c>
      <c r="AS3720" s="175">
        <v>4</v>
      </c>
      <c r="AT3720" s="175">
        <v>0</v>
      </c>
    </row>
    <row r="3721" spans="1:46">
      <c r="A3721">
        <v>55363</v>
      </c>
      <c r="B3721" t="s">
        <v>20438</v>
      </c>
      <c r="C3721" t="s">
        <v>20439</v>
      </c>
      <c r="D3721" t="s">
        <v>20440</v>
      </c>
      <c r="E3721" t="s">
        <v>20441</v>
      </c>
      <c r="F3721" t="s">
        <v>9070</v>
      </c>
      <c r="G3721" t="s">
        <v>2162</v>
      </c>
      <c r="H3721" t="s">
        <v>449</v>
      </c>
      <c r="J3721" t="s">
        <v>4032</v>
      </c>
      <c r="K3721" t="s">
        <v>606</v>
      </c>
      <c r="M3721" t="s">
        <v>1382</v>
      </c>
      <c r="N3721" t="s">
        <v>657</v>
      </c>
      <c r="O3721" t="s">
        <v>2163</v>
      </c>
      <c r="P3721" t="s">
        <v>670</v>
      </c>
      <c r="Q3721" t="s">
        <v>512</v>
      </c>
      <c r="R3721" t="s">
        <v>2164</v>
      </c>
      <c r="S3721" t="s">
        <v>1556</v>
      </c>
      <c r="T3721" t="s">
        <v>2165</v>
      </c>
      <c r="U3721">
        <v>206400</v>
      </c>
      <c r="V3721" t="s">
        <v>15880</v>
      </c>
      <c r="W3721" t="s">
        <v>2167</v>
      </c>
      <c r="X3721" t="s">
        <v>20442</v>
      </c>
      <c r="Y3721" t="s">
        <v>9069</v>
      </c>
      <c r="Z3721" t="s">
        <v>16384</v>
      </c>
      <c r="AA3721" t="s">
        <v>2170</v>
      </c>
      <c r="AB3721" t="s">
        <v>20439</v>
      </c>
      <c r="AC3721">
        <v>99082</v>
      </c>
      <c r="AD3721" t="s">
        <v>2172</v>
      </c>
      <c r="AE3721">
        <v>-38.656196770000001</v>
      </c>
      <c r="AF3721">
        <v>178.01052179999999</v>
      </c>
      <c r="AG3721" s="175">
        <v>57</v>
      </c>
      <c r="AH3721" s="175">
        <v>15</v>
      </c>
      <c r="AI3721" s="175">
        <v>2</v>
      </c>
      <c r="AJ3721" s="175">
        <v>11</v>
      </c>
      <c r="AK3721" s="175">
        <v>19</v>
      </c>
      <c r="AL3721" s="175">
        <v>16</v>
      </c>
      <c r="AM3721" s="175">
        <v>16</v>
      </c>
      <c r="AN3721" s="175">
        <v>1</v>
      </c>
      <c r="AO3721" s="175">
        <v>65</v>
      </c>
      <c r="AP3721" s="175">
        <v>60</v>
      </c>
      <c r="AQ3721" s="175">
        <v>22</v>
      </c>
      <c r="AR3721" s="175">
        <v>2</v>
      </c>
      <c r="AS3721" s="175">
        <v>0</v>
      </c>
      <c r="AT3721" s="175">
        <v>2</v>
      </c>
    </row>
    <row r="3722" spans="1:46">
      <c r="A3722">
        <v>55364</v>
      </c>
      <c r="B3722" t="s">
        <v>20443</v>
      </c>
      <c r="C3722" t="s">
        <v>20444</v>
      </c>
      <c r="D3722" t="s">
        <v>20445</v>
      </c>
      <c r="E3722" t="s">
        <v>20446</v>
      </c>
      <c r="F3722" t="s">
        <v>19071</v>
      </c>
      <c r="G3722" t="s">
        <v>2368</v>
      </c>
      <c r="H3722" t="s">
        <v>449</v>
      </c>
      <c r="J3722" t="s">
        <v>605</v>
      </c>
      <c r="K3722" t="s">
        <v>606</v>
      </c>
      <c r="M3722" t="s">
        <v>2366</v>
      </c>
      <c r="N3722" t="s">
        <v>657</v>
      </c>
      <c r="O3722" t="s">
        <v>2614</v>
      </c>
      <c r="P3722" t="s">
        <v>739</v>
      </c>
      <c r="Q3722" t="s">
        <v>516</v>
      </c>
      <c r="R3722" t="s">
        <v>2368</v>
      </c>
      <c r="S3722" t="s">
        <v>2615</v>
      </c>
      <c r="T3722" t="s">
        <v>2526</v>
      </c>
      <c r="U3722">
        <v>254200</v>
      </c>
      <c r="V3722" t="s">
        <v>20447</v>
      </c>
      <c r="W3722" t="s">
        <v>2669</v>
      </c>
      <c r="X3722" t="s">
        <v>10497</v>
      </c>
      <c r="Y3722" t="s">
        <v>4014</v>
      </c>
      <c r="Z3722" t="s">
        <v>4015</v>
      </c>
      <c r="AA3722" t="s">
        <v>4016</v>
      </c>
      <c r="AC3722">
        <v>99141</v>
      </c>
      <c r="AD3722" t="s">
        <v>2670</v>
      </c>
      <c r="AE3722">
        <v>-41.319619359999997</v>
      </c>
      <c r="AF3722">
        <v>174.80269741000001</v>
      </c>
      <c r="AG3722" s="175">
        <v>29</v>
      </c>
      <c r="AH3722" s="175">
        <v>0</v>
      </c>
      <c r="AI3722" s="175">
        <v>0</v>
      </c>
      <c r="AJ3722" s="175">
        <v>0</v>
      </c>
      <c r="AK3722" s="175">
        <v>9</v>
      </c>
      <c r="AL3722" s="175">
        <v>8</v>
      </c>
      <c r="AM3722" s="175">
        <v>12</v>
      </c>
      <c r="AN3722" s="175">
        <v>0</v>
      </c>
      <c r="AO3722" s="175">
        <v>29</v>
      </c>
      <c r="AP3722" s="175">
        <v>11</v>
      </c>
      <c r="AQ3722" s="175">
        <v>7</v>
      </c>
      <c r="AR3722" s="175">
        <v>4</v>
      </c>
      <c r="AS3722" s="175">
        <v>8</v>
      </c>
      <c r="AT3722" s="175">
        <v>12</v>
      </c>
    </row>
    <row r="3723" spans="1:46">
      <c r="A3723">
        <v>55365</v>
      </c>
      <c r="B3723" t="s">
        <v>20448</v>
      </c>
      <c r="C3723" t="s">
        <v>20449</v>
      </c>
      <c r="D3723" t="s">
        <v>20450</v>
      </c>
      <c r="E3723" t="s">
        <v>20451</v>
      </c>
      <c r="F3723" t="s">
        <v>2282</v>
      </c>
      <c r="G3723" t="s">
        <v>2276</v>
      </c>
      <c r="H3723" t="s">
        <v>449</v>
      </c>
      <c r="J3723" t="s">
        <v>4032</v>
      </c>
      <c r="K3723" t="s">
        <v>606</v>
      </c>
      <c r="M3723" t="s">
        <v>1382</v>
      </c>
      <c r="N3723" t="s">
        <v>625</v>
      </c>
      <c r="O3723" t="s">
        <v>2277</v>
      </c>
      <c r="P3723" t="s">
        <v>670</v>
      </c>
      <c r="Q3723" t="s">
        <v>513</v>
      </c>
      <c r="R3723" t="s">
        <v>2164</v>
      </c>
      <c r="S3723" t="s">
        <v>2278</v>
      </c>
      <c r="T3723" t="s">
        <v>2165</v>
      </c>
      <c r="U3723">
        <v>210600</v>
      </c>
      <c r="V3723" t="s">
        <v>19933</v>
      </c>
      <c r="W3723" t="s">
        <v>2279</v>
      </c>
      <c r="X3723" t="s">
        <v>20452</v>
      </c>
      <c r="Y3723" t="s">
        <v>20453</v>
      </c>
      <c r="Z3723" t="s">
        <v>20454</v>
      </c>
      <c r="AA3723" t="s">
        <v>2283</v>
      </c>
      <c r="AB3723" t="s">
        <v>20455</v>
      </c>
      <c r="AE3723">
        <v>-39.635397810000001</v>
      </c>
      <c r="AF3723">
        <v>176.85398536</v>
      </c>
      <c r="AG3723" s="175">
        <v>35</v>
      </c>
      <c r="AH3723" s="175">
        <v>15</v>
      </c>
      <c r="AI3723" s="175">
        <v>2</v>
      </c>
      <c r="AJ3723" s="175">
        <v>11</v>
      </c>
      <c r="AK3723" s="175">
        <v>11</v>
      </c>
      <c r="AL3723" s="175">
        <v>1</v>
      </c>
      <c r="AM3723" s="175">
        <v>0</v>
      </c>
      <c r="AN3723" s="175">
        <v>0</v>
      </c>
      <c r="AO3723" s="175">
        <v>25</v>
      </c>
      <c r="AP3723" s="175">
        <v>6</v>
      </c>
      <c r="AQ3723" s="175">
        <v>24</v>
      </c>
      <c r="AR3723" s="175">
        <v>5</v>
      </c>
      <c r="AS3723" s="175">
        <v>0</v>
      </c>
      <c r="AT3723" s="175">
        <v>0</v>
      </c>
    </row>
    <row r="3724" spans="1:46">
      <c r="A3724">
        <v>55366</v>
      </c>
      <c r="B3724" t="s">
        <v>20456</v>
      </c>
      <c r="C3724" t="s">
        <v>20457</v>
      </c>
      <c r="D3724" t="s">
        <v>20458</v>
      </c>
      <c r="E3724" t="s">
        <v>20459</v>
      </c>
      <c r="G3724" t="s">
        <v>2365</v>
      </c>
      <c r="H3724" t="s">
        <v>449</v>
      </c>
      <c r="J3724" t="s">
        <v>4032</v>
      </c>
      <c r="K3724" t="s">
        <v>606</v>
      </c>
      <c r="M3724" t="s">
        <v>2366</v>
      </c>
      <c r="N3724" t="s">
        <v>625</v>
      </c>
      <c r="O3724" t="s">
        <v>2367</v>
      </c>
      <c r="P3724" t="s">
        <v>610</v>
      </c>
      <c r="Q3724" t="s">
        <v>553</v>
      </c>
      <c r="R3724" t="s">
        <v>2368</v>
      </c>
      <c r="S3724" t="s">
        <v>2348</v>
      </c>
      <c r="T3724" t="s">
        <v>2165</v>
      </c>
      <c r="U3724">
        <v>233300</v>
      </c>
      <c r="V3724" t="s">
        <v>2380</v>
      </c>
      <c r="W3724" t="s">
        <v>2370</v>
      </c>
      <c r="X3724" t="s">
        <v>20460</v>
      </c>
      <c r="Y3724" t="s">
        <v>20461</v>
      </c>
      <c r="AA3724" t="s">
        <v>20462</v>
      </c>
      <c r="AB3724" t="s">
        <v>20457</v>
      </c>
      <c r="AC3724">
        <v>99047</v>
      </c>
      <c r="AD3724" t="s">
        <v>2375</v>
      </c>
      <c r="AE3724">
        <v>-40.203904770000001</v>
      </c>
      <c r="AF3724">
        <v>176.10848670999999</v>
      </c>
      <c r="AG3724" s="175">
        <v>23</v>
      </c>
      <c r="AH3724" s="175">
        <v>10</v>
      </c>
      <c r="AI3724" s="175">
        <v>2</v>
      </c>
      <c r="AJ3724" s="175">
        <v>7</v>
      </c>
      <c r="AK3724" s="175">
        <v>6</v>
      </c>
      <c r="AL3724" s="175">
        <v>10</v>
      </c>
      <c r="AM3724" s="175">
        <v>2</v>
      </c>
      <c r="AN3724" s="175">
        <v>0</v>
      </c>
      <c r="AO3724" s="175">
        <v>27</v>
      </c>
      <c r="AP3724" s="175">
        <v>12</v>
      </c>
      <c r="AQ3724" s="175">
        <v>13</v>
      </c>
      <c r="AR3724" s="175">
        <v>3</v>
      </c>
      <c r="AS3724" s="175">
        <v>3</v>
      </c>
      <c r="AT3724" s="175">
        <v>6</v>
      </c>
    </row>
    <row r="3725" spans="1:46">
      <c r="A3725">
        <v>55367</v>
      </c>
      <c r="B3725" t="s">
        <v>20463</v>
      </c>
      <c r="C3725" t="s">
        <v>20464</v>
      </c>
      <c r="D3725" t="s">
        <v>20465</v>
      </c>
      <c r="E3725" t="s">
        <v>20466</v>
      </c>
      <c r="F3725" t="s">
        <v>2302</v>
      </c>
      <c r="G3725" t="s">
        <v>2276</v>
      </c>
      <c r="H3725" t="s">
        <v>347</v>
      </c>
      <c r="J3725" t="s">
        <v>605</v>
      </c>
      <c r="K3725" t="s">
        <v>606</v>
      </c>
      <c r="L3725" t="s">
        <v>4273</v>
      </c>
      <c r="M3725" t="s">
        <v>1382</v>
      </c>
      <c r="N3725" t="s">
        <v>812</v>
      </c>
      <c r="O3725" t="s">
        <v>2277</v>
      </c>
      <c r="P3725" t="s">
        <v>670</v>
      </c>
      <c r="Q3725" t="s">
        <v>513</v>
      </c>
      <c r="R3725" t="s">
        <v>2164</v>
      </c>
      <c r="S3725" t="s">
        <v>2278</v>
      </c>
      <c r="T3725" t="s">
        <v>2165</v>
      </c>
      <c r="U3725">
        <v>208800</v>
      </c>
      <c r="V3725" t="s">
        <v>12985</v>
      </c>
      <c r="W3725" t="s">
        <v>2304</v>
      </c>
      <c r="X3725" t="s">
        <v>19952</v>
      </c>
      <c r="Y3725" t="s">
        <v>4276</v>
      </c>
      <c r="Z3725" t="s">
        <v>4277</v>
      </c>
      <c r="AA3725" t="s">
        <v>4278</v>
      </c>
      <c r="AB3725" t="s">
        <v>8869</v>
      </c>
      <c r="AE3725">
        <v>-39.61445621</v>
      </c>
      <c r="AF3725">
        <v>176.76916686999999</v>
      </c>
      <c r="AG3725" s="175">
        <v>18</v>
      </c>
      <c r="AH3725" s="175">
        <v>8</v>
      </c>
      <c r="AI3725" s="175">
        <v>0</v>
      </c>
      <c r="AJ3725" s="175">
        <v>5</v>
      </c>
      <c r="AK3725" s="175">
        <v>5</v>
      </c>
      <c r="AL3725" s="175">
        <v>5</v>
      </c>
      <c r="AM3725" s="175">
        <v>3</v>
      </c>
      <c r="AN3725" s="175">
        <v>0</v>
      </c>
      <c r="AO3725" s="175">
        <v>18</v>
      </c>
      <c r="AP3725" s="175">
        <v>0</v>
      </c>
      <c r="AQ3725" s="175">
        <v>13</v>
      </c>
      <c r="AR3725" s="175">
        <v>5</v>
      </c>
      <c r="AS3725" s="175">
        <v>0</v>
      </c>
      <c r="AT3725" s="175">
        <v>0</v>
      </c>
    </row>
    <row r="3726" spans="1:46">
      <c r="A3726">
        <v>55371</v>
      </c>
      <c r="B3726" t="s">
        <v>20467</v>
      </c>
      <c r="C3726" t="s">
        <v>20468</v>
      </c>
      <c r="D3726" t="s">
        <v>20469</v>
      </c>
      <c r="E3726" t="s">
        <v>20470</v>
      </c>
      <c r="G3726" t="s">
        <v>2396</v>
      </c>
      <c r="H3726" t="s">
        <v>449</v>
      </c>
      <c r="J3726" t="s">
        <v>4032</v>
      </c>
      <c r="K3726" t="s">
        <v>606</v>
      </c>
      <c r="M3726" t="s">
        <v>2366</v>
      </c>
      <c r="N3726" t="s">
        <v>657</v>
      </c>
      <c r="O3726" t="s">
        <v>2397</v>
      </c>
      <c r="P3726" t="s">
        <v>1347</v>
      </c>
      <c r="Q3726" t="s">
        <v>516</v>
      </c>
      <c r="R3726" t="s">
        <v>2368</v>
      </c>
      <c r="S3726" t="s">
        <v>2348</v>
      </c>
      <c r="T3726" t="s">
        <v>2165</v>
      </c>
      <c r="U3726">
        <v>255900</v>
      </c>
      <c r="V3726" t="s">
        <v>12045</v>
      </c>
      <c r="W3726" t="s">
        <v>2399</v>
      </c>
      <c r="X3726" t="s">
        <v>20471</v>
      </c>
      <c r="Y3726" t="s">
        <v>20472</v>
      </c>
      <c r="AA3726" t="s">
        <v>11995</v>
      </c>
      <c r="AB3726" t="s">
        <v>20473</v>
      </c>
      <c r="AC3726">
        <v>99204</v>
      </c>
      <c r="AD3726" t="s">
        <v>2400</v>
      </c>
      <c r="AE3726">
        <v>-40.942572570000003</v>
      </c>
      <c r="AF3726">
        <v>175.65777829999999</v>
      </c>
      <c r="AG3726" s="175">
        <v>33</v>
      </c>
      <c r="AH3726" s="175">
        <v>0</v>
      </c>
      <c r="AI3726" s="175">
        <v>0</v>
      </c>
      <c r="AJ3726" s="175">
        <v>0</v>
      </c>
      <c r="AK3726" s="175">
        <v>6</v>
      </c>
      <c r="AL3726" s="175">
        <v>18</v>
      </c>
      <c r="AM3726" s="175">
        <v>17</v>
      </c>
      <c r="AN3726" s="175">
        <v>1</v>
      </c>
      <c r="AO3726" s="175">
        <v>42</v>
      </c>
      <c r="AP3726" s="175">
        <v>33</v>
      </c>
      <c r="AQ3726" s="175">
        <v>9</v>
      </c>
      <c r="AR3726" s="175">
        <v>0</v>
      </c>
      <c r="AS3726" s="175">
        <v>9</v>
      </c>
      <c r="AT3726" s="175">
        <v>1</v>
      </c>
    </row>
    <row r="3727" spans="1:46">
      <c r="A3727">
        <v>55372</v>
      </c>
      <c r="B3727" t="s">
        <v>20474</v>
      </c>
      <c r="C3727" t="s">
        <v>20475</v>
      </c>
      <c r="D3727" t="s">
        <v>20476</v>
      </c>
      <c r="E3727" t="s">
        <v>20477</v>
      </c>
      <c r="F3727" t="s">
        <v>2519</v>
      </c>
      <c r="G3727" t="s">
        <v>2505</v>
      </c>
      <c r="H3727" t="s">
        <v>449</v>
      </c>
      <c r="I3727" t="s">
        <v>4182</v>
      </c>
      <c r="J3727" t="s">
        <v>605</v>
      </c>
      <c r="K3727" t="s">
        <v>606</v>
      </c>
      <c r="M3727" t="s">
        <v>2366</v>
      </c>
      <c r="N3727" t="s">
        <v>657</v>
      </c>
      <c r="O3727" t="s">
        <v>2506</v>
      </c>
      <c r="P3727" t="s">
        <v>739</v>
      </c>
      <c r="Q3727" t="s">
        <v>516</v>
      </c>
      <c r="R3727" t="s">
        <v>2368</v>
      </c>
      <c r="S3727" t="s">
        <v>2507</v>
      </c>
      <c r="T3727" t="s">
        <v>2526</v>
      </c>
      <c r="U3727">
        <v>245100</v>
      </c>
      <c r="V3727" t="s">
        <v>2527</v>
      </c>
      <c r="W3727" t="s">
        <v>2521</v>
      </c>
      <c r="X3727" t="s">
        <v>20478</v>
      </c>
      <c r="Y3727" t="s">
        <v>20477</v>
      </c>
      <c r="Z3727" t="s">
        <v>2505</v>
      </c>
      <c r="AA3727" t="s">
        <v>20479</v>
      </c>
      <c r="AB3727" t="s">
        <v>20480</v>
      </c>
      <c r="AE3727">
        <v>-41.206727659999999</v>
      </c>
      <c r="AF3727">
        <v>174.92760881000001</v>
      </c>
      <c r="AG3727" s="175">
        <v>5</v>
      </c>
      <c r="AH3727" s="175">
        <v>5</v>
      </c>
      <c r="AI3727" s="175">
        <v>0</v>
      </c>
      <c r="AJ3727" s="175">
        <v>2</v>
      </c>
      <c r="AK3727" s="175">
        <v>5</v>
      </c>
      <c r="AL3727" s="175">
        <v>15</v>
      </c>
      <c r="AM3727" s="175">
        <v>8</v>
      </c>
      <c r="AN3727" s="175">
        <v>0</v>
      </c>
      <c r="AO3727" s="175">
        <v>30</v>
      </c>
      <c r="AP3727" s="175">
        <v>23</v>
      </c>
      <c r="AQ3727" s="175">
        <v>3</v>
      </c>
      <c r="AR3727" s="175">
        <v>2</v>
      </c>
      <c r="AS3727" s="175">
        <v>9</v>
      </c>
      <c r="AT3727" s="175">
        <v>1</v>
      </c>
    </row>
    <row r="3728" spans="1:46">
      <c r="A3728">
        <v>55374</v>
      </c>
      <c r="B3728" t="s">
        <v>20481</v>
      </c>
      <c r="C3728" t="s">
        <v>20482</v>
      </c>
      <c r="D3728" t="s">
        <v>20483</v>
      </c>
      <c r="E3728" t="s">
        <v>20484</v>
      </c>
      <c r="F3728" t="s">
        <v>2845</v>
      </c>
      <c r="G3728" t="s">
        <v>2604</v>
      </c>
      <c r="H3728" t="s">
        <v>449</v>
      </c>
      <c r="I3728" t="s">
        <v>4233</v>
      </c>
      <c r="J3728" t="s">
        <v>605</v>
      </c>
      <c r="K3728" t="s">
        <v>606</v>
      </c>
      <c r="M3728" t="s">
        <v>2366</v>
      </c>
      <c r="N3728" t="s">
        <v>625</v>
      </c>
      <c r="O3728" t="s">
        <v>2605</v>
      </c>
      <c r="P3728" t="s">
        <v>670</v>
      </c>
      <c r="Q3728" t="s">
        <v>516</v>
      </c>
      <c r="R3728" t="s">
        <v>2368</v>
      </c>
      <c r="S3728" t="s">
        <v>2606</v>
      </c>
      <c r="T3728" t="s">
        <v>1568</v>
      </c>
      <c r="U3728">
        <v>240801</v>
      </c>
      <c r="V3728" t="s">
        <v>2846</v>
      </c>
      <c r="W3728" t="s">
        <v>2607</v>
      </c>
      <c r="X3728" t="s">
        <v>20485</v>
      </c>
      <c r="Y3728" t="s">
        <v>20486</v>
      </c>
      <c r="Z3728" t="s">
        <v>2845</v>
      </c>
      <c r="AA3728" t="s">
        <v>14174</v>
      </c>
      <c r="AB3728" t="s">
        <v>20487</v>
      </c>
      <c r="AC3728">
        <v>99074</v>
      </c>
      <c r="AD3728" t="s">
        <v>2710</v>
      </c>
      <c r="AE3728">
        <v>-41.12876859</v>
      </c>
      <c r="AF3728">
        <v>174.87610673</v>
      </c>
      <c r="AG3728" s="175">
        <v>72</v>
      </c>
      <c r="AH3728" s="175">
        <v>22</v>
      </c>
      <c r="AI3728" s="175">
        <v>1</v>
      </c>
      <c r="AJ3728" s="175">
        <v>9</v>
      </c>
      <c r="AK3728" s="175">
        <v>17</v>
      </c>
      <c r="AL3728" s="175">
        <v>10</v>
      </c>
      <c r="AM3728" s="175">
        <v>14</v>
      </c>
      <c r="AN3728" s="175">
        <v>0</v>
      </c>
      <c r="AO3728" s="175">
        <v>51</v>
      </c>
      <c r="AP3728" s="175">
        <v>10</v>
      </c>
      <c r="AQ3728" s="175">
        <v>2</v>
      </c>
      <c r="AR3728" s="175">
        <v>50</v>
      </c>
      <c r="AS3728" s="175">
        <v>1</v>
      </c>
      <c r="AT3728" s="175">
        <v>1</v>
      </c>
    </row>
    <row r="3729" spans="1:46">
      <c r="A3729">
        <v>55378</v>
      </c>
      <c r="B3729" t="s">
        <v>20488</v>
      </c>
      <c r="C3729" t="s">
        <v>20489</v>
      </c>
      <c r="D3729" t="s">
        <v>20490</v>
      </c>
      <c r="E3729" t="s">
        <v>20491</v>
      </c>
      <c r="G3729" t="s">
        <v>20492</v>
      </c>
      <c r="H3729" t="s">
        <v>347</v>
      </c>
      <c r="J3729" t="s">
        <v>605</v>
      </c>
      <c r="K3729" t="s">
        <v>606</v>
      </c>
      <c r="L3729" t="s">
        <v>4273</v>
      </c>
      <c r="M3729" t="s">
        <v>1382</v>
      </c>
      <c r="N3729" t="s">
        <v>812</v>
      </c>
      <c r="O3729" t="s">
        <v>2163</v>
      </c>
      <c r="P3729" t="s">
        <v>658</v>
      </c>
      <c r="Q3729" t="s">
        <v>512</v>
      </c>
      <c r="R3729" t="s">
        <v>2164</v>
      </c>
      <c r="S3729" t="s">
        <v>1556</v>
      </c>
      <c r="T3729" t="s">
        <v>2165</v>
      </c>
      <c r="U3729">
        <v>204800</v>
      </c>
      <c r="V3729" t="s">
        <v>19775</v>
      </c>
      <c r="W3729" t="s">
        <v>2167</v>
      </c>
      <c r="X3729" t="s">
        <v>18191</v>
      </c>
      <c r="Y3729" t="s">
        <v>4276</v>
      </c>
      <c r="Z3729" t="s">
        <v>4277</v>
      </c>
      <c r="AA3729" t="s">
        <v>4278</v>
      </c>
      <c r="AB3729" t="s">
        <v>18192</v>
      </c>
      <c r="AE3729">
        <v>-38.383770200000001</v>
      </c>
      <c r="AF3729">
        <v>177.82759565000001</v>
      </c>
      <c r="AG3729" s="175">
        <v>15</v>
      </c>
      <c r="AH3729" s="175">
        <v>5</v>
      </c>
      <c r="AI3729" s="175">
        <v>0</v>
      </c>
      <c r="AJ3729" s="175">
        <v>1</v>
      </c>
      <c r="AK3729" s="175">
        <v>1</v>
      </c>
      <c r="AL3729" s="175">
        <v>1</v>
      </c>
      <c r="AM3729" s="175">
        <v>0</v>
      </c>
      <c r="AN3729" s="175">
        <v>0</v>
      </c>
      <c r="AO3729" s="175">
        <v>3</v>
      </c>
      <c r="AP3729" s="175">
        <v>0</v>
      </c>
      <c r="AQ3729" s="175">
        <v>3</v>
      </c>
      <c r="AR3729" s="175">
        <v>0</v>
      </c>
      <c r="AS3729" s="175">
        <v>0</v>
      </c>
      <c r="AT3729" s="175">
        <v>0</v>
      </c>
    </row>
    <row r="3730" spans="1:46">
      <c r="A3730">
        <v>55379</v>
      </c>
      <c r="B3730" t="s">
        <v>20493</v>
      </c>
      <c r="C3730" t="s">
        <v>20494</v>
      </c>
      <c r="D3730" t="s">
        <v>20495</v>
      </c>
      <c r="E3730" t="s">
        <v>20496</v>
      </c>
      <c r="G3730" t="s">
        <v>2435</v>
      </c>
      <c r="H3730" t="s">
        <v>449</v>
      </c>
      <c r="J3730" t="s">
        <v>4032</v>
      </c>
      <c r="K3730" t="s">
        <v>606</v>
      </c>
      <c r="M3730" t="s">
        <v>2366</v>
      </c>
      <c r="N3730" t="s">
        <v>657</v>
      </c>
      <c r="O3730" t="s">
        <v>2436</v>
      </c>
      <c r="P3730" t="s">
        <v>610</v>
      </c>
      <c r="Q3730" t="s">
        <v>516</v>
      </c>
      <c r="R3730" t="s">
        <v>2368</v>
      </c>
      <c r="S3730" t="s">
        <v>2348</v>
      </c>
      <c r="T3730" t="s">
        <v>2165</v>
      </c>
      <c r="U3730">
        <v>256900</v>
      </c>
      <c r="V3730" t="s">
        <v>13448</v>
      </c>
      <c r="W3730" t="s">
        <v>1734</v>
      </c>
      <c r="X3730" t="s">
        <v>20497</v>
      </c>
      <c r="Y3730" t="s">
        <v>11689</v>
      </c>
      <c r="AA3730" t="s">
        <v>20498</v>
      </c>
      <c r="AB3730" t="s">
        <v>20494</v>
      </c>
      <c r="AE3730">
        <v>-41.02497752</v>
      </c>
      <c r="AF3730">
        <v>175.52144494999999</v>
      </c>
      <c r="AG3730" s="175">
        <v>34</v>
      </c>
      <c r="AH3730" s="175">
        <v>10</v>
      </c>
      <c r="AI3730" s="175">
        <v>1</v>
      </c>
      <c r="AJ3730" s="175">
        <v>7</v>
      </c>
      <c r="AK3730" s="175">
        <v>11</v>
      </c>
      <c r="AL3730" s="175">
        <v>3</v>
      </c>
      <c r="AM3730" s="175">
        <v>13</v>
      </c>
      <c r="AN3730" s="175">
        <v>0</v>
      </c>
      <c r="AO3730" s="175">
        <v>35</v>
      </c>
      <c r="AP3730" s="175">
        <v>30</v>
      </c>
      <c r="AQ3730" s="175">
        <v>9</v>
      </c>
      <c r="AR3730" s="175">
        <v>1</v>
      </c>
      <c r="AS3730" s="175">
        <v>0</v>
      </c>
      <c r="AT3730" s="175">
        <v>2</v>
      </c>
    </row>
    <row r="3731" spans="1:46">
      <c r="A3731">
        <v>55382</v>
      </c>
      <c r="B3731" t="s">
        <v>20499</v>
      </c>
      <c r="C3731" t="s">
        <v>20500</v>
      </c>
      <c r="D3731" t="s">
        <v>20501</v>
      </c>
      <c r="E3731" t="s">
        <v>20502</v>
      </c>
      <c r="F3731" t="s">
        <v>2708</v>
      </c>
      <c r="G3731" t="s">
        <v>2604</v>
      </c>
      <c r="H3731" t="s">
        <v>449</v>
      </c>
      <c r="J3731" t="s">
        <v>605</v>
      </c>
      <c r="K3731" t="s">
        <v>606</v>
      </c>
      <c r="M3731" t="s">
        <v>2366</v>
      </c>
      <c r="N3731" t="s">
        <v>608</v>
      </c>
      <c r="O3731" t="s">
        <v>2605</v>
      </c>
      <c r="P3731" t="s">
        <v>670</v>
      </c>
      <c r="Q3731" t="s">
        <v>516</v>
      </c>
      <c r="R3731" t="s">
        <v>2368</v>
      </c>
      <c r="S3731" t="s">
        <v>2606</v>
      </c>
      <c r="T3731" t="s">
        <v>1568</v>
      </c>
      <c r="U3731">
        <v>240700</v>
      </c>
      <c r="V3731" t="s">
        <v>19132</v>
      </c>
      <c r="W3731" t="s">
        <v>2607</v>
      </c>
      <c r="X3731" t="s">
        <v>20503</v>
      </c>
      <c r="Y3731" t="s">
        <v>20504</v>
      </c>
      <c r="Z3731" t="s">
        <v>2708</v>
      </c>
      <c r="AA3731" t="s">
        <v>1972</v>
      </c>
      <c r="AB3731" t="s">
        <v>20500</v>
      </c>
      <c r="AC3731">
        <v>99074</v>
      </c>
      <c r="AD3731" t="s">
        <v>2710</v>
      </c>
      <c r="AE3731">
        <v>-41.142126990000001</v>
      </c>
      <c r="AF3731">
        <v>174.86297400000001</v>
      </c>
      <c r="AG3731" s="175">
        <v>65</v>
      </c>
      <c r="AH3731" s="175">
        <v>15</v>
      </c>
      <c r="AI3731" s="175">
        <v>1</v>
      </c>
      <c r="AJ3731" s="175">
        <v>6</v>
      </c>
      <c r="AK3731" s="175">
        <v>10</v>
      </c>
      <c r="AL3731" s="175">
        <v>11</v>
      </c>
      <c r="AM3731" s="175">
        <v>11</v>
      </c>
      <c r="AN3731" s="175">
        <v>1</v>
      </c>
      <c r="AO3731" s="175">
        <v>40</v>
      </c>
      <c r="AP3731" s="175">
        <v>7</v>
      </c>
      <c r="AQ3731" s="175">
        <v>21</v>
      </c>
      <c r="AR3731" s="175">
        <v>31</v>
      </c>
      <c r="AS3731" s="175">
        <v>3</v>
      </c>
      <c r="AT3731" s="175">
        <v>2</v>
      </c>
    </row>
    <row r="3732" spans="1:46">
      <c r="A3732">
        <v>55383</v>
      </c>
      <c r="B3732" t="s">
        <v>20505</v>
      </c>
      <c r="C3732" t="s">
        <v>20506</v>
      </c>
      <c r="D3732" t="s">
        <v>20507</v>
      </c>
      <c r="E3732" t="s">
        <v>20508</v>
      </c>
      <c r="F3732" t="s">
        <v>20509</v>
      </c>
      <c r="G3732" t="s">
        <v>2368</v>
      </c>
      <c r="H3732" t="s">
        <v>449</v>
      </c>
      <c r="J3732" t="s">
        <v>605</v>
      </c>
      <c r="K3732" t="s">
        <v>606</v>
      </c>
      <c r="M3732" t="s">
        <v>2366</v>
      </c>
      <c r="N3732" t="s">
        <v>657</v>
      </c>
      <c r="O3732" t="s">
        <v>2614</v>
      </c>
      <c r="P3732" t="s">
        <v>739</v>
      </c>
      <c r="Q3732" t="s">
        <v>516</v>
      </c>
      <c r="R3732" t="s">
        <v>2368</v>
      </c>
      <c r="S3732" t="s">
        <v>2631</v>
      </c>
      <c r="T3732" t="s">
        <v>2526</v>
      </c>
      <c r="U3732">
        <v>251602</v>
      </c>
      <c r="V3732" t="s">
        <v>20510</v>
      </c>
      <c r="W3732" t="s">
        <v>2651</v>
      </c>
      <c r="X3732" t="s">
        <v>10497</v>
      </c>
      <c r="Y3732" t="s">
        <v>4014</v>
      </c>
      <c r="Z3732" t="s">
        <v>4015</v>
      </c>
      <c r="AA3732" t="s">
        <v>4016</v>
      </c>
      <c r="AE3732">
        <v>-41.293202970000003</v>
      </c>
      <c r="AF3732">
        <v>174.77692665999999</v>
      </c>
      <c r="AG3732" s="175">
        <v>60</v>
      </c>
      <c r="AH3732" s="175">
        <v>26</v>
      </c>
      <c r="AI3732" s="175">
        <v>5</v>
      </c>
      <c r="AJ3732" s="175">
        <v>20</v>
      </c>
      <c r="AK3732" s="175">
        <v>16</v>
      </c>
      <c r="AL3732" s="175">
        <v>7</v>
      </c>
      <c r="AM3732" s="175">
        <v>12</v>
      </c>
      <c r="AN3732" s="175">
        <v>0</v>
      </c>
      <c r="AO3732" s="175">
        <v>60</v>
      </c>
      <c r="AP3732" s="175">
        <v>44</v>
      </c>
      <c r="AQ3732" s="175">
        <v>4</v>
      </c>
      <c r="AR3732" s="175">
        <v>1</v>
      </c>
      <c r="AS3732" s="175">
        <v>13</v>
      </c>
      <c r="AT3732" s="175">
        <v>10</v>
      </c>
    </row>
    <row r="3733" spans="1:46">
      <c r="A3733">
        <v>55384</v>
      </c>
      <c r="B3733" t="s">
        <v>20511</v>
      </c>
      <c r="C3733" t="s">
        <v>20512</v>
      </c>
      <c r="D3733" t="s">
        <v>20513</v>
      </c>
      <c r="E3733" t="s">
        <v>20514</v>
      </c>
      <c r="F3733" t="s">
        <v>612</v>
      </c>
      <c r="G3733" t="s">
        <v>2368</v>
      </c>
      <c r="H3733" t="s">
        <v>449</v>
      </c>
      <c r="J3733" t="s">
        <v>4032</v>
      </c>
      <c r="K3733" t="s">
        <v>606</v>
      </c>
      <c r="M3733" t="s">
        <v>2366</v>
      </c>
      <c r="N3733" t="s">
        <v>657</v>
      </c>
      <c r="O3733" t="s">
        <v>2614</v>
      </c>
      <c r="P3733" t="s">
        <v>739</v>
      </c>
      <c r="Q3733" t="s">
        <v>516</v>
      </c>
      <c r="R3733" t="s">
        <v>2368</v>
      </c>
      <c r="S3733" t="s">
        <v>2631</v>
      </c>
      <c r="T3733" t="s">
        <v>2526</v>
      </c>
      <c r="U3733">
        <v>250800</v>
      </c>
      <c r="V3733" t="s">
        <v>2767</v>
      </c>
      <c r="W3733" t="s">
        <v>2639</v>
      </c>
      <c r="X3733" t="s">
        <v>20391</v>
      </c>
      <c r="Y3733" t="s">
        <v>20392</v>
      </c>
      <c r="Z3733" t="s">
        <v>2675</v>
      </c>
      <c r="AA3733" t="s">
        <v>12467</v>
      </c>
      <c r="AC3733">
        <v>99213</v>
      </c>
      <c r="AD3733" t="s">
        <v>20393</v>
      </c>
      <c r="AE3733">
        <v>-41.278587260000002</v>
      </c>
      <c r="AF3733">
        <v>174.75978054999999</v>
      </c>
      <c r="AG3733" s="175">
        <v>30</v>
      </c>
      <c r="AH3733" s="175">
        <v>12</v>
      </c>
      <c r="AI3733" s="175">
        <v>0</v>
      </c>
      <c r="AJ3733" s="175">
        <v>7</v>
      </c>
      <c r="AK3733" s="175">
        <v>7</v>
      </c>
      <c r="AL3733" s="175">
        <v>4</v>
      </c>
      <c r="AM3733" s="175">
        <v>10</v>
      </c>
      <c r="AN3733" s="175">
        <v>0</v>
      </c>
      <c r="AO3733" s="175">
        <v>28</v>
      </c>
      <c r="AP3733" s="175">
        <v>24</v>
      </c>
      <c r="AQ3733" s="175">
        <v>3</v>
      </c>
      <c r="AR3733" s="175">
        <v>0</v>
      </c>
      <c r="AS3733" s="175">
        <v>7</v>
      </c>
      <c r="AT3733" s="175">
        <v>2</v>
      </c>
    </row>
    <row r="3734" spans="1:46">
      <c r="A3734">
        <v>55389</v>
      </c>
      <c r="B3734" t="s">
        <v>20515</v>
      </c>
      <c r="C3734" t="s">
        <v>20516</v>
      </c>
      <c r="E3734" t="s">
        <v>20517</v>
      </c>
      <c r="G3734" t="s">
        <v>11922</v>
      </c>
      <c r="H3734" t="s">
        <v>449</v>
      </c>
      <c r="I3734" t="s">
        <v>4041</v>
      </c>
      <c r="J3734" t="s">
        <v>4032</v>
      </c>
      <c r="K3734" t="s">
        <v>606</v>
      </c>
      <c r="M3734" t="s">
        <v>1382</v>
      </c>
      <c r="N3734" t="s">
        <v>657</v>
      </c>
      <c r="O3734" t="s">
        <v>2277</v>
      </c>
      <c r="P3734" t="s">
        <v>610</v>
      </c>
      <c r="Q3734" t="s">
        <v>513</v>
      </c>
      <c r="R3734" t="s">
        <v>2164</v>
      </c>
      <c r="S3734" t="s">
        <v>2278</v>
      </c>
      <c r="T3734" t="s">
        <v>2165</v>
      </c>
      <c r="U3734">
        <v>209601</v>
      </c>
      <c r="V3734" t="s">
        <v>11922</v>
      </c>
      <c r="W3734" t="s">
        <v>11923</v>
      </c>
      <c r="X3734" t="s">
        <v>20518</v>
      </c>
      <c r="Y3734" t="s">
        <v>20519</v>
      </c>
      <c r="AA3734" t="s">
        <v>14810</v>
      </c>
      <c r="AB3734" t="s">
        <v>20520</v>
      </c>
      <c r="AE3734">
        <v>-39.580413190000002</v>
      </c>
      <c r="AF3734">
        <v>176.91932588</v>
      </c>
      <c r="AG3734" s="175">
        <v>27</v>
      </c>
      <c r="AH3734" s="175">
        <v>4</v>
      </c>
      <c r="AI3734" s="175">
        <v>0</v>
      </c>
      <c r="AJ3734" s="175">
        <v>4</v>
      </c>
      <c r="AK3734" s="175">
        <v>10</v>
      </c>
      <c r="AL3734" s="175">
        <v>5</v>
      </c>
      <c r="AM3734" s="175">
        <v>8</v>
      </c>
      <c r="AN3734" s="175">
        <v>0</v>
      </c>
      <c r="AO3734" s="175">
        <v>27</v>
      </c>
      <c r="AP3734" s="175">
        <v>23</v>
      </c>
      <c r="AQ3734" s="175">
        <v>8</v>
      </c>
      <c r="AR3734" s="175">
        <v>1</v>
      </c>
      <c r="AS3734" s="175">
        <v>1</v>
      </c>
      <c r="AT3734" s="175">
        <v>0</v>
      </c>
    </row>
    <row r="3735" spans="1:46">
      <c r="A3735">
        <v>55390</v>
      </c>
      <c r="B3735" t="s">
        <v>20521</v>
      </c>
      <c r="C3735" t="s">
        <v>20522</v>
      </c>
      <c r="E3735" t="s">
        <v>20523</v>
      </c>
      <c r="G3735" t="s">
        <v>2148</v>
      </c>
      <c r="H3735" t="s">
        <v>449</v>
      </c>
      <c r="J3735" t="s">
        <v>4032</v>
      </c>
      <c r="K3735" t="s">
        <v>606</v>
      </c>
      <c r="M3735" t="s">
        <v>2366</v>
      </c>
      <c r="N3735" t="s">
        <v>608</v>
      </c>
      <c r="O3735" t="s">
        <v>2753</v>
      </c>
      <c r="P3735" t="s">
        <v>610</v>
      </c>
      <c r="Q3735" t="s">
        <v>516</v>
      </c>
      <c r="R3735" t="s">
        <v>2368</v>
      </c>
      <c r="S3735" t="s">
        <v>2148</v>
      </c>
      <c r="T3735" t="s">
        <v>1568</v>
      </c>
      <c r="U3735">
        <v>236500</v>
      </c>
      <c r="V3735" t="s">
        <v>2148</v>
      </c>
      <c r="W3735" t="s">
        <v>2776</v>
      </c>
      <c r="X3735" t="s">
        <v>10355</v>
      </c>
      <c r="Y3735" t="s">
        <v>10356</v>
      </c>
      <c r="AA3735" t="s">
        <v>10357</v>
      </c>
      <c r="AB3735" t="s">
        <v>10358</v>
      </c>
      <c r="AE3735">
        <v>-40.756082659999997</v>
      </c>
      <c r="AF3735">
        <v>175.14784842</v>
      </c>
      <c r="AG3735" s="175">
        <v>38</v>
      </c>
      <c r="AH3735" s="175">
        <v>15</v>
      </c>
      <c r="AI3735" s="175">
        <v>2</v>
      </c>
      <c r="AJ3735" s="175">
        <v>7</v>
      </c>
      <c r="AK3735" s="175">
        <v>14</v>
      </c>
      <c r="AL3735" s="175">
        <v>10</v>
      </c>
      <c r="AM3735" s="175">
        <v>17</v>
      </c>
      <c r="AN3735" s="175">
        <v>0</v>
      </c>
      <c r="AO3735" s="175">
        <v>50</v>
      </c>
      <c r="AP3735" s="175">
        <v>46</v>
      </c>
      <c r="AQ3735" s="175">
        <v>23</v>
      </c>
      <c r="AR3735" s="175">
        <v>4</v>
      </c>
      <c r="AS3735" s="175">
        <v>1</v>
      </c>
      <c r="AT3735" s="175">
        <v>0</v>
      </c>
    </row>
    <row r="3736" spans="1:46">
      <c r="A3736">
        <v>55391</v>
      </c>
      <c r="B3736" t="s">
        <v>20524</v>
      </c>
      <c r="C3736" t="s">
        <v>20525</v>
      </c>
      <c r="D3736" t="s">
        <v>20526</v>
      </c>
      <c r="E3736" t="s">
        <v>20527</v>
      </c>
      <c r="F3736" t="s">
        <v>2557</v>
      </c>
      <c r="G3736" t="s">
        <v>2505</v>
      </c>
      <c r="H3736" t="s">
        <v>449</v>
      </c>
      <c r="J3736" t="s">
        <v>605</v>
      </c>
      <c r="K3736" t="s">
        <v>606</v>
      </c>
      <c r="M3736" t="s">
        <v>2366</v>
      </c>
      <c r="N3736" t="s">
        <v>657</v>
      </c>
      <c r="O3736" t="s">
        <v>2506</v>
      </c>
      <c r="P3736" t="s">
        <v>739</v>
      </c>
      <c r="Q3736" t="s">
        <v>516</v>
      </c>
      <c r="R3736" t="s">
        <v>2368</v>
      </c>
      <c r="S3736" t="s">
        <v>2451</v>
      </c>
      <c r="T3736" t="s">
        <v>2165</v>
      </c>
      <c r="U3736">
        <v>246200</v>
      </c>
      <c r="V3736" t="s">
        <v>14485</v>
      </c>
      <c r="W3736" t="s">
        <v>2533</v>
      </c>
      <c r="X3736" t="s">
        <v>20528</v>
      </c>
      <c r="Y3736" t="s">
        <v>20529</v>
      </c>
      <c r="Z3736" t="s">
        <v>2557</v>
      </c>
      <c r="AA3736" t="s">
        <v>20530</v>
      </c>
      <c r="AE3736">
        <v>-41.201920860000001</v>
      </c>
      <c r="AF3736">
        <v>174.96188042</v>
      </c>
      <c r="AG3736" s="175">
        <v>120</v>
      </c>
      <c r="AH3736" s="175">
        <v>0</v>
      </c>
      <c r="AI3736" s="175">
        <v>0</v>
      </c>
      <c r="AJ3736" s="175">
        <v>0</v>
      </c>
      <c r="AK3736" s="175">
        <v>0</v>
      </c>
      <c r="AL3736" s="175">
        <v>33</v>
      </c>
      <c r="AM3736" s="175">
        <v>27</v>
      </c>
      <c r="AN3736" s="175">
        <v>37</v>
      </c>
      <c r="AO3736" s="175">
        <v>97</v>
      </c>
      <c r="AP3736" s="175">
        <v>60</v>
      </c>
      <c r="AQ3736" s="175">
        <v>10</v>
      </c>
      <c r="AR3736" s="175">
        <v>4</v>
      </c>
      <c r="AS3736" s="175">
        <v>41</v>
      </c>
      <c r="AT3736" s="175">
        <v>9</v>
      </c>
    </row>
    <row r="3737" spans="1:46">
      <c r="A3737">
        <v>55397</v>
      </c>
      <c r="B3737" t="s">
        <v>20531</v>
      </c>
      <c r="C3737" t="s">
        <v>20532</v>
      </c>
      <c r="E3737" t="s">
        <v>20533</v>
      </c>
      <c r="G3737" t="s">
        <v>2295</v>
      </c>
      <c r="H3737" t="s">
        <v>449</v>
      </c>
      <c r="J3737" t="s">
        <v>4032</v>
      </c>
      <c r="K3737" t="s">
        <v>606</v>
      </c>
      <c r="M3737" t="s">
        <v>1382</v>
      </c>
      <c r="N3737" t="s">
        <v>657</v>
      </c>
      <c r="O3737" t="s">
        <v>2277</v>
      </c>
      <c r="P3737" t="s">
        <v>1347</v>
      </c>
      <c r="Q3737" t="s">
        <v>513</v>
      </c>
      <c r="R3737" t="s">
        <v>2164</v>
      </c>
      <c r="S3737" t="s">
        <v>2278</v>
      </c>
      <c r="T3737" t="s">
        <v>2165</v>
      </c>
      <c r="U3737">
        <v>211900</v>
      </c>
      <c r="V3737" t="s">
        <v>11821</v>
      </c>
      <c r="W3737" t="s">
        <v>2279</v>
      </c>
      <c r="X3737" t="s">
        <v>14220</v>
      </c>
      <c r="Y3737" t="s">
        <v>8787</v>
      </c>
      <c r="Z3737" t="s">
        <v>2295</v>
      </c>
      <c r="AA3737" t="s">
        <v>8788</v>
      </c>
      <c r="AB3737" t="s">
        <v>14221</v>
      </c>
      <c r="AE3737">
        <v>-39.670545300000001</v>
      </c>
      <c r="AF3737">
        <v>176.88554060000001</v>
      </c>
      <c r="AG3737" s="175">
        <v>25</v>
      </c>
      <c r="AH3737" s="175">
        <v>10</v>
      </c>
      <c r="AI3737" s="175">
        <v>0</v>
      </c>
      <c r="AJ3737" s="175">
        <v>0</v>
      </c>
      <c r="AK3737" s="175">
        <v>10</v>
      </c>
      <c r="AL3737" s="175">
        <v>12</v>
      </c>
      <c r="AM3737" s="175">
        <v>6</v>
      </c>
      <c r="AN3737" s="175">
        <v>0</v>
      </c>
      <c r="AO3737" s="175">
        <v>28</v>
      </c>
      <c r="AP3737" s="175">
        <v>27</v>
      </c>
      <c r="AQ3737" s="175">
        <v>3</v>
      </c>
      <c r="AR3737" s="175">
        <v>1</v>
      </c>
      <c r="AS3737" s="175">
        <v>1</v>
      </c>
      <c r="AT3737" s="175">
        <v>4</v>
      </c>
    </row>
    <row r="3738" spans="1:46">
      <c r="A3738">
        <v>55405</v>
      </c>
      <c r="B3738" t="s">
        <v>20534</v>
      </c>
      <c r="C3738" t="s">
        <v>20535</v>
      </c>
      <c r="E3738" t="s">
        <v>20536</v>
      </c>
      <c r="F3738" t="s">
        <v>2622</v>
      </c>
      <c r="G3738" t="s">
        <v>2368</v>
      </c>
      <c r="H3738" t="s">
        <v>449</v>
      </c>
      <c r="J3738" t="s">
        <v>4032</v>
      </c>
      <c r="K3738" t="s">
        <v>606</v>
      </c>
      <c r="M3738" t="s">
        <v>2366</v>
      </c>
      <c r="N3738" t="s">
        <v>657</v>
      </c>
      <c r="O3738" t="s">
        <v>2614</v>
      </c>
      <c r="P3738" t="s">
        <v>739</v>
      </c>
      <c r="Q3738" t="s">
        <v>516</v>
      </c>
      <c r="R3738" t="s">
        <v>2368</v>
      </c>
      <c r="S3738" t="s">
        <v>2606</v>
      </c>
      <c r="T3738" t="s">
        <v>1568</v>
      </c>
      <c r="U3738">
        <v>247700</v>
      </c>
      <c r="V3738" t="s">
        <v>2867</v>
      </c>
      <c r="W3738" t="s">
        <v>2625</v>
      </c>
      <c r="X3738" t="s">
        <v>20537</v>
      </c>
      <c r="Y3738" t="s">
        <v>20538</v>
      </c>
      <c r="Z3738" t="s">
        <v>2630</v>
      </c>
      <c r="AA3738" t="s">
        <v>20437</v>
      </c>
      <c r="AB3738" t="s">
        <v>20539</v>
      </c>
      <c r="AE3738">
        <v>-41.160768920000002</v>
      </c>
      <c r="AF3738">
        <v>174.83190848000001</v>
      </c>
      <c r="AG3738" s="175">
        <v>24</v>
      </c>
      <c r="AH3738" s="175">
        <v>0</v>
      </c>
      <c r="AI3738" s="175">
        <v>1</v>
      </c>
      <c r="AJ3738" s="175">
        <v>0</v>
      </c>
      <c r="AK3738" s="175">
        <v>0</v>
      </c>
      <c r="AL3738" s="175">
        <v>12</v>
      </c>
      <c r="AM3738" s="175">
        <v>10</v>
      </c>
      <c r="AN3738" s="175">
        <v>5</v>
      </c>
      <c r="AO3738" s="175">
        <v>28</v>
      </c>
      <c r="AP3738" s="175">
        <v>16</v>
      </c>
      <c r="AQ3738" s="175">
        <v>2</v>
      </c>
      <c r="AR3738" s="175">
        <v>2</v>
      </c>
      <c r="AS3738" s="175">
        <v>14</v>
      </c>
      <c r="AT3738" s="175">
        <v>2</v>
      </c>
    </row>
    <row r="3739" spans="1:46">
      <c r="A3739">
        <v>55407</v>
      </c>
      <c r="B3739" t="s">
        <v>20540</v>
      </c>
      <c r="C3739" t="s">
        <v>20541</v>
      </c>
      <c r="D3739" t="s">
        <v>20542</v>
      </c>
      <c r="E3739" t="s">
        <v>20543</v>
      </c>
      <c r="G3739" t="s">
        <v>20544</v>
      </c>
      <c r="H3739" t="s">
        <v>449</v>
      </c>
      <c r="J3739" t="s">
        <v>4032</v>
      </c>
      <c r="K3739" t="s">
        <v>606</v>
      </c>
      <c r="M3739" t="s">
        <v>2366</v>
      </c>
      <c r="N3739" t="s">
        <v>657</v>
      </c>
      <c r="O3739" t="s">
        <v>2753</v>
      </c>
      <c r="P3739" t="s">
        <v>1347</v>
      </c>
      <c r="Q3739" t="s">
        <v>516</v>
      </c>
      <c r="R3739" t="s">
        <v>2368</v>
      </c>
      <c r="S3739" t="s">
        <v>2606</v>
      </c>
      <c r="T3739" t="s">
        <v>1568</v>
      </c>
      <c r="U3739">
        <v>238500</v>
      </c>
      <c r="V3739" t="s">
        <v>16448</v>
      </c>
      <c r="W3739" t="s">
        <v>2829</v>
      </c>
      <c r="X3739" t="s">
        <v>19244</v>
      </c>
      <c r="Y3739" t="s">
        <v>19245</v>
      </c>
      <c r="AA3739" t="s">
        <v>19246</v>
      </c>
      <c r="AB3739" t="s">
        <v>19247</v>
      </c>
      <c r="AE3739">
        <v>-40.927274820000001</v>
      </c>
      <c r="AF3739">
        <v>174.99794083</v>
      </c>
      <c r="AG3739" s="175">
        <v>90</v>
      </c>
      <c r="AH3739" s="175">
        <v>27</v>
      </c>
      <c r="AI3739" s="175">
        <v>7</v>
      </c>
      <c r="AJ3739" s="175">
        <v>20</v>
      </c>
      <c r="AK3739" s="175">
        <v>19</v>
      </c>
      <c r="AL3739" s="175">
        <v>23</v>
      </c>
      <c r="AM3739" s="175">
        <v>14</v>
      </c>
      <c r="AN3739" s="175">
        <v>1</v>
      </c>
      <c r="AO3739" s="175">
        <v>84</v>
      </c>
      <c r="AP3739" s="175">
        <v>74</v>
      </c>
      <c r="AQ3739" s="175">
        <v>13</v>
      </c>
      <c r="AR3739" s="175">
        <v>6</v>
      </c>
      <c r="AS3739" s="175">
        <v>9</v>
      </c>
      <c r="AT3739" s="175">
        <v>1</v>
      </c>
    </row>
    <row r="3740" spans="1:46">
      <c r="A3740">
        <v>55410</v>
      </c>
      <c r="B3740" t="s">
        <v>20545</v>
      </c>
      <c r="C3740" t="s">
        <v>20546</v>
      </c>
      <c r="D3740" t="s">
        <v>20547</v>
      </c>
      <c r="E3740" t="s">
        <v>20548</v>
      </c>
      <c r="G3740" t="s">
        <v>12296</v>
      </c>
      <c r="H3740" t="s">
        <v>347</v>
      </c>
      <c r="J3740" t="s">
        <v>605</v>
      </c>
      <c r="K3740" t="s">
        <v>606</v>
      </c>
      <c r="L3740" t="s">
        <v>4273</v>
      </c>
      <c r="M3740" t="s">
        <v>1382</v>
      </c>
      <c r="N3740" t="s">
        <v>625</v>
      </c>
      <c r="O3740" t="s">
        <v>2347</v>
      </c>
      <c r="P3740" t="s">
        <v>626</v>
      </c>
      <c r="Q3740" t="s">
        <v>513</v>
      </c>
      <c r="R3740" t="s">
        <v>2164</v>
      </c>
      <c r="S3740" t="s">
        <v>2348</v>
      </c>
      <c r="T3740" t="s">
        <v>2165</v>
      </c>
      <c r="U3740">
        <v>215600</v>
      </c>
      <c r="V3740" t="s">
        <v>12297</v>
      </c>
      <c r="W3740" t="s">
        <v>12298</v>
      </c>
      <c r="X3740" t="s">
        <v>8868</v>
      </c>
      <c r="Y3740" t="s">
        <v>4276</v>
      </c>
      <c r="Z3740" t="s">
        <v>4277</v>
      </c>
      <c r="AA3740" t="s">
        <v>4278</v>
      </c>
      <c r="AB3740" t="s">
        <v>8869</v>
      </c>
      <c r="AE3740">
        <v>-40.025324939999997</v>
      </c>
      <c r="AF3740">
        <v>176.34909662000001</v>
      </c>
      <c r="AG3740" s="175">
        <v>30</v>
      </c>
      <c r="AH3740" s="175">
        <v>10</v>
      </c>
      <c r="AI3740" s="175">
        <v>2</v>
      </c>
      <c r="AJ3740" s="175">
        <v>3</v>
      </c>
      <c r="AK3740" s="175">
        <v>4</v>
      </c>
      <c r="AL3740" s="175">
        <v>5</v>
      </c>
      <c r="AM3740" s="175">
        <v>3</v>
      </c>
      <c r="AN3740" s="175">
        <v>0</v>
      </c>
      <c r="AO3740" s="175">
        <v>17</v>
      </c>
      <c r="AP3740" s="175">
        <v>0</v>
      </c>
      <c r="AQ3740" s="175">
        <v>16</v>
      </c>
      <c r="AR3740" s="175">
        <v>0</v>
      </c>
      <c r="AS3740" s="175">
        <v>0</v>
      </c>
      <c r="AT3740" s="175">
        <v>1</v>
      </c>
    </row>
    <row r="3741" spans="1:46">
      <c r="A3741">
        <v>55412</v>
      </c>
      <c r="B3741" t="s">
        <v>20549</v>
      </c>
      <c r="C3741" t="s">
        <v>20550</v>
      </c>
      <c r="D3741" t="s">
        <v>20551</v>
      </c>
      <c r="E3741" t="s">
        <v>20552</v>
      </c>
      <c r="F3741" t="s">
        <v>2448</v>
      </c>
      <c r="G3741" t="s">
        <v>2449</v>
      </c>
      <c r="H3741" t="s">
        <v>449</v>
      </c>
      <c r="J3741" t="s">
        <v>4032</v>
      </c>
      <c r="K3741" t="s">
        <v>606</v>
      </c>
      <c r="M3741" t="s">
        <v>2366</v>
      </c>
      <c r="N3741" t="s">
        <v>657</v>
      </c>
      <c r="O3741" t="s">
        <v>2450</v>
      </c>
      <c r="P3741" t="s">
        <v>670</v>
      </c>
      <c r="Q3741" t="s">
        <v>516</v>
      </c>
      <c r="R3741" t="s">
        <v>2368</v>
      </c>
      <c r="S3741" t="s">
        <v>2451</v>
      </c>
      <c r="T3741" t="s">
        <v>2165</v>
      </c>
      <c r="U3741">
        <v>243000</v>
      </c>
      <c r="V3741" t="s">
        <v>11597</v>
      </c>
      <c r="W3741" t="s">
        <v>1734</v>
      </c>
      <c r="X3741" t="s">
        <v>20553</v>
      </c>
      <c r="Y3741" t="s">
        <v>20554</v>
      </c>
      <c r="Z3741" t="s">
        <v>2449</v>
      </c>
      <c r="AA3741" t="s">
        <v>18685</v>
      </c>
      <c r="AB3741" t="s">
        <v>20555</v>
      </c>
      <c r="AE3741">
        <v>-41.129514700000001</v>
      </c>
      <c r="AF3741">
        <v>175.06689133</v>
      </c>
      <c r="AG3741" s="175">
        <v>75</v>
      </c>
      <c r="AH3741" s="175">
        <v>30</v>
      </c>
      <c r="AI3741" s="175">
        <v>5</v>
      </c>
      <c r="AJ3741" s="175">
        <v>12</v>
      </c>
      <c r="AK3741" s="175">
        <v>13</v>
      </c>
      <c r="AL3741" s="175">
        <v>31</v>
      </c>
      <c r="AM3741" s="175">
        <v>24</v>
      </c>
      <c r="AN3741" s="175">
        <v>0</v>
      </c>
      <c r="AO3741" s="175">
        <v>85</v>
      </c>
      <c r="AP3741" s="175">
        <v>46</v>
      </c>
      <c r="AQ3741" s="175">
        <v>17</v>
      </c>
      <c r="AR3741" s="175">
        <v>7</v>
      </c>
      <c r="AS3741" s="175">
        <v>35</v>
      </c>
      <c r="AT3741" s="175">
        <v>1</v>
      </c>
    </row>
    <row r="3742" spans="1:46">
      <c r="A3742">
        <v>55413</v>
      </c>
      <c r="B3742" t="s">
        <v>20556</v>
      </c>
      <c r="C3742" t="s">
        <v>20557</v>
      </c>
      <c r="D3742" t="s">
        <v>20558</v>
      </c>
      <c r="E3742" t="s">
        <v>20559</v>
      </c>
      <c r="F3742" t="s">
        <v>2867</v>
      </c>
      <c r="G3742" t="s">
        <v>2368</v>
      </c>
      <c r="H3742" t="s">
        <v>449</v>
      </c>
      <c r="J3742" t="s">
        <v>4032</v>
      </c>
      <c r="K3742" t="s">
        <v>606</v>
      </c>
      <c r="M3742" t="s">
        <v>2366</v>
      </c>
      <c r="N3742" t="s">
        <v>812</v>
      </c>
      <c r="O3742" t="s">
        <v>2753</v>
      </c>
      <c r="P3742" t="s">
        <v>1347</v>
      </c>
      <c r="Q3742" t="s">
        <v>516</v>
      </c>
      <c r="R3742" t="s">
        <v>2368</v>
      </c>
      <c r="S3742" t="s">
        <v>2148</v>
      </c>
      <c r="T3742" t="s">
        <v>1568</v>
      </c>
      <c r="U3742">
        <v>237600</v>
      </c>
      <c r="V3742" t="s">
        <v>2878</v>
      </c>
      <c r="W3742" t="s">
        <v>2879</v>
      </c>
      <c r="X3742" t="s">
        <v>20560</v>
      </c>
      <c r="Y3742" t="s">
        <v>20561</v>
      </c>
      <c r="Z3742" t="s">
        <v>2449</v>
      </c>
      <c r="AA3742" t="s">
        <v>20562</v>
      </c>
      <c r="AE3742">
        <v>-41.160144610000003</v>
      </c>
      <c r="AF3742">
        <v>174.83592535</v>
      </c>
      <c r="AG3742" s="175">
        <v>39</v>
      </c>
      <c r="AH3742" s="175">
        <v>32</v>
      </c>
      <c r="AI3742" s="175">
        <v>6</v>
      </c>
      <c r="AJ3742" s="175">
        <v>7</v>
      </c>
      <c r="AK3742" s="175">
        <v>7</v>
      </c>
      <c r="AL3742" s="175">
        <v>7</v>
      </c>
      <c r="AM3742" s="175">
        <v>0</v>
      </c>
      <c r="AN3742" s="175">
        <v>0</v>
      </c>
      <c r="AO3742" s="175">
        <v>27</v>
      </c>
      <c r="AP3742" s="175">
        <v>12</v>
      </c>
      <c r="AQ3742" s="175">
        <v>19</v>
      </c>
      <c r="AR3742" s="175">
        <v>8</v>
      </c>
      <c r="AS3742" s="175">
        <v>1</v>
      </c>
      <c r="AT3742" s="175">
        <v>3</v>
      </c>
    </row>
    <row r="3743" spans="1:46">
      <c r="A3743">
        <v>55417</v>
      </c>
      <c r="B3743" t="s">
        <v>20563</v>
      </c>
      <c r="C3743" t="s">
        <v>20564</v>
      </c>
      <c r="E3743" t="s">
        <v>20565</v>
      </c>
      <c r="F3743" t="s">
        <v>20566</v>
      </c>
      <c r="G3743" t="s">
        <v>2505</v>
      </c>
      <c r="H3743" t="s">
        <v>449</v>
      </c>
      <c r="J3743" t="s">
        <v>4032</v>
      </c>
      <c r="K3743" t="s">
        <v>606</v>
      </c>
      <c r="M3743" t="s">
        <v>2366</v>
      </c>
      <c r="N3743" t="s">
        <v>608</v>
      </c>
      <c r="O3743" t="s">
        <v>2506</v>
      </c>
      <c r="P3743" t="s">
        <v>739</v>
      </c>
      <c r="Q3743" t="s">
        <v>516</v>
      </c>
      <c r="R3743" t="s">
        <v>2368</v>
      </c>
      <c r="S3743" t="s">
        <v>2451</v>
      </c>
      <c r="T3743" t="s">
        <v>2165</v>
      </c>
      <c r="U3743">
        <v>245200</v>
      </c>
      <c r="V3743" t="s">
        <v>2520</v>
      </c>
      <c r="W3743" t="s">
        <v>2521</v>
      </c>
      <c r="X3743" t="s">
        <v>17966</v>
      </c>
      <c r="Y3743" t="s">
        <v>20567</v>
      </c>
      <c r="Z3743" t="s">
        <v>2473</v>
      </c>
      <c r="AA3743" t="s">
        <v>4808</v>
      </c>
      <c r="AB3743" t="s">
        <v>18686</v>
      </c>
      <c r="AE3743">
        <v>-41.190185450000001</v>
      </c>
      <c r="AF3743">
        <v>174.95278292</v>
      </c>
      <c r="AG3743" s="175">
        <v>30</v>
      </c>
      <c r="AH3743" s="175">
        <v>0</v>
      </c>
      <c r="AI3743" s="175">
        <v>0</v>
      </c>
      <c r="AJ3743" s="175">
        <v>0</v>
      </c>
      <c r="AK3743" s="175">
        <v>4</v>
      </c>
      <c r="AL3743" s="175">
        <v>9</v>
      </c>
      <c r="AM3743" s="175">
        <v>18</v>
      </c>
      <c r="AN3743" s="175">
        <v>0</v>
      </c>
      <c r="AO3743" s="175">
        <v>31</v>
      </c>
      <c r="AP3743" s="175">
        <v>4</v>
      </c>
      <c r="AQ3743" s="175">
        <v>4</v>
      </c>
      <c r="AR3743" s="175">
        <v>7</v>
      </c>
      <c r="AS3743" s="175">
        <v>20</v>
      </c>
      <c r="AT3743" s="175">
        <v>1</v>
      </c>
    </row>
    <row r="3744" spans="1:46">
      <c r="A3744">
        <v>55419</v>
      </c>
      <c r="B3744" t="s">
        <v>20568</v>
      </c>
      <c r="C3744" t="s">
        <v>20569</v>
      </c>
      <c r="D3744" t="s">
        <v>20570</v>
      </c>
      <c r="E3744" t="s">
        <v>20571</v>
      </c>
      <c r="F3744" t="s">
        <v>2448</v>
      </c>
      <c r="G3744" t="s">
        <v>2449</v>
      </c>
      <c r="H3744" t="s">
        <v>449</v>
      </c>
      <c r="J3744" t="s">
        <v>605</v>
      </c>
      <c r="K3744" t="s">
        <v>606</v>
      </c>
      <c r="M3744" t="s">
        <v>2366</v>
      </c>
      <c r="N3744" t="s">
        <v>812</v>
      </c>
      <c r="O3744" t="s">
        <v>2450</v>
      </c>
      <c r="P3744" t="s">
        <v>670</v>
      </c>
      <c r="Q3744" t="s">
        <v>516</v>
      </c>
      <c r="R3744" t="s">
        <v>2368</v>
      </c>
      <c r="S3744" t="s">
        <v>2451</v>
      </c>
      <c r="T3744" t="s">
        <v>2165</v>
      </c>
      <c r="U3744">
        <v>242000</v>
      </c>
      <c r="V3744" t="s">
        <v>2495</v>
      </c>
      <c r="W3744" t="s">
        <v>1734</v>
      </c>
      <c r="X3744" t="s">
        <v>2510</v>
      </c>
      <c r="Y3744" t="s">
        <v>2511</v>
      </c>
      <c r="AA3744" t="s">
        <v>2512</v>
      </c>
      <c r="AB3744" t="s">
        <v>2513</v>
      </c>
      <c r="AE3744">
        <v>-41.131313560000002</v>
      </c>
      <c r="AF3744">
        <v>175.05272732</v>
      </c>
      <c r="AG3744" s="175">
        <v>30</v>
      </c>
      <c r="AH3744" s="175">
        <v>20</v>
      </c>
      <c r="AI3744" s="175">
        <v>0</v>
      </c>
      <c r="AJ3744" s="175">
        <v>8</v>
      </c>
      <c r="AK3744" s="175">
        <v>4</v>
      </c>
      <c r="AL3744" s="175">
        <v>5</v>
      </c>
      <c r="AM3744" s="175">
        <v>0</v>
      </c>
      <c r="AN3744" s="175">
        <v>0</v>
      </c>
      <c r="AO3744" s="175">
        <v>17</v>
      </c>
      <c r="AP3744" s="175">
        <v>9</v>
      </c>
      <c r="AQ3744" s="175">
        <v>7</v>
      </c>
      <c r="AR3744" s="175">
        <v>3</v>
      </c>
      <c r="AS3744" s="175">
        <v>3</v>
      </c>
      <c r="AT3744" s="175">
        <v>2</v>
      </c>
    </row>
    <row r="3745" spans="1:46">
      <c r="A3745">
        <v>55420</v>
      </c>
      <c r="B3745" t="s">
        <v>20572</v>
      </c>
      <c r="C3745" t="s">
        <v>20573</v>
      </c>
      <c r="D3745" t="s">
        <v>20574</v>
      </c>
      <c r="E3745" t="s">
        <v>20575</v>
      </c>
      <c r="F3745" t="s">
        <v>2557</v>
      </c>
      <c r="G3745" t="s">
        <v>2505</v>
      </c>
      <c r="H3745" t="s">
        <v>347</v>
      </c>
      <c r="J3745" t="s">
        <v>605</v>
      </c>
      <c r="K3745" t="s">
        <v>606</v>
      </c>
      <c r="L3745" t="s">
        <v>4273</v>
      </c>
      <c r="M3745" t="s">
        <v>2366</v>
      </c>
      <c r="N3745" t="s">
        <v>608</v>
      </c>
      <c r="O3745" t="s">
        <v>2506</v>
      </c>
      <c r="P3745" t="s">
        <v>739</v>
      </c>
      <c r="Q3745" t="s">
        <v>516</v>
      </c>
      <c r="R3745" t="s">
        <v>2368</v>
      </c>
      <c r="S3745" t="s">
        <v>2451</v>
      </c>
      <c r="T3745" t="s">
        <v>2165</v>
      </c>
      <c r="U3745">
        <v>245200</v>
      </c>
      <c r="V3745" t="s">
        <v>2520</v>
      </c>
      <c r="W3745" t="s">
        <v>2521</v>
      </c>
      <c r="X3745" t="s">
        <v>10392</v>
      </c>
      <c r="Y3745" t="s">
        <v>4276</v>
      </c>
      <c r="Z3745" t="s">
        <v>4277</v>
      </c>
      <c r="AA3745" t="s">
        <v>4278</v>
      </c>
      <c r="AB3745" t="s">
        <v>10393</v>
      </c>
      <c r="AE3745">
        <v>-41.198973260000002</v>
      </c>
      <c r="AF3745">
        <v>174.94044384</v>
      </c>
      <c r="AG3745" s="175">
        <v>62</v>
      </c>
      <c r="AH3745" s="175">
        <v>20</v>
      </c>
      <c r="AI3745" s="175">
        <v>4</v>
      </c>
      <c r="AJ3745" s="175">
        <v>9</v>
      </c>
      <c r="AK3745" s="175">
        <v>17</v>
      </c>
      <c r="AL3745" s="175">
        <v>15</v>
      </c>
      <c r="AM3745" s="175">
        <v>10</v>
      </c>
      <c r="AN3745" s="175">
        <v>0</v>
      </c>
      <c r="AO3745" s="175">
        <v>55</v>
      </c>
      <c r="AP3745" s="175">
        <v>0</v>
      </c>
      <c r="AQ3745" s="175">
        <v>51</v>
      </c>
      <c r="AR3745" s="175">
        <v>3</v>
      </c>
      <c r="AS3745" s="175">
        <v>0</v>
      </c>
      <c r="AT3745" s="175">
        <v>1</v>
      </c>
    </row>
    <row r="3746" spans="1:46">
      <c r="A3746">
        <v>55421</v>
      </c>
      <c r="B3746" t="s">
        <v>20576</v>
      </c>
      <c r="C3746" t="s">
        <v>20577</v>
      </c>
      <c r="D3746" t="s">
        <v>20578</v>
      </c>
      <c r="E3746" t="s">
        <v>20579</v>
      </c>
      <c r="F3746" t="s">
        <v>2201</v>
      </c>
      <c r="G3746" t="s">
        <v>2198</v>
      </c>
      <c r="H3746" t="s">
        <v>449</v>
      </c>
      <c r="I3746" t="s">
        <v>4233</v>
      </c>
      <c r="J3746" t="s">
        <v>605</v>
      </c>
      <c r="K3746" t="s">
        <v>606</v>
      </c>
      <c r="M3746" t="s">
        <v>1382</v>
      </c>
      <c r="N3746" t="s">
        <v>812</v>
      </c>
      <c r="O3746" t="s">
        <v>2210</v>
      </c>
      <c r="P3746" t="s">
        <v>670</v>
      </c>
      <c r="Q3746" t="s">
        <v>513</v>
      </c>
      <c r="R3746" t="s">
        <v>2164</v>
      </c>
      <c r="S3746" t="s">
        <v>2198</v>
      </c>
      <c r="T3746" t="s">
        <v>2165</v>
      </c>
      <c r="U3746">
        <v>214800</v>
      </c>
      <c r="V3746" t="s">
        <v>2236</v>
      </c>
      <c r="W3746" t="s">
        <v>2211</v>
      </c>
      <c r="X3746" t="s">
        <v>20580</v>
      </c>
      <c r="Y3746" t="s">
        <v>20581</v>
      </c>
      <c r="Z3746" t="s">
        <v>2198</v>
      </c>
      <c r="AA3746" t="s">
        <v>20582</v>
      </c>
      <c r="AB3746" t="s">
        <v>20583</v>
      </c>
      <c r="AE3746">
        <v>-39.508263229999997</v>
      </c>
      <c r="AF3746">
        <v>176.90000745</v>
      </c>
      <c r="AG3746" s="175">
        <v>20</v>
      </c>
      <c r="AH3746" s="175">
        <v>8</v>
      </c>
      <c r="AI3746" s="175">
        <v>3</v>
      </c>
      <c r="AJ3746" s="175">
        <v>2</v>
      </c>
      <c r="AK3746" s="175">
        <v>1</v>
      </c>
      <c r="AL3746" s="175">
        <v>4</v>
      </c>
      <c r="AM3746" s="175">
        <v>1</v>
      </c>
      <c r="AN3746" s="175">
        <v>2</v>
      </c>
      <c r="AO3746" s="175">
        <v>13</v>
      </c>
      <c r="AP3746" s="175">
        <v>1</v>
      </c>
      <c r="AQ3746" s="175">
        <v>0</v>
      </c>
      <c r="AR3746" s="175">
        <v>13</v>
      </c>
      <c r="AS3746" s="175">
        <v>0</v>
      </c>
      <c r="AT3746" s="175">
        <v>0</v>
      </c>
    </row>
    <row r="3747" spans="1:46">
      <c r="A3747">
        <v>55422</v>
      </c>
      <c r="B3747" t="s">
        <v>20584</v>
      </c>
      <c r="C3747" t="s">
        <v>20585</v>
      </c>
      <c r="D3747" t="s">
        <v>20586</v>
      </c>
      <c r="E3747" t="s">
        <v>20587</v>
      </c>
      <c r="F3747" t="s">
        <v>2667</v>
      </c>
      <c r="G3747" t="s">
        <v>2368</v>
      </c>
      <c r="H3747" t="s">
        <v>449</v>
      </c>
      <c r="J3747" t="s">
        <v>4032</v>
      </c>
      <c r="K3747" t="s">
        <v>606</v>
      </c>
      <c r="M3747" t="s">
        <v>2366</v>
      </c>
      <c r="N3747" t="s">
        <v>657</v>
      </c>
      <c r="O3747" t="s">
        <v>2614</v>
      </c>
      <c r="P3747" t="s">
        <v>739</v>
      </c>
      <c r="Q3747" t="s">
        <v>516</v>
      </c>
      <c r="R3747" t="s">
        <v>2368</v>
      </c>
      <c r="S3747" t="s">
        <v>2615</v>
      </c>
      <c r="T3747" t="s">
        <v>2526</v>
      </c>
      <c r="U3747">
        <v>253102</v>
      </c>
      <c r="V3747" t="s">
        <v>20588</v>
      </c>
      <c r="W3747" t="s">
        <v>2669</v>
      </c>
      <c r="X3747" t="s">
        <v>20589</v>
      </c>
      <c r="Y3747" t="s">
        <v>20590</v>
      </c>
      <c r="Z3747" t="s">
        <v>20591</v>
      </c>
      <c r="AA3747" t="s">
        <v>20530</v>
      </c>
      <c r="AB3747" t="s">
        <v>20592</v>
      </c>
      <c r="AC3747">
        <v>99141</v>
      </c>
      <c r="AD3747" t="s">
        <v>2670</v>
      </c>
      <c r="AE3747">
        <v>-41.301770660000003</v>
      </c>
      <c r="AF3747">
        <v>174.80449811</v>
      </c>
      <c r="AG3747" s="175">
        <v>55</v>
      </c>
      <c r="AH3747" s="175">
        <v>20</v>
      </c>
      <c r="AI3747" s="175">
        <v>0</v>
      </c>
      <c r="AJ3747" s="175">
        <v>13</v>
      </c>
      <c r="AK3747" s="175">
        <v>13</v>
      </c>
      <c r="AL3747" s="175">
        <v>16</v>
      </c>
      <c r="AM3747" s="175">
        <v>9</v>
      </c>
      <c r="AN3747" s="175">
        <v>0</v>
      </c>
      <c r="AO3747" s="175">
        <v>51</v>
      </c>
      <c r="AP3747" s="175">
        <v>41</v>
      </c>
      <c r="AQ3747" s="175">
        <v>3</v>
      </c>
      <c r="AR3747" s="175">
        <v>7</v>
      </c>
      <c r="AS3747" s="175">
        <v>5</v>
      </c>
      <c r="AT3747" s="175">
        <v>4</v>
      </c>
    </row>
    <row r="3748" spans="1:46">
      <c r="A3748">
        <v>55428</v>
      </c>
      <c r="B3748" t="s">
        <v>20593</v>
      </c>
      <c r="C3748" t="s">
        <v>20594</v>
      </c>
      <c r="D3748" t="s">
        <v>20595</v>
      </c>
      <c r="E3748" t="s">
        <v>20596</v>
      </c>
      <c r="F3748" t="s">
        <v>20591</v>
      </c>
      <c r="G3748" t="s">
        <v>2505</v>
      </c>
      <c r="H3748" t="s">
        <v>301</v>
      </c>
      <c r="J3748" t="s">
        <v>605</v>
      </c>
      <c r="K3748" t="s">
        <v>606</v>
      </c>
      <c r="M3748" t="s">
        <v>2366</v>
      </c>
      <c r="N3748" t="s">
        <v>657</v>
      </c>
      <c r="O3748" t="s">
        <v>2506</v>
      </c>
      <c r="P3748" t="s">
        <v>739</v>
      </c>
      <c r="Q3748" t="s">
        <v>516</v>
      </c>
      <c r="R3748" t="s">
        <v>2368</v>
      </c>
      <c r="S3748" t="s">
        <v>2507</v>
      </c>
      <c r="T3748" t="s">
        <v>2526</v>
      </c>
      <c r="U3748">
        <v>245500</v>
      </c>
      <c r="V3748" t="s">
        <v>2598</v>
      </c>
      <c r="W3748" t="s">
        <v>2533</v>
      </c>
      <c r="X3748" t="s">
        <v>20422</v>
      </c>
      <c r="Y3748" t="s">
        <v>5253</v>
      </c>
      <c r="AA3748" t="s">
        <v>5254</v>
      </c>
      <c r="AB3748" t="s">
        <v>20423</v>
      </c>
      <c r="AE3748">
        <v>-41.216361339999999</v>
      </c>
      <c r="AF3748">
        <v>174.92335667</v>
      </c>
      <c r="AG3748" s="175">
        <v>25</v>
      </c>
      <c r="AH3748" s="175">
        <v>20</v>
      </c>
      <c r="AI3748" s="175">
        <v>32</v>
      </c>
      <c r="AJ3748" s="175">
        <v>9</v>
      </c>
      <c r="AK3748" s="175">
        <v>16</v>
      </c>
      <c r="AL3748" s="175">
        <v>12</v>
      </c>
      <c r="AM3748" s="175">
        <v>5</v>
      </c>
      <c r="AN3748" s="175">
        <v>1</v>
      </c>
      <c r="AO3748" s="175">
        <v>75</v>
      </c>
      <c r="AP3748" s="175">
        <v>64</v>
      </c>
      <c r="AQ3748" s="175">
        <v>8</v>
      </c>
      <c r="AR3748" s="175">
        <v>2</v>
      </c>
      <c r="AS3748" s="175">
        <v>14</v>
      </c>
      <c r="AT3748" s="175">
        <v>2</v>
      </c>
    </row>
    <row r="3749" spans="1:46">
      <c r="A3749">
        <v>55430</v>
      </c>
      <c r="B3749" t="s">
        <v>20597</v>
      </c>
      <c r="C3749" t="s">
        <v>20598</v>
      </c>
      <c r="D3749" t="s">
        <v>20599</v>
      </c>
      <c r="E3749" t="s">
        <v>20600</v>
      </c>
      <c r="F3749" t="s">
        <v>2235</v>
      </c>
      <c r="G3749" t="s">
        <v>2198</v>
      </c>
      <c r="H3749" t="s">
        <v>449</v>
      </c>
      <c r="J3749" t="s">
        <v>4032</v>
      </c>
      <c r="K3749" t="s">
        <v>606</v>
      </c>
      <c r="M3749" t="s">
        <v>1382</v>
      </c>
      <c r="N3749" t="s">
        <v>643</v>
      </c>
      <c r="O3749" t="s">
        <v>2210</v>
      </c>
      <c r="P3749" t="s">
        <v>670</v>
      </c>
      <c r="Q3749" t="s">
        <v>513</v>
      </c>
      <c r="R3749" t="s">
        <v>2164</v>
      </c>
      <c r="S3749" t="s">
        <v>2198</v>
      </c>
      <c r="T3749" t="s">
        <v>2165</v>
      </c>
      <c r="U3749">
        <v>214100</v>
      </c>
      <c r="V3749" t="s">
        <v>2241</v>
      </c>
      <c r="W3749" t="s">
        <v>2242</v>
      </c>
      <c r="X3749" t="s">
        <v>20601</v>
      </c>
      <c r="Y3749" t="s">
        <v>20602</v>
      </c>
      <c r="Z3749" t="s">
        <v>2254</v>
      </c>
      <c r="AA3749" t="s">
        <v>16635</v>
      </c>
      <c r="AB3749" t="s">
        <v>20603</v>
      </c>
      <c r="AE3749">
        <v>-39.507400220000001</v>
      </c>
      <c r="AF3749">
        <v>176.89117917999999</v>
      </c>
      <c r="AG3749" s="175">
        <v>40</v>
      </c>
      <c r="AH3749" s="175">
        <v>10</v>
      </c>
      <c r="AI3749" s="175">
        <v>2</v>
      </c>
      <c r="AJ3749" s="175">
        <v>4</v>
      </c>
      <c r="AK3749" s="175">
        <v>11</v>
      </c>
      <c r="AL3749" s="175">
        <v>14</v>
      </c>
      <c r="AM3749" s="175">
        <v>12</v>
      </c>
      <c r="AN3749" s="175">
        <v>0</v>
      </c>
      <c r="AO3749" s="175">
        <v>43</v>
      </c>
      <c r="AP3749" s="175">
        <v>41</v>
      </c>
      <c r="AQ3749" s="175">
        <v>10</v>
      </c>
      <c r="AR3749" s="175">
        <v>3</v>
      </c>
      <c r="AS3749" s="175">
        <v>3</v>
      </c>
      <c r="AT3749" s="175">
        <v>0</v>
      </c>
    </row>
    <row r="3750" spans="1:46">
      <c r="A3750">
        <v>55431</v>
      </c>
      <c r="B3750" t="s">
        <v>20604</v>
      </c>
      <c r="C3750" t="s">
        <v>20605</v>
      </c>
      <c r="D3750" t="s">
        <v>20606</v>
      </c>
      <c r="E3750" t="s">
        <v>20607</v>
      </c>
      <c r="F3750" t="s">
        <v>2811</v>
      </c>
      <c r="G3750" t="s">
        <v>2505</v>
      </c>
      <c r="H3750" t="s">
        <v>347</v>
      </c>
      <c r="J3750" t="s">
        <v>605</v>
      </c>
      <c r="K3750" t="s">
        <v>606</v>
      </c>
      <c r="L3750" t="s">
        <v>4273</v>
      </c>
      <c r="M3750" t="s">
        <v>2366</v>
      </c>
      <c r="N3750" t="s">
        <v>657</v>
      </c>
      <c r="O3750" t="s">
        <v>2506</v>
      </c>
      <c r="P3750" t="s">
        <v>739</v>
      </c>
      <c r="Q3750" t="s">
        <v>516</v>
      </c>
      <c r="R3750" t="s">
        <v>2368</v>
      </c>
      <c r="S3750" t="s">
        <v>2507</v>
      </c>
      <c r="T3750" t="s">
        <v>2526</v>
      </c>
      <c r="U3750">
        <v>244700</v>
      </c>
      <c r="V3750" t="s">
        <v>2812</v>
      </c>
      <c r="W3750" t="s">
        <v>2569</v>
      </c>
      <c r="X3750" t="s">
        <v>10392</v>
      </c>
      <c r="Y3750" t="s">
        <v>4276</v>
      </c>
      <c r="Z3750" t="s">
        <v>4277</v>
      </c>
      <c r="AA3750" t="s">
        <v>4278</v>
      </c>
      <c r="AB3750" t="s">
        <v>10393</v>
      </c>
      <c r="AE3750">
        <v>-41.225448739999997</v>
      </c>
      <c r="AF3750">
        <v>174.88211652000001</v>
      </c>
      <c r="AG3750" s="175">
        <v>25</v>
      </c>
      <c r="AH3750" s="175">
        <v>5</v>
      </c>
      <c r="AI3750" s="175">
        <v>0</v>
      </c>
      <c r="AJ3750" s="175">
        <v>4</v>
      </c>
      <c r="AK3750" s="175">
        <v>3</v>
      </c>
      <c r="AL3750" s="175">
        <v>3</v>
      </c>
      <c r="AM3750" s="175">
        <v>5</v>
      </c>
      <c r="AN3750" s="175">
        <v>0</v>
      </c>
      <c r="AO3750" s="175">
        <v>15</v>
      </c>
      <c r="AP3750" s="175">
        <v>0</v>
      </c>
      <c r="AQ3750" s="175">
        <v>13</v>
      </c>
      <c r="AR3750" s="175">
        <v>2</v>
      </c>
      <c r="AS3750" s="175">
        <v>0</v>
      </c>
      <c r="AT3750" s="175">
        <v>0</v>
      </c>
    </row>
    <row r="3751" spans="1:46">
      <c r="A3751">
        <v>55432</v>
      </c>
      <c r="B3751" t="s">
        <v>20608</v>
      </c>
      <c r="C3751" t="s">
        <v>20609</v>
      </c>
      <c r="D3751" t="s">
        <v>20610</v>
      </c>
      <c r="E3751" t="s">
        <v>20611</v>
      </c>
      <c r="F3751" t="s">
        <v>2209</v>
      </c>
      <c r="G3751" t="s">
        <v>2198</v>
      </c>
      <c r="H3751" t="s">
        <v>347</v>
      </c>
      <c r="J3751" t="s">
        <v>605</v>
      </c>
      <c r="K3751" t="s">
        <v>606</v>
      </c>
      <c r="L3751" t="s">
        <v>4273</v>
      </c>
      <c r="M3751" t="s">
        <v>1382</v>
      </c>
      <c r="N3751" t="s">
        <v>812</v>
      </c>
      <c r="O3751" t="s">
        <v>2210</v>
      </c>
      <c r="P3751" t="s">
        <v>670</v>
      </c>
      <c r="Q3751" t="s">
        <v>513</v>
      </c>
      <c r="R3751" t="s">
        <v>2164</v>
      </c>
      <c r="S3751" t="s">
        <v>2198</v>
      </c>
      <c r="T3751" t="s">
        <v>2165</v>
      </c>
      <c r="U3751">
        <v>215300</v>
      </c>
      <c r="V3751" t="s">
        <v>2209</v>
      </c>
      <c r="W3751" t="s">
        <v>2211</v>
      </c>
      <c r="X3751" t="s">
        <v>8868</v>
      </c>
      <c r="Y3751" t="s">
        <v>4276</v>
      </c>
      <c r="Z3751" t="s">
        <v>4277</v>
      </c>
      <c r="AA3751" t="s">
        <v>4278</v>
      </c>
      <c r="AB3751" t="s">
        <v>8869</v>
      </c>
      <c r="AE3751">
        <v>-39.518224889999999</v>
      </c>
      <c r="AF3751">
        <v>176.90905515</v>
      </c>
      <c r="AG3751" s="175">
        <v>10</v>
      </c>
      <c r="AH3751" s="175">
        <v>5</v>
      </c>
      <c r="AI3751" s="175">
        <v>1</v>
      </c>
      <c r="AJ3751" s="175">
        <v>1</v>
      </c>
      <c r="AK3751" s="175">
        <v>1</v>
      </c>
      <c r="AL3751" s="175">
        <v>1</v>
      </c>
      <c r="AM3751" s="175">
        <v>1</v>
      </c>
      <c r="AN3751" s="175">
        <v>0</v>
      </c>
      <c r="AO3751" s="175">
        <v>5</v>
      </c>
      <c r="AP3751" s="175">
        <v>0</v>
      </c>
      <c r="AQ3751" s="175">
        <v>5</v>
      </c>
      <c r="AR3751" s="175">
        <v>0</v>
      </c>
      <c r="AS3751" s="175">
        <v>0</v>
      </c>
      <c r="AT3751" s="175">
        <v>0</v>
      </c>
    </row>
    <row r="3752" spans="1:46">
      <c r="A3752">
        <v>55433</v>
      </c>
      <c r="B3752" t="s">
        <v>20612</v>
      </c>
      <c r="C3752" t="s">
        <v>20613</v>
      </c>
      <c r="D3752" t="s">
        <v>20614</v>
      </c>
      <c r="E3752" t="s">
        <v>20615</v>
      </c>
      <c r="F3752" t="s">
        <v>8851</v>
      </c>
      <c r="G3752" t="s">
        <v>2276</v>
      </c>
      <c r="H3752" t="s">
        <v>449</v>
      </c>
      <c r="J3752" t="s">
        <v>4032</v>
      </c>
      <c r="K3752" t="s">
        <v>606</v>
      </c>
      <c r="M3752" t="s">
        <v>1382</v>
      </c>
      <c r="N3752" t="s">
        <v>643</v>
      </c>
      <c r="O3752" t="s">
        <v>2277</v>
      </c>
      <c r="P3752" t="s">
        <v>670</v>
      </c>
      <c r="Q3752" t="s">
        <v>513</v>
      </c>
      <c r="R3752" t="s">
        <v>2164</v>
      </c>
      <c r="S3752" t="s">
        <v>2278</v>
      </c>
      <c r="T3752" t="s">
        <v>2165</v>
      </c>
      <c r="U3752">
        <v>209700</v>
      </c>
      <c r="V3752" t="s">
        <v>8852</v>
      </c>
      <c r="W3752" t="s">
        <v>2279</v>
      </c>
      <c r="X3752" t="s">
        <v>20616</v>
      </c>
      <c r="Y3752" t="s">
        <v>20617</v>
      </c>
      <c r="AA3752" t="s">
        <v>11925</v>
      </c>
      <c r="AB3752" t="s">
        <v>20618</v>
      </c>
      <c r="AE3752">
        <v>-39.632454639999999</v>
      </c>
      <c r="AF3752">
        <v>176.83448197999999</v>
      </c>
      <c r="AG3752" s="175">
        <v>30</v>
      </c>
      <c r="AH3752" s="175">
        <v>10</v>
      </c>
      <c r="AI3752" s="175">
        <v>1</v>
      </c>
      <c r="AJ3752" s="175">
        <v>6</v>
      </c>
      <c r="AK3752" s="175">
        <v>6</v>
      </c>
      <c r="AL3752" s="175">
        <v>10</v>
      </c>
      <c r="AM3752" s="175">
        <v>6</v>
      </c>
      <c r="AN3752" s="175">
        <v>0</v>
      </c>
      <c r="AO3752" s="175">
        <v>29</v>
      </c>
      <c r="AP3752" s="175">
        <v>24</v>
      </c>
      <c r="AQ3752" s="175">
        <v>12</v>
      </c>
      <c r="AR3752" s="175">
        <v>0</v>
      </c>
      <c r="AS3752" s="175">
        <v>1</v>
      </c>
      <c r="AT3752" s="175">
        <v>0</v>
      </c>
    </row>
    <row r="3753" spans="1:46">
      <c r="A3753">
        <v>55434</v>
      </c>
      <c r="B3753" t="s">
        <v>20619</v>
      </c>
      <c r="C3753" t="s">
        <v>20620</v>
      </c>
      <c r="E3753" t="s">
        <v>20621</v>
      </c>
      <c r="F3753" t="s">
        <v>2201</v>
      </c>
      <c r="G3753" t="s">
        <v>2198</v>
      </c>
      <c r="H3753" t="s">
        <v>449</v>
      </c>
      <c r="J3753" t="s">
        <v>605</v>
      </c>
      <c r="K3753" t="s">
        <v>606</v>
      </c>
      <c r="M3753" t="s">
        <v>1382</v>
      </c>
      <c r="N3753" t="s">
        <v>812</v>
      </c>
      <c r="O3753" t="s">
        <v>2210</v>
      </c>
      <c r="P3753" t="s">
        <v>670</v>
      </c>
      <c r="Q3753" t="s">
        <v>513</v>
      </c>
      <c r="R3753" t="s">
        <v>2164</v>
      </c>
      <c r="S3753" t="s">
        <v>2198</v>
      </c>
      <c r="T3753" t="s">
        <v>2165</v>
      </c>
      <c r="U3753">
        <v>214800</v>
      </c>
      <c r="V3753" t="s">
        <v>2236</v>
      </c>
      <c r="W3753" t="s">
        <v>2211</v>
      </c>
      <c r="X3753" t="s">
        <v>14119</v>
      </c>
      <c r="Y3753" t="s">
        <v>14120</v>
      </c>
      <c r="Z3753" t="s">
        <v>2217</v>
      </c>
      <c r="AA3753" t="s">
        <v>14121</v>
      </c>
      <c r="AB3753" t="s">
        <v>14122</v>
      </c>
      <c r="AC3753">
        <v>99002</v>
      </c>
      <c r="AD3753" t="s">
        <v>2212</v>
      </c>
      <c r="AE3753">
        <v>-39.506037229999997</v>
      </c>
      <c r="AF3753">
        <v>176.89569058000001</v>
      </c>
      <c r="AG3753" s="175">
        <v>38</v>
      </c>
      <c r="AH3753" s="175">
        <v>30</v>
      </c>
      <c r="AI3753" s="175">
        <v>0</v>
      </c>
      <c r="AJ3753" s="175">
        <v>4</v>
      </c>
      <c r="AK3753" s="175">
        <v>2</v>
      </c>
      <c r="AL3753" s="175">
        <v>3</v>
      </c>
      <c r="AM3753" s="175">
        <v>0</v>
      </c>
      <c r="AN3753" s="175">
        <v>0</v>
      </c>
      <c r="AO3753" s="175">
        <v>9</v>
      </c>
      <c r="AP3753" s="175">
        <v>5</v>
      </c>
      <c r="AQ3753" s="175">
        <v>8</v>
      </c>
      <c r="AR3753" s="175">
        <v>0</v>
      </c>
      <c r="AS3753" s="175">
        <v>0</v>
      </c>
      <c r="AT3753" s="175">
        <v>0</v>
      </c>
    </row>
    <row r="3754" spans="1:46">
      <c r="A3754">
        <v>55436</v>
      </c>
      <c r="B3754" t="s">
        <v>20622</v>
      </c>
      <c r="C3754" t="s">
        <v>20623</v>
      </c>
      <c r="E3754" t="s">
        <v>20624</v>
      </c>
      <c r="F3754" t="s">
        <v>2544</v>
      </c>
      <c r="G3754" t="s">
        <v>2505</v>
      </c>
      <c r="H3754" t="s">
        <v>449</v>
      </c>
      <c r="J3754" t="s">
        <v>4032</v>
      </c>
      <c r="K3754" t="s">
        <v>606</v>
      </c>
      <c r="M3754" t="s">
        <v>2366</v>
      </c>
      <c r="N3754" t="s">
        <v>657</v>
      </c>
      <c r="O3754" t="s">
        <v>2506</v>
      </c>
      <c r="P3754" t="s">
        <v>739</v>
      </c>
      <c r="Q3754" t="s">
        <v>516</v>
      </c>
      <c r="R3754" t="s">
        <v>2368</v>
      </c>
      <c r="S3754" t="s">
        <v>2451</v>
      </c>
      <c r="T3754" t="s">
        <v>2165</v>
      </c>
      <c r="U3754">
        <v>246300</v>
      </c>
      <c r="V3754" t="s">
        <v>2545</v>
      </c>
      <c r="W3754" t="s">
        <v>2546</v>
      </c>
      <c r="X3754" t="s">
        <v>20625</v>
      </c>
      <c r="Y3754" t="s">
        <v>14818</v>
      </c>
      <c r="Z3754" t="s">
        <v>5170</v>
      </c>
      <c r="AA3754" t="s">
        <v>5066</v>
      </c>
      <c r="AE3754">
        <v>-41.179162210000001</v>
      </c>
      <c r="AF3754">
        <v>174.98282497</v>
      </c>
      <c r="AG3754" s="175">
        <v>40</v>
      </c>
      <c r="AH3754" s="175">
        <v>10</v>
      </c>
      <c r="AI3754" s="175">
        <v>2</v>
      </c>
      <c r="AJ3754" s="175">
        <v>7</v>
      </c>
      <c r="AK3754" s="175">
        <v>5</v>
      </c>
      <c r="AL3754" s="175">
        <v>12</v>
      </c>
      <c r="AM3754" s="175">
        <v>13</v>
      </c>
      <c r="AN3754" s="175">
        <v>0</v>
      </c>
      <c r="AO3754" s="175">
        <v>39</v>
      </c>
      <c r="AP3754" s="175">
        <v>23</v>
      </c>
      <c r="AQ3754" s="175">
        <v>5</v>
      </c>
      <c r="AR3754" s="175">
        <v>7</v>
      </c>
      <c r="AS3754" s="175">
        <v>12</v>
      </c>
      <c r="AT3754" s="175">
        <v>0</v>
      </c>
    </row>
    <row r="3755" spans="1:46">
      <c r="A3755">
        <v>55438</v>
      </c>
      <c r="B3755" t="s">
        <v>20626</v>
      </c>
      <c r="C3755" t="s">
        <v>20627</v>
      </c>
      <c r="D3755" t="s">
        <v>20628</v>
      </c>
      <c r="E3755" t="s">
        <v>20629</v>
      </c>
      <c r="G3755" t="s">
        <v>14504</v>
      </c>
      <c r="H3755" t="s">
        <v>452</v>
      </c>
      <c r="J3755" t="s">
        <v>605</v>
      </c>
      <c r="K3755" t="s">
        <v>606</v>
      </c>
      <c r="M3755" t="s">
        <v>2366</v>
      </c>
      <c r="N3755" t="s">
        <v>657</v>
      </c>
      <c r="O3755" t="s">
        <v>2411</v>
      </c>
      <c r="P3755" t="s">
        <v>610</v>
      </c>
      <c r="Q3755" t="s">
        <v>516</v>
      </c>
      <c r="R3755" t="s">
        <v>2368</v>
      </c>
      <c r="S3755" t="s">
        <v>2348</v>
      </c>
      <c r="T3755" t="s">
        <v>2165</v>
      </c>
      <c r="U3755">
        <v>257901</v>
      </c>
      <c r="V3755" t="s">
        <v>14504</v>
      </c>
      <c r="W3755" t="s">
        <v>14505</v>
      </c>
      <c r="X3755" t="s">
        <v>1970</v>
      </c>
      <c r="Y3755" t="s">
        <v>1971</v>
      </c>
      <c r="AA3755" t="s">
        <v>1972</v>
      </c>
      <c r="AB3755" t="s">
        <v>1973</v>
      </c>
      <c r="AC3755">
        <v>99109</v>
      </c>
      <c r="AD3755" t="s">
        <v>2413</v>
      </c>
      <c r="AE3755">
        <v>-41.218306079999998</v>
      </c>
      <c r="AF3755">
        <v>175.45212975000001</v>
      </c>
      <c r="AG3755" s="175">
        <v>42</v>
      </c>
      <c r="AH3755" s="175">
        <v>0</v>
      </c>
      <c r="AI3755" s="175">
        <v>0</v>
      </c>
      <c r="AJ3755" s="175">
        <v>0</v>
      </c>
      <c r="AK3755" s="175">
        <v>15</v>
      </c>
      <c r="AL3755" s="175">
        <v>19</v>
      </c>
      <c r="AM3755" s="175">
        <v>17</v>
      </c>
      <c r="AN3755" s="175">
        <v>0</v>
      </c>
      <c r="AO3755" s="175">
        <v>51</v>
      </c>
      <c r="AP3755" s="175">
        <v>45</v>
      </c>
      <c r="AQ3755" s="175">
        <v>15</v>
      </c>
      <c r="AR3755" s="175">
        <v>0</v>
      </c>
      <c r="AS3755" s="175">
        <v>0</v>
      </c>
      <c r="AT3755" s="175">
        <v>0</v>
      </c>
    </row>
    <row r="3756" spans="1:46">
      <c r="A3756">
        <v>55439</v>
      </c>
      <c r="B3756" t="s">
        <v>20630</v>
      </c>
      <c r="C3756" t="s">
        <v>20631</v>
      </c>
      <c r="D3756" t="s">
        <v>20632</v>
      </c>
      <c r="E3756" t="s">
        <v>20633</v>
      </c>
      <c r="F3756" t="s">
        <v>2761</v>
      </c>
      <c r="G3756" t="s">
        <v>2368</v>
      </c>
      <c r="H3756" t="s">
        <v>449</v>
      </c>
      <c r="J3756" t="s">
        <v>4032</v>
      </c>
      <c r="K3756" t="s">
        <v>606</v>
      </c>
      <c r="M3756" t="s">
        <v>2366</v>
      </c>
      <c r="N3756" t="s">
        <v>657</v>
      </c>
      <c r="O3756" t="s">
        <v>2614</v>
      </c>
      <c r="P3756" t="s">
        <v>739</v>
      </c>
      <c r="Q3756" t="s">
        <v>516</v>
      </c>
      <c r="R3756" t="s">
        <v>2368</v>
      </c>
      <c r="S3756" t="s">
        <v>2623</v>
      </c>
      <c r="T3756" t="s">
        <v>2526</v>
      </c>
      <c r="U3756">
        <v>249600</v>
      </c>
      <c r="V3756" t="s">
        <v>2762</v>
      </c>
      <c r="W3756" t="s">
        <v>2639</v>
      </c>
      <c r="X3756" t="s">
        <v>20391</v>
      </c>
      <c r="Y3756" t="s">
        <v>20392</v>
      </c>
      <c r="Z3756" t="s">
        <v>2675</v>
      </c>
      <c r="AA3756" t="s">
        <v>12467</v>
      </c>
      <c r="AE3756">
        <v>-41.247236430000001</v>
      </c>
      <c r="AF3756">
        <v>174.77827889</v>
      </c>
      <c r="AG3756" s="175">
        <v>61</v>
      </c>
      <c r="AH3756" s="175">
        <v>25</v>
      </c>
      <c r="AI3756" s="175">
        <v>2</v>
      </c>
      <c r="AJ3756" s="175">
        <v>14</v>
      </c>
      <c r="AK3756" s="175">
        <v>16</v>
      </c>
      <c r="AL3756" s="175">
        <v>17</v>
      </c>
      <c r="AM3756" s="175">
        <v>17</v>
      </c>
      <c r="AN3756" s="175">
        <v>0</v>
      </c>
      <c r="AO3756" s="175">
        <v>66</v>
      </c>
      <c r="AP3756" s="175">
        <v>57</v>
      </c>
      <c r="AQ3756" s="175">
        <v>2</v>
      </c>
      <c r="AR3756" s="175">
        <v>2</v>
      </c>
      <c r="AS3756" s="175">
        <v>13</v>
      </c>
      <c r="AT3756" s="175">
        <v>5</v>
      </c>
    </row>
    <row r="3757" spans="1:46">
      <c r="A3757">
        <v>55442</v>
      </c>
      <c r="B3757" t="s">
        <v>20634</v>
      </c>
      <c r="C3757" t="s">
        <v>8463</v>
      </c>
      <c r="D3757" t="s">
        <v>20635</v>
      </c>
      <c r="E3757" t="s">
        <v>20636</v>
      </c>
      <c r="F3757" t="s">
        <v>2656</v>
      </c>
      <c r="G3757" t="s">
        <v>2604</v>
      </c>
      <c r="H3757" t="s">
        <v>450</v>
      </c>
      <c r="J3757" t="s">
        <v>4032</v>
      </c>
      <c r="K3757" t="s">
        <v>606</v>
      </c>
      <c r="M3757" t="s">
        <v>2366</v>
      </c>
      <c r="N3757" t="s">
        <v>4586</v>
      </c>
      <c r="O3757" t="s">
        <v>2605</v>
      </c>
      <c r="P3757" t="s">
        <v>670</v>
      </c>
      <c r="Q3757" t="s">
        <v>516</v>
      </c>
      <c r="R3757" t="s">
        <v>2368</v>
      </c>
      <c r="S3757" t="s">
        <v>2606</v>
      </c>
      <c r="T3757" t="s">
        <v>1568</v>
      </c>
      <c r="U3757">
        <v>240201</v>
      </c>
      <c r="V3757" t="s">
        <v>20637</v>
      </c>
      <c r="W3757" t="s">
        <v>2657</v>
      </c>
      <c r="X3757" t="s">
        <v>20638</v>
      </c>
      <c r="Y3757" t="s">
        <v>8465</v>
      </c>
      <c r="AA3757" t="s">
        <v>8468</v>
      </c>
      <c r="AE3757">
        <v>-41.109754330000001</v>
      </c>
      <c r="AF3757">
        <v>174.88259232999999</v>
      </c>
      <c r="AG3757" s="175">
        <v>80</v>
      </c>
      <c r="AH3757" s="175">
        <v>80</v>
      </c>
      <c r="AI3757" s="175">
        <v>1</v>
      </c>
      <c r="AJ3757" s="175">
        <v>9</v>
      </c>
      <c r="AK3757" s="175">
        <v>12</v>
      </c>
      <c r="AL3757" s="175">
        <v>16</v>
      </c>
      <c r="AM3757" s="175">
        <v>11</v>
      </c>
      <c r="AN3757" s="175">
        <v>0</v>
      </c>
      <c r="AO3757" s="175">
        <v>49</v>
      </c>
      <c r="AP3757" s="175">
        <v>36</v>
      </c>
      <c r="AQ3757" s="175">
        <v>18</v>
      </c>
      <c r="AR3757" s="175">
        <v>4</v>
      </c>
      <c r="AS3757" s="175">
        <v>2</v>
      </c>
      <c r="AT3757" s="175">
        <v>6</v>
      </c>
    </row>
    <row r="3758" spans="1:46">
      <c r="A3758">
        <v>55443</v>
      </c>
      <c r="B3758" t="s">
        <v>20639</v>
      </c>
      <c r="C3758" t="s">
        <v>20640</v>
      </c>
      <c r="D3758" t="s">
        <v>20641</v>
      </c>
      <c r="E3758" t="s">
        <v>20642</v>
      </c>
      <c r="F3758" t="s">
        <v>2504</v>
      </c>
      <c r="G3758" t="s">
        <v>2505</v>
      </c>
      <c r="H3758" t="s">
        <v>449</v>
      </c>
      <c r="J3758" t="s">
        <v>605</v>
      </c>
      <c r="K3758" t="s">
        <v>606</v>
      </c>
      <c r="M3758" t="s">
        <v>2366</v>
      </c>
      <c r="N3758" t="s">
        <v>625</v>
      </c>
      <c r="O3758" t="s">
        <v>2506</v>
      </c>
      <c r="P3758" t="s">
        <v>739</v>
      </c>
      <c r="Q3758" t="s">
        <v>516</v>
      </c>
      <c r="R3758" t="s">
        <v>2368</v>
      </c>
      <c r="S3758" t="s">
        <v>2507</v>
      </c>
      <c r="T3758" t="s">
        <v>2165</v>
      </c>
      <c r="U3758">
        <v>247100</v>
      </c>
      <c r="V3758" t="s">
        <v>13399</v>
      </c>
      <c r="W3758" t="s">
        <v>2509</v>
      </c>
      <c r="X3758" t="s">
        <v>20643</v>
      </c>
      <c r="Y3758" t="s">
        <v>6434</v>
      </c>
      <c r="Z3758" t="s">
        <v>4622</v>
      </c>
      <c r="AA3758" t="s">
        <v>4623</v>
      </c>
      <c r="AC3758">
        <v>99090</v>
      </c>
      <c r="AD3758" t="s">
        <v>2514</v>
      </c>
      <c r="AE3758">
        <v>-41.259330970000001</v>
      </c>
      <c r="AF3758">
        <v>174.93615428000001</v>
      </c>
      <c r="AG3758" s="175">
        <v>30</v>
      </c>
      <c r="AH3758" s="175">
        <v>5</v>
      </c>
      <c r="AI3758" s="175">
        <v>0</v>
      </c>
      <c r="AJ3758" s="175">
        <v>6</v>
      </c>
      <c r="AK3758" s="175">
        <v>3</v>
      </c>
      <c r="AL3758" s="175">
        <v>11</v>
      </c>
      <c r="AM3758" s="175">
        <v>13</v>
      </c>
      <c r="AN3758" s="175">
        <v>0</v>
      </c>
      <c r="AO3758" s="175">
        <v>33</v>
      </c>
      <c r="AP3758" s="175">
        <v>20</v>
      </c>
      <c r="AQ3758" s="175">
        <v>8</v>
      </c>
      <c r="AR3758" s="175">
        <v>2</v>
      </c>
      <c r="AS3758" s="175">
        <v>11</v>
      </c>
      <c r="AT3758" s="175">
        <v>0</v>
      </c>
    </row>
    <row r="3759" spans="1:46">
      <c r="A3759">
        <v>55446</v>
      </c>
      <c r="B3759" t="s">
        <v>20644</v>
      </c>
      <c r="C3759" t="s">
        <v>20645</v>
      </c>
      <c r="D3759" t="s">
        <v>20646</v>
      </c>
      <c r="E3759" t="s">
        <v>20647</v>
      </c>
      <c r="G3759" t="s">
        <v>2295</v>
      </c>
      <c r="H3759" t="s">
        <v>449</v>
      </c>
      <c r="J3759" t="s">
        <v>605</v>
      </c>
      <c r="K3759" t="s">
        <v>606</v>
      </c>
      <c r="M3759" t="s">
        <v>1382</v>
      </c>
      <c r="N3759" t="s">
        <v>657</v>
      </c>
      <c r="O3759" t="s">
        <v>2277</v>
      </c>
      <c r="P3759" t="s">
        <v>1347</v>
      </c>
      <c r="Q3759" t="s">
        <v>513</v>
      </c>
      <c r="R3759" t="s">
        <v>2164</v>
      </c>
      <c r="S3759" t="s">
        <v>2278</v>
      </c>
      <c r="T3759" t="s">
        <v>2165</v>
      </c>
      <c r="U3759">
        <v>211600</v>
      </c>
      <c r="V3759" t="s">
        <v>8785</v>
      </c>
      <c r="W3759" t="s">
        <v>2279</v>
      </c>
      <c r="X3759" t="s">
        <v>8962</v>
      </c>
      <c r="Y3759" t="s">
        <v>4014</v>
      </c>
      <c r="Z3759" t="s">
        <v>4015</v>
      </c>
      <c r="AA3759" t="s">
        <v>4016</v>
      </c>
      <c r="AB3759" t="s">
        <v>8963</v>
      </c>
      <c r="AC3759">
        <v>99022</v>
      </c>
      <c r="AD3759" t="s">
        <v>2297</v>
      </c>
      <c r="AE3759">
        <v>-39.670368449999998</v>
      </c>
      <c r="AF3759">
        <v>176.87494027</v>
      </c>
      <c r="AG3759" s="175">
        <v>25</v>
      </c>
      <c r="AH3759" s="175">
        <v>0</v>
      </c>
      <c r="AI3759" s="175">
        <v>0</v>
      </c>
      <c r="AJ3759" s="175">
        <v>0</v>
      </c>
      <c r="AK3759" s="175">
        <v>5</v>
      </c>
      <c r="AL3759" s="175">
        <v>11</v>
      </c>
      <c r="AM3759" s="175">
        <v>10</v>
      </c>
      <c r="AN3759" s="175">
        <v>0</v>
      </c>
      <c r="AO3759" s="175">
        <v>26</v>
      </c>
      <c r="AP3759" s="175">
        <v>13</v>
      </c>
      <c r="AQ3759" s="175">
        <v>7</v>
      </c>
      <c r="AR3759" s="175">
        <v>0</v>
      </c>
      <c r="AS3759" s="175">
        <v>7</v>
      </c>
      <c r="AT3759" s="175">
        <v>4</v>
      </c>
    </row>
    <row r="3760" spans="1:46">
      <c r="A3760">
        <v>55456</v>
      </c>
      <c r="B3760" t="s">
        <v>20648</v>
      </c>
      <c r="C3760" t="s">
        <v>20649</v>
      </c>
      <c r="D3760" t="s">
        <v>20650</v>
      </c>
      <c r="E3760" t="s">
        <v>20651</v>
      </c>
      <c r="F3760" t="s">
        <v>8762</v>
      </c>
      <c r="G3760" t="s">
        <v>2276</v>
      </c>
      <c r="H3760" t="s">
        <v>449</v>
      </c>
      <c r="J3760" t="s">
        <v>605</v>
      </c>
      <c r="K3760" t="s">
        <v>606</v>
      </c>
      <c r="M3760" t="s">
        <v>1382</v>
      </c>
      <c r="N3760" t="s">
        <v>625</v>
      </c>
      <c r="O3760" t="s">
        <v>2277</v>
      </c>
      <c r="P3760" t="s">
        <v>670</v>
      </c>
      <c r="Q3760" t="s">
        <v>513</v>
      </c>
      <c r="R3760" t="s">
        <v>2164</v>
      </c>
      <c r="S3760" t="s">
        <v>2278</v>
      </c>
      <c r="T3760" t="s">
        <v>2165</v>
      </c>
      <c r="U3760">
        <v>209401</v>
      </c>
      <c r="V3760" t="s">
        <v>8762</v>
      </c>
      <c r="W3760" t="s">
        <v>2279</v>
      </c>
      <c r="X3760" t="s">
        <v>8962</v>
      </c>
      <c r="Y3760" t="s">
        <v>4014</v>
      </c>
      <c r="Z3760" t="s">
        <v>4015</v>
      </c>
      <c r="AA3760" t="s">
        <v>4016</v>
      </c>
      <c r="AB3760" t="s">
        <v>8963</v>
      </c>
      <c r="AC3760">
        <v>99159</v>
      </c>
      <c r="AD3760" t="s">
        <v>2285</v>
      </c>
      <c r="AE3760">
        <v>-39.62670327</v>
      </c>
      <c r="AF3760">
        <v>176.82633199</v>
      </c>
      <c r="AG3760" s="175">
        <v>115</v>
      </c>
      <c r="AH3760" s="175">
        <v>35</v>
      </c>
      <c r="AI3760" s="175">
        <v>8</v>
      </c>
      <c r="AJ3760" s="175">
        <v>23</v>
      </c>
      <c r="AK3760" s="175">
        <v>20</v>
      </c>
      <c r="AL3760" s="175">
        <v>24</v>
      </c>
      <c r="AM3760" s="175">
        <v>30</v>
      </c>
      <c r="AN3760" s="175">
        <v>0</v>
      </c>
      <c r="AO3760" s="175">
        <v>105</v>
      </c>
      <c r="AP3760" s="175">
        <v>36</v>
      </c>
      <c r="AQ3760" s="175">
        <v>56</v>
      </c>
      <c r="AR3760" s="175">
        <v>10</v>
      </c>
      <c r="AS3760" s="175">
        <v>14</v>
      </c>
      <c r="AT3760" s="175">
        <v>20</v>
      </c>
    </row>
    <row r="3761" spans="1:46">
      <c r="A3761">
        <v>55459</v>
      </c>
      <c r="B3761" t="s">
        <v>20652</v>
      </c>
      <c r="C3761" t="s">
        <v>8994</v>
      </c>
      <c r="D3761" t="s">
        <v>20653</v>
      </c>
      <c r="E3761" t="s">
        <v>20654</v>
      </c>
      <c r="F3761" t="s">
        <v>2235</v>
      </c>
      <c r="G3761" t="s">
        <v>2198</v>
      </c>
      <c r="H3761" t="s">
        <v>450</v>
      </c>
      <c r="J3761" t="s">
        <v>4032</v>
      </c>
      <c r="K3761" t="s">
        <v>606</v>
      </c>
      <c r="M3761" t="s">
        <v>1382</v>
      </c>
      <c r="N3761" t="s">
        <v>625</v>
      </c>
      <c r="O3761" t="s">
        <v>2210</v>
      </c>
      <c r="P3761" t="s">
        <v>670</v>
      </c>
      <c r="Q3761" t="s">
        <v>513</v>
      </c>
      <c r="R3761" t="s">
        <v>2164</v>
      </c>
      <c r="S3761" t="s">
        <v>2198</v>
      </c>
      <c r="T3761" t="s">
        <v>2165</v>
      </c>
      <c r="U3761">
        <v>214100</v>
      </c>
      <c r="V3761" t="s">
        <v>2241</v>
      </c>
      <c r="W3761" t="s">
        <v>2242</v>
      </c>
      <c r="X3761" t="s">
        <v>20655</v>
      </c>
      <c r="Y3761" t="s">
        <v>8998</v>
      </c>
      <c r="Z3761" t="s">
        <v>2346</v>
      </c>
      <c r="AA3761" t="s">
        <v>8999</v>
      </c>
      <c r="AB3761" t="s">
        <v>8994</v>
      </c>
      <c r="AE3761">
        <v>-39.506968180000001</v>
      </c>
      <c r="AF3761">
        <v>176.88550126000001</v>
      </c>
      <c r="AG3761" s="175">
        <v>80</v>
      </c>
      <c r="AH3761" s="175">
        <v>80</v>
      </c>
      <c r="AI3761" s="175">
        <v>15</v>
      </c>
      <c r="AJ3761" s="175">
        <v>17</v>
      </c>
      <c r="AK3761" s="175">
        <v>29</v>
      </c>
      <c r="AL3761" s="175">
        <v>11</v>
      </c>
      <c r="AM3761" s="175">
        <v>8</v>
      </c>
      <c r="AN3761" s="175">
        <v>1</v>
      </c>
      <c r="AO3761" s="175">
        <v>81</v>
      </c>
      <c r="AP3761" s="175">
        <v>60</v>
      </c>
      <c r="AQ3761" s="175">
        <v>23</v>
      </c>
      <c r="AR3761" s="175">
        <v>5</v>
      </c>
      <c r="AS3761" s="175">
        <v>3</v>
      </c>
      <c r="AT3761" s="175">
        <v>1</v>
      </c>
    </row>
    <row r="3762" spans="1:46">
      <c r="A3762">
        <v>55460</v>
      </c>
      <c r="B3762" t="s">
        <v>20656</v>
      </c>
      <c r="C3762" t="s">
        <v>20657</v>
      </c>
      <c r="D3762" t="s">
        <v>20658</v>
      </c>
      <c r="E3762" t="s">
        <v>20659</v>
      </c>
      <c r="F3762" t="s">
        <v>16384</v>
      </c>
      <c r="G3762" t="s">
        <v>2162</v>
      </c>
      <c r="H3762" t="s">
        <v>449</v>
      </c>
      <c r="J3762" t="s">
        <v>605</v>
      </c>
      <c r="K3762" t="s">
        <v>606</v>
      </c>
      <c r="M3762" t="s">
        <v>1382</v>
      </c>
      <c r="N3762" t="s">
        <v>643</v>
      </c>
      <c r="O3762" t="s">
        <v>2163</v>
      </c>
      <c r="P3762" t="s">
        <v>670</v>
      </c>
      <c r="Q3762" t="s">
        <v>512</v>
      </c>
      <c r="R3762" t="s">
        <v>2164</v>
      </c>
      <c r="S3762" t="s">
        <v>1556</v>
      </c>
      <c r="T3762" t="s">
        <v>2165</v>
      </c>
      <c r="U3762">
        <v>206801</v>
      </c>
      <c r="V3762" t="s">
        <v>16384</v>
      </c>
      <c r="W3762" t="s">
        <v>2167</v>
      </c>
      <c r="X3762" t="s">
        <v>20660</v>
      </c>
      <c r="Y3762" t="s">
        <v>20661</v>
      </c>
      <c r="Z3762" t="s">
        <v>2162</v>
      </c>
      <c r="AA3762" t="s">
        <v>2170</v>
      </c>
      <c r="AB3762" t="s">
        <v>20662</v>
      </c>
      <c r="AC3762">
        <v>99082</v>
      </c>
      <c r="AD3762" t="s">
        <v>2172</v>
      </c>
      <c r="AE3762">
        <v>-38.66088894</v>
      </c>
      <c r="AF3762">
        <v>178.01269736</v>
      </c>
      <c r="AG3762" s="175">
        <v>35</v>
      </c>
      <c r="AH3762" s="175">
        <v>10</v>
      </c>
      <c r="AI3762" s="175">
        <v>2</v>
      </c>
      <c r="AJ3762" s="175">
        <v>5</v>
      </c>
      <c r="AK3762" s="175">
        <v>12</v>
      </c>
      <c r="AL3762" s="175">
        <v>9</v>
      </c>
      <c r="AM3762" s="175">
        <v>4</v>
      </c>
      <c r="AN3762" s="175">
        <v>2</v>
      </c>
      <c r="AO3762" s="175">
        <v>34</v>
      </c>
      <c r="AP3762" s="175">
        <v>19</v>
      </c>
      <c r="AQ3762" s="175">
        <v>19</v>
      </c>
      <c r="AR3762" s="175">
        <v>2</v>
      </c>
      <c r="AS3762" s="175">
        <v>6</v>
      </c>
      <c r="AT3762" s="175">
        <v>2</v>
      </c>
    </row>
    <row r="3763" spans="1:46">
      <c r="A3763">
        <v>55462</v>
      </c>
      <c r="B3763" t="s">
        <v>20663</v>
      </c>
      <c r="C3763" t="s">
        <v>20664</v>
      </c>
      <c r="D3763" t="s">
        <v>20665</v>
      </c>
      <c r="E3763" t="s">
        <v>20666</v>
      </c>
      <c r="F3763" t="s">
        <v>2177</v>
      </c>
      <c r="G3763" t="s">
        <v>2162</v>
      </c>
      <c r="H3763" t="s">
        <v>347</v>
      </c>
      <c r="J3763" t="s">
        <v>605</v>
      </c>
      <c r="K3763" t="s">
        <v>606</v>
      </c>
      <c r="L3763" t="s">
        <v>4273</v>
      </c>
      <c r="M3763" t="s">
        <v>1382</v>
      </c>
      <c r="N3763" t="s">
        <v>625</v>
      </c>
      <c r="O3763" t="s">
        <v>2163</v>
      </c>
      <c r="P3763" t="s">
        <v>670</v>
      </c>
      <c r="Q3763" t="s">
        <v>512</v>
      </c>
      <c r="R3763" t="s">
        <v>2164</v>
      </c>
      <c r="S3763" t="s">
        <v>1556</v>
      </c>
      <c r="T3763" t="s">
        <v>2165</v>
      </c>
      <c r="U3763">
        <v>205900</v>
      </c>
      <c r="V3763" t="s">
        <v>18190</v>
      </c>
      <c r="W3763" t="s">
        <v>2167</v>
      </c>
      <c r="X3763" t="s">
        <v>18191</v>
      </c>
      <c r="Y3763" t="s">
        <v>4276</v>
      </c>
      <c r="Z3763" t="s">
        <v>4277</v>
      </c>
      <c r="AA3763" t="s">
        <v>4278</v>
      </c>
      <c r="AB3763" t="s">
        <v>18192</v>
      </c>
      <c r="AE3763">
        <v>-38.640270729999997</v>
      </c>
      <c r="AF3763">
        <v>178.00780526</v>
      </c>
      <c r="AG3763" s="175">
        <v>30</v>
      </c>
      <c r="AH3763" s="175">
        <v>10</v>
      </c>
      <c r="AI3763" s="175">
        <v>1</v>
      </c>
      <c r="AJ3763" s="175">
        <v>5</v>
      </c>
      <c r="AK3763" s="175">
        <v>4</v>
      </c>
      <c r="AL3763" s="175">
        <v>10</v>
      </c>
      <c r="AM3763" s="175">
        <v>7</v>
      </c>
      <c r="AN3763" s="175">
        <v>0</v>
      </c>
      <c r="AO3763" s="175">
        <v>27</v>
      </c>
      <c r="AP3763" s="175">
        <v>0</v>
      </c>
      <c r="AQ3763" s="175">
        <v>27</v>
      </c>
      <c r="AR3763" s="175">
        <v>0</v>
      </c>
      <c r="AS3763" s="175">
        <v>0</v>
      </c>
      <c r="AT3763" s="175">
        <v>0</v>
      </c>
    </row>
    <row r="3764" spans="1:46">
      <c r="A3764">
        <v>55471</v>
      </c>
      <c r="B3764" t="s">
        <v>20667</v>
      </c>
      <c r="C3764" t="s">
        <v>13350</v>
      </c>
      <c r="D3764" t="s">
        <v>20668</v>
      </c>
      <c r="E3764" t="s">
        <v>20669</v>
      </c>
      <c r="F3764" t="s">
        <v>2217</v>
      </c>
      <c r="G3764" t="s">
        <v>2198</v>
      </c>
      <c r="H3764" t="s">
        <v>449</v>
      </c>
      <c r="J3764" t="s">
        <v>4032</v>
      </c>
      <c r="K3764" t="s">
        <v>606</v>
      </c>
      <c r="M3764" t="s">
        <v>1382</v>
      </c>
      <c r="N3764" t="s">
        <v>657</v>
      </c>
      <c r="O3764" t="s">
        <v>2210</v>
      </c>
      <c r="P3764" t="s">
        <v>670</v>
      </c>
      <c r="Q3764" t="s">
        <v>513</v>
      </c>
      <c r="R3764" t="s">
        <v>2164</v>
      </c>
      <c r="S3764" t="s">
        <v>2198</v>
      </c>
      <c r="T3764" t="s">
        <v>2165</v>
      </c>
      <c r="U3764">
        <v>214400</v>
      </c>
      <c r="V3764" t="s">
        <v>8961</v>
      </c>
      <c r="W3764" t="s">
        <v>2219</v>
      </c>
      <c r="X3764" t="s">
        <v>13349</v>
      </c>
      <c r="Y3764" t="s">
        <v>4725</v>
      </c>
      <c r="Z3764" t="s">
        <v>1043</v>
      </c>
      <c r="AA3764" t="s">
        <v>4726</v>
      </c>
      <c r="AB3764" t="s">
        <v>13350</v>
      </c>
      <c r="AC3764">
        <v>99217</v>
      </c>
      <c r="AD3764" t="s">
        <v>2220</v>
      </c>
      <c r="AE3764">
        <v>-39.527664010000002</v>
      </c>
      <c r="AF3764">
        <v>176.86155596</v>
      </c>
      <c r="AG3764" s="175">
        <v>40</v>
      </c>
      <c r="AH3764" s="175">
        <v>10</v>
      </c>
      <c r="AI3764" s="175">
        <v>3</v>
      </c>
      <c r="AJ3764" s="175">
        <v>7</v>
      </c>
      <c r="AK3764" s="175">
        <v>10</v>
      </c>
      <c r="AL3764" s="175">
        <v>6</v>
      </c>
      <c r="AM3764" s="175">
        <v>13</v>
      </c>
      <c r="AN3764" s="175">
        <v>0</v>
      </c>
      <c r="AO3764" s="175">
        <v>39</v>
      </c>
      <c r="AP3764" s="175">
        <v>30</v>
      </c>
      <c r="AQ3764" s="175">
        <v>21</v>
      </c>
      <c r="AR3764" s="175">
        <v>2</v>
      </c>
      <c r="AS3764" s="175">
        <v>4</v>
      </c>
      <c r="AT3764" s="175">
        <v>1</v>
      </c>
    </row>
    <row r="3765" spans="1:46">
      <c r="A3765">
        <v>55474</v>
      </c>
      <c r="B3765" t="s">
        <v>20670</v>
      </c>
      <c r="C3765" t="s">
        <v>20671</v>
      </c>
      <c r="D3765" t="s">
        <v>20672</v>
      </c>
      <c r="E3765" t="s">
        <v>20673</v>
      </c>
      <c r="F3765" t="s">
        <v>2331</v>
      </c>
      <c r="G3765" t="s">
        <v>2276</v>
      </c>
      <c r="H3765" t="s">
        <v>449</v>
      </c>
      <c r="J3765" t="s">
        <v>4032</v>
      </c>
      <c r="K3765" t="s">
        <v>606</v>
      </c>
      <c r="M3765" t="s">
        <v>1382</v>
      </c>
      <c r="N3765" t="s">
        <v>625</v>
      </c>
      <c r="O3765" t="s">
        <v>2277</v>
      </c>
      <c r="P3765" t="s">
        <v>670</v>
      </c>
      <c r="Q3765" t="s">
        <v>513</v>
      </c>
      <c r="R3765" t="s">
        <v>2164</v>
      </c>
      <c r="S3765" t="s">
        <v>2278</v>
      </c>
      <c r="T3765" t="s">
        <v>2165</v>
      </c>
      <c r="U3765">
        <v>210800</v>
      </c>
      <c r="V3765" t="s">
        <v>20674</v>
      </c>
      <c r="W3765" t="s">
        <v>2279</v>
      </c>
      <c r="X3765" t="s">
        <v>20675</v>
      </c>
      <c r="Y3765" t="s">
        <v>20673</v>
      </c>
      <c r="AA3765" t="s">
        <v>11713</v>
      </c>
      <c r="AB3765" t="s">
        <v>20676</v>
      </c>
      <c r="AE3765">
        <v>-39.645687209999998</v>
      </c>
      <c r="AF3765">
        <v>176.85311572000001</v>
      </c>
      <c r="AG3765" s="175">
        <v>40</v>
      </c>
      <c r="AH3765" s="175">
        <v>10</v>
      </c>
      <c r="AI3765" s="175">
        <v>3</v>
      </c>
      <c r="AJ3765" s="175">
        <v>10</v>
      </c>
      <c r="AK3765" s="175">
        <v>12</v>
      </c>
      <c r="AL3765" s="175">
        <v>9</v>
      </c>
      <c r="AM3765" s="175">
        <v>10</v>
      </c>
      <c r="AN3765" s="175">
        <v>0</v>
      </c>
      <c r="AO3765" s="175">
        <v>44</v>
      </c>
      <c r="AP3765" s="175">
        <v>42</v>
      </c>
      <c r="AQ3765" s="175">
        <v>13</v>
      </c>
      <c r="AR3765" s="175">
        <v>3</v>
      </c>
      <c r="AS3765" s="175">
        <v>1</v>
      </c>
      <c r="AT3765" s="175">
        <v>0</v>
      </c>
    </row>
    <row r="3766" spans="1:46">
      <c r="A3766">
        <v>55475</v>
      </c>
      <c r="B3766" t="s">
        <v>20677</v>
      </c>
      <c r="C3766" t="s">
        <v>20678</v>
      </c>
      <c r="D3766" t="s">
        <v>20679</v>
      </c>
      <c r="E3766" t="s">
        <v>20680</v>
      </c>
      <c r="F3766" t="s">
        <v>2254</v>
      </c>
      <c r="G3766" t="s">
        <v>2198</v>
      </c>
      <c r="H3766" t="s">
        <v>449</v>
      </c>
      <c r="J3766" t="s">
        <v>605</v>
      </c>
      <c r="K3766" t="s">
        <v>606</v>
      </c>
      <c r="M3766" t="s">
        <v>1382</v>
      </c>
      <c r="N3766" t="s">
        <v>657</v>
      </c>
      <c r="O3766" t="s">
        <v>2210</v>
      </c>
      <c r="P3766" t="s">
        <v>670</v>
      </c>
      <c r="Q3766" t="s">
        <v>513</v>
      </c>
      <c r="R3766" t="s">
        <v>2164</v>
      </c>
      <c r="S3766" t="s">
        <v>2198</v>
      </c>
      <c r="T3766" t="s">
        <v>2165</v>
      </c>
      <c r="U3766">
        <v>214600</v>
      </c>
      <c r="V3766" t="s">
        <v>19885</v>
      </c>
      <c r="W3766" t="s">
        <v>2219</v>
      </c>
      <c r="X3766" t="s">
        <v>8962</v>
      </c>
      <c r="Y3766" t="s">
        <v>4014</v>
      </c>
      <c r="Z3766" t="s">
        <v>4015</v>
      </c>
      <c r="AA3766" t="s">
        <v>4016</v>
      </c>
      <c r="AB3766" t="s">
        <v>8963</v>
      </c>
      <c r="AC3766">
        <v>99217</v>
      </c>
      <c r="AD3766" t="s">
        <v>2220</v>
      </c>
      <c r="AE3766">
        <v>-39.534668770000003</v>
      </c>
      <c r="AF3766">
        <v>176.8528057</v>
      </c>
      <c r="AG3766" s="175">
        <v>67</v>
      </c>
      <c r="AH3766" s="175">
        <v>20</v>
      </c>
      <c r="AI3766" s="175">
        <v>1</v>
      </c>
      <c r="AJ3766" s="175">
        <v>18</v>
      </c>
      <c r="AK3766" s="175">
        <v>17</v>
      </c>
      <c r="AL3766" s="175">
        <v>23</v>
      </c>
      <c r="AM3766" s="175">
        <v>17</v>
      </c>
      <c r="AN3766" s="175">
        <v>0</v>
      </c>
      <c r="AO3766" s="175">
        <v>76</v>
      </c>
      <c r="AP3766" s="175">
        <v>69</v>
      </c>
      <c r="AQ3766" s="175">
        <v>12</v>
      </c>
      <c r="AR3766" s="175">
        <v>0</v>
      </c>
      <c r="AS3766" s="175">
        <v>9</v>
      </c>
      <c r="AT3766" s="175">
        <v>5</v>
      </c>
    </row>
    <row r="3767" spans="1:46">
      <c r="A3767">
        <v>55476</v>
      </c>
      <c r="B3767" t="s">
        <v>20681</v>
      </c>
      <c r="C3767" t="s">
        <v>20682</v>
      </c>
      <c r="E3767" t="s">
        <v>20683</v>
      </c>
      <c r="F3767" t="s">
        <v>2217</v>
      </c>
      <c r="G3767" t="s">
        <v>2198</v>
      </c>
      <c r="H3767" t="s">
        <v>449</v>
      </c>
      <c r="J3767" t="s">
        <v>4032</v>
      </c>
      <c r="K3767" t="s">
        <v>606</v>
      </c>
      <c r="M3767" t="s">
        <v>1382</v>
      </c>
      <c r="N3767" t="s">
        <v>657</v>
      </c>
      <c r="O3767" t="s">
        <v>2210</v>
      </c>
      <c r="P3767" t="s">
        <v>670</v>
      </c>
      <c r="Q3767" t="s">
        <v>513</v>
      </c>
      <c r="R3767" t="s">
        <v>2164</v>
      </c>
      <c r="S3767" t="s">
        <v>2198</v>
      </c>
      <c r="T3767" t="s">
        <v>2165</v>
      </c>
      <c r="U3767">
        <v>214400</v>
      </c>
      <c r="V3767" t="s">
        <v>8961</v>
      </c>
      <c r="W3767" t="s">
        <v>2219</v>
      </c>
      <c r="X3767" t="s">
        <v>18845</v>
      </c>
      <c r="Y3767" t="s">
        <v>19937</v>
      </c>
      <c r="Z3767" t="s">
        <v>2254</v>
      </c>
      <c r="AA3767" t="s">
        <v>16635</v>
      </c>
      <c r="AB3767" t="s">
        <v>18847</v>
      </c>
      <c r="AC3767">
        <v>99217</v>
      </c>
      <c r="AD3767" t="s">
        <v>2220</v>
      </c>
      <c r="AE3767">
        <v>-39.530355290000003</v>
      </c>
      <c r="AF3767">
        <v>176.86165828</v>
      </c>
      <c r="AG3767" s="175">
        <v>40</v>
      </c>
      <c r="AH3767" s="175">
        <v>0</v>
      </c>
      <c r="AI3767" s="175">
        <v>0</v>
      </c>
      <c r="AJ3767" s="175">
        <v>0</v>
      </c>
      <c r="AK3767" s="175">
        <v>4</v>
      </c>
      <c r="AL3767" s="175">
        <v>21</v>
      </c>
      <c r="AM3767" s="175">
        <v>20</v>
      </c>
      <c r="AN3767" s="175">
        <v>0</v>
      </c>
      <c r="AO3767" s="175">
        <v>45</v>
      </c>
      <c r="AP3767" s="175">
        <v>34</v>
      </c>
      <c r="AQ3767" s="175">
        <v>10</v>
      </c>
      <c r="AR3767" s="175">
        <v>2</v>
      </c>
      <c r="AS3767" s="175">
        <v>6</v>
      </c>
      <c r="AT3767" s="175">
        <v>4</v>
      </c>
    </row>
    <row r="3768" spans="1:46">
      <c r="A3768">
        <v>55481</v>
      </c>
      <c r="B3768" t="s">
        <v>20684</v>
      </c>
      <c r="C3768" t="s">
        <v>20685</v>
      </c>
      <c r="E3768" t="s">
        <v>20686</v>
      </c>
      <c r="G3768" t="s">
        <v>2346</v>
      </c>
      <c r="H3768" t="s">
        <v>450</v>
      </c>
      <c r="J3768" t="s">
        <v>605</v>
      </c>
      <c r="K3768" t="s">
        <v>606</v>
      </c>
      <c r="M3768" t="s">
        <v>1382</v>
      </c>
      <c r="N3768" t="s">
        <v>625</v>
      </c>
      <c r="O3768" t="s">
        <v>2347</v>
      </c>
      <c r="P3768" t="s">
        <v>610</v>
      </c>
      <c r="Q3768" t="s">
        <v>513</v>
      </c>
      <c r="R3768" t="s">
        <v>2164</v>
      </c>
      <c r="S3768" t="s">
        <v>2348</v>
      </c>
      <c r="T3768" t="s">
        <v>2165</v>
      </c>
      <c r="U3768">
        <v>215801</v>
      </c>
      <c r="V3768" t="s">
        <v>2349</v>
      </c>
      <c r="W3768" t="s">
        <v>2350</v>
      </c>
      <c r="X3768" t="s">
        <v>13659</v>
      </c>
      <c r="Y3768" t="s">
        <v>13660</v>
      </c>
      <c r="Z3768" t="s">
        <v>2235</v>
      </c>
      <c r="AA3768" t="s">
        <v>13661</v>
      </c>
      <c r="AB3768" t="s">
        <v>13662</v>
      </c>
      <c r="AE3768">
        <v>-39.992803969999997</v>
      </c>
      <c r="AF3768">
        <v>176.55501172999999</v>
      </c>
      <c r="AG3768" s="175">
        <v>80</v>
      </c>
      <c r="AH3768" s="175">
        <v>80</v>
      </c>
      <c r="AI3768" s="175">
        <v>2</v>
      </c>
      <c r="AJ3768" s="175">
        <v>3</v>
      </c>
      <c r="AK3768" s="175">
        <v>2</v>
      </c>
      <c r="AL3768" s="175">
        <v>11</v>
      </c>
      <c r="AM3768" s="175">
        <v>1</v>
      </c>
      <c r="AN3768" s="175">
        <v>0</v>
      </c>
      <c r="AO3768" s="175">
        <v>19</v>
      </c>
      <c r="AP3768" s="175">
        <v>14</v>
      </c>
      <c r="AQ3768" s="175">
        <v>5</v>
      </c>
      <c r="AR3768" s="175">
        <v>2</v>
      </c>
      <c r="AS3768" s="175">
        <v>3</v>
      </c>
      <c r="AT3768" s="175">
        <v>1</v>
      </c>
    </row>
    <row r="3769" spans="1:46">
      <c r="A3769">
        <v>55485</v>
      </c>
      <c r="B3769" t="s">
        <v>20687</v>
      </c>
      <c r="C3769" t="s">
        <v>20688</v>
      </c>
      <c r="D3769" t="s">
        <v>20689</v>
      </c>
      <c r="E3769" t="s">
        <v>20690</v>
      </c>
      <c r="F3769" t="s">
        <v>19838</v>
      </c>
      <c r="G3769" t="s">
        <v>2276</v>
      </c>
      <c r="H3769" t="s">
        <v>449</v>
      </c>
      <c r="I3769" t="s">
        <v>4642</v>
      </c>
      <c r="J3769" t="s">
        <v>605</v>
      </c>
      <c r="K3769" t="s">
        <v>606</v>
      </c>
      <c r="M3769" t="s">
        <v>1382</v>
      </c>
      <c r="N3769" t="s">
        <v>608</v>
      </c>
      <c r="O3769" t="s">
        <v>2277</v>
      </c>
      <c r="P3769" t="s">
        <v>670</v>
      </c>
      <c r="Q3769" t="s">
        <v>513</v>
      </c>
      <c r="R3769" t="s">
        <v>2164</v>
      </c>
      <c r="S3769" t="s">
        <v>2278</v>
      </c>
      <c r="T3769" t="s">
        <v>2165</v>
      </c>
      <c r="U3769">
        <v>210300</v>
      </c>
      <c r="V3769" t="s">
        <v>16940</v>
      </c>
      <c r="W3769" t="s">
        <v>2279</v>
      </c>
      <c r="X3769" t="s">
        <v>20691</v>
      </c>
      <c r="Y3769" t="s">
        <v>20692</v>
      </c>
      <c r="Z3769" t="s">
        <v>2276</v>
      </c>
      <c r="AA3769" t="s">
        <v>8862</v>
      </c>
      <c r="AB3769" t="s">
        <v>20688</v>
      </c>
      <c r="AE3769">
        <v>-39.649373240000003</v>
      </c>
      <c r="AF3769">
        <v>176.82953721000001</v>
      </c>
      <c r="AG3769" s="175">
        <v>58</v>
      </c>
      <c r="AH3769" s="175">
        <v>15</v>
      </c>
      <c r="AI3769" s="175">
        <v>0</v>
      </c>
      <c r="AJ3769" s="175">
        <v>6</v>
      </c>
      <c r="AK3769" s="175">
        <v>6</v>
      </c>
      <c r="AL3769" s="175">
        <v>6</v>
      </c>
      <c r="AM3769" s="175">
        <v>7</v>
      </c>
      <c r="AN3769" s="175">
        <v>0</v>
      </c>
      <c r="AO3769" s="175">
        <v>25</v>
      </c>
      <c r="AP3769" s="175">
        <v>8</v>
      </c>
      <c r="AQ3769" s="175">
        <v>13</v>
      </c>
      <c r="AR3769" s="175">
        <v>12</v>
      </c>
      <c r="AS3769" s="175">
        <v>4</v>
      </c>
      <c r="AT3769" s="175">
        <v>0</v>
      </c>
    </row>
    <row r="3770" spans="1:46">
      <c r="A3770">
        <v>55490</v>
      </c>
      <c r="B3770" t="s">
        <v>20693</v>
      </c>
      <c r="C3770" t="s">
        <v>20694</v>
      </c>
      <c r="D3770" t="s">
        <v>13707</v>
      </c>
      <c r="E3770" t="s">
        <v>20695</v>
      </c>
      <c r="F3770" t="s">
        <v>2323</v>
      </c>
      <c r="G3770" t="s">
        <v>2276</v>
      </c>
      <c r="H3770" t="s">
        <v>449</v>
      </c>
      <c r="J3770" t="s">
        <v>4032</v>
      </c>
      <c r="K3770" t="s">
        <v>606</v>
      </c>
      <c r="M3770" t="s">
        <v>1382</v>
      </c>
      <c r="N3770" t="s">
        <v>625</v>
      </c>
      <c r="O3770" t="s">
        <v>2277</v>
      </c>
      <c r="P3770" t="s">
        <v>670</v>
      </c>
      <c r="Q3770" t="s">
        <v>513</v>
      </c>
      <c r="R3770" t="s">
        <v>2164</v>
      </c>
      <c r="S3770" t="s">
        <v>2278</v>
      </c>
      <c r="T3770" t="s">
        <v>2165</v>
      </c>
      <c r="U3770">
        <v>209800</v>
      </c>
      <c r="V3770" t="s">
        <v>2323</v>
      </c>
      <c r="W3770" t="s">
        <v>2279</v>
      </c>
      <c r="X3770" t="s">
        <v>13709</v>
      </c>
      <c r="Y3770" t="s">
        <v>13710</v>
      </c>
      <c r="AA3770" t="s">
        <v>13711</v>
      </c>
      <c r="AB3770" t="s">
        <v>13712</v>
      </c>
      <c r="AE3770">
        <v>-39.624466290000001</v>
      </c>
      <c r="AF3770">
        <v>176.84718642000001</v>
      </c>
      <c r="AG3770" s="175">
        <v>54</v>
      </c>
      <c r="AH3770" s="175">
        <v>0</v>
      </c>
      <c r="AI3770" s="175">
        <v>0</v>
      </c>
      <c r="AJ3770" s="175">
        <v>0</v>
      </c>
      <c r="AK3770" s="175">
        <v>4</v>
      </c>
      <c r="AL3770" s="175">
        <v>15</v>
      </c>
      <c r="AM3770" s="175">
        <v>10</v>
      </c>
      <c r="AN3770" s="175">
        <v>0</v>
      </c>
      <c r="AO3770" s="175">
        <v>29</v>
      </c>
      <c r="AP3770" s="175">
        <v>16</v>
      </c>
      <c r="AQ3770" s="175">
        <v>6</v>
      </c>
      <c r="AR3770" s="175">
        <v>4</v>
      </c>
      <c r="AS3770" s="175">
        <v>8</v>
      </c>
      <c r="AT3770" s="175">
        <v>0</v>
      </c>
    </row>
    <row r="3771" spans="1:46">
      <c r="A3771">
        <v>55492</v>
      </c>
      <c r="B3771" t="s">
        <v>20696</v>
      </c>
      <c r="C3771" t="s">
        <v>20697</v>
      </c>
      <c r="D3771" t="s">
        <v>20450</v>
      </c>
      <c r="E3771" t="s">
        <v>20698</v>
      </c>
      <c r="F3771" t="s">
        <v>19838</v>
      </c>
      <c r="G3771" t="s">
        <v>2276</v>
      </c>
      <c r="H3771" t="s">
        <v>449</v>
      </c>
      <c r="J3771" t="s">
        <v>4032</v>
      </c>
      <c r="K3771" t="s">
        <v>606</v>
      </c>
      <c r="M3771" t="s">
        <v>1382</v>
      </c>
      <c r="N3771" t="s">
        <v>643</v>
      </c>
      <c r="O3771" t="s">
        <v>2277</v>
      </c>
      <c r="P3771" t="s">
        <v>670</v>
      </c>
      <c r="Q3771" t="s">
        <v>513</v>
      </c>
      <c r="R3771" t="s">
        <v>2164</v>
      </c>
      <c r="S3771" t="s">
        <v>2278</v>
      </c>
      <c r="T3771" t="s">
        <v>2165</v>
      </c>
      <c r="U3771">
        <v>210700</v>
      </c>
      <c r="V3771" t="s">
        <v>2289</v>
      </c>
      <c r="W3771" t="s">
        <v>2279</v>
      </c>
      <c r="X3771" t="s">
        <v>20452</v>
      </c>
      <c r="Y3771" t="s">
        <v>20453</v>
      </c>
      <c r="Z3771" t="s">
        <v>20454</v>
      </c>
      <c r="AA3771" t="s">
        <v>2283</v>
      </c>
      <c r="AB3771" t="s">
        <v>20455</v>
      </c>
      <c r="AE3771">
        <v>-39.647719590000001</v>
      </c>
      <c r="AF3771">
        <v>176.84435321999999</v>
      </c>
      <c r="AG3771" s="175">
        <v>40</v>
      </c>
      <c r="AH3771" s="175">
        <v>0</v>
      </c>
      <c r="AI3771" s="175">
        <v>0</v>
      </c>
      <c r="AJ3771" s="175">
        <v>0</v>
      </c>
      <c r="AK3771" s="175">
        <v>2</v>
      </c>
      <c r="AL3771" s="175">
        <v>10</v>
      </c>
      <c r="AM3771" s="175">
        <v>7</v>
      </c>
      <c r="AN3771" s="175">
        <v>0</v>
      </c>
      <c r="AO3771" s="175">
        <v>19</v>
      </c>
      <c r="AP3771" s="175">
        <v>7</v>
      </c>
      <c r="AQ3771" s="175">
        <v>16</v>
      </c>
      <c r="AR3771" s="175">
        <v>9</v>
      </c>
      <c r="AS3771" s="175">
        <v>0</v>
      </c>
      <c r="AT3771" s="175">
        <v>0</v>
      </c>
    </row>
    <row r="3772" spans="1:46">
      <c r="A3772">
        <v>55494</v>
      </c>
      <c r="B3772" t="s">
        <v>20699</v>
      </c>
      <c r="C3772" t="s">
        <v>20700</v>
      </c>
      <c r="D3772" t="s">
        <v>20701</v>
      </c>
      <c r="E3772" t="s">
        <v>20702</v>
      </c>
      <c r="F3772" t="s">
        <v>2184</v>
      </c>
      <c r="G3772" t="s">
        <v>2162</v>
      </c>
      <c r="H3772" t="s">
        <v>449</v>
      </c>
      <c r="J3772" t="s">
        <v>605</v>
      </c>
      <c r="K3772" t="s">
        <v>606</v>
      </c>
      <c r="M3772" t="s">
        <v>1382</v>
      </c>
      <c r="N3772" t="s">
        <v>608</v>
      </c>
      <c r="O3772" t="s">
        <v>2163</v>
      </c>
      <c r="P3772" t="s">
        <v>670</v>
      </c>
      <c r="Q3772" t="s">
        <v>512</v>
      </c>
      <c r="R3772" t="s">
        <v>2164</v>
      </c>
      <c r="S3772" t="s">
        <v>1556</v>
      </c>
      <c r="T3772" t="s">
        <v>2165</v>
      </c>
      <c r="U3772">
        <v>207000</v>
      </c>
      <c r="V3772" t="s">
        <v>3918</v>
      </c>
      <c r="W3772" t="s">
        <v>2167</v>
      </c>
      <c r="X3772" t="s">
        <v>20660</v>
      </c>
      <c r="Y3772" t="s">
        <v>20661</v>
      </c>
      <c r="Z3772" t="s">
        <v>2162</v>
      </c>
      <c r="AA3772" t="s">
        <v>2170</v>
      </c>
      <c r="AB3772" t="s">
        <v>20662</v>
      </c>
      <c r="AC3772">
        <v>99050</v>
      </c>
      <c r="AD3772" t="s">
        <v>2186</v>
      </c>
      <c r="AE3772">
        <v>-38.673850659999999</v>
      </c>
      <c r="AF3772">
        <v>178.04233765000001</v>
      </c>
      <c r="AG3772" s="175">
        <v>120</v>
      </c>
      <c r="AH3772" s="175">
        <v>25</v>
      </c>
      <c r="AI3772" s="175">
        <v>1</v>
      </c>
      <c r="AJ3772" s="175">
        <v>14</v>
      </c>
      <c r="AK3772" s="175">
        <v>10</v>
      </c>
      <c r="AL3772" s="175">
        <v>21</v>
      </c>
      <c r="AM3772" s="175">
        <v>19</v>
      </c>
      <c r="AN3772" s="175">
        <v>0</v>
      </c>
      <c r="AO3772" s="175">
        <v>65</v>
      </c>
      <c r="AP3772" s="175">
        <v>10</v>
      </c>
      <c r="AQ3772" s="175">
        <v>60</v>
      </c>
      <c r="AR3772" s="175">
        <v>5</v>
      </c>
      <c r="AS3772" s="175">
        <v>2</v>
      </c>
      <c r="AT3772" s="175">
        <v>3</v>
      </c>
    </row>
    <row r="3773" spans="1:46">
      <c r="A3773">
        <v>55509</v>
      </c>
      <c r="B3773" t="s">
        <v>20703</v>
      </c>
      <c r="C3773" t="s">
        <v>20704</v>
      </c>
      <c r="D3773" t="s">
        <v>20705</v>
      </c>
      <c r="E3773" t="s">
        <v>20706</v>
      </c>
      <c r="F3773" t="s">
        <v>2331</v>
      </c>
      <c r="G3773" t="s">
        <v>2276</v>
      </c>
      <c r="H3773" t="s">
        <v>449</v>
      </c>
      <c r="J3773" t="s">
        <v>605</v>
      </c>
      <c r="K3773" t="s">
        <v>606</v>
      </c>
      <c r="M3773" t="s">
        <v>1382</v>
      </c>
      <c r="N3773" t="s">
        <v>643</v>
      </c>
      <c r="O3773" t="s">
        <v>2277</v>
      </c>
      <c r="P3773" t="s">
        <v>670</v>
      </c>
      <c r="Q3773" t="s">
        <v>513</v>
      </c>
      <c r="R3773" t="s">
        <v>2164</v>
      </c>
      <c r="S3773" t="s">
        <v>2278</v>
      </c>
      <c r="T3773" t="s">
        <v>2165</v>
      </c>
      <c r="U3773">
        <v>210800</v>
      </c>
      <c r="V3773" t="s">
        <v>20674</v>
      </c>
      <c r="W3773" t="s">
        <v>2279</v>
      </c>
      <c r="X3773" t="s">
        <v>8962</v>
      </c>
      <c r="Y3773" t="s">
        <v>4014</v>
      </c>
      <c r="Z3773" t="s">
        <v>4015</v>
      </c>
      <c r="AA3773" t="s">
        <v>4016</v>
      </c>
      <c r="AB3773" t="s">
        <v>8963</v>
      </c>
      <c r="AE3773">
        <v>-39.645989520000001</v>
      </c>
      <c r="AF3773">
        <v>176.84896853999999</v>
      </c>
      <c r="AG3773" s="175">
        <v>72</v>
      </c>
      <c r="AH3773" s="175">
        <v>22</v>
      </c>
      <c r="AI3773" s="175">
        <v>2</v>
      </c>
      <c r="AJ3773" s="175">
        <v>18</v>
      </c>
      <c r="AK3773" s="175">
        <v>19</v>
      </c>
      <c r="AL3773" s="175">
        <v>19</v>
      </c>
      <c r="AM3773" s="175">
        <v>10</v>
      </c>
      <c r="AN3773" s="175">
        <v>1</v>
      </c>
      <c r="AO3773" s="175">
        <v>69</v>
      </c>
      <c r="AP3773" s="175">
        <v>20</v>
      </c>
      <c r="AQ3773" s="175">
        <v>33</v>
      </c>
      <c r="AR3773" s="175">
        <v>11</v>
      </c>
      <c r="AS3773" s="175">
        <v>17</v>
      </c>
      <c r="AT3773" s="175">
        <v>3</v>
      </c>
    </row>
    <row r="3774" spans="1:46">
      <c r="A3774">
        <v>55513</v>
      </c>
      <c r="B3774" t="s">
        <v>20707</v>
      </c>
      <c r="C3774" t="s">
        <v>20708</v>
      </c>
      <c r="D3774" t="s">
        <v>20709</v>
      </c>
      <c r="E3774" t="s">
        <v>20710</v>
      </c>
      <c r="G3774" t="s">
        <v>2295</v>
      </c>
      <c r="H3774" t="s">
        <v>449</v>
      </c>
      <c r="J3774" t="s">
        <v>4032</v>
      </c>
      <c r="K3774" t="s">
        <v>606</v>
      </c>
      <c r="M3774" t="s">
        <v>1382</v>
      </c>
      <c r="N3774" t="s">
        <v>657</v>
      </c>
      <c r="O3774" t="s">
        <v>2277</v>
      </c>
      <c r="P3774" t="s">
        <v>1347</v>
      </c>
      <c r="Q3774" t="s">
        <v>513</v>
      </c>
      <c r="R3774" t="s">
        <v>2164</v>
      </c>
      <c r="S3774" t="s">
        <v>2278</v>
      </c>
      <c r="T3774" t="s">
        <v>2165</v>
      </c>
      <c r="U3774">
        <v>211701</v>
      </c>
      <c r="V3774" t="s">
        <v>20711</v>
      </c>
      <c r="W3774" t="s">
        <v>2279</v>
      </c>
      <c r="X3774" t="s">
        <v>20712</v>
      </c>
      <c r="Y3774" t="s">
        <v>4051</v>
      </c>
      <c r="AA3774" t="s">
        <v>4052</v>
      </c>
      <c r="AB3774" t="s">
        <v>20708</v>
      </c>
      <c r="AE3774">
        <v>-39.656346450000001</v>
      </c>
      <c r="AF3774">
        <v>176.88774839999999</v>
      </c>
      <c r="AG3774" s="175">
        <v>55</v>
      </c>
      <c r="AH3774" s="175">
        <v>15</v>
      </c>
      <c r="AI3774" s="175">
        <v>2</v>
      </c>
      <c r="AJ3774" s="175">
        <v>8</v>
      </c>
      <c r="AK3774" s="175">
        <v>10</v>
      </c>
      <c r="AL3774" s="175">
        <v>15</v>
      </c>
      <c r="AM3774" s="175">
        <v>10</v>
      </c>
      <c r="AN3774" s="175">
        <v>0</v>
      </c>
      <c r="AO3774" s="175">
        <v>45</v>
      </c>
      <c r="AP3774" s="175">
        <v>34</v>
      </c>
      <c r="AQ3774" s="175">
        <v>14</v>
      </c>
      <c r="AR3774" s="175">
        <v>2</v>
      </c>
      <c r="AS3774" s="175">
        <v>3</v>
      </c>
      <c r="AT3774" s="175">
        <v>3</v>
      </c>
    </row>
    <row r="3775" spans="1:46">
      <c r="A3775">
        <v>55514</v>
      </c>
      <c r="B3775" t="s">
        <v>20713</v>
      </c>
      <c r="C3775" t="s">
        <v>19723</v>
      </c>
      <c r="D3775" t="s">
        <v>20714</v>
      </c>
      <c r="E3775" t="s">
        <v>20715</v>
      </c>
      <c r="G3775" t="s">
        <v>2196</v>
      </c>
      <c r="H3775" t="s">
        <v>449</v>
      </c>
      <c r="I3775" t="s">
        <v>941</v>
      </c>
      <c r="J3775" t="s">
        <v>605</v>
      </c>
      <c r="K3775" t="s">
        <v>606</v>
      </c>
      <c r="M3775" t="s">
        <v>1382</v>
      </c>
      <c r="N3775" t="s">
        <v>643</v>
      </c>
      <c r="O3775" t="s">
        <v>2197</v>
      </c>
      <c r="P3775" t="s">
        <v>610</v>
      </c>
      <c r="Q3775" t="s">
        <v>513</v>
      </c>
      <c r="R3775" t="s">
        <v>2164</v>
      </c>
      <c r="S3775" t="s">
        <v>2198</v>
      </c>
      <c r="T3775" t="s">
        <v>2165</v>
      </c>
      <c r="U3775">
        <v>207800</v>
      </c>
      <c r="V3775" t="s">
        <v>2196</v>
      </c>
      <c r="W3775" t="s">
        <v>651</v>
      </c>
      <c r="X3775" t="s">
        <v>19721</v>
      </c>
      <c r="Y3775" t="s">
        <v>19720</v>
      </c>
      <c r="Z3775" t="s">
        <v>2196</v>
      </c>
      <c r="AA3775" t="s">
        <v>19722</v>
      </c>
      <c r="AB3775" t="s">
        <v>19723</v>
      </c>
      <c r="AC3775">
        <v>99091</v>
      </c>
      <c r="AD3775" t="s">
        <v>2204</v>
      </c>
      <c r="AE3775">
        <v>-39.034491240000001</v>
      </c>
      <c r="AF3775">
        <v>177.42533613000001</v>
      </c>
      <c r="AG3775" s="175">
        <v>35</v>
      </c>
      <c r="AH3775" s="175">
        <v>20</v>
      </c>
      <c r="AI3775" s="175">
        <v>2</v>
      </c>
      <c r="AJ3775" s="175">
        <v>13</v>
      </c>
      <c r="AK3775" s="175">
        <v>14</v>
      </c>
      <c r="AL3775" s="175">
        <v>0</v>
      </c>
      <c r="AM3775" s="175">
        <v>0</v>
      </c>
      <c r="AN3775" s="175">
        <v>0</v>
      </c>
      <c r="AO3775" s="175">
        <v>29</v>
      </c>
      <c r="AP3775" s="175">
        <v>14</v>
      </c>
      <c r="AQ3775" s="175">
        <v>21</v>
      </c>
      <c r="AR3775" s="175">
        <v>2</v>
      </c>
      <c r="AS3775" s="175">
        <v>0</v>
      </c>
      <c r="AT3775" s="175">
        <v>0</v>
      </c>
    </row>
    <row r="3776" spans="1:46">
      <c r="A3776">
        <v>55518</v>
      </c>
      <c r="B3776" t="s">
        <v>20716</v>
      </c>
      <c r="C3776" t="s">
        <v>20717</v>
      </c>
      <c r="D3776" t="s">
        <v>20718</v>
      </c>
      <c r="E3776" t="s">
        <v>20719</v>
      </c>
      <c r="F3776" t="s">
        <v>2254</v>
      </c>
      <c r="G3776" t="s">
        <v>2198</v>
      </c>
      <c r="H3776" t="s">
        <v>449</v>
      </c>
      <c r="I3776" t="s">
        <v>4134</v>
      </c>
      <c r="J3776" t="s">
        <v>605</v>
      </c>
      <c r="K3776" t="s">
        <v>606</v>
      </c>
      <c r="M3776" t="s">
        <v>1382</v>
      </c>
      <c r="N3776" t="s">
        <v>657</v>
      </c>
      <c r="O3776" t="s">
        <v>2210</v>
      </c>
      <c r="P3776" t="s">
        <v>670</v>
      </c>
      <c r="Q3776" t="s">
        <v>513</v>
      </c>
      <c r="R3776" t="s">
        <v>2164</v>
      </c>
      <c r="S3776" t="s">
        <v>2198</v>
      </c>
      <c r="T3776" t="s">
        <v>2165</v>
      </c>
      <c r="U3776">
        <v>214000</v>
      </c>
      <c r="V3776" t="s">
        <v>2218</v>
      </c>
      <c r="W3776" t="s">
        <v>2219</v>
      </c>
      <c r="X3776" t="s">
        <v>8962</v>
      </c>
      <c r="Y3776" t="s">
        <v>4014</v>
      </c>
      <c r="Z3776" t="s">
        <v>4015</v>
      </c>
      <c r="AA3776" t="s">
        <v>4016</v>
      </c>
      <c r="AB3776" t="s">
        <v>8963</v>
      </c>
      <c r="AC3776">
        <v>99217</v>
      </c>
      <c r="AD3776" t="s">
        <v>2220</v>
      </c>
      <c r="AE3776">
        <v>-39.52749927</v>
      </c>
      <c r="AF3776">
        <v>176.85868973000001</v>
      </c>
      <c r="AG3776" s="175">
        <v>65</v>
      </c>
      <c r="AH3776" s="175">
        <v>10</v>
      </c>
      <c r="AI3776" s="175">
        <v>0</v>
      </c>
      <c r="AJ3776" s="175">
        <v>14</v>
      </c>
      <c r="AK3776" s="175">
        <v>20</v>
      </c>
      <c r="AL3776" s="175">
        <v>29</v>
      </c>
      <c r="AM3776" s="175">
        <v>25</v>
      </c>
      <c r="AN3776" s="175">
        <v>0</v>
      </c>
      <c r="AO3776" s="175">
        <v>88</v>
      </c>
      <c r="AP3776" s="175">
        <v>49</v>
      </c>
      <c r="AQ3776" s="175">
        <v>11</v>
      </c>
      <c r="AR3776" s="175">
        <v>1</v>
      </c>
      <c r="AS3776" s="175">
        <v>29</v>
      </c>
      <c r="AT3776" s="175">
        <v>21</v>
      </c>
    </row>
    <row r="3777" spans="1:46">
      <c r="A3777">
        <v>60000</v>
      </c>
      <c r="B3777" t="s">
        <v>20720</v>
      </c>
      <c r="C3777" t="s">
        <v>20721</v>
      </c>
      <c r="D3777" t="s">
        <v>20722</v>
      </c>
      <c r="E3777" t="s">
        <v>20723</v>
      </c>
      <c r="F3777" t="s">
        <v>20591</v>
      </c>
      <c r="G3777" t="s">
        <v>2505</v>
      </c>
      <c r="H3777" t="s">
        <v>449</v>
      </c>
      <c r="J3777" t="s">
        <v>4032</v>
      </c>
      <c r="K3777" t="s">
        <v>606</v>
      </c>
      <c r="M3777" t="s">
        <v>2366</v>
      </c>
      <c r="N3777" t="s">
        <v>657</v>
      </c>
      <c r="O3777" t="s">
        <v>2506</v>
      </c>
      <c r="P3777" t="s">
        <v>739</v>
      </c>
      <c r="Q3777" t="s">
        <v>516</v>
      </c>
      <c r="R3777" t="s">
        <v>2368</v>
      </c>
      <c r="S3777" t="s">
        <v>2507</v>
      </c>
      <c r="T3777" t="s">
        <v>2526</v>
      </c>
      <c r="U3777">
        <v>245500</v>
      </c>
      <c r="V3777" t="s">
        <v>2598</v>
      </c>
      <c r="W3777" t="s">
        <v>2521</v>
      </c>
      <c r="X3777" t="s">
        <v>11598</v>
      </c>
      <c r="Y3777" t="s">
        <v>11599</v>
      </c>
      <c r="AA3777" t="s">
        <v>4726</v>
      </c>
      <c r="AB3777" t="s">
        <v>11600</v>
      </c>
      <c r="AE3777">
        <v>-41.212687440000003</v>
      </c>
      <c r="AF3777">
        <v>174.92049634</v>
      </c>
      <c r="AG3777" s="175">
        <v>36</v>
      </c>
      <c r="AH3777" s="175">
        <v>12</v>
      </c>
      <c r="AI3777" s="175">
        <v>3</v>
      </c>
      <c r="AJ3777" s="175">
        <v>9</v>
      </c>
      <c r="AK3777" s="175">
        <v>10</v>
      </c>
      <c r="AL3777" s="175">
        <v>9</v>
      </c>
      <c r="AM3777" s="175">
        <v>4</v>
      </c>
      <c r="AN3777" s="175">
        <v>0</v>
      </c>
      <c r="AO3777" s="175">
        <v>35</v>
      </c>
      <c r="AP3777" s="175">
        <v>22</v>
      </c>
      <c r="AQ3777" s="175">
        <v>7</v>
      </c>
      <c r="AR3777" s="175">
        <v>2</v>
      </c>
      <c r="AS3777" s="175">
        <v>11</v>
      </c>
      <c r="AT3777" s="175">
        <v>2</v>
      </c>
    </row>
    <row r="3778" spans="1:46">
      <c r="A3778">
        <v>60001</v>
      </c>
      <c r="B3778" t="s">
        <v>20724</v>
      </c>
      <c r="C3778" t="s">
        <v>20725</v>
      </c>
      <c r="D3778" t="s">
        <v>20726</v>
      </c>
      <c r="E3778" t="s">
        <v>20727</v>
      </c>
      <c r="G3778" t="s">
        <v>2435</v>
      </c>
      <c r="H3778" t="s">
        <v>301</v>
      </c>
      <c r="J3778" t="s">
        <v>605</v>
      </c>
      <c r="K3778" t="s">
        <v>606</v>
      </c>
      <c r="M3778" t="s">
        <v>2366</v>
      </c>
      <c r="N3778" t="s">
        <v>657</v>
      </c>
      <c r="O3778" t="s">
        <v>2436</v>
      </c>
      <c r="P3778" t="s">
        <v>610</v>
      </c>
      <c r="Q3778" t="s">
        <v>516</v>
      </c>
      <c r="R3778" t="s">
        <v>2368</v>
      </c>
      <c r="S3778" t="s">
        <v>2348</v>
      </c>
      <c r="T3778" t="s">
        <v>2165</v>
      </c>
      <c r="U3778">
        <v>256900</v>
      </c>
      <c r="V3778" t="s">
        <v>13448</v>
      </c>
      <c r="W3778" t="s">
        <v>1734</v>
      </c>
      <c r="X3778" t="s">
        <v>20422</v>
      </c>
      <c r="Y3778" t="s">
        <v>5253</v>
      </c>
      <c r="AA3778" t="s">
        <v>5254</v>
      </c>
      <c r="AB3778" t="s">
        <v>20423</v>
      </c>
      <c r="AE3778">
        <v>-41.019560400000003</v>
      </c>
      <c r="AF3778">
        <v>175.52334640000001</v>
      </c>
      <c r="AG3778" s="175">
        <v>30</v>
      </c>
      <c r="AH3778" s="175">
        <v>20</v>
      </c>
      <c r="AI3778" s="175">
        <v>5</v>
      </c>
      <c r="AJ3778" s="175">
        <v>6</v>
      </c>
      <c r="AK3778" s="175">
        <v>2</v>
      </c>
      <c r="AL3778" s="175">
        <v>8</v>
      </c>
      <c r="AM3778" s="175">
        <v>4</v>
      </c>
      <c r="AN3778" s="175">
        <v>0</v>
      </c>
      <c r="AO3778" s="175">
        <v>25</v>
      </c>
      <c r="AP3778" s="175">
        <v>25</v>
      </c>
      <c r="AQ3778" s="175">
        <v>2</v>
      </c>
      <c r="AR3778" s="175">
        <v>0</v>
      </c>
      <c r="AS3778" s="175">
        <v>1</v>
      </c>
      <c r="AT3778" s="175">
        <v>0</v>
      </c>
    </row>
    <row r="3779" spans="1:46">
      <c r="A3779">
        <v>60007</v>
      </c>
      <c r="B3779" t="s">
        <v>20728</v>
      </c>
      <c r="C3779" t="s">
        <v>20729</v>
      </c>
      <c r="D3779" t="s">
        <v>20730</v>
      </c>
      <c r="E3779" t="s">
        <v>20731</v>
      </c>
      <c r="G3779" t="s">
        <v>14504</v>
      </c>
      <c r="H3779" t="s">
        <v>301</v>
      </c>
      <c r="J3779" t="s">
        <v>605</v>
      </c>
      <c r="K3779" t="s">
        <v>606</v>
      </c>
      <c r="M3779" t="s">
        <v>2366</v>
      </c>
      <c r="N3779" t="s">
        <v>657</v>
      </c>
      <c r="O3779" t="s">
        <v>2411</v>
      </c>
      <c r="P3779" t="s">
        <v>610</v>
      </c>
      <c r="Q3779" t="s">
        <v>516</v>
      </c>
      <c r="R3779" t="s">
        <v>2368</v>
      </c>
      <c r="S3779" t="s">
        <v>2348</v>
      </c>
      <c r="T3779" t="s">
        <v>2165</v>
      </c>
      <c r="U3779">
        <v>257901</v>
      </c>
      <c r="V3779" t="s">
        <v>14504</v>
      </c>
      <c r="W3779" t="s">
        <v>14505</v>
      </c>
      <c r="X3779" t="s">
        <v>20422</v>
      </c>
      <c r="Y3779" t="s">
        <v>5253</v>
      </c>
      <c r="AA3779" t="s">
        <v>5254</v>
      </c>
      <c r="AB3779" t="s">
        <v>20423</v>
      </c>
      <c r="AE3779">
        <v>-41.219480109999999</v>
      </c>
      <c r="AF3779">
        <v>175.45628631</v>
      </c>
      <c r="AG3779" s="175">
        <v>30</v>
      </c>
      <c r="AH3779" s="175">
        <v>15</v>
      </c>
      <c r="AI3779" s="175">
        <v>3</v>
      </c>
      <c r="AJ3779" s="175">
        <v>7</v>
      </c>
      <c r="AK3779" s="175">
        <v>5</v>
      </c>
      <c r="AL3779" s="175">
        <v>4</v>
      </c>
      <c r="AM3779" s="175">
        <v>6</v>
      </c>
      <c r="AN3779" s="175">
        <v>0</v>
      </c>
      <c r="AO3779" s="175">
        <v>25</v>
      </c>
      <c r="AP3779" s="175">
        <v>24</v>
      </c>
      <c r="AQ3779" s="175">
        <v>3</v>
      </c>
      <c r="AR3779" s="175">
        <v>0</v>
      </c>
      <c r="AS3779" s="175">
        <v>1</v>
      </c>
      <c r="AT3779" s="175">
        <v>0</v>
      </c>
    </row>
    <row r="3780" spans="1:46">
      <c r="A3780">
        <v>60010</v>
      </c>
      <c r="B3780" t="s">
        <v>20732</v>
      </c>
      <c r="C3780" t="s">
        <v>20733</v>
      </c>
      <c r="D3780" t="s">
        <v>20734</v>
      </c>
      <c r="E3780" t="s">
        <v>20735</v>
      </c>
      <c r="G3780" t="s">
        <v>2396</v>
      </c>
      <c r="H3780" t="s">
        <v>301</v>
      </c>
      <c r="J3780" t="s">
        <v>605</v>
      </c>
      <c r="K3780" t="s">
        <v>606</v>
      </c>
      <c r="M3780" t="s">
        <v>2366</v>
      </c>
      <c r="N3780" t="s">
        <v>657</v>
      </c>
      <c r="O3780" t="s">
        <v>2397</v>
      </c>
      <c r="P3780" t="s">
        <v>1347</v>
      </c>
      <c r="Q3780" t="s">
        <v>516</v>
      </c>
      <c r="R3780" t="s">
        <v>2368</v>
      </c>
      <c r="S3780" t="s">
        <v>2348</v>
      </c>
      <c r="T3780" t="s">
        <v>2165</v>
      </c>
      <c r="U3780">
        <v>256000</v>
      </c>
      <c r="V3780" t="s">
        <v>2418</v>
      </c>
      <c r="W3780" t="s">
        <v>2399</v>
      </c>
      <c r="X3780" t="s">
        <v>20422</v>
      </c>
      <c r="Y3780" t="s">
        <v>5253</v>
      </c>
      <c r="AA3780" t="s">
        <v>5254</v>
      </c>
      <c r="AB3780" t="s">
        <v>20423</v>
      </c>
      <c r="AC3780">
        <v>99204</v>
      </c>
      <c r="AD3780" t="s">
        <v>2400</v>
      </c>
      <c r="AE3780">
        <v>-40.946699340000002</v>
      </c>
      <c r="AF3780">
        <v>175.63737227999999</v>
      </c>
      <c r="AG3780" s="175">
        <v>30</v>
      </c>
      <c r="AH3780" s="175">
        <v>20</v>
      </c>
      <c r="AI3780" s="175">
        <v>23</v>
      </c>
      <c r="AJ3780" s="175">
        <v>4</v>
      </c>
      <c r="AK3780" s="175">
        <v>15</v>
      </c>
      <c r="AL3780" s="175">
        <v>3</v>
      </c>
      <c r="AM3780" s="175">
        <v>8</v>
      </c>
      <c r="AN3780" s="175">
        <v>0</v>
      </c>
      <c r="AO3780" s="175">
        <v>53</v>
      </c>
      <c r="AP3780" s="175">
        <v>52</v>
      </c>
      <c r="AQ3780" s="175">
        <v>10</v>
      </c>
      <c r="AR3780" s="175">
        <v>0</v>
      </c>
      <c r="AS3780" s="175">
        <v>2</v>
      </c>
      <c r="AT3780" s="175">
        <v>1</v>
      </c>
    </row>
    <row r="3781" spans="1:46">
      <c r="A3781">
        <v>60011</v>
      </c>
      <c r="B3781" t="s">
        <v>20736</v>
      </c>
      <c r="C3781" t="s">
        <v>20737</v>
      </c>
      <c r="D3781" t="s">
        <v>20738</v>
      </c>
      <c r="E3781" t="s">
        <v>20739</v>
      </c>
      <c r="F3781" t="s">
        <v>2519</v>
      </c>
      <c r="G3781" t="s">
        <v>2505</v>
      </c>
      <c r="H3781" t="s">
        <v>301</v>
      </c>
      <c r="J3781" t="s">
        <v>605</v>
      </c>
      <c r="K3781" t="s">
        <v>606</v>
      </c>
      <c r="M3781" t="s">
        <v>2366</v>
      </c>
      <c r="N3781" t="s">
        <v>657</v>
      </c>
      <c r="O3781" t="s">
        <v>2506</v>
      </c>
      <c r="P3781" t="s">
        <v>739</v>
      </c>
      <c r="Q3781" t="s">
        <v>516</v>
      </c>
      <c r="R3781" t="s">
        <v>2368</v>
      </c>
      <c r="S3781" t="s">
        <v>2507</v>
      </c>
      <c r="T3781" t="s">
        <v>2526</v>
      </c>
      <c r="U3781">
        <v>244000</v>
      </c>
      <c r="V3781" t="s">
        <v>12358</v>
      </c>
      <c r="W3781" t="s">
        <v>2539</v>
      </c>
      <c r="X3781" t="s">
        <v>20422</v>
      </c>
      <c r="Y3781" t="s">
        <v>5253</v>
      </c>
      <c r="AA3781" t="s">
        <v>5254</v>
      </c>
      <c r="AB3781" t="s">
        <v>20423</v>
      </c>
      <c r="AE3781">
        <v>-41.213547769999998</v>
      </c>
      <c r="AF3781">
        <v>174.89518312999999</v>
      </c>
      <c r="AG3781" s="175">
        <v>30</v>
      </c>
      <c r="AH3781" s="175">
        <v>20</v>
      </c>
      <c r="AI3781" s="175">
        <v>25</v>
      </c>
      <c r="AJ3781" s="175">
        <v>6</v>
      </c>
      <c r="AK3781" s="175">
        <v>13</v>
      </c>
      <c r="AL3781" s="175">
        <v>8</v>
      </c>
      <c r="AM3781" s="175">
        <v>4</v>
      </c>
      <c r="AN3781" s="175">
        <v>0</v>
      </c>
      <c r="AO3781" s="175">
        <v>56</v>
      </c>
      <c r="AP3781" s="175">
        <v>53</v>
      </c>
      <c r="AQ3781" s="175">
        <v>6</v>
      </c>
      <c r="AR3781" s="175">
        <v>1</v>
      </c>
      <c r="AS3781" s="175">
        <v>0</v>
      </c>
      <c r="AT3781" s="175">
        <v>2</v>
      </c>
    </row>
    <row r="3782" spans="1:46">
      <c r="A3782">
        <v>60013</v>
      </c>
      <c r="B3782" t="s">
        <v>20740</v>
      </c>
      <c r="C3782" t="s">
        <v>20741</v>
      </c>
      <c r="D3782" t="s">
        <v>20742</v>
      </c>
      <c r="E3782" t="s">
        <v>2259</v>
      </c>
      <c r="F3782" t="s">
        <v>6058</v>
      </c>
      <c r="G3782" t="s">
        <v>2505</v>
      </c>
      <c r="H3782" t="s">
        <v>301</v>
      </c>
      <c r="J3782" t="s">
        <v>605</v>
      </c>
      <c r="K3782" t="s">
        <v>606</v>
      </c>
      <c r="M3782" t="s">
        <v>2366</v>
      </c>
      <c r="N3782" t="s">
        <v>657</v>
      </c>
      <c r="O3782" t="s">
        <v>2506</v>
      </c>
      <c r="P3782" t="s">
        <v>739</v>
      </c>
      <c r="Q3782" t="s">
        <v>516</v>
      </c>
      <c r="R3782" t="s">
        <v>2368</v>
      </c>
      <c r="S3782" t="s">
        <v>2451</v>
      </c>
      <c r="T3782" t="s">
        <v>2165</v>
      </c>
      <c r="U3782">
        <v>243600</v>
      </c>
      <c r="V3782" t="s">
        <v>20743</v>
      </c>
      <c r="W3782" t="s">
        <v>2539</v>
      </c>
      <c r="X3782" t="s">
        <v>20422</v>
      </c>
      <c r="Y3782" t="s">
        <v>5253</v>
      </c>
      <c r="AA3782" t="s">
        <v>5254</v>
      </c>
      <c r="AB3782" t="s">
        <v>20423</v>
      </c>
      <c r="AE3782">
        <v>-41.189521409999998</v>
      </c>
      <c r="AF3782">
        <v>174.93209879</v>
      </c>
      <c r="AG3782" s="175">
        <v>30</v>
      </c>
      <c r="AH3782" s="175">
        <v>20</v>
      </c>
      <c r="AI3782" s="175">
        <v>6</v>
      </c>
      <c r="AJ3782" s="175">
        <v>7</v>
      </c>
      <c r="AK3782" s="175">
        <v>7</v>
      </c>
      <c r="AL3782" s="175">
        <v>11</v>
      </c>
      <c r="AM3782" s="175">
        <v>5</v>
      </c>
      <c r="AN3782" s="175">
        <v>0</v>
      </c>
      <c r="AO3782" s="175">
        <v>36</v>
      </c>
      <c r="AP3782" s="175">
        <v>35</v>
      </c>
      <c r="AQ3782" s="175">
        <v>2</v>
      </c>
      <c r="AR3782" s="175">
        <v>4</v>
      </c>
      <c r="AS3782" s="175">
        <v>1</v>
      </c>
      <c r="AT3782" s="175">
        <v>2</v>
      </c>
    </row>
    <row r="3783" spans="1:46">
      <c r="A3783">
        <v>60014</v>
      </c>
      <c r="B3783" t="s">
        <v>20744</v>
      </c>
      <c r="C3783" t="s">
        <v>20745</v>
      </c>
      <c r="D3783" t="s">
        <v>20746</v>
      </c>
      <c r="E3783" t="s">
        <v>20747</v>
      </c>
      <c r="F3783" t="s">
        <v>20748</v>
      </c>
      <c r="G3783" t="s">
        <v>2505</v>
      </c>
      <c r="H3783" t="s">
        <v>301</v>
      </c>
      <c r="J3783" t="s">
        <v>605</v>
      </c>
      <c r="K3783" t="s">
        <v>606</v>
      </c>
      <c r="M3783" t="s">
        <v>2366</v>
      </c>
      <c r="N3783" t="s">
        <v>657</v>
      </c>
      <c r="O3783" t="s">
        <v>2506</v>
      </c>
      <c r="P3783" t="s">
        <v>739</v>
      </c>
      <c r="Q3783" t="s">
        <v>516</v>
      </c>
      <c r="R3783" t="s">
        <v>2368</v>
      </c>
      <c r="S3783" t="s">
        <v>2507</v>
      </c>
      <c r="T3783" t="s">
        <v>2526</v>
      </c>
      <c r="U3783">
        <v>246700</v>
      </c>
      <c r="V3783" t="s">
        <v>20749</v>
      </c>
      <c r="W3783" t="s">
        <v>2569</v>
      </c>
      <c r="X3783" t="s">
        <v>20422</v>
      </c>
      <c r="Y3783" t="s">
        <v>5253</v>
      </c>
      <c r="AA3783" t="s">
        <v>5254</v>
      </c>
      <c r="AB3783" t="s">
        <v>20423</v>
      </c>
      <c r="AE3783">
        <v>-41.278498560000003</v>
      </c>
      <c r="AF3783">
        <v>174.90822777</v>
      </c>
      <c r="AG3783" s="175">
        <v>24</v>
      </c>
      <c r="AH3783" s="175">
        <v>15</v>
      </c>
      <c r="AI3783" s="175">
        <v>6</v>
      </c>
      <c r="AJ3783" s="175">
        <v>3</v>
      </c>
      <c r="AK3783" s="175">
        <v>4</v>
      </c>
      <c r="AL3783" s="175">
        <v>5</v>
      </c>
      <c r="AM3783" s="175">
        <v>1</v>
      </c>
      <c r="AN3783" s="175">
        <v>0</v>
      </c>
      <c r="AO3783" s="175">
        <v>19</v>
      </c>
      <c r="AP3783" s="175">
        <v>19</v>
      </c>
      <c r="AQ3783" s="175">
        <v>3</v>
      </c>
      <c r="AR3783" s="175">
        <v>0</v>
      </c>
      <c r="AS3783" s="175">
        <v>0</v>
      </c>
      <c r="AT3783" s="175">
        <v>0</v>
      </c>
    </row>
    <row r="3784" spans="1:46">
      <c r="A3784">
        <v>60016</v>
      </c>
      <c r="B3784" t="s">
        <v>20750</v>
      </c>
      <c r="C3784" t="s">
        <v>20751</v>
      </c>
      <c r="D3784" t="s">
        <v>20752</v>
      </c>
      <c r="E3784" t="s">
        <v>20753</v>
      </c>
      <c r="F3784" t="s">
        <v>2519</v>
      </c>
      <c r="G3784" t="s">
        <v>2505</v>
      </c>
      <c r="H3784" t="s">
        <v>301</v>
      </c>
      <c r="J3784" t="s">
        <v>605</v>
      </c>
      <c r="K3784" t="s">
        <v>606</v>
      </c>
      <c r="M3784" t="s">
        <v>2366</v>
      </c>
      <c r="N3784" t="s">
        <v>657</v>
      </c>
      <c r="O3784" t="s">
        <v>2506</v>
      </c>
      <c r="P3784" t="s">
        <v>739</v>
      </c>
      <c r="Q3784" t="s">
        <v>516</v>
      </c>
      <c r="R3784" t="s">
        <v>2368</v>
      </c>
      <c r="S3784" t="s">
        <v>2507</v>
      </c>
      <c r="T3784" t="s">
        <v>2526</v>
      </c>
      <c r="U3784">
        <v>244300</v>
      </c>
      <c r="V3784" t="s">
        <v>9090</v>
      </c>
      <c r="W3784" t="s">
        <v>2521</v>
      </c>
      <c r="X3784" t="s">
        <v>20422</v>
      </c>
      <c r="Y3784" t="s">
        <v>5253</v>
      </c>
      <c r="AA3784" t="s">
        <v>5254</v>
      </c>
      <c r="AB3784" t="s">
        <v>20423</v>
      </c>
      <c r="AE3784">
        <v>-41.214456210000002</v>
      </c>
      <c r="AF3784">
        <v>174.89951755999999</v>
      </c>
      <c r="AG3784" s="175">
        <v>27</v>
      </c>
      <c r="AH3784" s="175">
        <v>20</v>
      </c>
      <c r="AI3784" s="175">
        <v>27</v>
      </c>
      <c r="AJ3784" s="175">
        <v>6</v>
      </c>
      <c r="AK3784" s="175">
        <v>12</v>
      </c>
      <c r="AL3784" s="175">
        <v>6</v>
      </c>
      <c r="AM3784" s="175">
        <v>7</v>
      </c>
      <c r="AN3784" s="175">
        <v>0</v>
      </c>
      <c r="AO3784" s="175">
        <v>58</v>
      </c>
      <c r="AP3784" s="175">
        <v>50</v>
      </c>
      <c r="AQ3784" s="175">
        <v>8</v>
      </c>
      <c r="AR3784" s="175">
        <v>3</v>
      </c>
      <c r="AS3784" s="175">
        <v>8</v>
      </c>
      <c r="AT3784" s="175">
        <v>0</v>
      </c>
    </row>
    <row r="3785" spans="1:46">
      <c r="A3785">
        <v>60018</v>
      </c>
      <c r="B3785" t="s">
        <v>20754</v>
      </c>
      <c r="C3785" t="s">
        <v>20755</v>
      </c>
      <c r="D3785" t="s">
        <v>20756</v>
      </c>
      <c r="E3785" t="s">
        <v>20757</v>
      </c>
      <c r="F3785" t="s">
        <v>2552</v>
      </c>
      <c r="G3785" t="s">
        <v>2505</v>
      </c>
      <c r="H3785" t="s">
        <v>301</v>
      </c>
      <c r="J3785" t="s">
        <v>605</v>
      </c>
      <c r="K3785" t="s">
        <v>606</v>
      </c>
      <c r="M3785" t="s">
        <v>2366</v>
      </c>
      <c r="N3785" t="s">
        <v>657</v>
      </c>
      <c r="O3785" t="s">
        <v>2506</v>
      </c>
      <c r="P3785" t="s">
        <v>739</v>
      </c>
      <c r="Q3785" t="s">
        <v>516</v>
      </c>
      <c r="R3785" t="s">
        <v>2368</v>
      </c>
      <c r="S3785" t="s">
        <v>2507</v>
      </c>
      <c r="T3785" t="s">
        <v>2165</v>
      </c>
      <c r="U3785">
        <v>243200</v>
      </c>
      <c r="V3785" t="s">
        <v>2552</v>
      </c>
      <c r="W3785" t="s">
        <v>2539</v>
      </c>
      <c r="X3785" t="s">
        <v>20422</v>
      </c>
      <c r="Y3785" t="s">
        <v>5253</v>
      </c>
      <c r="AA3785" t="s">
        <v>5254</v>
      </c>
      <c r="AB3785" t="s">
        <v>20423</v>
      </c>
      <c r="AE3785">
        <v>-41.208964000000002</v>
      </c>
      <c r="AF3785">
        <v>174.8797715</v>
      </c>
      <c r="AG3785" s="175">
        <v>29</v>
      </c>
      <c r="AH3785" s="175">
        <v>15</v>
      </c>
      <c r="AI3785" s="175">
        <v>20</v>
      </c>
      <c r="AJ3785" s="175">
        <v>2</v>
      </c>
      <c r="AK3785" s="175">
        <v>6</v>
      </c>
      <c r="AL3785" s="175">
        <v>2</v>
      </c>
      <c r="AM3785" s="175">
        <v>3</v>
      </c>
      <c r="AN3785" s="175">
        <v>0</v>
      </c>
      <c r="AO3785" s="175">
        <v>33</v>
      </c>
      <c r="AP3785" s="175">
        <v>30</v>
      </c>
      <c r="AQ3785" s="175">
        <v>3</v>
      </c>
      <c r="AR3785" s="175">
        <v>3</v>
      </c>
      <c r="AS3785" s="175">
        <v>7</v>
      </c>
      <c r="AT3785" s="175">
        <v>0</v>
      </c>
    </row>
    <row r="3786" spans="1:46">
      <c r="A3786">
        <v>60019</v>
      </c>
      <c r="B3786" t="s">
        <v>20758</v>
      </c>
      <c r="C3786" t="s">
        <v>20759</v>
      </c>
      <c r="D3786" t="s">
        <v>20760</v>
      </c>
      <c r="E3786" t="s">
        <v>20761</v>
      </c>
      <c r="F3786" t="s">
        <v>2557</v>
      </c>
      <c r="G3786" t="s">
        <v>2505</v>
      </c>
      <c r="H3786" t="s">
        <v>301</v>
      </c>
      <c r="J3786" t="s">
        <v>605</v>
      </c>
      <c r="K3786" t="s">
        <v>606</v>
      </c>
      <c r="M3786" t="s">
        <v>2366</v>
      </c>
      <c r="N3786" t="s">
        <v>625</v>
      </c>
      <c r="O3786" t="s">
        <v>2506</v>
      </c>
      <c r="P3786" t="s">
        <v>739</v>
      </c>
      <c r="Q3786" t="s">
        <v>516</v>
      </c>
      <c r="R3786" t="s">
        <v>2368</v>
      </c>
      <c r="S3786" t="s">
        <v>2451</v>
      </c>
      <c r="T3786" t="s">
        <v>2165</v>
      </c>
      <c r="U3786">
        <v>246200</v>
      </c>
      <c r="V3786" t="s">
        <v>14485</v>
      </c>
      <c r="W3786" t="s">
        <v>2533</v>
      </c>
      <c r="X3786" t="s">
        <v>20422</v>
      </c>
      <c r="Y3786" t="s">
        <v>5253</v>
      </c>
      <c r="AA3786" t="s">
        <v>5254</v>
      </c>
      <c r="AB3786" t="s">
        <v>20423</v>
      </c>
      <c r="AE3786">
        <v>-41.198952439999999</v>
      </c>
      <c r="AF3786">
        <v>174.95581397000001</v>
      </c>
      <c r="AG3786" s="175">
        <v>30</v>
      </c>
      <c r="AH3786" s="175">
        <v>15</v>
      </c>
      <c r="AI3786" s="175">
        <v>3</v>
      </c>
      <c r="AJ3786" s="175">
        <v>10</v>
      </c>
      <c r="AK3786" s="175">
        <v>7</v>
      </c>
      <c r="AL3786" s="175">
        <v>4</v>
      </c>
      <c r="AM3786" s="175">
        <v>2</v>
      </c>
      <c r="AN3786" s="175">
        <v>0</v>
      </c>
      <c r="AO3786" s="175">
        <v>26</v>
      </c>
      <c r="AP3786" s="175">
        <v>21</v>
      </c>
      <c r="AQ3786" s="175">
        <v>5</v>
      </c>
      <c r="AR3786" s="175">
        <v>0</v>
      </c>
      <c r="AS3786" s="175">
        <v>4</v>
      </c>
      <c r="AT3786" s="175">
        <v>3</v>
      </c>
    </row>
    <row r="3787" spans="1:46">
      <c r="A3787">
        <v>60020</v>
      </c>
      <c r="B3787" t="s">
        <v>20762</v>
      </c>
      <c r="C3787" t="s">
        <v>20763</v>
      </c>
      <c r="D3787" t="s">
        <v>20764</v>
      </c>
      <c r="E3787" t="s">
        <v>20765</v>
      </c>
      <c r="F3787" t="s">
        <v>20766</v>
      </c>
      <c r="G3787" t="s">
        <v>2505</v>
      </c>
      <c r="H3787" t="s">
        <v>301</v>
      </c>
      <c r="J3787" t="s">
        <v>605</v>
      </c>
      <c r="K3787" t="s">
        <v>606</v>
      </c>
      <c r="M3787" t="s">
        <v>2366</v>
      </c>
      <c r="N3787" t="s">
        <v>657</v>
      </c>
      <c r="O3787" t="s">
        <v>2506</v>
      </c>
      <c r="P3787" t="s">
        <v>739</v>
      </c>
      <c r="Q3787" t="s">
        <v>516</v>
      </c>
      <c r="R3787" t="s">
        <v>2368</v>
      </c>
      <c r="S3787" t="s">
        <v>2507</v>
      </c>
      <c r="T3787" t="s">
        <v>2165</v>
      </c>
      <c r="U3787">
        <v>243500</v>
      </c>
      <c r="V3787" t="s">
        <v>20766</v>
      </c>
      <c r="W3787" t="s">
        <v>2539</v>
      </c>
      <c r="X3787" t="s">
        <v>20422</v>
      </c>
      <c r="Y3787" t="s">
        <v>5253</v>
      </c>
      <c r="AA3787" t="s">
        <v>5254</v>
      </c>
      <c r="AB3787" t="s">
        <v>20423</v>
      </c>
      <c r="AE3787">
        <v>-41.200161360000003</v>
      </c>
      <c r="AF3787">
        <v>174.89149982000001</v>
      </c>
      <c r="AG3787" s="175">
        <v>30</v>
      </c>
      <c r="AH3787" s="175">
        <v>15</v>
      </c>
      <c r="AI3787" s="175">
        <v>1</v>
      </c>
      <c r="AJ3787" s="175">
        <v>4</v>
      </c>
      <c r="AK3787" s="175">
        <v>1</v>
      </c>
      <c r="AL3787" s="175">
        <v>3</v>
      </c>
      <c r="AM3787" s="175">
        <v>3</v>
      </c>
      <c r="AN3787" s="175">
        <v>0</v>
      </c>
      <c r="AO3787" s="175">
        <v>12</v>
      </c>
      <c r="AP3787" s="175">
        <v>12</v>
      </c>
      <c r="AQ3787" s="175">
        <v>0</v>
      </c>
      <c r="AR3787" s="175">
        <v>0</v>
      </c>
      <c r="AS3787" s="175">
        <v>0</v>
      </c>
      <c r="AT3787" s="175">
        <v>0</v>
      </c>
    </row>
    <row r="3788" spans="1:46">
      <c r="A3788">
        <v>60021</v>
      </c>
      <c r="B3788" t="s">
        <v>20767</v>
      </c>
      <c r="C3788" t="s">
        <v>20768</v>
      </c>
      <c r="D3788" t="s">
        <v>20769</v>
      </c>
      <c r="E3788" t="s">
        <v>20770</v>
      </c>
      <c r="F3788" t="s">
        <v>20771</v>
      </c>
      <c r="G3788" t="s">
        <v>2449</v>
      </c>
      <c r="H3788" t="s">
        <v>301</v>
      </c>
      <c r="J3788" t="s">
        <v>605</v>
      </c>
      <c r="K3788" t="s">
        <v>606</v>
      </c>
      <c r="M3788" t="s">
        <v>2366</v>
      </c>
      <c r="N3788" t="s">
        <v>657</v>
      </c>
      <c r="O3788" t="s">
        <v>2450</v>
      </c>
      <c r="P3788" t="s">
        <v>670</v>
      </c>
      <c r="Q3788" t="s">
        <v>516</v>
      </c>
      <c r="R3788" t="s">
        <v>2368</v>
      </c>
      <c r="S3788" t="s">
        <v>2451</v>
      </c>
      <c r="T3788" t="s">
        <v>2165</v>
      </c>
      <c r="U3788">
        <v>242800</v>
      </c>
      <c r="V3788" t="s">
        <v>20771</v>
      </c>
      <c r="W3788" t="s">
        <v>1734</v>
      </c>
      <c r="X3788" t="s">
        <v>20422</v>
      </c>
      <c r="Y3788" t="s">
        <v>5253</v>
      </c>
      <c r="AA3788" t="s">
        <v>5254</v>
      </c>
      <c r="AB3788" t="s">
        <v>20423</v>
      </c>
      <c r="AE3788">
        <v>-41.160539980000003</v>
      </c>
      <c r="AF3788">
        <v>175.01574471000001</v>
      </c>
      <c r="AG3788" s="175">
        <v>28</v>
      </c>
      <c r="AH3788" s="175">
        <v>15</v>
      </c>
      <c r="AI3788" s="175">
        <v>4</v>
      </c>
      <c r="AJ3788" s="175">
        <v>15</v>
      </c>
      <c r="AK3788" s="175">
        <v>15</v>
      </c>
      <c r="AL3788" s="175">
        <v>14</v>
      </c>
      <c r="AM3788" s="175">
        <v>5</v>
      </c>
      <c r="AN3788" s="175">
        <v>0</v>
      </c>
      <c r="AO3788" s="175">
        <v>53</v>
      </c>
      <c r="AP3788" s="175">
        <v>43</v>
      </c>
      <c r="AQ3788" s="175">
        <v>7</v>
      </c>
      <c r="AR3788" s="175">
        <v>6</v>
      </c>
      <c r="AS3788" s="175">
        <v>8</v>
      </c>
      <c r="AT3788" s="175">
        <v>6</v>
      </c>
    </row>
    <row r="3789" spans="1:46">
      <c r="A3789">
        <v>60022</v>
      </c>
      <c r="B3789" t="s">
        <v>20772</v>
      </c>
      <c r="D3789" t="s">
        <v>20773</v>
      </c>
      <c r="E3789" t="s">
        <v>20774</v>
      </c>
      <c r="F3789" t="s">
        <v>20775</v>
      </c>
      <c r="G3789" t="s">
        <v>2505</v>
      </c>
      <c r="H3789" t="s">
        <v>301</v>
      </c>
      <c r="J3789" t="s">
        <v>605</v>
      </c>
      <c r="K3789" t="s">
        <v>606</v>
      </c>
      <c r="M3789" t="s">
        <v>2366</v>
      </c>
      <c r="N3789" t="s">
        <v>657</v>
      </c>
      <c r="O3789" t="s">
        <v>2506</v>
      </c>
      <c r="P3789" t="s">
        <v>739</v>
      </c>
      <c r="Q3789" t="s">
        <v>516</v>
      </c>
      <c r="R3789" t="s">
        <v>2368</v>
      </c>
      <c r="S3789" t="s">
        <v>2507</v>
      </c>
      <c r="T3789" t="s">
        <v>2526</v>
      </c>
      <c r="U3789">
        <v>246700</v>
      </c>
      <c r="V3789" t="s">
        <v>20749</v>
      </c>
      <c r="W3789" t="s">
        <v>2569</v>
      </c>
      <c r="X3789" t="s">
        <v>20422</v>
      </c>
      <c r="Y3789" t="s">
        <v>5253</v>
      </c>
      <c r="AA3789" t="s">
        <v>5254</v>
      </c>
      <c r="AB3789" t="s">
        <v>20423</v>
      </c>
      <c r="AE3789">
        <v>-41.25170876</v>
      </c>
      <c r="AF3789">
        <v>174.91099733999999</v>
      </c>
      <c r="AG3789" s="175">
        <v>20</v>
      </c>
      <c r="AH3789" s="175">
        <v>15</v>
      </c>
      <c r="AI3789" s="175">
        <v>1</v>
      </c>
      <c r="AJ3789" s="175">
        <v>2</v>
      </c>
      <c r="AK3789" s="175">
        <v>2</v>
      </c>
      <c r="AL3789" s="175">
        <v>1</v>
      </c>
      <c r="AM3789" s="175">
        <v>3</v>
      </c>
      <c r="AN3789" s="175">
        <v>1</v>
      </c>
      <c r="AO3789" s="175">
        <v>10</v>
      </c>
      <c r="AP3789" s="175">
        <v>10</v>
      </c>
      <c r="AQ3789" s="175">
        <v>2</v>
      </c>
      <c r="AR3789" s="175">
        <v>0</v>
      </c>
      <c r="AS3789" s="175">
        <v>0</v>
      </c>
      <c r="AT3789" s="175">
        <v>2</v>
      </c>
    </row>
    <row r="3790" spans="1:46">
      <c r="A3790">
        <v>60023</v>
      </c>
      <c r="B3790" t="s">
        <v>20776</v>
      </c>
      <c r="C3790" t="s">
        <v>20777</v>
      </c>
      <c r="D3790" t="s">
        <v>20778</v>
      </c>
      <c r="E3790" t="s">
        <v>20779</v>
      </c>
      <c r="F3790" t="s">
        <v>2544</v>
      </c>
      <c r="G3790" t="s">
        <v>2505</v>
      </c>
      <c r="H3790" t="s">
        <v>301</v>
      </c>
      <c r="J3790" t="s">
        <v>605</v>
      </c>
      <c r="K3790" t="s">
        <v>606</v>
      </c>
      <c r="M3790" t="s">
        <v>2366</v>
      </c>
      <c r="N3790" t="s">
        <v>657</v>
      </c>
      <c r="O3790" t="s">
        <v>2506</v>
      </c>
      <c r="P3790" t="s">
        <v>739</v>
      </c>
      <c r="Q3790" t="s">
        <v>516</v>
      </c>
      <c r="R3790" t="s">
        <v>2368</v>
      </c>
      <c r="S3790" t="s">
        <v>2451</v>
      </c>
      <c r="T3790" t="s">
        <v>2165</v>
      </c>
      <c r="U3790">
        <v>244900</v>
      </c>
      <c r="V3790" t="s">
        <v>20780</v>
      </c>
      <c r="W3790" t="s">
        <v>2546</v>
      </c>
      <c r="X3790" t="s">
        <v>20422</v>
      </c>
      <c r="Y3790" t="s">
        <v>5253</v>
      </c>
      <c r="AA3790" t="s">
        <v>5254</v>
      </c>
      <c r="AB3790" t="s">
        <v>20423</v>
      </c>
      <c r="AC3790">
        <v>99111</v>
      </c>
      <c r="AD3790" t="s">
        <v>2547</v>
      </c>
      <c r="AE3790">
        <v>-41.171326350000001</v>
      </c>
      <c r="AF3790">
        <v>174.98390671000001</v>
      </c>
      <c r="AG3790" s="175">
        <v>30</v>
      </c>
      <c r="AH3790" s="175">
        <v>20</v>
      </c>
      <c r="AI3790" s="175">
        <v>7</v>
      </c>
      <c r="AJ3790" s="175">
        <v>7</v>
      </c>
      <c r="AK3790" s="175">
        <v>10</v>
      </c>
      <c r="AL3790" s="175">
        <v>1</v>
      </c>
      <c r="AM3790" s="175">
        <v>1</v>
      </c>
      <c r="AN3790" s="175">
        <v>0</v>
      </c>
      <c r="AO3790" s="175">
        <v>26</v>
      </c>
      <c r="AP3790" s="175">
        <v>22</v>
      </c>
      <c r="AQ3790" s="175">
        <v>6</v>
      </c>
      <c r="AR3790" s="175">
        <v>2</v>
      </c>
      <c r="AS3790" s="175">
        <v>4</v>
      </c>
      <c r="AT3790" s="175">
        <v>1</v>
      </c>
    </row>
    <row r="3791" spans="1:46">
      <c r="A3791">
        <v>60024</v>
      </c>
      <c r="B3791" t="s">
        <v>20781</v>
      </c>
      <c r="C3791" t="s">
        <v>20782</v>
      </c>
      <c r="D3791" t="s">
        <v>20783</v>
      </c>
      <c r="E3791" t="s">
        <v>20784</v>
      </c>
      <c r="F3791" t="s">
        <v>20785</v>
      </c>
      <c r="G3791" t="s">
        <v>2449</v>
      </c>
      <c r="H3791" t="s">
        <v>301</v>
      </c>
      <c r="J3791" t="s">
        <v>605</v>
      </c>
      <c r="K3791" t="s">
        <v>606</v>
      </c>
      <c r="M3791" t="s">
        <v>2366</v>
      </c>
      <c r="N3791" t="s">
        <v>657</v>
      </c>
      <c r="O3791" t="s">
        <v>2450</v>
      </c>
      <c r="P3791" t="s">
        <v>670</v>
      </c>
      <c r="Q3791" t="s">
        <v>516</v>
      </c>
      <c r="R3791" t="s">
        <v>2368</v>
      </c>
      <c r="S3791" t="s">
        <v>2451</v>
      </c>
      <c r="T3791" t="s">
        <v>2165</v>
      </c>
      <c r="U3791">
        <v>241500</v>
      </c>
      <c r="V3791" t="s">
        <v>2452</v>
      </c>
      <c r="W3791" t="s">
        <v>1734</v>
      </c>
      <c r="X3791" t="s">
        <v>20422</v>
      </c>
      <c r="Y3791" t="s">
        <v>5253</v>
      </c>
      <c r="AA3791" t="s">
        <v>5254</v>
      </c>
      <c r="AB3791" t="s">
        <v>20423</v>
      </c>
      <c r="AE3791">
        <v>-41.096335000000003</v>
      </c>
      <c r="AF3791">
        <v>175.10952380000001</v>
      </c>
      <c r="AG3791" s="175">
        <v>25</v>
      </c>
      <c r="AH3791" s="175">
        <v>15</v>
      </c>
      <c r="AI3791" s="175">
        <v>24</v>
      </c>
      <c r="AJ3791" s="175">
        <v>6</v>
      </c>
      <c r="AK3791" s="175">
        <v>9</v>
      </c>
      <c r="AL3791" s="175">
        <v>5</v>
      </c>
      <c r="AM3791" s="175">
        <v>1</v>
      </c>
      <c r="AN3791" s="175">
        <v>0</v>
      </c>
      <c r="AO3791" s="175">
        <v>45</v>
      </c>
      <c r="AP3791" s="175">
        <v>44</v>
      </c>
      <c r="AQ3791" s="175">
        <v>4</v>
      </c>
      <c r="AR3791" s="175">
        <v>1</v>
      </c>
      <c r="AS3791" s="175">
        <v>3</v>
      </c>
      <c r="AT3791" s="175">
        <v>0</v>
      </c>
    </row>
    <row r="3792" spans="1:46">
      <c r="A3792">
        <v>60025</v>
      </c>
      <c r="B3792" t="s">
        <v>20786</v>
      </c>
      <c r="C3792" t="s">
        <v>20787</v>
      </c>
      <c r="D3792" t="s">
        <v>20788</v>
      </c>
      <c r="E3792" t="s">
        <v>20789</v>
      </c>
      <c r="F3792" t="s">
        <v>2448</v>
      </c>
      <c r="G3792" t="s">
        <v>2449</v>
      </c>
      <c r="H3792" t="s">
        <v>301</v>
      </c>
      <c r="J3792" t="s">
        <v>605</v>
      </c>
      <c r="K3792" t="s">
        <v>606</v>
      </c>
      <c r="M3792" t="s">
        <v>2366</v>
      </c>
      <c r="N3792" t="s">
        <v>657</v>
      </c>
      <c r="O3792" t="s">
        <v>2450</v>
      </c>
      <c r="P3792" t="s">
        <v>670</v>
      </c>
      <c r="Q3792" t="s">
        <v>516</v>
      </c>
      <c r="R3792" t="s">
        <v>2368</v>
      </c>
      <c r="S3792" t="s">
        <v>2451</v>
      </c>
      <c r="T3792" t="s">
        <v>2165</v>
      </c>
      <c r="U3792">
        <v>242100</v>
      </c>
      <c r="V3792" t="s">
        <v>2489</v>
      </c>
      <c r="W3792" t="s">
        <v>1734</v>
      </c>
      <c r="X3792" t="s">
        <v>20422</v>
      </c>
      <c r="Y3792" t="s">
        <v>5253</v>
      </c>
      <c r="AA3792" t="s">
        <v>5254</v>
      </c>
      <c r="AB3792" t="s">
        <v>20423</v>
      </c>
      <c r="AE3792">
        <v>-41.106032999999996</v>
      </c>
      <c r="AF3792">
        <v>175.08886649999999</v>
      </c>
      <c r="AG3792" s="175">
        <v>30</v>
      </c>
      <c r="AH3792" s="175">
        <v>15</v>
      </c>
      <c r="AI3792" s="175">
        <v>3</v>
      </c>
      <c r="AJ3792" s="175">
        <v>8</v>
      </c>
      <c r="AK3792" s="175">
        <v>6</v>
      </c>
      <c r="AL3792" s="175">
        <v>7</v>
      </c>
      <c r="AM3792" s="175">
        <v>3</v>
      </c>
      <c r="AN3792" s="175">
        <v>1</v>
      </c>
      <c r="AO3792" s="175">
        <v>28</v>
      </c>
      <c r="AP3792" s="175">
        <v>27</v>
      </c>
      <c r="AQ3792" s="175">
        <v>9</v>
      </c>
      <c r="AR3792" s="175">
        <v>0</v>
      </c>
      <c r="AS3792" s="175">
        <v>0</v>
      </c>
      <c r="AT3792" s="175">
        <v>0</v>
      </c>
    </row>
    <row r="3793" spans="1:46">
      <c r="A3793">
        <v>60026</v>
      </c>
      <c r="B3793" t="s">
        <v>20790</v>
      </c>
      <c r="C3793" t="s">
        <v>20791</v>
      </c>
      <c r="D3793" t="s">
        <v>20792</v>
      </c>
      <c r="E3793" t="s">
        <v>20793</v>
      </c>
      <c r="F3793" t="s">
        <v>2504</v>
      </c>
      <c r="G3793" t="s">
        <v>2505</v>
      </c>
      <c r="H3793" t="s">
        <v>301</v>
      </c>
      <c r="J3793" t="s">
        <v>605</v>
      </c>
      <c r="K3793" t="s">
        <v>606</v>
      </c>
      <c r="M3793" t="s">
        <v>2366</v>
      </c>
      <c r="N3793" t="s">
        <v>625</v>
      </c>
      <c r="O3793" t="s">
        <v>2506</v>
      </c>
      <c r="P3793" t="s">
        <v>739</v>
      </c>
      <c r="Q3793" t="s">
        <v>516</v>
      </c>
      <c r="R3793" t="s">
        <v>2368</v>
      </c>
      <c r="S3793" t="s">
        <v>2507</v>
      </c>
      <c r="T3793" t="s">
        <v>2165</v>
      </c>
      <c r="U3793">
        <v>247100</v>
      </c>
      <c r="V3793" t="s">
        <v>13399</v>
      </c>
      <c r="W3793" t="s">
        <v>2509</v>
      </c>
      <c r="X3793" t="s">
        <v>20422</v>
      </c>
      <c r="Y3793" t="s">
        <v>5253</v>
      </c>
      <c r="AA3793" t="s">
        <v>5254</v>
      </c>
      <c r="AB3793" t="s">
        <v>20423</v>
      </c>
      <c r="AC3793">
        <v>99090</v>
      </c>
      <c r="AD3793" t="s">
        <v>2514</v>
      </c>
      <c r="AE3793">
        <v>-41.264264939999997</v>
      </c>
      <c r="AF3793">
        <v>174.93900834999999</v>
      </c>
      <c r="AG3793" s="175">
        <v>30</v>
      </c>
      <c r="AH3793" s="175">
        <v>15</v>
      </c>
      <c r="AI3793" s="175">
        <v>1</v>
      </c>
      <c r="AJ3793" s="175">
        <v>5</v>
      </c>
      <c r="AK3793" s="175">
        <v>1</v>
      </c>
      <c r="AL3793" s="175">
        <v>3</v>
      </c>
      <c r="AM3793" s="175">
        <v>0</v>
      </c>
      <c r="AN3793" s="175">
        <v>0</v>
      </c>
      <c r="AO3793" s="175">
        <v>10</v>
      </c>
      <c r="AP3793" s="175">
        <v>4</v>
      </c>
      <c r="AQ3793" s="175">
        <v>5</v>
      </c>
      <c r="AR3793" s="175">
        <v>1</v>
      </c>
      <c r="AS3793" s="175">
        <v>3</v>
      </c>
      <c r="AT3793" s="175">
        <v>1</v>
      </c>
    </row>
    <row r="3794" spans="1:46">
      <c r="A3794">
        <v>60027</v>
      </c>
      <c r="B3794" t="s">
        <v>20794</v>
      </c>
      <c r="C3794" t="s">
        <v>20795</v>
      </c>
      <c r="D3794" t="s">
        <v>20796</v>
      </c>
      <c r="E3794" t="s">
        <v>20797</v>
      </c>
      <c r="F3794" t="s">
        <v>2448</v>
      </c>
      <c r="G3794" t="s">
        <v>2449</v>
      </c>
      <c r="H3794" t="s">
        <v>301</v>
      </c>
      <c r="J3794" t="s">
        <v>605</v>
      </c>
      <c r="K3794" t="s">
        <v>606</v>
      </c>
      <c r="M3794" t="s">
        <v>2366</v>
      </c>
      <c r="N3794" t="s">
        <v>657</v>
      </c>
      <c r="O3794" t="s">
        <v>2450</v>
      </c>
      <c r="P3794" t="s">
        <v>670</v>
      </c>
      <c r="Q3794" t="s">
        <v>516</v>
      </c>
      <c r="R3794" t="s">
        <v>2368</v>
      </c>
      <c r="S3794" t="s">
        <v>2451</v>
      </c>
      <c r="T3794" t="s">
        <v>2165</v>
      </c>
      <c r="U3794">
        <v>242000</v>
      </c>
      <c r="V3794" t="s">
        <v>2495</v>
      </c>
      <c r="W3794" t="s">
        <v>1734</v>
      </c>
      <c r="X3794" t="s">
        <v>20422</v>
      </c>
      <c r="Y3794" t="s">
        <v>5253</v>
      </c>
      <c r="AA3794" t="s">
        <v>5254</v>
      </c>
      <c r="AB3794" t="s">
        <v>20423</v>
      </c>
      <c r="AE3794">
        <v>-41.130554629999999</v>
      </c>
      <c r="AF3794">
        <v>175.05663627000001</v>
      </c>
      <c r="AG3794" s="175">
        <v>30</v>
      </c>
      <c r="AH3794" s="175">
        <v>20</v>
      </c>
      <c r="AI3794" s="175">
        <v>16</v>
      </c>
      <c r="AJ3794" s="175">
        <v>6</v>
      </c>
      <c r="AK3794" s="175">
        <v>3</v>
      </c>
      <c r="AL3794" s="175">
        <v>3</v>
      </c>
      <c r="AM3794" s="175">
        <v>0</v>
      </c>
      <c r="AN3794" s="175">
        <v>0</v>
      </c>
      <c r="AO3794" s="175">
        <v>28</v>
      </c>
      <c r="AP3794" s="175">
        <v>26</v>
      </c>
      <c r="AQ3794" s="175">
        <v>6</v>
      </c>
      <c r="AR3794" s="175">
        <v>2</v>
      </c>
      <c r="AS3794" s="175">
        <v>5</v>
      </c>
      <c r="AT3794" s="175">
        <v>0</v>
      </c>
    </row>
    <row r="3795" spans="1:46">
      <c r="A3795">
        <v>60029</v>
      </c>
      <c r="B3795" t="s">
        <v>20798</v>
      </c>
      <c r="C3795" t="s">
        <v>20799</v>
      </c>
      <c r="D3795" t="s">
        <v>20800</v>
      </c>
      <c r="E3795" t="s">
        <v>20801</v>
      </c>
      <c r="F3795" t="s">
        <v>2504</v>
      </c>
      <c r="G3795" t="s">
        <v>2505</v>
      </c>
      <c r="H3795" t="s">
        <v>301</v>
      </c>
      <c r="J3795" t="s">
        <v>605</v>
      </c>
      <c r="K3795" t="s">
        <v>606</v>
      </c>
      <c r="M3795" t="s">
        <v>2366</v>
      </c>
      <c r="N3795" t="s">
        <v>643</v>
      </c>
      <c r="O3795" t="s">
        <v>2506</v>
      </c>
      <c r="P3795" t="s">
        <v>739</v>
      </c>
      <c r="Q3795" t="s">
        <v>516</v>
      </c>
      <c r="R3795" t="s">
        <v>2368</v>
      </c>
      <c r="S3795" t="s">
        <v>2507</v>
      </c>
      <c r="T3795" t="s">
        <v>2165</v>
      </c>
      <c r="U3795">
        <v>247400</v>
      </c>
      <c r="V3795" t="s">
        <v>20802</v>
      </c>
      <c r="W3795" t="s">
        <v>2509</v>
      </c>
      <c r="X3795" t="s">
        <v>20422</v>
      </c>
      <c r="Y3795" t="s">
        <v>5253</v>
      </c>
      <c r="AA3795" t="s">
        <v>5254</v>
      </c>
      <c r="AB3795" t="s">
        <v>20423</v>
      </c>
      <c r="AC3795">
        <v>99090</v>
      </c>
      <c r="AD3795" t="s">
        <v>2514</v>
      </c>
      <c r="AE3795">
        <v>-41.28069077</v>
      </c>
      <c r="AF3795">
        <v>174.94877092999999</v>
      </c>
      <c r="AG3795" s="175">
        <v>26</v>
      </c>
      <c r="AH3795" s="175">
        <v>15</v>
      </c>
      <c r="AI3795" s="175">
        <v>9</v>
      </c>
      <c r="AJ3795" s="175">
        <v>3</v>
      </c>
      <c r="AK3795" s="175">
        <v>5</v>
      </c>
      <c r="AL3795" s="175">
        <v>3</v>
      </c>
      <c r="AM3795" s="175">
        <v>5</v>
      </c>
      <c r="AN3795" s="175">
        <v>1</v>
      </c>
      <c r="AO3795" s="175">
        <v>26</v>
      </c>
      <c r="AP3795" s="175">
        <v>26</v>
      </c>
      <c r="AQ3795" s="175">
        <v>3</v>
      </c>
      <c r="AR3795" s="175">
        <v>6</v>
      </c>
      <c r="AS3795" s="175">
        <v>3</v>
      </c>
      <c r="AT3795" s="175">
        <v>0</v>
      </c>
    </row>
    <row r="3796" spans="1:46">
      <c r="A3796">
        <v>60031</v>
      </c>
      <c r="B3796" t="s">
        <v>20803</v>
      </c>
      <c r="C3796" t="s">
        <v>20804</v>
      </c>
      <c r="D3796" t="s">
        <v>20805</v>
      </c>
      <c r="E3796" t="s">
        <v>20806</v>
      </c>
      <c r="F3796" t="s">
        <v>2630</v>
      </c>
      <c r="G3796" t="s">
        <v>2368</v>
      </c>
      <c r="H3796" t="s">
        <v>301</v>
      </c>
      <c r="J3796" t="s">
        <v>605</v>
      </c>
      <c r="K3796" t="s">
        <v>606</v>
      </c>
      <c r="M3796" t="s">
        <v>2366</v>
      </c>
      <c r="N3796" t="s">
        <v>657</v>
      </c>
      <c r="O3796" t="s">
        <v>2614</v>
      </c>
      <c r="P3796" t="s">
        <v>739</v>
      </c>
      <c r="Q3796" t="s">
        <v>516</v>
      </c>
      <c r="R3796" t="s">
        <v>2368</v>
      </c>
      <c r="S3796" t="s">
        <v>2631</v>
      </c>
      <c r="T3796" t="s">
        <v>2526</v>
      </c>
      <c r="U3796">
        <v>251900</v>
      </c>
      <c r="V3796" t="s">
        <v>12844</v>
      </c>
      <c r="W3796" t="s">
        <v>2616</v>
      </c>
      <c r="X3796" t="s">
        <v>20422</v>
      </c>
      <c r="Y3796" t="s">
        <v>5253</v>
      </c>
      <c r="AA3796" t="s">
        <v>5254</v>
      </c>
      <c r="AB3796" t="s">
        <v>20423</v>
      </c>
      <c r="AE3796">
        <v>-41.305997390000002</v>
      </c>
      <c r="AF3796">
        <v>174.76500408999999</v>
      </c>
      <c r="AG3796" s="175">
        <v>24</v>
      </c>
      <c r="AH3796" s="175">
        <v>18</v>
      </c>
      <c r="AI3796" s="175">
        <v>24</v>
      </c>
      <c r="AJ3796" s="175">
        <v>6</v>
      </c>
      <c r="AK3796" s="175">
        <v>8</v>
      </c>
      <c r="AL3796" s="175">
        <v>6</v>
      </c>
      <c r="AM3796" s="175">
        <v>7</v>
      </c>
      <c r="AN3796" s="175">
        <v>0</v>
      </c>
      <c r="AO3796" s="175">
        <v>51</v>
      </c>
      <c r="AP3796" s="175">
        <v>50</v>
      </c>
      <c r="AQ3796" s="175">
        <v>1</v>
      </c>
      <c r="AR3796" s="175">
        <v>0</v>
      </c>
      <c r="AS3796" s="175">
        <v>4</v>
      </c>
      <c r="AT3796" s="175">
        <v>2</v>
      </c>
    </row>
    <row r="3797" spans="1:46">
      <c r="A3797">
        <v>60032</v>
      </c>
      <c r="B3797" t="s">
        <v>20807</v>
      </c>
      <c r="C3797" t="s">
        <v>20808</v>
      </c>
      <c r="D3797" t="s">
        <v>20809</v>
      </c>
      <c r="E3797" t="s">
        <v>20810</v>
      </c>
      <c r="F3797" t="s">
        <v>2667</v>
      </c>
      <c r="G3797" t="s">
        <v>2368</v>
      </c>
      <c r="H3797" t="s">
        <v>301</v>
      </c>
      <c r="J3797" t="s">
        <v>605</v>
      </c>
      <c r="K3797" t="s">
        <v>606</v>
      </c>
      <c r="M3797" t="s">
        <v>2366</v>
      </c>
      <c r="N3797" t="s">
        <v>657</v>
      </c>
      <c r="O3797" t="s">
        <v>2614</v>
      </c>
      <c r="P3797" t="s">
        <v>739</v>
      </c>
      <c r="Q3797" t="s">
        <v>516</v>
      </c>
      <c r="R3797" t="s">
        <v>2368</v>
      </c>
      <c r="S3797" t="s">
        <v>2615</v>
      </c>
      <c r="T3797" t="s">
        <v>2526</v>
      </c>
      <c r="U3797">
        <v>253400</v>
      </c>
      <c r="V3797" t="s">
        <v>20811</v>
      </c>
      <c r="W3797" t="s">
        <v>2669</v>
      </c>
      <c r="X3797" t="s">
        <v>20422</v>
      </c>
      <c r="Y3797" t="s">
        <v>5253</v>
      </c>
      <c r="AA3797" t="s">
        <v>5254</v>
      </c>
      <c r="AB3797" t="s">
        <v>20423</v>
      </c>
      <c r="AC3797">
        <v>99141</v>
      </c>
      <c r="AD3797" t="s">
        <v>2670</v>
      </c>
      <c r="AE3797">
        <v>-41.308393240000001</v>
      </c>
      <c r="AF3797">
        <v>174.79392597</v>
      </c>
      <c r="AG3797" s="175">
        <v>30</v>
      </c>
      <c r="AH3797" s="175">
        <v>18</v>
      </c>
      <c r="AI3797" s="175">
        <v>22</v>
      </c>
      <c r="AJ3797" s="175">
        <v>2</v>
      </c>
      <c r="AK3797" s="175">
        <v>2</v>
      </c>
      <c r="AL3797" s="175">
        <v>2</v>
      </c>
      <c r="AM3797" s="175">
        <v>3</v>
      </c>
      <c r="AN3797" s="175">
        <v>1</v>
      </c>
      <c r="AO3797" s="175">
        <v>32</v>
      </c>
      <c r="AP3797" s="175">
        <v>30</v>
      </c>
      <c r="AQ3797" s="175">
        <v>1</v>
      </c>
      <c r="AR3797" s="175">
        <v>2</v>
      </c>
      <c r="AS3797" s="175">
        <v>5</v>
      </c>
      <c r="AT3797" s="175">
        <v>1</v>
      </c>
    </row>
    <row r="3798" spans="1:46">
      <c r="A3798">
        <v>60034</v>
      </c>
      <c r="B3798" t="s">
        <v>20812</v>
      </c>
      <c r="C3798" t="s">
        <v>20813</v>
      </c>
      <c r="D3798" t="s">
        <v>20814</v>
      </c>
      <c r="E3798" t="s">
        <v>20815</v>
      </c>
      <c r="F3798" t="s">
        <v>12456</v>
      </c>
      <c r="G3798" t="s">
        <v>2368</v>
      </c>
      <c r="H3798" t="s">
        <v>301</v>
      </c>
      <c r="J3798" t="s">
        <v>605</v>
      </c>
      <c r="K3798" t="s">
        <v>606</v>
      </c>
      <c r="M3798" t="s">
        <v>2366</v>
      </c>
      <c r="N3798" t="s">
        <v>657</v>
      </c>
      <c r="O3798" t="s">
        <v>2614</v>
      </c>
      <c r="P3798" t="s">
        <v>739</v>
      </c>
      <c r="Q3798" t="s">
        <v>516</v>
      </c>
      <c r="R3798" t="s">
        <v>2368</v>
      </c>
      <c r="S3798" t="s">
        <v>2615</v>
      </c>
      <c r="T3798" t="s">
        <v>2526</v>
      </c>
      <c r="U3798">
        <v>253800</v>
      </c>
      <c r="V3798" t="s">
        <v>12457</v>
      </c>
      <c r="W3798" t="s">
        <v>2616</v>
      </c>
      <c r="X3798" t="s">
        <v>20422</v>
      </c>
      <c r="Y3798" t="s">
        <v>5253</v>
      </c>
      <c r="AA3798" t="s">
        <v>5254</v>
      </c>
      <c r="AB3798" t="s">
        <v>20423</v>
      </c>
      <c r="AE3798">
        <v>-41.335730120000001</v>
      </c>
      <c r="AF3798">
        <v>174.77285612</v>
      </c>
      <c r="AG3798" s="175">
        <v>29</v>
      </c>
      <c r="AH3798" s="175">
        <v>18</v>
      </c>
      <c r="AI3798" s="175">
        <v>4</v>
      </c>
      <c r="AJ3798" s="175">
        <v>9</v>
      </c>
      <c r="AK3798" s="175">
        <v>10</v>
      </c>
      <c r="AL3798" s="175">
        <v>8</v>
      </c>
      <c r="AM3798" s="175">
        <v>3</v>
      </c>
      <c r="AN3798" s="175">
        <v>2</v>
      </c>
      <c r="AO3798" s="175">
        <v>36</v>
      </c>
      <c r="AP3798" s="175">
        <v>34</v>
      </c>
      <c r="AQ3798" s="175">
        <v>3</v>
      </c>
      <c r="AR3798" s="175">
        <v>0</v>
      </c>
      <c r="AS3798" s="175">
        <v>5</v>
      </c>
      <c r="AT3798" s="175">
        <v>4</v>
      </c>
    </row>
    <row r="3799" spans="1:46">
      <c r="A3799">
        <v>60035</v>
      </c>
      <c r="B3799" t="s">
        <v>20816</v>
      </c>
      <c r="C3799" t="s">
        <v>20817</v>
      </c>
      <c r="D3799" t="s">
        <v>20818</v>
      </c>
      <c r="E3799" t="s">
        <v>20819</v>
      </c>
      <c r="F3799" t="s">
        <v>2675</v>
      </c>
      <c r="G3799" t="s">
        <v>2368</v>
      </c>
      <c r="H3799" t="s">
        <v>301</v>
      </c>
      <c r="J3799" t="s">
        <v>605</v>
      </c>
      <c r="K3799" t="s">
        <v>606</v>
      </c>
      <c r="M3799" t="s">
        <v>2366</v>
      </c>
      <c r="N3799" t="s">
        <v>657</v>
      </c>
      <c r="O3799" t="s">
        <v>2614</v>
      </c>
      <c r="P3799" t="s">
        <v>739</v>
      </c>
      <c r="Q3799" t="s">
        <v>516</v>
      </c>
      <c r="R3799" t="s">
        <v>2368</v>
      </c>
      <c r="S3799" t="s">
        <v>2623</v>
      </c>
      <c r="T3799" t="s">
        <v>2526</v>
      </c>
      <c r="U3799">
        <v>248600</v>
      </c>
      <c r="V3799" t="s">
        <v>16950</v>
      </c>
      <c r="W3799" t="s">
        <v>2625</v>
      </c>
      <c r="X3799" t="s">
        <v>20422</v>
      </c>
      <c r="Y3799" t="s">
        <v>5253</v>
      </c>
      <c r="AA3799" t="s">
        <v>5254</v>
      </c>
      <c r="AB3799" t="s">
        <v>20423</v>
      </c>
      <c r="AE3799">
        <v>-41.219677490000002</v>
      </c>
      <c r="AF3799">
        <v>174.80412236000001</v>
      </c>
      <c r="AG3799" s="175">
        <v>30</v>
      </c>
      <c r="AH3799" s="175">
        <v>20</v>
      </c>
      <c r="AI3799" s="175">
        <v>24</v>
      </c>
      <c r="AJ3799" s="175">
        <v>10</v>
      </c>
      <c r="AK3799" s="175">
        <v>9</v>
      </c>
      <c r="AL3799" s="175">
        <v>6</v>
      </c>
      <c r="AM3799" s="175">
        <v>5</v>
      </c>
      <c r="AN3799" s="175">
        <v>1</v>
      </c>
      <c r="AO3799" s="175">
        <v>55</v>
      </c>
      <c r="AP3799" s="175">
        <v>50</v>
      </c>
      <c r="AQ3799" s="175">
        <v>6</v>
      </c>
      <c r="AR3799" s="175">
        <v>2</v>
      </c>
      <c r="AS3799" s="175">
        <v>9</v>
      </c>
      <c r="AT3799" s="175">
        <v>1</v>
      </c>
    </row>
    <row r="3800" spans="1:46">
      <c r="A3800">
        <v>60036</v>
      </c>
      <c r="B3800" t="s">
        <v>20820</v>
      </c>
      <c r="C3800" t="s">
        <v>20821</v>
      </c>
      <c r="D3800" t="s">
        <v>20822</v>
      </c>
      <c r="E3800" t="s">
        <v>20823</v>
      </c>
      <c r="F3800" t="s">
        <v>2637</v>
      </c>
      <c r="G3800" t="s">
        <v>2368</v>
      </c>
      <c r="H3800" t="s">
        <v>301</v>
      </c>
      <c r="J3800" t="s">
        <v>605</v>
      </c>
      <c r="K3800" t="s">
        <v>606</v>
      </c>
      <c r="M3800" t="s">
        <v>2366</v>
      </c>
      <c r="N3800" t="s">
        <v>657</v>
      </c>
      <c r="O3800" t="s">
        <v>2614</v>
      </c>
      <c r="P3800" t="s">
        <v>739</v>
      </c>
      <c r="Q3800" t="s">
        <v>516</v>
      </c>
      <c r="R3800" t="s">
        <v>2368</v>
      </c>
      <c r="S3800" t="s">
        <v>2631</v>
      </c>
      <c r="T3800" t="s">
        <v>2526</v>
      </c>
      <c r="U3800">
        <v>250401</v>
      </c>
      <c r="V3800" t="s">
        <v>20824</v>
      </c>
      <c r="W3800" t="s">
        <v>2639</v>
      </c>
      <c r="X3800" t="s">
        <v>20422</v>
      </c>
      <c r="Y3800" t="s">
        <v>5253</v>
      </c>
      <c r="AA3800" t="s">
        <v>5254</v>
      </c>
      <c r="AB3800" t="s">
        <v>20423</v>
      </c>
      <c r="AE3800">
        <v>-41.288300810000003</v>
      </c>
      <c r="AF3800">
        <v>174.74081758</v>
      </c>
      <c r="AG3800" s="175">
        <v>30</v>
      </c>
      <c r="AH3800" s="175">
        <v>18</v>
      </c>
      <c r="AI3800" s="175">
        <v>3</v>
      </c>
      <c r="AJ3800" s="175">
        <v>5</v>
      </c>
      <c r="AK3800" s="175">
        <v>6</v>
      </c>
      <c r="AL3800" s="175">
        <v>6</v>
      </c>
      <c r="AM3800" s="175">
        <v>9</v>
      </c>
      <c r="AN3800" s="175">
        <v>0</v>
      </c>
      <c r="AO3800" s="175">
        <v>29</v>
      </c>
      <c r="AP3800" s="175">
        <v>27</v>
      </c>
      <c r="AQ3800" s="175">
        <v>3</v>
      </c>
      <c r="AR3800" s="175">
        <v>0</v>
      </c>
      <c r="AS3800" s="175">
        <v>6</v>
      </c>
      <c r="AT3800" s="175">
        <v>0</v>
      </c>
    </row>
    <row r="3801" spans="1:46">
      <c r="A3801">
        <v>60037</v>
      </c>
      <c r="B3801" t="s">
        <v>20825</v>
      </c>
      <c r="C3801" t="s">
        <v>20826</v>
      </c>
      <c r="D3801" t="s">
        <v>20827</v>
      </c>
      <c r="E3801" t="s">
        <v>20828</v>
      </c>
      <c r="F3801" t="s">
        <v>14880</v>
      </c>
      <c r="G3801" t="s">
        <v>2368</v>
      </c>
      <c r="H3801" t="s">
        <v>301</v>
      </c>
      <c r="J3801" t="s">
        <v>605</v>
      </c>
      <c r="K3801" t="s">
        <v>606</v>
      </c>
      <c r="M3801" t="s">
        <v>2366</v>
      </c>
      <c r="N3801" t="s">
        <v>657</v>
      </c>
      <c r="O3801" t="s">
        <v>2614</v>
      </c>
      <c r="P3801" t="s">
        <v>739</v>
      </c>
      <c r="Q3801" t="s">
        <v>516</v>
      </c>
      <c r="R3801" t="s">
        <v>2368</v>
      </c>
      <c r="S3801" t="s">
        <v>2631</v>
      </c>
      <c r="T3801" t="s">
        <v>2526</v>
      </c>
      <c r="U3801">
        <v>251100</v>
      </c>
      <c r="V3801" t="s">
        <v>14880</v>
      </c>
      <c r="W3801" t="s">
        <v>2651</v>
      </c>
      <c r="X3801" t="s">
        <v>20422</v>
      </c>
      <c r="Y3801" t="s">
        <v>5253</v>
      </c>
      <c r="AA3801" t="s">
        <v>5254</v>
      </c>
      <c r="AB3801" t="s">
        <v>20423</v>
      </c>
      <c r="AE3801">
        <v>-41.287335380000002</v>
      </c>
      <c r="AF3801">
        <v>174.76225839</v>
      </c>
      <c r="AG3801" s="175">
        <v>30</v>
      </c>
      <c r="AH3801" s="175">
        <v>20</v>
      </c>
      <c r="AI3801" s="175">
        <v>28</v>
      </c>
      <c r="AJ3801" s="175">
        <v>8</v>
      </c>
      <c r="AK3801" s="175">
        <v>4</v>
      </c>
      <c r="AL3801" s="175">
        <v>9</v>
      </c>
      <c r="AM3801" s="175">
        <v>7</v>
      </c>
      <c r="AN3801" s="175">
        <v>1</v>
      </c>
      <c r="AO3801" s="175">
        <v>57</v>
      </c>
      <c r="AP3801" s="175">
        <v>52</v>
      </c>
      <c r="AQ3801" s="175">
        <v>6</v>
      </c>
      <c r="AR3801" s="175">
        <v>1</v>
      </c>
      <c r="AS3801" s="175">
        <v>3</v>
      </c>
      <c r="AT3801" s="175">
        <v>1</v>
      </c>
    </row>
    <row r="3802" spans="1:46">
      <c r="A3802">
        <v>60040</v>
      </c>
      <c r="B3802" t="s">
        <v>20829</v>
      </c>
      <c r="C3802" t="s">
        <v>20830</v>
      </c>
      <c r="D3802" t="s">
        <v>20831</v>
      </c>
      <c r="E3802" t="s">
        <v>20832</v>
      </c>
      <c r="F3802" t="s">
        <v>2715</v>
      </c>
      <c r="G3802" t="s">
        <v>2368</v>
      </c>
      <c r="H3802" t="s">
        <v>301</v>
      </c>
      <c r="J3802" t="s">
        <v>605</v>
      </c>
      <c r="K3802" t="s">
        <v>606</v>
      </c>
      <c r="M3802" t="s">
        <v>2366</v>
      </c>
      <c r="N3802" t="s">
        <v>657</v>
      </c>
      <c r="O3802" t="s">
        <v>2614</v>
      </c>
      <c r="P3802" t="s">
        <v>739</v>
      </c>
      <c r="Q3802" t="s">
        <v>516</v>
      </c>
      <c r="R3802" t="s">
        <v>2368</v>
      </c>
      <c r="S3802" t="s">
        <v>2615</v>
      </c>
      <c r="T3802" t="s">
        <v>2526</v>
      </c>
      <c r="U3802">
        <v>254900</v>
      </c>
      <c r="V3802" t="s">
        <v>14351</v>
      </c>
      <c r="W3802" t="s">
        <v>2669</v>
      </c>
      <c r="X3802" t="s">
        <v>20422</v>
      </c>
      <c r="Y3802" t="s">
        <v>5253</v>
      </c>
      <c r="AA3802" t="s">
        <v>5254</v>
      </c>
      <c r="AB3802" t="s">
        <v>20423</v>
      </c>
      <c r="AC3802">
        <v>99141</v>
      </c>
      <c r="AD3802" t="s">
        <v>2670</v>
      </c>
      <c r="AE3802">
        <v>-41.324009089999997</v>
      </c>
      <c r="AF3802">
        <v>174.81605256</v>
      </c>
      <c r="AG3802" s="175">
        <v>30</v>
      </c>
      <c r="AH3802" s="175">
        <v>20</v>
      </c>
      <c r="AI3802" s="175">
        <v>13</v>
      </c>
      <c r="AJ3802" s="175">
        <v>4</v>
      </c>
      <c r="AK3802" s="175">
        <v>8</v>
      </c>
      <c r="AL3802" s="175">
        <v>2</v>
      </c>
      <c r="AM3802" s="175">
        <v>1</v>
      </c>
      <c r="AN3802" s="175">
        <v>0</v>
      </c>
      <c r="AO3802" s="175">
        <v>28</v>
      </c>
      <c r="AP3802" s="175">
        <v>28</v>
      </c>
      <c r="AQ3802" s="175">
        <v>4</v>
      </c>
      <c r="AR3802" s="175">
        <v>0</v>
      </c>
      <c r="AS3802" s="175">
        <v>2</v>
      </c>
      <c r="AT3802" s="175">
        <v>0</v>
      </c>
    </row>
    <row r="3803" spans="1:46">
      <c r="A3803">
        <v>60041</v>
      </c>
      <c r="B3803" t="s">
        <v>20833</v>
      </c>
      <c r="C3803" t="s">
        <v>20834</v>
      </c>
      <c r="D3803" t="s">
        <v>20835</v>
      </c>
      <c r="E3803" t="s">
        <v>20836</v>
      </c>
      <c r="F3803" t="s">
        <v>2735</v>
      </c>
      <c r="G3803" t="s">
        <v>2368</v>
      </c>
      <c r="H3803" t="s">
        <v>301</v>
      </c>
      <c r="J3803" t="s">
        <v>605</v>
      </c>
      <c r="K3803" t="s">
        <v>606</v>
      </c>
      <c r="M3803" t="s">
        <v>2366</v>
      </c>
      <c r="N3803" t="s">
        <v>657</v>
      </c>
      <c r="O3803" t="s">
        <v>2614</v>
      </c>
      <c r="P3803" t="s">
        <v>739</v>
      </c>
      <c r="Q3803" t="s">
        <v>516</v>
      </c>
      <c r="R3803" t="s">
        <v>2368</v>
      </c>
      <c r="S3803" t="s">
        <v>2623</v>
      </c>
      <c r="T3803" t="s">
        <v>2526</v>
      </c>
      <c r="U3803">
        <v>249701</v>
      </c>
      <c r="V3803" t="s">
        <v>20837</v>
      </c>
      <c r="W3803" t="s">
        <v>2625</v>
      </c>
      <c r="X3803" t="s">
        <v>20422</v>
      </c>
      <c r="Y3803" t="s">
        <v>5253</v>
      </c>
      <c r="AA3803" t="s">
        <v>5254</v>
      </c>
      <c r="AB3803" t="s">
        <v>20423</v>
      </c>
      <c r="AE3803">
        <v>-41.227713979999997</v>
      </c>
      <c r="AF3803">
        <v>174.81974054</v>
      </c>
      <c r="AG3803" s="175">
        <v>30</v>
      </c>
      <c r="AH3803" s="175">
        <v>20</v>
      </c>
      <c r="AI3803" s="175">
        <v>44</v>
      </c>
      <c r="AJ3803" s="175">
        <v>3</v>
      </c>
      <c r="AK3803" s="175">
        <v>7</v>
      </c>
      <c r="AL3803" s="175">
        <v>3</v>
      </c>
      <c r="AM3803" s="175">
        <v>2</v>
      </c>
      <c r="AN3803" s="175">
        <v>1</v>
      </c>
      <c r="AO3803" s="175">
        <v>60</v>
      </c>
      <c r="AP3803" s="175">
        <v>51</v>
      </c>
      <c r="AQ3803" s="175">
        <v>4</v>
      </c>
      <c r="AR3803" s="175">
        <v>2</v>
      </c>
      <c r="AS3803" s="175">
        <v>20</v>
      </c>
      <c r="AT3803" s="175">
        <v>0</v>
      </c>
    </row>
    <row r="3804" spans="1:46">
      <c r="A3804">
        <v>60042</v>
      </c>
      <c r="B3804" t="s">
        <v>20838</v>
      </c>
      <c r="C3804" t="s">
        <v>20839</v>
      </c>
      <c r="D3804" t="s">
        <v>20840</v>
      </c>
      <c r="E3804" t="s">
        <v>20841</v>
      </c>
      <c r="F3804" t="s">
        <v>2746</v>
      </c>
      <c r="G3804" t="s">
        <v>2368</v>
      </c>
      <c r="H3804" t="s">
        <v>301</v>
      </c>
      <c r="J3804" t="s">
        <v>605</v>
      </c>
      <c r="K3804" t="s">
        <v>606</v>
      </c>
      <c r="M3804" t="s">
        <v>2366</v>
      </c>
      <c r="N3804" t="s">
        <v>657</v>
      </c>
      <c r="O3804" t="s">
        <v>2614</v>
      </c>
      <c r="P3804" t="s">
        <v>739</v>
      </c>
      <c r="Q3804" t="s">
        <v>516</v>
      </c>
      <c r="R3804" t="s">
        <v>2368</v>
      </c>
      <c r="S3804" t="s">
        <v>2615</v>
      </c>
      <c r="T3804" t="s">
        <v>2526</v>
      </c>
      <c r="U3804">
        <v>253600</v>
      </c>
      <c r="V3804" t="s">
        <v>2889</v>
      </c>
      <c r="W3804" t="s">
        <v>2616</v>
      </c>
      <c r="X3804" t="s">
        <v>20422</v>
      </c>
      <c r="Y3804" t="s">
        <v>5253</v>
      </c>
      <c r="AA3804" t="s">
        <v>5254</v>
      </c>
      <c r="AB3804" t="s">
        <v>20423</v>
      </c>
      <c r="AC3804">
        <v>99171</v>
      </c>
      <c r="AD3804" t="s">
        <v>2617</v>
      </c>
      <c r="AE3804">
        <v>-41.314567859999997</v>
      </c>
      <c r="AF3804">
        <v>174.7834387</v>
      </c>
      <c r="AG3804" s="175">
        <v>24</v>
      </c>
      <c r="AH3804" s="175">
        <v>20</v>
      </c>
      <c r="AI3804" s="175">
        <v>1</v>
      </c>
      <c r="AJ3804" s="175">
        <v>7</v>
      </c>
      <c r="AK3804" s="175">
        <v>7</v>
      </c>
      <c r="AL3804" s="175">
        <v>5</v>
      </c>
      <c r="AM3804" s="175">
        <v>4</v>
      </c>
      <c r="AN3804" s="175">
        <v>0</v>
      </c>
      <c r="AO3804" s="175">
        <v>24</v>
      </c>
      <c r="AP3804" s="175">
        <v>24</v>
      </c>
      <c r="AQ3804" s="175">
        <v>0</v>
      </c>
      <c r="AR3804" s="175">
        <v>0</v>
      </c>
      <c r="AS3804" s="175">
        <v>1</v>
      </c>
      <c r="AT3804" s="175">
        <v>0</v>
      </c>
    </row>
    <row r="3805" spans="1:46">
      <c r="A3805">
        <v>60043</v>
      </c>
      <c r="B3805" t="s">
        <v>20842</v>
      </c>
      <c r="C3805" t="s">
        <v>20843</v>
      </c>
      <c r="D3805" t="s">
        <v>20844</v>
      </c>
      <c r="E3805" t="s">
        <v>20845</v>
      </c>
      <c r="F3805" t="s">
        <v>20846</v>
      </c>
      <c r="G3805" t="s">
        <v>2368</v>
      </c>
      <c r="H3805" t="s">
        <v>301</v>
      </c>
      <c r="J3805" t="s">
        <v>605</v>
      </c>
      <c r="K3805" t="s">
        <v>606</v>
      </c>
      <c r="M3805" t="s">
        <v>2366</v>
      </c>
      <c r="N3805" t="s">
        <v>657</v>
      </c>
      <c r="O3805" t="s">
        <v>2614</v>
      </c>
      <c r="P3805" t="s">
        <v>739</v>
      </c>
      <c r="Q3805" t="s">
        <v>516</v>
      </c>
      <c r="R3805" t="s">
        <v>2368</v>
      </c>
      <c r="S3805" t="s">
        <v>2623</v>
      </c>
      <c r="T3805" t="s">
        <v>2526</v>
      </c>
      <c r="U3805">
        <v>249101</v>
      </c>
      <c r="V3805" t="s">
        <v>20846</v>
      </c>
      <c r="W3805" t="s">
        <v>2639</v>
      </c>
      <c r="X3805" t="s">
        <v>20422</v>
      </c>
      <c r="Y3805" t="s">
        <v>5253</v>
      </c>
      <c r="AA3805" t="s">
        <v>5254</v>
      </c>
      <c r="AB3805" t="s">
        <v>20423</v>
      </c>
      <c r="AE3805">
        <v>-41.253211030000003</v>
      </c>
      <c r="AF3805">
        <v>174.76220651</v>
      </c>
      <c r="AG3805" s="175">
        <v>30</v>
      </c>
      <c r="AH3805" s="175">
        <v>18</v>
      </c>
      <c r="AI3805" s="175">
        <v>1</v>
      </c>
      <c r="AJ3805" s="175">
        <v>2</v>
      </c>
      <c r="AK3805" s="175">
        <v>4</v>
      </c>
      <c r="AL3805" s="175">
        <v>0</v>
      </c>
      <c r="AM3805" s="175">
        <v>4</v>
      </c>
      <c r="AN3805" s="175">
        <v>1</v>
      </c>
      <c r="AO3805" s="175">
        <v>12</v>
      </c>
      <c r="AP3805" s="175">
        <v>12</v>
      </c>
      <c r="AQ3805" s="175">
        <v>0</v>
      </c>
      <c r="AR3805" s="175">
        <v>0</v>
      </c>
      <c r="AS3805" s="175">
        <v>0</v>
      </c>
      <c r="AT3805" s="175">
        <v>0</v>
      </c>
    </row>
    <row r="3806" spans="1:46">
      <c r="A3806">
        <v>60044</v>
      </c>
      <c r="B3806" t="s">
        <v>20847</v>
      </c>
      <c r="C3806" t="s">
        <v>20848</v>
      </c>
      <c r="D3806" t="s">
        <v>20849</v>
      </c>
      <c r="E3806" t="s">
        <v>20850</v>
      </c>
      <c r="F3806" t="s">
        <v>2861</v>
      </c>
      <c r="G3806" t="s">
        <v>2604</v>
      </c>
      <c r="H3806" t="s">
        <v>301</v>
      </c>
      <c r="J3806" t="s">
        <v>605</v>
      </c>
      <c r="K3806" t="s">
        <v>606</v>
      </c>
      <c r="M3806" t="s">
        <v>2366</v>
      </c>
      <c r="N3806" t="s">
        <v>643</v>
      </c>
      <c r="O3806" t="s">
        <v>2605</v>
      </c>
      <c r="P3806" t="s">
        <v>670</v>
      </c>
      <c r="Q3806" t="s">
        <v>516</v>
      </c>
      <c r="R3806" t="s">
        <v>2368</v>
      </c>
      <c r="S3806" t="s">
        <v>2606</v>
      </c>
      <c r="T3806" t="s">
        <v>1568</v>
      </c>
      <c r="U3806">
        <v>239200</v>
      </c>
      <c r="V3806" t="s">
        <v>20851</v>
      </c>
      <c r="W3806" t="s">
        <v>2607</v>
      </c>
      <c r="X3806" t="s">
        <v>20422</v>
      </c>
      <c r="Y3806" t="s">
        <v>5253</v>
      </c>
      <c r="AA3806" t="s">
        <v>5254</v>
      </c>
      <c r="AB3806" t="s">
        <v>20423</v>
      </c>
      <c r="AC3806">
        <v>99094</v>
      </c>
      <c r="AD3806" t="s">
        <v>2693</v>
      </c>
      <c r="AE3806">
        <v>-41.112341899999997</v>
      </c>
      <c r="AF3806">
        <v>174.84047494999999</v>
      </c>
      <c r="AG3806" s="175">
        <v>30</v>
      </c>
      <c r="AH3806" s="175">
        <v>18</v>
      </c>
      <c r="AI3806" s="175">
        <v>21</v>
      </c>
      <c r="AJ3806" s="175">
        <v>6</v>
      </c>
      <c r="AK3806" s="175">
        <v>5</v>
      </c>
      <c r="AL3806" s="175">
        <v>3</v>
      </c>
      <c r="AM3806" s="175">
        <v>2</v>
      </c>
      <c r="AN3806" s="175">
        <v>0</v>
      </c>
      <c r="AO3806" s="175">
        <v>37</v>
      </c>
      <c r="AP3806" s="175">
        <v>34</v>
      </c>
      <c r="AQ3806" s="175">
        <v>2</v>
      </c>
      <c r="AR3806" s="175">
        <v>6</v>
      </c>
      <c r="AS3806" s="175">
        <v>3</v>
      </c>
      <c r="AT3806" s="175">
        <v>5</v>
      </c>
    </row>
    <row r="3807" spans="1:46">
      <c r="A3807">
        <v>60045</v>
      </c>
      <c r="B3807" t="s">
        <v>20852</v>
      </c>
      <c r="C3807" t="s">
        <v>20853</v>
      </c>
      <c r="D3807" t="s">
        <v>20854</v>
      </c>
      <c r="E3807" t="s">
        <v>20855</v>
      </c>
      <c r="G3807" t="s">
        <v>2148</v>
      </c>
      <c r="H3807" t="s">
        <v>301</v>
      </c>
      <c r="J3807" t="s">
        <v>605</v>
      </c>
      <c r="K3807" t="s">
        <v>606</v>
      </c>
      <c r="M3807" t="s">
        <v>2366</v>
      </c>
      <c r="N3807" t="s">
        <v>643</v>
      </c>
      <c r="O3807" t="s">
        <v>2753</v>
      </c>
      <c r="P3807" t="s">
        <v>610</v>
      </c>
      <c r="Q3807" t="s">
        <v>516</v>
      </c>
      <c r="R3807" t="s">
        <v>2368</v>
      </c>
      <c r="S3807" t="s">
        <v>2148</v>
      </c>
      <c r="T3807" t="s">
        <v>1568</v>
      </c>
      <c r="U3807">
        <v>236500</v>
      </c>
      <c r="V3807" t="s">
        <v>2148</v>
      </c>
      <c r="W3807" t="s">
        <v>2776</v>
      </c>
      <c r="X3807" t="s">
        <v>20422</v>
      </c>
      <c r="Y3807" t="s">
        <v>5253</v>
      </c>
      <c r="AA3807" t="s">
        <v>5254</v>
      </c>
      <c r="AB3807" t="s">
        <v>20423</v>
      </c>
      <c r="AE3807">
        <v>-40.756115119999997</v>
      </c>
      <c r="AF3807">
        <v>175.14666621000001</v>
      </c>
      <c r="AG3807" s="175">
        <v>30</v>
      </c>
      <c r="AH3807" s="175">
        <v>18</v>
      </c>
      <c r="AI3807" s="175">
        <v>2</v>
      </c>
      <c r="AJ3807" s="175">
        <v>6</v>
      </c>
      <c r="AK3807" s="175">
        <v>4</v>
      </c>
      <c r="AL3807" s="175">
        <v>4</v>
      </c>
      <c r="AM3807" s="175">
        <v>2</v>
      </c>
      <c r="AN3807" s="175">
        <v>0</v>
      </c>
      <c r="AO3807" s="175">
        <v>18</v>
      </c>
      <c r="AP3807" s="175">
        <v>17</v>
      </c>
      <c r="AQ3807" s="175">
        <v>3</v>
      </c>
      <c r="AR3807" s="175">
        <v>0</v>
      </c>
      <c r="AS3807" s="175">
        <v>0</v>
      </c>
      <c r="AT3807" s="175">
        <v>2</v>
      </c>
    </row>
    <row r="3808" spans="1:46">
      <c r="A3808">
        <v>60047</v>
      </c>
      <c r="B3808" t="s">
        <v>20856</v>
      </c>
      <c r="C3808" t="s">
        <v>20857</v>
      </c>
      <c r="D3808" t="s">
        <v>20858</v>
      </c>
      <c r="E3808" t="s">
        <v>20859</v>
      </c>
      <c r="G3808" t="s">
        <v>10330</v>
      </c>
      <c r="H3808" t="s">
        <v>301</v>
      </c>
      <c r="J3808" t="s">
        <v>605</v>
      </c>
      <c r="K3808" t="s">
        <v>606</v>
      </c>
      <c r="M3808" t="s">
        <v>2366</v>
      </c>
      <c r="N3808" t="s">
        <v>657</v>
      </c>
      <c r="O3808" t="s">
        <v>2753</v>
      </c>
      <c r="P3808" t="s">
        <v>610</v>
      </c>
      <c r="Q3808" t="s">
        <v>516</v>
      </c>
      <c r="R3808" t="s">
        <v>2368</v>
      </c>
      <c r="S3808" t="s">
        <v>2606</v>
      </c>
      <c r="T3808" t="s">
        <v>1568</v>
      </c>
      <c r="U3808">
        <v>238600</v>
      </c>
      <c r="V3808" t="s">
        <v>20860</v>
      </c>
      <c r="W3808" t="s">
        <v>2829</v>
      </c>
      <c r="X3808" t="s">
        <v>20422</v>
      </c>
      <c r="Y3808" t="s">
        <v>5253</v>
      </c>
      <c r="AA3808" t="s">
        <v>5254</v>
      </c>
      <c r="AB3808" t="s">
        <v>20423</v>
      </c>
      <c r="AE3808">
        <v>-40.986734239999997</v>
      </c>
      <c r="AF3808">
        <v>174.95272451</v>
      </c>
      <c r="AG3808" s="175">
        <v>27</v>
      </c>
      <c r="AH3808" s="175">
        <v>18</v>
      </c>
      <c r="AI3808" s="175">
        <v>9</v>
      </c>
      <c r="AJ3808" s="175">
        <v>7</v>
      </c>
      <c r="AK3808" s="175">
        <v>5</v>
      </c>
      <c r="AL3808" s="175">
        <v>4</v>
      </c>
      <c r="AM3808" s="175">
        <v>2</v>
      </c>
      <c r="AN3808" s="175">
        <v>0</v>
      </c>
      <c r="AO3808" s="175">
        <v>27</v>
      </c>
      <c r="AP3808" s="175">
        <v>26</v>
      </c>
      <c r="AQ3808" s="175">
        <v>5</v>
      </c>
      <c r="AR3808" s="175">
        <v>1</v>
      </c>
      <c r="AS3808" s="175">
        <v>2</v>
      </c>
      <c r="AT3808" s="175">
        <v>0</v>
      </c>
    </row>
    <row r="3809" spans="1:46">
      <c r="A3809">
        <v>60048</v>
      </c>
      <c r="B3809" t="s">
        <v>20861</v>
      </c>
      <c r="C3809" t="s">
        <v>20862</v>
      </c>
      <c r="D3809" t="s">
        <v>20863</v>
      </c>
      <c r="E3809" t="s">
        <v>20864</v>
      </c>
      <c r="G3809" t="s">
        <v>2752</v>
      </c>
      <c r="H3809" t="s">
        <v>301</v>
      </c>
      <c r="J3809" t="s">
        <v>605</v>
      </c>
      <c r="K3809" t="s">
        <v>606</v>
      </c>
      <c r="M3809" t="s">
        <v>2366</v>
      </c>
      <c r="N3809" t="s">
        <v>657</v>
      </c>
      <c r="O3809" t="s">
        <v>2753</v>
      </c>
      <c r="P3809" t="s">
        <v>1347</v>
      </c>
      <c r="Q3809" t="s">
        <v>516</v>
      </c>
      <c r="R3809" t="s">
        <v>2368</v>
      </c>
      <c r="S3809" t="s">
        <v>2606</v>
      </c>
      <c r="T3809" t="s">
        <v>1568</v>
      </c>
      <c r="U3809">
        <v>238400</v>
      </c>
      <c r="V3809" t="s">
        <v>10962</v>
      </c>
      <c r="W3809" t="s">
        <v>2755</v>
      </c>
      <c r="X3809" t="s">
        <v>20422</v>
      </c>
      <c r="Y3809" t="s">
        <v>5253</v>
      </c>
      <c r="AA3809" t="s">
        <v>5254</v>
      </c>
      <c r="AB3809" t="s">
        <v>20423</v>
      </c>
      <c r="AE3809">
        <v>-40.916382779999999</v>
      </c>
      <c r="AF3809">
        <v>175.008645</v>
      </c>
      <c r="AG3809" s="175">
        <v>30</v>
      </c>
      <c r="AH3809" s="175">
        <v>18</v>
      </c>
      <c r="AI3809" s="175">
        <v>9</v>
      </c>
      <c r="AJ3809" s="175">
        <v>10</v>
      </c>
      <c r="AK3809" s="175">
        <v>5</v>
      </c>
      <c r="AL3809" s="175">
        <v>3</v>
      </c>
      <c r="AM3809" s="175">
        <v>4</v>
      </c>
      <c r="AN3809" s="175">
        <v>0</v>
      </c>
      <c r="AO3809" s="175">
        <v>31</v>
      </c>
      <c r="AP3809" s="175">
        <v>28</v>
      </c>
      <c r="AQ3809" s="175">
        <v>4</v>
      </c>
      <c r="AR3809" s="175">
        <v>0</v>
      </c>
      <c r="AS3809" s="175">
        <v>1</v>
      </c>
      <c r="AT3809" s="175">
        <v>4</v>
      </c>
    </row>
    <row r="3810" spans="1:46">
      <c r="A3810">
        <v>60049</v>
      </c>
      <c r="B3810" t="s">
        <v>20865</v>
      </c>
      <c r="C3810" t="s">
        <v>20866</v>
      </c>
      <c r="D3810" t="s">
        <v>20867</v>
      </c>
      <c r="E3810" t="s">
        <v>20868</v>
      </c>
      <c r="F3810" t="s">
        <v>2798</v>
      </c>
      <c r="G3810" t="s">
        <v>2604</v>
      </c>
      <c r="H3810" t="s">
        <v>301</v>
      </c>
      <c r="J3810" t="s">
        <v>605</v>
      </c>
      <c r="K3810" t="s">
        <v>606</v>
      </c>
      <c r="M3810" t="s">
        <v>2366</v>
      </c>
      <c r="N3810" t="s">
        <v>657</v>
      </c>
      <c r="O3810" t="s">
        <v>2605</v>
      </c>
      <c r="P3810" t="s">
        <v>670</v>
      </c>
      <c r="Q3810" t="s">
        <v>516</v>
      </c>
      <c r="R3810" t="s">
        <v>2368</v>
      </c>
      <c r="S3810" t="s">
        <v>2606</v>
      </c>
      <c r="T3810" t="s">
        <v>1568</v>
      </c>
      <c r="U3810">
        <v>239801</v>
      </c>
      <c r="V3810" t="s">
        <v>2798</v>
      </c>
      <c r="W3810" t="s">
        <v>2657</v>
      </c>
      <c r="X3810" t="s">
        <v>20422</v>
      </c>
      <c r="Y3810" t="s">
        <v>5253</v>
      </c>
      <c r="AA3810" t="s">
        <v>5254</v>
      </c>
      <c r="AB3810" t="s">
        <v>20423</v>
      </c>
      <c r="AC3810">
        <v>99068</v>
      </c>
      <c r="AD3810" t="s">
        <v>2608</v>
      </c>
      <c r="AE3810">
        <v>-41.094174070000001</v>
      </c>
      <c r="AF3810">
        <v>174.86761614</v>
      </c>
      <c r="AG3810" s="175">
        <v>30</v>
      </c>
      <c r="AH3810" s="175">
        <v>20</v>
      </c>
      <c r="AI3810" s="175">
        <v>22</v>
      </c>
      <c r="AJ3810" s="175">
        <v>13</v>
      </c>
      <c r="AK3810" s="175">
        <v>8</v>
      </c>
      <c r="AL3810" s="175">
        <v>4</v>
      </c>
      <c r="AM3810" s="175">
        <v>5</v>
      </c>
      <c r="AN3810" s="175">
        <v>1</v>
      </c>
      <c r="AO3810" s="175">
        <v>53</v>
      </c>
      <c r="AP3810" s="175">
        <v>47</v>
      </c>
      <c r="AQ3810" s="175">
        <v>10</v>
      </c>
      <c r="AR3810" s="175">
        <v>0</v>
      </c>
      <c r="AS3810" s="175">
        <v>4</v>
      </c>
      <c r="AT3810" s="175">
        <v>1</v>
      </c>
    </row>
    <row r="3811" spans="1:46">
      <c r="A3811">
        <v>60051</v>
      </c>
      <c r="B3811" t="s">
        <v>20869</v>
      </c>
      <c r="C3811" t="s">
        <v>20870</v>
      </c>
      <c r="D3811" t="s">
        <v>20871</v>
      </c>
      <c r="E3811" t="s">
        <v>20872</v>
      </c>
      <c r="F3811" t="s">
        <v>2867</v>
      </c>
      <c r="G3811" t="s">
        <v>2368</v>
      </c>
      <c r="H3811" t="s">
        <v>301</v>
      </c>
      <c r="J3811" t="s">
        <v>605</v>
      </c>
      <c r="K3811" t="s">
        <v>606</v>
      </c>
      <c r="M3811" t="s">
        <v>2366</v>
      </c>
      <c r="N3811" t="s">
        <v>657</v>
      </c>
      <c r="O3811" t="s">
        <v>2614</v>
      </c>
      <c r="P3811" t="s">
        <v>739</v>
      </c>
      <c r="Q3811" t="s">
        <v>516</v>
      </c>
      <c r="R3811" t="s">
        <v>2368</v>
      </c>
      <c r="S3811" t="s">
        <v>2606</v>
      </c>
      <c r="T3811" t="s">
        <v>1568</v>
      </c>
      <c r="U3811">
        <v>247700</v>
      </c>
      <c r="V3811" t="s">
        <v>2867</v>
      </c>
      <c r="W3811" t="s">
        <v>2625</v>
      </c>
      <c r="X3811" t="s">
        <v>20422</v>
      </c>
      <c r="Y3811" t="s">
        <v>5253</v>
      </c>
      <c r="AA3811" t="s">
        <v>5254</v>
      </c>
      <c r="AB3811" t="s">
        <v>20423</v>
      </c>
      <c r="AE3811">
        <v>-41.163602019999999</v>
      </c>
      <c r="AF3811">
        <v>174.83297465999999</v>
      </c>
      <c r="AG3811" s="175">
        <v>30</v>
      </c>
      <c r="AH3811" s="175">
        <v>20</v>
      </c>
      <c r="AI3811" s="175">
        <v>10</v>
      </c>
      <c r="AJ3811" s="175">
        <v>4</v>
      </c>
      <c r="AK3811" s="175">
        <v>6</v>
      </c>
      <c r="AL3811" s="175">
        <v>5</v>
      </c>
      <c r="AM3811" s="175">
        <v>9</v>
      </c>
      <c r="AN3811" s="175">
        <v>0</v>
      </c>
      <c r="AO3811" s="175">
        <v>34</v>
      </c>
      <c r="AP3811" s="175">
        <v>32</v>
      </c>
      <c r="AQ3811" s="175">
        <v>5</v>
      </c>
      <c r="AR3811" s="175">
        <v>3</v>
      </c>
      <c r="AS3811" s="175">
        <v>5</v>
      </c>
      <c r="AT3811" s="175">
        <v>0</v>
      </c>
    </row>
    <row r="3812" spans="1:46">
      <c r="A3812">
        <v>60053</v>
      </c>
      <c r="B3812" t="s">
        <v>20873</v>
      </c>
      <c r="C3812" t="s">
        <v>20874</v>
      </c>
      <c r="D3812" t="s">
        <v>20875</v>
      </c>
      <c r="E3812" t="s">
        <v>20876</v>
      </c>
      <c r="G3812" t="s">
        <v>2877</v>
      </c>
      <c r="H3812" t="s">
        <v>301</v>
      </c>
      <c r="J3812" t="s">
        <v>605</v>
      </c>
      <c r="K3812" t="s">
        <v>606</v>
      </c>
      <c r="M3812" t="s">
        <v>2366</v>
      </c>
      <c r="N3812" t="s">
        <v>657</v>
      </c>
      <c r="O3812" t="s">
        <v>2753</v>
      </c>
      <c r="P3812" t="s">
        <v>1347</v>
      </c>
      <c r="Q3812" t="s">
        <v>516</v>
      </c>
      <c r="R3812" t="s">
        <v>2368</v>
      </c>
      <c r="S3812" t="s">
        <v>2148</v>
      </c>
      <c r="T3812" t="s">
        <v>1568</v>
      </c>
      <c r="U3812">
        <v>238100</v>
      </c>
      <c r="V3812" t="s">
        <v>20877</v>
      </c>
      <c r="W3812" t="s">
        <v>2879</v>
      </c>
      <c r="X3812" t="s">
        <v>20422</v>
      </c>
      <c r="Y3812" t="s">
        <v>5253</v>
      </c>
      <c r="AA3812" t="s">
        <v>5254</v>
      </c>
      <c r="AB3812" t="s">
        <v>20423</v>
      </c>
      <c r="AE3812">
        <v>-40.876255739999998</v>
      </c>
      <c r="AF3812">
        <v>175.07161957</v>
      </c>
      <c r="AG3812" s="175">
        <v>30</v>
      </c>
      <c r="AH3812" s="175">
        <v>20</v>
      </c>
      <c r="AI3812" s="175">
        <v>22</v>
      </c>
      <c r="AJ3812" s="175">
        <v>7</v>
      </c>
      <c r="AK3812" s="175">
        <v>11</v>
      </c>
      <c r="AL3812" s="175">
        <v>6</v>
      </c>
      <c r="AM3812" s="175">
        <v>11</v>
      </c>
      <c r="AN3812" s="175">
        <v>0</v>
      </c>
      <c r="AO3812" s="175">
        <v>57</v>
      </c>
      <c r="AP3812" s="175">
        <v>55</v>
      </c>
      <c r="AQ3812" s="175">
        <v>3</v>
      </c>
      <c r="AR3812" s="175">
        <v>0</v>
      </c>
      <c r="AS3812" s="175">
        <v>5</v>
      </c>
      <c r="AT3812" s="175">
        <v>1</v>
      </c>
    </row>
    <row r="3813" spans="1:46">
      <c r="A3813">
        <v>60054</v>
      </c>
      <c r="B3813" t="s">
        <v>20878</v>
      </c>
      <c r="C3813" t="s">
        <v>20879</v>
      </c>
      <c r="D3813" t="s">
        <v>20880</v>
      </c>
      <c r="E3813" t="s">
        <v>20881</v>
      </c>
      <c r="F3813" t="s">
        <v>13286</v>
      </c>
      <c r="G3813" t="s">
        <v>2368</v>
      </c>
      <c r="H3813" t="s">
        <v>301</v>
      </c>
      <c r="J3813" t="s">
        <v>605</v>
      </c>
      <c r="K3813" t="s">
        <v>606</v>
      </c>
      <c r="M3813" t="s">
        <v>2366</v>
      </c>
      <c r="N3813" t="s">
        <v>657</v>
      </c>
      <c r="O3813" t="s">
        <v>2614</v>
      </c>
      <c r="P3813" t="s">
        <v>739</v>
      </c>
      <c r="Q3813" t="s">
        <v>516</v>
      </c>
      <c r="R3813" t="s">
        <v>2368</v>
      </c>
      <c r="S3813" t="s">
        <v>2631</v>
      </c>
      <c r="T3813" t="s">
        <v>2526</v>
      </c>
      <c r="U3813">
        <v>250100</v>
      </c>
      <c r="V3813" t="s">
        <v>13286</v>
      </c>
      <c r="W3813" t="s">
        <v>2639</v>
      </c>
      <c r="X3813" t="s">
        <v>20422</v>
      </c>
      <c r="Y3813" t="s">
        <v>5253</v>
      </c>
      <c r="AA3813" t="s">
        <v>5254</v>
      </c>
      <c r="AB3813" t="s">
        <v>20423</v>
      </c>
      <c r="AE3813">
        <v>-41.268989140000002</v>
      </c>
      <c r="AF3813">
        <v>174.75881236999999</v>
      </c>
      <c r="AG3813" s="175">
        <v>30</v>
      </c>
      <c r="AH3813" s="175">
        <v>20</v>
      </c>
      <c r="AI3813" s="175">
        <v>6</v>
      </c>
      <c r="AJ3813" s="175">
        <v>12</v>
      </c>
      <c r="AK3813" s="175">
        <v>4</v>
      </c>
      <c r="AL3813" s="175">
        <v>3</v>
      </c>
      <c r="AM3813" s="175">
        <v>2</v>
      </c>
      <c r="AN3813" s="175">
        <v>1</v>
      </c>
      <c r="AO3813" s="175">
        <v>28</v>
      </c>
      <c r="AP3813" s="175">
        <v>23</v>
      </c>
      <c r="AQ3813" s="175">
        <v>6</v>
      </c>
      <c r="AR3813" s="175">
        <v>0</v>
      </c>
      <c r="AS3813" s="175">
        <v>6</v>
      </c>
      <c r="AT3813" s="175">
        <v>1</v>
      </c>
    </row>
    <row r="3814" spans="1:46">
      <c r="A3814">
        <v>60055</v>
      </c>
      <c r="B3814" t="s">
        <v>20882</v>
      </c>
      <c r="C3814" t="s">
        <v>20883</v>
      </c>
      <c r="D3814" t="s">
        <v>20884</v>
      </c>
      <c r="E3814" t="s">
        <v>20885</v>
      </c>
      <c r="F3814" t="s">
        <v>20886</v>
      </c>
      <c r="G3814" t="s">
        <v>2505</v>
      </c>
      <c r="H3814" t="s">
        <v>301</v>
      </c>
      <c r="J3814" t="s">
        <v>605</v>
      </c>
      <c r="K3814" t="s">
        <v>606</v>
      </c>
      <c r="M3814" t="s">
        <v>2366</v>
      </c>
      <c r="N3814" t="s">
        <v>657</v>
      </c>
      <c r="O3814" t="s">
        <v>2506</v>
      </c>
      <c r="P3814" t="s">
        <v>739</v>
      </c>
      <c r="Q3814" t="s">
        <v>516</v>
      </c>
      <c r="R3814" t="s">
        <v>2368</v>
      </c>
      <c r="S3814" t="s">
        <v>2507</v>
      </c>
      <c r="T3814" t="s">
        <v>2526</v>
      </c>
      <c r="U3814">
        <v>243300</v>
      </c>
      <c r="V3814" t="s">
        <v>20886</v>
      </c>
      <c r="W3814" t="s">
        <v>2569</v>
      </c>
      <c r="X3814" t="s">
        <v>20422</v>
      </c>
      <c r="Y3814" t="s">
        <v>5253</v>
      </c>
      <c r="AA3814" t="s">
        <v>5254</v>
      </c>
      <c r="AB3814" t="s">
        <v>20423</v>
      </c>
      <c r="AE3814">
        <v>-41.216166639999997</v>
      </c>
      <c r="AF3814">
        <v>174.86829800999999</v>
      </c>
      <c r="AG3814" s="175">
        <v>30</v>
      </c>
      <c r="AH3814" s="175">
        <v>15</v>
      </c>
      <c r="AI3814" s="175">
        <v>1</v>
      </c>
      <c r="AJ3814" s="175">
        <v>3</v>
      </c>
      <c r="AK3814" s="175">
        <v>5</v>
      </c>
      <c r="AL3814" s="175">
        <v>6</v>
      </c>
      <c r="AM3814" s="175">
        <v>2</v>
      </c>
      <c r="AN3814" s="175">
        <v>0</v>
      </c>
      <c r="AO3814" s="175">
        <v>17</v>
      </c>
      <c r="AP3814" s="175">
        <v>14</v>
      </c>
      <c r="AQ3814" s="175">
        <v>0</v>
      </c>
      <c r="AR3814" s="175">
        <v>1</v>
      </c>
      <c r="AS3814" s="175">
        <v>3</v>
      </c>
      <c r="AT3814" s="175">
        <v>1</v>
      </c>
    </row>
    <row r="3815" spans="1:46">
      <c r="A3815">
        <v>60064</v>
      </c>
      <c r="B3815" t="s">
        <v>20887</v>
      </c>
      <c r="C3815" t="s">
        <v>20888</v>
      </c>
      <c r="D3815" t="s">
        <v>20889</v>
      </c>
      <c r="E3815" t="s">
        <v>20890</v>
      </c>
      <c r="F3815" t="s">
        <v>2817</v>
      </c>
      <c r="G3815" t="s">
        <v>2604</v>
      </c>
      <c r="H3815" t="s">
        <v>449</v>
      </c>
      <c r="J3815" t="s">
        <v>4032</v>
      </c>
      <c r="K3815" t="s">
        <v>606</v>
      </c>
      <c r="M3815" t="s">
        <v>2366</v>
      </c>
      <c r="N3815" t="s">
        <v>657</v>
      </c>
      <c r="O3815" t="s">
        <v>2605</v>
      </c>
      <c r="P3815" t="s">
        <v>670</v>
      </c>
      <c r="Q3815" t="s">
        <v>516</v>
      </c>
      <c r="R3815" t="s">
        <v>2368</v>
      </c>
      <c r="S3815" t="s">
        <v>2606</v>
      </c>
      <c r="T3815" t="s">
        <v>1568</v>
      </c>
      <c r="U3815">
        <v>239000</v>
      </c>
      <c r="V3815" t="s">
        <v>2817</v>
      </c>
      <c r="W3815" t="s">
        <v>2657</v>
      </c>
      <c r="X3815" t="s">
        <v>20891</v>
      </c>
      <c r="Y3815" t="s">
        <v>20892</v>
      </c>
      <c r="Z3815" t="s">
        <v>2606</v>
      </c>
      <c r="AA3815" t="s">
        <v>20893</v>
      </c>
      <c r="AB3815" t="s">
        <v>20894</v>
      </c>
      <c r="AC3815">
        <v>99068</v>
      </c>
      <c r="AD3815" t="s">
        <v>2608</v>
      </c>
      <c r="AE3815">
        <v>-41.077543239999997</v>
      </c>
      <c r="AF3815">
        <v>174.87094519999999</v>
      </c>
      <c r="AG3815" s="175">
        <v>95</v>
      </c>
      <c r="AH3815" s="175">
        <v>25</v>
      </c>
      <c r="AI3815" s="175">
        <v>2</v>
      </c>
      <c r="AJ3815" s="175">
        <v>18</v>
      </c>
      <c r="AK3815" s="175">
        <v>21</v>
      </c>
      <c r="AL3815" s="175">
        <v>27</v>
      </c>
      <c r="AM3815" s="175">
        <v>22</v>
      </c>
      <c r="AN3815" s="175">
        <v>0</v>
      </c>
      <c r="AO3815" s="175">
        <v>90</v>
      </c>
      <c r="AP3815" s="175">
        <v>87</v>
      </c>
      <c r="AQ3815" s="175">
        <v>17</v>
      </c>
      <c r="AR3815" s="175">
        <v>9</v>
      </c>
      <c r="AS3815" s="175">
        <v>9</v>
      </c>
      <c r="AT3815" s="175">
        <v>0</v>
      </c>
    </row>
    <row r="3816" spans="1:46">
      <c r="A3816">
        <v>60066</v>
      </c>
      <c r="B3816" t="s">
        <v>20895</v>
      </c>
      <c r="C3816" t="s">
        <v>20896</v>
      </c>
      <c r="D3816" t="s">
        <v>20897</v>
      </c>
      <c r="E3816" t="s">
        <v>20898</v>
      </c>
      <c r="F3816" t="s">
        <v>14880</v>
      </c>
      <c r="G3816" t="s">
        <v>2368</v>
      </c>
      <c r="H3816" t="s">
        <v>449</v>
      </c>
      <c r="J3816" t="s">
        <v>4032</v>
      </c>
      <c r="K3816" t="s">
        <v>606</v>
      </c>
      <c r="M3816" t="s">
        <v>2366</v>
      </c>
      <c r="N3816" t="s">
        <v>4586</v>
      </c>
      <c r="O3816" t="s">
        <v>2614</v>
      </c>
      <c r="P3816" t="s">
        <v>739</v>
      </c>
      <c r="Q3816" t="s">
        <v>516</v>
      </c>
      <c r="R3816" t="s">
        <v>2368</v>
      </c>
      <c r="S3816" t="s">
        <v>2631</v>
      </c>
      <c r="T3816" t="s">
        <v>2526</v>
      </c>
      <c r="U3816">
        <v>251100</v>
      </c>
      <c r="V3816" t="s">
        <v>14880</v>
      </c>
      <c r="W3816" t="s">
        <v>2651</v>
      </c>
      <c r="X3816" t="s">
        <v>20899</v>
      </c>
      <c r="Y3816" t="s">
        <v>20900</v>
      </c>
      <c r="Z3816" t="s">
        <v>2698</v>
      </c>
      <c r="AA3816" t="s">
        <v>20901</v>
      </c>
      <c r="AB3816" t="s">
        <v>20896</v>
      </c>
      <c r="AE3816">
        <v>-41.28619965</v>
      </c>
      <c r="AF3816">
        <v>174.76485946</v>
      </c>
      <c r="AG3816" s="175">
        <v>53</v>
      </c>
      <c r="AH3816" s="175">
        <v>16</v>
      </c>
      <c r="AI3816" s="175">
        <v>2</v>
      </c>
      <c r="AJ3816" s="175">
        <v>18</v>
      </c>
      <c r="AK3816" s="175">
        <v>10</v>
      </c>
      <c r="AL3816" s="175">
        <v>13</v>
      </c>
      <c r="AM3816" s="175">
        <v>11</v>
      </c>
      <c r="AN3816" s="175">
        <v>0</v>
      </c>
      <c r="AO3816" s="175">
        <v>54</v>
      </c>
      <c r="AP3816" s="175">
        <v>41</v>
      </c>
      <c r="AQ3816" s="175">
        <v>3</v>
      </c>
      <c r="AR3816" s="175">
        <v>3</v>
      </c>
      <c r="AS3816" s="175">
        <v>14</v>
      </c>
      <c r="AT3816" s="175">
        <v>4</v>
      </c>
    </row>
    <row r="3817" spans="1:46">
      <c r="A3817">
        <v>60067</v>
      </c>
      <c r="B3817" t="s">
        <v>20902</v>
      </c>
      <c r="C3817" t="s">
        <v>20903</v>
      </c>
      <c r="D3817" t="s">
        <v>20904</v>
      </c>
      <c r="E3817" t="s">
        <v>20905</v>
      </c>
      <c r="F3817" t="s">
        <v>2637</v>
      </c>
      <c r="G3817" t="s">
        <v>2368</v>
      </c>
      <c r="H3817" t="s">
        <v>449</v>
      </c>
      <c r="J3817" t="s">
        <v>4032</v>
      </c>
      <c r="K3817" t="s">
        <v>606</v>
      </c>
      <c r="M3817" t="s">
        <v>2366</v>
      </c>
      <c r="N3817" t="s">
        <v>657</v>
      </c>
      <c r="O3817" t="s">
        <v>2614</v>
      </c>
      <c r="P3817" t="s">
        <v>739</v>
      </c>
      <c r="Q3817" t="s">
        <v>516</v>
      </c>
      <c r="R3817" t="s">
        <v>2368</v>
      </c>
      <c r="S3817" t="s">
        <v>2631</v>
      </c>
      <c r="T3817" t="s">
        <v>2526</v>
      </c>
      <c r="U3817">
        <v>250600</v>
      </c>
      <c r="V3817" t="s">
        <v>2638</v>
      </c>
      <c r="W3817" t="s">
        <v>2639</v>
      </c>
      <c r="X3817" t="s">
        <v>20906</v>
      </c>
      <c r="Y3817" t="s">
        <v>20905</v>
      </c>
      <c r="Z3817" t="s">
        <v>2637</v>
      </c>
      <c r="AA3817" t="s">
        <v>13288</v>
      </c>
      <c r="AB3817" t="s">
        <v>20903</v>
      </c>
      <c r="AE3817">
        <v>-41.285990990000002</v>
      </c>
      <c r="AF3817">
        <v>174.74329958000001</v>
      </c>
      <c r="AG3817" s="175">
        <v>22</v>
      </c>
      <c r="AH3817" s="175">
        <v>0</v>
      </c>
      <c r="AI3817" s="175">
        <v>0</v>
      </c>
      <c r="AJ3817" s="175">
        <v>0</v>
      </c>
      <c r="AK3817" s="175">
        <v>7</v>
      </c>
      <c r="AL3817" s="175">
        <v>7</v>
      </c>
      <c r="AM3817" s="175">
        <v>9</v>
      </c>
      <c r="AN3817" s="175">
        <v>0</v>
      </c>
      <c r="AO3817" s="175">
        <v>23</v>
      </c>
      <c r="AP3817" s="175">
        <v>21</v>
      </c>
      <c r="AQ3817" s="175">
        <v>0</v>
      </c>
      <c r="AR3817" s="175">
        <v>2</v>
      </c>
      <c r="AS3817" s="175">
        <v>5</v>
      </c>
      <c r="AT3817" s="175">
        <v>1</v>
      </c>
    </row>
    <row r="3818" spans="1:46">
      <c r="A3818">
        <v>60068</v>
      </c>
      <c r="B3818" t="s">
        <v>20907</v>
      </c>
      <c r="C3818" t="s">
        <v>20908</v>
      </c>
      <c r="D3818" t="s">
        <v>20909</v>
      </c>
      <c r="E3818" t="s">
        <v>20910</v>
      </c>
      <c r="F3818" t="s">
        <v>2483</v>
      </c>
      <c r="G3818" t="s">
        <v>2449</v>
      </c>
      <c r="H3818" t="s">
        <v>449</v>
      </c>
      <c r="J3818" t="s">
        <v>4032</v>
      </c>
      <c r="K3818" t="s">
        <v>606</v>
      </c>
      <c r="M3818" t="s">
        <v>2366</v>
      </c>
      <c r="N3818" t="s">
        <v>657</v>
      </c>
      <c r="O3818" t="s">
        <v>2450</v>
      </c>
      <c r="P3818" t="s">
        <v>670</v>
      </c>
      <c r="Q3818" t="s">
        <v>516</v>
      </c>
      <c r="R3818" t="s">
        <v>2368</v>
      </c>
      <c r="S3818" t="s">
        <v>2451</v>
      </c>
      <c r="T3818" t="s">
        <v>2165</v>
      </c>
      <c r="U3818">
        <v>241400</v>
      </c>
      <c r="V3818" t="s">
        <v>2473</v>
      </c>
      <c r="W3818" t="s">
        <v>1734</v>
      </c>
      <c r="X3818" t="s">
        <v>20911</v>
      </c>
      <c r="Y3818" t="s">
        <v>20910</v>
      </c>
      <c r="Z3818" t="s">
        <v>2483</v>
      </c>
      <c r="AA3818" t="s">
        <v>18685</v>
      </c>
      <c r="AE3818">
        <v>-41.142915010000003</v>
      </c>
      <c r="AF3818">
        <v>175.01469144999999</v>
      </c>
      <c r="AG3818" s="175">
        <v>23</v>
      </c>
      <c r="AH3818" s="175">
        <v>0</v>
      </c>
      <c r="AI3818" s="175">
        <v>0</v>
      </c>
      <c r="AJ3818" s="175">
        <v>0</v>
      </c>
      <c r="AK3818" s="175">
        <v>3</v>
      </c>
      <c r="AL3818" s="175">
        <v>8</v>
      </c>
      <c r="AM3818" s="175">
        <v>12</v>
      </c>
      <c r="AN3818" s="175">
        <v>0</v>
      </c>
      <c r="AO3818" s="175">
        <v>23</v>
      </c>
      <c r="AP3818" s="175">
        <v>19</v>
      </c>
      <c r="AQ3818" s="175">
        <v>5</v>
      </c>
      <c r="AR3818" s="175">
        <v>0</v>
      </c>
      <c r="AS3818" s="175">
        <v>5</v>
      </c>
      <c r="AT3818" s="175">
        <v>1</v>
      </c>
    </row>
    <row r="3819" spans="1:46">
      <c r="A3819">
        <v>60069</v>
      </c>
      <c r="B3819" t="s">
        <v>20912</v>
      </c>
      <c r="C3819" t="s">
        <v>20913</v>
      </c>
      <c r="D3819" t="s">
        <v>20914</v>
      </c>
      <c r="E3819" t="s">
        <v>20915</v>
      </c>
      <c r="F3819" t="s">
        <v>20916</v>
      </c>
      <c r="G3819" t="s">
        <v>2505</v>
      </c>
      <c r="H3819" t="s">
        <v>449</v>
      </c>
      <c r="J3819" t="s">
        <v>605</v>
      </c>
      <c r="K3819" t="s">
        <v>606</v>
      </c>
      <c r="M3819" t="s">
        <v>2366</v>
      </c>
      <c r="N3819" t="s">
        <v>4586</v>
      </c>
      <c r="O3819" t="s">
        <v>2506</v>
      </c>
      <c r="P3819" t="s">
        <v>739</v>
      </c>
      <c r="Q3819" t="s">
        <v>516</v>
      </c>
      <c r="R3819" t="s">
        <v>2368</v>
      </c>
      <c r="S3819" t="s">
        <v>2507</v>
      </c>
      <c r="T3819" t="s">
        <v>2526</v>
      </c>
      <c r="U3819">
        <v>244000</v>
      </c>
      <c r="V3819" t="s">
        <v>12358</v>
      </c>
      <c r="W3819" t="s">
        <v>2539</v>
      </c>
      <c r="X3819" t="s">
        <v>20917</v>
      </c>
      <c r="Y3819" t="s">
        <v>20915</v>
      </c>
      <c r="Z3819" t="s">
        <v>20916</v>
      </c>
      <c r="AA3819" t="s">
        <v>9092</v>
      </c>
      <c r="AC3819">
        <v>99110</v>
      </c>
      <c r="AD3819" t="s">
        <v>4304</v>
      </c>
      <c r="AE3819">
        <v>-41.211020939999997</v>
      </c>
      <c r="AF3819">
        <v>174.89383139</v>
      </c>
      <c r="AG3819" s="175">
        <v>18</v>
      </c>
      <c r="AH3819" s="175">
        <v>0</v>
      </c>
      <c r="AI3819" s="175">
        <v>0</v>
      </c>
      <c r="AJ3819" s="175">
        <v>0</v>
      </c>
      <c r="AK3819" s="175">
        <v>13</v>
      </c>
      <c r="AL3819" s="175">
        <v>11</v>
      </c>
      <c r="AM3819" s="175">
        <v>4</v>
      </c>
      <c r="AN3819" s="175">
        <v>0</v>
      </c>
      <c r="AO3819" s="175">
        <v>28</v>
      </c>
      <c r="AP3819" s="175">
        <v>25</v>
      </c>
      <c r="AQ3819" s="175">
        <v>3</v>
      </c>
      <c r="AR3819" s="175">
        <v>1</v>
      </c>
      <c r="AS3819" s="175">
        <v>4</v>
      </c>
      <c r="AT3819" s="175">
        <v>2</v>
      </c>
    </row>
    <row r="3820" spans="1:46">
      <c r="A3820">
        <v>60072</v>
      </c>
      <c r="B3820" t="s">
        <v>20918</v>
      </c>
      <c r="C3820" t="s">
        <v>20919</v>
      </c>
      <c r="E3820" t="s">
        <v>20920</v>
      </c>
      <c r="F3820" t="s">
        <v>2544</v>
      </c>
      <c r="G3820" t="s">
        <v>2505</v>
      </c>
      <c r="H3820" t="s">
        <v>347</v>
      </c>
      <c r="J3820" t="s">
        <v>605</v>
      </c>
      <c r="K3820" t="s">
        <v>606</v>
      </c>
      <c r="L3820" t="s">
        <v>4273</v>
      </c>
      <c r="M3820" t="s">
        <v>2366</v>
      </c>
      <c r="N3820" t="s">
        <v>625</v>
      </c>
      <c r="O3820" t="s">
        <v>2506</v>
      </c>
      <c r="P3820" t="s">
        <v>739</v>
      </c>
      <c r="Q3820" t="s">
        <v>516</v>
      </c>
      <c r="R3820" t="s">
        <v>2368</v>
      </c>
      <c r="S3820" t="s">
        <v>2451</v>
      </c>
      <c r="T3820" t="s">
        <v>2165</v>
      </c>
      <c r="U3820">
        <v>244500</v>
      </c>
      <c r="V3820" t="s">
        <v>2574</v>
      </c>
      <c r="W3820" t="s">
        <v>2546</v>
      </c>
      <c r="X3820" t="s">
        <v>20921</v>
      </c>
      <c r="Y3820" t="s">
        <v>4276</v>
      </c>
      <c r="Z3820" t="s">
        <v>4277</v>
      </c>
      <c r="AA3820" t="s">
        <v>4278</v>
      </c>
      <c r="AB3820" t="s">
        <v>20922</v>
      </c>
      <c r="AE3820">
        <v>-41.170555780000001</v>
      </c>
      <c r="AF3820">
        <v>174.98226911</v>
      </c>
      <c r="AG3820" s="175">
        <v>30</v>
      </c>
      <c r="AH3820" s="175">
        <v>10</v>
      </c>
      <c r="AI3820" s="175">
        <v>1</v>
      </c>
      <c r="AJ3820" s="175">
        <v>2</v>
      </c>
      <c r="AK3820" s="175">
        <v>4</v>
      </c>
      <c r="AL3820" s="175">
        <v>11</v>
      </c>
      <c r="AM3820" s="175">
        <v>4</v>
      </c>
      <c r="AN3820" s="175">
        <v>0</v>
      </c>
      <c r="AO3820" s="175">
        <v>22</v>
      </c>
      <c r="AP3820" s="175">
        <v>0</v>
      </c>
      <c r="AQ3820" s="175">
        <v>21</v>
      </c>
      <c r="AR3820" s="175">
        <v>0</v>
      </c>
      <c r="AS3820" s="175">
        <v>0</v>
      </c>
      <c r="AT3820" s="175">
        <v>1</v>
      </c>
    </row>
    <row r="3821" spans="1:46">
      <c r="A3821">
        <v>60073</v>
      </c>
      <c r="B3821" t="s">
        <v>20923</v>
      </c>
      <c r="C3821" t="s">
        <v>20924</v>
      </c>
      <c r="D3821" t="s">
        <v>20925</v>
      </c>
      <c r="E3821" t="s">
        <v>20926</v>
      </c>
      <c r="F3821" t="s">
        <v>19071</v>
      </c>
      <c r="G3821" t="s">
        <v>2368</v>
      </c>
      <c r="H3821" t="s">
        <v>347</v>
      </c>
      <c r="J3821" t="s">
        <v>605</v>
      </c>
      <c r="K3821" t="s">
        <v>606</v>
      </c>
      <c r="L3821" t="s">
        <v>4273</v>
      </c>
      <c r="M3821" t="s">
        <v>2366</v>
      </c>
      <c r="N3821" t="s">
        <v>657</v>
      </c>
      <c r="O3821" t="s">
        <v>2614</v>
      </c>
      <c r="P3821" t="s">
        <v>739</v>
      </c>
      <c r="Q3821" t="s">
        <v>516</v>
      </c>
      <c r="R3821" t="s">
        <v>2368</v>
      </c>
      <c r="S3821" t="s">
        <v>2615</v>
      </c>
      <c r="T3821" t="s">
        <v>2526</v>
      </c>
      <c r="U3821">
        <v>254200</v>
      </c>
      <c r="V3821" t="s">
        <v>20447</v>
      </c>
      <c r="W3821" t="s">
        <v>2669</v>
      </c>
      <c r="X3821" t="s">
        <v>10392</v>
      </c>
      <c r="Y3821" t="s">
        <v>4276</v>
      </c>
      <c r="Z3821" t="s">
        <v>4277</v>
      </c>
      <c r="AA3821" t="s">
        <v>4278</v>
      </c>
      <c r="AB3821" t="s">
        <v>10393</v>
      </c>
      <c r="AE3821">
        <v>-41.32154912</v>
      </c>
      <c r="AF3821">
        <v>174.80137457000001</v>
      </c>
      <c r="AG3821" s="175">
        <v>20</v>
      </c>
      <c r="AH3821" s="175">
        <v>10</v>
      </c>
      <c r="AI3821" s="175">
        <v>1</v>
      </c>
      <c r="AJ3821" s="175">
        <v>4</v>
      </c>
      <c r="AK3821" s="175">
        <v>4</v>
      </c>
      <c r="AL3821" s="175">
        <v>5</v>
      </c>
      <c r="AM3821" s="175">
        <v>4</v>
      </c>
      <c r="AN3821" s="175">
        <v>0</v>
      </c>
      <c r="AO3821" s="175">
        <v>18</v>
      </c>
      <c r="AP3821" s="175">
        <v>0</v>
      </c>
      <c r="AQ3821" s="175">
        <v>16</v>
      </c>
      <c r="AR3821" s="175">
        <v>0</v>
      </c>
      <c r="AS3821" s="175">
        <v>0</v>
      </c>
      <c r="AT3821" s="175">
        <v>2</v>
      </c>
    </row>
    <row r="3822" spans="1:46">
      <c r="A3822">
        <v>60078</v>
      </c>
      <c r="B3822" t="s">
        <v>20927</v>
      </c>
      <c r="C3822" t="s">
        <v>20928</v>
      </c>
      <c r="D3822" t="s">
        <v>20929</v>
      </c>
      <c r="E3822" t="s">
        <v>20930</v>
      </c>
      <c r="F3822" t="s">
        <v>2473</v>
      </c>
      <c r="G3822" t="s">
        <v>2449</v>
      </c>
      <c r="H3822" t="s">
        <v>449</v>
      </c>
      <c r="J3822" t="s">
        <v>4032</v>
      </c>
      <c r="K3822" t="s">
        <v>606</v>
      </c>
      <c r="M3822" t="s">
        <v>2366</v>
      </c>
      <c r="N3822" t="s">
        <v>657</v>
      </c>
      <c r="O3822" t="s">
        <v>2450</v>
      </c>
      <c r="P3822" t="s">
        <v>670</v>
      </c>
      <c r="Q3822" t="s">
        <v>516</v>
      </c>
      <c r="R3822" t="s">
        <v>2368</v>
      </c>
      <c r="S3822" t="s">
        <v>2451</v>
      </c>
      <c r="T3822" t="s">
        <v>2165</v>
      </c>
      <c r="U3822">
        <v>241400</v>
      </c>
      <c r="V3822" t="s">
        <v>2473</v>
      </c>
      <c r="W3822" t="s">
        <v>1734</v>
      </c>
      <c r="X3822" t="s">
        <v>20931</v>
      </c>
      <c r="Y3822" t="s">
        <v>20930</v>
      </c>
      <c r="Z3822" t="s">
        <v>2449</v>
      </c>
      <c r="AA3822" t="s">
        <v>18685</v>
      </c>
      <c r="AB3822" t="s">
        <v>20932</v>
      </c>
      <c r="AE3822">
        <v>-41.141410819999997</v>
      </c>
      <c r="AF3822">
        <v>175.01588618</v>
      </c>
      <c r="AG3822" s="175">
        <v>50</v>
      </c>
      <c r="AH3822" s="175">
        <v>20</v>
      </c>
      <c r="AI3822" s="175">
        <v>3</v>
      </c>
      <c r="AJ3822" s="175">
        <v>9</v>
      </c>
      <c r="AK3822" s="175">
        <v>16</v>
      </c>
      <c r="AL3822" s="175">
        <v>9</v>
      </c>
      <c r="AM3822" s="175">
        <v>7</v>
      </c>
      <c r="AN3822" s="175">
        <v>0</v>
      </c>
      <c r="AO3822" s="175">
        <v>44</v>
      </c>
      <c r="AP3822" s="175">
        <v>36</v>
      </c>
      <c r="AQ3822" s="175">
        <v>8</v>
      </c>
      <c r="AR3822" s="175">
        <v>1</v>
      </c>
      <c r="AS3822" s="175">
        <v>4</v>
      </c>
      <c r="AT3822" s="175">
        <v>2</v>
      </c>
    </row>
    <row r="3823" spans="1:46">
      <c r="A3823">
        <v>60079</v>
      </c>
      <c r="B3823" t="s">
        <v>20933</v>
      </c>
      <c r="C3823" t="s">
        <v>20934</v>
      </c>
      <c r="D3823" t="s">
        <v>13783</v>
      </c>
      <c r="E3823" t="s">
        <v>20935</v>
      </c>
      <c r="G3823" t="s">
        <v>2877</v>
      </c>
      <c r="H3823" t="s">
        <v>449</v>
      </c>
      <c r="J3823" t="s">
        <v>4032</v>
      </c>
      <c r="K3823" t="s">
        <v>606</v>
      </c>
      <c r="M3823" t="s">
        <v>2366</v>
      </c>
      <c r="N3823" t="s">
        <v>657</v>
      </c>
      <c r="O3823" t="s">
        <v>2753</v>
      </c>
      <c r="P3823" t="s">
        <v>1347</v>
      </c>
      <c r="Q3823" t="s">
        <v>516</v>
      </c>
      <c r="R3823" t="s">
        <v>2368</v>
      </c>
      <c r="S3823" t="s">
        <v>2148</v>
      </c>
      <c r="T3823" t="s">
        <v>1568</v>
      </c>
      <c r="U3823">
        <v>237200</v>
      </c>
      <c r="V3823" t="s">
        <v>20936</v>
      </c>
      <c r="W3823" t="s">
        <v>2879</v>
      </c>
      <c r="X3823" t="s">
        <v>20937</v>
      </c>
      <c r="Y3823" t="s">
        <v>13784</v>
      </c>
      <c r="Z3823" t="s">
        <v>2691</v>
      </c>
      <c r="AA3823" t="s">
        <v>14174</v>
      </c>
      <c r="AB3823" t="s">
        <v>20938</v>
      </c>
      <c r="AE3823">
        <v>-40.878518999999997</v>
      </c>
      <c r="AF3823">
        <v>175.04714011999999</v>
      </c>
      <c r="AG3823" s="175">
        <v>35</v>
      </c>
      <c r="AH3823" s="175">
        <v>10</v>
      </c>
      <c r="AI3823" s="175">
        <v>2</v>
      </c>
      <c r="AJ3823" s="175">
        <v>5</v>
      </c>
      <c r="AK3823" s="175">
        <v>15</v>
      </c>
      <c r="AL3823" s="175">
        <v>8</v>
      </c>
      <c r="AM3823" s="175">
        <v>8</v>
      </c>
      <c r="AN3823" s="175">
        <v>1</v>
      </c>
      <c r="AO3823" s="175">
        <v>39</v>
      </c>
      <c r="AP3823" s="175">
        <v>36</v>
      </c>
      <c r="AQ3823" s="175">
        <v>6</v>
      </c>
      <c r="AR3823" s="175">
        <v>2</v>
      </c>
      <c r="AS3823" s="175">
        <v>3</v>
      </c>
      <c r="AT3823" s="175">
        <v>0</v>
      </c>
    </row>
    <row r="3824" spans="1:46">
      <c r="A3824">
        <v>60081</v>
      </c>
      <c r="B3824" t="s">
        <v>20939</v>
      </c>
      <c r="C3824" t="s">
        <v>20940</v>
      </c>
      <c r="D3824" t="s">
        <v>20941</v>
      </c>
      <c r="E3824" t="s">
        <v>20942</v>
      </c>
      <c r="F3824" t="s">
        <v>2538</v>
      </c>
      <c r="G3824" t="s">
        <v>2505</v>
      </c>
      <c r="H3824" t="s">
        <v>449</v>
      </c>
      <c r="J3824" t="s">
        <v>605</v>
      </c>
      <c r="K3824" t="s">
        <v>606</v>
      </c>
      <c r="M3824" t="s">
        <v>2366</v>
      </c>
      <c r="N3824" t="s">
        <v>657</v>
      </c>
      <c r="O3824" t="s">
        <v>2506</v>
      </c>
      <c r="P3824" t="s">
        <v>739</v>
      </c>
      <c r="Q3824" t="s">
        <v>516</v>
      </c>
      <c r="R3824" t="s">
        <v>2368</v>
      </c>
      <c r="S3824" t="s">
        <v>2507</v>
      </c>
      <c r="T3824" t="s">
        <v>2165</v>
      </c>
      <c r="U3824">
        <v>243400</v>
      </c>
      <c r="V3824" t="s">
        <v>2538</v>
      </c>
      <c r="W3824" t="s">
        <v>2539</v>
      </c>
      <c r="X3824" t="s">
        <v>20943</v>
      </c>
      <c r="Y3824" t="s">
        <v>20942</v>
      </c>
      <c r="Z3824" t="s">
        <v>2538</v>
      </c>
      <c r="AA3824" t="s">
        <v>9092</v>
      </c>
      <c r="AB3824" t="s">
        <v>20940</v>
      </c>
      <c r="AC3824">
        <v>99164</v>
      </c>
      <c r="AD3824" t="s">
        <v>18015</v>
      </c>
      <c r="AE3824">
        <v>-41.178278460000001</v>
      </c>
      <c r="AF3824">
        <v>174.93460539</v>
      </c>
      <c r="AG3824" s="175">
        <v>36</v>
      </c>
      <c r="AH3824" s="175">
        <v>0</v>
      </c>
      <c r="AI3824" s="175">
        <v>0</v>
      </c>
      <c r="AJ3824" s="175">
        <v>0</v>
      </c>
      <c r="AK3824" s="175">
        <v>8</v>
      </c>
      <c r="AL3824" s="175">
        <v>19</v>
      </c>
      <c r="AM3824" s="175">
        <v>17</v>
      </c>
      <c r="AN3824" s="175">
        <v>0</v>
      </c>
      <c r="AO3824" s="175">
        <v>44</v>
      </c>
      <c r="AP3824" s="175">
        <v>30</v>
      </c>
      <c r="AQ3824" s="175">
        <v>4</v>
      </c>
      <c r="AR3824" s="175">
        <v>3</v>
      </c>
      <c r="AS3824" s="175">
        <v>12</v>
      </c>
      <c r="AT3824" s="175">
        <v>3</v>
      </c>
    </row>
    <row r="3825" spans="1:46">
      <c r="A3825">
        <v>60083</v>
      </c>
      <c r="B3825" t="s">
        <v>20944</v>
      </c>
      <c r="C3825" t="s">
        <v>20945</v>
      </c>
      <c r="D3825" t="s">
        <v>20946</v>
      </c>
      <c r="E3825" t="s">
        <v>20947</v>
      </c>
      <c r="F3825" t="s">
        <v>20566</v>
      </c>
      <c r="G3825" t="s">
        <v>2505</v>
      </c>
      <c r="H3825" t="s">
        <v>449</v>
      </c>
      <c r="J3825" t="s">
        <v>605</v>
      </c>
      <c r="K3825" t="s">
        <v>606</v>
      </c>
      <c r="M3825" t="s">
        <v>2366</v>
      </c>
      <c r="N3825" t="s">
        <v>657</v>
      </c>
      <c r="O3825" t="s">
        <v>2506</v>
      </c>
      <c r="P3825" t="s">
        <v>739</v>
      </c>
      <c r="Q3825" t="s">
        <v>516</v>
      </c>
      <c r="R3825" t="s">
        <v>2368</v>
      </c>
      <c r="S3825" t="s">
        <v>2451</v>
      </c>
      <c r="T3825" t="s">
        <v>2165</v>
      </c>
      <c r="U3825">
        <v>245200</v>
      </c>
      <c r="V3825" t="s">
        <v>2520</v>
      </c>
      <c r="W3825" t="s">
        <v>2521</v>
      </c>
      <c r="X3825" t="s">
        <v>20948</v>
      </c>
      <c r="Y3825" t="s">
        <v>20949</v>
      </c>
      <c r="Z3825" t="s">
        <v>6058</v>
      </c>
      <c r="AA3825" t="s">
        <v>9092</v>
      </c>
      <c r="AB3825" t="s">
        <v>20950</v>
      </c>
      <c r="AE3825">
        <v>-41.19760866</v>
      </c>
      <c r="AF3825">
        <v>174.93795335999999</v>
      </c>
      <c r="AG3825" s="175">
        <v>21</v>
      </c>
      <c r="AH3825" s="175">
        <v>21</v>
      </c>
      <c r="AI3825" s="175">
        <v>2</v>
      </c>
      <c r="AJ3825" s="175">
        <v>18</v>
      </c>
      <c r="AK3825" s="175">
        <v>2</v>
      </c>
      <c r="AL3825" s="175">
        <v>0</v>
      </c>
      <c r="AM3825" s="175">
        <v>0</v>
      </c>
      <c r="AN3825" s="175">
        <v>0</v>
      </c>
      <c r="AO3825" s="175">
        <v>22</v>
      </c>
      <c r="AP3825" s="175">
        <v>13</v>
      </c>
      <c r="AQ3825" s="175">
        <v>2</v>
      </c>
      <c r="AR3825" s="175">
        <v>3</v>
      </c>
      <c r="AS3825" s="175">
        <v>7</v>
      </c>
      <c r="AT3825" s="175">
        <v>1</v>
      </c>
    </row>
    <row r="3826" spans="1:46">
      <c r="A3826">
        <v>60085</v>
      </c>
      <c r="B3826" t="s">
        <v>20951</v>
      </c>
      <c r="C3826" t="s">
        <v>20952</v>
      </c>
      <c r="D3826" t="s">
        <v>20953</v>
      </c>
      <c r="E3826" t="s">
        <v>20954</v>
      </c>
      <c r="F3826" t="s">
        <v>2656</v>
      </c>
      <c r="G3826" t="s">
        <v>2604</v>
      </c>
      <c r="H3826" t="s">
        <v>449</v>
      </c>
      <c r="J3826" t="s">
        <v>4032</v>
      </c>
      <c r="K3826" t="s">
        <v>606</v>
      </c>
      <c r="M3826" t="s">
        <v>2366</v>
      </c>
      <c r="N3826" t="s">
        <v>657</v>
      </c>
      <c r="O3826" t="s">
        <v>2605</v>
      </c>
      <c r="P3826" t="s">
        <v>670</v>
      </c>
      <c r="Q3826" t="s">
        <v>516</v>
      </c>
      <c r="R3826" t="s">
        <v>2368</v>
      </c>
      <c r="S3826" t="s">
        <v>2606</v>
      </c>
      <c r="T3826" t="s">
        <v>1568</v>
      </c>
      <c r="U3826">
        <v>240401</v>
      </c>
      <c r="V3826" t="s">
        <v>2656</v>
      </c>
      <c r="W3826" t="s">
        <v>2657</v>
      </c>
      <c r="X3826" t="s">
        <v>20955</v>
      </c>
      <c r="Y3826" t="s">
        <v>4051</v>
      </c>
      <c r="AA3826" t="s">
        <v>4052</v>
      </c>
      <c r="AB3826" t="s">
        <v>20956</v>
      </c>
      <c r="AC3826">
        <v>99068</v>
      </c>
      <c r="AD3826" t="s">
        <v>2608</v>
      </c>
      <c r="AE3826">
        <v>-41.108921600000002</v>
      </c>
      <c r="AF3826">
        <v>174.8899548</v>
      </c>
      <c r="AG3826" s="175">
        <v>72</v>
      </c>
      <c r="AH3826" s="175">
        <v>19</v>
      </c>
      <c r="AI3826" s="175">
        <v>4</v>
      </c>
      <c r="AJ3826" s="175">
        <v>15</v>
      </c>
      <c r="AK3826" s="175">
        <v>24</v>
      </c>
      <c r="AL3826" s="175">
        <v>21</v>
      </c>
      <c r="AM3826" s="175">
        <v>20</v>
      </c>
      <c r="AN3826" s="175">
        <v>0</v>
      </c>
      <c r="AO3826" s="175">
        <v>84</v>
      </c>
      <c r="AP3826" s="175">
        <v>72</v>
      </c>
      <c r="AQ3826" s="175">
        <v>12</v>
      </c>
      <c r="AR3826" s="175">
        <v>12</v>
      </c>
      <c r="AS3826" s="175">
        <v>10</v>
      </c>
      <c r="AT3826" s="175">
        <v>0</v>
      </c>
    </row>
    <row r="3827" spans="1:46">
      <c r="A3827">
        <v>60086</v>
      </c>
      <c r="B3827" t="s">
        <v>20957</v>
      </c>
      <c r="C3827" t="s">
        <v>13511</v>
      </c>
      <c r="D3827" t="s">
        <v>20635</v>
      </c>
      <c r="E3827" t="s">
        <v>20636</v>
      </c>
      <c r="F3827" t="s">
        <v>2656</v>
      </c>
      <c r="G3827" t="s">
        <v>2604</v>
      </c>
      <c r="H3827" t="s">
        <v>450</v>
      </c>
      <c r="J3827" t="s">
        <v>4032</v>
      </c>
      <c r="K3827" t="s">
        <v>606</v>
      </c>
      <c r="M3827" t="s">
        <v>2366</v>
      </c>
      <c r="N3827" t="s">
        <v>4586</v>
      </c>
      <c r="O3827" t="s">
        <v>2605</v>
      </c>
      <c r="P3827" t="s">
        <v>670</v>
      </c>
      <c r="Q3827" t="s">
        <v>516</v>
      </c>
      <c r="R3827" t="s">
        <v>2368</v>
      </c>
      <c r="S3827" t="s">
        <v>2606</v>
      </c>
      <c r="T3827" t="s">
        <v>1568</v>
      </c>
      <c r="U3827">
        <v>240201</v>
      </c>
      <c r="V3827" t="s">
        <v>20637</v>
      </c>
      <c r="W3827" t="s">
        <v>2657</v>
      </c>
      <c r="X3827" t="s">
        <v>20638</v>
      </c>
      <c r="Y3827" t="s">
        <v>8465</v>
      </c>
      <c r="AA3827" t="s">
        <v>8468</v>
      </c>
      <c r="AE3827">
        <v>-41.109791880000003</v>
      </c>
      <c r="AF3827">
        <v>174.88259772000001</v>
      </c>
      <c r="AG3827" s="175">
        <v>50</v>
      </c>
      <c r="AH3827" s="175">
        <v>50</v>
      </c>
      <c r="AI3827" s="175">
        <v>2</v>
      </c>
      <c r="AJ3827" s="175">
        <v>12</v>
      </c>
      <c r="AK3827" s="175">
        <v>11</v>
      </c>
      <c r="AL3827" s="175">
        <v>8</v>
      </c>
      <c r="AM3827" s="175">
        <v>7</v>
      </c>
      <c r="AN3827" s="175">
        <v>0</v>
      </c>
      <c r="AO3827" s="175">
        <v>40</v>
      </c>
      <c r="AP3827" s="175">
        <v>32</v>
      </c>
      <c r="AQ3827" s="175">
        <v>8</v>
      </c>
      <c r="AR3827" s="175">
        <v>2</v>
      </c>
      <c r="AS3827" s="175">
        <v>5</v>
      </c>
      <c r="AT3827" s="175">
        <v>4</v>
      </c>
    </row>
    <row r="3828" spans="1:46">
      <c r="A3828">
        <v>60087</v>
      </c>
      <c r="B3828" t="s">
        <v>20958</v>
      </c>
      <c r="C3828" t="s">
        <v>20959</v>
      </c>
      <c r="D3828" t="s">
        <v>20960</v>
      </c>
      <c r="E3828" t="s">
        <v>20961</v>
      </c>
      <c r="F3828" t="s">
        <v>12456</v>
      </c>
      <c r="G3828" t="s">
        <v>2368</v>
      </c>
      <c r="H3828" t="s">
        <v>452</v>
      </c>
      <c r="J3828" t="s">
        <v>605</v>
      </c>
      <c r="K3828" t="s">
        <v>606</v>
      </c>
      <c r="M3828" t="s">
        <v>2366</v>
      </c>
      <c r="N3828" t="s">
        <v>657</v>
      </c>
      <c r="O3828" t="s">
        <v>2614</v>
      </c>
      <c r="P3828" t="s">
        <v>739</v>
      </c>
      <c r="Q3828" t="s">
        <v>516</v>
      </c>
      <c r="R3828" t="s">
        <v>2368</v>
      </c>
      <c r="S3828" t="s">
        <v>2615</v>
      </c>
      <c r="T3828" t="s">
        <v>2526</v>
      </c>
      <c r="U3828">
        <v>254000</v>
      </c>
      <c r="V3828" t="s">
        <v>20962</v>
      </c>
      <c r="W3828" t="s">
        <v>2616</v>
      </c>
      <c r="X3828" t="s">
        <v>1970</v>
      </c>
      <c r="Y3828" t="s">
        <v>1971</v>
      </c>
      <c r="AA3828" t="s">
        <v>1972</v>
      </c>
      <c r="AB3828" t="s">
        <v>1973</v>
      </c>
      <c r="AC3828">
        <v>99171</v>
      </c>
      <c r="AD3828" t="s">
        <v>2617</v>
      </c>
      <c r="AE3828">
        <v>-41.334635110000001</v>
      </c>
      <c r="AF3828">
        <v>174.77607707000001</v>
      </c>
      <c r="AG3828" s="175">
        <v>60</v>
      </c>
      <c r="AH3828" s="175">
        <v>10</v>
      </c>
      <c r="AI3828" s="175">
        <v>0</v>
      </c>
      <c r="AJ3828" s="175">
        <v>0</v>
      </c>
      <c r="AK3828" s="175">
        <v>12</v>
      </c>
      <c r="AL3828" s="175">
        <v>22</v>
      </c>
      <c r="AM3828" s="175">
        <v>27</v>
      </c>
      <c r="AN3828" s="175">
        <v>0</v>
      </c>
      <c r="AO3828" s="175">
        <v>61</v>
      </c>
      <c r="AP3828" s="175">
        <v>51</v>
      </c>
      <c r="AQ3828" s="175">
        <v>5</v>
      </c>
      <c r="AR3828" s="175">
        <v>2</v>
      </c>
      <c r="AS3828" s="175">
        <v>14</v>
      </c>
      <c r="AT3828" s="175">
        <v>3</v>
      </c>
    </row>
    <row r="3829" spans="1:46">
      <c r="A3829">
        <v>60088</v>
      </c>
      <c r="B3829" t="s">
        <v>20963</v>
      </c>
      <c r="C3829" t="s">
        <v>20964</v>
      </c>
      <c r="D3829" t="s">
        <v>20965</v>
      </c>
      <c r="E3829" t="s">
        <v>20966</v>
      </c>
      <c r="F3829" t="s">
        <v>2649</v>
      </c>
      <c r="G3829" t="s">
        <v>2368</v>
      </c>
      <c r="H3829" t="s">
        <v>449</v>
      </c>
      <c r="J3829" t="s">
        <v>4032</v>
      </c>
      <c r="K3829" t="s">
        <v>606</v>
      </c>
      <c r="M3829" t="s">
        <v>2366</v>
      </c>
      <c r="N3829" t="s">
        <v>4586</v>
      </c>
      <c r="O3829" t="s">
        <v>2614</v>
      </c>
      <c r="P3829" t="s">
        <v>739</v>
      </c>
      <c r="Q3829" t="s">
        <v>516</v>
      </c>
      <c r="R3829" t="s">
        <v>2368</v>
      </c>
      <c r="S3829" t="s">
        <v>2631</v>
      </c>
      <c r="T3829" t="s">
        <v>2526</v>
      </c>
      <c r="U3829">
        <v>252100</v>
      </c>
      <c r="V3829" t="s">
        <v>18466</v>
      </c>
      <c r="W3829" t="s">
        <v>2651</v>
      </c>
      <c r="X3829" t="s">
        <v>11598</v>
      </c>
      <c r="Y3829" t="s">
        <v>14182</v>
      </c>
      <c r="Z3829" t="s">
        <v>906</v>
      </c>
      <c r="AA3829" t="s">
        <v>4138</v>
      </c>
      <c r="AB3829" t="s">
        <v>11600</v>
      </c>
      <c r="AE3829">
        <v>-41.29905256</v>
      </c>
      <c r="AF3829">
        <v>174.78143710000001</v>
      </c>
      <c r="AG3829" s="175">
        <v>46</v>
      </c>
      <c r="AH3829" s="175">
        <v>25</v>
      </c>
      <c r="AI3829" s="175">
        <v>4</v>
      </c>
      <c r="AJ3829" s="175">
        <v>15</v>
      </c>
      <c r="AK3829" s="175">
        <v>9</v>
      </c>
      <c r="AL3829" s="175">
        <v>14</v>
      </c>
      <c r="AM3829" s="175">
        <v>5</v>
      </c>
      <c r="AN3829" s="175">
        <v>0</v>
      </c>
      <c r="AO3829" s="175">
        <v>47</v>
      </c>
      <c r="AP3829" s="175">
        <v>28</v>
      </c>
      <c r="AQ3829" s="175">
        <v>5</v>
      </c>
      <c r="AR3829" s="175">
        <v>6</v>
      </c>
      <c r="AS3829" s="175">
        <v>13</v>
      </c>
      <c r="AT3829" s="175">
        <v>2</v>
      </c>
    </row>
    <row r="3830" spans="1:46">
      <c r="A3830">
        <v>60090</v>
      </c>
      <c r="B3830" t="s">
        <v>20967</v>
      </c>
      <c r="C3830" t="s">
        <v>20968</v>
      </c>
      <c r="E3830" t="s">
        <v>20969</v>
      </c>
      <c r="F3830" t="s">
        <v>20970</v>
      </c>
      <c r="G3830" t="s">
        <v>2368</v>
      </c>
      <c r="H3830" t="s">
        <v>449</v>
      </c>
      <c r="J3830" t="s">
        <v>4032</v>
      </c>
      <c r="K3830" t="s">
        <v>606</v>
      </c>
      <c r="M3830" t="s">
        <v>2366</v>
      </c>
      <c r="N3830" t="s">
        <v>657</v>
      </c>
      <c r="O3830" t="s">
        <v>2614</v>
      </c>
      <c r="P3830" t="s">
        <v>739</v>
      </c>
      <c r="Q3830" t="s">
        <v>516</v>
      </c>
      <c r="R3830" t="s">
        <v>2368</v>
      </c>
      <c r="S3830" t="s">
        <v>2615</v>
      </c>
      <c r="T3830" t="s">
        <v>2526</v>
      </c>
      <c r="U3830">
        <v>253200</v>
      </c>
      <c r="V3830" t="s">
        <v>20971</v>
      </c>
      <c r="W3830" t="s">
        <v>2669</v>
      </c>
      <c r="X3830" t="s">
        <v>20972</v>
      </c>
      <c r="Y3830" t="s">
        <v>4725</v>
      </c>
      <c r="Z3830" t="s">
        <v>1043</v>
      </c>
      <c r="AA3830" t="s">
        <v>4726</v>
      </c>
      <c r="AB3830" t="s">
        <v>20968</v>
      </c>
      <c r="AE3830">
        <v>-41.302384529999998</v>
      </c>
      <c r="AF3830">
        <v>174.80374699999999</v>
      </c>
      <c r="AG3830" s="175">
        <v>50</v>
      </c>
      <c r="AH3830" s="175">
        <v>20</v>
      </c>
      <c r="AI3830" s="175">
        <v>3</v>
      </c>
      <c r="AJ3830" s="175">
        <v>12</v>
      </c>
      <c r="AK3830" s="175">
        <v>11</v>
      </c>
      <c r="AL3830" s="175">
        <v>11</v>
      </c>
      <c r="AM3830" s="175">
        <v>9</v>
      </c>
      <c r="AN3830" s="175">
        <v>0</v>
      </c>
      <c r="AO3830" s="175">
        <v>46</v>
      </c>
      <c r="AP3830" s="175">
        <v>41</v>
      </c>
      <c r="AQ3830" s="175">
        <v>4</v>
      </c>
      <c r="AR3830" s="175">
        <v>0</v>
      </c>
      <c r="AS3830" s="175">
        <v>8</v>
      </c>
      <c r="AT3830" s="175">
        <v>4</v>
      </c>
    </row>
    <row r="3831" spans="1:46">
      <c r="A3831">
        <v>60092</v>
      </c>
      <c r="B3831" t="s">
        <v>20973</v>
      </c>
      <c r="C3831" t="s">
        <v>20974</v>
      </c>
      <c r="D3831" t="s">
        <v>20975</v>
      </c>
      <c r="E3831" t="s">
        <v>20976</v>
      </c>
      <c r="F3831" t="s">
        <v>2589</v>
      </c>
      <c r="G3831" t="s">
        <v>2505</v>
      </c>
      <c r="H3831" t="s">
        <v>449</v>
      </c>
      <c r="J3831" t="s">
        <v>4032</v>
      </c>
      <c r="K3831" t="s">
        <v>606</v>
      </c>
      <c r="M3831" t="s">
        <v>2366</v>
      </c>
      <c r="N3831" t="s">
        <v>657</v>
      </c>
      <c r="O3831" t="s">
        <v>2506</v>
      </c>
      <c r="P3831" t="s">
        <v>739</v>
      </c>
      <c r="Q3831" t="s">
        <v>516</v>
      </c>
      <c r="R3831" t="s">
        <v>2368</v>
      </c>
      <c r="S3831" t="s">
        <v>2507</v>
      </c>
      <c r="T3831" t="s">
        <v>2526</v>
      </c>
      <c r="U3831">
        <v>244200</v>
      </c>
      <c r="V3831" t="s">
        <v>2589</v>
      </c>
      <c r="W3831" t="s">
        <v>2521</v>
      </c>
      <c r="X3831" t="s">
        <v>12404</v>
      </c>
      <c r="Y3831" t="s">
        <v>4166</v>
      </c>
      <c r="Z3831" t="s">
        <v>4167</v>
      </c>
      <c r="AA3831" t="s">
        <v>4168</v>
      </c>
      <c r="AE3831">
        <v>-41.203464150000002</v>
      </c>
      <c r="AF3831">
        <v>174.91210301999999</v>
      </c>
      <c r="AG3831" s="175">
        <v>70</v>
      </c>
      <c r="AH3831" s="175">
        <v>25</v>
      </c>
      <c r="AI3831" s="175">
        <v>5</v>
      </c>
      <c r="AJ3831" s="175">
        <v>19</v>
      </c>
      <c r="AK3831" s="175">
        <v>16</v>
      </c>
      <c r="AL3831" s="175">
        <v>24</v>
      </c>
      <c r="AM3831" s="175">
        <v>22</v>
      </c>
      <c r="AN3831" s="175">
        <v>1</v>
      </c>
      <c r="AO3831" s="175">
        <v>87</v>
      </c>
      <c r="AP3831" s="175">
        <v>70</v>
      </c>
      <c r="AQ3831" s="175">
        <v>13</v>
      </c>
      <c r="AR3831" s="175">
        <v>4</v>
      </c>
      <c r="AS3831" s="175">
        <v>21</v>
      </c>
      <c r="AT3831" s="175">
        <v>1</v>
      </c>
    </row>
    <row r="3832" spans="1:46">
      <c r="A3832">
        <v>60096</v>
      </c>
      <c r="B3832" t="s">
        <v>20977</v>
      </c>
      <c r="C3832" t="s">
        <v>20978</v>
      </c>
      <c r="D3832" t="s">
        <v>20979</v>
      </c>
      <c r="E3832" t="s">
        <v>20980</v>
      </c>
      <c r="F3832" t="s">
        <v>2544</v>
      </c>
      <c r="G3832" t="s">
        <v>2505</v>
      </c>
      <c r="H3832" t="s">
        <v>449</v>
      </c>
      <c r="J3832" t="s">
        <v>605</v>
      </c>
      <c r="K3832" t="s">
        <v>606</v>
      </c>
      <c r="M3832" t="s">
        <v>2366</v>
      </c>
      <c r="N3832" t="s">
        <v>657</v>
      </c>
      <c r="O3832" t="s">
        <v>2506</v>
      </c>
      <c r="P3832" t="s">
        <v>739</v>
      </c>
      <c r="Q3832" t="s">
        <v>516</v>
      </c>
      <c r="R3832" t="s">
        <v>2368</v>
      </c>
      <c r="S3832" t="s">
        <v>2451</v>
      </c>
      <c r="T3832" t="s">
        <v>2165</v>
      </c>
      <c r="U3832">
        <v>245900</v>
      </c>
      <c r="V3832" t="s">
        <v>20981</v>
      </c>
      <c r="W3832" t="s">
        <v>2546</v>
      </c>
      <c r="X3832" t="s">
        <v>10497</v>
      </c>
      <c r="Y3832" t="s">
        <v>4014</v>
      </c>
      <c r="Z3832" t="s">
        <v>4015</v>
      </c>
      <c r="AA3832" t="s">
        <v>4016</v>
      </c>
      <c r="AE3832">
        <v>-41.175224299999996</v>
      </c>
      <c r="AF3832">
        <v>174.98004854999999</v>
      </c>
      <c r="AG3832" s="175">
        <v>61</v>
      </c>
      <c r="AH3832" s="175">
        <v>20</v>
      </c>
      <c r="AI3832" s="175">
        <v>4</v>
      </c>
      <c r="AJ3832" s="175">
        <v>9</v>
      </c>
      <c r="AK3832" s="175">
        <v>16</v>
      </c>
      <c r="AL3832" s="175">
        <v>19</v>
      </c>
      <c r="AM3832" s="175">
        <v>18</v>
      </c>
      <c r="AN3832" s="175">
        <v>0</v>
      </c>
      <c r="AO3832" s="175">
        <v>66</v>
      </c>
      <c r="AP3832" s="175">
        <v>29</v>
      </c>
      <c r="AQ3832" s="175">
        <v>11</v>
      </c>
      <c r="AR3832" s="175">
        <v>8</v>
      </c>
      <c r="AS3832" s="175">
        <v>27</v>
      </c>
      <c r="AT3832" s="175">
        <v>5</v>
      </c>
    </row>
    <row r="3833" spans="1:46">
      <c r="A3833">
        <v>60101</v>
      </c>
      <c r="B3833" t="s">
        <v>20982</v>
      </c>
      <c r="C3833" t="s">
        <v>20983</v>
      </c>
      <c r="D3833" t="s">
        <v>20984</v>
      </c>
      <c r="E3833" t="s">
        <v>20985</v>
      </c>
      <c r="G3833" t="s">
        <v>2396</v>
      </c>
      <c r="H3833" t="s">
        <v>449</v>
      </c>
      <c r="J3833" t="s">
        <v>605</v>
      </c>
      <c r="K3833" t="s">
        <v>606</v>
      </c>
      <c r="M3833" t="s">
        <v>2366</v>
      </c>
      <c r="N3833" t="s">
        <v>812</v>
      </c>
      <c r="O3833" t="s">
        <v>2397</v>
      </c>
      <c r="P3833" t="s">
        <v>1347</v>
      </c>
      <c r="Q3833" t="s">
        <v>516</v>
      </c>
      <c r="R3833" t="s">
        <v>2368</v>
      </c>
      <c r="S3833" t="s">
        <v>2348</v>
      </c>
      <c r="T3833" t="s">
        <v>2165</v>
      </c>
      <c r="U3833">
        <v>256700</v>
      </c>
      <c r="V3833" t="s">
        <v>20986</v>
      </c>
      <c r="W3833" t="s">
        <v>2399</v>
      </c>
      <c r="X3833" t="s">
        <v>20987</v>
      </c>
      <c r="Y3833" t="s">
        <v>20988</v>
      </c>
      <c r="AA3833" t="s">
        <v>20989</v>
      </c>
      <c r="AC3833">
        <v>99204</v>
      </c>
      <c r="AD3833" t="s">
        <v>2400</v>
      </c>
      <c r="AE3833">
        <v>-40.960675100000003</v>
      </c>
      <c r="AF3833">
        <v>175.66734751000001</v>
      </c>
      <c r="AG3833" s="175">
        <v>30</v>
      </c>
      <c r="AH3833" s="175">
        <v>8</v>
      </c>
      <c r="AI3833" s="175">
        <v>0</v>
      </c>
      <c r="AJ3833" s="175">
        <v>2</v>
      </c>
      <c r="AK3833" s="175">
        <v>8</v>
      </c>
      <c r="AL3833" s="175">
        <v>12</v>
      </c>
      <c r="AM3833" s="175">
        <v>8</v>
      </c>
      <c r="AN3833" s="175">
        <v>1</v>
      </c>
      <c r="AO3833" s="175">
        <v>31</v>
      </c>
      <c r="AP3833" s="175">
        <v>15</v>
      </c>
      <c r="AQ3833" s="175">
        <v>26</v>
      </c>
      <c r="AR3833" s="175">
        <v>4</v>
      </c>
      <c r="AS3833" s="175">
        <v>2</v>
      </c>
      <c r="AT3833" s="175">
        <v>1</v>
      </c>
    </row>
    <row r="3834" spans="1:46">
      <c r="A3834">
        <v>60103</v>
      </c>
      <c r="B3834" t="s">
        <v>20990</v>
      </c>
      <c r="C3834" t="s">
        <v>6445</v>
      </c>
      <c r="D3834" t="s">
        <v>20991</v>
      </c>
      <c r="E3834" t="s">
        <v>20992</v>
      </c>
      <c r="F3834" t="s">
        <v>2615</v>
      </c>
      <c r="G3834" t="s">
        <v>2368</v>
      </c>
      <c r="H3834" t="s">
        <v>449</v>
      </c>
      <c r="J3834" t="s">
        <v>4032</v>
      </c>
      <c r="K3834" t="s">
        <v>606</v>
      </c>
      <c r="M3834" t="s">
        <v>2366</v>
      </c>
      <c r="N3834" t="s">
        <v>657</v>
      </c>
      <c r="O3834" t="s">
        <v>2614</v>
      </c>
      <c r="P3834" t="s">
        <v>739</v>
      </c>
      <c r="Q3834" t="s">
        <v>516</v>
      </c>
      <c r="R3834" t="s">
        <v>2368</v>
      </c>
      <c r="S3834" t="s">
        <v>2615</v>
      </c>
      <c r="T3834" t="s">
        <v>2526</v>
      </c>
      <c r="U3834">
        <v>254200</v>
      </c>
      <c r="V3834" t="s">
        <v>20447</v>
      </c>
      <c r="W3834" t="s">
        <v>2669</v>
      </c>
      <c r="X3834" t="s">
        <v>12404</v>
      </c>
      <c r="Y3834" t="s">
        <v>4166</v>
      </c>
      <c r="Z3834" t="s">
        <v>4167</v>
      </c>
      <c r="AA3834" t="s">
        <v>4168</v>
      </c>
      <c r="AE3834">
        <v>-41.318364150000001</v>
      </c>
      <c r="AF3834">
        <v>174.79981246</v>
      </c>
      <c r="AG3834" s="175">
        <v>100</v>
      </c>
      <c r="AH3834" s="175">
        <v>25</v>
      </c>
      <c r="AI3834" s="175">
        <v>6</v>
      </c>
      <c r="AJ3834" s="175">
        <v>24</v>
      </c>
      <c r="AK3834" s="175">
        <v>34</v>
      </c>
      <c r="AL3834" s="175">
        <v>34</v>
      </c>
      <c r="AM3834" s="175">
        <v>20</v>
      </c>
      <c r="AN3834" s="175">
        <v>0</v>
      </c>
      <c r="AO3834" s="175">
        <v>118</v>
      </c>
      <c r="AP3834" s="175">
        <v>90</v>
      </c>
      <c r="AQ3834" s="175">
        <v>8</v>
      </c>
      <c r="AR3834" s="175">
        <v>8</v>
      </c>
      <c r="AS3834" s="175">
        <v>40</v>
      </c>
      <c r="AT3834" s="175">
        <v>4</v>
      </c>
    </row>
    <row r="3835" spans="1:46">
      <c r="A3835">
        <v>60105</v>
      </c>
      <c r="B3835" t="s">
        <v>20993</v>
      </c>
      <c r="C3835" t="s">
        <v>20994</v>
      </c>
      <c r="D3835" t="s">
        <v>20995</v>
      </c>
      <c r="E3835" t="s">
        <v>20996</v>
      </c>
      <c r="F3835" t="s">
        <v>20997</v>
      </c>
      <c r="G3835" t="s">
        <v>2396</v>
      </c>
      <c r="H3835" t="s">
        <v>449</v>
      </c>
      <c r="J3835" t="s">
        <v>4032</v>
      </c>
      <c r="K3835" t="s">
        <v>606</v>
      </c>
      <c r="M3835" t="s">
        <v>2366</v>
      </c>
      <c r="N3835" t="s">
        <v>657</v>
      </c>
      <c r="O3835" t="s">
        <v>2397</v>
      </c>
      <c r="P3835" t="s">
        <v>1347</v>
      </c>
      <c r="Q3835" t="s">
        <v>516</v>
      </c>
      <c r="R3835" t="s">
        <v>2368</v>
      </c>
      <c r="S3835" t="s">
        <v>2348</v>
      </c>
      <c r="T3835" t="s">
        <v>2165</v>
      </c>
      <c r="U3835">
        <v>255900</v>
      </c>
      <c r="V3835" t="s">
        <v>12045</v>
      </c>
      <c r="W3835" t="s">
        <v>2399</v>
      </c>
      <c r="X3835" t="s">
        <v>20998</v>
      </c>
      <c r="Y3835" t="s">
        <v>4725</v>
      </c>
      <c r="Z3835" t="s">
        <v>1043</v>
      </c>
      <c r="AA3835" t="s">
        <v>4726</v>
      </c>
      <c r="AB3835" t="s">
        <v>20999</v>
      </c>
      <c r="AC3835">
        <v>99204</v>
      </c>
      <c r="AD3835" t="s">
        <v>2400</v>
      </c>
      <c r="AE3835">
        <v>-40.947049069999998</v>
      </c>
      <c r="AF3835">
        <v>175.66013294999999</v>
      </c>
      <c r="AG3835" s="175">
        <v>76</v>
      </c>
      <c r="AH3835" s="175">
        <v>28</v>
      </c>
      <c r="AI3835" s="175">
        <v>2</v>
      </c>
      <c r="AJ3835" s="175">
        <v>20</v>
      </c>
      <c r="AK3835" s="175">
        <v>19</v>
      </c>
      <c r="AL3835" s="175">
        <v>17</v>
      </c>
      <c r="AM3835" s="175">
        <v>19</v>
      </c>
      <c r="AN3835" s="175">
        <v>0</v>
      </c>
      <c r="AO3835" s="175">
        <v>77</v>
      </c>
      <c r="AP3835" s="175">
        <v>60</v>
      </c>
      <c r="AQ3835" s="175">
        <v>20</v>
      </c>
      <c r="AR3835" s="175">
        <v>3</v>
      </c>
      <c r="AS3835" s="175">
        <v>11</v>
      </c>
      <c r="AT3835" s="175">
        <v>1</v>
      </c>
    </row>
    <row r="3836" spans="1:46">
      <c r="A3836">
        <v>60108</v>
      </c>
      <c r="B3836" t="s">
        <v>21000</v>
      </c>
      <c r="C3836" t="s">
        <v>21001</v>
      </c>
      <c r="D3836" t="s">
        <v>21002</v>
      </c>
      <c r="E3836" t="s">
        <v>21003</v>
      </c>
      <c r="F3836" t="s">
        <v>21004</v>
      </c>
      <c r="G3836" t="s">
        <v>2368</v>
      </c>
      <c r="H3836" t="s">
        <v>449</v>
      </c>
      <c r="J3836" t="s">
        <v>605</v>
      </c>
      <c r="K3836" t="s">
        <v>606</v>
      </c>
      <c r="M3836" t="s">
        <v>2366</v>
      </c>
      <c r="N3836" t="s">
        <v>657</v>
      </c>
      <c r="O3836" t="s">
        <v>2614</v>
      </c>
      <c r="P3836" t="s">
        <v>739</v>
      </c>
      <c r="Q3836" t="s">
        <v>516</v>
      </c>
      <c r="R3836" t="s">
        <v>2368</v>
      </c>
      <c r="S3836" t="s">
        <v>2631</v>
      </c>
      <c r="T3836" t="s">
        <v>2526</v>
      </c>
      <c r="U3836">
        <v>251800</v>
      </c>
      <c r="V3836" t="s">
        <v>11306</v>
      </c>
      <c r="W3836" t="s">
        <v>2651</v>
      </c>
      <c r="X3836" t="s">
        <v>21005</v>
      </c>
      <c r="Y3836" t="s">
        <v>21006</v>
      </c>
      <c r="Z3836" t="s">
        <v>21007</v>
      </c>
      <c r="AA3836" t="s">
        <v>21008</v>
      </c>
      <c r="AC3836">
        <v>99171</v>
      </c>
      <c r="AD3836" t="s">
        <v>2617</v>
      </c>
      <c r="AE3836">
        <v>-41.294758590000001</v>
      </c>
      <c r="AF3836">
        <v>174.78191555000001</v>
      </c>
      <c r="AG3836" s="175">
        <v>31</v>
      </c>
      <c r="AH3836" s="175">
        <v>13</v>
      </c>
      <c r="AI3836" s="175">
        <v>3</v>
      </c>
      <c r="AJ3836" s="175">
        <v>6</v>
      </c>
      <c r="AK3836" s="175">
        <v>15</v>
      </c>
      <c r="AL3836" s="175">
        <v>6</v>
      </c>
      <c r="AM3836" s="175">
        <v>2</v>
      </c>
      <c r="AN3836" s="175">
        <v>0</v>
      </c>
      <c r="AO3836" s="175">
        <v>32</v>
      </c>
      <c r="AP3836" s="175">
        <v>12</v>
      </c>
      <c r="AQ3836" s="175">
        <v>2</v>
      </c>
      <c r="AR3836" s="175">
        <v>6</v>
      </c>
      <c r="AS3836" s="175">
        <v>18</v>
      </c>
      <c r="AT3836" s="175">
        <v>4</v>
      </c>
    </row>
    <row r="3837" spans="1:46">
      <c r="A3837">
        <v>60109</v>
      </c>
      <c r="B3837" t="s">
        <v>21009</v>
      </c>
      <c r="C3837" t="s">
        <v>21010</v>
      </c>
      <c r="D3837" t="s">
        <v>21011</v>
      </c>
      <c r="E3837" t="s">
        <v>21012</v>
      </c>
      <c r="G3837" t="s">
        <v>2396</v>
      </c>
      <c r="H3837" t="s">
        <v>449</v>
      </c>
      <c r="J3837" t="s">
        <v>4032</v>
      </c>
      <c r="K3837" t="s">
        <v>606</v>
      </c>
      <c r="M3837" t="s">
        <v>2366</v>
      </c>
      <c r="N3837" t="s">
        <v>643</v>
      </c>
      <c r="O3837" t="s">
        <v>2397</v>
      </c>
      <c r="P3837" t="s">
        <v>1347</v>
      </c>
      <c r="Q3837" t="s">
        <v>516</v>
      </c>
      <c r="R3837" t="s">
        <v>2368</v>
      </c>
      <c r="S3837" t="s">
        <v>2348</v>
      </c>
      <c r="T3837" t="s">
        <v>2165</v>
      </c>
      <c r="U3837">
        <v>256200</v>
      </c>
      <c r="V3837" t="s">
        <v>2419</v>
      </c>
      <c r="W3837" t="s">
        <v>2399</v>
      </c>
      <c r="X3837" t="s">
        <v>18002</v>
      </c>
      <c r="Y3837" t="s">
        <v>18001</v>
      </c>
      <c r="Z3837" t="s">
        <v>2429</v>
      </c>
      <c r="AA3837" t="s">
        <v>11995</v>
      </c>
      <c r="AC3837">
        <v>99204</v>
      </c>
      <c r="AD3837" t="s">
        <v>2400</v>
      </c>
      <c r="AE3837">
        <v>-40.96225785</v>
      </c>
      <c r="AF3837">
        <v>175.63908264</v>
      </c>
      <c r="AG3837" s="175">
        <v>27</v>
      </c>
      <c r="AH3837" s="175">
        <v>15</v>
      </c>
      <c r="AI3837" s="175">
        <v>0</v>
      </c>
      <c r="AJ3837" s="175">
        <v>0</v>
      </c>
      <c r="AK3837" s="175">
        <v>6</v>
      </c>
      <c r="AL3837" s="175">
        <v>13</v>
      </c>
      <c r="AM3837" s="175">
        <v>12</v>
      </c>
      <c r="AN3837" s="175">
        <v>1</v>
      </c>
      <c r="AO3837" s="175">
        <v>32</v>
      </c>
      <c r="AP3837" s="175">
        <v>16</v>
      </c>
      <c r="AQ3837" s="175">
        <v>18</v>
      </c>
      <c r="AR3837" s="175">
        <v>2</v>
      </c>
      <c r="AS3837" s="175">
        <v>4</v>
      </c>
      <c r="AT3837" s="175">
        <v>0</v>
      </c>
    </row>
    <row r="3838" spans="1:46">
      <c r="A3838">
        <v>60110</v>
      </c>
      <c r="B3838" t="s">
        <v>21013</v>
      </c>
      <c r="C3838" t="s">
        <v>21014</v>
      </c>
      <c r="D3838" t="s">
        <v>21015</v>
      </c>
      <c r="E3838" t="s">
        <v>16952</v>
      </c>
      <c r="F3838" t="s">
        <v>2675</v>
      </c>
      <c r="G3838" t="s">
        <v>2368</v>
      </c>
      <c r="H3838" t="s">
        <v>449</v>
      </c>
      <c r="J3838" t="s">
        <v>4032</v>
      </c>
      <c r="K3838" t="s">
        <v>606</v>
      </c>
      <c r="M3838" t="s">
        <v>2366</v>
      </c>
      <c r="N3838" t="s">
        <v>657</v>
      </c>
      <c r="O3838" t="s">
        <v>2614</v>
      </c>
      <c r="P3838" t="s">
        <v>739</v>
      </c>
      <c r="Q3838" t="s">
        <v>516</v>
      </c>
      <c r="R3838" t="s">
        <v>2368</v>
      </c>
      <c r="S3838" t="s">
        <v>2623</v>
      </c>
      <c r="T3838" t="s">
        <v>2526</v>
      </c>
      <c r="U3838">
        <v>248600</v>
      </c>
      <c r="V3838" t="s">
        <v>16950</v>
      </c>
      <c r="W3838" t="s">
        <v>2625</v>
      </c>
      <c r="X3838" t="s">
        <v>16951</v>
      </c>
      <c r="Y3838" t="s">
        <v>16952</v>
      </c>
      <c r="Z3838" t="s">
        <v>2675</v>
      </c>
      <c r="AA3838" t="s">
        <v>12467</v>
      </c>
      <c r="AB3838" t="s">
        <v>16953</v>
      </c>
      <c r="AE3838">
        <v>-41.221408330000003</v>
      </c>
      <c r="AF3838">
        <v>174.80299658000001</v>
      </c>
      <c r="AG3838" s="175">
        <v>30</v>
      </c>
      <c r="AH3838" s="175">
        <v>20</v>
      </c>
      <c r="AI3838" s="175">
        <v>2</v>
      </c>
      <c r="AJ3838" s="175">
        <v>16</v>
      </c>
      <c r="AK3838" s="175">
        <v>16</v>
      </c>
      <c r="AL3838" s="175">
        <v>0</v>
      </c>
      <c r="AM3838" s="175">
        <v>0</v>
      </c>
      <c r="AN3838" s="175">
        <v>0</v>
      </c>
      <c r="AO3838" s="175">
        <v>34</v>
      </c>
      <c r="AP3838" s="175">
        <v>23</v>
      </c>
      <c r="AQ3838" s="175">
        <v>4</v>
      </c>
      <c r="AR3838" s="175">
        <v>3</v>
      </c>
      <c r="AS3838" s="175">
        <v>12</v>
      </c>
      <c r="AT3838" s="175">
        <v>0</v>
      </c>
    </row>
    <row r="3839" spans="1:46">
      <c r="A3839">
        <v>60113</v>
      </c>
      <c r="B3839" t="s">
        <v>21016</v>
      </c>
      <c r="C3839" t="s">
        <v>21017</v>
      </c>
      <c r="D3839" t="s">
        <v>21018</v>
      </c>
      <c r="E3839" t="s">
        <v>13450</v>
      </c>
      <c r="G3839" t="s">
        <v>2435</v>
      </c>
      <c r="H3839" t="s">
        <v>449</v>
      </c>
      <c r="J3839" t="s">
        <v>4032</v>
      </c>
      <c r="K3839" t="s">
        <v>606</v>
      </c>
      <c r="M3839" t="s">
        <v>2366</v>
      </c>
      <c r="N3839" t="s">
        <v>657</v>
      </c>
      <c r="O3839" t="s">
        <v>2436</v>
      </c>
      <c r="P3839" t="s">
        <v>610</v>
      </c>
      <c r="Q3839" t="s">
        <v>516</v>
      </c>
      <c r="R3839" t="s">
        <v>2368</v>
      </c>
      <c r="S3839" t="s">
        <v>2348</v>
      </c>
      <c r="T3839" t="s">
        <v>2165</v>
      </c>
      <c r="U3839">
        <v>256900</v>
      </c>
      <c r="V3839" t="s">
        <v>13448</v>
      </c>
      <c r="W3839" t="s">
        <v>1734</v>
      </c>
      <c r="X3839" t="s">
        <v>21019</v>
      </c>
      <c r="Y3839" t="s">
        <v>13450</v>
      </c>
      <c r="Z3839" t="s">
        <v>2435</v>
      </c>
      <c r="AA3839" t="s">
        <v>13451</v>
      </c>
      <c r="AC3839">
        <v>99109</v>
      </c>
      <c r="AD3839" t="s">
        <v>2413</v>
      </c>
      <c r="AE3839">
        <v>-41.019296760000003</v>
      </c>
      <c r="AF3839">
        <v>175.52308761</v>
      </c>
      <c r="AG3839" s="175">
        <v>32</v>
      </c>
      <c r="AH3839" s="175">
        <v>0</v>
      </c>
      <c r="AI3839" s="175">
        <v>0</v>
      </c>
      <c r="AJ3839" s="175">
        <v>0</v>
      </c>
      <c r="AK3839" s="175">
        <v>2</v>
      </c>
      <c r="AL3839" s="175">
        <v>15</v>
      </c>
      <c r="AM3839" s="175">
        <v>14</v>
      </c>
      <c r="AN3839" s="175">
        <v>0</v>
      </c>
      <c r="AO3839" s="175">
        <v>31</v>
      </c>
      <c r="AP3839" s="175">
        <v>30</v>
      </c>
      <c r="AQ3839" s="175">
        <v>3</v>
      </c>
      <c r="AR3839" s="175">
        <v>0</v>
      </c>
      <c r="AS3839" s="175">
        <v>1</v>
      </c>
      <c r="AT3839" s="175">
        <v>0</v>
      </c>
    </row>
    <row r="3840" spans="1:46">
      <c r="A3840">
        <v>60114</v>
      </c>
      <c r="B3840" t="s">
        <v>21020</v>
      </c>
      <c r="C3840" t="s">
        <v>21021</v>
      </c>
      <c r="D3840" t="s">
        <v>21022</v>
      </c>
      <c r="E3840" t="s">
        <v>18465</v>
      </c>
      <c r="F3840" t="s">
        <v>15980</v>
      </c>
      <c r="G3840" t="s">
        <v>2368</v>
      </c>
      <c r="H3840" t="s">
        <v>450</v>
      </c>
      <c r="J3840" t="s">
        <v>605</v>
      </c>
      <c r="K3840" t="s">
        <v>606</v>
      </c>
      <c r="M3840" t="s">
        <v>2366</v>
      </c>
      <c r="N3840" t="s">
        <v>657</v>
      </c>
      <c r="O3840" t="s">
        <v>2614</v>
      </c>
      <c r="P3840" t="s">
        <v>739</v>
      </c>
      <c r="Q3840" t="s">
        <v>516</v>
      </c>
      <c r="R3840" t="s">
        <v>2368</v>
      </c>
      <c r="S3840" t="s">
        <v>2631</v>
      </c>
      <c r="T3840" t="s">
        <v>2526</v>
      </c>
      <c r="U3840">
        <v>252100</v>
      </c>
      <c r="V3840" t="s">
        <v>18466</v>
      </c>
      <c r="W3840" t="s">
        <v>2651</v>
      </c>
      <c r="X3840" t="s">
        <v>21023</v>
      </c>
      <c r="Y3840" t="s">
        <v>6434</v>
      </c>
      <c r="Z3840" t="s">
        <v>4622</v>
      </c>
      <c r="AA3840" t="s">
        <v>4623</v>
      </c>
      <c r="AE3840">
        <v>-41.295552000000001</v>
      </c>
      <c r="AF3840">
        <v>174.77977100000001</v>
      </c>
      <c r="AG3840" s="175">
        <v>80</v>
      </c>
      <c r="AH3840" s="175">
        <v>80</v>
      </c>
      <c r="AI3840" s="175">
        <v>2</v>
      </c>
      <c r="AJ3840" s="175">
        <v>8</v>
      </c>
      <c r="AK3840" s="175">
        <v>7</v>
      </c>
      <c r="AL3840" s="175">
        <v>5</v>
      </c>
      <c r="AM3840" s="175">
        <v>2</v>
      </c>
      <c r="AN3840" s="175">
        <v>0</v>
      </c>
      <c r="AO3840" s="175">
        <v>24</v>
      </c>
      <c r="AP3840" s="175">
        <v>10</v>
      </c>
      <c r="AQ3840" s="175">
        <v>2</v>
      </c>
      <c r="AR3840" s="175">
        <v>0</v>
      </c>
      <c r="AS3840" s="175">
        <v>13</v>
      </c>
      <c r="AT3840" s="175">
        <v>4</v>
      </c>
    </row>
    <row r="3841" spans="1:46">
      <c r="A3841">
        <v>60118</v>
      </c>
      <c r="B3841" t="s">
        <v>21024</v>
      </c>
      <c r="C3841" t="s">
        <v>21025</v>
      </c>
      <c r="D3841" t="s">
        <v>21026</v>
      </c>
      <c r="E3841" t="s">
        <v>21027</v>
      </c>
      <c r="F3841" t="s">
        <v>2622</v>
      </c>
      <c r="G3841" t="s">
        <v>2368</v>
      </c>
      <c r="H3841" t="s">
        <v>449</v>
      </c>
      <c r="J3841" t="s">
        <v>4032</v>
      </c>
      <c r="K3841" t="s">
        <v>606</v>
      </c>
      <c r="M3841" t="s">
        <v>2366</v>
      </c>
      <c r="N3841" t="s">
        <v>657</v>
      </c>
      <c r="O3841" t="s">
        <v>2614</v>
      </c>
      <c r="P3841" t="s">
        <v>739</v>
      </c>
      <c r="Q3841" t="s">
        <v>516</v>
      </c>
      <c r="R3841" t="s">
        <v>2368</v>
      </c>
      <c r="S3841" t="s">
        <v>2623</v>
      </c>
      <c r="T3841" t="s">
        <v>1568</v>
      </c>
      <c r="U3841">
        <v>248000</v>
      </c>
      <c r="V3841" t="s">
        <v>21028</v>
      </c>
      <c r="W3841" t="s">
        <v>2625</v>
      </c>
      <c r="X3841" t="s">
        <v>21029</v>
      </c>
      <c r="Y3841" t="s">
        <v>21030</v>
      </c>
      <c r="Z3841" t="s">
        <v>2691</v>
      </c>
      <c r="AA3841" t="s">
        <v>13786</v>
      </c>
      <c r="AE3841">
        <v>-41.172462269999997</v>
      </c>
      <c r="AF3841">
        <v>174.84457979000001</v>
      </c>
      <c r="AG3841" s="175">
        <v>35</v>
      </c>
      <c r="AH3841" s="175">
        <v>8</v>
      </c>
      <c r="AI3841" s="175">
        <v>1</v>
      </c>
      <c r="AJ3841" s="175">
        <v>3</v>
      </c>
      <c r="AK3841" s="175">
        <v>7</v>
      </c>
      <c r="AL3841" s="175">
        <v>5</v>
      </c>
      <c r="AM3841" s="175">
        <v>7</v>
      </c>
      <c r="AN3841" s="175">
        <v>0</v>
      </c>
      <c r="AO3841" s="175">
        <v>23</v>
      </c>
      <c r="AP3841" s="175">
        <v>21</v>
      </c>
      <c r="AQ3841" s="175">
        <v>3</v>
      </c>
      <c r="AR3841" s="175">
        <v>0</v>
      </c>
      <c r="AS3841" s="175">
        <v>2</v>
      </c>
      <c r="AT3841" s="175">
        <v>0</v>
      </c>
    </row>
    <row r="3842" spans="1:46">
      <c r="A3842">
        <v>60121</v>
      </c>
      <c r="B3842" t="s">
        <v>21031</v>
      </c>
      <c r="C3842" t="s">
        <v>21032</v>
      </c>
      <c r="D3842" t="s">
        <v>20946</v>
      </c>
      <c r="E3842" t="s">
        <v>21033</v>
      </c>
      <c r="F3842" t="s">
        <v>12967</v>
      </c>
      <c r="G3842" t="s">
        <v>2505</v>
      </c>
      <c r="H3842" t="s">
        <v>449</v>
      </c>
      <c r="J3842" t="s">
        <v>605</v>
      </c>
      <c r="K3842" t="s">
        <v>606</v>
      </c>
      <c r="M3842" t="s">
        <v>2366</v>
      </c>
      <c r="N3842" t="s">
        <v>4586</v>
      </c>
      <c r="O3842" t="s">
        <v>2506</v>
      </c>
      <c r="P3842" t="s">
        <v>739</v>
      </c>
      <c r="Q3842" t="s">
        <v>516</v>
      </c>
      <c r="R3842" t="s">
        <v>2368</v>
      </c>
      <c r="S3842" t="s">
        <v>2507</v>
      </c>
      <c r="T3842" t="s">
        <v>2526</v>
      </c>
      <c r="U3842">
        <v>246002</v>
      </c>
      <c r="V3842" t="s">
        <v>12968</v>
      </c>
      <c r="W3842" t="s">
        <v>2569</v>
      </c>
      <c r="X3842" t="s">
        <v>21034</v>
      </c>
      <c r="Y3842" t="s">
        <v>20949</v>
      </c>
      <c r="Z3842" t="s">
        <v>6058</v>
      </c>
      <c r="AA3842" t="s">
        <v>9092</v>
      </c>
      <c r="AB3842" t="s">
        <v>21035</v>
      </c>
      <c r="AE3842">
        <v>-41.224272620000001</v>
      </c>
      <c r="AF3842">
        <v>174.9167401</v>
      </c>
      <c r="AG3842" s="175">
        <v>50</v>
      </c>
      <c r="AH3842" s="175">
        <v>10</v>
      </c>
      <c r="AI3842" s="175">
        <v>0</v>
      </c>
      <c r="AJ3842" s="175">
        <v>0</v>
      </c>
      <c r="AK3842" s="175">
        <v>11</v>
      </c>
      <c r="AL3842" s="175">
        <v>14</v>
      </c>
      <c r="AM3842" s="175">
        <v>18</v>
      </c>
      <c r="AN3842" s="175">
        <v>1</v>
      </c>
      <c r="AO3842" s="175">
        <v>44</v>
      </c>
      <c r="AP3842" s="175">
        <v>28</v>
      </c>
      <c r="AQ3842" s="175">
        <v>6</v>
      </c>
      <c r="AR3842" s="175">
        <v>1</v>
      </c>
      <c r="AS3842" s="175">
        <v>19</v>
      </c>
      <c r="AT3842" s="175">
        <v>1</v>
      </c>
    </row>
    <row r="3843" spans="1:46">
      <c r="A3843">
        <v>60122</v>
      </c>
      <c r="B3843" t="s">
        <v>21036</v>
      </c>
      <c r="C3843" t="s">
        <v>21037</v>
      </c>
      <c r="D3843" t="s">
        <v>21038</v>
      </c>
      <c r="E3843" t="s">
        <v>21039</v>
      </c>
      <c r="F3843" t="s">
        <v>2494</v>
      </c>
      <c r="G3843" t="s">
        <v>2449</v>
      </c>
      <c r="H3843" t="s">
        <v>449</v>
      </c>
      <c r="J3843" t="s">
        <v>4032</v>
      </c>
      <c r="K3843" t="s">
        <v>606</v>
      </c>
      <c r="M3843" t="s">
        <v>2366</v>
      </c>
      <c r="N3843" t="s">
        <v>657</v>
      </c>
      <c r="O3843" t="s">
        <v>2450</v>
      </c>
      <c r="P3843" t="s">
        <v>670</v>
      </c>
      <c r="Q3843" t="s">
        <v>516</v>
      </c>
      <c r="R3843" t="s">
        <v>2368</v>
      </c>
      <c r="S3843" t="s">
        <v>2451</v>
      </c>
      <c r="T3843" t="s">
        <v>2165</v>
      </c>
      <c r="U3843">
        <v>242000</v>
      </c>
      <c r="V3843" t="s">
        <v>2495</v>
      </c>
      <c r="W3843" t="s">
        <v>1734</v>
      </c>
      <c r="X3843" t="s">
        <v>21040</v>
      </c>
      <c r="Y3843" t="s">
        <v>21039</v>
      </c>
      <c r="Z3843" t="s">
        <v>2494</v>
      </c>
      <c r="AA3843" t="s">
        <v>4808</v>
      </c>
      <c r="AB3843" t="s">
        <v>21041</v>
      </c>
      <c r="AE3843">
        <v>-41.135660960000003</v>
      </c>
      <c r="AF3843">
        <v>175.03915151999999</v>
      </c>
      <c r="AG3843" s="175">
        <v>31</v>
      </c>
      <c r="AH3843" s="175">
        <v>10</v>
      </c>
      <c r="AI3843" s="175">
        <v>1</v>
      </c>
      <c r="AJ3843" s="175">
        <v>5</v>
      </c>
      <c r="AK3843" s="175">
        <v>8</v>
      </c>
      <c r="AL3843" s="175">
        <v>7</v>
      </c>
      <c r="AM3843" s="175">
        <v>10</v>
      </c>
      <c r="AN3843" s="175">
        <v>0</v>
      </c>
      <c r="AO3843" s="175">
        <v>31</v>
      </c>
      <c r="AP3843" s="175">
        <v>25</v>
      </c>
      <c r="AQ3843" s="175">
        <v>5</v>
      </c>
      <c r="AR3843" s="175">
        <v>1</v>
      </c>
      <c r="AS3843" s="175">
        <v>5</v>
      </c>
      <c r="AT3843" s="175">
        <v>2</v>
      </c>
    </row>
    <row r="3844" spans="1:46">
      <c r="A3844">
        <v>60163</v>
      </c>
      <c r="B3844" t="s">
        <v>21042</v>
      </c>
      <c r="C3844" t="s">
        <v>21021</v>
      </c>
      <c r="D3844" t="s">
        <v>21043</v>
      </c>
      <c r="E3844" t="s">
        <v>18465</v>
      </c>
      <c r="F3844" t="s">
        <v>15980</v>
      </c>
      <c r="G3844" t="s">
        <v>2368</v>
      </c>
      <c r="H3844" t="s">
        <v>450</v>
      </c>
      <c r="J3844" t="s">
        <v>605</v>
      </c>
      <c r="K3844" t="s">
        <v>606</v>
      </c>
      <c r="M3844" t="s">
        <v>2366</v>
      </c>
      <c r="N3844" t="s">
        <v>643</v>
      </c>
      <c r="O3844" t="s">
        <v>2614</v>
      </c>
      <c r="P3844" t="s">
        <v>739</v>
      </c>
      <c r="Q3844" t="s">
        <v>516</v>
      </c>
      <c r="R3844" t="s">
        <v>2368</v>
      </c>
      <c r="S3844" t="s">
        <v>2631</v>
      </c>
      <c r="T3844" t="s">
        <v>2526</v>
      </c>
      <c r="U3844">
        <v>252100</v>
      </c>
      <c r="V3844" t="s">
        <v>18466</v>
      </c>
      <c r="W3844" t="s">
        <v>2651</v>
      </c>
      <c r="X3844" t="s">
        <v>21044</v>
      </c>
      <c r="Y3844" t="s">
        <v>6434</v>
      </c>
      <c r="Z3844" t="s">
        <v>4622</v>
      </c>
      <c r="AA3844" t="s">
        <v>4623</v>
      </c>
      <c r="AE3844">
        <v>-41.295557899999999</v>
      </c>
      <c r="AF3844">
        <v>174.7797855</v>
      </c>
      <c r="AG3844" s="175">
        <v>60</v>
      </c>
      <c r="AH3844" s="175">
        <v>60</v>
      </c>
      <c r="AI3844" s="175">
        <v>4</v>
      </c>
      <c r="AJ3844" s="175">
        <v>9</v>
      </c>
      <c r="AK3844" s="175">
        <v>7</v>
      </c>
      <c r="AL3844" s="175">
        <v>6</v>
      </c>
      <c r="AM3844" s="175">
        <v>3</v>
      </c>
      <c r="AN3844" s="175">
        <v>0</v>
      </c>
      <c r="AO3844" s="175">
        <v>29</v>
      </c>
      <c r="AP3844" s="175">
        <v>10</v>
      </c>
      <c r="AQ3844" s="175">
        <v>3</v>
      </c>
      <c r="AR3844" s="175">
        <v>3</v>
      </c>
      <c r="AS3844" s="175">
        <v>19</v>
      </c>
      <c r="AT3844" s="175">
        <v>0</v>
      </c>
    </row>
    <row r="3845" spans="1:46">
      <c r="A3845">
        <v>60165</v>
      </c>
      <c r="B3845" t="s">
        <v>21045</v>
      </c>
      <c r="C3845" t="s">
        <v>21021</v>
      </c>
      <c r="D3845" t="s">
        <v>20641</v>
      </c>
      <c r="E3845" t="s">
        <v>18465</v>
      </c>
      <c r="F3845" t="s">
        <v>15980</v>
      </c>
      <c r="G3845" t="s">
        <v>2368</v>
      </c>
      <c r="H3845" t="s">
        <v>450</v>
      </c>
      <c r="J3845" t="s">
        <v>605</v>
      </c>
      <c r="K3845" t="s">
        <v>606</v>
      </c>
      <c r="M3845" t="s">
        <v>2366</v>
      </c>
      <c r="N3845" t="s">
        <v>657</v>
      </c>
      <c r="O3845" t="s">
        <v>2614</v>
      </c>
      <c r="P3845" t="s">
        <v>739</v>
      </c>
      <c r="Q3845" t="s">
        <v>516</v>
      </c>
      <c r="R3845" t="s">
        <v>2368</v>
      </c>
      <c r="S3845" t="s">
        <v>2631</v>
      </c>
      <c r="T3845" t="s">
        <v>2526</v>
      </c>
      <c r="U3845">
        <v>252100</v>
      </c>
      <c r="V3845" t="s">
        <v>18466</v>
      </c>
      <c r="W3845" t="s">
        <v>2651</v>
      </c>
      <c r="X3845" t="s">
        <v>21046</v>
      </c>
      <c r="Y3845" t="s">
        <v>6434</v>
      </c>
      <c r="Z3845" t="s">
        <v>4622</v>
      </c>
      <c r="AA3845" t="s">
        <v>4623</v>
      </c>
      <c r="AE3845">
        <v>-41.295559500000003</v>
      </c>
      <c r="AF3845">
        <v>174.77979110000001</v>
      </c>
      <c r="AG3845" s="175">
        <v>60</v>
      </c>
      <c r="AH3845" s="175">
        <v>60</v>
      </c>
      <c r="AI3845" s="175">
        <v>2</v>
      </c>
      <c r="AJ3845" s="175">
        <v>4</v>
      </c>
      <c r="AK3845" s="175">
        <v>12</v>
      </c>
      <c r="AL3845" s="175">
        <v>1</v>
      </c>
      <c r="AM3845" s="175">
        <v>2</v>
      </c>
      <c r="AN3845" s="175">
        <v>0</v>
      </c>
      <c r="AO3845" s="175">
        <v>21</v>
      </c>
      <c r="AP3845" s="175">
        <v>15</v>
      </c>
      <c r="AQ3845" s="175">
        <v>4</v>
      </c>
      <c r="AR3845" s="175">
        <v>1</v>
      </c>
      <c r="AS3845" s="175">
        <v>5</v>
      </c>
      <c r="AT3845" s="175">
        <v>0</v>
      </c>
    </row>
    <row r="3846" spans="1:46">
      <c r="A3846">
        <v>60168</v>
      </c>
      <c r="B3846" t="s">
        <v>21047</v>
      </c>
      <c r="C3846" t="s">
        <v>21048</v>
      </c>
      <c r="D3846" t="s">
        <v>21049</v>
      </c>
      <c r="E3846" t="s">
        <v>21050</v>
      </c>
      <c r="F3846" t="s">
        <v>2811</v>
      </c>
      <c r="G3846" t="s">
        <v>2505</v>
      </c>
      <c r="H3846" t="s">
        <v>449</v>
      </c>
      <c r="J3846" t="s">
        <v>605</v>
      </c>
      <c r="K3846" t="s">
        <v>606</v>
      </c>
      <c r="M3846" t="s">
        <v>2366</v>
      </c>
      <c r="N3846" t="s">
        <v>657</v>
      </c>
      <c r="O3846" t="s">
        <v>2506</v>
      </c>
      <c r="P3846" t="s">
        <v>739</v>
      </c>
      <c r="Q3846" t="s">
        <v>516</v>
      </c>
      <c r="R3846" t="s">
        <v>2368</v>
      </c>
      <c r="S3846" t="s">
        <v>2507</v>
      </c>
      <c r="T3846" t="s">
        <v>2526</v>
      </c>
      <c r="U3846">
        <v>243700</v>
      </c>
      <c r="V3846" t="s">
        <v>11019</v>
      </c>
      <c r="W3846" t="s">
        <v>2569</v>
      </c>
      <c r="X3846" t="s">
        <v>21051</v>
      </c>
      <c r="Y3846" t="s">
        <v>6434</v>
      </c>
      <c r="Z3846" t="s">
        <v>4622</v>
      </c>
      <c r="AA3846" t="s">
        <v>4623</v>
      </c>
      <c r="AB3846" t="s">
        <v>21052</v>
      </c>
      <c r="AE3846">
        <v>-41.220069850000002</v>
      </c>
      <c r="AF3846">
        <v>174.88075259999999</v>
      </c>
      <c r="AG3846" s="175">
        <v>36</v>
      </c>
      <c r="AH3846" s="175">
        <v>0</v>
      </c>
      <c r="AI3846" s="175">
        <v>0</v>
      </c>
      <c r="AJ3846" s="175">
        <v>0</v>
      </c>
      <c r="AK3846" s="175">
        <v>13</v>
      </c>
      <c r="AL3846" s="175">
        <v>10</v>
      </c>
      <c r="AM3846" s="175">
        <v>9</v>
      </c>
      <c r="AN3846" s="175">
        <v>0</v>
      </c>
      <c r="AO3846" s="175">
        <v>32</v>
      </c>
      <c r="AP3846" s="175">
        <v>20</v>
      </c>
      <c r="AQ3846" s="175">
        <v>4</v>
      </c>
      <c r="AR3846" s="175">
        <v>1</v>
      </c>
      <c r="AS3846" s="175">
        <v>10</v>
      </c>
      <c r="AT3846" s="175">
        <v>3</v>
      </c>
    </row>
    <row r="3847" spans="1:46">
      <c r="A3847">
        <v>60170</v>
      </c>
      <c r="B3847" t="s">
        <v>21053</v>
      </c>
      <c r="C3847" t="s">
        <v>21054</v>
      </c>
      <c r="E3847" t="s">
        <v>21055</v>
      </c>
      <c r="F3847" t="s">
        <v>2726</v>
      </c>
      <c r="G3847" t="s">
        <v>2604</v>
      </c>
      <c r="H3847" t="s">
        <v>449</v>
      </c>
      <c r="J3847" t="s">
        <v>605</v>
      </c>
      <c r="K3847" t="s">
        <v>606</v>
      </c>
      <c r="M3847" t="s">
        <v>2366</v>
      </c>
      <c r="N3847" t="s">
        <v>608</v>
      </c>
      <c r="O3847" t="s">
        <v>2605</v>
      </c>
      <c r="P3847" t="s">
        <v>670</v>
      </c>
      <c r="Q3847" t="s">
        <v>516</v>
      </c>
      <c r="R3847" t="s">
        <v>2368</v>
      </c>
      <c r="S3847" t="s">
        <v>2606</v>
      </c>
      <c r="T3847" t="s">
        <v>1568</v>
      </c>
      <c r="U3847">
        <v>240500</v>
      </c>
      <c r="V3847" t="s">
        <v>2726</v>
      </c>
      <c r="W3847" t="s">
        <v>2607</v>
      </c>
      <c r="X3847" t="s">
        <v>21056</v>
      </c>
      <c r="Y3847" t="s">
        <v>6434</v>
      </c>
      <c r="Z3847" t="s">
        <v>4622</v>
      </c>
      <c r="AA3847" t="s">
        <v>4623</v>
      </c>
      <c r="AC3847">
        <v>99074</v>
      </c>
      <c r="AD3847" t="s">
        <v>2710</v>
      </c>
      <c r="AE3847">
        <v>-41.13958238</v>
      </c>
      <c r="AF3847">
        <v>174.85098937000001</v>
      </c>
      <c r="AG3847" s="175">
        <v>25</v>
      </c>
      <c r="AH3847" s="175">
        <v>0</v>
      </c>
      <c r="AI3847" s="175">
        <v>0</v>
      </c>
      <c r="AJ3847" s="175">
        <v>0</v>
      </c>
      <c r="AK3847" s="175">
        <v>5</v>
      </c>
      <c r="AL3847" s="175">
        <v>13</v>
      </c>
      <c r="AM3847" s="175">
        <v>11</v>
      </c>
      <c r="AN3847" s="175">
        <v>0</v>
      </c>
      <c r="AO3847" s="175">
        <v>29</v>
      </c>
      <c r="AP3847" s="175">
        <v>9</v>
      </c>
      <c r="AQ3847" s="175">
        <v>9</v>
      </c>
      <c r="AR3847" s="175">
        <v>15</v>
      </c>
      <c r="AS3847" s="175">
        <v>6</v>
      </c>
      <c r="AT3847" s="175">
        <v>1</v>
      </c>
    </row>
    <row r="3848" spans="1:46">
      <c r="A3848">
        <v>60178</v>
      </c>
      <c r="B3848" t="s">
        <v>21057</v>
      </c>
      <c r="C3848" t="s">
        <v>21058</v>
      </c>
      <c r="D3848" t="s">
        <v>21059</v>
      </c>
      <c r="E3848" t="s">
        <v>21060</v>
      </c>
      <c r="F3848" t="s">
        <v>2715</v>
      </c>
      <c r="G3848" t="s">
        <v>2368</v>
      </c>
      <c r="H3848" t="s">
        <v>449</v>
      </c>
      <c r="I3848" t="s">
        <v>5838</v>
      </c>
      <c r="J3848" t="s">
        <v>605</v>
      </c>
      <c r="K3848" t="s">
        <v>606</v>
      </c>
      <c r="M3848" t="s">
        <v>2366</v>
      </c>
      <c r="N3848" t="s">
        <v>657</v>
      </c>
      <c r="O3848" t="s">
        <v>2614</v>
      </c>
      <c r="P3848" t="s">
        <v>739</v>
      </c>
      <c r="Q3848" t="s">
        <v>516</v>
      </c>
      <c r="R3848" t="s">
        <v>2368</v>
      </c>
      <c r="S3848" t="s">
        <v>2615</v>
      </c>
      <c r="T3848" t="s">
        <v>2526</v>
      </c>
      <c r="U3848">
        <v>254401</v>
      </c>
      <c r="V3848" t="s">
        <v>19106</v>
      </c>
      <c r="W3848" t="s">
        <v>2669</v>
      </c>
      <c r="X3848" t="s">
        <v>21061</v>
      </c>
      <c r="Y3848" t="s">
        <v>21060</v>
      </c>
      <c r="Z3848" t="s">
        <v>2715</v>
      </c>
      <c r="AA3848" t="s">
        <v>19139</v>
      </c>
      <c r="AC3848">
        <v>99141</v>
      </c>
      <c r="AD3848" t="s">
        <v>2670</v>
      </c>
      <c r="AE3848">
        <v>-41.314410559999999</v>
      </c>
      <c r="AF3848">
        <v>174.81738376999999</v>
      </c>
      <c r="AG3848" s="175">
        <v>40</v>
      </c>
      <c r="AH3848" s="175">
        <v>12</v>
      </c>
      <c r="AI3848" s="175">
        <v>0</v>
      </c>
      <c r="AJ3848" s="175">
        <v>12</v>
      </c>
      <c r="AK3848" s="175">
        <v>7</v>
      </c>
      <c r="AL3848" s="175">
        <v>12</v>
      </c>
      <c r="AM3848" s="175">
        <v>11</v>
      </c>
      <c r="AN3848" s="175">
        <v>0</v>
      </c>
      <c r="AO3848" s="175">
        <v>42</v>
      </c>
      <c r="AP3848" s="175">
        <v>33</v>
      </c>
      <c r="AQ3848" s="175">
        <v>7</v>
      </c>
      <c r="AR3848" s="175">
        <v>3</v>
      </c>
      <c r="AS3848" s="175">
        <v>3</v>
      </c>
      <c r="AT3848" s="175">
        <v>4</v>
      </c>
    </row>
    <row r="3849" spans="1:46">
      <c r="A3849">
        <v>60182</v>
      </c>
      <c r="B3849" t="s">
        <v>21062</v>
      </c>
      <c r="C3849" t="s">
        <v>21063</v>
      </c>
      <c r="D3849" t="s">
        <v>21064</v>
      </c>
      <c r="E3849" t="s">
        <v>21065</v>
      </c>
      <c r="F3849" t="s">
        <v>20916</v>
      </c>
      <c r="G3849" t="s">
        <v>2505</v>
      </c>
      <c r="H3849" t="s">
        <v>449</v>
      </c>
      <c r="J3849" t="s">
        <v>605</v>
      </c>
      <c r="K3849" t="s">
        <v>606</v>
      </c>
      <c r="M3849" t="s">
        <v>2366</v>
      </c>
      <c r="N3849" t="s">
        <v>657</v>
      </c>
      <c r="O3849" t="s">
        <v>2506</v>
      </c>
      <c r="P3849" t="s">
        <v>739</v>
      </c>
      <c r="Q3849" t="s">
        <v>516</v>
      </c>
      <c r="R3849" t="s">
        <v>2368</v>
      </c>
      <c r="S3849" t="s">
        <v>2507</v>
      </c>
      <c r="T3849" t="s">
        <v>2526</v>
      </c>
      <c r="U3849">
        <v>244000</v>
      </c>
      <c r="V3849" t="s">
        <v>12358</v>
      </c>
      <c r="W3849" t="s">
        <v>2539</v>
      </c>
      <c r="X3849" t="s">
        <v>21066</v>
      </c>
      <c r="Y3849" t="s">
        <v>21065</v>
      </c>
      <c r="Z3849" t="s">
        <v>20916</v>
      </c>
      <c r="AA3849" t="s">
        <v>9092</v>
      </c>
      <c r="AE3849">
        <v>-41.214873799999999</v>
      </c>
      <c r="AF3849">
        <v>174.89549909999999</v>
      </c>
      <c r="AG3849" s="175">
        <v>32</v>
      </c>
      <c r="AH3849" s="175">
        <v>8</v>
      </c>
      <c r="AI3849" s="175">
        <v>2</v>
      </c>
      <c r="AJ3849" s="175">
        <v>9</v>
      </c>
      <c r="AK3849" s="175">
        <v>10</v>
      </c>
      <c r="AL3849" s="175">
        <v>9</v>
      </c>
      <c r="AM3849" s="175">
        <v>9</v>
      </c>
      <c r="AN3849" s="175">
        <v>0</v>
      </c>
      <c r="AO3849" s="175">
        <v>39</v>
      </c>
      <c r="AP3849" s="175">
        <v>35</v>
      </c>
      <c r="AQ3849" s="175">
        <v>4</v>
      </c>
      <c r="AR3849" s="175">
        <v>2</v>
      </c>
      <c r="AS3849" s="175">
        <v>2</v>
      </c>
      <c r="AT3849" s="175">
        <v>5</v>
      </c>
    </row>
    <row r="3850" spans="1:46">
      <c r="A3850">
        <v>60185</v>
      </c>
      <c r="B3850" t="s">
        <v>21067</v>
      </c>
      <c r="C3850" t="s">
        <v>21068</v>
      </c>
      <c r="D3850" t="s">
        <v>21069</v>
      </c>
      <c r="E3850" t="s">
        <v>21070</v>
      </c>
      <c r="G3850" t="s">
        <v>2396</v>
      </c>
      <c r="H3850" t="s">
        <v>452</v>
      </c>
      <c r="J3850" t="s">
        <v>605</v>
      </c>
      <c r="K3850" t="s">
        <v>606</v>
      </c>
      <c r="M3850" t="s">
        <v>2366</v>
      </c>
      <c r="N3850" t="s">
        <v>657</v>
      </c>
      <c r="O3850" t="s">
        <v>2397</v>
      </c>
      <c r="P3850" t="s">
        <v>1347</v>
      </c>
      <c r="Q3850" t="s">
        <v>516</v>
      </c>
      <c r="R3850" t="s">
        <v>2368</v>
      </c>
      <c r="S3850" t="s">
        <v>2348</v>
      </c>
      <c r="T3850" t="s">
        <v>2165</v>
      </c>
      <c r="U3850">
        <v>256200</v>
      </c>
      <c r="V3850" t="s">
        <v>2419</v>
      </c>
      <c r="W3850" t="s">
        <v>2399</v>
      </c>
      <c r="X3850" t="s">
        <v>1970</v>
      </c>
      <c r="Y3850" t="s">
        <v>1971</v>
      </c>
      <c r="AA3850" t="s">
        <v>1972</v>
      </c>
      <c r="AB3850" t="s">
        <v>1973</v>
      </c>
      <c r="AC3850">
        <v>99204</v>
      </c>
      <c r="AD3850" t="s">
        <v>2400</v>
      </c>
      <c r="AE3850">
        <v>-40.96273583</v>
      </c>
      <c r="AF3850">
        <v>175.6333291</v>
      </c>
      <c r="AG3850" s="175">
        <v>47</v>
      </c>
      <c r="AH3850" s="175">
        <v>6</v>
      </c>
      <c r="AI3850" s="175">
        <v>0</v>
      </c>
      <c r="AJ3850" s="175">
        <v>8</v>
      </c>
      <c r="AK3850" s="175">
        <v>10</v>
      </c>
      <c r="AL3850" s="175">
        <v>17</v>
      </c>
      <c r="AM3850" s="175">
        <v>25</v>
      </c>
      <c r="AN3850" s="175">
        <v>1</v>
      </c>
      <c r="AO3850" s="175">
        <v>61</v>
      </c>
      <c r="AP3850" s="175">
        <v>58</v>
      </c>
      <c r="AQ3850" s="175">
        <v>9</v>
      </c>
      <c r="AR3850" s="175">
        <v>2</v>
      </c>
      <c r="AS3850" s="175">
        <v>0</v>
      </c>
      <c r="AT3850" s="175">
        <v>0</v>
      </c>
    </row>
    <row r="3851" spans="1:46">
      <c r="A3851">
        <v>60188</v>
      </c>
      <c r="B3851" t="s">
        <v>21071</v>
      </c>
      <c r="C3851" t="s">
        <v>21072</v>
      </c>
      <c r="D3851" t="s">
        <v>21073</v>
      </c>
      <c r="E3851" t="s">
        <v>21074</v>
      </c>
      <c r="F3851" t="s">
        <v>2649</v>
      </c>
      <c r="G3851" t="s">
        <v>2368</v>
      </c>
      <c r="H3851" t="s">
        <v>449</v>
      </c>
      <c r="J3851" t="s">
        <v>605</v>
      </c>
      <c r="K3851" t="s">
        <v>606</v>
      </c>
      <c r="M3851" t="s">
        <v>2366</v>
      </c>
      <c r="N3851" t="s">
        <v>657</v>
      </c>
      <c r="O3851" t="s">
        <v>2614</v>
      </c>
      <c r="P3851" t="s">
        <v>739</v>
      </c>
      <c r="Q3851" t="s">
        <v>516</v>
      </c>
      <c r="R3851" t="s">
        <v>2368</v>
      </c>
      <c r="S3851" t="s">
        <v>2631</v>
      </c>
      <c r="T3851" t="s">
        <v>2526</v>
      </c>
      <c r="U3851">
        <v>252501</v>
      </c>
      <c r="V3851" t="s">
        <v>2650</v>
      </c>
      <c r="W3851" t="s">
        <v>2651</v>
      </c>
      <c r="X3851" t="s">
        <v>21075</v>
      </c>
      <c r="Y3851" t="s">
        <v>21076</v>
      </c>
      <c r="Z3851" t="s">
        <v>2746</v>
      </c>
      <c r="AA3851" t="s">
        <v>20437</v>
      </c>
      <c r="AB3851" t="s">
        <v>21077</v>
      </c>
      <c r="AE3851">
        <v>-41.294978550000003</v>
      </c>
      <c r="AF3851">
        <v>174.78756849999999</v>
      </c>
      <c r="AG3851" s="175">
        <v>22</v>
      </c>
      <c r="AH3851" s="175">
        <v>5</v>
      </c>
      <c r="AI3851" s="175">
        <v>0</v>
      </c>
      <c r="AJ3851" s="175">
        <v>6</v>
      </c>
      <c r="AK3851" s="175">
        <v>12</v>
      </c>
      <c r="AL3851" s="175">
        <v>3</v>
      </c>
      <c r="AM3851" s="175">
        <v>4</v>
      </c>
      <c r="AN3851" s="175">
        <v>2</v>
      </c>
      <c r="AO3851" s="175">
        <v>27</v>
      </c>
      <c r="AP3851" s="175">
        <v>21</v>
      </c>
      <c r="AQ3851" s="175">
        <v>0</v>
      </c>
      <c r="AR3851" s="175">
        <v>0</v>
      </c>
      <c r="AS3851" s="175">
        <v>7</v>
      </c>
      <c r="AT3851" s="175">
        <v>2</v>
      </c>
    </row>
    <row r="3852" spans="1:46">
      <c r="A3852">
        <v>60189</v>
      </c>
      <c r="B3852" t="s">
        <v>21078</v>
      </c>
      <c r="C3852" t="s">
        <v>21079</v>
      </c>
      <c r="D3852" t="s">
        <v>21080</v>
      </c>
      <c r="E3852" t="s">
        <v>21081</v>
      </c>
      <c r="F3852" t="s">
        <v>20509</v>
      </c>
      <c r="G3852" t="s">
        <v>2368</v>
      </c>
      <c r="H3852" t="s">
        <v>449</v>
      </c>
      <c r="J3852" t="s">
        <v>605</v>
      </c>
      <c r="K3852" t="s">
        <v>606</v>
      </c>
      <c r="M3852" t="s">
        <v>2366</v>
      </c>
      <c r="N3852" t="s">
        <v>657</v>
      </c>
      <c r="O3852" t="s">
        <v>2614</v>
      </c>
      <c r="P3852" t="s">
        <v>739</v>
      </c>
      <c r="Q3852" t="s">
        <v>516</v>
      </c>
      <c r="R3852" t="s">
        <v>2368</v>
      </c>
      <c r="S3852" t="s">
        <v>2631</v>
      </c>
      <c r="T3852" t="s">
        <v>2526</v>
      </c>
      <c r="U3852">
        <v>252400</v>
      </c>
      <c r="V3852" t="s">
        <v>21082</v>
      </c>
      <c r="W3852" t="s">
        <v>2651</v>
      </c>
      <c r="X3852" t="s">
        <v>21083</v>
      </c>
      <c r="Y3852" t="s">
        <v>21084</v>
      </c>
      <c r="Z3852" t="s">
        <v>2368</v>
      </c>
      <c r="AA3852" t="s">
        <v>21085</v>
      </c>
      <c r="AB3852" t="s">
        <v>21086</v>
      </c>
      <c r="AE3852">
        <v>-41.300085920000001</v>
      </c>
      <c r="AF3852">
        <v>174.77485730000001</v>
      </c>
      <c r="AG3852" s="175">
        <v>50</v>
      </c>
      <c r="AH3852" s="175">
        <v>20</v>
      </c>
      <c r="AI3852" s="175">
        <v>0</v>
      </c>
      <c r="AJ3852" s="175">
        <v>17</v>
      </c>
      <c r="AK3852" s="175">
        <v>11</v>
      </c>
      <c r="AL3852" s="175">
        <v>14</v>
      </c>
      <c r="AM3852" s="175">
        <v>11</v>
      </c>
      <c r="AN3852" s="175">
        <v>0</v>
      </c>
      <c r="AO3852" s="175">
        <v>53</v>
      </c>
      <c r="AP3852" s="175">
        <v>40</v>
      </c>
      <c r="AQ3852" s="175">
        <v>8</v>
      </c>
      <c r="AR3852" s="175">
        <v>2</v>
      </c>
      <c r="AS3852" s="175">
        <v>9</v>
      </c>
      <c r="AT3852" s="175">
        <v>5</v>
      </c>
    </row>
    <row r="3853" spans="1:46">
      <c r="A3853">
        <v>60190</v>
      </c>
      <c r="B3853" t="s">
        <v>21087</v>
      </c>
      <c r="C3853" t="s">
        <v>21088</v>
      </c>
      <c r="D3853" t="s">
        <v>21089</v>
      </c>
      <c r="E3853" t="s">
        <v>21090</v>
      </c>
      <c r="F3853" t="s">
        <v>2675</v>
      </c>
      <c r="G3853" t="s">
        <v>2368</v>
      </c>
      <c r="H3853" t="s">
        <v>449</v>
      </c>
      <c r="J3853" t="s">
        <v>605</v>
      </c>
      <c r="K3853" t="s">
        <v>606</v>
      </c>
      <c r="M3853" t="s">
        <v>2366</v>
      </c>
      <c r="N3853" t="s">
        <v>657</v>
      </c>
      <c r="O3853" t="s">
        <v>2614</v>
      </c>
      <c r="P3853" t="s">
        <v>739</v>
      </c>
      <c r="Q3853" t="s">
        <v>516</v>
      </c>
      <c r="R3853" t="s">
        <v>2368</v>
      </c>
      <c r="S3853" t="s">
        <v>2623</v>
      </c>
      <c r="T3853" t="s">
        <v>2526</v>
      </c>
      <c r="U3853">
        <v>248900</v>
      </c>
      <c r="V3853" t="s">
        <v>2676</v>
      </c>
      <c r="W3853" t="s">
        <v>2625</v>
      </c>
      <c r="X3853" t="s">
        <v>21091</v>
      </c>
      <c r="Y3853" t="s">
        <v>21092</v>
      </c>
      <c r="Z3853" t="s">
        <v>2675</v>
      </c>
      <c r="AA3853" t="s">
        <v>21093</v>
      </c>
      <c r="AE3853">
        <v>-41.222331109999999</v>
      </c>
      <c r="AF3853">
        <v>174.80536996000001</v>
      </c>
      <c r="AG3853" s="175">
        <v>25</v>
      </c>
      <c r="AH3853" s="175">
        <v>5</v>
      </c>
      <c r="AI3853" s="175">
        <v>0</v>
      </c>
      <c r="AJ3853" s="175">
        <v>6</v>
      </c>
      <c r="AK3853" s="175">
        <v>7</v>
      </c>
      <c r="AL3853" s="175">
        <v>17</v>
      </c>
      <c r="AM3853" s="175">
        <v>7</v>
      </c>
      <c r="AN3853" s="175">
        <v>2</v>
      </c>
      <c r="AO3853" s="175">
        <v>39</v>
      </c>
      <c r="AP3853" s="175">
        <v>19</v>
      </c>
      <c r="AQ3853" s="175">
        <v>6</v>
      </c>
      <c r="AR3853" s="175">
        <v>3</v>
      </c>
      <c r="AS3853" s="175">
        <v>17</v>
      </c>
      <c r="AT3853" s="175">
        <v>5</v>
      </c>
    </row>
    <row r="3854" spans="1:46">
      <c r="A3854">
        <v>60192</v>
      </c>
      <c r="B3854" t="s">
        <v>21094</v>
      </c>
      <c r="C3854" t="s">
        <v>21095</v>
      </c>
      <c r="E3854" t="s">
        <v>21096</v>
      </c>
      <c r="G3854" t="s">
        <v>2752</v>
      </c>
      <c r="H3854" t="s">
        <v>449</v>
      </c>
      <c r="J3854" t="s">
        <v>4032</v>
      </c>
      <c r="K3854" t="s">
        <v>606</v>
      </c>
      <c r="M3854" t="s">
        <v>2366</v>
      </c>
      <c r="N3854" t="s">
        <v>4586</v>
      </c>
      <c r="O3854" t="s">
        <v>2753</v>
      </c>
      <c r="P3854" t="s">
        <v>1347</v>
      </c>
      <c r="Q3854" t="s">
        <v>516</v>
      </c>
      <c r="R3854" t="s">
        <v>2368</v>
      </c>
      <c r="S3854" t="s">
        <v>2148</v>
      </c>
      <c r="T3854" t="s">
        <v>1568</v>
      </c>
      <c r="U3854">
        <v>237800</v>
      </c>
      <c r="V3854" t="s">
        <v>2754</v>
      </c>
      <c r="W3854" t="s">
        <v>2755</v>
      </c>
      <c r="X3854" t="s">
        <v>21097</v>
      </c>
      <c r="Y3854" t="s">
        <v>21096</v>
      </c>
      <c r="Z3854" t="s">
        <v>2752</v>
      </c>
      <c r="AA3854" t="s">
        <v>21098</v>
      </c>
      <c r="AB3854" t="s">
        <v>21095</v>
      </c>
      <c r="AE3854">
        <v>-40.904445520000003</v>
      </c>
      <c r="AF3854">
        <v>175.01269092999999</v>
      </c>
      <c r="AG3854" s="175">
        <v>32</v>
      </c>
      <c r="AH3854" s="175">
        <v>0</v>
      </c>
      <c r="AI3854" s="175">
        <v>0</v>
      </c>
      <c r="AJ3854" s="175">
        <v>0</v>
      </c>
      <c r="AK3854" s="175">
        <v>7</v>
      </c>
      <c r="AL3854" s="175">
        <v>14</v>
      </c>
      <c r="AM3854" s="175">
        <v>21</v>
      </c>
      <c r="AN3854" s="175">
        <v>0</v>
      </c>
      <c r="AO3854" s="175">
        <v>42</v>
      </c>
      <c r="AP3854" s="175">
        <v>42</v>
      </c>
      <c r="AQ3854" s="175">
        <v>6</v>
      </c>
      <c r="AR3854" s="175">
        <v>2</v>
      </c>
      <c r="AS3854" s="175">
        <v>2</v>
      </c>
      <c r="AT3854" s="175">
        <v>0</v>
      </c>
    </row>
    <row r="3855" spans="1:46">
      <c r="A3855">
        <v>60196</v>
      </c>
      <c r="B3855" t="s">
        <v>21099</v>
      </c>
      <c r="C3855" t="s">
        <v>21100</v>
      </c>
      <c r="D3855" t="s">
        <v>21101</v>
      </c>
      <c r="E3855" t="s">
        <v>21102</v>
      </c>
      <c r="F3855" t="s">
        <v>20997</v>
      </c>
      <c r="G3855" t="s">
        <v>2396</v>
      </c>
      <c r="H3855" t="s">
        <v>449</v>
      </c>
      <c r="J3855" t="s">
        <v>4032</v>
      </c>
      <c r="K3855" t="s">
        <v>606</v>
      </c>
      <c r="M3855" t="s">
        <v>2366</v>
      </c>
      <c r="N3855" t="s">
        <v>643</v>
      </c>
      <c r="O3855" t="s">
        <v>2397</v>
      </c>
      <c r="P3855" t="s">
        <v>1347</v>
      </c>
      <c r="Q3855" t="s">
        <v>516</v>
      </c>
      <c r="R3855" t="s">
        <v>2368</v>
      </c>
      <c r="S3855" t="s">
        <v>2348</v>
      </c>
      <c r="T3855" t="s">
        <v>2165</v>
      </c>
      <c r="U3855">
        <v>256700</v>
      </c>
      <c r="V3855" t="s">
        <v>20986</v>
      </c>
      <c r="W3855" t="s">
        <v>2399</v>
      </c>
      <c r="X3855" t="s">
        <v>21103</v>
      </c>
      <c r="Y3855" t="s">
        <v>21104</v>
      </c>
      <c r="AA3855" t="s">
        <v>20989</v>
      </c>
      <c r="AB3855" t="s">
        <v>21100</v>
      </c>
      <c r="AC3855">
        <v>99204</v>
      </c>
      <c r="AD3855" t="s">
        <v>2400</v>
      </c>
      <c r="AE3855">
        <v>-40.96218228</v>
      </c>
      <c r="AF3855">
        <v>175.66462720000001</v>
      </c>
      <c r="AG3855" s="175">
        <v>50</v>
      </c>
      <c r="AH3855" s="175">
        <v>25</v>
      </c>
      <c r="AI3855" s="175">
        <v>4</v>
      </c>
      <c r="AJ3855" s="175">
        <v>12</v>
      </c>
      <c r="AK3855" s="175">
        <v>11</v>
      </c>
      <c r="AL3855" s="175">
        <v>9</v>
      </c>
      <c r="AM3855" s="175">
        <v>9</v>
      </c>
      <c r="AN3855" s="175">
        <v>0</v>
      </c>
      <c r="AO3855" s="175">
        <v>45</v>
      </c>
      <c r="AP3855" s="175">
        <v>34</v>
      </c>
      <c r="AQ3855" s="175">
        <v>20</v>
      </c>
      <c r="AR3855" s="175">
        <v>2</v>
      </c>
      <c r="AS3855" s="175">
        <v>2</v>
      </c>
      <c r="AT3855" s="175">
        <v>2</v>
      </c>
    </row>
    <row r="3856" spans="1:46">
      <c r="A3856">
        <v>60197</v>
      </c>
      <c r="B3856" t="s">
        <v>21105</v>
      </c>
      <c r="C3856" t="s">
        <v>21106</v>
      </c>
      <c r="E3856" t="s">
        <v>21107</v>
      </c>
      <c r="F3856" t="s">
        <v>2667</v>
      </c>
      <c r="G3856" t="s">
        <v>2368</v>
      </c>
      <c r="H3856" t="s">
        <v>452</v>
      </c>
      <c r="J3856" t="s">
        <v>605</v>
      </c>
      <c r="K3856" t="s">
        <v>606</v>
      </c>
      <c r="M3856" t="s">
        <v>2366</v>
      </c>
      <c r="N3856" t="s">
        <v>657</v>
      </c>
      <c r="O3856" t="s">
        <v>2614</v>
      </c>
      <c r="P3856" t="s">
        <v>739</v>
      </c>
      <c r="Q3856" t="s">
        <v>516</v>
      </c>
      <c r="R3856" t="s">
        <v>2368</v>
      </c>
      <c r="S3856" t="s">
        <v>2615</v>
      </c>
      <c r="T3856" t="s">
        <v>2526</v>
      </c>
      <c r="U3856">
        <v>253102</v>
      </c>
      <c r="V3856" t="s">
        <v>20588</v>
      </c>
      <c r="W3856" t="s">
        <v>2669</v>
      </c>
      <c r="X3856" t="s">
        <v>1970</v>
      </c>
      <c r="Y3856" t="s">
        <v>1971</v>
      </c>
      <c r="AA3856" t="s">
        <v>1972</v>
      </c>
      <c r="AB3856" t="s">
        <v>1973</v>
      </c>
      <c r="AC3856">
        <v>99141</v>
      </c>
      <c r="AD3856" t="s">
        <v>2670</v>
      </c>
      <c r="AE3856">
        <v>-41.303909130000001</v>
      </c>
      <c r="AF3856">
        <v>174.79592233</v>
      </c>
      <c r="AG3856" s="175">
        <v>24</v>
      </c>
      <c r="AH3856" s="175">
        <v>7</v>
      </c>
      <c r="AI3856" s="175">
        <v>0</v>
      </c>
      <c r="AJ3856" s="175">
        <v>5</v>
      </c>
      <c r="AK3856" s="175">
        <v>24</v>
      </c>
      <c r="AL3856" s="175">
        <v>0</v>
      </c>
      <c r="AM3856" s="175">
        <v>0</v>
      </c>
      <c r="AN3856" s="175">
        <v>0</v>
      </c>
      <c r="AO3856" s="175">
        <v>29</v>
      </c>
      <c r="AP3856" s="175">
        <v>25</v>
      </c>
      <c r="AQ3856" s="175">
        <v>4</v>
      </c>
      <c r="AR3856" s="175">
        <v>0</v>
      </c>
      <c r="AS3856" s="175">
        <v>6</v>
      </c>
      <c r="AT3856" s="175">
        <v>3</v>
      </c>
    </row>
    <row r="3857" spans="1:46">
      <c r="A3857">
        <v>60198</v>
      </c>
      <c r="B3857" t="s">
        <v>21108</v>
      </c>
      <c r="C3857" t="s">
        <v>21109</v>
      </c>
      <c r="D3857" t="s">
        <v>21110</v>
      </c>
      <c r="E3857" t="s">
        <v>21111</v>
      </c>
      <c r="G3857" t="s">
        <v>2877</v>
      </c>
      <c r="H3857" t="s">
        <v>449</v>
      </c>
      <c r="J3857" t="s">
        <v>605</v>
      </c>
      <c r="K3857" t="s">
        <v>606</v>
      </c>
      <c r="M3857" t="s">
        <v>2366</v>
      </c>
      <c r="N3857" t="s">
        <v>657</v>
      </c>
      <c r="O3857" t="s">
        <v>2753</v>
      </c>
      <c r="P3857" t="s">
        <v>1347</v>
      </c>
      <c r="Q3857" t="s">
        <v>516</v>
      </c>
      <c r="R3857" t="s">
        <v>2368</v>
      </c>
      <c r="S3857" t="s">
        <v>2148</v>
      </c>
      <c r="T3857" t="s">
        <v>1568</v>
      </c>
      <c r="U3857">
        <v>238100</v>
      </c>
      <c r="V3857" t="s">
        <v>20877</v>
      </c>
      <c r="W3857" t="s">
        <v>2879</v>
      </c>
      <c r="X3857" t="s">
        <v>21112</v>
      </c>
      <c r="Y3857" t="s">
        <v>21113</v>
      </c>
      <c r="AA3857" t="s">
        <v>21114</v>
      </c>
      <c r="AE3857">
        <v>-40.877929100000003</v>
      </c>
      <c r="AF3857">
        <v>175.06835900999999</v>
      </c>
      <c r="AG3857" s="175">
        <v>40</v>
      </c>
      <c r="AH3857" s="175">
        <v>0</v>
      </c>
      <c r="AI3857" s="175">
        <v>0</v>
      </c>
      <c r="AJ3857" s="175">
        <v>0</v>
      </c>
      <c r="AK3857" s="175">
        <v>8</v>
      </c>
      <c r="AL3857" s="175">
        <v>18</v>
      </c>
      <c r="AM3857" s="175">
        <v>27</v>
      </c>
      <c r="AN3857" s="175">
        <v>0</v>
      </c>
      <c r="AO3857" s="175">
        <v>53</v>
      </c>
      <c r="AP3857" s="175">
        <v>52</v>
      </c>
      <c r="AQ3857" s="175">
        <v>8</v>
      </c>
      <c r="AR3857" s="175">
        <v>0</v>
      </c>
      <c r="AS3857" s="175">
        <v>4</v>
      </c>
      <c r="AT3857" s="175">
        <v>1</v>
      </c>
    </row>
    <row r="3858" spans="1:46">
      <c r="A3858">
        <v>60199</v>
      </c>
      <c r="B3858" t="s">
        <v>21115</v>
      </c>
      <c r="C3858" t="s">
        <v>21116</v>
      </c>
      <c r="D3858" t="s">
        <v>21117</v>
      </c>
      <c r="E3858" t="s">
        <v>21118</v>
      </c>
      <c r="F3858" t="s">
        <v>12226</v>
      </c>
      <c r="G3858" t="s">
        <v>2368</v>
      </c>
      <c r="H3858" t="s">
        <v>449</v>
      </c>
      <c r="J3858" t="s">
        <v>605</v>
      </c>
      <c r="K3858" t="s">
        <v>606</v>
      </c>
      <c r="M3858" t="s">
        <v>2366</v>
      </c>
      <c r="N3858" t="s">
        <v>657</v>
      </c>
      <c r="O3858" t="s">
        <v>2614</v>
      </c>
      <c r="P3858" t="s">
        <v>739</v>
      </c>
      <c r="Q3858" t="s">
        <v>516</v>
      </c>
      <c r="R3858" t="s">
        <v>2368</v>
      </c>
      <c r="S3858" t="s">
        <v>2631</v>
      </c>
      <c r="T3858" t="s">
        <v>2526</v>
      </c>
      <c r="U3858">
        <v>250902</v>
      </c>
      <c r="V3858" t="s">
        <v>19058</v>
      </c>
      <c r="W3858" t="s">
        <v>2651</v>
      </c>
      <c r="X3858" t="s">
        <v>21119</v>
      </c>
      <c r="Y3858" t="s">
        <v>21118</v>
      </c>
      <c r="Z3858" t="s">
        <v>12226</v>
      </c>
      <c r="AA3858" t="s">
        <v>21008</v>
      </c>
      <c r="AE3858">
        <v>-41.276686580000003</v>
      </c>
      <c r="AF3858">
        <v>174.77390604000001</v>
      </c>
      <c r="AG3858" s="175">
        <v>27</v>
      </c>
      <c r="AH3858" s="175">
        <v>8</v>
      </c>
      <c r="AI3858" s="175">
        <v>0</v>
      </c>
      <c r="AJ3858" s="175">
        <v>5</v>
      </c>
      <c r="AK3858" s="175">
        <v>7</v>
      </c>
      <c r="AL3858" s="175">
        <v>7</v>
      </c>
      <c r="AM3858" s="175">
        <v>7</v>
      </c>
      <c r="AN3858" s="175">
        <v>0</v>
      </c>
      <c r="AO3858" s="175">
        <v>26</v>
      </c>
      <c r="AP3858" s="175">
        <v>23</v>
      </c>
      <c r="AQ3858" s="175">
        <v>1</v>
      </c>
      <c r="AR3858" s="175">
        <v>1</v>
      </c>
      <c r="AS3858" s="175">
        <v>4</v>
      </c>
      <c r="AT3858" s="175">
        <v>0</v>
      </c>
    </row>
    <row r="3859" spans="1:46">
      <c r="A3859">
        <v>60200</v>
      </c>
      <c r="B3859" t="s">
        <v>21120</v>
      </c>
      <c r="C3859" t="s">
        <v>21121</v>
      </c>
      <c r="D3859" t="s">
        <v>20501</v>
      </c>
      <c r="E3859" t="s">
        <v>21122</v>
      </c>
      <c r="F3859" t="s">
        <v>13100</v>
      </c>
      <c r="G3859" t="s">
        <v>2604</v>
      </c>
      <c r="H3859" t="s">
        <v>449</v>
      </c>
      <c r="J3859" t="s">
        <v>605</v>
      </c>
      <c r="K3859" t="s">
        <v>606</v>
      </c>
      <c r="M3859" t="s">
        <v>2366</v>
      </c>
      <c r="N3859" t="s">
        <v>657</v>
      </c>
      <c r="O3859" t="s">
        <v>2605</v>
      </c>
      <c r="P3859" t="s">
        <v>670</v>
      </c>
      <c r="Q3859" t="s">
        <v>516</v>
      </c>
      <c r="R3859" t="s">
        <v>2368</v>
      </c>
      <c r="S3859" t="s">
        <v>2606</v>
      </c>
      <c r="T3859" t="s">
        <v>1568</v>
      </c>
      <c r="U3859">
        <v>239900</v>
      </c>
      <c r="V3859" t="s">
        <v>13100</v>
      </c>
      <c r="W3859" t="s">
        <v>2607</v>
      </c>
      <c r="X3859" t="s">
        <v>21123</v>
      </c>
      <c r="Y3859" t="s">
        <v>20504</v>
      </c>
      <c r="Z3859" t="s">
        <v>2708</v>
      </c>
      <c r="AA3859" t="s">
        <v>1972</v>
      </c>
      <c r="AB3859" t="s">
        <v>21124</v>
      </c>
      <c r="AC3859">
        <v>99094</v>
      </c>
      <c r="AD3859" t="s">
        <v>2693</v>
      </c>
      <c r="AE3859">
        <v>-41.126940230000002</v>
      </c>
      <c r="AF3859">
        <v>174.83728818</v>
      </c>
      <c r="AG3859" s="175">
        <v>37</v>
      </c>
      <c r="AH3859" s="175">
        <v>8</v>
      </c>
      <c r="AI3859" s="175">
        <v>0</v>
      </c>
      <c r="AJ3859" s="175">
        <v>0</v>
      </c>
      <c r="AK3859" s="175">
        <v>4</v>
      </c>
      <c r="AL3859" s="175">
        <v>2</v>
      </c>
      <c r="AM3859" s="175">
        <v>1</v>
      </c>
      <c r="AN3859" s="175">
        <v>0</v>
      </c>
      <c r="AO3859" s="175">
        <v>7</v>
      </c>
      <c r="AP3859" s="175">
        <v>3</v>
      </c>
      <c r="AQ3859" s="175">
        <v>4</v>
      </c>
      <c r="AR3859" s="175">
        <v>2</v>
      </c>
      <c r="AS3859" s="175">
        <v>2</v>
      </c>
      <c r="AT3859" s="175">
        <v>2</v>
      </c>
    </row>
    <row r="3860" spans="1:46">
      <c r="A3860">
        <v>60202</v>
      </c>
      <c r="B3860" t="s">
        <v>21125</v>
      </c>
      <c r="C3860" t="s">
        <v>21126</v>
      </c>
      <c r="D3860" t="s">
        <v>21127</v>
      </c>
      <c r="E3860" t="s">
        <v>21128</v>
      </c>
      <c r="F3860" t="s">
        <v>2637</v>
      </c>
      <c r="G3860" t="s">
        <v>2368</v>
      </c>
      <c r="H3860" t="s">
        <v>449</v>
      </c>
      <c r="J3860" t="s">
        <v>605</v>
      </c>
      <c r="K3860" t="s">
        <v>606</v>
      </c>
      <c r="M3860" t="s">
        <v>2366</v>
      </c>
      <c r="N3860" t="s">
        <v>657</v>
      </c>
      <c r="O3860" t="s">
        <v>2614</v>
      </c>
      <c r="P3860" t="s">
        <v>739</v>
      </c>
      <c r="Q3860" t="s">
        <v>516</v>
      </c>
      <c r="R3860" t="s">
        <v>2368</v>
      </c>
      <c r="S3860" t="s">
        <v>2631</v>
      </c>
      <c r="T3860" t="s">
        <v>2526</v>
      </c>
      <c r="U3860">
        <v>250401</v>
      </c>
      <c r="V3860" t="s">
        <v>20824</v>
      </c>
      <c r="W3860" t="s">
        <v>2639</v>
      </c>
      <c r="X3860" t="s">
        <v>21129</v>
      </c>
      <c r="Y3860" t="s">
        <v>21130</v>
      </c>
      <c r="Z3860" t="s">
        <v>2637</v>
      </c>
      <c r="AA3860" t="s">
        <v>21131</v>
      </c>
      <c r="AE3860">
        <v>-41.288147369999997</v>
      </c>
      <c r="AF3860">
        <v>174.73889835</v>
      </c>
      <c r="AG3860" s="175">
        <v>25</v>
      </c>
      <c r="AH3860" s="175">
        <v>8</v>
      </c>
      <c r="AI3860" s="175">
        <v>0</v>
      </c>
      <c r="AJ3860" s="175">
        <v>6</v>
      </c>
      <c r="AK3860" s="175">
        <v>7</v>
      </c>
      <c r="AL3860" s="175">
        <v>5</v>
      </c>
      <c r="AM3860" s="175">
        <v>5</v>
      </c>
      <c r="AN3860" s="175">
        <v>0</v>
      </c>
      <c r="AO3860" s="175">
        <v>23</v>
      </c>
      <c r="AP3860" s="175">
        <v>19</v>
      </c>
      <c r="AQ3860" s="175">
        <v>2</v>
      </c>
      <c r="AR3860" s="175">
        <v>0</v>
      </c>
      <c r="AS3860" s="175">
        <v>4</v>
      </c>
      <c r="AT3860" s="175">
        <v>5</v>
      </c>
    </row>
    <row r="3861" spans="1:46">
      <c r="A3861">
        <v>60203</v>
      </c>
      <c r="B3861" t="s">
        <v>21132</v>
      </c>
      <c r="C3861" t="s">
        <v>21133</v>
      </c>
      <c r="D3861" t="s">
        <v>21134</v>
      </c>
      <c r="E3861" t="s">
        <v>21135</v>
      </c>
      <c r="G3861" t="s">
        <v>21136</v>
      </c>
      <c r="H3861" t="s">
        <v>449</v>
      </c>
      <c r="J3861" t="s">
        <v>605</v>
      </c>
      <c r="K3861" t="s">
        <v>606</v>
      </c>
      <c r="M3861" t="s">
        <v>2366</v>
      </c>
      <c r="N3861" t="s">
        <v>657</v>
      </c>
      <c r="O3861" t="s">
        <v>2605</v>
      </c>
      <c r="P3861" t="s">
        <v>658</v>
      </c>
      <c r="Q3861" t="s">
        <v>516</v>
      </c>
      <c r="R3861" t="s">
        <v>2368</v>
      </c>
      <c r="S3861" t="s">
        <v>2606</v>
      </c>
      <c r="T3861" t="s">
        <v>1568</v>
      </c>
      <c r="U3861">
        <v>239401</v>
      </c>
      <c r="V3861" t="s">
        <v>21137</v>
      </c>
      <c r="W3861" t="s">
        <v>2657</v>
      </c>
      <c r="X3861" t="s">
        <v>21138</v>
      </c>
      <c r="Y3861" t="s">
        <v>21139</v>
      </c>
      <c r="AA3861" t="s">
        <v>21140</v>
      </c>
      <c r="AB3861" t="s">
        <v>21141</v>
      </c>
      <c r="AC3861">
        <v>99068</v>
      </c>
      <c r="AD3861" t="s">
        <v>2608</v>
      </c>
      <c r="AE3861">
        <v>-41.104492370000003</v>
      </c>
      <c r="AF3861">
        <v>174.91692879999999</v>
      </c>
      <c r="AG3861" s="175">
        <v>23</v>
      </c>
      <c r="AH3861" s="175">
        <v>0</v>
      </c>
      <c r="AI3861" s="175">
        <v>0</v>
      </c>
      <c r="AJ3861" s="175">
        <v>0</v>
      </c>
      <c r="AK3861" s="175">
        <v>5</v>
      </c>
      <c r="AL3861" s="175">
        <v>10</v>
      </c>
      <c r="AM3861" s="175">
        <v>20</v>
      </c>
      <c r="AN3861" s="175">
        <v>0</v>
      </c>
      <c r="AO3861" s="175">
        <v>35</v>
      </c>
      <c r="AP3861" s="175">
        <v>34</v>
      </c>
      <c r="AQ3861" s="175">
        <v>4</v>
      </c>
      <c r="AR3861" s="175">
        <v>0</v>
      </c>
      <c r="AS3861" s="175">
        <v>0</v>
      </c>
      <c r="AT3861" s="175">
        <v>0</v>
      </c>
    </row>
    <row r="3862" spans="1:46">
      <c r="A3862">
        <v>60206</v>
      </c>
      <c r="B3862" t="s">
        <v>21142</v>
      </c>
      <c r="C3862" t="s">
        <v>21143</v>
      </c>
      <c r="D3862" t="s">
        <v>21144</v>
      </c>
      <c r="E3862" t="s">
        <v>21145</v>
      </c>
      <c r="F3862" t="s">
        <v>20509</v>
      </c>
      <c r="G3862" t="s">
        <v>2368</v>
      </c>
      <c r="H3862" t="s">
        <v>449</v>
      </c>
      <c r="I3862" t="s">
        <v>21146</v>
      </c>
      <c r="J3862" t="s">
        <v>605</v>
      </c>
      <c r="K3862" t="s">
        <v>606</v>
      </c>
      <c r="M3862" t="s">
        <v>2366</v>
      </c>
      <c r="N3862" t="s">
        <v>657</v>
      </c>
      <c r="O3862" t="s">
        <v>2614</v>
      </c>
      <c r="P3862" t="s">
        <v>739</v>
      </c>
      <c r="Q3862" t="s">
        <v>516</v>
      </c>
      <c r="R3862" t="s">
        <v>2368</v>
      </c>
      <c r="S3862" t="s">
        <v>2631</v>
      </c>
      <c r="T3862" t="s">
        <v>2526</v>
      </c>
      <c r="U3862">
        <v>251700</v>
      </c>
      <c r="V3862" t="s">
        <v>15981</v>
      </c>
      <c r="W3862" t="s">
        <v>2651</v>
      </c>
      <c r="X3862" t="s">
        <v>21147</v>
      </c>
      <c r="Y3862" t="s">
        <v>21145</v>
      </c>
      <c r="Z3862" t="s">
        <v>15980</v>
      </c>
      <c r="AA3862" t="s">
        <v>21008</v>
      </c>
      <c r="AE3862">
        <v>-41.297188550000001</v>
      </c>
      <c r="AF3862">
        <v>174.77214454</v>
      </c>
      <c r="AG3862" s="175">
        <v>25</v>
      </c>
      <c r="AH3862" s="175">
        <v>0</v>
      </c>
      <c r="AI3862" s="175">
        <v>0</v>
      </c>
      <c r="AJ3862" s="175">
        <v>0</v>
      </c>
      <c r="AK3862" s="175">
        <v>7</v>
      </c>
      <c r="AL3862" s="175">
        <v>8</v>
      </c>
      <c r="AM3862" s="175">
        <v>8</v>
      </c>
      <c r="AN3862" s="175">
        <v>1</v>
      </c>
      <c r="AO3862" s="175">
        <v>24</v>
      </c>
      <c r="AP3862" s="175">
        <v>14</v>
      </c>
      <c r="AQ3862" s="175">
        <v>1</v>
      </c>
      <c r="AR3862" s="175">
        <v>2</v>
      </c>
      <c r="AS3862" s="175">
        <v>3</v>
      </c>
      <c r="AT3862" s="175">
        <v>9</v>
      </c>
    </row>
    <row r="3863" spans="1:46">
      <c r="A3863">
        <v>60212</v>
      </c>
      <c r="B3863" t="s">
        <v>21148</v>
      </c>
      <c r="C3863" t="s">
        <v>21149</v>
      </c>
      <c r="E3863" t="s">
        <v>21150</v>
      </c>
      <c r="F3863" t="s">
        <v>2746</v>
      </c>
      <c r="G3863" t="s">
        <v>2368</v>
      </c>
      <c r="H3863" t="s">
        <v>449</v>
      </c>
      <c r="J3863" t="s">
        <v>605</v>
      </c>
      <c r="K3863" t="s">
        <v>606</v>
      </c>
      <c r="M3863" t="s">
        <v>2366</v>
      </c>
      <c r="N3863" t="s">
        <v>657</v>
      </c>
      <c r="O3863" t="s">
        <v>2614</v>
      </c>
      <c r="P3863" t="s">
        <v>739</v>
      </c>
      <c r="Q3863" t="s">
        <v>516</v>
      </c>
      <c r="R3863" t="s">
        <v>2368</v>
      </c>
      <c r="S3863" t="s">
        <v>2615</v>
      </c>
      <c r="T3863" t="s">
        <v>2526</v>
      </c>
      <c r="U3863">
        <v>253600</v>
      </c>
      <c r="V3863" t="s">
        <v>2889</v>
      </c>
      <c r="W3863" t="s">
        <v>2616</v>
      </c>
      <c r="X3863" t="s">
        <v>21151</v>
      </c>
      <c r="Y3863" t="s">
        <v>21150</v>
      </c>
      <c r="Z3863" t="s">
        <v>2746</v>
      </c>
      <c r="AA3863" t="s">
        <v>20437</v>
      </c>
      <c r="AC3863">
        <v>99171</v>
      </c>
      <c r="AD3863" t="s">
        <v>2617</v>
      </c>
      <c r="AE3863">
        <v>-41.313678729999999</v>
      </c>
      <c r="AF3863">
        <v>174.78280724999999</v>
      </c>
      <c r="AG3863" s="175">
        <v>30</v>
      </c>
      <c r="AH3863" s="175">
        <v>10</v>
      </c>
      <c r="AI3863" s="175">
        <v>0</v>
      </c>
      <c r="AJ3863" s="175">
        <v>6</v>
      </c>
      <c r="AK3863" s="175">
        <v>9</v>
      </c>
      <c r="AL3863" s="175">
        <v>7</v>
      </c>
      <c r="AM3863" s="175">
        <v>9</v>
      </c>
      <c r="AN3863" s="175">
        <v>0</v>
      </c>
      <c r="AO3863" s="175">
        <v>31</v>
      </c>
      <c r="AP3863" s="175">
        <v>19</v>
      </c>
      <c r="AQ3863" s="175">
        <v>0</v>
      </c>
      <c r="AR3863" s="175">
        <v>1</v>
      </c>
      <c r="AS3863" s="175">
        <v>11</v>
      </c>
      <c r="AT3863" s="175">
        <v>5</v>
      </c>
    </row>
    <row r="3864" spans="1:46">
      <c r="A3864">
        <v>60213</v>
      </c>
      <c r="B3864" t="s">
        <v>21152</v>
      </c>
      <c r="C3864" t="s">
        <v>21153</v>
      </c>
      <c r="D3864" t="s">
        <v>21154</v>
      </c>
      <c r="E3864" t="s">
        <v>21155</v>
      </c>
      <c r="F3864" t="s">
        <v>2761</v>
      </c>
      <c r="G3864" t="s">
        <v>2368</v>
      </c>
      <c r="H3864" t="s">
        <v>449</v>
      </c>
      <c r="J3864" t="s">
        <v>605</v>
      </c>
      <c r="K3864" t="s">
        <v>606</v>
      </c>
      <c r="M3864" t="s">
        <v>2366</v>
      </c>
      <c r="N3864" t="s">
        <v>4586</v>
      </c>
      <c r="O3864" t="s">
        <v>2614</v>
      </c>
      <c r="P3864" t="s">
        <v>739</v>
      </c>
      <c r="Q3864" t="s">
        <v>516</v>
      </c>
      <c r="R3864" t="s">
        <v>2368</v>
      </c>
      <c r="S3864" t="s">
        <v>2623</v>
      </c>
      <c r="T3864" t="s">
        <v>2526</v>
      </c>
      <c r="U3864">
        <v>249600</v>
      </c>
      <c r="V3864" t="s">
        <v>2762</v>
      </c>
      <c r="W3864" t="s">
        <v>2639</v>
      </c>
      <c r="X3864" t="s">
        <v>21156</v>
      </c>
      <c r="Y3864" t="s">
        <v>21155</v>
      </c>
      <c r="Z3864" t="s">
        <v>2761</v>
      </c>
      <c r="AA3864" t="s">
        <v>20901</v>
      </c>
      <c r="AB3864" t="s">
        <v>21157</v>
      </c>
      <c r="AE3864">
        <v>-41.250008389999998</v>
      </c>
      <c r="AF3864">
        <v>174.77329126999999</v>
      </c>
      <c r="AG3864" s="175">
        <v>16</v>
      </c>
      <c r="AH3864" s="175">
        <v>4</v>
      </c>
      <c r="AI3864" s="175">
        <v>0</v>
      </c>
      <c r="AJ3864" s="175">
        <v>4</v>
      </c>
      <c r="AK3864" s="175">
        <v>3</v>
      </c>
      <c r="AL3864" s="175">
        <v>3</v>
      </c>
      <c r="AM3864" s="175">
        <v>3</v>
      </c>
      <c r="AN3864" s="175">
        <v>0</v>
      </c>
      <c r="AO3864" s="175">
        <v>13</v>
      </c>
      <c r="AP3864" s="175">
        <v>12</v>
      </c>
      <c r="AQ3864" s="175">
        <v>0</v>
      </c>
      <c r="AR3864" s="175">
        <v>0</v>
      </c>
      <c r="AS3864" s="175">
        <v>3</v>
      </c>
      <c r="AT3864" s="175">
        <v>0</v>
      </c>
    </row>
    <row r="3865" spans="1:46">
      <c r="A3865">
        <v>60215</v>
      </c>
      <c r="B3865" t="s">
        <v>21158</v>
      </c>
      <c r="C3865" t="s">
        <v>21159</v>
      </c>
      <c r="D3865" t="s">
        <v>21160</v>
      </c>
      <c r="E3865" t="s">
        <v>21161</v>
      </c>
      <c r="F3865" t="s">
        <v>2746</v>
      </c>
      <c r="G3865" t="s">
        <v>2368</v>
      </c>
      <c r="H3865" t="s">
        <v>449</v>
      </c>
      <c r="J3865" t="s">
        <v>605</v>
      </c>
      <c r="K3865" t="s">
        <v>606</v>
      </c>
      <c r="M3865" t="s">
        <v>2366</v>
      </c>
      <c r="N3865" t="s">
        <v>657</v>
      </c>
      <c r="O3865" t="s">
        <v>2614</v>
      </c>
      <c r="P3865" t="s">
        <v>739</v>
      </c>
      <c r="Q3865" t="s">
        <v>516</v>
      </c>
      <c r="R3865" t="s">
        <v>2368</v>
      </c>
      <c r="S3865" t="s">
        <v>2615</v>
      </c>
      <c r="T3865" t="s">
        <v>2526</v>
      </c>
      <c r="U3865">
        <v>252400</v>
      </c>
      <c r="V3865" t="s">
        <v>21082</v>
      </c>
      <c r="W3865" t="s">
        <v>2651</v>
      </c>
      <c r="X3865" t="s">
        <v>21162</v>
      </c>
      <c r="Y3865" t="s">
        <v>21161</v>
      </c>
      <c r="Z3865" t="s">
        <v>2746</v>
      </c>
      <c r="AA3865" t="s">
        <v>20437</v>
      </c>
      <c r="AB3865" t="s">
        <v>21163</v>
      </c>
      <c r="AE3865">
        <v>-41.30606573</v>
      </c>
      <c r="AF3865">
        <v>174.77911566</v>
      </c>
      <c r="AG3865" s="175">
        <v>30</v>
      </c>
      <c r="AH3865" s="175">
        <v>12</v>
      </c>
      <c r="AI3865" s="175">
        <v>0</v>
      </c>
      <c r="AJ3865" s="175">
        <v>11</v>
      </c>
      <c r="AK3865" s="175">
        <v>10</v>
      </c>
      <c r="AL3865" s="175">
        <v>8</v>
      </c>
      <c r="AM3865" s="175">
        <v>6</v>
      </c>
      <c r="AN3865" s="175">
        <v>1</v>
      </c>
      <c r="AO3865" s="175">
        <v>36</v>
      </c>
      <c r="AP3865" s="175">
        <v>35</v>
      </c>
      <c r="AQ3865" s="175">
        <v>2</v>
      </c>
      <c r="AR3865" s="175">
        <v>2</v>
      </c>
      <c r="AS3865" s="175">
        <v>10</v>
      </c>
      <c r="AT3865" s="175">
        <v>0</v>
      </c>
    </row>
    <row r="3866" spans="1:46">
      <c r="A3866">
        <v>60216</v>
      </c>
      <c r="B3866" t="s">
        <v>21164</v>
      </c>
      <c r="C3866" t="s">
        <v>21165</v>
      </c>
      <c r="E3866" t="s">
        <v>21166</v>
      </c>
      <c r="F3866" t="s">
        <v>2448</v>
      </c>
      <c r="G3866" t="s">
        <v>2449</v>
      </c>
      <c r="H3866" t="s">
        <v>449</v>
      </c>
      <c r="J3866" t="s">
        <v>4032</v>
      </c>
      <c r="K3866" t="s">
        <v>606</v>
      </c>
      <c r="M3866" t="s">
        <v>2366</v>
      </c>
      <c r="N3866" t="s">
        <v>657</v>
      </c>
      <c r="O3866" t="s">
        <v>2450</v>
      </c>
      <c r="P3866" t="s">
        <v>670</v>
      </c>
      <c r="Q3866" t="s">
        <v>516</v>
      </c>
      <c r="R3866" t="s">
        <v>2368</v>
      </c>
      <c r="S3866" t="s">
        <v>2451</v>
      </c>
      <c r="T3866" t="s">
        <v>2165</v>
      </c>
      <c r="U3866">
        <v>241900</v>
      </c>
      <c r="V3866" t="s">
        <v>2478</v>
      </c>
      <c r="W3866" t="s">
        <v>1734</v>
      </c>
      <c r="X3866" t="s">
        <v>21167</v>
      </c>
      <c r="Y3866" t="s">
        <v>21166</v>
      </c>
      <c r="Z3866" t="s">
        <v>2478</v>
      </c>
      <c r="AA3866" t="s">
        <v>4808</v>
      </c>
      <c r="AB3866" t="s">
        <v>21165</v>
      </c>
      <c r="AE3866">
        <v>-41.124956670000003</v>
      </c>
      <c r="AF3866">
        <v>175.06295553999999</v>
      </c>
      <c r="AG3866" s="175">
        <v>49</v>
      </c>
      <c r="AH3866" s="175">
        <v>12</v>
      </c>
      <c r="AI3866" s="175">
        <v>2</v>
      </c>
      <c r="AJ3866" s="175">
        <v>15</v>
      </c>
      <c r="AK3866" s="175">
        <v>16</v>
      </c>
      <c r="AL3866" s="175">
        <v>17</v>
      </c>
      <c r="AM3866" s="175">
        <v>12</v>
      </c>
      <c r="AN3866" s="175">
        <v>1</v>
      </c>
      <c r="AO3866" s="175">
        <v>63</v>
      </c>
      <c r="AP3866" s="175">
        <v>44</v>
      </c>
      <c r="AQ3866" s="175">
        <v>14</v>
      </c>
      <c r="AR3866" s="175">
        <v>10</v>
      </c>
      <c r="AS3866" s="175">
        <v>13</v>
      </c>
      <c r="AT3866" s="175">
        <v>3</v>
      </c>
    </row>
    <row r="3867" spans="1:46">
      <c r="A3867">
        <v>60219</v>
      </c>
      <c r="B3867" t="s">
        <v>21168</v>
      </c>
      <c r="C3867" t="s">
        <v>21169</v>
      </c>
      <c r="D3867" t="s">
        <v>21170</v>
      </c>
      <c r="E3867" t="s">
        <v>21171</v>
      </c>
      <c r="F3867" t="s">
        <v>2519</v>
      </c>
      <c r="G3867" t="s">
        <v>2505</v>
      </c>
      <c r="H3867" t="s">
        <v>449</v>
      </c>
      <c r="J3867" t="s">
        <v>605</v>
      </c>
      <c r="K3867" t="s">
        <v>606</v>
      </c>
      <c r="M3867" t="s">
        <v>2366</v>
      </c>
      <c r="N3867" t="s">
        <v>657</v>
      </c>
      <c r="O3867" t="s">
        <v>2506</v>
      </c>
      <c r="P3867" t="s">
        <v>739</v>
      </c>
      <c r="Q3867" t="s">
        <v>516</v>
      </c>
      <c r="R3867" t="s">
        <v>2368</v>
      </c>
      <c r="S3867" t="s">
        <v>2507</v>
      </c>
      <c r="T3867" t="s">
        <v>2526</v>
      </c>
      <c r="U3867">
        <v>245700</v>
      </c>
      <c r="V3867" t="s">
        <v>21172</v>
      </c>
      <c r="W3867" t="s">
        <v>2569</v>
      </c>
      <c r="X3867" t="s">
        <v>21173</v>
      </c>
      <c r="Y3867" t="s">
        <v>21174</v>
      </c>
      <c r="Z3867" t="s">
        <v>12967</v>
      </c>
      <c r="AA3867" t="s">
        <v>12361</v>
      </c>
      <c r="AB3867" t="s">
        <v>21175</v>
      </c>
      <c r="AE3867">
        <v>-41.23378194</v>
      </c>
      <c r="AF3867">
        <v>174.91791083000001</v>
      </c>
      <c r="AG3867" s="175">
        <v>40</v>
      </c>
      <c r="AH3867" s="175">
        <v>10</v>
      </c>
      <c r="AI3867" s="175">
        <v>2</v>
      </c>
      <c r="AJ3867" s="175">
        <v>9</v>
      </c>
      <c r="AK3867" s="175">
        <v>14</v>
      </c>
      <c r="AL3867" s="175">
        <v>13</v>
      </c>
      <c r="AM3867" s="175">
        <v>14</v>
      </c>
      <c r="AN3867" s="175">
        <v>0</v>
      </c>
      <c r="AO3867" s="175">
        <v>52</v>
      </c>
      <c r="AP3867" s="175">
        <v>35</v>
      </c>
      <c r="AQ3867" s="175">
        <v>5</v>
      </c>
      <c r="AR3867" s="175">
        <v>3</v>
      </c>
      <c r="AS3867" s="175">
        <v>14</v>
      </c>
      <c r="AT3867" s="175">
        <v>10</v>
      </c>
    </row>
    <row r="3868" spans="1:46">
      <c r="A3868">
        <v>60220</v>
      </c>
      <c r="B3868" t="s">
        <v>21176</v>
      </c>
      <c r="C3868" t="s">
        <v>21177</v>
      </c>
      <c r="D3868" t="s">
        <v>21178</v>
      </c>
      <c r="E3868" t="s">
        <v>21179</v>
      </c>
      <c r="F3868" t="s">
        <v>2656</v>
      </c>
      <c r="G3868" t="s">
        <v>2604</v>
      </c>
      <c r="H3868" t="s">
        <v>452</v>
      </c>
      <c r="J3868" t="s">
        <v>605</v>
      </c>
      <c r="K3868" t="s">
        <v>606</v>
      </c>
      <c r="M3868" t="s">
        <v>2366</v>
      </c>
      <c r="N3868" t="s">
        <v>657</v>
      </c>
      <c r="O3868" t="s">
        <v>2605</v>
      </c>
      <c r="P3868" t="s">
        <v>670</v>
      </c>
      <c r="Q3868" t="s">
        <v>516</v>
      </c>
      <c r="R3868" t="s">
        <v>2368</v>
      </c>
      <c r="S3868" t="s">
        <v>2606</v>
      </c>
      <c r="T3868" t="s">
        <v>1568</v>
      </c>
      <c r="U3868">
        <v>240401</v>
      </c>
      <c r="V3868" t="s">
        <v>2656</v>
      </c>
      <c r="W3868" t="s">
        <v>2657</v>
      </c>
      <c r="X3868" t="s">
        <v>1970</v>
      </c>
      <c r="Y3868" t="s">
        <v>1971</v>
      </c>
      <c r="AA3868" t="s">
        <v>1972</v>
      </c>
      <c r="AB3868" t="s">
        <v>12735</v>
      </c>
      <c r="AE3868">
        <v>-41.117744899999998</v>
      </c>
      <c r="AF3868">
        <v>174.8930747</v>
      </c>
      <c r="AG3868" s="175">
        <v>28</v>
      </c>
      <c r="AH3868" s="175">
        <v>5</v>
      </c>
      <c r="AI3868" s="175">
        <v>0</v>
      </c>
      <c r="AJ3868" s="175">
        <v>10</v>
      </c>
      <c r="AK3868" s="175">
        <v>20</v>
      </c>
      <c r="AL3868" s="175">
        <v>4</v>
      </c>
      <c r="AM3868" s="175">
        <v>0</v>
      </c>
      <c r="AN3868" s="175">
        <v>0</v>
      </c>
      <c r="AO3868" s="175">
        <v>34</v>
      </c>
      <c r="AP3868" s="175">
        <v>33</v>
      </c>
      <c r="AQ3868" s="175">
        <v>5</v>
      </c>
      <c r="AR3868" s="175">
        <v>1</v>
      </c>
      <c r="AS3868" s="175">
        <v>0</v>
      </c>
      <c r="AT3868" s="175">
        <v>1</v>
      </c>
    </row>
    <row r="3869" spans="1:46">
      <c r="A3869">
        <v>60221</v>
      </c>
      <c r="B3869" t="s">
        <v>21180</v>
      </c>
      <c r="C3869" t="s">
        <v>21181</v>
      </c>
      <c r="D3869" t="s">
        <v>21182</v>
      </c>
      <c r="E3869" t="s">
        <v>21183</v>
      </c>
      <c r="F3869" t="s">
        <v>2483</v>
      </c>
      <c r="G3869" t="s">
        <v>2449</v>
      </c>
      <c r="H3869" t="s">
        <v>449</v>
      </c>
      <c r="J3869" t="s">
        <v>4032</v>
      </c>
      <c r="K3869" t="s">
        <v>606</v>
      </c>
      <c r="M3869" t="s">
        <v>2366</v>
      </c>
      <c r="N3869" t="s">
        <v>657</v>
      </c>
      <c r="O3869" t="s">
        <v>2450</v>
      </c>
      <c r="P3869" t="s">
        <v>670</v>
      </c>
      <c r="Q3869" t="s">
        <v>516</v>
      </c>
      <c r="R3869" t="s">
        <v>2368</v>
      </c>
      <c r="S3869" t="s">
        <v>2451</v>
      </c>
      <c r="T3869" t="s">
        <v>2165</v>
      </c>
      <c r="U3869">
        <v>241400</v>
      </c>
      <c r="V3869" t="s">
        <v>2473</v>
      </c>
      <c r="W3869" t="s">
        <v>1734</v>
      </c>
      <c r="X3869" t="s">
        <v>21184</v>
      </c>
      <c r="Y3869" t="s">
        <v>4176</v>
      </c>
      <c r="AA3869" t="s">
        <v>4052</v>
      </c>
      <c r="AB3869" t="s">
        <v>21185</v>
      </c>
      <c r="AE3869">
        <v>-41.145284799999999</v>
      </c>
      <c r="AF3869">
        <v>175.0160703</v>
      </c>
      <c r="AG3869" s="175">
        <v>51</v>
      </c>
      <c r="AH3869" s="175">
        <v>16</v>
      </c>
      <c r="AI3869" s="175">
        <v>5</v>
      </c>
      <c r="AJ3869" s="175">
        <v>14</v>
      </c>
      <c r="AK3869" s="175">
        <v>8</v>
      </c>
      <c r="AL3869" s="175">
        <v>15</v>
      </c>
      <c r="AM3869" s="175">
        <v>17</v>
      </c>
      <c r="AN3869" s="175">
        <v>0</v>
      </c>
      <c r="AO3869" s="175">
        <v>59</v>
      </c>
      <c r="AP3869" s="175">
        <v>45</v>
      </c>
      <c r="AQ3869" s="175">
        <v>5</v>
      </c>
      <c r="AR3869" s="175">
        <v>3</v>
      </c>
      <c r="AS3869" s="175">
        <v>7</v>
      </c>
      <c r="AT3869" s="175">
        <v>6</v>
      </c>
    </row>
    <row r="3870" spans="1:46">
      <c r="A3870">
        <v>60222</v>
      </c>
      <c r="B3870" t="s">
        <v>21186</v>
      </c>
      <c r="C3870" t="s">
        <v>21187</v>
      </c>
      <c r="D3870" t="s">
        <v>21188</v>
      </c>
      <c r="E3870" t="s">
        <v>21189</v>
      </c>
      <c r="F3870" t="s">
        <v>13286</v>
      </c>
      <c r="G3870" t="s">
        <v>2368</v>
      </c>
      <c r="H3870" t="s">
        <v>449</v>
      </c>
      <c r="J3870" t="s">
        <v>605</v>
      </c>
      <c r="K3870" t="s">
        <v>606</v>
      </c>
      <c r="M3870" t="s">
        <v>2366</v>
      </c>
      <c r="N3870" t="s">
        <v>657</v>
      </c>
      <c r="O3870" t="s">
        <v>2614</v>
      </c>
      <c r="P3870" t="s">
        <v>739</v>
      </c>
      <c r="Q3870" t="s">
        <v>516</v>
      </c>
      <c r="R3870" t="s">
        <v>2368</v>
      </c>
      <c r="S3870" t="s">
        <v>2631</v>
      </c>
      <c r="T3870" t="s">
        <v>2526</v>
      </c>
      <c r="U3870">
        <v>250800</v>
      </c>
      <c r="V3870" t="s">
        <v>2767</v>
      </c>
      <c r="W3870" t="s">
        <v>2639</v>
      </c>
      <c r="X3870" t="s">
        <v>21190</v>
      </c>
      <c r="Y3870" t="s">
        <v>21191</v>
      </c>
      <c r="Z3870" t="s">
        <v>13286</v>
      </c>
      <c r="AA3870" t="s">
        <v>20290</v>
      </c>
      <c r="AB3870" t="s">
        <v>21192</v>
      </c>
      <c r="AE3870">
        <v>-41.276527790000003</v>
      </c>
      <c r="AF3870">
        <v>174.75774317</v>
      </c>
      <c r="AG3870" s="175">
        <v>30</v>
      </c>
      <c r="AH3870" s="175">
        <v>10</v>
      </c>
      <c r="AI3870" s="175">
        <v>1</v>
      </c>
      <c r="AJ3870" s="175">
        <v>8</v>
      </c>
      <c r="AK3870" s="175">
        <v>7</v>
      </c>
      <c r="AL3870" s="175">
        <v>10</v>
      </c>
      <c r="AM3870" s="175">
        <v>12</v>
      </c>
      <c r="AN3870" s="175">
        <v>0</v>
      </c>
      <c r="AO3870" s="175">
        <v>38</v>
      </c>
      <c r="AP3870" s="175">
        <v>33</v>
      </c>
      <c r="AQ3870" s="175">
        <v>5</v>
      </c>
      <c r="AR3870" s="175">
        <v>0</v>
      </c>
      <c r="AS3870" s="175">
        <v>4</v>
      </c>
      <c r="AT3870" s="175">
        <v>1</v>
      </c>
    </row>
    <row r="3871" spans="1:46">
      <c r="A3871">
        <v>60225</v>
      </c>
      <c r="B3871" t="s">
        <v>21193</v>
      </c>
      <c r="C3871" t="s">
        <v>21194</v>
      </c>
      <c r="D3871" t="s">
        <v>21195</v>
      </c>
      <c r="E3871" t="s">
        <v>21196</v>
      </c>
      <c r="F3871" t="s">
        <v>2519</v>
      </c>
      <c r="G3871" t="s">
        <v>2505</v>
      </c>
      <c r="H3871" t="s">
        <v>449</v>
      </c>
      <c r="J3871" t="s">
        <v>605</v>
      </c>
      <c r="K3871" t="s">
        <v>606</v>
      </c>
      <c r="M3871" t="s">
        <v>2366</v>
      </c>
      <c r="N3871" t="s">
        <v>657</v>
      </c>
      <c r="O3871" t="s">
        <v>2506</v>
      </c>
      <c r="P3871" t="s">
        <v>739</v>
      </c>
      <c r="Q3871" t="s">
        <v>516</v>
      </c>
      <c r="R3871" t="s">
        <v>2368</v>
      </c>
      <c r="S3871" t="s">
        <v>2507</v>
      </c>
      <c r="T3871" t="s">
        <v>2526</v>
      </c>
      <c r="U3871">
        <v>244800</v>
      </c>
      <c r="V3871" t="s">
        <v>21197</v>
      </c>
      <c r="W3871" t="s">
        <v>2521</v>
      </c>
      <c r="X3871" t="s">
        <v>21198</v>
      </c>
      <c r="Y3871" t="s">
        <v>21196</v>
      </c>
      <c r="Z3871" t="s">
        <v>21199</v>
      </c>
      <c r="AA3871" t="s">
        <v>12361</v>
      </c>
      <c r="AE3871">
        <v>-41.215995679999999</v>
      </c>
      <c r="AF3871">
        <v>174.89919030999999</v>
      </c>
      <c r="AG3871" s="175">
        <v>47</v>
      </c>
      <c r="AH3871" s="175">
        <v>15</v>
      </c>
      <c r="AI3871" s="175">
        <v>2</v>
      </c>
      <c r="AJ3871" s="175">
        <v>11</v>
      </c>
      <c r="AK3871" s="175">
        <v>15</v>
      </c>
      <c r="AL3871" s="175">
        <v>13</v>
      </c>
      <c r="AM3871" s="175">
        <v>13</v>
      </c>
      <c r="AN3871" s="175">
        <v>0</v>
      </c>
      <c r="AO3871" s="175">
        <v>54</v>
      </c>
      <c r="AP3871" s="175">
        <v>46</v>
      </c>
      <c r="AQ3871" s="175">
        <v>11</v>
      </c>
      <c r="AR3871" s="175">
        <v>5</v>
      </c>
      <c r="AS3871" s="175">
        <v>5</v>
      </c>
      <c r="AT3871" s="175">
        <v>1</v>
      </c>
    </row>
    <row r="3872" spans="1:46">
      <c r="A3872">
        <v>60228</v>
      </c>
      <c r="B3872" t="s">
        <v>21200</v>
      </c>
      <c r="C3872" t="s">
        <v>21201</v>
      </c>
      <c r="D3872" t="s">
        <v>21202</v>
      </c>
      <c r="E3872" t="s">
        <v>21203</v>
      </c>
      <c r="F3872" t="s">
        <v>2746</v>
      </c>
      <c r="G3872" t="s">
        <v>2368</v>
      </c>
      <c r="H3872" t="s">
        <v>449</v>
      </c>
      <c r="I3872" t="s">
        <v>4233</v>
      </c>
      <c r="J3872" t="s">
        <v>605</v>
      </c>
      <c r="K3872" t="s">
        <v>606</v>
      </c>
      <c r="M3872" t="s">
        <v>2366</v>
      </c>
      <c r="N3872" t="s">
        <v>657</v>
      </c>
      <c r="O3872" t="s">
        <v>2614</v>
      </c>
      <c r="P3872" t="s">
        <v>739</v>
      </c>
      <c r="Q3872" t="s">
        <v>516</v>
      </c>
      <c r="R3872" t="s">
        <v>2368</v>
      </c>
      <c r="S3872" t="s">
        <v>2615</v>
      </c>
      <c r="T3872" t="s">
        <v>2526</v>
      </c>
      <c r="U3872">
        <v>253600</v>
      </c>
      <c r="V3872" t="s">
        <v>2889</v>
      </c>
      <c r="W3872" t="s">
        <v>2616</v>
      </c>
      <c r="X3872" t="s">
        <v>21204</v>
      </c>
      <c r="Y3872" t="s">
        <v>21203</v>
      </c>
      <c r="Z3872" t="s">
        <v>2746</v>
      </c>
      <c r="AA3872" t="s">
        <v>21205</v>
      </c>
      <c r="AB3872" t="s">
        <v>21206</v>
      </c>
      <c r="AE3872">
        <v>-41.317740049999998</v>
      </c>
      <c r="AF3872">
        <v>174.78576305000001</v>
      </c>
      <c r="AG3872" s="175">
        <v>32</v>
      </c>
      <c r="AH3872" s="175">
        <v>11</v>
      </c>
      <c r="AI3872" s="175">
        <v>2</v>
      </c>
      <c r="AJ3872" s="175">
        <v>0</v>
      </c>
      <c r="AK3872" s="175">
        <v>9</v>
      </c>
      <c r="AL3872" s="175">
        <v>6</v>
      </c>
      <c r="AM3872" s="175">
        <v>3</v>
      </c>
      <c r="AN3872" s="175">
        <v>0</v>
      </c>
      <c r="AO3872" s="175">
        <v>20</v>
      </c>
      <c r="AP3872" s="175">
        <v>7</v>
      </c>
      <c r="AQ3872" s="175">
        <v>5</v>
      </c>
      <c r="AR3872" s="175">
        <v>14</v>
      </c>
      <c r="AS3872" s="175">
        <v>2</v>
      </c>
      <c r="AT3872" s="175">
        <v>2</v>
      </c>
    </row>
    <row r="3873" spans="1:46">
      <c r="A3873">
        <v>60230</v>
      </c>
      <c r="B3873" t="s">
        <v>21207</v>
      </c>
      <c r="C3873" t="s">
        <v>21208</v>
      </c>
      <c r="D3873" t="s">
        <v>21209</v>
      </c>
      <c r="E3873" t="s">
        <v>21210</v>
      </c>
      <c r="F3873" t="s">
        <v>2637</v>
      </c>
      <c r="G3873" t="s">
        <v>2368</v>
      </c>
      <c r="H3873" t="s">
        <v>449</v>
      </c>
      <c r="J3873" t="s">
        <v>605</v>
      </c>
      <c r="K3873" t="s">
        <v>606</v>
      </c>
      <c r="M3873" t="s">
        <v>2366</v>
      </c>
      <c r="N3873" t="s">
        <v>657</v>
      </c>
      <c r="O3873" t="s">
        <v>2614</v>
      </c>
      <c r="P3873" t="s">
        <v>739</v>
      </c>
      <c r="Q3873" t="s">
        <v>516</v>
      </c>
      <c r="R3873" t="s">
        <v>2368</v>
      </c>
      <c r="S3873" t="s">
        <v>2631</v>
      </c>
      <c r="T3873" t="s">
        <v>2526</v>
      </c>
      <c r="U3873">
        <v>250600</v>
      </c>
      <c r="V3873" t="s">
        <v>2638</v>
      </c>
      <c r="W3873" t="s">
        <v>2639</v>
      </c>
      <c r="X3873" t="s">
        <v>21211</v>
      </c>
      <c r="Y3873" t="s">
        <v>21210</v>
      </c>
      <c r="Z3873" t="s">
        <v>2637</v>
      </c>
      <c r="AA3873" t="s">
        <v>13288</v>
      </c>
      <c r="AB3873" t="s">
        <v>21212</v>
      </c>
      <c r="AE3873">
        <v>-41.286205619999997</v>
      </c>
      <c r="AF3873">
        <v>174.74003666999999</v>
      </c>
      <c r="AG3873" s="175">
        <v>24</v>
      </c>
      <c r="AH3873" s="175">
        <v>0</v>
      </c>
      <c r="AI3873" s="175">
        <v>0</v>
      </c>
      <c r="AJ3873" s="175">
        <v>0</v>
      </c>
      <c r="AK3873" s="175">
        <v>8</v>
      </c>
      <c r="AL3873" s="175">
        <v>4</v>
      </c>
      <c r="AM3873" s="175">
        <v>9</v>
      </c>
      <c r="AN3873" s="175">
        <v>0</v>
      </c>
      <c r="AO3873" s="175">
        <v>21</v>
      </c>
      <c r="AP3873" s="175">
        <v>14</v>
      </c>
      <c r="AQ3873" s="175">
        <v>0</v>
      </c>
      <c r="AR3873" s="175">
        <v>0</v>
      </c>
      <c r="AS3873" s="175">
        <v>6</v>
      </c>
      <c r="AT3873" s="175">
        <v>2</v>
      </c>
    </row>
    <row r="3874" spans="1:46">
      <c r="A3874">
        <v>60231</v>
      </c>
      <c r="B3874" t="s">
        <v>21213</v>
      </c>
      <c r="C3874" t="s">
        <v>21214</v>
      </c>
      <c r="D3874" t="s">
        <v>21215</v>
      </c>
      <c r="E3874" t="s">
        <v>21216</v>
      </c>
      <c r="G3874" t="s">
        <v>16448</v>
      </c>
      <c r="H3874" t="s">
        <v>452</v>
      </c>
      <c r="J3874" t="s">
        <v>605</v>
      </c>
      <c r="K3874" t="s">
        <v>606</v>
      </c>
      <c r="M3874" t="s">
        <v>2366</v>
      </c>
      <c r="N3874" t="s">
        <v>657</v>
      </c>
      <c r="O3874" t="s">
        <v>2753</v>
      </c>
      <c r="P3874" t="s">
        <v>1347</v>
      </c>
      <c r="Q3874" t="s">
        <v>516</v>
      </c>
      <c r="R3874" t="s">
        <v>2368</v>
      </c>
      <c r="S3874" t="s">
        <v>2606</v>
      </c>
      <c r="T3874" t="s">
        <v>1568</v>
      </c>
      <c r="U3874">
        <v>238500</v>
      </c>
      <c r="V3874" t="s">
        <v>16448</v>
      </c>
      <c r="W3874" t="s">
        <v>2829</v>
      </c>
      <c r="X3874" t="s">
        <v>1970</v>
      </c>
      <c r="Y3874" t="s">
        <v>1971</v>
      </c>
      <c r="AA3874" t="s">
        <v>1972</v>
      </c>
      <c r="AB3874" t="s">
        <v>1973</v>
      </c>
      <c r="AE3874">
        <v>-40.932068620000003</v>
      </c>
      <c r="AF3874">
        <v>174.98249963999999</v>
      </c>
      <c r="AG3874" s="175">
        <v>45</v>
      </c>
      <c r="AH3874" s="175">
        <v>0</v>
      </c>
      <c r="AI3874" s="175">
        <v>0</v>
      </c>
      <c r="AJ3874" s="175">
        <v>0</v>
      </c>
      <c r="AK3874" s="175">
        <v>12</v>
      </c>
      <c r="AL3874" s="175">
        <v>10</v>
      </c>
      <c r="AM3874" s="175">
        <v>28</v>
      </c>
      <c r="AN3874" s="175">
        <v>0</v>
      </c>
      <c r="AO3874" s="175">
        <v>50</v>
      </c>
      <c r="AP3874" s="175">
        <v>49</v>
      </c>
      <c r="AQ3874" s="175">
        <v>9</v>
      </c>
      <c r="AR3874" s="175">
        <v>3</v>
      </c>
      <c r="AS3874" s="175">
        <v>2</v>
      </c>
      <c r="AT3874" s="175">
        <v>1</v>
      </c>
    </row>
    <row r="3875" spans="1:46">
      <c r="A3875">
        <v>60232</v>
      </c>
      <c r="B3875" t="s">
        <v>21217</v>
      </c>
      <c r="C3875" t="s">
        <v>21218</v>
      </c>
      <c r="D3875" t="s">
        <v>21219</v>
      </c>
      <c r="E3875" t="s">
        <v>21220</v>
      </c>
      <c r="F3875" t="s">
        <v>2448</v>
      </c>
      <c r="G3875" t="s">
        <v>2449</v>
      </c>
      <c r="H3875" t="s">
        <v>449</v>
      </c>
      <c r="J3875" t="s">
        <v>605</v>
      </c>
      <c r="K3875" t="s">
        <v>606</v>
      </c>
      <c r="M3875" t="s">
        <v>2366</v>
      </c>
      <c r="N3875" t="s">
        <v>657</v>
      </c>
      <c r="O3875" t="s">
        <v>2450</v>
      </c>
      <c r="P3875" t="s">
        <v>670</v>
      </c>
      <c r="Q3875" t="s">
        <v>516</v>
      </c>
      <c r="R3875" t="s">
        <v>2368</v>
      </c>
      <c r="S3875" t="s">
        <v>2451</v>
      </c>
      <c r="T3875" t="s">
        <v>2165</v>
      </c>
      <c r="U3875">
        <v>242500</v>
      </c>
      <c r="V3875" t="s">
        <v>18408</v>
      </c>
      <c r="W3875" t="s">
        <v>1734</v>
      </c>
      <c r="X3875" t="s">
        <v>21221</v>
      </c>
      <c r="Y3875" t="s">
        <v>21220</v>
      </c>
      <c r="Z3875" t="s">
        <v>18408</v>
      </c>
      <c r="AA3875" t="s">
        <v>4808</v>
      </c>
      <c r="AE3875">
        <v>-41.13029212</v>
      </c>
      <c r="AF3875">
        <v>175.06340711000001</v>
      </c>
      <c r="AG3875" s="175">
        <v>43</v>
      </c>
      <c r="AH3875" s="175">
        <v>14</v>
      </c>
      <c r="AI3875" s="175">
        <v>1</v>
      </c>
      <c r="AJ3875" s="175">
        <v>12</v>
      </c>
      <c r="AK3875" s="175">
        <v>10</v>
      </c>
      <c r="AL3875" s="175">
        <v>13</v>
      </c>
      <c r="AM3875" s="175">
        <v>12</v>
      </c>
      <c r="AN3875" s="175">
        <v>0</v>
      </c>
      <c r="AO3875" s="175">
        <v>48</v>
      </c>
      <c r="AP3875" s="175">
        <v>38</v>
      </c>
      <c r="AQ3875" s="175">
        <v>20</v>
      </c>
      <c r="AR3875" s="175">
        <v>3</v>
      </c>
      <c r="AS3875" s="175">
        <v>5</v>
      </c>
      <c r="AT3875" s="175">
        <v>1</v>
      </c>
    </row>
    <row r="3876" spans="1:46">
      <c r="A3876">
        <v>60235</v>
      </c>
      <c r="B3876" t="s">
        <v>21222</v>
      </c>
      <c r="C3876" t="s">
        <v>21223</v>
      </c>
      <c r="D3876" t="s">
        <v>21224</v>
      </c>
      <c r="E3876" t="s">
        <v>21225</v>
      </c>
      <c r="G3876" t="s">
        <v>2148</v>
      </c>
      <c r="H3876" t="s">
        <v>449</v>
      </c>
      <c r="J3876" t="s">
        <v>605</v>
      </c>
      <c r="K3876" t="s">
        <v>606</v>
      </c>
      <c r="M3876" t="s">
        <v>2366</v>
      </c>
      <c r="N3876" t="s">
        <v>657</v>
      </c>
      <c r="O3876" t="s">
        <v>2753</v>
      </c>
      <c r="P3876" t="s">
        <v>610</v>
      </c>
      <c r="Q3876" t="s">
        <v>516</v>
      </c>
      <c r="R3876" t="s">
        <v>2368</v>
      </c>
      <c r="S3876" t="s">
        <v>2148</v>
      </c>
      <c r="T3876" t="s">
        <v>1568</v>
      </c>
      <c r="U3876">
        <v>236500</v>
      </c>
      <c r="V3876" t="s">
        <v>2148</v>
      </c>
      <c r="W3876" t="s">
        <v>2776</v>
      </c>
      <c r="X3876" t="s">
        <v>21226</v>
      </c>
      <c r="Y3876" t="s">
        <v>21227</v>
      </c>
      <c r="Z3876" t="s">
        <v>21228</v>
      </c>
      <c r="AA3876" t="s">
        <v>21229</v>
      </c>
      <c r="AE3876">
        <v>-40.755357250000003</v>
      </c>
      <c r="AF3876">
        <v>175.15216304</v>
      </c>
      <c r="AG3876" s="175">
        <v>45</v>
      </c>
      <c r="AH3876" s="175">
        <v>0</v>
      </c>
      <c r="AI3876" s="175">
        <v>0</v>
      </c>
      <c r="AJ3876" s="175">
        <v>0</v>
      </c>
      <c r="AK3876" s="175">
        <v>4</v>
      </c>
      <c r="AL3876" s="175">
        <v>16</v>
      </c>
      <c r="AM3876" s="175">
        <v>17</v>
      </c>
      <c r="AN3876" s="175">
        <v>0</v>
      </c>
      <c r="AO3876" s="175">
        <v>37</v>
      </c>
      <c r="AP3876" s="175">
        <v>29</v>
      </c>
      <c r="AQ3876" s="175">
        <v>16</v>
      </c>
      <c r="AR3876" s="175">
        <v>7</v>
      </c>
      <c r="AS3876" s="175">
        <v>4</v>
      </c>
      <c r="AT3876" s="175">
        <v>1</v>
      </c>
    </row>
    <row r="3877" spans="1:46">
      <c r="A3877">
        <v>60236</v>
      </c>
      <c r="B3877" t="s">
        <v>21230</v>
      </c>
      <c r="C3877" t="s">
        <v>21231</v>
      </c>
      <c r="D3877" t="s">
        <v>21232</v>
      </c>
      <c r="E3877" t="s">
        <v>21233</v>
      </c>
      <c r="G3877" t="s">
        <v>2396</v>
      </c>
      <c r="H3877" t="s">
        <v>449</v>
      </c>
      <c r="J3877" t="s">
        <v>605</v>
      </c>
      <c r="K3877" t="s">
        <v>606</v>
      </c>
      <c r="M3877" t="s">
        <v>2366</v>
      </c>
      <c r="N3877" t="s">
        <v>608</v>
      </c>
      <c r="O3877" t="s">
        <v>2397</v>
      </c>
      <c r="P3877" t="s">
        <v>1347</v>
      </c>
      <c r="Q3877" t="s">
        <v>516</v>
      </c>
      <c r="R3877" t="s">
        <v>2368</v>
      </c>
      <c r="S3877" t="s">
        <v>2348</v>
      </c>
      <c r="T3877" t="s">
        <v>2165</v>
      </c>
      <c r="U3877">
        <v>255900</v>
      </c>
      <c r="V3877" t="s">
        <v>12045</v>
      </c>
      <c r="W3877" t="s">
        <v>2399</v>
      </c>
      <c r="X3877" t="s">
        <v>21234</v>
      </c>
      <c r="Y3877" t="s">
        <v>21235</v>
      </c>
      <c r="Z3877" t="s">
        <v>2396</v>
      </c>
      <c r="AA3877" t="s">
        <v>11995</v>
      </c>
      <c r="AB3877" t="s">
        <v>21236</v>
      </c>
      <c r="AE3877">
        <v>-40.9525571</v>
      </c>
      <c r="AF3877">
        <v>175.65807839999999</v>
      </c>
      <c r="AG3877" s="175">
        <v>30</v>
      </c>
      <c r="AH3877" s="175">
        <v>8</v>
      </c>
      <c r="AI3877" s="175">
        <v>0</v>
      </c>
      <c r="AJ3877" s="175">
        <v>6</v>
      </c>
      <c r="AK3877" s="175">
        <v>8</v>
      </c>
      <c r="AL3877" s="175">
        <v>6</v>
      </c>
      <c r="AM3877" s="175">
        <v>5</v>
      </c>
      <c r="AN3877" s="175">
        <v>0</v>
      </c>
      <c r="AO3877" s="175">
        <v>25</v>
      </c>
      <c r="AP3877" s="175">
        <v>16</v>
      </c>
      <c r="AQ3877" s="175">
        <v>13</v>
      </c>
      <c r="AR3877" s="175">
        <v>3</v>
      </c>
      <c r="AS3877" s="175">
        <v>3</v>
      </c>
      <c r="AT3877" s="175">
        <v>0</v>
      </c>
    </row>
    <row r="3878" spans="1:46">
      <c r="A3878">
        <v>60237</v>
      </c>
      <c r="B3878" t="s">
        <v>21237</v>
      </c>
      <c r="C3878" t="s">
        <v>21238</v>
      </c>
      <c r="E3878" t="s">
        <v>21239</v>
      </c>
      <c r="F3878" t="s">
        <v>13286</v>
      </c>
      <c r="G3878" t="s">
        <v>2368</v>
      </c>
      <c r="H3878" t="s">
        <v>449</v>
      </c>
      <c r="J3878" t="s">
        <v>605</v>
      </c>
      <c r="K3878" t="s">
        <v>606</v>
      </c>
      <c r="M3878" t="s">
        <v>2366</v>
      </c>
      <c r="N3878" t="s">
        <v>657</v>
      </c>
      <c r="O3878" t="s">
        <v>2614</v>
      </c>
      <c r="P3878" t="s">
        <v>739</v>
      </c>
      <c r="Q3878" t="s">
        <v>516</v>
      </c>
      <c r="R3878" t="s">
        <v>2368</v>
      </c>
      <c r="S3878" t="s">
        <v>2631</v>
      </c>
      <c r="T3878" t="s">
        <v>2526</v>
      </c>
      <c r="U3878">
        <v>250100</v>
      </c>
      <c r="V3878" t="s">
        <v>13286</v>
      </c>
      <c r="W3878" t="s">
        <v>2639</v>
      </c>
      <c r="X3878" t="s">
        <v>21240</v>
      </c>
      <c r="Y3878" t="s">
        <v>21239</v>
      </c>
      <c r="Z3878" t="s">
        <v>13286</v>
      </c>
      <c r="AA3878" t="s">
        <v>13288</v>
      </c>
      <c r="AB3878" t="s">
        <v>21241</v>
      </c>
      <c r="AE3878">
        <v>-41.268306029999998</v>
      </c>
      <c r="AF3878">
        <v>174.75632643</v>
      </c>
      <c r="AG3878" s="175">
        <v>48</v>
      </c>
      <c r="AH3878" s="175">
        <v>0</v>
      </c>
      <c r="AI3878" s="175">
        <v>0</v>
      </c>
      <c r="AJ3878" s="175">
        <v>0</v>
      </c>
      <c r="AK3878" s="175">
        <v>1</v>
      </c>
      <c r="AL3878" s="175">
        <v>13</v>
      </c>
      <c r="AM3878" s="175">
        <v>15</v>
      </c>
      <c r="AN3878" s="175">
        <v>3</v>
      </c>
      <c r="AO3878" s="175">
        <v>32</v>
      </c>
      <c r="AP3878" s="175">
        <v>21</v>
      </c>
      <c r="AQ3878" s="175">
        <v>3</v>
      </c>
      <c r="AR3878" s="175">
        <v>0</v>
      </c>
      <c r="AS3878" s="175">
        <v>13</v>
      </c>
      <c r="AT3878" s="175">
        <v>8</v>
      </c>
    </row>
    <row r="3879" spans="1:46">
      <c r="A3879">
        <v>60238</v>
      </c>
      <c r="B3879" t="s">
        <v>21242</v>
      </c>
      <c r="C3879" t="s">
        <v>21243</v>
      </c>
      <c r="D3879" t="s">
        <v>21244</v>
      </c>
      <c r="E3879" t="s">
        <v>21245</v>
      </c>
      <c r="G3879" t="s">
        <v>2396</v>
      </c>
      <c r="H3879" t="s">
        <v>449</v>
      </c>
      <c r="J3879" t="s">
        <v>605</v>
      </c>
      <c r="K3879" t="s">
        <v>606</v>
      </c>
      <c r="M3879" t="s">
        <v>2366</v>
      </c>
      <c r="N3879" t="s">
        <v>657</v>
      </c>
      <c r="O3879" t="s">
        <v>2397</v>
      </c>
      <c r="P3879" t="s">
        <v>1347</v>
      </c>
      <c r="Q3879" t="s">
        <v>516</v>
      </c>
      <c r="R3879" t="s">
        <v>2368</v>
      </c>
      <c r="S3879" t="s">
        <v>2348</v>
      </c>
      <c r="T3879" t="s">
        <v>2165</v>
      </c>
      <c r="U3879">
        <v>255700</v>
      </c>
      <c r="V3879" t="s">
        <v>2430</v>
      </c>
      <c r="W3879" t="s">
        <v>2399</v>
      </c>
      <c r="X3879" t="s">
        <v>21246</v>
      </c>
      <c r="Y3879" t="s">
        <v>21247</v>
      </c>
      <c r="Z3879" t="s">
        <v>2396</v>
      </c>
      <c r="AA3879" t="s">
        <v>11995</v>
      </c>
      <c r="AC3879">
        <v>99204</v>
      </c>
      <c r="AD3879" t="s">
        <v>2400</v>
      </c>
      <c r="AE3879">
        <v>-40.959104930000002</v>
      </c>
      <c r="AF3879">
        <v>175.64130130999999</v>
      </c>
      <c r="AG3879" s="175">
        <v>30</v>
      </c>
      <c r="AH3879" s="175">
        <v>0</v>
      </c>
      <c r="AI3879" s="175">
        <v>0</v>
      </c>
      <c r="AJ3879" s="175">
        <v>0</v>
      </c>
      <c r="AK3879" s="175">
        <v>0</v>
      </c>
      <c r="AL3879" s="175">
        <v>15</v>
      </c>
      <c r="AM3879" s="175">
        <v>22</v>
      </c>
      <c r="AN3879" s="175">
        <v>0</v>
      </c>
      <c r="AO3879" s="175">
        <v>37</v>
      </c>
      <c r="AP3879" s="175">
        <v>31</v>
      </c>
      <c r="AQ3879" s="175">
        <v>3</v>
      </c>
      <c r="AR3879" s="175">
        <v>2</v>
      </c>
      <c r="AS3879" s="175">
        <v>4</v>
      </c>
      <c r="AT3879" s="175">
        <v>0</v>
      </c>
    </row>
    <row r="3880" spans="1:46">
      <c r="A3880">
        <v>60240</v>
      </c>
      <c r="B3880" t="s">
        <v>21248</v>
      </c>
      <c r="C3880" t="s">
        <v>21249</v>
      </c>
      <c r="D3880" t="s">
        <v>21250</v>
      </c>
      <c r="E3880" t="s">
        <v>21251</v>
      </c>
      <c r="G3880" t="s">
        <v>20544</v>
      </c>
      <c r="H3880" t="s">
        <v>449</v>
      </c>
      <c r="J3880" t="s">
        <v>605</v>
      </c>
      <c r="K3880" t="s">
        <v>606</v>
      </c>
      <c r="M3880" t="s">
        <v>2366</v>
      </c>
      <c r="N3880" t="s">
        <v>657</v>
      </c>
      <c r="O3880" t="s">
        <v>2753</v>
      </c>
      <c r="P3880" t="s">
        <v>1347</v>
      </c>
      <c r="Q3880" t="s">
        <v>516</v>
      </c>
      <c r="R3880" t="s">
        <v>2368</v>
      </c>
      <c r="S3880" t="s">
        <v>2606</v>
      </c>
      <c r="T3880" t="s">
        <v>1568</v>
      </c>
      <c r="U3880">
        <v>238300</v>
      </c>
      <c r="V3880" t="s">
        <v>21252</v>
      </c>
      <c r="W3880" t="s">
        <v>2755</v>
      </c>
      <c r="X3880" t="s">
        <v>10497</v>
      </c>
      <c r="Y3880" t="s">
        <v>4014</v>
      </c>
      <c r="Z3880" t="s">
        <v>4015</v>
      </c>
      <c r="AA3880" t="s">
        <v>4016</v>
      </c>
      <c r="AE3880">
        <v>-40.926032900000003</v>
      </c>
      <c r="AF3880">
        <v>174.99693970000001</v>
      </c>
      <c r="AG3880" s="175">
        <v>43</v>
      </c>
      <c r="AH3880" s="175">
        <v>14</v>
      </c>
      <c r="AI3880" s="175">
        <v>1</v>
      </c>
      <c r="AJ3880" s="175">
        <v>5</v>
      </c>
      <c r="AK3880" s="175">
        <v>9</v>
      </c>
      <c r="AL3880" s="175">
        <v>14</v>
      </c>
      <c r="AM3880" s="175">
        <v>14</v>
      </c>
      <c r="AN3880" s="175">
        <v>0</v>
      </c>
      <c r="AO3880" s="175">
        <v>43</v>
      </c>
      <c r="AP3880" s="175">
        <v>32</v>
      </c>
      <c r="AQ3880" s="175">
        <v>13</v>
      </c>
      <c r="AR3880" s="175">
        <v>3</v>
      </c>
      <c r="AS3880" s="175">
        <v>3</v>
      </c>
      <c r="AT3880" s="175">
        <v>5</v>
      </c>
    </row>
    <row r="3881" spans="1:46">
      <c r="A3881">
        <v>60241</v>
      </c>
      <c r="B3881" t="s">
        <v>21253</v>
      </c>
      <c r="C3881" t="s">
        <v>21254</v>
      </c>
      <c r="E3881" t="s">
        <v>21255</v>
      </c>
      <c r="F3881" t="s">
        <v>2746</v>
      </c>
      <c r="G3881" t="s">
        <v>2368</v>
      </c>
      <c r="H3881" t="s">
        <v>449</v>
      </c>
      <c r="J3881" t="s">
        <v>605</v>
      </c>
      <c r="K3881" t="s">
        <v>606</v>
      </c>
      <c r="M3881" t="s">
        <v>2366</v>
      </c>
      <c r="N3881" t="s">
        <v>657</v>
      </c>
      <c r="O3881" t="s">
        <v>2614</v>
      </c>
      <c r="P3881" t="s">
        <v>739</v>
      </c>
      <c r="Q3881" t="s">
        <v>516</v>
      </c>
      <c r="R3881" t="s">
        <v>2368</v>
      </c>
      <c r="S3881" t="s">
        <v>2615</v>
      </c>
      <c r="T3881" t="s">
        <v>2526</v>
      </c>
      <c r="U3881">
        <v>253000</v>
      </c>
      <c r="V3881" t="s">
        <v>18656</v>
      </c>
      <c r="W3881" t="s">
        <v>2616</v>
      </c>
      <c r="X3881" t="s">
        <v>21256</v>
      </c>
      <c r="Y3881" t="s">
        <v>21255</v>
      </c>
      <c r="Z3881" t="s">
        <v>2746</v>
      </c>
      <c r="AA3881" t="s">
        <v>20437</v>
      </c>
      <c r="AE3881">
        <v>-41.311864059999998</v>
      </c>
      <c r="AF3881">
        <v>174.77768494</v>
      </c>
      <c r="AG3881" s="175">
        <v>35</v>
      </c>
      <c r="AH3881" s="175">
        <v>0</v>
      </c>
      <c r="AI3881" s="175">
        <v>0</v>
      </c>
      <c r="AJ3881" s="175">
        <v>0</v>
      </c>
      <c r="AK3881" s="175">
        <v>3</v>
      </c>
      <c r="AL3881" s="175">
        <v>15</v>
      </c>
      <c r="AM3881" s="175">
        <v>16</v>
      </c>
      <c r="AN3881" s="175">
        <v>1</v>
      </c>
      <c r="AO3881" s="175">
        <v>35</v>
      </c>
      <c r="AP3881" s="175">
        <v>26</v>
      </c>
      <c r="AQ3881" s="175">
        <v>5</v>
      </c>
      <c r="AR3881" s="175">
        <v>3</v>
      </c>
      <c r="AS3881" s="175">
        <v>3</v>
      </c>
      <c r="AT3881" s="175">
        <v>7</v>
      </c>
    </row>
    <row r="3882" spans="1:46">
      <c r="A3882">
        <v>60246</v>
      </c>
      <c r="B3882" t="s">
        <v>21257</v>
      </c>
      <c r="C3882" t="s">
        <v>21258</v>
      </c>
      <c r="D3882" t="s">
        <v>21259</v>
      </c>
      <c r="E3882" t="s">
        <v>21260</v>
      </c>
      <c r="F3882" t="s">
        <v>21261</v>
      </c>
      <c r="G3882" t="s">
        <v>2368</v>
      </c>
      <c r="H3882" t="s">
        <v>449</v>
      </c>
      <c r="J3882" t="s">
        <v>605</v>
      </c>
      <c r="K3882" t="s">
        <v>606</v>
      </c>
      <c r="M3882" t="s">
        <v>2366</v>
      </c>
      <c r="N3882" t="s">
        <v>657</v>
      </c>
      <c r="O3882" t="s">
        <v>2614</v>
      </c>
      <c r="P3882" t="s">
        <v>739</v>
      </c>
      <c r="Q3882" t="s">
        <v>516</v>
      </c>
      <c r="R3882" t="s">
        <v>2368</v>
      </c>
      <c r="S3882" t="s">
        <v>2631</v>
      </c>
      <c r="T3882" t="s">
        <v>2526</v>
      </c>
      <c r="U3882">
        <v>251200</v>
      </c>
      <c r="V3882" t="s">
        <v>21261</v>
      </c>
      <c r="W3882" t="s">
        <v>2651</v>
      </c>
      <c r="X3882" t="s">
        <v>21262</v>
      </c>
      <c r="Y3882" t="s">
        <v>21260</v>
      </c>
      <c r="Z3882" t="s">
        <v>21261</v>
      </c>
      <c r="AA3882" t="s">
        <v>20437</v>
      </c>
      <c r="AB3882" t="s">
        <v>21263</v>
      </c>
      <c r="AE3882">
        <v>-41.295436270000003</v>
      </c>
      <c r="AF3882">
        <v>174.76852775</v>
      </c>
      <c r="AG3882" s="175">
        <v>25</v>
      </c>
      <c r="AH3882" s="175">
        <v>0</v>
      </c>
      <c r="AI3882" s="175">
        <v>0</v>
      </c>
      <c r="AJ3882" s="175">
        <v>0</v>
      </c>
      <c r="AK3882" s="175">
        <v>6</v>
      </c>
      <c r="AL3882" s="175">
        <v>8</v>
      </c>
      <c r="AM3882" s="175">
        <v>10</v>
      </c>
      <c r="AN3882" s="175">
        <v>0</v>
      </c>
      <c r="AO3882" s="175">
        <v>24</v>
      </c>
      <c r="AP3882" s="175">
        <v>15</v>
      </c>
      <c r="AQ3882" s="175">
        <v>3</v>
      </c>
      <c r="AR3882" s="175">
        <v>2</v>
      </c>
      <c r="AS3882" s="175">
        <v>10</v>
      </c>
      <c r="AT3882" s="175">
        <v>2</v>
      </c>
    </row>
    <row r="3883" spans="1:46">
      <c r="A3883">
        <v>60250</v>
      </c>
      <c r="B3883" t="s">
        <v>21264</v>
      </c>
      <c r="C3883" t="s">
        <v>21265</v>
      </c>
      <c r="D3883" t="s">
        <v>21266</v>
      </c>
      <c r="E3883" t="s">
        <v>21267</v>
      </c>
      <c r="F3883" t="s">
        <v>12226</v>
      </c>
      <c r="G3883" t="s">
        <v>2368</v>
      </c>
      <c r="H3883" t="s">
        <v>449</v>
      </c>
      <c r="J3883" t="s">
        <v>605</v>
      </c>
      <c r="K3883" t="s">
        <v>606</v>
      </c>
      <c r="M3883" t="s">
        <v>2366</v>
      </c>
      <c r="N3883" t="s">
        <v>657</v>
      </c>
      <c r="O3883" t="s">
        <v>2614</v>
      </c>
      <c r="P3883" t="s">
        <v>739</v>
      </c>
      <c r="Q3883" t="s">
        <v>516</v>
      </c>
      <c r="R3883" t="s">
        <v>2368</v>
      </c>
      <c r="S3883" t="s">
        <v>2631</v>
      </c>
      <c r="T3883" t="s">
        <v>2526</v>
      </c>
      <c r="U3883">
        <v>250902</v>
      </c>
      <c r="V3883" t="s">
        <v>19058</v>
      </c>
      <c r="W3883" t="s">
        <v>2651</v>
      </c>
      <c r="X3883" t="s">
        <v>21268</v>
      </c>
      <c r="Y3883" t="s">
        <v>21267</v>
      </c>
      <c r="Z3883" t="s">
        <v>12226</v>
      </c>
      <c r="AA3883" t="s">
        <v>21008</v>
      </c>
      <c r="AE3883">
        <v>-41.273844140000001</v>
      </c>
      <c r="AF3883">
        <v>174.78057575</v>
      </c>
      <c r="AG3883" s="175">
        <v>29</v>
      </c>
      <c r="AH3883" s="175">
        <v>10</v>
      </c>
      <c r="AI3883" s="175">
        <v>2</v>
      </c>
      <c r="AJ3883" s="175">
        <v>11</v>
      </c>
      <c r="AK3883" s="175">
        <v>8</v>
      </c>
      <c r="AL3883" s="175">
        <v>8</v>
      </c>
      <c r="AM3883" s="175">
        <v>6</v>
      </c>
      <c r="AN3883" s="175">
        <v>0</v>
      </c>
      <c r="AO3883" s="175">
        <v>35</v>
      </c>
      <c r="AP3883" s="175">
        <v>32</v>
      </c>
      <c r="AQ3883" s="175">
        <v>2</v>
      </c>
      <c r="AR3883" s="175">
        <v>3</v>
      </c>
      <c r="AS3883" s="175">
        <v>6</v>
      </c>
      <c r="AT3883" s="175">
        <v>4</v>
      </c>
    </row>
    <row r="3884" spans="1:46">
      <c r="A3884">
        <v>60253</v>
      </c>
      <c r="B3884" t="s">
        <v>21269</v>
      </c>
      <c r="C3884" t="s">
        <v>21270</v>
      </c>
      <c r="D3884" t="s">
        <v>21271</v>
      </c>
      <c r="E3884" t="s">
        <v>21272</v>
      </c>
      <c r="F3884" t="s">
        <v>20509</v>
      </c>
      <c r="G3884" t="s">
        <v>2368</v>
      </c>
      <c r="H3884" t="s">
        <v>449</v>
      </c>
      <c r="J3884" t="s">
        <v>605</v>
      </c>
      <c r="K3884" t="s">
        <v>606</v>
      </c>
      <c r="M3884" t="s">
        <v>2366</v>
      </c>
      <c r="N3884" t="s">
        <v>657</v>
      </c>
      <c r="O3884" t="s">
        <v>2614</v>
      </c>
      <c r="P3884" t="s">
        <v>739</v>
      </c>
      <c r="Q3884" t="s">
        <v>516</v>
      </c>
      <c r="R3884" t="s">
        <v>2368</v>
      </c>
      <c r="S3884" t="s">
        <v>2631</v>
      </c>
      <c r="T3884" t="s">
        <v>2526</v>
      </c>
      <c r="U3884">
        <v>251200</v>
      </c>
      <c r="V3884" t="s">
        <v>21261</v>
      </c>
      <c r="W3884" t="s">
        <v>2651</v>
      </c>
      <c r="X3884" t="s">
        <v>21273</v>
      </c>
      <c r="Y3884" t="s">
        <v>21274</v>
      </c>
      <c r="Z3884" t="s">
        <v>2368</v>
      </c>
      <c r="AA3884" t="s">
        <v>21085</v>
      </c>
      <c r="AB3884" t="s">
        <v>21275</v>
      </c>
      <c r="AE3884">
        <v>-41.29279365</v>
      </c>
      <c r="AF3884">
        <v>174.76618132999999</v>
      </c>
      <c r="AG3884" s="175">
        <v>77</v>
      </c>
      <c r="AH3884" s="175">
        <v>37</v>
      </c>
      <c r="AI3884" s="175">
        <v>2</v>
      </c>
      <c r="AJ3884" s="175">
        <v>27</v>
      </c>
      <c r="AK3884" s="175">
        <v>20</v>
      </c>
      <c r="AL3884" s="175">
        <v>14</v>
      </c>
      <c r="AM3884" s="175">
        <v>18</v>
      </c>
      <c r="AN3884" s="175">
        <v>0</v>
      </c>
      <c r="AO3884" s="175">
        <v>81</v>
      </c>
      <c r="AP3884" s="175">
        <v>54</v>
      </c>
      <c r="AQ3884" s="175">
        <v>6</v>
      </c>
      <c r="AR3884" s="175">
        <v>1</v>
      </c>
      <c r="AS3884" s="175">
        <v>29</v>
      </c>
      <c r="AT3884" s="175">
        <v>9</v>
      </c>
    </row>
    <row r="3885" spans="1:46">
      <c r="A3885">
        <v>60255</v>
      </c>
      <c r="B3885" t="s">
        <v>21276</v>
      </c>
      <c r="C3885" t="s">
        <v>21277</v>
      </c>
      <c r="D3885" t="s">
        <v>21278</v>
      </c>
      <c r="E3885" t="s">
        <v>21279</v>
      </c>
      <c r="F3885" t="s">
        <v>2735</v>
      </c>
      <c r="G3885" t="s">
        <v>2368</v>
      </c>
      <c r="H3885" t="s">
        <v>449</v>
      </c>
      <c r="J3885" t="s">
        <v>605</v>
      </c>
      <c r="K3885" t="s">
        <v>606</v>
      </c>
      <c r="M3885" t="s">
        <v>2366</v>
      </c>
      <c r="N3885" t="s">
        <v>657</v>
      </c>
      <c r="O3885" t="s">
        <v>2614</v>
      </c>
      <c r="P3885" t="s">
        <v>739</v>
      </c>
      <c r="Q3885" t="s">
        <v>516</v>
      </c>
      <c r="R3885" t="s">
        <v>2368</v>
      </c>
      <c r="S3885" t="s">
        <v>2623</v>
      </c>
      <c r="T3885" t="s">
        <v>2526</v>
      </c>
      <c r="U3885">
        <v>248701</v>
      </c>
      <c r="V3885" t="s">
        <v>2787</v>
      </c>
      <c r="W3885" t="s">
        <v>2625</v>
      </c>
      <c r="X3885" t="s">
        <v>21280</v>
      </c>
      <c r="Y3885" t="s">
        <v>21279</v>
      </c>
      <c r="Z3885" t="s">
        <v>2735</v>
      </c>
      <c r="AA3885" t="s">
        <v>12467</v>
      </c>
      <c r="AE3885">
        <v>-41.221221999999997</v>
      </c>
      <c r="AF3885">
        <v>174.8180792</v>
      </c>
      <c r="AG3885" s="175">
        <v>30</v>
      </c>
      <c r="AH3885" s="175">
        <v>10</v>
      </c>
      <c r="AI3885" s="175">
        <v>1</v>
      </c>
      <c r="AJ3885" s="175">
        <v>7</v>
      </c>
      <c r="AK3885" s="175">
        <v>11</v>
      </c>
      <c r="AL3885" s="175">
        <v>13</v>
      </c>
      <c r="AM3885" s="175">
        <v>12</v>
      </c>
      <c r="AN3885" s="175">
        <v>0</v>
      </c>
      <c r="AO3885" s="175">
        <v>44</v>
      </c>
      <c r="AP3885" s="175">
        <v>35</v>
      </c>
      <c r="AQ3885" s="175">
        <v>3</v>
      </c>
      <c r="AR3885" s="175">
        <v>3</v>
      </c>
      <c r="AS3885" s="175">
        <v>12</v>
      </c>
      <c r="AT3885" s="175">
        <v>3</v>
      </c>
    </row>
    <row r="3886" spans="1:46">
      <c r="A3886">
        <v>60257</v>
      </c>
      <c r="B3886" t="s">
        <v>21281</v>
      </c>
      <c r="C3886" t="s">
        <v>21282</v>
      </c>
      <c r="D3886" t="s">
        <v>21283</v>
      </c>
      <c r="E3886" t="s">
        <v>21284</v>
      </c>
      <c r="F3886" t="s">
        <v>2448</v>
      </c>
      <c r="G3886" t="s">
        <v>2449</v>
      </c>
      <c r="H3886" t="s">
        <v>449</v>
      </c>
      <c r="I3886" t="s">
        <v>16338</v>
      </c>
      <c r="J3886" t="s">
        <v>605</v>
      </c>
      <c r="K3886" t="s">
        <v>606</v>
      </c>
      <c r="M3886" t="s">
        <v>2366</v>
      </c>
      <c r="N3886" t="s">
        <v>657</v>
      </c>
      <c r="O3886" t="s">
        <v>2450</v>
      </c>
      <c r="P3886" t="s">
        <v>670</v>
      </c>
      <c r="Q3886" t="s">
        <v>516</v>
      </c>
      <c r="R3886" t="s">
        <v>2368</v>
      </c>
      <c r="S3886" t="s">
        <v>2451</v>
      </c>
      <c r="T3886" t="s">
        <v>2165</v>
      </c>
      <c r="U3886">
        <v>242000</v>
      </c>
      <c r="V3886" t="s">
        <v>2495</v>
      </c>
      <c r="W3886" t="s">
        <v>1734</v>
      </c>
      <c r="X3886" t="s">
        <v>21285</v>
      </c>
      <c r="Y3886" t="s">
        <v>4621</v>
      </c>
      <c r="Z3886" t="s">
        <v>4622</v>
      </c>
      <c r="AA3886" t="s">
        <v>4623</v>
      </c>
      <c r="AE3886">
        <v>-41.132078569999997</v>
      </c>
      <c r="AF3886">
        <v>175.04902084</v>
      </c>
      <c r="AG3886" s="175">
        <v>33</v>
      </c>
      <c r="AH3886" s="175">
        <v>5</v>
      </c>
      <c r="AI3886" s="175">
        <v>1</v>
      </c>
      <c r="AJ3886" s="175">
        <v>3</v>
      </c>
      <c r="AK3886" s="175">
        <v>6</v>
      </c>
      <c r="AL3886" s="175">
        <v>8</v>
      </c>
      <c r="AM3886" s="175">
        <v>9</v>
      </c>
      <c r="AN3886" s="175">
        <v>0</v>
      </c>
      <c r="AO3886" s="175">
        <v>27</v>
      </c>
      <c r="AP3886" s="175">
        <v>20</v>
      </c>
      <c r="AQ3886" s="175">
        <v>5</v>
      </c>
      <c r="AR3886" s="175">
        <v>4</v>
      </c>
      <c r="AS3886" s="175">
        <v>7</v>
      </c>
      <c r="AT3886" s="175">
        <v>1</v>
      </c>
    </row>
    <row r="3887" spans="1:46">
      <c r="A3887">
        <v>60259</v>
      </c>
      <c r="B3887" t="s">
        <v>21286</v>
      </c>
      <c r="C3887" t="s">
        <v>21287</v>
      </c>
      <c r="D3887" t="s">
        <v>21288</v>
      </c>
      <c r="E3887" t="s">
        <v>21289</v>
      </c>
      <c r="F3887" t="s">
        <v>12226</v>
      </c>
      <c r="G3887" t="s">
        <v>2368</v>
      </c>
      <c r="H3887" t="s">
        <v>449</v>
      </c>
      <c r="J3887" t="s">
        <v>605</v>
      </c>
      <c r="K3887" t="s">
        <v>606</v>
      </c>
      <c r="M3887" t="s">
        <v>2366</v>
      </c>
      <c r="N3887" t="s">
        <v>657</v>
      </c>
      <c r="O3887" t="s">
        <v>2614</v>
      </c>
      <c r="P3887" t="s">
        <v>739</v>
      </c>
      <c r="Q3887" t="s">
        <v>516</v>
      </c>
      <c r="R3887" t="s">
        <v>2368</v>
      </c>
      <c r="S3887" t="s">
        <v>2631</v>
      </c>
      <c r="T3887" t="s">
        <v>2526</v>
      </c>
      <c r="U3887">
        <v>250902</v>
      </c>
      <c r="V3887" t="s">
        <v>19058</v>
      </c>
      <c r="W3887" t="s">
        <v>2651</v>
      </c>
      <c r="X3887" t="s">
        <v>21290</v>
      </c>
      <c r="Y3887" t="s">
        <v>21291</v>
      </c>
      <c r="Z3887" t="s">
        <v>12226</v>
      </c>
      <c r="AA3887" t="s">
        <v>21008</v>
      </c>
      <c r="AE3887">
        <v>-41.269875999999996</v>
      </c>
      <c r="AF3887">
        <v>174.7800014</v>
      </c>
      <c r="AG3887" s="175">
        <v>28</v>
      </c>
      <c r="AH3887" s="175">
        <v>0</v>
      </c>
      <c r="AI3887" s="175">
        <v>0</v>
      </c>
      <c r="AJ3887" s="175">
        <v>0</v>
      </c>
      <c r="AK3887" s="175">
        <v>5</v>
      </c>
      <c r="AL3887" s="175">
        <v>15</v>
      </c>
      <c r="AM3887" s="175">
        <v>9</v>
      </c>
      <c r="AN3887" s="175">
        <v>0</v>
      </c>
      <c r="AO3887" s="175">
        <v>29</v>
      </c>
      <c r="AP3887" s="175">
        <v>21</v>
      </c>
      <c r="AQ3887" s="175">
        <v>3</v>
      </c>
      <c r="AR3887" s="175">
        <v>1</v>
      </c>
      <c r="AS3887" s="175">
        <v>11</v>
      </c>
      <c r="AT3887" s="175">
        <v>2</v>
      </c>
    </row>
    <row r="3888" spans="1:46">
      <c r="A3888">
        <v>60260</v>
      </c>
      <c r="B3888" t="s">
        <v>21292</v>
      </c>
      <c r="C3888" t="s">
        <v>21293</v>
      </c>
      <c r="D3888" t="s">
        <v>21294</v>
      </c>
      <c r="E3888" t="s">
        <v>21295</v>
      </c>
      <c r="G3888" t="s">
        <v>2827</v>
      </c>
      <c r="H3888" t="s">
        <v>449</v>
      </c>
      <c r="J3888" t="s">
        <v>4032</v>
      </c>
      <c r="K3888" t="s">
        <v>606</v>
      </c>
      <c r="M3888" t="s">
        <v>2366</v>
      </c>
      <c r="N3888" t="s">
        <v>657</v>
      </c>
      <c r="O3888" t="s">
        <v>2753</v>
      </c>
      <c r="P3888" t="s">
        <v>1347</v>
      </c>
      <c r="Q3888" t="s">
        <v>516</v>
      </c>
      <c r="R3888" t="s">
        <v>2368</v>
      </c>
      <c r="S3888" t="s">
        <v>2606</v>
      </c>
      <c r="T3888" t="s">
        <v>1568</v>
      </c>
      <c r="U3888">
        <v>238000</v>
      </c>
      <c r="V3888" t="s">
        <v>2828</v>
      </c>
      <c r="W3888" t="s">
        <v>2829</v>
      </c>
      <c r="X3888" t="s">
        <v>21296</v>
      </c>
      <c r="Y3888" t="s">
        <v>21295</v>
      </c>
      <c r="Z3888" t="s">
        <v>2827</v>
      </c>
      <c r="AA3888" t="s">
        <v>18990</v>
      </c>
      <c r="AB3888" t="s">
        <v>21293</v>
      </c>
      <c r="AE3888">
        <v>-40.919319989999998</v>
      </c>
      <c r="AF3888">
        <v>174.98246811000001</v>
      </c>
      <c r="AG3888" s="175">
        <v>47</v>
      </c>
      <c r="AH3888" s="175">
        <v>17</v>
      </c>
      <c r="AI3888" s="175">
        <v>1</v>
      </c>
      <c r="AJ3888" s="175">
        <v>9</v>
      </c>
      <c r="AK3888" s="175">
        <v>21</v>
      </c>
      <c r="AL3888" s="175">
        <v>17</v>
      </c>
      <c r="AM3888" s="175">
        <v>9</v>
      </c>
      <c r="AN3888" s="175">
        <v>2</v>
      </c>
      <c r="AO3888" s="175">
        <v>59</v>
      </c>
      <c r="AP3888" s="175">
        <v>48</v>
      </c>
      <c r="AQ3888" s="175">
        <v>14</v>
      </c>
      <c r="AR3888" s="175">
        <v>7</v>
      </c>
      <c r="AS3888" s="175">
        <v>4</v>
      </c>
      <c r="AT3888" s="175">
        <v>4</v>
      </c>
    </row>
    <row r="3889" spans="1:46">
      <c r="A3889">
        <v>60263</v>
      </c>
      <c r="B3889" t="s">
        <v>21297</v>
      </c>
      <c r="C3889" t="s">
        <v>21298</v>
      </c>
      <c r="D3889" t="s">
        <v>21299</v>
      </c>
      <c r="E3889" t="s">
        <v>21300</v>
      </c>
      <c r="F3889" t="s">
        <v>2746</v>
      </c>
      <c r="G3889" t="s">
        <v>2368</v>
      </c>
      <c r="H3889" t="s">
        <v>449</v>
      </c>
      <c r="J3889" t="s">
        <v>605</v>
      </c>
      <c r="K3889" t="s">
        <v>606</v>
      </c>
      <c r="M3889" t="s">
        <v>2366</v>
      </c>
      <c r="N3889" t="s">
        <v>657</v>
      </c>
      <c r="O3889" t="s">
        <v>2614</v>
      </c>
      <c r="P3889" t="s">
        <v>739</v>
      </c>
      <c r="Q3889" t="s">
        <v>516</v>
      </c>
      <c r="R3889" t="s">
        <v>2368</v>
      </c>
      <c r="S3889" t="s">
        <v>2615</v>
      </c>
      <c r="T3889" t="s">
        <v>2526</v>
      </c>
      <c r="U3889">
        <v>253600</v>
      </c>
      <c r="V3889" t="s">
        <v>2889</v>
      </c>
      <c r="W3889" t="s">
        <v>2616</v>
      </c>
      <c r="X3889" t="s">
        <v>21301</v>
      </c>
      <c r="Y3889" t="s">
        <v>21300</v>
      </c>
      <c r="Z3889" t="s">
        <v>2746</v>
      </c>
      <c r="AA3889" t="s">
        <v>20437</v>
      </c>
      <c r="AE3889">
        <v>-41.3151352</v>
      </c>
      <c r="AF3889">
        <v>174.78529671000001</v>
      </c>
      <c r="AG3889" s="175">
        <v>25</v>
      </c>
      <c r="AH3889" s="175">
        <v>8</v>
      </c>
      <c r="AI3889" s="175">
        <v>0</v>
      </c>
      <c r="AJ3889" s="175">
        <v>5</v>
      </c>
      <c r="AK3889" s="175">
        <v>8</v>
      </c>
      <c r="AL3889" s="175">
        <v>11</v>
      </c>
      <c r="AM3889" s="175">
        <v>9</v>
      </c>
      <c r="AN3889" s="175">
        <v>0</v>
      </c>
      <c r="AO3889" s="175">
        <v>33</v>
      </c>
      <c r="AP3889" s="175">
        <v>29</v>
      </c>
      <c r="AQ3889" s="175">
        <v>0</v>
      </c>
      <c r="AR3889" s="175">
        <v>0</v>
      </c>
      <c r="AS3889" s="175">
        <v>7</v>
      </c>
      <c r="AT3889" s="175">
        <v>2</v>
      </c>
    </row>
    <row r="3890" spans="1:46">
      <c r="A3890">
        <v>60264</v>
      </c>
      <c r="B3890" t="s">
        <v>21302</v>
      </c>
      <c r="C3890" t="s">
        <v>21303</v>
      </c>
      <c r="D3890" t="s">
        <v>14180</v>
      </c>
      <c r="E3890" t="s">
        <v>21304</v>
      </c>
      <c r="F3890" t="s">
        <v>2622</v>
      </c>
      <c r="G3890" t="s">
        <v>2368</v>
      </c>
      <c r="H3890" t="s">
        <v>449</v>
      </c>
      <c r="J3890" t="s">
        <v>4032</v>
      </c>
      <c r="K3890" t="s">
        <v>606</v>
      </c>
      <c r="M3890" t="s">
        <v>2366</v>
      </c>
      <c r="N3890" t="s">
        <v>657</v>
      </c>
      <c r="O3890" t="s">
        <v>2614</v>
      </c>
      <c r="P3890" t="s">
        <v>739</v>
      </c>
      <c r="Q3890" t="s">
        <v>516</v>
      </c>
      <c r="R3890" t="s">
        <v>2368</v>
      </c>
      <c r="S3890" t="s">
        <v>2623</v>
      </c>
      <c r="T3890" t="s">
        <v>1568</v>
      </c>
      <c r="U3890">
        <v>247900</v>
      </c>
      <c r="V3890" t="s">
        <v>2856</v>
      </c>
      <c r="W3890" t="s">
        <v>2625</v>
      </c>
      <c r="X3890" t="s">
        <v>11598</v>
      </c>
      <c r="Y3890" t="s">
        <v>14182</v>
      </c>
      <c r="Z3890" t="s">
        <v>906</v>
      </c>
      <c r="AA3890" t="s">
        <v>4138</v>
      </c>
      <c r="AB3890" t="s">
        <v>11600</v>
      </c>
      <c r="AE3890">
        <v>-41.168173500000002</v>
      </c>
      <c r="AF3890">
        <v>174.82613934</v>
      </c>
      <c r="AG3890" s="175">
        <v>34</v>
      </c>
      <c r="AH3890" s="175">
        <v>0</v>
      </c>
      <c r="AI3890" s="175">
        <v>0</v>
      </c>
      <c r="AJ3890" s="175">
        <v>0</v>
      </c>
      <c r="AK3890" s="175">
        <v>7</v>
      </c>
      <c r="AL3890" s="175">
        <v>16</v>
      </c>
      <c r="AM3890" s="175">
        <v>21</v>
      </c>
      <c r="AN3890" s="175">
        <v>1</v>
      </c>
      <c r="AO3890" s="175">
        <v>45</v>
      </c>
      <c r="AP3890" s="175">
        <v>24</v>
      </c>
      <c r="AQ3890" s="175">
        <v>4</v>
      </c>
      <c r="AR3890" s="175">
        <v>4</v>
      </c>
      <c r="AS3890" s="175">
        <v>18</v>
      </c>
      <c r="AT3890" s="175">
        <v>3</v>
      </c>
    </row>
    <row r="3891" spans="1:46">
      <c r="A3891">
        <v>60267</v>
      </c>
      <c r="B3891" t="s">
        <v>21305</v>
      </c>
      <c r="C3891" t="s">
        <v>21306</v>
      </c>
      <c r="D3891" t="s">
        <v>21307</v>
      </c>
      <c r="E3891" t="s">
        <v>21308</v>
      </c>
      <c r="F3891" t="s">
        <v>2504</v>
      </c>
      <c r="G3891" t="s">
        <v>2505</v>
      </c>
      <c r="H3891" t="s">
        <v>449</v>
      </c>
      <c r="J3891" t="s">
        <v>4032</v>
      </c>
      <c r="K3891" t="s">
        <v>606</v>
      </c>
      <c r="M3891" t="s">
        <v>2366</v>
      </c>
      <c r="N3891" t="s">
        <v>643</v>
      </c>
      <c r="O3891" t="s">
        <v>2506</v>
      </c>
      <c r="P3891" t="s">
        <v>739</v>
      </c>
      <c r="Q3891" t="s">
        <v>516</v>
      </c>
      <c r="R3891" t="s">
        <v>2368</v>
      </c>
      <c r="S3891" t="s">
        <v>2507</v>
      </c>
      <c r="T3891" t="s">
        <v>2165</v>
      </c>
      <c r="U3891">
        <v>247300</v>
      </c>
      <c r="V3891" t="s">
        <v>11718</v>
      </c>
      <c r="W3891" t="s">
        <v>2509</v>
      </c>
      <c r="X3891" t="s">
        <v>19107</v>
      </c>
      <c r="Y3891" t="s">
        <v>19108</v>
      </c>
      <c r="Z3891" t="s">
        <v>2735</v>
      </c>
      <c r="AA3891" t="s">
        <v>19109</v>
      </c>
      <c r="AB3891" t="s">
        <v>19110</v>
      </c>
      <c r="AC3891">
        <v>99090</v>
      </c>
      <c r="AD3891" t="s">
        <v>2514</v>
      </c>
      <c r="AE3891">
        <v>-41.275811769999997</v>
      </c>
      <c r="AF3891">
        <v>174.95942171999999</v>
      </c>
      <c r="AG3891" s="175">
        <v>60</v>
      </c>
      <c r="AH3891" s="175">
        <v>20</v>
      </c>
      <c r="AI3891" s="175">
        <v>2</v>
      </c>
      <c r="AJ3891" s="175">
        <v>7</v>
      </c>
      <c r="AK3891" s="175">
        <v>13</v>
      </c>
      <c r="AL3891" s="175">
        <v>17</v>
      </c>
      <c r="AM3891" s="175">
        <v>16</v>
      </c>
      <c r="AN3891" s="175">
        <v>0</v>
      </c>
      <c r="AO3891" s="175">
        <v>55</v>
      </c>
      <c r="AP3891" s="175">
        <v>44</v>
      </c>
      <c r="AQ3891" s="175">
        <v>14</v>
      </c>
      <c r="AR3891" s="175">
        <v>5</v>
      </c>
      <c r="AS3891" s="175">
        <v>7</v>
      </c>
      <c r="AT3891" s="175">
        <v>0</v>
      </c>
    </row>
    <row r="3892" spans="1:46">
      <c r="A3892">
        <v>60270</v>
      </c>
      <c r="B3892" t="s">
        <v>21309</v>
      </c>
      <c r="C3892" t="s">
        <v>21310</v>
      </c>
      <c r="D3892" t="s">
        <v>21311</v>
      </c>
      <c r="E3892" t="s">
        <v>21312</v>
      </c>
      <c r="F3892" t="s">
        <v>2675</v>
      </c>
      <c r="G3892" t="s">
        <v>2368</v>
      </c>
      <c r="H3892" t="s">
        <v>449</v>
      </c>
      <c r="J3892" t="s">
        <v>4032</v>
      </c>
      <c r="K3892" t="s">
        <v>606</v>
      </c>
      <c r="M3892" t="s">
        <v>2366</v>
      </c>
      <c r="N3892" t="s">
        <v>657</v>
      </c>
      <c r="O3892" t="s">
        <v>2614</v>
      </c>
      <c r="P3892" t="s">
        <v>739</v>
      </c>
      <c r="Q3892" t="s">
        <v>516</v>
      </c>
      <c r="R3892" t="s">
        <v>2368</v>
      </c>
      <c r="S3892" t="s">
        <v>2623</v>
      </c>
      <c r="T3892" t="s">
        <v>2526</v>
      </c>
      <c r="U3892">
        <v>248400</v>
      </c>
      <c r="V3892" t="s">
        <v>2681</v>
      </c>
      <c r="W3892" t="s">
        <v>2625</v>
      </c>
      <c r="X3892" t="s">
        <v>12458</v>
      </c>
      <c r="Y3892" t="s">
        <v>12459</v>
      </c>
      <c r="Z3892" t="s">
        <v>12460</v>
      </c>
      <c r="AA3892" t="s">
        <v>12461</v>
      </c>
      <c r="AE3892">
        <v>-41.22726402</v>
      </c>
      <c r="AF3892">
        <v>174.79919312000001</v>
      </c>
      <c r="AG3892" s="175">
        <v>75</v>
      </c>
      <c r="AH3892" s="175">
        <v>25</v>
      </c>
      <c r="AI3892" s="175">
        <v>2</v>
      </c>
      <c r="AJ3892" s="175">
        <v>25</v>
      </c>
      <c r="AK3892" s="175">
        <v>17</v>
      </c>
      <c r="AL3892" s="175">
        <v>21</v>
      </c>
      <c r="AM3892" s="175">
        <v>14</v>
      </c>
      <c r="AN3892" s="175">
        <v>0</v>
      </c>
      <c r="AO3892" s="175">
        <v>79</v>
      </c>
      <c r="AP3892" s="175">
        <v>59</v>
      </c>
      <c r="AQ3892" s="175">
        <v>20</v>
      </c>
      <c r="AR3892" s="175">
        <v>5</v>
      </c>
      <c r="AS3892" s="175">
        <v>17</v>
      </c>
      <c r="AT3892" s="175">
        <v>6</v>
      </c>
    </row>
    <row r="3893" spans="1:46">
      <c r="A3893">
        <v>60272</v>
      </c>
      <c r="B3893" t="s">
        <v>21313</v>
      </c>
      <c r="C3893" t="s">
        <v>21314</v>
      </c>
      <c r="D3893" t="s">
        <v>21315</v>
      </c>
      <c r="E3893" t="s">
        <v>21316</v>
      </c>
      <c r="F3893" t="s">
        <v>2691</v>
      </c>
      <c r="G3893" t="s">
        <v>2604</v>
      </c>
      <c r="H3893" t="s">
        <v>449</v>
      </c>
      <c r="J3893" t="s">
        <v>4032</v>
      </c>
      <c r="K3893" t="s">
        <v>606</v>
      </c>
      <c r="M3893" t="s">
        <v>2366</v>
      </c>
      <c r="N3893" t="s">
        <v>643</v>
      </c>
      <c r="O3893" t="s">
        <v>2605</v>
      </c>
      <c r="P3893" t="s">
        <v>670</v>
      </c>
      <c r="Q3893" t="s">
        <v>516</v>
      </c>
      <c r="R3893" t="s">
        <v>2368</v>
      </c>
      <c r="S3893" t="s">
        <v>2606</v>
      </c>
      <c r="T3893" t="s">
        <v>1568</v>
      </c>
      <c r="U3893">
        <v>239300</v>
      </c>
      <c r="V3893" t="s">
        <v>2692</v>
      </c>
      <c r="W3893" t="s">
        <v>2607</v>
      </c>
      <c r="X3893" t="s">
        <v>21317</v>
      </c>
      <c r="Y3893" t="s">
        <v>21318</v>
      </c>
      <c r="AA3893" t="s">
        <v>21319</v>
      </c>
      <c r="AB3893" t="s">
        <v>21314</v>
      </c>
      <c r="AC3893">
        <v>99094</v>
      </c>
      <c r="AD3893" t="s">
        <v>2693</v>
      </c>
      <c r="AE3893">
        <v>-41.127329590000002</v>
      </c>
      <c r="AF3893">
        <v>174.82603388000001</v>
      </c>
      <c r="AG3893" s="175">
        <v>58</v>
      </c>
      <c r="AH3893" s="175">
        <v>15</v>
      </c>
      <c r="AI3893" s="175">
        <v>2</v>
      </c>
      <c r="AJ3893" s="175">
        <v>6</v>
      </c>
      <c r="AK3893" s="175">
        <v>14</v>
      </c>
      <c r="AL3893" s="175">
        <v>11</v>
      </c>
      <c r="AM3893" s="175">
        <v>9</v>
      </c>
      <c r="AN3893" s="175">
        <v>0</v>
      </c>
      <c r="AO3893" s="175">
        <v>42</v>
      </c>
      <c r="AP3893" s="175">
        <v>17</v>
      </c>
      <c r="AQ3893" s="175">
        <v>38</v>
      </c>
      <c r="AR3893" s="175">
        <v>16</v>
      </c>
      <c r="AS3893" s="175">
        <v>4</v>
      </c>
      <c r="AT3893" s="175">
        <v>1</v>
      </c>
    </row>
    <row r="3894" spans="1:46">
      <c r="A3894">
        <v>60277</v>
      </c>
      <c r="B3894" t="s">
        <v>21320</v>
      </c>
      <c r="C3894" t="s">
        <v>21321</v>
      </c>
      <c r="D3894" t="s">
        <v>21322</v>
      </c>
      <c r="E3894" t="s">
        <v>21323</v>
      </c>
      <c r="F3894" t="s">
        <v>2656</v>
      </c>
      <c r="G3894" t="s">
        <v>2604</v>
      </c>
      <c r="H3894" t="s">
        <v>449</v>
      </c>
      <c r="J3894" t="s">
        <v>605</v>
      </c>
      <c r="K3894" t="s">
        <v>606</v>
      </c>
      <c r="M3894" t="s">
        <v>2366</v>
      </c>
      <c r="N3894" t="s">
        <v>657</v>
      </c>
      <c r="O3894" t="s">
        <v>2605</v>
      </c>
      <c r="P3894" t="s">
        <v>670</v>
      </c>
      <c r="Q3894" t="s">
        <v>516</v>
      </c>
      <c r="R3894" t="s">
        <v>2368</v>
      </c>
      <c r="S3894" t="s">
        <v>2606</v>
      </c>
      <c r="T3894" t="s">
        <v>1568</v>
      </c>
      <c r="U3894">
        <v>240602</v>
      </c>
      <c r="V3894" t="s">
        <v>21324</v>
      </c>
      <c r="W3894" t="s">
        <v>2657</v>
      </c>
      <c r="X3894" t="s">
        <v>21325</v>
      </c>
      <c r="Y3894" t="s">
        <v>21326</v>
      </c>
      <c r="Z3894" t="s">
        <v>2656</v>
      </c>
      <c r="AA3894" t="s">
        <v>14174</v>
      </c>
      <c r="AB3894" t="s">
        <v>21327</v>
      </c>
      <c r="AC3894">
        <v>99068</v>
      </c>
      <c r="AD3894" t="s">
        <v>2608</v>
      </c>
      <c r="AE3894">
        <v>-41.112575800000002</v>
      </c>
      <c r="AF3894">
        <v>174.90414390000001</v>
      </c>
      <c r="AG3894" s="175">
        <v>50</v>
      </c>
      <c r="AH3894" s="175">
        <v>0</v>
      </c>
      <c r="AI3894" s="175">
        <v>0</v>
      </c>
      <c r="AJ3894" s="175">
        <v>0</v>
      </c>
      <c r="AK3894" s="175">
        <v>2</v>
      </c>
      <c r="AL3894" s="175">
        <v>20</v>
      </c>
      <c r="AM3894" s="175">
        <v>23</v>
      </c>
      <c r="AN3894" s="175">
        <v>1</v>
      </c>
      <c r="AO3894" s="175">
        <v>46</v>
      </c>
      <c r="AP3894" s="175">
        <v>29</v>
      </c>
      <c r="AQ3894" s="175">
        <v>6</v>
      </c>
      <c r="AR3894" s="175">
        <v>1</v>
      </c>
      <c r="AS3894" s="175">
        <v>19</v>
      </c>
      <c r="AT3894" s="175">
        <v>3</v>
      </c>
    </row>
    <row r="3895" spans="1:46">
      <c r="A3895">
        <v>60278</v>
      </c>
      <c r="B3895" t="s">
        <v>21328</v>
      </c>
      <c r="C3895" t="s">
        <v>21329</v>
      </c>
      <c r="D3895" t="s">
        <v>21330</v>
      </c>
      <c r="E3895" t="s">
        <v>21331</v>
      </c>
      <c r="F3895" t="s">
        <v>18408</v>
      </c>
      <c r="G3895" t="s">
        <v>2449</v>
      </c>
      <c r="H3895" t="s">
        <v>452</v>
      </c>
      <c r="J3895" t="s">
        <v>605</v>
      </c>
      <c r="K3895" t="s">
        <v>606</v>
      </c>
      <c r="M3895" t="s">
        <v>2366</v>
      </c>
      <c r="N3895" t="s">
        <v>657</v>
      </c>
      <c r="O3895" t="s">
        <v>2450</v>
      </c>
      <c r="P3895" t="s">
        <v>670</v>
      </c>
      <c r="Q3895" t="s">
        <v>516</v>
      </c>
      <c r="R3895" t="s">
        <v>2368</v>
      </c>
      <c r="S3895" t="s">
        <v>2451</v>
      </c>
      <c r="T3895" t="s">
        <v>2165</v>
      </c>
      <c r="U3895">
        <v>242200</v>
      </c>
      <c r="V3895" t="s">
        <v>14965</v>
      </c>
      <c r="W3895" t="s">
        <v>1734</v>
      </c>
      <c r="X3895" t="s">
        <v>1970</v>
      </c>
      <c r="Y3895" t="s">
        <v>1971</v>
      </c>
      <c r="AA3895" t="s">
        <v>1972</v>
      </c>
      <c r="AB3895" t="s">
        <v>1973</v>
      </c>
      <c r="AE3895">
        <v>-41.141769869999997</v>
      </c>
      <c r="AF3895">
        <v>175.05098641000001</v>
      </c>
      <c r="AG3895" s="175">
        <v>50</v>
      </c>
      <c r="AH3895" s="175">
        <v>5</v>
      </c>
      <c r="AI3895" s="175">
        <v>1</v>
      </c>
      <c r="AJ3895" s="175">
        <v>7</v>
      </c>
      <c r="AK3895" s="175">
        <v>10</v>
      </c>
      <c r="AL3895" s="175">
        <v>20</v>
      </c>
      <c r="AM3895" s="175">
        <v>13</v>
      </c>
      <c r="AN3895" s="175">
        <v>0</v>
      </c>
      <c r="AO3895" s="175">
        <v>51</v>
      </c>
      <c r="AP3895" s="175">
        <v>48</v>
      </c>
      <c r="AQ3895" s="175">
        <v>8</v>
      </c>
      <c r="AR3895" s="175">
        <v>8</v>
      </c>
      <c r="AS3895" s="175">
        <v>1</v>
      </c>
      <c r="AT3895" s="175">
        <v>1</v>
      </c>
    </row>
    <row r="3896" spans="1:46">
      <c r="A3896">
        <v>60283</v>
      </c>
      <c r="B3896" t="s">
        <v>21332</v>
      </c>
      <c r="C3896" t="s">
        <v>21333</v>
      </c>
      <c r="E3896" t="s">
        <v>21334</v>
      </c>
      <c r="F3896" t="s">
        <v>14880</v>
      </c>
      <c r="G3896" t="s">
        <v>2368</v>
      </c>
      <c r="H3896" t="s">
        <v>449</v>
      </c>
      <c r="J3896" t="s">
        <v>605</v>
      </c>
      <c r="K3896" t="s">
        <v>606</v>
      </c>
      <c r="M3896" t="s">
        <v>2366</v>
      </c>
      <c r="N3896" t="s">
        <v>657</v>
      </c>
      <c r="O3896" t="s">
        <v>2614</v>
      </c>
      <c r="P3896" t="s">
        <v>739</v>
      </c>
      <c r="Q3896" t="s">
        <v>516</v>
      </c>
      <c r="R3896" t="s">
        <v>2368</v>
      </c>
      <c r="S3896" t="s">
        <v>2631</v>
      </c>
      <c r="T3896" t="s">
        <v>2526</v>
      </c>
      <c r="U3896">
        <v>251000</v>
      </c>
      <c r="V3896" t="s">
        <v>21335</v>
      </c>
      <c r="W3896" t="s">
        <v>2651</v>
      </c>
      <c r="X3896" t="s">
        <v>21273</v>
      </c>
      <c r="Y3896" t="s">
        <v>21274</v>
      </c>
      <c r="Z3896" t="s">
        <v>2368</v>
      </c>
      <c r="AA3896" t="s">
        <v>21085</v>
      </c>
      <c r="AB3896" t="s">
        <v>21275</v>
      </c>
      <c r="AE3896">
        <v>-41.283077069999997</v>
      </c>
      <c r="AF3896">
        <v>174.77099469999999</v>
      </c>
      <c r="AG3896" s="175">
        <v>67</v>
      </c>
      <c r="AH3896" s="175">
        <v>24</v>
      </c>
      <c r="AI3896" s="175">
        <v>2</v>
      </c>
      <c r="AJ3896" s="175">
        <v>11</v>
      </c>
      <c r="AK3896" s="175">
        <v>17</v>
      </c>
      <c r="AL3896" s="175">
        <v>22</v>
      </c>
      <c r="AM3896" s="175">
        <v>20</v>
      </c>
      <c r="AN3896" s="175">
        <v>2</v>
      </c>
      <c r="AO3896" s="175">
        <v>74</v>
      </c>
      <c r="AP3896" s="175">
        <v>60</v>
      </c>
      <c r="AQ3896" s="175">
        <v>8</v>
      </c>
      <c r="AR3896" s="175">
        <v>5</v>
      </c>
      <c r="AS3896" s="175">
        <v>14</v>
      </c>
      <c r="AT3896" s="175">
        <v>2</v>
      </c>
    </row>
    <row r="3897" spans="1:46">
      <c r="A3897">
        <v>60284</v>
      </c>
      <c r="B3897" t="s">
        <v>21336</v>
      </c>
      <c r="C3897" t="s">
        <v>21337</v>
      </c>
      <c r="D3897" t="s">
        <v>21338</v>
      </c>
      <c r="E3897" t="s">
        <v>21339</v>
      </c>
      <c r="G3897" t="s">
        <v>2442</v>
      </c>
      <c r="H3897" t="s">
        <v>449</v>
      </c>
      <c r="J3897" t="s">
        <v>605</v>
      </c>
      <c r="K3897" t="s">
        <v>606</v>
      </c>
      <c r="M3897" t="s">
        <v>2366</v>
      </c>
      <c r="N3897" t="s">
        <v>657</v>
      </c>
      <c r="O3897" t="s">
        <v>2411</v>
      </c>
      <c r="P3897" t="s">
        <v>610</v>
      </c>
      <c r="Q3897" t="s">
        <v>516</v>
      </c>
      <c r="R3897" t="s">
        <v>2368</v>
      </c>
      <c r="S3897" t="s">
        <v>2348</v>
      </c>
      <c r="T3897" t="s">
        <v>2165</v>
      </c>
      <c r="U3897">
        <v>257700</v>
      </c>
      <c r="V3897" t="s">
        <v>2442</v>
      </c>
      <c r="W3897" t="s">
        <v>2443</v>
      </c>
      <c r="X3897" t="s">
        <v>21340</v>
      </c>
      <c r="Y3897" t="s">
        <v>21341</v>
      </c>
      <c r="Z3897" t="s">
        <v>2442</v>
      </c>
      <c r="AA3897" t="s">
        <v>13280</v>
      </c>
      <c r="AB3897" t="s">
        <v>21342</v>
      </c>
      <c r="AC3897">
        <v>99109</v>
      </c>
      <c r="AD3897" t="s">
        <v>2413</v>
      </c>
      <c r="AE3897">
        <v>-41.078755399999999</v>
      </c>
      <c r="AF3897">
        <v>175.46257</v>
      </c>
      <c r="AG3897" s="175">
        <v>26</v>
      </c>
      <c r="AH3897" s="175">
        <v>6</v>
      </c>
      <c r="AI3897" s="175">
        <v>2</v>
      </c>
      <c r="AJ3897" s="175">
        <v>3</v>
      </c>
      <c r="AK3897" s="175">
        <v>5</v>
      </c>
      <c r="AL3897" s="175">
        <v>12</v>
      </c>
      <c r="AM3897" s="175">
        <v>7</v>
      </c>
      <c r="AN3897" s="175">
        <v>1</v>
      </c>
      <c r="AO3897" s="175">
        <v>30</v>
      </c>
      <c r="AP3897" s="175">
        <v>26</v>
      </c>
      <c r="AQ3897" s="175">
        <v>7</v>
      </c>
      <c r="AR3897" s="175">
        <v>1</v>
      </c>
      <c r="AS3897" s="175">
        <v>0</v>
      </c>
      <c r="AT3897" s="175">
        <v>1</v>
      </c>
    </row>
    <row r="3898" spans="1:46">
      <c r="A3898">
        <v>60285</v>
      </c>
      <c r="B3898" t="s">
        <v>21343</v>
      </c>
      <c r="C3898" t="s">
        <v>21344</v>
      </c>
      <c r="D3898" t="s">
        <v>21345</v>
      </c>
      <c r="E3898" t="s">
        <v>21346</v>
      </c>
      <c r="F3898" t="s">
        <v>2613</v>
      </c>
      <c r="G3898" t="s">
        <v>2368</v>
      </c>
      <c r="H3898" t="s">
        <v>449</v>
      </c>
      <c r="I3898" t="s">
        <v>4642</v>
      </c>
      <c r="J3898" t="s">
        <v>605</v>
      </c>
      <c r="K3898" t="s">
        <v>606</v>
      </c>
      <c r="M3898" t="s">
        <v>2366</v>
      </c>
      <c r="N3898" t="s">
        <v>812</v>
      </c>
      <c r="O3898" t="s">
        <v>2614</v>
      </c>
      <c r="P3898" t="s">
        <v>739</v>
      </c>
      <c r="Q3898" t="s">
        <v>516</v>
      </c>
      <c r="R3898" t="s">
        <v>2368</v>
      </c>
      <c r="S3898" t="s">
        <v>2615</v>
      </c>
      <c r="T3898" t="s">
        <v>2526</v>
      </c>
      <c r="U3898">
        <v>253300</v>
      </c>
      <c r="V3898" t="s">
        <v>2613</v>
      </c>
      <c r="W3898" t="s">
        <v>2616</v>
      </c>
      <c r="X3898" t="s">
        <v>21347</v>
      </c>
      <c r="Y3898" t="s">
        <v>21348</v>
      </c>
      <c r="Z3898" t="s">
        <v>21349</v>
      </c>
      <c r="AA3898" t="s">
        <v>21350</v>
      </c>
      <c r="AB3898" t="s">
        <v>21351</v>
      </c>
      <c r="AE3898">
        <v>-41.320638610000003</v>
      </c>
      <c r="AF3898">
        <v>174.77859936999999</v>
      </c>
      <c r="AG3898" s="175">
        <v>28</v>
      </c>
      <c r="AH3898" s="175">
        <v>12</v>
      </c>
      <c r="AI3898" s="175">
        <v>4</v>
      </c>
      <c r="AJ3898" s="175">
        <v>6</v>
      </c>
      <c r="AK3898" s="175">
        <v>7</v>
      </c>
      <c r="AL3898" s="175">
        <v>8</v>
      </c>
      <c r="AM3898" s="175">
        <v>4</v>
      </c>
      <c r="AN3898" s="175">
        <v>0</v>
      </c>
      <c r="AO3898" s="175">
        <v>29</v>
      </c>
      <c r="AP3898" s="175">
        <v>14</v>
      </c>
      <c r="AQ3898" s="175">
        <v>9</v>
      </c>
      <c r="AR3898" s="175">
        <v>27</v>
      </c>
      <c r="AS3898" s="175">
        <v>1</v>
      </c>
      <c r="AT3898" s="175">
        <v>2</v>
      </c>
    </row>
    <row r="3899" spans="1:46">
      <c r="A3899">
        <v>60291</v>
      </c>
      <c r="B3899" t="s">
        <v>21352</v>
      </c>
      <c r="C3899" t="s">
        <v>21353</v>
      </c>
      <c r="D3899" t="s">
        <v>21354</v>
      </c>
      <c r="E3899" t="s">
        <v>21355</v>
      </c>
      <c r="F3899" t="s">
        <v>2662</v>
      </c>
      <c r="G3899" t="s">
        <v>2505</v>
      </c>
      <c r="H3899" t="s">
        <v>449</v>
      </c>
      <c r="J3899" t="s">
        <v>605</v>
      </c>
      <c r="K3899" t="s">
        <v>606</v>
      </c>
      <c r="M3899" t="s">
        <v>2366</v>
      </c>
      <c r="N3899" t="s">
        <v>657</v>
      </c>
      <c r="O3899" t="s">
        <v>2506</v>
      </c>
      <c r="P3899" t="s">
        <v>739</v>
      </c>
      <c r="Q3899" t="s">
        <v>516</v>
      </c>
      <c r="R3899" t="s">
        <v>2368</v>
      </c>
      <c r="S3899" t="s">
        <v>2507</v>
      </c>
      <c r="T3899" t="s">
        <v>2526</v>
      </c>
      <c r="U3899">
        <v>247200</v>
      </c>
      <c r="V3899" t="s">
        <v>2662</v>
      </c>
      <c r="W3899" t="s">
        <v>2569</v>
      </c>
      <c r="X3899" t="s">
        <v>21046</v>
      </c>
      <c r="Y3899" t="s">
        <v>6434</v>
      </c>
      <c r="Z3899" t="s">
        <v>4622</v>
      </c>
      <c r="AA3899" t="s">
        <v>4623</v>
      </c>
      <c r="AE3899">
        <v>-41.292737359999997</v>
      </c>
      <c r="AF3899">
        <v>174.8970032</v>
      </c>
      <c r="AG3899" s="175">
        <v>25</v>
      </c>
      <c r="AH3899" s="175">
        <v>5</v>
      </c>
      <c r="AI3899" s="175">
        <v>1</v>
      </c>
      <c r="AJ3899" s="175">
        <v>4</v>
      </c>
      <c r="AK3899" s="175">
        <v>6</v>
      </c>
      <c r="AL3899" s="175">
        <v>9</v>
      </c>
      <c r="AM3899" s="175">
        <v>9</v>
      </c>
      <c r="AN3899" s="175">
        <v>0</v>
      </c>
      <c r="AO3899" s="175">
        <v>29</v>
      </c>
      <c r="AP3899" s="175">
        <v>29</v>
      </c>
      <c r="AQ3899" s="175">
        <v>1</v>
      </c>
      <c r="AR3899" s="175">
        <v>4</v>
      </c>
      <c r="AS3899" s="175">
        <v>1</v>
      </c>
      <c r="AT3899" s="175">
        <v>0</v>
      </c>
    </row>
    <row r="3900" spans="1:46">
      <c r="A3900">
        <v>60292</v>
      </c>
      <c r="B3900" t="s">
        <v>21356</v>
      </c>
      <c r="C3900" t="s">
        <v>21357</v>
      </c>
      <c r="D3900" t="s">
        <v>21358</v>
      </c>
      <c r="E3900" t="s">
        <v>21359</v>
      </c>
      <c r="F3900" t="s">
        <v>2473</v>
      </c>
      <c r="G3900" t="s">
        <v>2449</v>
      </c>
      <c r="H3900" t="s">
        <v>449</v>
      </c>
      <c r="J3900" t="s">
        <v>4032</v>
      </c>
      <c r="K3900" t="s">
        <v>606</v>
      </c>
      <c r="M3900" t="s">
        <v>2366</v>
      </c>
      <c r="N3900" t="s">
        <v>657</v>
      </c>
      <c r="O3900" t="s">
        <v>2450</v>
      </c>
      <c r="P3900" t="s">
        <v>670</v>
      </c>
      <c r="Q3900" t="s">
        <v>516</v>
      </c>
      <c r="R3900" t="s">
        <v>2368</v>
      </c>
      <c r="S3900" t="s">
        <v>2451</v>
      </c>
      <c r="T3900" t="s">
        <v>2165</v>
      </c>
      <c r="U3900">
        <v>241400</v>
      </c>
      <c r="V3900" t="s">
        <v>2473</v>
      </c>
      <c r="W3900" t="s">
        <v>1734</v>
      </c>
      <c r="X3900" t="s">
        <v>21360</v>
      </c>
      <c r="Y3900" t="s">
        <v>4448</v>
      </c>
      <c r="Z3900" t="s">
        <v>4101</v>
      </c>
      <c r="AA3900" t="s">
        <v>4449</v>
      </c>
      <c r="AE3900">
        <v>-41.137720020000003</v>
      </c>
      <c r="AF3900">
        <v>175.03106137</v>
      </c>
      <c r="AG3900" s="175">
        <v>49</v>
      </c>
      <c r="AH3900" s="175">
        <v>20</v>
      </c>
      <c r="AI3900" s="175">
        <v>2</v>
      </c>
      <c r="AJ3900" s="175">
        <v>7</v>
      </c>
      <c r="AK3900" s="175">
        <v>6</v>
      </c>
      <c r="AL3900" s="175">
        <v>13</v>
      </c>
      <c r="AM3900" s="175">
        <v>9</v>
      </c>
      <c r="AN3900" s="175">
        <v>0</v>
      </c>
      <c r="AO3900" s="175">
        <v>37</v>
      </c>
      <c r="AP3900" s="175">
        <v>31</v>
      </c>
      <c r="AQ3900" s="175">
        <v>4</v>
      </c>
      <c r="AR3900" s="175">
        <v>1</v>
      </c>
      <c r="AS3900" s="175">
        <v>8</v>
      </c>
      <c r="AT3900" s="175">
        <v>0</v>
      </c>
    </row>
    <row r="3901" spans="1:46">
      <c r="A3901">
        <v>60297</v>
      </c>
      <c r="B3901" t="s">
        <v>21361</v>
      </c>
      <c r="C3901" t="s">
        <v>21362</v>
      </c>
      <c r="D3901" t="s">
        <v>21363</v>
      </c>
      <c r="E3901" t="s">
        <v>21364</v>
      </c>
      <c r="F3901" t="s">
        <v>2483</v>
      </c>
      <c r="G3901" t="s">
        <v>2449</v>
      </c>
      <c r="H3901" t="s">
        <v>449</v>
      </c>
      <c r="J3901" t="s">
        <v>605</v>
      </c>
      <c r="K3901" t="s">
        <v>606</v>
      </c>
      <c r="M3901" t="s">
        <v>2366</v>
      </c>
      <c r="N3901" t="s">
        <v>657</v>
      </c>
      <c r="O3901" t="s">
        <v>2450</v>
      </c>
      <c r="P3901" t="s">
        <v>670</v>
      </c>
      <c r="Q3901" t="s">
        <v>516</v>
      </c>
      <c r="R3901" t="s">
        <v>2368</v>
      </c>
      <c r="S3901" t="s">
        <v>2451</v>
      </c>
      <c r="T3901" t="s">
        <v>2165</v>
      </c>
      <c r="U3901">
        <v>241800</v>
      </c>
      <c r="V3901" t="s">
        <v>2484</v>
      </c>
      <c r="W3901" t="s">
        <v>1734</v>
      </c>
      <c r="X3901" t="s">
        <v>21365</v>
      </c>
      <c r="Y3901" t="s">
        <v>21366</v>
      </c>
      <c r="Z3901" t="s">
        <v>2483</v>
      </c>
      <c r="AA3901" t="s">
        <v>21367</v>
      </c>
      <c r="AB3901" t="s">
        <v>21362</v>
      </c>
      <c r="AE3901">
        <v>-41.147422749999997</v>
      </c>
      <c r="AF3901">
        <v>175.01885713999999</v>
      </c>
      <c r="AG3901" s="175">
        <v>30</v>
      </c>
      <c r="AH3901" s="175">
        <v>15</v>
      </c>
      <c r="AI3901" s="175">
        <v>1</v>
      </c>
      <c r="AJ3901" s="175">
        <v>6</v>
      </c>
      <c r="AK3901" s="175">
        <v>5</v>
      </c>
      <c r="AL3901" s="175">
        <v>11</v>
      </c>
      <c r="AM3901" s="175">
        <v>5</v>
      </c>
      <c r="AN3901" s="175">
        <v>0</v>
      </c>
      <c r="AO3901" s="175">
        <v>28</v>
      </c>
      <c r="AP3901" s="175">
        <v>27</v>
      </c>
      <c r="AQ3901" s="175">
        <v>1</v>
      </c>
      <c r="AR3901" s="175">
        <v>1</v>
      </c>
      <c r="AS3901" s="175">
        <v>3</v>
      </c>
      <c r="AT3901" s="175">
        <v>1</v>
      </c>
    </row>
    <row r="3902" spans="1:46">
      <c r="A3902">
        <v>60301</v>
      </c>
      <c r="B3902" t="s">
        <v>21368</v>
      </c>
      <c r="C3902" t="s">
        <v>21369</v>
      </c>
      <c r="D3902" t="s">
        <v>21370</v>
      </c>
      <c r="E3902" t="s">
        <v>21371</v>
      </c>
      <c r="F3902" t="s">
        <v>6058</v>
      </c>
      <c r="G3902" t="s">
        <v>2505</v>
      </c>
      <c r="H3902" t="s">
        <v>449</v>
      </c>
      <c r="I3902" t="s">
        <v>4298</v>
      </c>
      <c r="J3902" t="s">
        <v>605</v>
      </c>
      <c r="K3902" t="s">
        <v>606</v>
      </c>
      <c r="M3902" t="s">
        <v>2366</v>
      </c>
      <c r="N3902" t="s">
        <v>657</v>
      </c>
      <c r="O3902" t="s">
        <v>2506</v>
      </c>
      <c r="P3902" t="s">
        <v>739</v>
      </c>
      <c r="Q3902" t="s">
        <v>516</v>
      </c>
      <c r="R3902" t="s">
        <v>2368</v>
      </c>
      <c r="S3902" t="s">
        <v>2507</v>
      </c>
      <c r="T3902" t="s">
        <v>2165</v>
      </c>
      <c r="U3902">
        <v>243800</v>
      </c>
      <c r="V3902" t="s">
        <v>21372</v>
      </c>
      <c r="W3902" t="s">
        <v>2539</v>
      </c>
      <c r="X3902" t="s">
        <v>20917</v>
      </c>
      <c r="Y3902" t="s">
        <v>20915</v>
      </c>
      <c r="Z3902" t="s">
        <v>20916</v>
      </c>
      <c r="AA3902" t="s">
        <v>9092</v>
      </c>
      <c r="AC3902">
        <v>99110</v>
      </c>
      <c r="AD3902" t="s">
        <v>4304</v>
      </c>
      <c r="AE3902">
        <v>-41.196236640000002</v>
      </c>
      <c r="AF3902">
        <v>174.90770792000001</v>
      </c>
      <c r="AG3902" s="175">
        <v>50</v>
      </c>
      <c r="AH3902" s="175">
        <v>0</v>
      </c>
      <c r="AI3902" s="175">
        <v>0</v>
      </c>
      <c r="AJ3902" s="175">
        <v>0</v>
      </c>
      <c r="AK3902" s="175">
        <v>0</v>
      </c>
      <c r="AL3902" s="175">
        <v>1</v>
      </c>
      <c r="AM3902" s="175">
        <v>17</v>
      </c>
      <c r="AN3902" s="175">
        <v>24</v>
      </c>
      <c r="AO3902" s="175">
        <v>42</v>
      </c>
      <c r="AP3902" s="175">
        <v>33</v>
      </c>
      <c r="AQ3902" s="175">
        <v>10</v>
      </c>
      <c r="AR3902" s="175">
        <v>2</v>
      </c>
      <c r="AS3902" s="175">
        <v>7</v>
      </c>
      <c r="AT3902" s="175">
        <v>4</v>
      </c>
    </row>
    <row r="3903" spans="1:46">
      <c r="A3903">
        <v>60304</v>
      </c>
      <c r="B3903" t="s">
        <v>21373</v>
      </c>
      <c r="C3903" t="s">
        <v>21374</v>
      </c>
      <c r="D3903" t="s">
        <v>21375</v>
      </c>
      <c r="E3903" t="s">
        <v>21376</v>
      </c>
      <c r="F3903" t="s">
        <v>2519</v>
      </c>
      <c r="G3903" t="s">
        <v>2505</v>
      </c>
      <c r="H3903" t="s">
        <v>449</v>
      </c>
      <c r="I3903" t="s">
        <v>6871</v>
      </c>
      <c r="J3903" t="s">
        <v>605</v>
      </c>
      <c r="K3903" t="s">
        <v>606</v>
      </c>
      <c r="M3903" t="s">
        <v>2366</v>
      </c>
      <c r="N3903" t="s">
        <v>4586</v>
      </c>
      <c r="O3903" t="s">
        <v>2506</v>
      </c>
      <c r="P3903" t="s">
        <v>739</v>
      </c>
      <c r="Q3903" t="s">
        <v>516</v>
      </c>
      <c r="R3903" t="s">
        <v>2368</v>
      </c>
      <c r="S3903" t="s">
        <v>2507</v>
      </c>
      <c r="T3903" t="s">
        <v>2526</v>
      </c>
      <c r="U3903">
        <v>244800</v>
      </c>
      <c r="V3903" t="s">
        <v>21197</v>
      </c>
      <c r="W3903" t="s">
        <v>2521</v>
      </c>
      <c r="X3903" t="s">
        <v>21377</v>
      </c>
      <c r="Y3903" t="s">
        <v>21378</v>
      </c>
      <c r="AA3903" t="s">
        <v>2512</v>
      </c>
      <c r="AB3903" t="s">
        <v>21379</v>
      </c>
      <c r="AE3903">
        <v>-41.210101119999997</v>
      </c>
      <c r="AF3903">
        <v>174.91358894999999</v>
      </c>
      <c r="AG3903" s="175">
        <v>80</v>
      </c>
      <c r="AH3903" s="175">
        <v>0</v>
      </c>
      <c r="AI3903" s="175">
        <v>0</v>
      </c>
      <c r="AJ3903" s="175">
        <v>0</v>
      </c>
      <c r="AK3903" s="175">
        <v>10</v>
      </c>
      <c r="AL3903" s="175">
        <v>14</v>
      </c>
      <c r="AM3903" s="175">
        <v>20</v>
      </c>
      <c r="AN3903" s="175">
        <v>1</v>
      </c>
      <c r="AO3903" s="175">
        <v>45</v>
      </c>
      <c r="AP3903" s="175">
        <v>19</v>
      </c>
      <c r="AQ3903" s="175">
        <v>4</v>
      </c>
      <c r="AR3903" s="175">
        <v>0</v>
      </c>
      <c r="AS3903" s="175">
        <v>28</v>
      </c>
      <c r="AT3903" s="175">
        <v>0</v>
      </c>
    </row>
    <row r="3904" spans="1:46">
      <c r="A3904">
        <v>60305</v>
      </c>
      <c r="B3904" t="s">
        <v>21380</v>
      </c>
      <c r="C3904" t="s">
        <v>21381</v>
      </c>
      <c r="E3904" t="s">
        <v>21382</v>
      </c>
      <c r="F3904" t="s">
        <v>2649</v>
      </c>
      <c r="G3904" t="s">
        <v>2368</v>
      </c>
      <c r="H3904" t="s">
        <v>449</v>
      </c>
      <c r="I3904" t="s">
        <v>6871</v>
      </c>
      <c r="J3904" t="s">
        <v>605</v>
      </c>
      <c r="K3904" t="s">
        <v>606</v>
      </c>
      <c r="M3904" t="s">
        <v>2366</v>
      </c>
      <c r="N3904" t="s">
        <v>657</v>
      </c>
      <c r="O3904" t="s">
        <v>2614</v>
      </c>
      <c r="P3904" t="s">
        <v>739</v>
      </c>
      <c r="Q3904" t="s">
        <v>516</v>
      </c>
      <c r="R3904" t="s">
        <v>2368</v>
      </c>
      <c r="S3904" t="s">
        <v>2615</v>
      </c>
      <c r="T3904" t="s">
        <v>2526</v>
      </c>
      <c r="U3904">
        <v>252502</v>
      </c>
      <c r="V3904" t="s">
        <v>21383</v>
      </c>
      <c r="W3904" t="s">
        <v>2651</v>
      </c>
      <c r="X3904" t="s">
        <v>21384</v>
      </c>
      <c r="Y3904" t="s">
        <v>21385</v>
      </c>
      <c r="Z3904" t="s">
        <v>21349</v>
      </c>
      <c r="AA3904" t="s">
        <v>21350</v>
      </c>
      <c r="AB3904" t="s">
        <v>21386</v>
      </c>
      <c r="AE3904">
        <v>-41.301023239999999</v>
      </c>
      <c r="AF3904">
        <v>174.78166123</v>
      </c>
      <c r="AG3904" s="175">
        <v>50</v>
      </c>
      <c r="AH3904" s="175">
        <v>0</v>
      </c>
      <c r="AI3904" s="175">
        <v>0</v>
      </c>
      <c r="AJ3904" s="175">
        <v>0</v>
      </c>
      <c r="AK3904" s="175">
        <v>7</v>
      </c>
      <c r="AL3904" s="175">
        <v>9</v>
      </c>
      <c r="AM3904" s="175">
        <v>17</v>
      </c>
      <c r="AN3904" s="175">
        <v>0</v>
      </c>
      <c r="AO3904" s="175">
        <v>33</v>
      </c>
      <c r="AP3904" s="175">
        <v>22</v>
      </c>
      <c r="AQ3904" s="175">
        <v>1</v>
      </c>
      <c r="AR3904" s="175">
        <v>1</v>
      </c>
      <c r="AS3904" s="175">
        <v>14</v>
      </c>
      <c r="AT3904" s="175">
        <v>1</v>
      </c>
    </row>
    <row r="3905" spans="1:46">
      <c r="A3905">
        <v>60308</v>
      </c>
      <c r="B3905" t="s">
        <v>21387</v>
      </c>
      <c r="C3905" t="s">
        <v>21388</v>
      </c>
      <c r="D3905" t="s">
        <v>21389</v>
      </c>
      <c r="E3905" t="s">
        <v>21390</v>
      </c>
      <c r="F3905" t="s">
        <v>2861</v>
      </c>
      <c r="G3905" t="s">
        <v>2604</v>
      </c>
      <c r="H3905" t="s">
        <v>449</v>
      </c>
      <c r="J3905" t="s">
        <v>4032</v>
      </c>
      <c r="K3905" t="s">
        <v>606</v>
      </c>
      <c r="M3905" t="s">
        <v>2366</v>
      </c>
      <c r="N3905" t="s">
        <v>657</v>
      </c>
      <c r="O3905" t="s">
        <v>2605</v>
      </c>
      <c r="P3905" t="s">
        <v>670</v>
      </c>
      <c r="Q3905" t="s">
        <v>516</v>
      </c>
      <c r="R3905" t="s">
        <v>2368</v>
      </c>
      <c r="S3905" t="s">
        <v>2606</v>
      </c>
      <c r="T3905" t="s">
        <v>1568</v>
      </c>
      <c r="U3905">
        <v>239100</v>
      </c>
      <c r="V3905" t="s">
        <v>2862</v>
      </c>
      <c r="W3905" t="s">
        <v>2607</v>
      </c>
      <c r="X3905" t="s">
        <v>21391</v>
      </c>
      <c r="Y3905" t="s">
        <v>4701</v>
      </c>
      <c r="AA3905" t="s">
        <v>4702</v>
      </c>
      <c r="AC3905">
        <v>99094</v>
      </c>
      <c r="AD3905" t="s">
        <v>2693</v>
      </c>
      <c r="AE3905">
        <v>-41.108546199999999</v>
      </c>
      <c r="AF3905">
        <v>174.84266170999999</v>
      </c>
      <c r="AG3905" s="175">
        <v>54</v>
      </c>
      <c r="AH3905" s="175">
        <v>18</v>
      </c>
      <c r="AI3905" s="175">
        <v>2</v>
      </c>
      <c r="AJ3905" s="175">
        <v>11</v>
      </c>
      <c r="AK3905" s="175">
        <v>12</v>
      </c>
      <c r="AL3905" s="175">
        <v>16</v>
      </c>
      <c r="AM3905" s="175">
        <v>16</v>
      </c>
      <c r="AN3905" s="175">
        <v>0</v>
      </c>
      <c r="AO3905" s="175">
        <v>57</v>
      </c>
      <c r="AP3905" s="175">
        <v>40</v>
      </c>
      <c r="AQ3905" s="175">
        <v>31</v>
      </c>
      <c r="AR3905" s="175">
        <v>16</v>
      </c>
      <c r="AS3905" s="175">
        <v>4</v>
      </c>
      <c r="AT3905" s="175">
        <v>1</v>
      </c>
    </row>
    <row r="3906" spans="1:46">
      <c r="A3906">
        <v>60310</v>
      </c>
      <c r="B3906" t="s">
        <v>21392</v>
      </c>
      <c r="C3906" t="s">
        <v>21393</v>
      </c>
      <c r="D3906" t="s">
        <v>21394</v>
      </c>
      <c r="E3906" t="s">
        <v>21395</v>
      </c>
      <c r="F3906" t="s">
        <v>20509</v>
      </c>
      <c r="G3906" t="s">
        <v>2368</v>
      </c>
      <c r="H3906" t="s">
        <v>449</v>
      </c>
      <c r="J3906" t="s">
        <v>605</v>
      </c>
      <c r="K3906" t="s">
        <v>606</v>
      </c>
      <c r="M3906" t="s">
        <v>2366</v>
      </c>
      <c r="N3906" t="s">
        <v>657</v>
      </c>
      <c r="O3906" t="s">
        <v>2614</v>
      </c>
      <c r="P3906" t="s">
        <v>739</v>
      </c>
      <c r="Q3906" t="s">
        <v>516</v>
      </c>
      <c r="R3906" t="s">
        <v>2368</v>
      </c>
      <c r="S3906" t="s">
        <v>2631</v>
      </c>
      <c r="T3906" t="s">
        <v>2526</v>
      </c>
      <c r="U3906">
        <v>250700</v>
      </c>
      <c r="V3906" t="s">
        <v>12227</v>
      </c>
      <c r="W3906" t="s">
        <v>2651</v>
      </c>
      <c r="X3906" t="s">
        <v>21396</v>
      </c>
      <c r="Y3906" t="s">
        <v>21397</v>
      </c>
      <c r="Z3906" t="s">
        <v>21398</v>
      </c>
      <c r="AA3906" t="s">
        <v>21399</v>
      </c>
      <c r="AE3906">
        <v>-41.277266599999997</v>
      </c>
      <c r="AF3906">
        <v>174.77454968000001</v>
      </c>
      <c r="AG3906" s="175">
        <v>30</v>
      </c>
      <c r="AH3906" s="175">
        <v>10</v>
      </c>
      <c r="AI3906" s="175">
        <v>1</v>
      </c>
      <c r="AJ3906" s="175">
        <v>7</v>
      </c>
      <c r="AK3906" s="175">
        <v>10</v>
      </c>
      <c r="AL3906" s="175">
        <v>9</v>
      </c>
      <c r="AM3906" s="175">
        <v>9</v>
      </c>
      <c r="AN3906" s="175">
        <v>1</v>
      </c>
      <c r="AO3906" s="175">
        <v>37</v>
      </c>
      <c r="AP3906" s="175">
        <v>33</v>
      </c>
      <c r="AQ3906" s="175">
        <v>9</v>
      </c>
      <c r="AR3906" s="175">
        <v>1</v>
      </c>
      <c r="AS3906" s="175">
        <v>5</v>
      </c>
      <c r="AT3906" s="175">
        <v>3</v>
      </c>
    </row>
    <row r="3907" spans="1:46">
      <c r="A3907">
        <v>60311</v>
      </c>
      <c r="B3907" t="s">
        <v>21400</v>
      </c>
      <c r="C3907" t="s">
        <v>21401</v>
      </c>
      <c r="D3907" t="s">
        <v>21402</v>
      </c>
      <c r="E3907" t="s">
        <v>21403</v>
      </c>
      <c r="F3907" t="s">
        <v>21404</v>
      </c>
      <c r="G3907" t="s">
        <v>2368</v>
      </c>
      <c r="H3907" t="s">
        <v>449</v>
      </c>
      <c r="I3907" t="s">
        <v>4134</v>
      </c>
      <c r="J3907" t="s">
        <v>605</v>
      </c>
      <c r="K3907" t="s">
        <v>606</v>
      </c>
      <c r="M3907" t="s">
        <v>2366</v>
      </c>
      <c r="N3907" t="s">
        <v>4586</v>
      </c>
      <c r="O3907" t="s">
        <v>2614</v>
      </c>
      <c r="P3907" t="s">
        <v>739</v>
      </c>
      <c r="Q3907" t="s">
        <v>516</v>
      </c>
      <c r="R3907" t="s">
        <v>2368</v>
      </c>
      <c r="S3907" t="s">
        <v>2615</v>
      </c>
      <c r="T3907" t="s">
        <v>2526</v>
      </c>
      <c r="U3907">
        <v>252800</v>
      </c>
      <c r="V3907" t="s">
        <v>21405</v>
      </c>
      <c r="W3907" t="s">
        <v>2616</v>
      </c>
      <c r="X3907" t="s">
        <v>21406</v>
      </c>
      <c r="Y3907" t="s">
        <v>21407</v>
      </c>
      <c r="Z3907" t="s">
        <v>2746</v>
      </c>
      <c r="AA3907" t="s">
        <v>21350</v>
      </c>
      <c r="AB3907" t="s">
        <v>21408</v>
      </c>
      <c r="AC3907">
        <v>99171</v>
      </c>
      <c r="AD3907" t="s">
        <v>2617</v>
      </c>
      <c r="AE3907">
        <v>-41.326253000000001</v>
      </c>
      <c r="AF3907">
        <v>174.7619957</v>
      </c>
      <c r="AG3907" s="175">
        <v>60</v>
      </c>
      <c r="AH3907" s="175">
        <v>0</v>
      </c>
      <c r="AI3907" s="175">
        <v>0</v>
      </c>
      <c r="AJ3907" s="175">
        <v>0</v>
      </c>
      <c r="AK3907" s="175">
        <v>2</v>
      </c>
      <c r="AL3907" s="175">
        <v>22</v>
      </c>
      <c r="AM3907" s="175">
        <v>15</v>
      </c>
      <c r="AN3907" s="175">
        <v>11</v>
      </c>
      <c r="AO3907" s="175">
        <v>50</v>
      </c>
      <c r="AP3907" s="175">
        <v>37</v>
      </c>
      <c r="AQ3907" s="175">
        <v>3</v>
      </c>
      <c r="AR3907" s="175">
        <v>1</v>
      </c>
      <c r="AS3907" s="175">
        <v>14</v>
      </c>
      <c r="AT3907" s="175">
        <v>4</v>
      </c>
    </row>
    <row r="3908" spans="1:46">
      <c r="A3908">
        <v>60315</v>
      </c>
      <c r="B3908" t="s">
        <v>21409</v>
      </c>
      <c r="C3908" t="s">
        <v>21410</v>
      </c>
      <c r="E3908" t="s">
        <v>21411</v>
      </c>
      <c r="F3908" t="s">
        <v>19071</v>
      </c>
      <c r="G3908" t="s">
        <v>2368</v>
      </c>
      <c r="H3908" t="s">
        <v>449</v>
      </c>
      <c r="J3908" t="s">
        <v>605</v>
      </c>
      <c r="K3908" t="s">
        <v>606</v>
      </c>
      <c r="M3908" t="s">
        <v>2366</v>
      </c>
      <c r="N3908" t="s">
        <v>657</v>
      </c>
      <c r="O3908" t="s">
        <v>2614</v>
      </c>
      <c r="P3908" t="s">
        <v>739</v>
      </c>
      <c r="Q3908" t="s">
        <v>516</v>
      </c>
      <c r="R3908" t="s">
        <v>2368</v>
      </c>
      <c r="S3908" t="s">
        <v>2615</v>
      </c>
      <c r="T3908" t="s">
        <v>2526</v>
      </c>
      <c r="U3908">
        <v>254200</v>
      </c>
      <c r="V3908" t="s">
        <v>20447</v>
      </c>
      <c r="W3908" t="s">
        <v>2669</v>
      </c>
      <c r="X3908" t="s">
        <v>10497</v>
      </c>
      <c r="Y3908" t="s">
        <v>4014</v>
      </c>
      <c r="Z3908" t="s">
        <v>4015</v>
      </c>
      <c r="AA3908" t="s">
        <v>4016</v>
      </c>
      <c r="AC3908">
        <v>99141</v>
      </c>
      <c r="AD3908" t="s">
        <v>2670</v>
      </c>
      <c r="AE3908">
        <v>-41.319477550000002</v>
      </c>
      <c r="AF3908">
        <v>174.8018563</v>
      </c>
      <c r="AG3908" s="175">
        <v>30</v>
      </c>
      <c r="AH3908" s="175">
        <v>0</v>
      </c>
      <c r="AI3908" s="175">
        <v>0</v>
      </c>
      <c r="AJ3908" s="175">
        <v>0</v>
      </c>
      <c r="AK3908" s="175">
        <v>9</v>
      </c>
      <c r="AL3908" s="175">
        <v>6</v>
      </c>
      <c r="AM3908" s="175">
        <v>15</v>
      </c>
      <c r="AN3908" s="175">
        <v>1</v>
      </c>
      <c r="AO3908" s="175">
        <v>31</v>
      </c>
      <c r="AP3908" s="175">
        <v>5</v>
      </c>
      <c r="AQ3908" s="175">
        <v>5</v>
      </c>
      <c r="AR3908" s="175">
        <v>5</v>
      </c>
      <c r="AS3908" s="175">
        <v>16</v>
      </c>
      <c r="AT3908" s="175">
        <v>8</v>
      </c>
    </row>
    <row r="3909" spans="1:46">
      <c r="A3909">
        <v>60316</v>
      </c>
      <c r="B3909" t="s">
        <v>21412</v>
      </c>
      <c r="C3909" t="s">
        <v>21413</v>
      </c>
      <c r="D3909" t="s">
        <v>14180</v>
      </c>
      <c r="E3909" t="s">
        <v>21414</v>
      </c>
      <c r="F3909" t="s">
        <v>2519</v>
      </c>
      <c r="G3909" t="s">
        <v>2505</v>
      </c>
      <c r="H3909" t="s">
        <v>449</v>
      </c>
      <c r="J3909" t="s">
        <v>4032</v>
      </c>
      <c r="K3909" t="s">
        <v>606</v>
      </c>
      <c r="M3909" t="s">
        <v>2366</v>
      </c>
      <c r="N3909" t="s">
        <v>657</v>
      </c>
      <c r="O3909" t="s">
        <v>2506</v>
      </c>
      <c r="P3909" t="s">
        <v>739</v>
      </c>
      <c r="Q3909" t="s">
        <v>516</v>
      </c>
      <c r="R3909" t="s">
        <v>2368</v>
      </c>
      <c r="S3909" t="s">
        <v>2507</v>
      </c>
      <c r="T3909" t="s">
        <v>2526</v>
      </c>
      <c r="U3909">
        <v>246002</v>
      </c>
      <c r="V3909" t="s">
        <v>12968</v>
      </c>
      <c r="W3909" t="s">
        <v>2569</v>
      </c>
      <c r="X3909" t="s">
        <v>11598</v>
      </c>
      <c r="Y3909" t="s">
        <v>14182</v>
      </c>
      <c r="Z3909" t="s">
        <v>906</v>
      </c>
      <c r="AA3909" t="s">
        <v>4138</v>
      </c>
      <c r="AB3909" t="s">
        <v>11600</v>
      </c>
      <c r="AE3909">
        <v>-41.224382839999997</v>
      </c>
      <c r="AF3909">
        <v>174.91439761000001</v>
      </c>
      <c r="AG3909" s="175">
        <v>41</v>
      </c>
      <c r="AH3909" s="175">
        <v>11</v>
      </c>
      <c r="AI3909" s="175">
        <v>2</v>
      </c>
      <c r="AJ3909" s="175">
        <v>6</v>
      </c>
      <c r="AK3909" s="175">
        <v>12</v>
      </c>
      <c r="AL3909" s="175">
        <v>8</v>
      </c>
      <c r="AM3909" s="175">
        <v>10</v>
      </c>
      <c r="AN3909" s="175">
        <v>0</v>
      </c>
      <c r="AO3909" s="175">
        <v>38</v>
      </c>
      <c r="AP3909" s="175">
        <v>28</v>
      </c>
      <c r="AQ3909" s="175">
        <v>5</v>
      </c>
      <c r="AR3909" s="175">
        <v>2</v>
      </c>
      <c r="AS3909" s="175">
        <v>9</v>
      </c>
      <c r="AT3909" s="175">
        <v>1</v>
      </c>
    </row>
    <row r="3910" spans="1:46">
      <c r="A3910">
        <v>60326</v>
      </c>
      <c r="B3910" t="s">
        <v>21415</v>
      </c>
      <c r="C3910" t="s">
        <v>21416</v>
      </c>
      <c r="D3910" t="s">
        <v>21417</v>
      </c>
      <c r="E3910" t="s">
        <v>21418</v>
      </c>
      <c r="F3910" t="s">
        <v>2637</v>
      </c>
      <c r="G3910" t="s">
        <v>2368</v>
      </c>
      <c r="H3910" t="s">
        <v>449</v>
      </c>
      <c r="I3910" t="s">
        <v>6871</v>
      </c>
      <c r="J3910" t="s">
        <v>605</v>
      </c>
      <c r="K3910" t="s">
        <v>606</v>
      </c>
      <c r="M3910" t="s">
        <v>2366</v>
      </c>
      <c r="N3910" t="s">
        <v>657</v>
      </c>
      <c r="O3910" t="s">
        <v>2614</v>
      </c>
      <c r="P3910" t="s">
        <v>739</v>
      </c>
      <c r="Q3910" t="s">
        <v>516</v>
      </c>
      <c r="R3910" t="s">
        <v>2368</v>
      </c>
      <c r="S3910" t="s">
        <v>2631</v>
      </c>
      <c r="T3910" t="s">
        <v>2526</v>
      </c>
      <c r="U3910">
        <v>250600</v>
      </c>
      <c r="V3910" t="s">
        <v>2638</v>
      </c>
      <c r="W3910" t="s">
        <v>2639</v>
      </c>
      <c r="X3910" t="s">
        <v>21419</v>
      </c>
      <c r="Y3910" t="s">
        <v>21420</v>
      </c>
      <c r="AA3910" t="s">
        <v>21131</v>
      </c>
      <c r="AB3910" t="s">
        <v>21421</v>
      </c>
      <c r="AE3910">
        <v>-41.283916990000002</v>
      </c>
      <c r="AF3910">
        <v>174.74499072</v>
      </c>
      <c r="AG3910" s="175">
        <v>30</v>
      </c>
      <c r="AH3910" s="175">
        <v>0</v>
      </c>
      <c r="AI3910" s="175">
        <v>0</v>
      </c>
      <c r="AJ3910" s="175">
        <v>0</v>
      </c>
      <c r="AK3910" s="175">
        <v>0</v>
      </c>
      <c r="AL3910" s="175">
        <v>4</v>
      </c>
      <c r="AM3910" s="175">
        <v>7</v>
      </c>
      <c r="AN3910" s="175">
        <v>0</v>
      </c>
      <c r="AO3910" s="175">
        <v>11</v>
      </c>
      <c r="AP3910" s="175">
        <v>5</v>
      </c>
      <c r="AQ3910" s="175">
        <v>0</v>
      </c>
      <c r="AR3910" s="175">
        <v>0</v>
      </c>
      <c r="AS3910" s="175">
        <v>6</v>
      </c>
      <c r="AT3910" s="175">
        <v>0</v>
      </c>
    </row>
    <row r="3911" spans="1:46">
      <c r="A3911">
        <v>60327</v>
      </c>
      <c r="B3911" t="s">
        <v>21422</v>
      </c>
      <c r="C3911" t="s">
        <v>21423</v>
      </c>
      <c r="D3911" t="s">
        <v>21424</v>
      </c>
      <c r="E3911" t="s">
        <v>21425</v>
      </c>
      <c r="G3911" t="s">
        <v>2396</v>
      </c>
      <c r="H3911" t="s">
        <v>449</v>
      </c>
      <c r="J3911" t="s">
        <v>4032</v>
      </c>
      <c r="K3911" t="s">
        <v>606</v>
      </c>
      <c r="M3911" t="s">
        <v>2366</v>
      </c>
      <c r="N3911" t="s">
        <v>657</v>
      </c>
      <c r="O3911" t="s">
        <v>2397</v>
      </c>
      <c r="P3911" t="s">
        <v>1347</v>
      </c>
      <c r="Q3911" t="s">
        <v>516</v>
      </c>
      <c r="R3911" t="s">
        <v>2368</v>
      </c>
      <c r="S3911" t="s">
        <v>2348</v>
      </c>
      <c r="T3911" t="s">
        <v>2165</v>
      </c>
      <c r="U3911">
        <v>255800</v>
      </c>
      <c r="V3911" t="s">
        <v>21426</v>
      </c>
      <c r="W3911" t="s">
        <v>2399</v>
      </c>
      <c r="X3911" t="s">
        <v>21427</v>
      </c>
      <c r="Y3911" t="s">
        <v>21428</v>
      </c>
      <c r="Z3911" t="s">
        <v>15980</v>
      </c>
      <c r="AA3911" t="s">
        <v>20290</v>
      </c>
      <c r="AB3911" t="s">
        <v>21429</v>
      </c>
      <c r="AE3911">
        <v>-40.943750440000002</v>
      </c>
      <c r="AF3911">
        <v>175.67313913000001</v>
      </c>
      <c r="AG3911" s="175">
        <v>57</v>
      </c>
      <c r="AH3911" s="175">
        <v>26</v>
      </c>
      <c r="AI3911" s="175">
        <v>2</v>
      </c>
      <c r="AJ3911" s="175">
        <v>10</v>
      </c>
      <c r="AK3911" s="175">
        <v>21</v>
      </c>
      <c r="AL3911" s="175">
        <v>16</v>
      </c>
      <c r="AM3911" s="175">
        <v>20</v>
      </c>
      <c r="AN3911" s="175">
        <v>0</v>
      </c>
      <c r="AO3911" s="175">
        <v>69</v>
      </c>
      <c r="AP3911" s="175">
        <v>55</v>
      </c>
      <c r="AQ3911" s="175">
        <v>11</v>
      </c>
      <c r="AR3911" s="175">
        <v>2</v>
      </c>
      <c r="AS3911" s="175">
        <v>3</v>
      </c>
      <c r="AT3911" s="175">
        <v>11</v>
      </c>
    </row>
    <row r="3912" spans="1:46">
      <c r="A3912">
        <v>60328</v>
      </c>
      <c r="B3912" t="s">
        <v>21430</v>
      </c>
      <c r="C3912" t="s">
        <v>21431</v>
      </c>
      <c r="D3912" t="s">
        <v>21432</v>
      </c>
      <c r="E3912" t="s">
        <v>21433</v>
      </c>
      <c r="F3912" t="s">
        <v>19071</v>
      </c>
      <c r="G3912" t="s">
        <v>2368</v>
      </c>
      <c r="H3912" t="s">
        <v>449</v>
      </c>
      <c r="J3912" t="s">
        <v>605</v>
      </c>
      <c r="K3912" t="s">
        <v>606</v>
      </c>
      <c r="M3912" t="s">
        <v>2366</v>
      </c>
      <c r="N3912" t="s">
        <v>657</v>
      </c>
      <c r="O3912" t="s">
        <v>2614</v>
      </c>
      <c r="P3912" t="s">
        <v>739</v>
      </c>
      <c r="Q3912" t="s">
        <v>516</v>
      </c>
      <c r="R3912" t="s">
        <v>2368</v>
      </c>
      <c r="S3912" t="s">
        <v>2615</v>
      </c>
      <c r="T3912" t="s">
        <v>2526</v>
      </c>
      <c r="U3912">
        <v>253700</v>
      </c>
      <c r="V3912" t="s">
        <v>19072</v>
      </c>
      <c r="W3912" t="s">
        <v>2669</v>
      </c>
      <c r="X3912" t="s">
        <v>21262</v>
      </c>
      <c r="Y3912" t="s">
        <v>21433</v>
      </c>
      <c r="Z3912" t="s">
        <v>19071</v>
      </c>
      <c r="AA3912" t="s">
        <v>19139</v>
      </c>
      <c r="AB3912" t="s">
        <v>21263</v>
      </c>
      <c r="AE3912">
        <v>-41.319159720000002</v>
      </c>
      <c r="AF3912">
        <v>174.79446530000001</v>
      </c>
      <c r="AG3912" s="175">
        <v>20</v>
      </c>
      <c r="AH3912" s="175">
        <v>7</v>
      </c>
      <c r="AI3912" s="175">
        <v>0</v>
      </c>
      <c r="AJ3912" s="175">
        <v>6</v>
      </c>
      <c r="AK3912" s="175">
        <v>8</v>
      </c>
      <c r="AL3912" s="175">
        <v>2</v>
      </c>
      <c r="AM3912" s="175">
        <v>8</v>
      </c>
      <c r="AN3912" s="175">
        <v>0</v>
      </c>
      <c r="AO3912" s="175">
        <v>24</v>
      </c>
      <c r="AP3912" s="175">
        <v>18</v>
      </c>
      <c r="AQ3912" s="175">
        <v>7</v>
      </c>
      <c r="AR3912" s="175">
        <v>1</v>
      </c>
      <c r="AS3912" s="175">
        <v>1</v>
      </c>
      <c r="AT3912" s="175">
        <v>4</v>
      </c>
    </row>
    <row r="3913" spans="1:46">
      <c r="A3913">
        <v>60329</v>
      </c>
      <c r="B3913" t="s">
        <v>21434</v>
      </c>
      <c r="C3913" t="s">
        <v>21435</v>
      </c>
      <c r="D3913" t="s">
        <v>21436</v>
      </c>
      <c r="E3913" t="s">
        <v>21437</v>
      </c>
      <c r="F3913" t="s">
        <v>21004</v>
      </c>
      <c r="G3913" t="s">
        <v>2368</v>
      </c>
      <c r="H3913" t="s">
        <v>452</v>
      </c>
      <c r="J3913" t="s">
        <v>605</v>
      </c>
      <c r="K3913" t="s">
        <v>606</v>
      </c>
      <c r="M3913" t="s">
        <v>2366</v>
      </c>
      <c r="N3913" t="s">
        <v>643</v>
      </c>
      <c r="O3913" t="s">
        <v>2614</v>
      </c>
      <c r="P3913" t="s">
        <v>739</v>
      </c>
      <c r="Q3913" t="s">
        <v>516</v>
      </c>
      <c r="R3913" t="s">
        <v>2368</v>
      </c>
      <c r="S3913" t="s">
        <v>2631</v>
      </c>
      <c r="T3913" t="s">
        <v>2526</v>
      </c>
      <c r="U3913">
        <v>252100</v>
      </c>
      <c r="V3913" t="s">
        <v>18466</v>
      </c>
      <c r="W3913" t="s">
        <v>2651</v>
      </c>
      <c r="X3913" t="s">
        <v>1970</v>
      </c>
      <c r="Y3913" t="s">
        <v>1971</v>
      </c>
      <c r="AA3913" t="s">
        <v>1972</v>
      </c>
      <c r="AB3913" t="s">
        <v>1973</v>
      </c>
      <c r="AE3913">
        <v>-41.29763166</v>
      </c>
      <c r="AF3913">
        <v>174.77867936999999</v>
      </c>
      <c r="AG3913" s="175">
        <v>28</v>
      </c>
      <c r="AH3913" s="175">
        <v>0</v>
      </c>
      <c r="AI3913" s="175">
        <v>0</v>
      </c>
      <c r="AJ3913" s="175">
        <v>0</v>
      </c>
      <c r="AK3913" s="175">
        <v>3</v>
      </c>
      <c r="AL3913" s="175">
        <v>9</v>
      </c>
      <c r="AM3913" s="175">
        <v>10</v>
      </c>
      <c r="AN3913" s="175">
        <v>1</v>
      </c>
      <c r="AO3913" s="175">
        <v>23</v>
      </c>
      <c r="AP3913" s="175">
        <v>8</v>
      </c>
      <c r="AQ3913" s="175">
        <v>2</v>
      </c>
      <c r="AR3913" s="175">
        <v>1</v>
      </c>
      <c r="AS3913" s="175">
        <v>11</v>
      </c>
      <c r="AT3913" s="175">
        <v>8</v>
      </c>
    </row>
    <row r="3914" spans="1:46">
      <c r="A3914">
        <v>60331</v>
      </c>
      <c r="B3914" t="s">
        <v>21438</v>
      </c>
      <c r="C3914" t="s">
        <v>21439</v>
      </c>
      <c r="D3914" t="s">
        <v>21440</v>
      </c>
      <c r="E3914" t="s">
        <v>21441</v>
      </c>
      <c r="F3914" t="s">
        <v>2622</v>
      </c>
      <c r="G3914" t="s">
        <v>2368</v>
      </c>
      <c r="H3914" t="s">
        <v>449</v>
      </c>
      <c r="J3914" t="s">
        <v>605</v>
      </c>
      <c r="K3914" t="s">
        <v>606</v>
      </c>
      <c r="M3914" t="s">
        <v>2366</v>
      </c>
      <c r="N3914" t="s">
        <v>657</v>
      </c>
      <c r="O3914" t="s">
        <v>2614</v>
      </c>
      <c r="P3914" t="s">
        <v>739</v>
      </c>
      <c r="Q3914" t="s">
        <v>516</v>
      </c>
      <c r="R3914" t="s">
        <v>2368</v>
      </c>
      <c r="S3914" t="s">
        <v>2623</v>
      </c>
      <c r="T3914" t="s">
        <v>1568</v>
      </c>
      <c r="U3914">
        <v>247900</v>
      </c>
      <c r="V3914" t="s">
        <v>2856</v>
      </c>
      <c r="W3914" t="s">
        <v>2625</v>
      </c>
      <c r="X3914" t="s">
        <v>10497</v>
      </c>
      <c r="Y3914" t="s">
        <v>4014</v>
      </c>
      <c r="Z3914" t="s">
        <v>4015</v>
      </c>
      <c r="AA3914" t="s">
        <v>4016</v>
      </c>
      <c r="AE3914">
        <v>-41.177483250000002</v>
      </c>
      <c r="AF3914">
        <v>174.82510371000001</v>
      </c>
      <c r="AG3914" s="175">
        <v>85</v>
      </c>
      <c r="AH3914" s="175">
        <v>21</v>
      </c>
      <c r="AI3914" s="175">
        <v>2</v>
      </c>
      <c r="AJ3914" s="175">
        <v>21</v>
      </c>
      <c r="AK3914" s="175">
        <v>21</v>
      </c>
      <c r="AL3914" s="175">
        <v>28</v>
      </c>
      <c r="AM3914" s="175">
        <v>22</v>
      </c>
      <c r="AN3914" s="175">
        <v>0</v>
      </c>
      <c r="AO3914" s="175">
        <v>94</v>
      </c>
      <c r="AP3914" s="175">
        <v>54</v>
      </c>
      <c r="AQ3914" s="175">
        <v>7</v>
      </c>
      <c r="AR3914" s="175">
        <v>12</v>
      </c>
      <c r="AS3914" s="175">
        <v>39</v>
      </c>
      <c r="AT3914" s="175">
        <v>10</v>
      </c>
    </row>
    <row r="3915" spans="1:46">
      <c r="A3915">
        <v>60333</v>
      </c>
      <c r="B3915" t="s">
        <v>21442</v>
      </c>
      <c r="C3915" t="s">
        <v>21443</v>
      </c>
      <c r="D3915" t="s">
        <v>21444</v>
      </c>
      <c r="E3915" t="s">
        <v>21445</v>
      </c>
      <c r="F3915" t="s">
        <v>12226</v>
      </c>
      <c r="G3915" t="s">
        <v>2368</v>
      </c>
      <c r="H3915" t="s">
        <v>449</v>
      </c>
      <c r="J3915" t="s">
        <v>605</v>
      </c>
      <c r="K3915" t="s">
        <v>606</v>
      </c>
      <c r="M3915" t="s">
        <v>2366</v>
      </c>
      <c r="N3915" t="s">
        <v>657</v>
      </c>
      <c r="O3915" t="s">
        <v>2614</v>
      </c>
      <c r="P3915" t="s">
        <v>739</v>
      </c>
      <c r="Q3915" t="s">
        <v>516</v>
      </c>
      <c r="R3915" t="s">
        <v>2368</v>
      </c>
      <c r="S3915" t="s">
        <v>2631</v>
      </c>
      <c r="T3915" t="s">
        <v>2526</v>
      </c>
      <c r="U3915">
        <v>250902</v>
      </c>
      <c r="V3915" t="s">
        <v>19058</v>
      </c>
      <c r="W3915" t="s">
        <v>2651</v>
      </c>
      <c r="X3915" t="s">
        <v>21446</v>
      </c>
      <c r="Y3915" t="s">
        <v>21447</v>
      </c>
      <c r="Z3915" t="s">
        <v>12226</v>
      </c>
      <c r="AA3915" t="s">
        <v>21008</v>
      </c>
      <c r="AE3915">
        <v>-41.274829699999998</v>
      </c>
      <c r="AF3915">
        <v>174.77696589999999</v>
      </c>
      <c r="AG3915" s="175">
        <v>47</v>
      </c>
      <c r="AH3915" s="175">
        <v>19</v>
      </c>
      <c r="AI3915" s="175">
        <v>8</v>
      </c>
      <c r="AJ3915" s="175">
        <v>12</v>
      </c>
      <c r="AK3915" s="175">
        <v>12</v>
      </c>
      <c r="AL3915" s="175">
        <v>11</v>
      </c>
      <c r="AM3915" s="175">
        <v>8</v>
      </c>
      <c r="AN3915" s="175">
        <v>0</v>
      </c>
      <c r="AO3915" s="175">
        <v>51</v>
      </c>
      <c r="AP3915" s="175">
        <v>41</v>
      </c>
      <c r="AQ3915" s="175">
        <v>8</v>
      </c>
      <c r="AR3915" s="175">
        <v>4</v>
      </c>
      <c r="AS3915" s="175">
        <v>9</v>
      </c>
      <c r="AT3915" s="175">
        <v>3</v>
      </c>
    </row>
    <row r="3916" spans="1:46">
      <c r="A3916">
        <v>60334</v>
      </c>
      <c r="B3916" t="s">
        <v>21448</v>
      </c>
      <c r="C3916" t="s">
        <v>21449</v>
      </c>
      <c r="E3916" t="s">
        <v>21450</v>
      </c>
      <c r="G3916" t="s">
        <v>2752</v>
      </c>
      <c r="H3916" t="s">
        <v>449</v>
      </c>
      <c r="J3916" t="s">
        <v>4032</v>
      </c>
      <c r="K3916" t="s">
        <v>606</v>
      </c>
      <c r="M3916" t="s">
        <v>2366</v>
      </c>
      <c r="N3916" t="s">
        <v>657</v>
      </c>
      <c r="O3916" t="s">
        <v>2753</v>
      </c>
      <c r="P3916" t="s">
        <v>1347</v>
      </c>
      <c r="Q3916" t="s">
        <v>516</v>
      </c>
      <c r="R3916" t="s">
        <v>2368</v>
      </c>
      <c r="S3916" t="s">
        <v>2148</v>
      </c>
      <c r="T3916" t="s">
        <v>1568</v>
      </c>
      <c r="U3916">
        <v>237800</v>
      </c>
      <c r="V3916" t="s">
        <v>2754</v>
      </c>
      <c r="W3916" t="s">
        <v>2755</v>
      </c>
      <c r="X3916" t="s">
        <v>17966</v>
      </c>
      <c r="Y3916" t="s">
        <v>4807</v>
      </c>
      <c r="Z3916" t="s">
        <v>2473</v>
      </c>
      <c r="AA3916" t="s">
        <v>4808</v>
      </c>
      <c r="AE3916">
        <v>-40.90848252</v>
      </c>
      <c r="AF3916">
        <v>175.00496514</v>
      </c>
      <c r="AG3916" s="175">
        <v>30</v>
      </c>
      <c r="AH3916" s="175">
        <v>0</v>
      </c>
      <c r="AI3916" s="175">
        <v>0</v>
      </c>
      <c r="AJ3916" s="175">
        <v>0</v>
      </c>
      <c r="AK3916" s="175">
        <v>8</v>
      </c>
      <c r="AL3916" s="175">
        <v>5</v>
      </c>
      <c r="AM3916" s="175">
        <v>8</v>
      </c>
      <c r="AN3916" s="175">
        <v>2</v>
      </c>
      <c r="AO3916" s="175">
        <v>23</v>
      </c>
      <c r="AP3916" s="175">
        <v>11</v>
      </c>
      <c r="AQ3916" s="175">
        <v>9</v>
      </c>
      <c r="AR3916" s="175">
        <v>8</v>
      </c>
      <c r="AS3916" s="175">
        <v>5</v>
      </c>
      <c r="AT3916" s="175">
        <v>0</v>
      </c>
    </row>
    <row r="3917" spans="1:46">
      <c r="A3917">
        <v>60338</v>
      </c>
      <c r="B3917" t="s">
        <v>21451</v>
      </c>
      <c r="C3917" t="s">
        <v>21452</v>
      </c>
      <c r="D3917" t="s">
        <v>21453</v>
      </c>
      <c r="E3917" t="s">
        <v>21454</v>
      </c>
      <c r="F3917" t="s">
        <v>2708</v>
      </c>
      <c r="G3917" t="s">
        <v>2604</v>
      </c>
      <c r="H3917" t="s">
        <v>469</v>
      </c>
      <c r="I3917" t="s">
        <v>5063</v>
      </c>
      <c r="J3917" t="s">
        <v>605</v>
      </c>
      <c r="K3917" t="s">
        <v>606</v>
      </c>
      <c r="M3917" t="s">
        <v>2366</v>
      </c>
      <c r="N3917" t="s">
        <v>608</v>
      </c>
      <c r="O3917" t="s">
        <v>2605</v>
      </c>
      <c r="P3917" t="s">
        <v>670</v>
      </c>
      <c r="Q3917" t="s">
        <v>516</v>
      </c>
      <c r="R3917" t="s">
        <v>2368</v>
      </c>
      <c r="S3917" t="s">
        <v>2606</v>
      </c>
      <c r="T3917" t="s">
        <v>1568</v>
      </c>
      <c r="U3917">
        <v>240700</v>
      </c>
      <c r="V3917" t="s">
        <v>19132</v>
      </c>
      <c r="W3917" t="s">
        <v>2607</v>
      </c>
      <c r="X3917" t="s">
        <v>21455</v>
      </c>
      <c r="Y3917" t="s">
        <v>21456</v>
      </c>
      <c r="Z3917" t="s">
        <v>2708</v>
      </c>
      <c r="AA3917" t="s">
        <v>21457</v>
      </c>
      <c r="AB3917" t="s">
        <v>21458</v>
      </c>
      <c r="AC3917">
        <v>99074</v>
      </c>
      <c r="AD3917" t="s">
        <v>2710</v>
      </c>
      <c r="AE3917">
        <v>-41.140365330000002</v>
      </c>
      <c r="AF3917">
        <v>174.85926805</v>
      </c>
      <c r="AG3917" s="175">
        <v>30</v>
      </c>
      <c r="AH3917" s="175">
        <v>7</v>
      </c>
      <c r="AI3917" s="175">
        <v>0</v>
      </c>
      <c r="AJ3917" s="175">
        <v>4</v>
      </c>
      <c r="AK3917" s="175">
        <v>12</v>
      </c>
      <c r="AL3917" s="175">
        <v>8</v>
      </c>
      <c r="AM3917" s="175">
        <v>4</v>
      </c>
      <c r="AN3917" s="175">
        <v>0</v>
      </c>
      <c r="AO3917" s="175">
        <v>28</v>
      </c>
      <c r="AP3917" s="175">
        <v>1</v>
      </c>
      <c r="AQ3917" s="175">
        <v>6</v>
      </c>
      <c r="AR3917" s="175">
        <v>27</v>
      </c>
      <c r="AS3917" s="175">
        <v>0</v>
      </c>
      <c r="AT3917" s="175">
        <v>1</v>
      </c>
    </row>
    <row r="3918" spans="1:46">
      <c r="A3918">
        <v>60340</v>
      </c>
      <c r="B3918" t="s">
        <v>21459</v>
      </c>
      <c r="C3918" t="s">
        <v>21460</v>
      </c>
      <c r="D3918" t="s">
        <v>21461</v>
      </c>
      <c r="E3918" t="s">
        <v>21462</v>
      </c>
      <c r="G3918" t="s">
        <v>2877</v>
      </c>
      <c r="H3918" t="s">
        <v>449</v>
      </c>
      <c r="J3918" t="s">
        <v>605</v>
      </c>
      <c r="K3918" t="s">
        <v>606</v>
      </c>
      <c r="M3918" t="s">
        <v>2366</v>
      </c>
      <c r="N3918" t="s">
        <v>657</v>
      </c>
      <c r="O3918" t="s">
        <v>2753</v>
      </c>
      <c r="P3918" t="s">
        <v>1347</v>
      </c>
      <c r="Q3918" t="s">
        <v>516</v>
      </c>
      <c r="R3918" t="s">
        <v>2368</v>
      </c>
      <c r="S3918" t="s">
        <v>2148</v>
      </c>
      <c r="T3918" t="s">
        <v>1568</v>
      </c>
      <c r="U3918">
        <v>238100</v>
      </c>
      <c r="V3918" t="s">
        <v>20877</v>
      </c>
      <c r="W3918" t="s">
        <v>2879</v>
      </c>
      <c r="X3918" t="s">
        <v>10497</v>
      </c>
      <c r="Y3918" t="s">
        <v>4014</v>
      </c>
      <c r="Z3918" t="s">
        <v>4015</v>
      </c>
      <c r="AA3918" t="s">
        <v>4016</v>
      </c>
      <c r="AE3918">
        <v>-40.876802329999997</v>
      </c>
      <c r="AF3918">
        <v>175.07147721000001</v>
      </c>
      <c r="AG3918" s="175">
        <v>40</v>
      </c>
      <c r="AH3918" s="175">
        <v>15</v>
      </c>
      <c r="AI3918" s="175">
        <v>2</v>
      </c>
      <c r="AJ3918" s="175">
        <v>8</v>
      </c>
      <c r="AK3918" s="175">
        <v>17</v>
      </c>
      <c r="AL3918" s="175">
        <v>11</v>
      </c>
      <c r="AM3918" s="175">
        <v>9</v>
      </c>
      <c r="AN3918" s="175">
        <v>1</v>
      </c>
      <c r="AO3918" s="175">
        <v>48</v>
      </c>
      <c r="AP3918" s="175">
        <v>35</v>
      </c>
      <c r="AQ3918" s="175">
        <v>16</v>
      </c>
      <c r="AR3918" s="175">
        <v>1</v>
      </c>
      <c r="AS3918" s="175">
        <v>9</v>
      </c>
      <c r="AT3918" s="175">
        <v>3</v>
      </c>
    </row>
    <row r="3919" spans="1:46">
      <c r="A3919">
        <v>60343</v>
      </c>
      <c r="B3919" t="s">
        <v>21463</v>
      </c>
      <c r="C3919" t="s">
        <v>21464</v>
      </c>
      <c r="D3919" t="s">
        <v>11991</v>
      </c>
      <c r="E3919" t="s">
        <v>21465</v>
      </c>
      <c r="G3919" t="s">
        <v>2396</v>
      </c>
      <c r="H3919" t="s">
        <v>449</v>
      </c>
      <c r="J3919" t="s">
        <v>4032</v>
      </c>
      <c r="K3919" t="s">
        <v>606</v>
      </c>
      <c r="M3919" t="s">
        <v>2366</v>
      </c>
      <c r="N3919" t="s">
        <v>643</v>
      </c>
      <c r="O3919" t="s">
        <v>2397</v>
      </c>
      <c r="P3919" t="s">
        <v>1347</v>
      </c>
      <c r="Q3919" t="s">
        <v>516</v>
      </c>
      <c r="R3919" t="s">
        <v>2368</v>
      </c>
      <c r="S3919" t="s">
        <v>2348</v>
      </c>
      <c r="T3919" t="s">
        <v>2165</v>
      </c>
      <c r="U3919">
        <v>256400</v>
      </c>
      <c r="V3919" t="s">
        <v>2424</v>
      </c>
      <c r="W3919" t="s">
        <v>2399</v>
      </c>
      <c r="X3919" t="s">
        <v>11993</v>
      </c>
      <c r="Y3919" t="s">
        <v>11994</v>
      </c>
      <c r="Z3919" t="s">
        <v>2418</v>
      </c>
      <c r="AA3919" t="s">
        <v>11995</v>
      </c>
      <c r="AB3919" t="s">
        <v>11996</v>
      </c>
      <c r="AC3919">
        <v>99204</v>
      </c>
      <c r="AD3919" t="s">
        <v>2400</v>
      </c>
      <c r="AE3919">
        <v>-40.955036569999997</v>
      </c>
      <c r="AF3919">
        <v>175.66076149</v>
      </c>
      <c r="AG3919" s="175">
        <v>39</v>
      </c>
      <c r="AH3919" s="175">
        <v>5</v>
      </c>
      <c r="AI3919" s="175">
        <v>0</v>
      </c>
      <c r="AJ3919" s="175">
        <v>0</v>
      </c>
      <c r="AK3919" s="175">
        <v>13</v>
      </c>
      <c r="AL3919" s="175">
        <v>17</v>
      </c>
      <c r="AM3919" s="175">
        <v>15</v>
      </c>
      <c r="AN3919" s="175">
        <v>0</v>
      </c>
      <c r="AO3919" s="175">
        <v>45</v>
      </c>
      <c r="AP3919" s="175">
        <v>37</v>
      </c>
      <c r="AQ3919" s="175">
        <v>10</v>
      </c>
      <c r="AR3919" s="175">
        <v>1</v>
      </c>
      <c r="AS3919" s="175">
        <v>2</v>
      </c>
      <c r="AT3919" s="175">
        <v>4</v>
      </c>
    </row>
    <row r="3920" spans="1:46">
      <c r="A3920">
        <v>60345</v>
      </c>
      <c r="B3920" t="s">
        <v>21466</v>
      </c>
      <c r="C3920" t="s">
        <v>21467</v>
      </c>
      <c r="D3920" t="s">
        <v>21468</v>
      </c>
      <c r="E3920" t="s">
        <v>21469</v>
      </c>
      <c r="F3920" t="s">
        <v>2746</v>
      </c>
      <c r="G3920" t="s">
        <v>2368</v>
      </c>
      <c r="H3920" t="s">
        <v>449</v>
      </c>
      <c r="J3920" t="s">
        <v>4032</v>
      </c>
      <c r="K3920" t="s">
        <v>606</v>
      </c>
      <c r="M3920" t="s">
        <v>2366</v>
      </c>
      <c r="N3920" t="s">
        <v>657</v>
      </c>
      <c r="O3920" t="s">
        <v>2614</v>
      </c>
      <c r="P3920" t="s">
        <v>739</v>
      </c>
      <c r="Q3920" t="s">
        <v>516</v>
      </c>
      <c r="R3920" t="s">
        <v>2368</v>
      </c>
      <c r="S3920" t="s">
        <v>2615</v>
      </c>
      <c r="T3920" t="s">
        <v>2526</v>
      </c>
      <c r="U3920">
        <v>252900</v>
      </c>
      <c r="V3920" t="s">
        <v>2747</v>
      </c>
      <c r="W3920" t="s">
        <v>2651</v>
      </c>
      <c r="X3920" t="s">
        <v>21470</v>
      </c>
      <c r="Y3920" t="s">
        <v>21471</v>
      </c>
      <c r="Z3920" t="s">
        <v>2675</v>
      </c>
      <c r="AA3920" t="s">
        <v>12467</v>
      </c>
      <c r="AB3920" t="s">
        <v>21472</v>
      </c>
      <c r="AE3920">
        <v>-41.30810829</v>
      </c>
      <c r="AF3920">
        <v>174.78533998</v>
      </c>
      <c r="AG3920" s="175">
        <v>39</v>
      </c>
      <c r="AH3920" s="175">
        <v>10</v>
      </c>
      <c r="AI3920" s="175">
        <v>1</v>
      </c>
      <c r="AJ3920" s="175">
        <v>10</v>
      </c>
      <c r="AK3920" s="175">
        <v>14</v>
      </c>
      <c r="AL3920" s="175">
        <v>10</v>
      </c>
      <c r="AM3920" s="175">
        <v>7</v>
      </c>
      <c r="AN3920" s="175">
        <v>0</v>
      </c>
      <c r="AO3920" s="175">
        <v>42</v>
      </c>
      <c r="AP3920" s="175">
        <v>24</v>
      </c>
      <c r="AQ3920" s="175">
        <v>3</v>
      </c>
      <c r="AR3920" s="175">
        <v>3</v>
      </c>
      <c r="AS3920" s="175">
        <v>21</v>
      </c>
      <c r="AT3920" s="175">
        <v>3</v>
      </c>
    </row>
    <row r="3921" spans="1:46">
      <c r="A3921">
        <v>60346</v>
      </c>
      <c r="B3921" t="s">
        <v>21473</v>
      </c>
      <c r="C3921" t="s">
        <v>21474</v>
      </c>
      <c r="D3921" t="s">
        <v>21475</v>
      </c>
      <c r="E3921" t="s">
        <v>21476</v>
      </c>
      <c r="F3921" t="s">
        <v>20509</v>
      </c>
      <c r="G3921" t="s">
        <v>2368</v>
      </c>
      <c r="H3921" t="s">
        <v>449</v>
      </c>
      <c r="J3921" t="s">
        <v>605</v>
      </c>
      <c r="K3921" t="s">
        <v>606</v>
      </c>
      <c r="M3921" t="s">
        <v>2366</v>
      </c>
      <c r="N3921" t="s">
        <v>657</v>
      </c>
      <c r="O3921" t="s">
        <v>2614</v>
      </c>
      <c r="P3921" t="s">
        <v>739</v>
      </c>
      <c r="Q3921" t="s">
        <v>516</v>
      </c>
      <c r="R3921" t="s">
        <v>2368</v>
      </c>
      <c r="S3921" t="s">
        <v>2631</v>
      </c>
      <c r="T3921" t="s">
        <v>2526</v>
      </c>
      <c r="U3921">
        <v>251601</v>
      </c>
      <c r="V3921" t="s">
        <v>21477</v>
      </c>
      <c r="W3921" t="s">
        <v>2651</v>
      </c>
      <c r="X3921" t="s">
        <v>21478</v>
      </c>
      <c r="Y3921" t="s">
        <v>21479</v>
      </c>
      <c r="Z3921" t="s">
        <v>15980</v>
      </c>
      <c r="AA3921" t="s">
        <v>4623</v>
      </c>
      <c r="AB3921" t="s">
        <v>21480</v>
      </c>
      <c r="AE3921">
        <v>-41.290759979999997</v>
      </c>
      <c r="AF3921">
        <v>174.77302104</v>
      </c>
      <c r="AG3921" s="175">
        <v>30</v>
      </c>
      <c r="AH3921" s="175">
        <v>0</v>
      </c>
      <c r="AI3921" s="175">
        <v>0</v>
      </c>
      <c r="AJ3921" s="175">
        <v>0</v>
      </c>
      <c r="AK3921" s="175">
        <v>2</v>
      </c>
      <c r="AL3921" s="175">
        <v>9</v>
      </c>
      <c r="AM3921" s="175">
        <v>17</v>
      </c>
      <c r="AN3921" s="175">
        <v>2</v>
      </c>
      <c r="AO3921" s="175">
        <v>30</v>
      </c>
      <c r="AP3921" s="175">
        <v>14</v>
      </c>
      <c r="AQ3921" s="175">
        <v>1</v>
      </c>
      <c r="AR3921" s="175">
        <v>1</v>
      </c>
      <c r="AS3921" s="175">
        <v>10</v>
      </c>
      <c r="AT3921" s="175">
        <v>9</v>
      </c>
    </row>
    <row r="3922" spans="1:46">
      <c r="A3922">
        <v>60347</v>
      </c>
      <c r="B3922" t="s">
        <v>21481</v>
      </c>
      <c r="C3922" t="s">
        <v>21482</v>
      </c>
      <c r="E3922" t="s">
        <v>21483</v>
      </c>
      <c r="F3922" t="s">
        <v>2761</v>
      </c>
      <c r="G3922" t="s">
        <v>2368</v>
      </c>
      <c r="H3922" t="s">
        <v>449</v>
      </c>
      <c r="I3922" t="s">
        <v>4023</v>
      </c>
      <c r="J3922" t="s">
        <v>4032</v>
      </c>
      <c r="K3922" t="s">
        <v>606</v>
      </c>
      <c r="M3922" t="s">
        <v>2366</v>
      </c>
      <c r="N3922" t="s">
        <v>657</v>
      </c>
      <c r="O3922" t="s">
        <v>2614</v>
      </c>
      <c r="P3922" t="s">
        <v>739</v>
      </c>
      <c r="Q3922" t="s">
        <v>516</v>
      </c>
      <c r="R3922" t="s">
        <v>2368</v>
      </c>
      <c r="S3922" t="s">
        <v>2623</v>
      </c>
      <c r="T3922" t="s">
        <v>2526</v>
      </c>
      <c r="U3922">
        <v>249600</v>
      </c>
      <c r="V3922" t="s">
        <v>2762</v>
      </c>
      <c r="W3922" t="s">
        <v>2639</v>
      </c>
      <c r="X3922" t="s">
        <v>21484</v>
      </c>
      <c r="Y3922" t="s">
        <v>21483</v>
      </c>
      <c r="Z3922" t="s">
        <v>2698</v>
      </c>
      <c r="AA3922" t="s">
        <v>20901</v>
      </c>
      <c r="AE3922">
        <v>-41.246754369999998</v>
      </c>
      <c r="AF3922">
        <v>174.78158368999999</v>
      </c>
      <c r="AG3922" s="175">
        <v>27</v>
      </c>
      <c r="AH3922" s="175">
        <v>0</v>
      </c>
      <c r="AI3922" s="175">
        <v>0</v>
      </c>
      <c r="AJ3922" s="175">
        <v>0</v>
      </c>
      <c r="AK3922" s="175">
        <v>10</v>
      </c>
      <c r="AL3922" s="175">
        <v>11</v>
      </c>
      <c r="AM3922" s="175">
        <v>20</v>
      </c>
      <c r="AN3922" s="175">
        <v>1</v>
      </c>
      <c r="AO3922" s="175">
        <v>42</v>
      </c>
      <c r="AP3922" s="175">
        <v>32</v>
      </c>
      <c r="AQ3922" s="175">
        <v>5</v>
      </c>
      <c r="AR3922" s="175">
        <v>1</v>
      </c>
      <c r="AS3922" s="175">
        <v>13</v>
      </c>
      <c r="AT3922" s="175">
        <v>3</v>
      </c>
    </row>
    <row r="3923" spans="1:46">
      <c r="A3923">
        <v>60349</v>
      </c>
      <c r="B3923" t="s">
        <v>21485</v>
      </c>
      <c r="C3923" t="s">
        <v>21486</v>
      </c>
      <c r="D3923" t="s">
        <v>21487</v>
      </c>
      <c r="E3923" t="s">
        <v>21488</v>
      </c>
      <c r="G3923" t="s">
        <v>2442</v>
      </c>
      <c r="H3923" t="s">
        <v>449</v>
      </c>
      <c r="J3923" t="s">
        <v>4032</v>
      </c>
      <c r="K3923" t="s">
        <v>606</v>
      </c>
      <c r="M3923" t="s">
        <v>2366</v>
      </c>
      <c r="N3923" t="s">
        <v>657</v>
      </c>
      <c r="O3923" t="s">
        <v>2411</v>
      </c>
      <c r="P3923" t="s">
        <v>610</v>
      </c>
      <c r="Q3923" t="s">
        <v>516</v>
      </c>
      <c r="R3923" t="s">
        <v>2368</v>
      </c>
      <c r="S3923" t="s">
        <v>2348</v>
      </c>
      <c r="T3923" t="s">
        <v>2165</v>
      </c>
      <c r="U3923">
        <v>257700</v>
      </c>
      <c r="V3923" t="s">
        <v>2442</v>
      </c>
      <c r="W3923" t="s">
        <v>2443</v>
      </c>
      <c r="X3923" t="s">
        <v>21489</v>
      </c>
      <c r="Y3923" t="s">
        <v>4176</v>
      </c>
      <c r="AA3923" t="s">
        <v>4052</v>
      </c>
      <c r="AB3923" t="s">
        <v>21490</v>
      </c>
      <c r="AE3923">
        <v>-41.083762399999998</v>
      </c>
      <c r="AF3923">
        <v>175.45703040000001</v>
      </c>
      <c r="AG3923" s="175">
        <v>65</v>
      </c>
      <c r="AH3923" s="175">
        <v>25</v>
      </c>
      <c r="AI3923" s="175">
        <v>8</v>
      </c>
      <c r="AJ3923" s="175">
        <v>20</v>
      </c>
      <c r="AK3923" s="175">
        <v>23</v>
      </c>
      <c r="AL3923" s="175">
        <v>9</v>
      </c>
      <c r="AM3923" s="175">
        <v>19</v>
      </c>
      <c r="AN3923" s="175">
        <v>0</v>
      </c>
      <c r="AO3923" s="175">
        <v>79</v>
      </c>
      <c r="AP3923" s="175">
        <v>70</v>
      </c>
      <c r="AQ3923" s="175">
        <v>7</v>
      </c>
      <c r="AR3923" s="175">
        <v>6</v>
      </c>
      <c r="AS3923" s="175">
        <v>6</v>
      </c>
      <c r="AT3923" s="175">
        <v>3</v>
      </c>
    </row>
    <row r="3924" spans="1:46">
      <c r="A3924">
        <v>60351</v>
      </c>
      <c r="B3924" t="s">
        <v>21491</v>
      </c>
      <c r="C3924" t="s">
        <v>21492</v>
      </c>
      <c r="D3924" t="s">
        <v>12748</v>
      </c>
      <c r="E3924" t="s">
        <v>21493</v>
      </c>
      <c r="G3924" t="s">
        <v>21494</v>
      </c>
      <c r="H3924" t="s">
        <v>449</v>
      </c>
      <c r="J3924" t="s">
        <v>4032</v>
      </c>
      <c r="K3924" t="s">
        <v>606</v>
      </c>
      <c r="M3924" t="s">
        <v>2366</v>
      </c>
      <c r="N3924" t="s">
        <v>657</v>
      </c>
      <c r="O3924" t="s">
        <v>2753</v>
      </c>
      <c r="P3924" t="s">
        <v>1347</v>
      </c>
      <c r="Q3924" t="s">
        <v>516</v>
      </c>
      <c r="R3924" t="s">
        <v>2368</v>
      </c>
      <c r="S3924" t="s">
        <v>2148</v>
      </c>
      <c r="T3924" t="s">
        <v>1568</v>
      </c>
      <c r="U3924">
        <v>236800</v>
      </c>
      <c r="V3924" t="s">
        <v>21494</v>
      </c>
      <c r="W3924" t="s">
        <v>2879</v>
      </c>
      <c r="X3924" t="s">
        <v>10355</v>
      </c>
      <c r="Y3924" t="s">
        <v>10356</v>
      </c>
      <c r="AA3924" t="s">
        <v>10357</v>
      </c>
      <c r="AB3924" t="s">
        <v>10358</v>
      </c>
      <c r="AE3924">
        <v>-40.865376189999999</v>
      </c>
      <c r="AF3924">
        <v>175.01939734000001</v>
      </c>
      <c r="AG3924" s="175">
        <v>25</v>
      </c>
      <c r="AH3924" s="175">
        <v>5</v>
      </c>
      <c r="AI3924" s="175">
        <v>0</v>
      </c>
      <c r="AJ3924" s="175">
        <v>10</v>
      </c>
      <c r="AK3924" s="175">
        <v>9</v>
      </c>
      <c r="AL3924" s="175">
        <v>8</v>
      </c>
      <c r="AM3924" s="175">
        <v>8</v>
      </c>
      <c r="AN3924" s="175">
        <v>0</v>
      </c>
      <c r="AO3924" s="175">
        <v>35</v>
      </c>
      <c r="AP3924" s="175">
        <v>34</v>
      </c>
      <c r="AQ3924" s="175">
        <v>6</v>
      </c>
      <c r="AR3924" s="175">
        <v>1</v>
      </c>
      <c r="AS3924" s="175">
        <v>2</v>
      </c>
      <c r="AT3924" s="175">
        <v>1</v>
      </c>
    </row>
    <row r="3925" spans="1:46">
      <c r="A3925">
        <v>60353</v>
      </c>
      <c r="B3925" t="s">
        <v>21495</v>
      </c>
      <c r="C3925" t="s">
        <v>21496</v>
      </c>
      <c r="D3925" t="s">
        <v>21497</v>
      </c>
      <c r="E3925" t="s">
        <v>21498</v>
      </c>
      <c r="F3925" t="s">
        <v>2675</v>
      </c>
      <c r="G3925" t="s">
        <v>2368</v>
      </c>
      <c r="H3925" t="s">
        <v>449</v>
      </c>
      <c r="J3925" t="s">
        <v>605</v>
      </c>
      <c r="K3925" t="s">
        <v>606</v>
      </c>
      <c r="M3925" t="s">
        <v>2366</v>
      </c>
      <c r="N3925" t="s">
        <v>657</v>
      </c>
      <c r="O3925" t="s">
        <v>2614</v>
      </c>
      <c r="P3925" t="s">
        <v>739</v>
      </c>
      <c r="Q3925" t="s">
        <v>516</v>
      </c>
      <c r="R3925" t="s">
        <v>2368</v>
      </c>
      <c r="S3925" t="s">
        <v>2623</v>
      </c>
      <c r="T3925" t="s">
        <v>2526</v>
      </c>
      <c r="U3925">
        <v>248400</v>
      </c>
      <c r="V3925" t="s">
        <v>2681</v>
      </c>
      <c r="W3925" t="s">
        <v>2625</v>
      </c>
      <c r="X3925" t="s">
        <v>10497</v>
      </c>
      <c r="Y3925" t="s">
        <v>4014</v>
      </c>
      <c r="Z3925" t="s">
        <v>4015</v>
      </c>
      <c r="AA3925" t="s">
        <v>4016</v>
      </c>
      <c r="AE3925">
        <v>-41.228853549999997</v>
      </c>
      <c r="AF3925">
        <v>174.79479334000001</v>
      </c>
      <c r="AG3925" s="175">
        <v>36</v>
      </c>
      <c r="AH3925" s="175">
        <v>0</v>
      </c>
      <c r="AI3925" s="175">
        <v>0</v>
      </c>
      <c r="AJ3925" s="175">
        <v>0</v>
      </c>
      <c r="AK3925" s="175">
        <v>4</v>
      </c>
      <c r="AL3925" s="175">
        <v>10</v>
      </c>
      <c r="AM3925" s="175">
        <v>21</v>
      </c>
      <c r="AN3925" s="175">
        <v>0</v>
      </c>
      <c r="AO3925" s="175">
        <v>35</v>
      </c>
      <c r="AP3925" s="175">
        <v>19</v>
      </c>
      <c r="AQ3925" s="175">
        <v>0</v>
      </c>
      <c r="AR3925" s="175">
        <v>4</v>
      </c>
      <c r="AS3925" s="175">
        <v>19</v>
      </c>
      <c r="AT3925" s="175">
        <v>5</v>
      </c>
    </row>
    <row r="3926" spans="1:46">
      <c r="A3926">
        <v>60354</v>
      </c>
      <c r="B3926" t="s">
        <v>21499</v>
      </c>
      <c r="C3926" t="s">
        <v>21500</v>
      </c>
      <c r="D3926" t="s">
        <v>21501</v>
      </c>
      <c r="E3926" t="s">
        <v>21502</v>
      </c>
      <c r="F3926" t="s">
        <v>2715</v>
      </c>
      <c r="G3926" t="s">
        <v>2368</v>
      </c>
      <c r="H3926" t="s">
        <v>449</v>
      </c>
      <c r="J3926" t="s">
        <v>4032</v>
      </c>
      <c r="K3926" t="s">
        <v>606</v>
      </c>
      <c r="M3926" t="s">
        <v>2366</v>
      </c>
      <c r="N3926" t="s">
        <v>657</v>
      </c>
      <c r="O3926" t="s">
        <v>2614</v>
      </c>
      <c r="P3926" t="s">
        <v>739</v>
      </c>
      <c r="Q3926" t="s">
        <v>516</v>
      </c>
      <c r="R3926" t="s">
        <v>2368</v>
      </c>
      <c r="S3926" t="s">
        <v>2615</v>
      </c>
      <c r="T3926" t="s">
        <v>2526</v>
      </c>
      <c r="U3926">
        <v>254100</v>
      </c>
      <c r="V3926" t="s">
        <v>2721</v>
      </c>
      <c r="W3926" t="s">
        <v>2669</v>
      </c>
      <c r="X3926" t="s">
        <v>21503</v>
      </c>
      <c r="Y3926" t="s">
        <v>21502</v>
      </c>
      <c r="Z3926" t="s">
        <v>2715</v>
      </c>
      <c r="AA3926" t="s">
        <v>19139</v>
      </c>
      <c r="AB3926" t="s">
        <v>21504</v>
      </c>
      <c r="AC3926">
        <v>99141</v>
      </c>
      <c r="AD3926" t="s">
        <v>2670</v>
      </c>
      <c r="AE3926">
        <v>-41.307171699999998</v>
      </c>
      <c r="AF3926">
        <v>174.82553763000001</v>
      </c>
      <c r="AG3926" s="175">
        <v>30</v>
      </c>
      <c r="AH3926" s="175">
        <v>0</v>
      </c>
      <c r="AI3926" s="175">
        <v>0</v>
      </c>
      <c r="AJ3926" s="175">
        <v>0</v>
      </c>
      <c r="AK3926" s="175">
        <v>0</v>
      </c>
      <c r="AL3926" s="175">
        <v>7</v>
      </c>
      <c r="AM3926" s="175">
        <v>10</v>
      </c>
      <c r="AN3926" s="175">
        <v>2</v>
      </c>
      <c r="AO3926" s="175">
        <v>19</v>
      </c>
      <c r="AP3926" s="175">
        <v>16</v>
      </c>
      <c r="AQ3926" s="175">
        <v>2</v>
      </c>
      <c r="AR3926" s="175">
        <v>1</v>
      </c>
      <c r="AS3926" s="175">
        <v>5</v>
      </c>
      <c r="AT3926" s="175">
        <v>2</v>
      </c>
    </row>
    <row r="3927" spans="1:46">
      <c r="A3927">
        <v>60355</v>
      </c>
      <c r="B3927" t="s">
        <v>21505</v>
      </c>
      <c r="C3927" t="s">
        <v>21506</v>
      </c>
      <c r="D3927" t="s">
        <v>21507</v>
      </c>
      <c r="E3927" t="s">
        <v>21508</v>
      </c>
      <c r="G3927" t="s">
        <v>2365</v>
      </c>
      <c r="H3927" t="s">
        <v>449</v>
      </c>
      <c r="J3927" t="s">
        <v>4032</v>
      </c>
      <c r="K3927" t="s">
        <v>606</v>
      </c>
      <c r="M3927" t="s">
        <v>2366</v>
      </c>
      <c r="N3927" t="s">
        <v>657</v>
      </c>
      <c r="O3927" t="s">
        <v>2367</v>
      </c>
      <c r="P3927" t="s">
        <v>610</v>
      </c>
      <c r="Q3927" t="s">
        <v>553</v>
      </c>
      <c r="R3927" t="s">
        <v>2368</v>
      </c>
      <c r="S3927" t="s">
        <v>2348</v>
      </c>
      <c r="T3927" t="s">
        <v>2165</v>
      </c>
      <c r="U3927">
        <v>233300</v>
      </c>
      <c r="V3927" t="s">
        <v>2380</v>
      </c>
      <c r="W3927" t="s">
        <v>2370</v>
      </c>
      <c r="X3927" t="s">
        <v>21509</v>
      </c>
      <c r="Y3927" t="s">
        <v>21510</v>
      </c>
      <c r="AA3927" t="s">
        <v>21511</v>
      </c>
      <c r="AB3927" t="s">
        <v>21512</v>
      </c>
      <c r="AC3927">
        <v>99047</v>
      </c>
      <c r="AD3927" t="s">
        <v>2375</v>
      </c>
      <c r="AE3927">
        <v>-40.2059414</v>
      </c>
      <c r="AF3927">
        <v>176.10491469999999</v>
      </c>
      <c r="AG3927" s="175">
        <v>32</v>
      </c>
      <c r="AH3927" s="175">
        <v>12</v>
      </c>
      <c r="AI3927" s="175">
        <v>0</v>
      </c>
      <c r="AJ3927" s="175">
        <v>11</v>
      </c>
      <c r="AK3927" s="175">
        <v>6</v>
      </c>
      <c r="AL3927" s="175">
        <v>7</v>
      </c>
      <c r="AM3927" s="175">
        <v>10</v>
      </c>
      <c r="AN3927" s="175">
        <v>0</v>
      </c>
      <c r="AO3927" s="175">
        <v>34</v>
      </c>
      <c r="AP3927" s="175">
        <v>32</v>
      </c>
      <c r="AQ3927" s="175">
        <v>7</v>
      </c>
      <c r="AR3927" s="175">
        <v>0</v>
      </c>
      <c r="AS3927" s="175">
        <v>1</v>
      </c>
      <c r="AT3927" s="175">
        <v>0</v>
      </c>
    </row>
    <row r="3928" spans="1:46">
      <c r="A3928">
        <v>60357</v>
      </c>
      <c r="B3928" t="s">
        <v>21513</v>
      </c>
      <c r="C3928" t="s">
        <v>21514</v>
      </c>
      <c r="D3928" t="s">
        <v>21515</v>
      </c>
      <c r="E3928" t="s">
        <v>21516</v>
      </c>
      <c r="F3928" t="s">
        <v>12226</v>
      </c>
      <c r="G3928" t="s">
        <v>2368</v>
      </c>
      <c r="H3928" t="s">
        <v>449</v>
      </c>
      <c r="I3928" t="s">
        <v>4298</v>
      </c>
      <c r="J3928" t="s">
        <v>605</v>
      </c>
      <c r="K3928" t="s">
        <v>606</v>
      </c>
      <c r="M3928" t="s">
        <v>2366</v>
      </c>
      <c r="N3928" t="s">
        <v>657</v>
      </c>
      <c r="O3928" t="s">
        <v>2614</v>
      </c>
      <c r="P3928" t="s">
        <v>739</v>
      </c>
      <c r="Q3928" t="s">
        <v>516</v>
      </c>
      <c r="R3928" t="s">
        <v>2368</v>
      </c>
      <c r="S3928" t="s">
        <v>2631</v>
      </c>
      <c r="T3928" t="s">
        <v>2526</v>
      </c>
      <c r="U3928">
        <v>250902</v>
      </c>
      <c r="V3928" t="s">
        <v>19058</v>
      </c>
      <c r="W3928" t="s">
        <v>2651</v>
      </c>
      <c r="X3928" t="s">
        <v>21517</v>
      </c>
      <c r="Y3928" t="s">
        <v>21516</v>
      </c>
      <c r="Z3928" t="s">
        <v>12226</v>
      </c>
      <c r="AA3928" t="s">
        <v>21008</v>
      </c>
      <c r="AB3928" t="s">
        <v>21518</v>
      </c>
      <c r="AC3928">
        <v>99110</v>
      </c>
      <c r="AD3928" t="s">
        <v>4304</v>
      </c>
      <c r="AE3928">
        <v>-41.274617800000001</v>
      </c>
      <c r="AF3928">
        <v>174.782903</v>
      </c>
      <c r="AG3928" s="175">
        <v>20</v>
      </c>
      <c r="AH3928" s="175">
        <v>0</v>
      </c>
      <c r="AI3928" s="175">
        <v>0</v>
      </c>
      <c r="AJ3928" s="175">
        <v>0</v>
      </c>
      <c r="AK3928" s="175">
        <v>4</v>
      </c>
      <c r="AL3928" s="175">
        <v>8</v>
      </c>
      <c r="AM3928" s="175">
        <v>2</v>
      </c>
      <c r="AN3928" s="175">
        <v>0</v>
      </c>
      <c r="AO3928" s="175">
        <v>14</v>
      </c>
      <c r="AP3928" s="175">
        <v>11</v>
      </c>
      <c r="AQ3928" s="175">
        <v>1</v>
      </c>
      <c r="AR3928" s="175">
        <v>2</v>
      </c>
      <c r="AS3928" s="175">
        <v>4</v>
      </c>
      <c r="AT3928" s="175">
        <v>0</v>
      </c>
    </row>
    <row r="3929" spans="1:46">
      <c r="A3929">
        <v>60362</v>
      </c>
      <c r="B3929" t="s">
        <v>21519</v>
      </c>
      <c r="C3929" t="s">
        <v>21520</v>
      </c>
      <c r="D3929" t="s">
        <v>21521</v>
      </c>
      <c r="E3929" t="s">
        <v>21522</v>
      </c>
      <c r="F3929" t="s">
        <v>20566</v>
      </c>
      <c r="G3929" t="s">
        <v>2505</v>
      </c>
      <c r="H3929" t="s">
        <v>449</v>
      </c>
      <c r="I3929" t="s">
        <v>4023</v>
      </c>
      <c r="J3929" t="s">
        <v>4032</v>
      </c>
      <c r="K3929" t="s">
        <v>606</v>
      </c>
      <c r="M3929" t="s">
        <v>2366</v>
      </c>
      <c r="N3929" t="s">
        <v>643</v>
      </c>
      <c r="O3929" t="s">
        <v>2506</v>
      </c>
      <c r="P3929" t="s">
        <v>739</v>
      </c>
      <c r="Q3929" t="s">
        <v>516</v>
      </c>
      <c r="R3929" t="s">
        <v>2368</v>
      </c>
      <c r="S3929" t="s">
        <v>2451</v>
      </c>
      <c r="T3929" t="s">
        <v>2165</v>
      </c>
      <c r="U3929">
        <v>245200</v>
      </c>
      <c r="V3929" t="s">
        <v>2520</v>
      </c>
      <c r="W3929" t="s">
        <v>2521</v>
      </c>
      <c r="X3929" t="s">
        <v>17966</v>
      </c>
      <c r="Y3929" t="s">
        <v>4807</v>
      </c>
      <c r="Z3929" t="s">
        <v>2473</v>
      </c>
      <c r="AA3929" t="s">
        <v>4808</v>
      </c>
      <c r="AB3929" t="s">
        <v>18686</v>
      </c>
      <c r="AE3929">
        <v>-41.192265470000002</v>
      </c>
      <c r="AF3929">
        <v>174.94910791000001</v>
      </c>
      <c r="AG3929" s="175">
        <v>44</v>
      </c>
      <c r="AH3929" s="175">
        <v>22</v>
      </c>
      <c r="AI3929" s="175">
        <v>1</v>
      </c>
      <c r="AJ3929" s="175">
        <v>8</v>
      </c>
      <c r="AK3929" s="175">
        <v>9</v>
      </c>
      <c r="AL3929" s="175">
        <v>7</v>
      </c>
      <c r="AM3929" s="175">
        <v>10</v>
      </c>
      <c r="AN3929" s="175">
        <v>0</v>
      </c>
      <c r="AO3929" s="175">
        <v>35</v>
      </c>
      <c r="AP3929" s="175">
        <v>10</v>
      </c>
      <c r="AQ3929" s="175">
        <v>6</v>
      </c>
      <c r="AR3929" s="175">
        <v>5</v>
      </c>
      <c r="AS3929" s="175">
        <v>21</v>
      </c>
      <c r="AT3929" s="175">
        <v>2</v>
      </c>
    </row>
    <row r="3930" spans="1:46">
      <c r="A3930">
        <v>60366</v>
      </c>
      <c r="B3930" t="s">
        <v>21523</v>
      </c>
      <c r="C3930" t="s">
        <v>21524</v>
      </c>
      <c r="D3930" t="s">
        <v>15431</v>
      </c>
      <c r="E3930" t="s">
        <v>21525</v>
      </c>
      <c r="F3930" t="s">
        <v>2448</v>
      </c>
      <c r="G3930" t="s">
        <v>2449</v>
      </c>
      <c r="H3930" t="s">
        <v>449</v>
      </c>
      <c r="J3930" t="s">
        <v>4032</v>
      </c>
      <c r="K3930" t="s">
        <v>606</v>
      </c>
      <c r="M3930" t="s">
        <v>2366</v>
      </c>
      <c r="N3930" t="s">
        <v>657</v>
      </c>
      <c r="O3930" t="s">
        <v>2450</v>
      </c>
      <c r="P3930" t="s">
        <v>670</v>
      </c>
      <c r="Q3930" t="s">
        <v>516</v>
      </c>
      <c r="R3930" t="s">
        <v>2368</v>
      </c>
      <c r="S3930" t="s">
        <v>2451</v>
      </c>
      <c r="T3930" t="s">
        <v>2165</v>
      </c>
      <c r="U3930">
        <v>241400</v>
      </c>
      <c r="V3930" t="s">
        <v>2473</v>
      </c>
      <c r="W3930" t="s">
        <v>1734</v>
      </c>
      <c r="X3930" t="s">
        <v>10355</v>
      </c>
      <c r="Y3930" t="s">
        <v>10356</v>
      </c>
      <c r="AA3930" t="s">
        <v>10357</v>
      </c>
      <c r="AB3930" t="s">
        <v>10358</v>
      </c>
      <c r="AE3930">
        <v>-41.143394999999998</v>
      </c>
      <c r="AF3930">
        <v>175.01990402999999</v>
      </c>
      <c r="AG3930" s="175">
        <v>37</v>
      </c>
      <c r="AH3930" s="175">
        <v>15</v>
      </c>
      <c r="AI3930" s="175">
        <v>5</v>
      </c>
      <c r="AJ3930" s="175">
        <v>10</v>
      </c>
      <c r="AK3930" s="175">
        <v>7</v>
      </c>
      <c r="AL3930" s="175">
        <v>16</v>
      </c>
      <c r="AM3930" s="175">
        <v>7</v>
      </c>
      <c r="AN3930" s="175">
        <v>0</v>
      </c>
      <c r="AO3930" s="175">
        <v>45</v>
      </c>
      <c r="AP3930" s="175">
        <v>37</v>
      </c>
      <c r="AQ3930" s="175">
        <v>9</v>
      </c>
      <c r="AR3930" s="175">
        <v>4</v>
      </c>
      <c r="AS3930" s="175">
        <v>8</v>
      </c>
      <c r="AT3930" s="175">
        <v>2</v>
      </c>
    </row>
    <row r="3931" spans="1:46">
      <c r="A3931">
        <v>60368</v>
      </c>
      <c r="B3931" t="s">
        <v>21526</v>
      </c>
      <c r="C3931" t="s">
        <v>21527</v>
      </c>
      <c r="D3931" t="s">
        <v>21528</v>
      </c>
      <c r="E3931" t="s">
        <v>21529</v>
      </c>
      <c r="F3931" t="s">
        <v>2613</v>
      </c>
      <c r="G3931" t="s">
        <v>2368</v>
      </c>
      <c r="H3931" t="s">
        <v>449</v>
      </c>
      <c r="J3931" t="s">
        <v>4032</v>
      </c>
      <c r="K3931" t="s">
        <v>606</v>
      </c>
      <c r="M3931" t="s">
        <v>2366</v>
      </c>
      <c r="N3931" t="s">
        <v>4586</v>
      </c>
      <c r="O3931" t="s">
        <v>2614</v>
      </c>
      <c r="P3931" t="s">
        <v>739</v>
      </c>
      <c r="Q3931" t="s">
        <v>516</v>
      </c>
      <c r="R3931" t="s">
        <v>2368</v>
      </c>
      <c r="S3931" t="s">
        <v>2615</v>
      </c>
      <c r="T3931" t="s">
        <v>2526</v>
      </c>
      <c r="U3931">
        <v>253300</v>
      </c>
      <c r="V3931" t="s">
        <v>2613</v>
      </c>
      <c r="W3931" t="s">
        <v>2616</v>
      </c>
      <c r="X3931" t="s">
        <v>21530</v>
      </c>
      <c r="Y3931" t="s">
        <v>21531</v>
      </c>
      <c r="AA3931" t="s">
        <v>21532</v>
      </c>
      <c r="AB3931" t="s">
        <v>21527</v>
      </c>
      <c r="AE3931">
        <v>-41.323616199999996</v>
      </c>
      <c r="AF3931">
        <v>174.77468128000001</v>
      </c>
      <c r="AG3931" s="175">
        <v>29</v>
      </c>
      <c r="AH3931" s="175">
        <v>0</v>
      </c>
      <c r="AI3931" s="175">
        <v>0</v>
      </c>
      <c r="AJ3931" s="175">
        <v>0</v>
      </c>
      <c r="AK3931" s="175">
        <v>5</v>
      </c>
      <c r="AL3931" s="175">
        <v>5</v>
      </c>
      <c r="AM3931" s="175">
        <v>8</v>
      </c>
      <c r="AN3931" s="175">
        <v>0</v>
      </c>
      <c r="AO3931" s="175">
        <v>18</v>
      </c>
      <c r="AP3931" s="175">
        <v>3</v>
      </c>
      <c r="AQ3931" s="175">
        <v>0</v>
      </c>
      <c r="AR3931" s="175">
        <v>0</v>
      </c>
      <c r="AS3931" s="175">
        <v>12</v>
      </c>
      <c r="AT3931" s="175">
        <v>3</v>
      </c>
    </row>
    <row r="3932" spans="1:46">
      <c r="A3932">
        <v>60379</v>
      </c>
      <c r="B3932" t="s">
        <v>21533</v>
      </c>
      <c r="C3932" t="s">
        <v>21534</v>
      </c>
      <c r="D3932" t="s">
        <v>21535</v>
      </c>
      <c r="E3932" t="s">
        <v>21536</v>
      </c>
      <c r="F3932" t="s">
        <v>2637</v>
      </c>
      <c r="G3932" t="s">
        <v>2368</v>
      </c>
      <c r="H3932" t="s">
        <v>449</v>
      </c>
      <c r="J3932" t="s">
        <v>4032</v>
      </c>
      <c r="K3932" t="s">
        <v>606</v>
      </c>
      <c r="M3932" t="s">
        <v>2366</v>
      </c>
      <c r="N3932" t="s">
        <v>657</v>
      </c>
      <c r="O3932" t="s">
        <v>2614</v>
      </c>
      <c r="P3932" t="s">
        <v>739</v>
      </c>
      <c r="Q3932" t="s">
        <v>516</v>
      </c>
      <c r="R3932" t="s">
        <v>2368</v>
      </c>
      <c r="S3932" t="s">
        <v>2631</v>
      </c>
      <c r="T3932" t="s">
        <v>2526</v>
      </c>
      <c r="U3932">
        <v>249900</v>
      </c>
      <c r="V3932" t="s">
        <v>21537</v>
      </c>
      <c r="W3932" t="s">
        <v>2639</v>
      </c>
      <c r="X3932" t="s">
        <v>20391</v>
      </c>
      <c r="Y3932" t="s">
        <v>20392</v>
      </c>
      <c r="Z3932" t="s">
        <v>2675</v>
      </c>
      <c r="AA3932" t="s">
        <v>12467</v>
      </c>
      <c r="AC3932">
        <v>99213</v>
      </c>
      <c r="AD3932" t="s">
        <v>20393</v>
      </c>
      <c r="AE3932">
        <v>-41.28086862</v>
      </c>
      <c r="AF3932">
        <v>174.75130769</v>
      </c>
      <c r="AG3932" s="175">
        <v>22</v>
      </c>
      <c r="AH3932" s="175">
        <v>22</v>
      </c>
      <c r="AI3932" s="175">
        <v>0</v>
      </c>
      <c r="AJ3932" s="175">
        <v>22</v>
      </c>
      <c r="AK3932" s="175">
        <v>5</v>
      </c>
      <c r="AL3932" s="175">
        <v>0</v>
      </c>
      <c r="AM3932" s="175">
        <v>0</v>
      </c>
      <c r="AN3932" s="175">
        <v>0</v>
      </c>
      <c r="AO3932" s="175">
        <v>27</v>
      </c>
      <c r="AP3932" s="175">
        <v>27</v>
      </c>
      <c r="AQ3932" s="175">
        <v>6</v>
      </c>
      <c r="AR3932" s="175">
        <v>1</v>
      </c>
      <c r="AS3932" s="175">
        <v>0</v>
      </c>
      <c r="AT3932" s="175">
        <v>2</v>
      </c>
    </row>
    <row r="3933" spans="1:46">
      <c r="A3933">
        <v>60381</v>
      </c>
      <c r="B3933" t="s">
        <v>21538</v>
      </c>
      <c r="C3933" t="s">
        <v>21539</v>
      </c>
      <c r="E3933" t="s">
        <v>21540</v>
      </c>
      <c r="F3933" t="s">
        <v>2448</v>
      </c>
      <c r="G3933" t="s">
        <v>2449</v>
      </c>
      <c r="H3933" t="s">
        <v>449</v>
      </c>
      <c r="J3933" t="s">
        <v>4032</v>
      </c>
      <c r="K3933" t="s">
        <v>606</v>
      </c>
      <c r="M3933" t="s">
        <v>2366</v>
      </c>
      <c r="N3933" t="s">
        <v>657</v>
      </c>
      <c r="O3933" t="s">
        <v>2450</v>
      </c>
      <c r="P3933" t="s">
        <v>670</v>
      </c>
      <c r="Q3933" t="s">
        <v>516</v>
      </c>
      <c r="R3933" t="s">
        <v>2368</v>
      </c>
      <c r="S3933" t="s">
        <v>2451</v>
      </c>
      <c r="T3933" t="s">
        <v>2165</v>
      </c>
      <c r="U3933">
        <v>242000</v>
      </c>
      <c r="V3933" t="s">
        <v>2495</v>
      </c>
      <c r="W3933" t="s">
        <v>1734</v>
      </c>
      <c r="X3933" t="s">
        <v>10355</v>
      </c>
      <c r="Y3933" t="s">
        <v>10356</v>
      </c>
      <c r="AA3933" t="s">
        <v>10357</v>
      </c>
      <c r="AB3933" t="s">
        <v>10358</v>
      </c>
      <c r="AE3933">
        <v>-41.128156679999996</v>
      </c>
      <c r="AF3933">
        <v>175.04967556</v>
      </c>
      <c r="AG3933" s="175">
        <v>50</v>
      </c>
      <c r="AH3933" s="175">
        <v>20</v>
      </c>
      <c r="AI3933" s="175">
        <v>1</v>
      </c>
      <c r="AJ3933" s="175">
        <v>14</v>
      </c>
      <c r="AK3933" s="175">
        <v>13</v>
      </c>
      <c r="AL3933" s="175">
        <v>11</v>
      </c>
      <c r="AM3933" s="175">
        <v>13</v>
      </c>
      <c r="AN3933" s="175">
        <v>1</v>
      </c>
      <c r="AO3933" s="175">
        <v>53</v>
      </c>
      <c r="AP3933" s="175">
        <v>38</v>
      </c>
      <c r="AQ3933" s="175">
        <v>17</v>
      </c>
      <c r="AR3933" s="175">
        <v>8</v>
      </c>
      <c r="AS3933" s="175">
        <v>12</v>
      </c>
      <c r="AT3933" s="175">
        <v>2</v>
      </c>
    </row>
    <row r="3934" spans="1:46">
      <c r="A3934">
        <v>64002</v>
      </c>
      <c r="B3934" t="s">
        <v>21541</v>
      </c>
      <c r="C3934" t="s">
        <v>21542</v>
      </c>
      <c r="D3934" t="s">
        <v>21543</v>
      </c>
      <c r="E3934" t="s">
        <v>21544</v>
      </c>
      <c r="G3934" t="s">
        <v>2396</v>
      </c>
      <c r="H3934" t="s">
        <v>347</v>
      </c>
      <c r="J3934" t="s">
        <v>605</v>
      </c>
      <c r="K3934" t="s">
        <v>606</v>
      </c>
      <c r="L3934" t="s">
        <v>4273</v>
      </c>
      <c r="M3934" t="s">
        <v>1382</v>
      </c>
      <c r="N3934" t="s">
        <v>812</v>
      </c>
      <c r="O3934" t="s">
        <v>2397</v>
      </c>
      <c r="P3934" t="s">
        <v>658</v>
      </c>
      <c r="Q3934" t="s">
        <v>516</v>
      </c>
      <c r="R3934" t="s">
        <v>2164</v>
      </c>
      <c r="S3934" t="s">
        <v>2348</v>
      </c>
      <c r="T3934" t="s">
        <v>2165</v>
      </c>
      <c r="U3934">
        <v>256600</v>
      </c>
      <c r="V3934" t="s">
        <v>12188</v>
      </c>
      <c r="W3934" t="s">
        <v>2399</v>
      </c>
      <c r="X3934" t="s">
        <v>8868</v>
      </c>
      <c r="Y3934" t="s">
        <v>4276</v>
      </c>
      <c r="Z3934" t="s">
        <v>4277</v>
      </c>
      <c r="AA3934" t="s">
        <v>4278</v>
      </c>
      <c r="AB3934" t="s">
        <v>8869</v>
      </c>
      <c r="AE3934">
        <v>-40.943276560000001</v>
      </c>
      <c r="AF3934">
        <v>175.70120797000001</v>
      </c>
      <c r="AG3934" s="175">
        <v>38</v>
      </c>
      <c r="AH3934" s="175">
        <v>10</v>
      </c>
      <c r="AI3934" s="175">
        <v>2</v>
      </c>
      <c r="AJ3934" s="175">
        <v>8</v>
      </c>
      <c r="AK3934" s="175">
        <v>3</v>
      </c>
      <c r="AL3934" s="175">
        <v>10</v>
      </c>
      <c r="AM3934" s="175">
        <v>9</v>
      </c>
      <c r="AN3934" s="175">
        <v>0</v>
      </c>
      <c r="AO3934" s="175">
        <v>32</v>
      </c>
      <c r="AP3934" s="175">
        <v>0</v>
      </c>
      <c r="AQ3934" s="175">
        <v>28</v>
      </c>
      <c r="AR3934" s="175">
        <v>4</v>
      </c>
      <c r="AS3934" s="175">
        <v>0</v>
      </c>
      <c r="AT3934" s="175">
        <v>0</v>
      </c>
    </row>
    <row r="3935" spans="1:46">
      <c r="A3935">
        <v>64005</v>
      </c>
      <c r="B3935" t="s">
        <v>21545</v>
      </c>
      <c r="C3935" t="s">
        <v>21546</v>
      </c>
      <c r="D3935" t="s">
        <v>21547</v>
      </c>
      <c r="E3935" t="s">
        <v>21548</v>
      </c>
      <c r="F3935" t="s">
        <v>2504</v>
      </c>
      <c r="G3935" t="s">
        <v>2505</v>
      </c>
      <c r="H3935" t="s">
        <v>347</v>
      </c>
      <c r="J3935" t="s">
        <v>605</v>
      </c>
      <c r="K3935" t="s">
        <v>606</v>
      </c>
      <c r="L3935" t="s">
        <v>4273</v>
      </c>
      <c r="M3935" t="s">
        <v>2366</v>
      </c>
      <c r="N3935" t="s">
        <v>643</v>
      </c>
      <c r="O3935" t="s">
        <v>2506</v>
      </c>
      <c r="P3935" t="s">
        <v>739</v>
      </c>
      <c r="Q3935" t="s">
        <v>516</v>
      </c>
      <c r="R3935" t="s">
        <v>2368</v>
      </c>
      <c r="S3935" t="s">
        <v>2507</v>
      </c>
      <c r="T3935" t="s">
        <v>2165</v>
      </c>
      <c r="U3935">
        <v>247100</v>
      </c>
      <c r="V3935" t="s">
        <v>13399</v>
      </c>
      <c r="W3935" t="s">
        <v>2509</v>
      </c>
      <c r="X3935" t="s">
        <v>10392</v>
      </c>
      <c r="Y3935" t="s">
        <v>4276</v>
      </c>
      <c r="Z3935" t="s">
        <v>4277</v>
      </c>
      <c r="AA3935" t="s">
        <v>4278</v>
      </c>
      <c r="AB3935" t="s">
        <v>10393</v>
      </c>
      <c r="AE3935">
        <v>-41.260376389999998</v>
      </c>
      <c r="AF3935">
        <v>174.94710319999999</v>
      </c>
      <c r="AG3935" s="175">
        <v>28</v>
      </c>
      <c r="AH3935" s="175">
        <v>8</v>
      </c>
      <c r="AI3935" s="175">
        <v>1</v>
      </c>
      <c r="AJ3935" s="175">
        <v>4</v>
      </c>
      <c r="AK3935" s="175">
        <v>4</v>
      </c>
      <c r="AL3935" s="175">
        <v>4</v>
      </c>
      <c r="AM3935" s="175">
        <v>7</v>
      </c>
      <c r="AN3935" s="175">
        <v>0</v>
      </c>
      <c r="AO3935" s="175">
        <v>20</v>
      </c>
      <c r="AP3935" s="175">
        <v>0</v>
      </c>
      <c r="AQ3935" s="175">
        <v>20</v>
      </c>
      <c r="AR3935" s="175">
        <v>0</v>
      </c>
      <c r="AS3935" s="175">
        <v>0</v>
      </c>
      <c r="AT3935" s="175">
        <v>0</v>
      </c>
    </row>
    <row r="3936" spans="1:46">
      <c r="A3936">
        <v>64008</v>
      </c>
      <c r="B3936" t="s">
        <v>21549</v>
      </c>
      <c r="C3936" t="s">
        <v>21550</v>
      </c>
      <c r="D3936" t="s">
        <v>21551</v>
      </c>
      <c r="E3936" t="s">
        <v>21552</v>
      </c>
      <c r="F3936" t="s">
        <v>2861</v>
      </c>
      <c r="G3936" t="s">
        <v>2604</v>
      </c>
      <c r="H3936" t="s">
        <v>347</v>
      </c>
      <c r="J3936" t="s">
        <v>605</v>
      </c>
      <c r="K3936" t="s">
        <v>606</v>
      </c>
      <c r="L3936" t="s">
        <v>4273</v>
      </c>
      <c r="M3936" t="s">
        <v>2366</v>
      </c>
      <c r="N3936" t="s">
        <v>643</v>
      </c>
      <c r="O3936" t="s">
        <v>2605</v>
      </c>
      <c r="P3936" t="s">
        <v>670</v>
      </c>
      <c r="Q3936" t="s">
        <v>516</v>
      </c>
      <c r="R3936" t="s">
        <v>2368</v>
      </c>
      <c r="S3936" t="s">
        <v>2606</v>
      </c>
      <c r="T3936" t="s">
        <v>1568</v>
      </c>
      <c r="U3936">
        <v>239100</v>
      </c>
      <c r="V3936" t="s">
        <v>2862</v>
      </c>
      <c r="W3936" t="s">
        <v>2607</v>
      </c>
      <c r="X3936" t="s">
        <v>10392</v>
      </c>
      <c r="Y3936" t="s">
        <v>4276</v>
      </c>
      <c r="Z3936" t="s">
        <v>4277</v>
      </c>
      <c r="AA3936" t="s">
        <v>4278</v>
      </c>
      <c r="AB3936" t="s">
        <v>10393</v>
      </c>
      <c r="AE3936">
        <v>-41.101463410000001</v>
      </c>
      <c r="AF3936">
        <v>174.8451523</v>
      </c>
      <c r="AG3936" s="175">
        <v>35</v>
      </c>
      <c r="AH3936" s="175">
        <v>2</v>
      </c>
      <c r="AI3936" s="175">
        <v>0</v>
      </c>
      <c r="AJ3936" s="175">
        <v>2</v>
      </c>
      <c r="AK3936" s="175">
        <v>6</v>
      </c>
      <c r="AL3936" s="175">
        <v>9</v>
      </c>
      <c r="AM3936" s="175">
        <v>10</v>
      </c>
      <c r="AN3936" s="175">
        <v>0</v>
      </c>
      <c r="AO3936" s="175">
        <v>27</v>
      </c>
      <c r="AP3936" s="175">
        <v>0</v>
      </c>
      <c r="AQ3936" s="175">
        <v>25</v>
      </c>
      <c r="AR3936" s="175">
        <v>1</v>
      </c>
      <c r="AS3936" s="175">
        <v>0</v>
      </c>
      <c r="AT3936" s="175">
        <v>1</v>
      </c>
    </row>
    <row r="3937" spans="1:46">
      <c r="A3937">
        <v>64009</v>
      </c>
      <c r="B3937" t="s">
        <v>21553</v>
      </c>
      <c r="C3937" t="s">
        <v>21554</v>
      </c>
      <c r="D3937" t="s">
        <v>21555</v>
      </c>
      <c r="E3937" t="s">
        <v>21556</v>
      </c>
      <c r="G3937" t="s">
        <v>2148</v>
      </c>
      <c r="H3937" t="s">
        <v>347</v>
      </c>
      <c r="J3937" t="s">
        <v>605</v>
      </c>
      <c r="K3937" t="s">
        <v>606</v>
      </c>
      <c r="L3937" t="s">
        <v>4273</v>
      </c>
      <c r="M3937" t="s">
        <v>2366</v>
      </c>
      <c r="N3937" t="s">
        <v>812</v>
      </c>
      <c r="O3937" t="s">
        <v>2753</v>
      </c>
      <c r="P3937" t="s">
        <v>610</v>
      </c>
      <c r="Q3937" t="s">
        <v>516</v>
      </c>
      <c r="R3937" t="s">
        <v>2368</v>
      </c>
      <c r="S3937" t="s">
        <v>2148</v>
      </c>
      <c r="T3937" t="s">
        <v>1568</v>
      </c>
      <c r="U3937">
        <v>236500</v>
      </c>
      <c r="V3937" t="s">
        <v>2148</v>
      </c>
      <c r="W3937" t="s">
        <v>2776</v>
      </c>
      <c r="X3937" t="s">
        <v>10392</v>
      </c>
      <c r="Y3937" t="s">
        <v>4276</v>
      </c>
      <c r="Z3937" t="s">
        <v>4277</v>
      </c>
      <c r="AA3937" t="s">
        <v>4278</v>
      </c>
      <c r="AB3937" t="s">
        <v>10393</v>
      </c>
      <c r="AE3937">
        <v>-40.74952236</v>
      </c>
      <c r="AF3937">
        <v>175.13815657000001</v>
      </c>
      <c r="AG3937" s="175">
        <v>25</v>
      </c>
      <c r="AH3937" s="175">
        <v>7</v>
      </c>
      <c r="AI3937" s="175">
        <v>0</v>
      </c>
      <c r="AJ3937" s="175">
        <v>4</v>
      </c>
      <c r="AK3937" s="175">
        <v>3</v>
      </c>
      <c r="AL3937" s="175">
        <v>3</v>
      </c>
      <c r="AM3937" s="175">
        <v>4</v>
      </c>
      <c r="AN3937" s="175">
        <v>0</v>
      </c>
      <c r="AO3937" s="175">
        <v>14</v>
      </c>
      <c r="AP3937" s="175">
        <v>0</v>
      </c>
      <c r="AQ3937" s="175">
        <v>14</v>
      </c>
      <c r="AR3937" s="175">
        <v>0</v>
      </c>
      <c r="AS3937" s="175">
        <v>0</v>
      </c>
      <c r="AT3937" s="175">
        <v>0</v>
      </c>
    </row>
    <row r="3938" spans="1:46">
      <c r="A3938">
        <v>64012</v>
      </c>
      <c r="B3938" t="s">
        <v>21557</v>
      </c>
      <c r="C3938" t="s">
        <v>21558</v>
      </c>
      <c r="D3938" t="s">
        <v>21559</v>
      </c>
      <c r="E3938" t="s">
        <v>21560</v>
      </c>
      <c r="G3938" t="s">
        <v>2148</v>
      </c>
      <c r="H3938" t="s">
        <v>347</v>
      </c>
      <c r="J3938" t="s">
        <v>605</v>
      </c>
      <c r="K3938" t="s">
        <v>606</v>
      </c>
      <c r="L3938" t="s">
        <v>4273</v>
      </c>
      <c r="M3938" t="s">
        <v>2366</v>
      </c>
      <c r="N3938" t="s">
        <v>643</v>
      </c>
      <c r="O3938" t="s">
        <v>2753</v>
      </c>
      <c r="P3938" t="s">
        <v>610</v>
      </c>
      <c r="Q3938" t="s">
        <v>516</v>
      </c>
      <c r="R3938" t="s">
        <v>2368</v>
      </c>
      <c r="S3938" t="s">
        <v>2148</v>
      </c>
      <c r="T3938" t="s">
        <v>1568</v>
      </c>
      <c r="U3938">
        <v>236500</v>
      </c>
      <c r="V3938" t="s">
        <v>2148</v>
      </c>
      <c r="W3938" t="s">
        <v>2776</v>
      </c>
      <c r="X3938" t="s">
        <v>10392</v>
      </c>
      <c r="Y3938" t="s">
        <v>4276</v>
      </c>
      <c r="Z3938" t="s">
        <v>4277</v>
      </c>
      <c r="AA3938" t="s">
        <v>4278</v>
      </c>
      <c r="AB3938" t="s">
        <v>10393</v>
      </c>
      <c r="AE3938">
        <v>-40.745898920000002</v>
      </c>
      <c r="AF3938">
        <v>175.1416103</v>
      </c>
      <c r="AG3938" s="175">
        <v>50</v>
      </c>
      <c r="AH3938" s="175">
        <v>10</v>
      </c>
      <c r="AI3938" s="175">
        <v>0</v>
      </c>
      <c r="AJ3938" s="175">
        <v>6</v>
      </c>
      <c r="AK3938" s="175">
        <v>4</v>
      </c>
      <c r="AL3938" s="175">
        <v>7</v>
      </c>
      <c r="AM3938" s="175">
        <v>7</v>
      </c>
      <c r="AN3938" s="175">
        <v>0</v>
      </c>
      <c r="AO3938" s="175">
        <v>24</v>
      </c>
      <c r="AP3938" s="175">
        <v>0</v>
      </c>
      <c r="AQ3938" s="175">
        <v>24</v>
      </c>
      <c r="AR3938" s="175">
        <v>0</v>
      </c>
      <c r="AS3938" s="175">
        <v>0</v>
      </c>
      <c r="AT3938" s="175">
        <v>0</v>
      </c>
    </row>
    <row r="3939" spans="1:46">
      <c r="A3939">
        <v>64015</v>
      </c>
      <c r="B3939" t="s">
        <v>21561</v>
      </c>
      <c r="C3939" t="s">
        <v>21562</v>
      </c>
      <c r="D3939" t="s">
        <v>21563</v>
      </c>
      <c r="E3939" t="s">
        <v>21564</v>
      </c>
      <c r="F3939" t="s">
        <v>2557</v>
      </c>
      <c r="G3939" t="s">
        <v>2505</v>
      </c>
      <c r="H3939" t="s">
        <v>347</v>
      </c>
      <c r="J3939" t="s">
        <v>605</v>
      </c>
      <c r="K3939" t="s">
        <v>606</v>
      </c>
      <c r="L3939" t="s">
        <v>4273</v>
      </c>
      <c r="M3939" t="s">
        <v>2366</v>
      </c>
      <c r="N3939" t="s">
        <v>625</v>
      </c>
      <c r="O3939" t="s">
        <v>2506</v>
      </c>
      <c r="P3939" t="s">
        <v>739</v>
      </c>
      <c r="Q3939" t="s">
        <v>516</v>
      </c>
      <c r="R3939" t="s">
        <v>2368</v>
      </c>
      <c r="S3939" t="s">
        <v>2451</v>
      </c>
      <c r="T3939" t="s">
        <v>2165</v>
      </c>
      <c r="U3939">
        <v>245400</v>
      </c>
      <c r="V3939" t="s">
        <v>2558</v>
      </c>
      <c r="W3939" t="s">
        <v>2533</v>
      </c>
      <c r="X3939" t="s">
        <v>10392</v>
      </c>
      <c r="Y3939" t="s">
        <v>4276</v>
      </c>
      <c r="Z3939" t="s">
        <v>4277</v>
      </c>
      <c r="AA3939" t="s">
        <v>4278</v>
      </c>
      <c r="AB3939" t="s">
        <v>10393</v>
      </c>
      <c r="AE3939">
        <v>-41.203844060000002</v>
      </c>
      <c r="AF3939">
        <v>174.94661242000001</v>
      </c>
      <c r="AG3939" s="175">
        <v>50</v>
      </c>
      <c r="AH3939" s="175">
        <v>12</v>
      </c>
      <c r="AI3939" s="175">
        <v>0</v>
      </c>
      <c r="AJ3939" s="175">
        <v>5</v>
      </c>
      <c r="AK3939" s="175">
        <v>13</v>
      </c>
      <c r="AL3939" s="175">
        <v>11</v>
      </c>
      <c r="AM3939" s="175">
        <v>12</v>
      </c>
      <c r="AN3939" s="175">
        <v>0</v>
      </c>
      <c r="AO3939" s="175">
        <v>41</v>
      </c>
      <c r="AP3939" s="175">
        <v>0</v>
      </c>
      <c r="AQ3939" s="175">
        <v>38</v>
      </c>
      <c r="AR3939" s="175">
        <v>2</v>
      </c>
      <c r="AS3939" s="175">
        <v>0</v>
      </c>
      <c r="AT3939" s="175">
        <v>1</v>
      </c>
    </row>
    <row r="3940" spans="1:46">
      <c r="A3940">
        <v>64018</v>
      </c>
      <c r="B3940" t="s">
        <v>21565</v>
      </c>
      <c r="C3940" t="s">
        <v>21566</v>
      </c>
      <c r="D3940" t="s">
        <v>21567</v>
      </c>
      <c r="E3940" t="s">
        <v>21568</v>
      </c>
      <c r="F3940" t="s">
        <v>2448</v>
      </c>
      <c r="G3940" t="s">
        <v>2449</v>
      </c>
      <c r="H3940" t="s">
        <v>347</v>
      </c>
      <c r="J3940" t="s">
        <v>605</v>
      </c>
      <c r="K3940" t="s">
        <v>606</v>
      </c>
      <c r="L3940" t="s">
        <v>4273</v>
      </c>
      <c r="M3940" t="s">
        <v>2366</v>
      </c>
      <c r="N3940" t="s">
        <v>657</v>
      </c>
      <c r="O3940" t="s">
        <v>2450</v>
      </c>
      <c r="P3940" t="s">
        <v>670</v>
      </c>
      <c r="Q3940" t="s">
        <v>516</v>
      </c>
      <c r="R3940" t="s">
        <v>2368</v>
      </c>
      <c r="S3940" t="s">
        <v>2451</v>
      </c>
      <c r="T3940" t="s">
        <v>2165</v>
      </c>
      <c r="U3940">
        <v>241600</v>
      </c>
      <c r="V3940" t="s">
        <v>2463</v>
      </c>
      <c r="W3940" t="s">
        <v>1734</v>
      </c>
      <c r="X3940" t="s">
        <v>20921</v>
      </c>
      <c r="Y3940" t="s">
        <v>4276</v>
      </c>
      <c r="Z3940" t="s">
        <v>4277</v>
      </c>
      <c r="AA3940" t="s">
        <v>4278</v>
      </c>
      <c r="AB3940" t="s">
        <v>20922</v>
      </c>
      <c r="AE3940">
        <v>-41.125872610000002</v>
      </c>
      <c r="AF3940">
        <v>175.04101204</v>
      </c>
      <c r="AG3940" s="175">
        <v>30</v>
      </c>
      <c r="AH3940" s="175">
        <v>8</v>
      </c>
      <c r="AI3940" s="175">
        <v>4</v>
      </c>
      <c r="AJ3940" s="175">
        <v>4</v>
      </c>
      <c r="AK3940" s="175">
        <v>3</v>
      </c>
      <c r="AL3940" s="175">
        <v>5</v>
      </c>
      <c r="AM3940" s="175">
        <v>8</v>
      </c>
      <c r="AN3940" s="175">
        <v>0</v>
      </c>
      <c r="AO3940" s="175">
        <v>24</v>
      </c>
      <c r="AP3940" s="175">
        <v>0</v>
      </c>
      <c r="AQ3940" s="175">
        <v>20</v>
      </c>
      <c r="AR3940" s="175">
        <v>0</v>
      </c>
      <c r="AS3940" s="175">
        <v>0</v>
      </c>
      <c r="AT3940" s="175">
        <v>4</v>
      </c>
    </row>
    <row r="3941" spans="1:46">
      <c r="A3941">
        <v>64020</v>
      </c>
      <c r="B3941" t="s">
        <v>21569</v>
      </c>
      <c r="C3941" t="s">
        <v>21570</v>
      </c>
      <c r="D3941" t="s">
        <v>21571</v>
      </c>
      <c r="E3941" t="s">
        <v>21572</v>
      </c>
      <c r="G3941" t="s">
        <v>2148</v>
      </c>
      <c r="H3941" t="s">
        <v>347</v>
      </c>
      <c r="J3941" t="s">
        <v>605</v>
      </c>
      <c r="K3941" t="s">
        <v>606</v>
      </c>
      <c r="L3941" t="s">
        <v>4273</v>
      </c>
      <c r="M3941" t="s">
        <v>2366</v>
      </c>
      <c r="N3941" t="s">
        <v>625</v>
      </c>
      <c r="O3941" t="s">
        <v>2753</v>
      </c>
      <c r="P3941" t="s">
        <v>610</v>
      </c>
      <c r="Q3941" t="s">
        <v>516</v>
      </c>
      <c r="R3941" t="s">
        <v>2368</v>
      </c>
      <c r="S3941" t="s">
        <v>2148</v>
      </c>
      <c r="T3941" t="s">
        <v>1568</v>
      </c>
      <c r="U3941">
        <v>236500</v>
      </c>
      <c r="V3941" t="s">
        <v>2148</v>
      </c>
      <c r="W3941" t="s">
        <v>2776</v>
      </c>
      <c r="X3941" t="s">
        <v>10392</v>
      </c>
      <c r="Y3941" t="s">
        <v>4276</v>
      </c>
      <c r="Z3941" t="s">
        <v>4277</v>
      </c>
      <c r="AA3941" t="s">
        <v>4278</v>
      </c>
      <c r="AB3941" t="s">
        <v>10393</v>
      </c>
      <c r="AE3941">
        <v>-40.751314010000002</v>
      </c>
      <c r="AF3941">
        <v>175.13725614000001</v>
      </c>
      <c r="AG3941" s="175">
        <v>30</v>
      </c>
      <c r="AH3941" s="175">
        <v>8</v>
      </c>
      <c r="AI3941" s="175">
        <v>0</v>
      </c>
      <c r="AJ3941" s="175">
        <v>9</v>
      </c>
      <c r="AK3941" s="175">
        <v>8</v>
      </c>
      <c r="AL3941" s="175">
        <v>4</v>
      </c>
      <c r="AM3941" s="175">
        <v>5</v>
      </c>
      <c r="AN3941" s="175">
        <v>0</v>
      </c>
      <c r="AO3941" s="175">
        <v>26</v>
      </c>
      <c r="AP3941" s="175">
        <v>0</v>
      </c>
      <c r="AQ3941" s="175">
        <v>15</v>
      </c>
      <c r="AR3941" s="175">
        <v>1</v>
      </c>
      <c r="AS3941" s="175">
        <v>0</v>
      </c>
      <c r="AT3941" s="175">
        <v>10</v>
      </c>
    </row>
    <row r="3942" spans="1:46">
      <c r="A3942">
        <v>64021</v>
      </c>
      <c r="B3942" t="s">
        <v>21573</v>
      </c>
      <c r="C3942" t="s">
        <v>21574</v>
      </c>
      <c r="D3942" t="s">
        <v>21575</v>
      </c>
      <c r="E3942" t="s">
        <v>21576</v>
      </c>
      <c r="F3942" t="s">
        <v>21577</v>
      </c>
      <c r="G3942" t="s">
        <v>2396</v>
      </c>
      <c r="H3942" t="s">
        <v>347</v>
      </c>
      <c r="J3942" t="s">
        <v>605</v>
      </c>
      <c r="K3942" t="s">
        <v>606</v>
      </c>
      <c r="L3942" t="s">
        <v>4273</v>
      </c>
      <c r="M3942" t="s">
        <v>1382</v>
      </c>
      <c r="N3942" t="s">
        <v>625</v>
      </c>
      <c r="O3942" t="s">
        <v>2397</v>
      </c>
      <c r="P3942" t="s">
        <v>1347</v>
      </c>
      <c r="Q3942" t="s">
        <v>516</v>
      </c>
      <c r="R3942" t="s">
        <v>2164</v>
      </c>
      <c r="S3942" t="s">
        <v>2348</v>
      </c>
      <c r="T3942" t="s">
        <v>2165</v>
      </c>
      <c r="U3942">
        <v>256100</v>
      </c>
      <c r="V3942" t="s">
        <v>2405</v>
      </c>
      <c r="W3942" t="s">
        <v>2399</v>
      </c>
      <c r="X3942" t="s">
        <v>8868</v>
      </c>
      <c r="Y3942" t="s">
        <v>4276</v>
      </c>
      <c r="Z3942" t="s">
        <v>4277</v>
      </c>
      <c r="AA3942" t="s">
        <v>4278</v>
      </c>
      <c r="AB3942" t="s">
        <v>8869</v>
      </c>
      <c r="AE3942">
        <v>-40.946632000000001</v>
      </c>
      <c r="AF3942">
        <v>175.6473905</v>
      </c>
      <c r="AG3942" s="175">
        <v>42</v>
      </c>
      <c r="AH3942" s="175">
        <v>15</v>
      </c>
      <c r="AI3942" s="175">
        <v>3</v>
      </c>
      <c r="AJ3942" s="175">
        <v>8</v>
      </c>
      <c r="AK3942" s="175">
        <v>8</v>
      </c>
      <c r="AL3942" s="175">
        <v>8</v>
      </c>
      <c r="AM3942" s="175">
        <v>10</v>
      </c>
      <c r="AN3942" s="175">
        <v>0</v>
      </c>
      <c r="AO3942" s="175">
        <v>37</v>
      </c>
      <c r="AP3942" s="175">
        <v>0</v>
      </c>
      <c r="AQ3942" s="175">
        <v>35</v>
      </c>
      <c r="AR3942" s="175">
        <v>1</v>
      </c>
      <c r="AS3942" s="175">
        <v>0</v>
      </c>
      <c r="AT3942" s="175">
        <v>1</v>
      </c>
    </row>
    <row r="3943" spans="1:46">
      <c r="A3943">
        <v>64026</v>
      </c>
      <c r="B3943" t="s">
        <v>21578</v>
      </c>
      <c r="C3943" t="s">
        <v>21579</v>
      </c>
      <c r="D3943" t="s">
        <v>21580</v>
      </c>
      <c r="E3943" t="s">
        <v>21581</v>
      </c>
      <c r="F3943" t="s">
        <v>21582</v>
      </c>
      <c r="G3943" t="s">
        <v>2505</v>
      </c>
      <c r="H3943" t="s">
        <v>347</v>
      </c>
      <c r="J3943" t="s">
        <v>605</v>
      </c>
      <c r="K3943" t="s">
        <v>606</v>
      </c>
      <c r="L3943" t="s">
        <v>4273</v>
      </c>
      <c r="M3943" t="s">
        <v>2366</v>
      </c>
      <c r="N3943" t="s">
        <v>608</v>
      </c>
      <c r="O3943" t="s">
        <v>2506</v>
      </c>
      <c r="P3943" t="s">
        <v>739</v>
      </c>
      <c r="Q3943" t="s">
        <v>516</v>
      </c>
      <c r="R3943" t="s">
        <v>2368</v>
      </c>
      <c r="S3943" t="s">
        <v>2451</v>
      </c>
      <c r="T3943" t="s">
        <v>2165</v>
      </c>
      <c r="U3943">
        <v>244100</v>
      </c>
      <c r="V3943" t="s">
        <v>21583</v>
      </c>
      <c r="W3943" t="s">
        <v>2546</v>
      </c>
      <c r="X3943" t="s">
        <v>10392</v>
      </c>
      <c r="Y3943" t="s">
        <v>4276</v>
      </c>
      <c r="Z3943" t="s">
        <v>4277</v>
      </c>
      <c r="AA3943" t="s">
        <v>4278</v>
      </c>
      <c r="AB3943" t="s">
        <v>10393</v>
      </c>
      <c r="AE3943">
        <v>-41.172027190000001</v>
      </c>
      <c r="AF3943">
        <v>174.96297207999999</v>
      </c>
      <c r="AG3943" s="175">
        <v>20</v>
      </c>
      <c r="AH3943" s="175">
        <v>2</v>
      </c>
      <c r="AI3943" s="175">
        <v>0</v>
      </c>
      <c r="AJ3943" s="175">
        <v>1</v>
      </c>
      <c r="AK3943" s="175">
        <v>4</v>
      </c>
      <c r="AL3943" s="175">
        <v>6</v>
      </c>
      <c r="AM3943" s="175">
        <v>4</v>
      </c>
      <c r="AN3943" s="175">
        <v>0</v>
      </c>
      <c r="AO3943" s="175">
        <v>15</v>
      </c>
      <c r="AP3943" s="175">
        <v>0</v>
      </c>
      <c r="AQ3943" s="175">
        <v>12</v>
      </c>
      <c r="AR3943" s="175">
        <v>3</v>
      </c>
      <c r="AS3943" s="175">
        <v>0</v>
      </c>
      <c r="AT3943" s="175">
        <v>0</v>
      </c>
    </row>
    <row r="3944" spans="1:46">
      <c r="A3944">
        <v>64027</v>
      </c>
      <c r="B3944" t="s">
        <v>21584</v>
      </c>
      <c r="C3944" t="s">
        <v>21585</v>
      </c>
      <c r="D3944" t="s">
        <v>21586</v>
      </c>
      <c r="E3944" t="s">
        <v>21587</v>
      </c>
      <c r="F3944" t="s">
        <v>2603</v>
      </c>
      <c r="G3944" t="s">
        <v>2604</v>
      </c>
      <c r="H3944" t="s">
        <v>347</v>
      </c>
      <c r="J3944" t="s">
        <v>605</v>
      </c>
      <c r="K3944" t="s">
        <v>606</v>
      </c>
      <c r="L3944" t="s">
        <v>4273</v>
      </c>
      <c r="M3944" t="s">
        <v>2366</v>
      </c>
      <c r="N3944" t="s">
        <v>812</v>
      </c>
      <c r="O3944" t="s">
        <v>2605</v>
      </c>
      <c r="P3944" t="s">
        <v>670</v>
      </c>
      <c r="Q3944" t="s">
        <v>516</v>
      </c>
      <c r="R3944" t="s">
        <v>2368</v>
      </c>
      <c r="S3944" t="s">
        <v>2606</v>
      </c>
      <c r="T3944" t="s">
        <v>1568</v>
      </c>
      <c r="U3944">
        <v>240000</v>
      </c>
      <c r="V3944" t="s">
        <v>2782</v>
      </c>
      <c r="W3944" t="s">
        <v>2657</v>
      </c>
      <c r="X3944" t="s">
        <v>10392</v>
      </c>
      <c r="Y3944" t="s">
        <v>4276</v>
      </c>
      <c r="Z3944" t="s">
        <v>4277</v>
      </c>
      <c r="AA3944" t="s">
        <v>4278</v>
      </c>
      <c r="AB3944" t="s">
        <v>10393</v>
      </c>
      <c r="AE3944">
        <v>-41.122204539999998</v>
      </c>
      <c r="AF3944">
        <v>174.86161050000001</v>
      </c>
      <c r="AG3944" s="175">
        <v>28</v>
      </c>
      <c r="AH3944" s="175">
        <v>10</v>
      </c>
      <c r="AI3944" s="175">
        <v>0</v>
      </c>
      <c r="AJ3944" s="175">
        <v>1</v>
      </c>
      <c r="AK3944" s="175">
        <v>4</v>
      </c>
      <c r="AL3944" s="175">
        <v>5</v>
      </c>
      <c r="AM3944" s="175">
        <v>7</v>
      </c>
      <c r="AN3944" s="175">
        <v>0</v>
      </c>
      <c r="AO3944" s="175">
        <v>17</v>
      </c>
      <c r="AP3944" s="175">
        <v>0</v>
      </c>
      <c r="AQ3944" s="175">
        <v>15</v>
      </c>
      <c r="AR3944" s="175">
        <v>1</v>
      </c>
      <c r="AS3944" s="175">
        <v>0</v>
      </c>
      <c r="AT3944" s="175">
        <v>1</v>
      </c>
    </row>
    <row r="3945" spans="1:46">
      <c r="A3945">
        <v>64029</v>
      </c>
      <c r="B3945" t="s">
        <v>21588</v>
      </c>
      <c r="C3945" t="s">
        <v>21589</v>
      </c>
      <c r="D3945" t="s">
        <v>21590</v>
      </c>
      <c r="E3945" t="s">
        <v>21591</v>
      </c>
      <c r="F3945" t="s">
        <v>2761</v>
      </c>
      <c r="G3945" t="s">
        <v>2368</v>
      </c>
      <c r="H3945" t="s">
        <v>347</v>
      </c>
      <c r="J3945" t="s">
        <v>605</v>
      </c>
      <c r="K3945" t="s">
        <v>606</v>
      </c>
      <c r="L3945" t="s">
        <v>4273</v>
      </c>
      <c r="M3945" t="s">
        <v>2366</v>
      </c>
      <c r="N3945" t="s">
        <v>657</v>
      </c>
      <c r="O3945" t="s">
        <v>2614</v>
      </c>
      <c r="P3945" t="s">
        <v>739</v>
      </c>
      <c r="Q3945" t="s">
        <v>516</v>
      </c>
      <c r="R3945" t="s">
        <v>2368</v>
      </c>
      <c r="S3945" t="s">
        <v>2623</v>
      </c>
      <c r="T3945" t="s">
        <v>2526</v>
      </c>
      <c r="U3945">
        <v>249600</v>
      </c>
      <c r="V3945" t="s">
        <v>2762</v>
      </c>
      <c r="W3945" t="s">
        <v>2639</v>
      </c>
      <c r="X3945" t="s">
        <v>10392</v>
      </c>
      <c r="Y3945" t="s">
        <v>4276</v>
      </c>
      <c r="Z3945" t="s">
        <v>4277</v>
      </c>
      <c r="AA3945" t="s">
        <v>4278</v>
      </c>
      <c r="AB3945" t="s">
        <v>10393</v>
      </c>
      <c r="AE3945">
        <v>-41.249430660000002</v>
      </c>
      <c r="AF3945">
        <v>174.78103307000001</v>
      </c>
      <c r="AG3945" s="175">
        <v>23</v>
      </c>
      <c r="AH3945" s="175">
        <v>6</v>
      </c>
      <c r="AI3945" s="175">
        <v>0</v>
      </c>
      <c r="AJ3945" s="175">
        <v>3</v>
      </c>
      <c r="AK3945" s="175">
        <v>7</v>
      </c>
      <c r="AL3945" s="175">
        <v>6</v>
      </c>
      <c r="AM3945" s="175">
        <v>4</v>
      </c>
      <c r="AN3945" s="175">
        <v>0</v>
      </c>
      <c r="AO3945" s="175">
        <v>20</v>
      </c>
      <c r="AP3945" s="175">
        <v>0</v>
      </c>
      <c r="AQ3945" s="175">
        <v>20</v>
      </c>
      <c r="AR3945" s="175">
        <v>0</v>
      </c>
      <c r="AS3945" s="175">
        <v>0</v>
      </c>
      <c r="AT3945" s="175">
        <v>0</v>
      </c>
    </row>
    <row r="3946" spans="1:46">
      <c r="A3946">
        <v>64030</v>
      </c>
      <c r="B3946" t="s">
        <v>21592</v>
      </c>
      <c r="C3946" t="s">
        <v>21593</v>
      </c>
      <c r="E3946" t="s">
        <v>21594</v>
      </c>
      <c r="F3946" t="s">
        <v>2746</v>
      </c>
      <c r="G3946" t="s">
        <v>2368</v>
      </c>
      <c r="H3946" t="s">
        <v>347</v>
      </c>
      <c r="J3946" t="s">
        <v>605</v>
      </c>
      <c r="K3946" t="s">
        <v>606</v>
      </c>
      <c r="L3946" t="s">
        <v>4273</v>
      </c>
      <c r="M3946" t="s">
        <v>2366</v>
      </c>
      <c r="N3946" t="s">
        <v>657</v>
      </c>
      <c r="O3946" t="s">
        <v>2614</v>
      </c>
      <c r="P3946" t="s">
        <v>739</v>
      </c>
      <c r="Q3946" t="s">
        <v>516</v>
      </c>
      <c r="R3946" t="s">
        <v>2368</v>
      </c>
      <c r="S3946" t="s">
        <v>2615</v>
      </c>
      <c r="T3946" t="s">
        <v>2526</v>
      </c>
      <c r="U3946">
        <v>253600</v>
      </c>
      <c r="V3946" t="s">
        <v>2889</v>
      </c>
      <c r="W3946" t="s">
        <v>2616</v>
      </c>
      <c r="X3946" t="s">
        <v>10392</v>
      </c>
      <c r="Y3946" t="s">
        <v>4276</v>
      </c>
      <c r="Z3946" t="s">
        <v>4277</v>
      </c>
      <c r="AA3946" t="s">
        <v>4278</v>
      </c>
      <c r="AB3946" t="s">
        <v>10393</v>
      </c>
      <c r="AE3946">
        <v>-41.316379300000001</v>
      </c>
      <c r="AF3946">
        <v>174.7856645</v>
      </c>
      <c r="AG3946" s="175">
        <v>40</v>
      </c>
      <c r="AH3946" s="175">
        <v>20</v>
      </c>
      <c r="AI3946" s="175">
        <v>0</v>
      </c>
      <c r="AJ3946" s="175">
        <v>7</v>
      </c>
      <c r="AK3946" s="175">
        <v>3</v>
      </c>
      <c r="AL3946" s="175">
        <v>11</v>
      </c>
      <c r="AM3946" s="175">
        <v>6</v>
      </c>
      <c r="AN3946" s="175">
        <v>0</v>
      </c>
      <c r="AO3946" s="175">
        <v>27</v>
      </c>
      <c r="AP3946" s="175">
        <v>0</v>
      </c>
      <c r="AQ3946" s="175">
        <v>27</v>
      </c>
      <c r="AR3946" s="175">
        <v>0</v>
      </c>
      <c r="AS3946" s="175">
        <v>0</v>
      </c>
      <c r="AT3946" s="175">
        <v>0</v>
      </c>
    </row>
    <row r="3947" spans="1:46">
      <c r="A3947">
        <v>64031</v>
      </c>
      <c r="B3947" t="s">
        <v>21595</v>
      </c>
      <c r="C3947" t="s">
        <v>21596</v>
      </c>
      <c r="E3947" t="s">
        <v>21597</v>
      </c>
      <c r="F3947" t="s">
        <v>12967</v>
      </c>
      <c r="G3947" t="s">
        <v>2505</v>
      </c>
      <c r="H3947" t="s">
        <v>347</v>
      </c>
      <c r="J3947" t="s">
        <v>605</v>
      </c>
      <c r="K3947" t="s">
        <v>606</v>
      </c>
      <c r="L3947" t="s">
        <v>4273</v>
      </c>
      <c r="M3947" t="s">
        <v>2366</v>
      </c>
      <c r="N3947" t="s">
        <v>657</v>
      </c>
      <c r="O3947" t="s">
        <v>2506</v>
      </c>
      <c r="P3947" t="s">
        <v>739</v>
      </c>
      <c r="Q3947" t="s">
        <v>516</v>
      </c>
      <c r="R3947" t="s">
        <v>2368</v>
      </c>
      <c r="S3947" t="s">
        <v>2507</v>
      </c>
      <c r="T3947" t="s">
        <v>2526</v>
      </c>
      <c r="U3947">
        <v>246001</v>
      </c>
      <c r="V3947" t="s">
        <v>3879</v>
      </c>
      <c r="W3947" t="s">
        <v>2533</v>
      </c>
      <c r="X3947" t="s">
        <v>21598</v>
      </c>
      <c r="Y3947" t="s">
        <v>4276</v>
      </c>
      <c r="Z3947" t="s">
        <v>4277</v>
      </c>
      <c r="AA3947" t="s">
        <v>4278</v>
      </c>
      <c r="AB3947" t="s">
        <v>21599</v>
      </c>
      <c r="AE3947">
        <v>-41.224061509999999</v>
      </c>
      <c r="AF3947">
        <v>174.9197897</v>
      </c>
      <c r="AG3947" s="175">
        <v>33</v>
      </c>
      <c r="AH3947" s="175">
        <v>8</v>
      </c>
      <c r="AI3947" s="175">
        <v>2</v>
      </c>
      <c r="AJ3947" s="175">
        <v>7</v>
      </c>
      <c r="AK3947" s="175">
        <v>9</v>
      </c>
      <c r="AL3947" s="175">
        <v>9</v>
      </c>
      <c r="AM3947" s="175">
        <v>4</v>
      </c>
      <c r="AN3947" s="175">
        <v>0</v>
      </c>
      <c r="AO3947" s="175">
        <v>31</v>
      </c>
      <c r="AP3947" s="175">
        <v>0</v>
      </c>
      <c r="AQ3947" s="175">
        <v>30</v>
      </c>
      <c r="AR3947" s="175">
        <v>1</v>
      </c>
      <c r="AS3947" s="175">
        <v>0</v>
      </c>
      <c r="AT3947" s="175">
        <v>0</v>
      </c>
    </row>
    <row r="3948" spans="1:46">
      <c r="A3948">
        <v>64033</v>
      </c>
      <c r="B3948" t="s">
        <v>21600</v>
      </c>
      <c r="C3948" t="s">
        <v>21601</v>
      </c>
      <c r="D3948" t="s">
        <v>21602</v>
      </c>
      <c r="E3948" t="s">
        <v>21603</v>
      </c>
      <c r="F3948" t="s">
        <v>21577</v>
      </c>
      <c r="G3948" t="s">
        <v>2396</v>
      </c>
      <c r="H3948" t="s">
        <v>347</v>
      </c>
      <c r="J3948" t="s">
        <v>605</v>
      </c>
      <c r="K3948" t="s">
        <v>606</v>
      </c>
      <c r="L3948" t="s">
        <v>4273</v>
      </c>
      <c r="M3948" t="s">
        <v>1382</v>
      </c>
      <c r="N3948" t="s">
        <v>608</v>
      </c>
      <c r="O3948" t="s">
        <v>2397</v>
      </c>
      <c r="P3948" t="s">
        <v>1347</v>
      </c>
      <c r="Q3948" t="s">
        <v>516</v>
      </c>
      <c r="R3948" t="s">
        <v>2164</v>
      </c>
      <c r="S3948" t="s">
        <v>2348</v>
      </c>
      <c r="T3948" t="s">
        <v>2165</v>
      </c>
      <c r="U3948">
        <v>256700</v>
      </c>
      <c r="V3948" t="s">
        <v>20986</v>
      </c>
      <c r="W3948" t="s">
        <v>2399</v>
      </c>
      <c r="X3948" t="s">
        <v>19952</v>
      </c>
      <c r="Y3948" t="s">
        <v>4276</v>
      </c>
      <c r="Z3948" t="s">
        <v>4277</v>
      </c>
      <c r="AA3948" t="s">
        <v>4278</v>
      </c>
      <c r="AB3948" t="s">
        <v>8869</v>
      </c>
      <c r="AE3948">
        <v>-40.961116369999999</v>
      </c>
      <c r="AF3948">
        <v>175.66921679000001</v>
      </c>
      <c r="AG3948" s="175">
        <v>45</v>
      </c>
      <c r="AH3948" s="175">
        <v>13</v>
      </c>
      <c r="AI3948" s="175">
        <v>2</v>
      </c>
      <c r="AJ3948" s="175">
        <v>5</v>
      </c>
      <c r="AK3948" s="175">
        <v>8</v>
      </c>
      <c r="AL3948" s="175">
        <v>13</v>
      </c>
      <c r="AM3948" s="175">
        <v>7</v>
      </c>
      <c r="AN3948" s="175">
        <v>0</v>
      </c>
      <c r="AO3948" s="175">
        <v>35</v>
      </c>
      <c r="AP3948" s="175">
        <v>0</v>
      </c>
      <c r="AQ3948" s="175">
        <v>32</v>
      </c>
      <c r="AR3948" s="175">
        <v>0</v>
      </c>
      <c r="AS3948" s="175">
        <v>0</v>
      </c>
      <c r="AT3948" s="175">
        <v>3</v>
      </c>
    </row>
    <row r="3949" spans="1:46">
      <c r="A3949">
        <v>64034</v>
      </c>
      <c r="B3949" t="s">
        <v>21604</v>
      </c>
      <c r="C3949" t="s">
        <v>21605</v>
      </c>
      <c r="D3949" t="s">
        <v>21567</v>
      </c>
      <c r="E3949" t="s">
        <v>21606</v>
      </c>
      <c r="F3949" t="s">
        <v>21607</v>
      </c>
      <c r="G3949" t="s">
        <v>2505</v>
      </c>
      <c r="H3949" t="s">
        <v>347</v>
      </c>
      <c r="J3949" t="s">
        <v>605</v>
      </c>
      <c r="K3949" t="s">
        <v>606</v>
      </c>
      <c r="L3949" t="s">
        <v>4273</v>
      </c>
      <c r="M3949" t="s">
        <v>2366</v>
      </c>
      <c r="N3949" t="s">
        <v>625</v>
      </c>
      <c r="O3949" t="s">
        <v>2506</v>
      </c>
      <c r="P3949" t="s">
        <v>739</v>
      </c>
      <c r="Q3949" t="s">
        <v>516</v>
      </c>
      <c r="R3949" t="s">
        <v>2368</v>
      </c>
      <c r="S3949" t="s">
        <v>2507</v>
      </c>
      <c r="T3949" t="s">
        <v>2526</v>
      </c>
      <c r="U3949">
        <v>245700</v>
      </c>
      <c r="V3949" t="s">
        <v>21172</v>
      </c>
      <c r="W3949" t="s">
        <v>2569</v>
      </c>
      <c r="X3949" t="s">
        <v>20921</v>
      </c>
      <c r="Y3949" t="s">
        <v>4276</v>
      </c>
      <c r="Z3949" t="s">
        <v>4277</v>
      </c>
      <c r="AA3949" t="s">
        <v>4278</v>
      </c>
      <c r="AB3949" t="s">
        <v>20922</v>
      </c>
      <c r="AE3949">
        <v>-41.242262760000003</v>
      </c>
      <c r="AF3949">
        <v>174.90217981000001</v>
      </c>
      <c r="AG3949" s="175">
        <v>75</v>
      </c>
      <c r="AH3949" s="175">
        <v>25</v>
      </c>
      <c r="AI3949" s="175">
        <v>0</v>
      </c>
      <c r="AJ3949" s="175">
        <v>15</v>
      </c>
      <c r="AK3949" s="175">
        <v>13</v>
      </c>
      <c r="AL3949" s="175">
        <v>14</v>
      </c>
      <c r="AM3949" s="175">
        <v>18</v>
      </c>
      <c r="AN3949" s="175">
        <v>0</v>
      </c>
      <c r="AO3949" s="175">
        <v>60</v>
      </c>
      <c r="AP3949" s="175">
        <v>0</v>
      </c>
      <c r="AQ3949" s="175">
        <v>57</v>
      </c>
      <c r="AR3949" s="175">
        <v>0</v>
      </c>
      <c r="AS3949" s="175">
        <v>0</v>
      </c>
      <c r="AT3949" s="175">
        <v>3</v>
      </c>
    </row>
    <row r="3950" spans="1:46">
      <c r="A3950">
        <v>64035</v>
      </c>
      <c r="B3950" t="s">
        <v>21608</v>
      </c>
      <c r="C3950" t="s">
        <v>21609</v>
      </c>
      <c r="D3950" t="s">
        <v>21610</v>
      </c>
      <c r="E3950" t="s">
        <v>21611</v>
      </c>
      <c r="F3950" t="s">
        <v>2504</v>
      </c>
      <c r="G3950" t="s">
        <v>2505</v>
      </c>
      <c r="H3950" t="s">
        <v>347</v>
      </c>
      <c r="J3950" t="s">
        <v>605</v>
      </c>
      <c r="K3950" t="s">
        <v>606</v>
      </c>
      <c r="L3950" t="s">
        <v>4273</v>
      </c>
      <c r="M3950" t="s">
        <v>2366</v>
      </c>
      <c r="N3950" t="s">
        <v>625</v>
      </c>
      <c r="O3950" t="s">
        <v>2506</v>
      </c>
      <c r="P3950" t="s">
        <v>739</v>
      </c>
      <c r="Q3950" t="s">
        <v>516</v>
      </c>
      <c r="R3950" t="s">
        <v>2368</v>
      </c>
      <c r="S3950" t="s">
        <v>2507</v>
      </c>
      <c r="T3950" t="s">
        <v>2165</v>
      </c>
      <c r="U3950">
        <v>247000</v>
      </c>
      <c r="V3950" t="s">
        <v>2593</v>
      </c>
      <c r="W3950" t="s">
        <v>2509</v>
      </c>
      <c r="X3950" t="s">
        <v>20921</v>
      </c>
      <c r="Y3950" t="s">
        <v>4276</v>
      </c>
      <c r="Z3950" t="s">
        <v>4277</v>
      </c>
      <c r="AA3950" t="s">
        <v>4278</v>
      </c>
      <c r="AB3950" t="s">
        <v>20922</v>
      </c>
      <c r="AE3950">
        <v>-41.247840629999999</v>
      </c>
      <c r="AF3950">
        <v>174.95376145</v>
      </c>
      <c r="AG3950" s="175">
        <v>25</v>
      </c>
      <c r="AH3950" s="175">
        <v>10</v>
      </c>
      <c r="AI3950" s="175">
        <v>3</v>
      </c>
      <c r="AJ3950" s="175">
        <v>2</v>
      </c>
      <c r="AK3950" s="175">
        <v>6</v>
      </c>
      <c r="AL3950" s="175">
        <v>6</v>
      </c>
      <c r="AM3950" s="175">
        <v>6</v>
      </c>
      <c r="AN3950" s="175">
        <v>0</v>
      </c>
      <c r="AO3950" s="175">
        <v>23</v>
      </c>
      <c r="AP3950" s="175">
        <v>0</v>
      </c>
      <c r="AQ3950" s="175">
        <v>21</v>
      </c>
      <c r="AR3950" s="175">
        <v>0</v>
      </c>
      <c r="AS3950" s="175">
        <v>0</v>
      </c>
      <c r="AT3950" s="175">
        <v>2</v>
      </c>
    </row>
    <row r="3951" spans="1:46">
      <c r="A3951">
        <v>64036</v>
      </c>
      <c r="B3951" t="s">
        <v>21612</v>
      </c>
      <c r="C3951" t="s">
        <v>21613</v>
      </c>
      <c r="D3951" t="s">
        <v>21614</v>
      </c>
      <c r="E3951" t="s">
        <v>21615</v>
      </c>
      <c r="F3951" t="s">
        <v>2458</v>
      </c>
      <c r="G3951" t="s">
        <v>2449</v>
      </c>
      <c r="H3951" t="s">
        <v>347</v>
      </c>
      <c r="J3951" t="s">
        <v>605</v>
      </c>
      <c r="K3951" t="s">
        <v>606</v>
      </c>
      <c r="L3951" t="s">
        <v>4273</v>
      </c>
      <c r="M3951" t="s">
        <v>2366</v>
      </c>
      <c r="N3951" t="s">
        <v>643</v>
      </c>
      <c r="O3951" t="s">
        <v>2450</v>
      </c>
      <c r="P3951" t="s">
        <v>670</v>
      </c>
      <c r="Q3951" t="s">
        <v>516</v>
      </c>
      <c r="R3951" t="s">
        <v>2368</v>
      </c>
      <c r="S3951" t="s">
        <v>2451</v>
      </c>
      <c r="T3951" t="s">
        <v>2165</v>
      </c>
      <c r="U3951">
        <v>242600</v>
      </c>
      <c r="V3951" t="s">
        <v>2458</v>
      </c>
      <c r="W3951" t="s">
        <v>1734</v>
      </c>
      <c r="X3951" t="s">
        <v>21616</v>
      </c>
      <c r="Y3951" t="s">
        <v>4276</v>
      </c>
      <c r="Z3951" t="s">
        <v>4277</v>
      </c>
      <c r="AA3951" t="s">
        <v>4278</v>
      </c>
      <c r="AB3951" t="s">
        <v>21617</v>
      </c>
      <c r="AE3951">
        <v>-41.113032099999998</v>
      </c>
      <c r="AF3951">
        <v>175.1006051</v>
      </c>
      <c r="AG3951" s="175">
        <v>30</v>
      </c>
      <c r="AH3951" s="175">
        <v>10</v>
      </c>
      <c r="AI3951" s="175">
        <v>0</v>
      </c>
      <c r="AJ3951" s="175">
        <v>7</v>
      </c>
      <c r="AK3951" s="175">
        <v>7</v>
      </c>
      <c r="AL3951" s="175">
        <v>3</v>
      </c>
      <c r="AM3951" s="175">
        <v>7</v>
      </c>
      <c r="AN3951" s="175">
        <v>0</v>
      </c>
      <c r="AO3951" s="175">
        <v>24</v>
      </c>
      <c r="AP3951" s="175">
        <v>0</v>
      </c>
      <c r="AQ3951" s="175">
        <v>20</v>
      </c>
      <c r="AR3951" s="175">
        <v>0</v>
      </c>
      <c r="AS3951" s="175">
        <v>0</v>
      </c>
      <c r="AT3951" s="175">
        <v>4</v>
      </c>
    </row>
    <row r="3952" spans="1:46">
      <c r="A3952">
        <v>64037</v>
      </c>
      <c r="B3952" t="s">
        <v>21618</v>
      </c>
      <c r="C3952" t="s">
        <v>21619</v>
      </c>
      <c r="D3952" t="s">
        <v>21620</v>
      </c>
      <c r="E3952" t="s">
        <v>21621</v>
      </c>
      <c r="F3952" t="s">
        <v>2845</v>
      </c>
      <c r="G3952" t="s">
        <v>2604</v>
      </c>
      <c r="H3952" t="s">
        <v>347</v>
      </c>
      <c r="J3952" t="s">
        <v>605</v>
      </c>
      <c r="K3952" t="s">
        <v>606</v>
      </c>
      <c r="L3952" t="s">
        <v>4273</v>
      </c>
      <c r="M3952" t="s">
        <v>2366</v>
      </c>
      <c r="N3952" t="s">
        <v>608</v>
      </c>
      <c r="O3952" t="s">
        <v>2605</v>
      </c>
      <c r="P3952" t="s">
        <v>670</v>
      </c>
      <c r="Q3952" t="s">
        <v>516</v>
      </c>
      <c r="R3952" t="s">
        <v>2368</v>
      </c>
      <c r="S3952" t="s">
        <v>2606</v>
      </c>
      <c r="T3952" t="s">
        <v>1568</v>
      </c>
      <c r="U3952">
        <v>240802</v>
      </c>
      <c r="V3952" t="s">
        <v>2884</v>
      </c>
      <c r="W3952" t="s">
        <v>2607</v>
      </c>
      <c r="X3952" t="s">
        <v>10392</v>
      </c>
      <c r="Y3952" t="s">
        <v>4276</v>
      </c>
      <c r="Z3952" t="s">
        <v>4277</v>
      </c>
      <c r="AA3952" t="s">
        <v>4278</v>
      </c>
      <c r="AB3952" t="s">
        <v>10393</v>
      </c>
      <c r="AE3952">
        <v>-41.131218820000001</v>
      </c>
      <c r="AF3952">
        <v>174.88023127</v>
      </c>
      <c r="AG3952" s="175">
        <v>28</v>
      </c>
      <c r="AH3952" s="175">
        <v>8</v>
      </c>
      <c r="AI3952" s="175">
        <v>0</v>
      </c>
      <c r="AJ3952" s="175">
        <v>5</v>
      </c>
      <c r="AK3952" s="175">
        <v>4</v>
      </c>
      <c r="AL3952" s="175">
        <v>6</v>
      </c>
      <c r="AM3952" s="175">
        <v>2</v>
      </c>
      <c r="AN3952" s="175">
        <v>0</v>
      </c>
      <c r="AO3952" s="175">
        <v>17</v>
      </c>
      <c r="AP3952" s="175">
        <v>0</v>
      </c>
      <c r="AQ3952" s="175">
        <v>15</v>
      </c>
      <c r="AR3952" s="175">
        <v>0</v>
      </c>
      <c r="AS3952" s="175">
        <v>0</v>
      </c>
      <c r="AT3952" s="175">
        <v>2</v>
      </c>
    </row>
    <row r="3953" spans="1:46">
      <c r="A3953">
        <v>64039</v>
      </c>
      <c r="B3953" t="s">
        <v>21622</v>
      </c>
      <c r="C3953" t="s">
        <v>21623</v>
      </c>
      <c r="D3953" t="s">
        <v>21624</v>
      </c>
      <c r="E3953" t="s">
        <v>21625</v>
      </c>
      <c r="F3953" t="s">
        <v>2622</v>
      </c>
      <c r="G3953" t="s">
        <v>2368</v>
      </c>
      <c r="H3953" t="s">
        <v>347</v>
      </c>
      <c r="J3953" t="s">
        <v>605</v>
      </c>
      <c r="K3953" t="s">
        <v>606</v>
      </c>
      <c r="L3953" t="s">
        <v>4273</v>
      </c>
      <c r="M3953" t="s">
        <v>2366</v>
      </c>
      <c r="N3953" t="s">
        <v>643</v>
      </c>
      <c r="O3953" t="s">
        <v>2614</v>
      </c>
      <c r="P3953" t="s">
        <v>739</v>
      </c>
      <c r="Q3953" t="s">
        <v>516</v>
      </c>
      <c r="R3953" t="s">
        <v>2368</v>
      </c>
      <c r="S3953" t="s">
        <v>2623</v>
      </c>
      <c r="T3953" t="s">
        <v>1568</v>
      </c>
      <c r="U3953">
        <v>247600</v>
      </c>
      <c r="V3953" t="s">
        <v>2624</v>
      </c>
      <c r="W3953" t="s">
        <v>2625</v>
      </c>
      <c r="X3953" t="s">
        <v>10392</v>
      </c>
      <c r="Y3953" t="s">
        <v>4276</v>
      </c>
      <c r="Z3953" t="s">
        <v>4277</v>
      </c>
      <c r="AA3953" t="s">
        <v>4278</v>
      </c>
      <c r="AB3953" t="s">
        <v>10393</v>
      </c>
      <c r="AE3953">
        <v>-41.162866270000002</v>
      </c>
      <c r="AF3953">
        <v>174.82309294000001</v>
      </c>
      <c r="AG3953" s="175">
        <v>20</v>
      </c>
      <c r="AH3953" s="175">
        <v>8</v>
      </c>
      <c r="AI3953" s="175">
        <v>2</v>
      </c>
      <c r="AJ3953" s="175">
        <v>6</v>
      </c>
      <c r="AK3953" s="175">
        <v>4</v>
      </c>
      <c r="AL3953" s="175">
        <v>5</v>
      </c>
      <c r="AM3953" s="175">
        <v>4</v>
      </c>
      <c r="AN3953" s="175">
        <v>0</v>
      </c>
      <c r="AO3953" s="175">
        <v>21</v>
      </c>
      <c r="AP3953" s="175">
        <v>0</v>
      </c>
      <c r="AQ3953" s="175">
        <v>18</v>
      </c>
      <c r="AR3953" s="175">
        <v>2</v>
      </c>
      <c r="AS3953" s="175">
        <v>0</v>
      </c>
      <c r="AT3953" s="175">
        <v>1</v>
      </c>
    </row>
    <row r="3954" spans="1:46">
      <c r="A3954">
        <v>64040</v>
      </c>
      <c r="B3954" t="s">
        <v>21626</v>
      </c>
      <c r="C3954" t="s">
        <v>21627</v>
      </c>
      <c r="D3954" t="s">
        <v>21628</v>
      </c>
      <c r="E3954" t="s">
        <v>21629</v>
      </c>
      <c r="F3954" t="s">
        <v>2845</v>
      </c>
      <c r="G3954" t="s">
        <v>2604</v>
      </c>
      <c r="H3954" t="s">
        <v>347</v>
      </c>
      <c r="J3954" t="s">
        <v>605</v>
      </c>
      <c r="K3954" t="s">
        <v>606</v>
      </c>
      <c r="L3954" t="s">
        <v>4273</v>
      </c>
      <c r="M3954" t="s">
        <v>2366</v>
      </c>
      <c r="N3954" t="s">
        <v>608</v>
      </c>
      <c r="O3954" t="s">
        <v>2605</v>
      </c>
      <c r="P3954" t="s">
        <v>670</v>
      </c>
      <c r="Q3954" t="s">
        <v>516</v>
      </c>
      <c r="R3954" t="s">
        <v>2368</v>
      </c>
      <c r="S3954" t="s">
        <v>2606</v>
      </c>
      <c r="T3954" t="s">
        <v>1568</v>
      </c>
      <c r="U3954">
        <v>240802</v>
      </c>
      <c r="V3954" t="s">
        <v>2884</v>
      </c>
      <c r="W3954" t="s">
        <v>2607</v>
      </c>
      <c r="X3954" t="s">
        <v>10392</v>
      </c>
      <c r="Y3954" t="s">
        <v>4276</v>
      </c>
      <c r="Z3954" t="s">
        <v>4277</v>
      </c>
      <c r="AA3954" t="s">
        <v>4278</v>
      </c>
      <c r="AB3954" t="s">
        <v>10393</v>
      </c>
      <c r="AE3954">
        <v>-41.132967700000002</v>
      </c>
      <c r="AF3954">
        <v>174.8800875</v>
      </c>
      <c r="AG3954" s="175">
        <v>12</v>
      </c>
      <c r="AH3954" s="175">
        <v>4</v>
      </c>
      <c r="AI3954" s="175">
        <v>1</v>
      </c>
      <c r="AJ3954" s="175">
        <v>3</v>
      </c>
      <c r="AK3954" s="175">
        <v>4</v>
      </c>
      <c r="AL3954" s="175">
        <v>3</v>
      </c>
      <c r="AM3954" s="175">
        <v>0</v>
      </c>
      <c r="AN3954" s="175">
        <v>0</v>
      </c>
      <c r="AO3954" s="175">
        <v>11</v>
      </c>
      <c r="AP3954" s="175">
        <v>0</v>
      </c>
      <c r="AQ3954" s="175">
        <v>9</v>
      </c>
      <c r="AR3954" s="175">
        <v>2</v>
      </c>
      <c r="AS3954" s="175">
        <v>0</v>
      </c>
      <c r="AT3954" s="175">
        <v>0</v>
      </c>
    </row>
    <row r="3955" spans="1:46">
      <c r="A3955">
        <v>64044</v>
      </c>
      <c r="B3955" t="s">
        <v>21630</v>
      </c>
      <c r="C3955" t="s">
        <v>21631</v>
      </c>
      <c r="E3955" t="s">
        <v>21632</v>
      </c>
      <c r="F3955" t="s">
        <v>2568</v>
      </c>
      <c r="G3955" t="s">
        <v>2505</v>
      </c>
      <c r="H3955" t="s">
        <v>347</v>
      </c>
      <c r="J3955" t="s">
        <v>605</v>
      </c>
      <c r="K3955" t="s">
        <v>606</v>
      </c>
      <c r="L3955" t="s">
        <v>4273</v>
      </c>
      <c r="M3955" t="s">
        <v>2366</v>
      </c>
      <c r="N3955" t="s">
        <v>643</v>
      </c>
      <c r="O3955" t="s">
        <v>2506</v>
      </c>
      <c r="P3955" t="s">
        <v>739</v>
      </c>
      <c r="Q3955" t="s">
        <v>516</v>
      </c>
      <c r="R3955" t="s">
        <v>2368</v>
      </c>
      <c r="S3955" t="s">
        <v>2507</v>
      </c>
      <c r="T3955" t="s">
        <v>2526</v>
      </c>
      <c r="U3955">
        <v>245800</v>
      </c>
      <c r="V3955" t="s">
        <v>2568</v>
      </c>
      <c r="W3955" t="s">
        <v>2569</v>
      </c>
      <c r="X3955" t="s">
        <v>10392</v>
      </c>
      <c r="Y3955" t="s">
        <v>4276</v>
      </c>
      <c r="Z3955" t="s">
        <v>4277</v>
      </c>
      <c r="AA3955" t="s">
        <v>4278</v>
      </c>
      <c r="AB3955" t="s">
        <v>10393</v>
      </c>
      <c r="AE3955">
        <v>-41.226991329999997</v>
      </c>
      <c r="AF3955">
        <v>174.90472442000001</v>
      </c>
      <c r="AG3955" s="175">
        <v>40</v>
      </c>
      <c r="AH3955" s="175">
        <v>15</v>
      </c>
      <c r="AI3955" s="175">
        <v>2</v>
      </c>
      <c r="AJ3955" s="175">
        <v>6</v>
      </c>
      <c r="AK3955" s="175">
        <v>7</v>
      </c>
      <c r="AL3955" s="175">
        <v>9</v>
      </c>
      <c r="AM3955" s="175">
        <v>3</v>
      </c>
      <c r="AN3955" s="175">
        <v>0</v>
      </c>
      <c r="AO3955" s="175">
        <v>27</v>
      </c>
      <c r="AP3955" s="175">
        <v>0</v>
      </c>
      <c r="AQ3955" s="175">
        <v>26</v>
      </c>
      <c r="AR3955" s="175">
        <v>1</v>
      </c>
      <c r="AS3955" s="175">
        <v>0</v>
      </c>
      <c r="AT3955" s="175">
        <v>0</v>
      </c>
    </row>
    <row r="3956" spans="1:46">
      <c r="A3956">
        <v>64046</v>
      </c>
      <c r="B3956" t="s">
        <v>21633</v>
      </c>
      <c r="C3956" t="s">
        <v>21634</v>
      </c>
      <c r="D3956" t="s">
        <v>21635</v>
      </c>
      <c r="E3956" t="s">
        <v>21636</v>
      </c>
      <c r="F3956" t="s">
        <v>2708</v>
      </c>
      <c r="G3956" t="s">
        <v>2604</v>
      </c>
      <c r="H3956" t="s">
        <v>347</v>
      </c>
      <c r="J3956" t="s">
        <v>605</v>
      </c>
      <c r="K3956" t="s">
        <v>606</v>
      </c>
      <c r="L3956" t="s">
        <v>4273</v>
      </c>
      <c r="M3956" t="s">
        <v>2366</v>
      </c>
      <c r="N3956" t="s">
        <v>812</v>
      </c>
      <c r="O3956" t="s">
        <v>2605</v>
      </c>
      <c r="P3956" t="s">
        <v>670</v>
      </c>
      <c r="Q3956" t="s">
        <v>516</v>
      </c>
      <c r="R3956" t="s">
        <v>2368</v>
      </c>
      <c r="S3956" t="s">
        <v>2606</v>
      </c>
      <c r="T3956" t="s">
        <v>1568</v>
      </c>
      <c r="U3956">
        <v>240700</v>
      </c>
      <c r="V3956" t="s">
        <v>19132</v>
      </c>
      <c r="W3956" t="s">
        <v>2607</v>
      </c>
      <c r="X3956" t="s">
        <v>10392</v>
      </c>
      <c r="Y3956" t="s">
        <v>4276</v>
      </c>
      <c r="Z3956" t="s">
        <v>4277</v>
      </c>
      <c r="AA3956" t="s">
        <v>4278</v>
      </c>
      <c r="AB3956" t="s">
        <v>10393</v>
      </c>
      <c r="AE3956">
        <v>-41.147128549999998</v>
      </c>
      <c r="AF3956">
        <v>174.86657893</v>
      </c>
      <c r="AG3956" s="175">
        <v>45</v>
      </c>
      <c r="AH3956" s="175">
        <v>10</v>
      </c>
      <c r="AI3956" s="175">
        <v>2</v>
      </c>
      <c r="AJ3956" s="175">
        <v>6</v>
      </c>
      <c r="AK3956" s="175">
        <v>5</v>
      </c>
      <c r="AL3956" s="175">
        <v>3</v>
      </c>
      <c r="AM3956" s="175">
        <v>9</v>
      </c>
      <c r="AN3956" s="175">
        <v>0</v>
      </c>
      <c r="AO3956" s="175">
        <v>25</v>
      </c>
      <c r="AP3956" s="175">
        <v>0</v>
      </c>
      <c r="AQ3956" s="175">
        <v>18</v>
      </c>
      <c r="AR3956" s="175">
        <v>7</v>
      </c>
      <c r="AS3956" s="175">
        <v>0</v>
      </c>
      <c r="AT3956" s="175">
        <v>0</v>
      </c>
    </row>
    <row r="3957" spans="1:46">
      <c r="A3957">
        <v>64047</v>
      </c>
      <c r="B3957" t="s">
        <v>21637</v>
      </c>
      <c r="C3957" t="s">
        <v>21638</v>
      </c>
      <c r="D3957" t="s">
        <v>21639</v>
      </c>
      <c r="E3957" t="s">
        <v>21640</v>
      </c>
      <c r="F3957" t="s">
        <v>2867</v>
      </c>
      <c r="G3957" t="s">
        <v>2368</v>
      </c>
      <c r="H3957" t="s">
        <v>347</v>
      </c>
      <c r="J3957" t="s">
        <v>605</v>
      </c>
      <c r="K3957" t="s">
        <v>606</v>
      </c>
      <c r="L3957" t="s">
        <v>4273</v>
      </c>
      <c r="M3957" t="s">
        <v>2366</v>
      </c>
      <c r="N3957" t="s">
        <v>812</v>
      </c>
      <c r="O3957" t="s">
        <v>2614</v>
      </c>
      <c r="P3957" t="s">
        <v>739</v>
      </c>
      <c r="Q3957" t="s">
        <v>516</v>
      </c>
      <c r="R3957" t="s">
        <v>2368</v>
      </c>
      <c r="S3957" t="s">
        <v>2606</v>
      </c>
      <c r="T3957" t="s">
        <v>1568</v>
      </c>
      <c r="U3957">
        <v>247700</v>
      </c>
      <c r="V3957" t="s">
        <v>2867</v>
      </c>
      <c r="W3957" t="s">
        <v>2625</v>
      </c>
      <c r="X3957" t="s">
        <v>10392</v>
      </c>
      <c r="Y3957" t="s">
        <v>4276</v>
      </c>
      <c r="Z3957" t="s">
        <v>4277</v>
      </c>
      <c r="AA3957" t="s">
        <v>4278</v>
      </c>
      <c r="AB3957" t="s">
        <v>10393</v>
      </c>
      <c r="AE3957">
        <v>-41.153416380000003</v>
      </c>
      <c r="AF3957">
        <v>174.83701139999999</v>
      </c>
      <c r="AG3957" s="175">
        <v>25</v>
      </c>
      <c r="AH3957" s="175">
        <v>4</v>
      </c>
      <c r="AI3957" s="175">
        <v>0</v>
      </c>
      <c r="AJ3957" s="175">
        <v>3</v>
      </c>
      <c r="AK3957" s="175">
        <v>7</v>
      </c>
      <c r="AL3957" s="175">
        <v>4</v>
      </c>
      <c r="AM3957" s="175">
        <v>5</v>
      </c>
      <c r="AN3957" s="175">
        <v>0</v>
      </c>
      <c r="AO3957" s="175">
        <v>19</v>
      </c>
      <c r="AP3957" s="175">
        <v>0</v>
      </c>
      <c r="AQ3957" s="175">
        <v>17</v>
      </c>
      <c r="AR3957" s="175">
        <v>2</v>
      </c>
      <c r="AS3957" s="175">
        <v>0</v>
      </c>
      <c r="AT3957" s="175">
        <v>0</v>
      </c>
    </row>
    <row r="3958" spans="1:46">
      <c r="A3958">
        <v>64048</v>
      </c>
      <c r="B3958" t="s">
        <v>21641</v>
      </c>
      <c r="C3958" t="s">
        <v>21642</v>
      </c>
      <c r="D3958" t="s">
        <v>21643</v>
      </c>
      <c r="E3958" t="s">
        <v>21644</v>
      </c>
      <c r="G3958" t="s">
        <v>21645</v>
      </c>
      <c r="H3958" t="s">
        <v>347</v>
      </c>
      <c r="J3958" t="s">
        <v>605</v>
      </c>
      <c r="K3958" t="s">
        <v>606</v>
      </c>
      <c r="L3958" t="s">
        <v>4273</v>
      </c>
      <c r="M3958" t="s">
        <v>2366</v>
      </c>
      <c r="N3958" t="s">
        <v>625</v>
      </c>
      <c r="O3958" t="s">
        <v>2147</v>
      </c>
      <c r="P3958" t="s">
        <v>658</v>
      </c>
      <c r="Q3958" t="s">
        <v>553</v>
      </c>
      <c r="R3958" t="s">
        <v>2368</v>
      </c>
      <c r="S3958" t="s">
        <v>2148</v>
      </c>
      <c r="T3958" t="s">
        <v>1568</v>
      </c>
      <c r="U3958">
        <v>234801</v>
      </c>
      <c r="V3958" t="s">
        <v>10474</v>
      </c>
      <c r="W3958" t="s">
        <v>10475</v>
      </c>
      <c r="X3958" t="s">
        <v>10392</v>
      </c>
      <c r="Y3958" t="s">
        <v>4276</v>
      </c>
      <c r="Z3958" t="s">
        <v>4277</v>
      </c>
      <c r="AA3958" t="s">
        <v>4278</v>
      </c>
      <c r="AB3958" t="s">
        <v>10393</v>
      </c>
      <c r="AE3958">
        <v>-40.701002670000001</v>
      </c>
      <c r="AF3958">
        <v>175.22213976</v>
      </c>
      <c r="AG3958" s="175">
        <v>16</v>
      </c>
      <c r="AH3958" s="175">
        <v>4</v>
      </c>
      <c r="AI3958" s="175">
        <v>0</v>
      </c>
      <c r="AJ3958" s="175">
        <v>2</v>
      </c>
      <c r="AK3958" s="175">
        <v>4</v>
      </c>
      <c r="AL3958" s="175">
        <v>6</v>
      </c>
      <c r="AM3958" s="175">
        <v>3</v>
      </c>
      <c r="AN3958" s="175">
        <v>0</v>
      </c>
      <c r="AO3958" s="175">
        <v>15</v>
      </c>
      <c r="AP3958" s="175">
        <v>0</v>
      </c>
      <c r="AQ3958" s="175">
        <v>13</v>
      </c>
      <c r="AR3958" s="175">
        <v>0</v>
      </c>
      <c r="AS3958" s="175">
        <v>0</v>
      </c>
      <c r="AT3958" s="175">
        <v>2</v>
      </c>
    </row>
    <row r="3959" spans="1:46">
      <c r="A3959">
        <v>64054</v>
      </c>
      <c r="B3959" t="s">
        <v>21646</v>
      </c>
      <c r="C3959" t="s">
        <v>21647</v>
      </c>
      <c r="D3959" t="s">
        <v>21648</v>
      </c>
      <c r="E3959" t="s">
        <v>21649</v>
      </c>
      <c r="F3959" t="s">
        <v>2845</v>
      </c>
      <c r="G3959" t="s">
        <v>2604</v>
      </c>
      <c r="H3959" t="s">
        <v>347</v>
      </c>
      <c r="J3959" t="s">
        <v>605</v>
      </c>
      <c r="K3959" t="s">
        <v>606</v>
      </c>
      <c r="L3959" t="s">
        <v>4273</v>
      </c>
      <c r="M3959" t="s">
        <v>2366</v>
      </c>
      <c r="N3959" t="s">
        <v>625</v>
      </c>
      <c r="O3959" t="s">
        <v>2605</v>
      </c>
      <c r="P3959" t="s">
        <v>670</v>
      </c>
      <c r="Q3959" t="s">
        <v>516</v>
      </c>
      <c r="R3959" t="s">
        <v>2368</v>
      </c>
      <c r="S3959" t="s">
        <v>2606</v>
      </c>
      <c r="T3959" t="s">
        <v>1568</v>
      </c>
      <c r="U3959">
        <v>241000</v>
      </c>
      <c r="V3959" t="s">
        <v>2709</v>
      </c>
      <c r="W3959" t="s">
        <v>2607</v>
      </c>
      <c r="X3959" t="s">
        <v>10392</v>
      </c>
      <c r="Y3959" t="s">
        <v>4276</v>
      </c>
      <c r="Z3959" t="s">
        <v>4277</v>
      </c>
      <c r="AA3959" t="s">
        <v>4278</v>
      </c>
      <c r="AB3959" t="s">
        <v>10393</v>
      </c>
      <c r="AE3959">
        <v>-41.134766190000001</v>
      </c>
      <c r="AF3959">
        <v>174.87218322999999</v>
      </c>
      <c r="AG3959" s="175">
        <v>26</v>
      </c>
      <c r="AH3959" s="175">
        <v>5</v>
      </c>
      <c r="AI3959" s="175">
        <v>1</v>
      </c>
      <c r="AJ3959" s="175">
        <v>3</v>
      </c>
      <c r="AK3959" s="175">
        <v>3</v>
      </c>
      <c r="AL3959" s="175">
        <v>5</v>
      </c>
      <c r="AM3959" s="175">
        <v>4</v>
      </c>
      <c r="AN3959" s="175">
        <v>0</v>
      </c>
      <c r="AO3959" s="175">
        <v>16</v>
      </c>
      <c r="AP3959" s="175">
        <v>0</v>
      </c>
      <c r="AQ3959" s="175">
        <v>13</v>
      </c>
      <c r="AR3959" s="175">
        <v>2</v>
      </c>
      <c r="AS3959" s="175">
        <v>0</v>
      </c>
      <c r="AT3959" s="175">
        <v>1</v>
      </c>
    </row>
    <row r="3960" spans="1:46">
      <c r="A3960">
        <v>64056</v>
      </c>
      <c r="B3960" t="s">
        <v>21650</v>
      </c>
      <c r="C3960" t="s">
        <v>21651</v>
      </c>
      <c r="D3960" t="s">
        <v>21652</v>
      </c>
      <c r="E3960" t="s">
        <v>21653</v>
      </c>
      <c r="F3960" t="s">
        <v>20566</v>
      </c>
      <c r="G3960" t="s">
        <v>2505</v>
      </c>
      <c r="H3960" t="s">
        <v>347</v>
      </c>
      <c r="J3960" t="s">
        <v>605</v>
      </c>
      <c r="K3960" t="s">
        <v>606</v>
      </c>
      <c r="L3960" t="s">
        <v>4273</v>
      </c>
      <c r="M3960" t="s">
        <v>2366</v>
      </c>
      <c r="N3960" t="s">
        <v>625</v>
      </c>
      <c r="O3960" t="s">
        <v>2506</v>
      </c>
      <c r="P3960" t="s">
        <v>739</v>
      </c>
      <c r="Q3960" t="s">
        <v>516</v>
      </c>
      <c r="R3960" t="s">
        <v>2368</v>
      </c>
      <c r="S3960" t="s">
        <v>2451</v>
      </c>
      <c r="T3960" t="s">
        <v>2165</v>
      </c>
      <c r="U3960">
        <v>244400</v>
      </c>
      <c r="V3960" t="s">
        <v>21654</v>
      </c>
      <c r="W3960" t="s">
        <v>2521</v>
      </c>
      <c r="X3960" t="s">
        <v>10392</v>
      </c>
      <c r="Y3960" t="s">
        <v>4276</v>
      </c>
      <c r="Z3960" t="s">
        <v>4277</v>
      </c>
      <c r="AA3960" t="s">
        <v>4278</v>
      </c>
      <c r="AB3960" t="s">
        <v>10393</v>
      </c>
      <c r="AE3960">
        <v>-41.18944587</v>
      </c>
      <c r="AF3960">
        <v>174.95031560000001</v>
      </c>
      <c r="AG3960" s="175">
        <v>30</v>
      </c>
      <c r="AH3960" s="175">
        <v>7</v>
      </c>
      <c r="AI3960" s="175">
        <v>0</v>
      </c>
      <c r="AJ3960" s="175">
        <v>2</v>
      </c>
      <c r="AK3960" s="175">
        <v>7</v>
      </c>
      <c r="AL3960" s="175">
        <v>5</v>
      </c>
      <c r="AM3960" s="175">
        <v>6</v>
      </c>
      <c r="AN3960" s="175">
        <v>0</v>
      </c>
      <c r="AO3960" s="175">
        <v>20</v>
      </c>
      <c r="AP3960" s="175">
        <v>0</v>
      </c>
      <c r="AQ3960" s="175">
        <v>20</v>
      </c>
      <c r="AR3960" s="175">
        <v>0</v>
      </c>
      <c r="AS3960" s="175">
        <v>0</v>
      </c>
      <c r="AT3960" s="175">
        <v>0</v>
      </c>
    </row>
    <row r="3961" spans="1:46">
      <c r="A3961">
        <v>64057</v>
      </c>
      <c r="B3961" t="s">
        <v>21655</v>
      </c>
      <c r="C3961" t="s">
        <v>21656</v>
      </c>
      <c r="D3961" t="s">
        <v>21657</v>
      </c>
      <c r="E3961" t="s">
        <v>21658</v>
      </c>
      <c r="F3961" t="s">
        <v>2504</v>
      </c>
      <c r="G3961" t="s">
        <v>2505</v>
      </c>
      <c r="H3961" t="s">
        <v>347</v>
      </c>
      <c r="J3961" t="s">
        <v>605</v>
      </c>
      <c r="K3961" t="s">
        <v>606</v>
      </c>
      <c r="L3961" t="s">
        <v>4273</v>
      </c>
      <c r="M3961" t="s">
        <v>2366</v>
      </c>
      <c r="N3961" t="s">
        <v>643</v>
      </c>
      <c r="O3961" t="s">
        <v>2506</v>
      </c>
      <c r="P3961" t="s">
        <v>739</v>
      </c>
      <c r="Q3961" t="s">
        <v>516</v>
      </c>
      <c r="R3961" t="s">
        <v>2368</v>
      </c>
      <c r="S3961" t="s">
        <v>2507</v>
      </c>
      <c r="T3961" t="s">
        <v>2165</v>
      </c>
      <c r="U3961">
        <v>247400</v>
      </c>
      <c r="V3961" t="s">
        <v>20802</v>
      </c>
      <c r="W3961" t="s">
        <v>2509</v>
      </c>
      <c r="X3961" t="s">
        <v>10392</v>
      </c>
      <c r="Y3961" t="s">
        <v>4276</v>
      </c>
      <c r="Z3961" t="s">
        <v>4277</v>
      </c>
      <c r="AA3961" t="s">
        <v>4278</v>
      </c>
      <c r="AB3961" t="s">
        <v>10393</v>
      </c>
      <c r="AC3961">
        <v>99090</v>
      </c>
      <c r="AD3961" t="s">
        <v>2514</v>
      </c>
      <c r="AE3961">
        <v>-41.276977860000002</v>
      </c>
      <c r="AF3961">
        <v>174.94891081</v>
      </c>
      <c r="AG3961" s="175">
        <v>50</v>
      </c>
      <c r="AH3961" s="175">
        <v>20</v>
      </c>
      <c r="AI3961" s="175">
        <v>0</v>
      </c>
      <c r="AJ3961" s="175">
        <v>9</v>
      </c>
      <c r="AK3961" s="175">
        <v>12</v>
      </c>
      <c r="AL3961" s="175">
        <v>10</v>
      </c>
      <c r="AM3961" s="175">
        <v>9</v>
      </c>
      <c r="AN3961" s="175">
        <v>0</v>
      </c>
      <c r="AO3961" s="175">
        <v>40</v>
      </c>
      <c r="AP3961" s="175">
        <v>0</v>
      </c>
      <c r="AQ3961" s="175">
        <v>39</v>
      </c>
      <c r="AR3961" s="175">
        <v>0</v>
      </c>
      <c r="AS3961" s="175">
        <v>0</v>
      </c>
      <c r="AT3961" s="175">
        <v>1</v>
      </c>
    </row>
    <row r="3962" spans="1:46">
      <c r="A3962">
        <v>64058</v>
      </c>
      <c r="B3962" t="s">
        <v>21659</v>
      </c>
      <c r="C3962" t="s">
        <v>21660</v>
      </c>
      <c r="D3962" t="s">
        <v>21661</v>
      </c>
      <c r="E3962" t="s">
        <v>21662</v>
      </c>
      <c r="G3962" t="s">
        <v>16448</v>
      </c>
      <c r="H3962" t="s">
        <v>347</v>
      </c>
      <c r="J3962" t="s">
        <v>605</v>
      </c>
      <c r="K3962" t="s">
        <v>606</v>
      </c>
      <c r="L3962" t="s">
        <v>4273</v>
      </c>
      <c r="M3962" t="s">
        <v>2366</v>
      </c>
      <c r="N3962" t="s">
        <v>657</v>
      </c>
      <c r="O3962" t="s">
        <v>2753</v>
      </c>
      <c r="P3962" t="s">
        <v>1347</v>
      </c>
      <c r="Q3962" t="s">
        <v>516</v>
      </c>
      <c r="R3962" t="s">
        <v>2368</v>
      </c>
      <c r="S3962" t="s">
        <v>2606</v>
      </c>
      <c r="T3962" t="s">
        <v>1568</v>
      </c>
      <c r="U3962">
        <v>238500</v>
      </c>
      <c r="V3962" t="s">
        <v>16448</v>
      </c>
      <c r="W3962" t="s">
        <v>2829</v>
      </c>
      <c r="X3962" t="s">
        <v>10392</v>
      </c>
      <c r="Y3962" t="s">
        <v>4276</v>
      </c>
      <c r="Z3962" t="s">
        <v>4277</v>
      </c>
      <c r="AA3962" t="s">
        <v>4278</v>
      </c>
      <c r="AB3962" t="s">
        <v>10393</v>
      </c>
      <c r="AE3962">
        <v>-40.938745580000003</v>
      </c>
      <c r="AF3962">
        <v>174.97733428000001</v>
      </c>
      <c r="AG3962" s="175">
        <v>21</v>
      </c>
      <c r="AH3962" s="175">
        <v>5</v>
      </c>
      <c r="AI3962" s="175">
        <v>0</v>
      </c>
      <c r="AJ3962" s="175">
        <v>3</v>
      </c>
      <c r="AK3962" s="175">
        <v>6</v>
      </c>
      <c r="AL3962" s="175">
        <v>2</v>
      </c>
      <c r="AM3962" s="175">
        <v>5</v>
      </c>
      <c r="AN3962" s="175">
        <v>0</v>
      </c>
      <c r="AO3962" s="175">
        <v>16</v>
      </c>
      <c r="AP3962" s="175">
        <v>0</v>
      </c>
      <c r="AQ3962" s="175">
        <v>13</v>
      </c>
      <c r="AR3962" s="175">
        <v>1</v>
      </c>
      <c r="AS3962" s="175">
        <v>0</v>
      </c>
      <c r="AT3962" s="175">
        <v>2</v>
      </c>
    </row>
    <row r="3963" spans="1:46">
      <c r="A3963">
        <v>65001</v>
      </c>
      <c r="B3963" t="s">
        <v>21663</v>
      </c>
      <c r="C3963" t="s">
        <v>21664</v>
      </c>
      <c r="D3963" t="s">
        <v>21665</v>
      </c>
      <c r="E3963" t="s">
        <v>21666</v>
      </c>
      <c r="G3963" t="s">
        <v>13319</v>
      </c>
      <c r="H3963" t="s">
        <v>301</v>
      </c>
      <c r="J3963" t="s">
        <v>605</v>
      </c>
      <c r="K3963" t="s">
        <v>606</v>
      </c>
      <c r="M3963" t="s">
        <v>2366</v>
      </c>
      <c r="N3963" t="s">
        <v>657</v>
      </c>
      <c r="O3963" t="s">
        <v>2900</v>
      </c>
      <c r="P3963" t="s">
        <v>626</v>
      </c>
      <c r="Q3963" t="s">
        <v>519</v>
      </c>
      <c r="R3963" t="s">
        <v>2901</v>
      </c>
      <c r="S3963" t="s">
        <v>2902</v>
      </c>
      <c r="T3963" t="s">
        <v>2526</v>
      </c>
      <c r="U3963">
        <v>307000</v>
      </c>
      <c r="V3963" t="s">
        <v>13320</v>
      </c>
      <c r="W3963" t="s">
        <v>3939</v>
      </c>
      <c r="X3963" t="s">
        <v>21667</v>
      </c>
      <c r="Y3963" t="s">
        <v>5253</v>
      </c>
      <c r="AA3963" t="s">
        <v>5254</v>
      </c>
      <c r="AB3963" t="s">
        <v>11080</v>
      </c>
      <c r="AE3963">
        <v>-41.675046100000003</v>
      </c>
      <c r="AF3963">
        <v>174.07310390000001</v>
      </c>
      <c r="AG3963" s="175">
        <v>24</v>
      </c>
      <c r="AH3963" s="175">
        <v>15</v>
      </c>
      <c r="AI3963" s="175">
        <v>1</v>
      </c>
      <c r="AJ3963" s="175">
        <v>5</v>
      </c>
      <c r="AK3963" s="175">
        <v>1</v>
      </c>
      <c r="AL3963" s="175">
        <v>3</v>
      </c>
      <c r="AM3963" s="175">
        <v>2</v>
      </c>
      <c r="AN3963" s="175">
        <v>0</v>
      </c>
      <c r="AO3963" s="175">
        <v>12</v>
      </c>
      <c r="AP3963" s="175">
        <v>12</v>
      </c>
      <c r="AQ3963" s="175">
        <v>1</v>
      </c>
      <c r="AR3963" s="175">
        <v>0</v>
      </c>
      <c r="AS3963" s="175">
        <v>0</v>
      </c>
      <c r="AT3963" s="175">
        <v>0</v>
      </c>
    </row>
    <row r="3964" spans="1:46">
      <c r="A3964">
        <v>65002</v>
      </c>
      <c r="B3964" t="s">
        <v>21668</v>
      </c>
      <c r="C3964" t="s">
        <v>21669</v>
      </c>
      <c r="D3964" t="s">
        <v>21665</v>
      </c>
      <c r="E3964" t="s">
        <v>21670</v>
      </c>
      <c r="F3964" t="s">
        <v>2899</v>
      </c>
      <c r="G3964" t="s">
        <v>2899</v>
      </c>
      <c r="H3964" t="s">
        <v>301</v>
      </c>
      <c r="J3964" t="s">
        <v>605</v>
      </c>
      <c r="K3964" t="s">
        <v>606</v>
      </c>
      <c r="M3964" t="s">
        <v>2366</v>
      </c>
      <c r="N3964" t="s">
        <v>657</v>
      </c>
      <c r="O3964" t="s">
        <v>2900</v>
      </c>
      <c r="P3964" t="s">
        <v>1347</v>
      </c>
      <c r="Q3964" t="s">
        <v>519</v>
      </c>
      <c r="R3964" t="s">
        <v>2901</v>
      </c>
      <c r="S3964" t="s">
        <v>2902</v>
      </c>
      <c r="T3964" t="s">
        <v>2526</v>
      </c>
      <c r="U3964">
        <v>307801</v>
      </c>
      <c r="V3964" t="s">
        <v>21671</v>
      </c>
      <c r="W3964" t="s">
        <v>2903</v>
      </c>
      <c r="X3964" t="s">
        <v>11079</v>
      </c>
      <c r="Y3964" t="s">
        <v>5253</v>
      </c>
      <c r="AA3964" t="s">
        <v>5254</v>
      </c>
      <c r="AB3964" t="s">
        <v>11080</v>
      </c>
      <c r="AE3964">
        <v>-41.520111399999998</v>
      </c>
      <c r="AF3964">
        <v>173.94750400000001</v>
      </c>
      <c r="AG3964" s="175">
        <v>30</v>
      </c>
      <c r="AH3964" s="175">
        <v>20</v>
      </c>
      <c r="AI3964" s="175">
        <v>14</v>
      </c>
      <c r="AJ3964" s="175">
        <v>7</v>
      </c>
      <c r="AK3964" s="175">
        <v>4</v>
      </c>
      <c r="AL3964" s="175">
        <v>4</v>
      </c>
      <c r="AM3964" s="175">
        <v>1</v>
      </c>
      <c r="AN3964" s="175">
        <v>1</v>
      </c>
      <c r="AO3964" s="175">
        <v>31</v>
      </c>
      <c r="AP3964" s="175">
        <v>29</v>
      </c>
      <c r="AQ3964" s="175">
        <v>9</v>
      </c>
      <c r="AR3964" s="175">
        <v>0</v>
      </c>
      <c r="AS3964" s="175">
        <v>3</v>
      </c>
      <c r="AT3964" s="175">
        <v>0</v>
      </c>
    </row>
    <row r="3965" spans="1:46">
      <c r="A3965">
        <v>65003</v>
      </c>
      <c r="B3965" t="s">
        <v>21672</v>
      </c>
      <c r="C3965" t="s">
        <v>21673</v>
      </c>
      <c r="D3965" t="s">
        <v>21665</v>
      </c>
      <c r="E3965" t="s">
        <v>21674</v>
      </c>
      <c r="G3965" t="s">
        <v>21675</v>
      </c>
      <c r="H3965" t="s">
        <v>301</v>
      </c>
      <c r="J3965" t="s">
        <v>605</v>
      </c>
      <c r="K3965" t="s">
        <v>606</v>
      </c>
      <c r="M3965" t="s">
        <v>2366</v>
      </c>
      <c r="N3965" t="s">
        <v>657</v>
      </c>
      <c r="O3965" t="s">
        <v>2900</v>
      </c>
      <c r="P3965" t="s">
        <v>610</v>
      </c>
      <c r="Q3965" t="s">
        <v>519</v>
      </c>
      <c r="R3965" t="s">
        <v>2901</v>
      </c>
      <c r="S3965" t="s">
        <v>2902</v>
      </c>
      <c r="T3965" t="s">
        <v>2526</v>
      </c>
      <c r="U3965">
        <v>306801</v>
      </c>
      <c r="V3965" t="s">
        <v>21676</v>
      </c>
      <c r="W3965" t="s">
        <v>21677</v>
      </c>
      <c r="X3965" t="s">
        <v>21667</v>
      </c>
      <c r="Y3965" t="s">
        <v>5253</v>
      </c>
      <c r="AA3965" t="s">
        <v>5254</v>
      </c>
      <c r="AB3965" t="s">
        <v>11080</v>
      </c>
      <c r="AE3965">
        <v>-41.294935770000002</v>
      </c>
      <c r="AF3965">
        <v>174.00439556000001</v>
      </c>
      <c r="AG3965" s="175">
        <v>30</v>
      </c>
      <c r="AH3965" s="175">
        <v>15</v>
      </c>
      <c r="AI3965" s="175">
        <v>3</v>
      </c>
      <c r="AJ3965" s="175">
        <v>4</v>
      </c>
      <c r="AK3965" s="175">
        <v>2</v>
      </c>
      <c r="AL3965" s="175">
        <v>3</v>
      </c>
      <c r="AM3965" s="175">
        <v>1</v>
      </c>
      <c r="AN3965" s="175">
        <v>0</v>
      </c>
      <c r="AO3965" s="175">
        <v>13</v>
      </c>
      <c r="AP3965" s="175">
        <v>13</v>
      </c>
      <c r="AQ3965" s="175">
        <v>5</v>
      </c>
      <c r="AR3965" s="175">
        <v>0</v>
      </c>
      <c r="AS3965" s="175">
        <v>0</v>
      </c>
      <c r="AT3965" s="175">
        <v>0</v>
      </c>
    </row>
    <row r="3966" spans="1:46">
      <c r="A3966">
        <v>65004</v>
      </c>
      <c r="B3966" t="s">
        <v>21678</v>
      </c>
      <c r="C3966" t="s">
        <v>21679</v>
      </c>
      <c r="D3966" t="s">
        <v>21665</v>
      </c>
      <c r="E3966" t="s">
        <v>21680</v>
      </c>
      <c r="G3966" t="s">
        <v>3938</v>
      </c>
      <c r="H3966" t="s">
        <v>301</v>
      </c>
      <c r="J3966" t="s">
        <v>605</v>
      </c>
      <c r="K3966" t="s">
        <v>606</v>
      </c>
      <c r="M3966" t="s">
        <v>2366</v>
      </c>
      <c r="N3966" t="s">
        <v>657</v>
      </c>
      <c r="O3966" t="s">
        <v>2900</v>
      </c>
      <c r="P3966" t="s">
        <v>610</v>
      </c>
      <c r="Q3966" t="s">
        <v>519</v>
      </c>
      <c r="R3966" t="s">
        <v>2901</v>
      </c>
      <c r="S3966" t="s">
        <v>2902</v>
      </c>
      <c r="T3966" t="s">
        <v>2526</v>
      </c>
      <c r="U3966">
        <v>307100</v>
      </c>
      <c r="V3966" t="s">
        <v>3938</v>
      </c>
      <c r="W3966" t="s">
        <v>3939</v>
      </c>
      <c r="X3966" t="s">
        <v>21667</v>
      </c>
      <c r="Y3966" t="s">
        <v>5253</v>
      </c>
      <c r="AA3966" t="s">
        <v>5254</v>
      </c>
      <c r="AB3966" t="s">
        <v>11080</v>
      </c>
      <c r="AE3966">
        <v>-41.508850649999999</v>
      </c>
      <c r="AF3966">
        <v>173.83162770000001</v>
      </c>
      <c r="AG3966" s="175">
        <v>26</v>
      </c>
      <c r="AH3966" s="175">
        <v>20</v>
      </c>
      <c r="AI3966" s="175">
        <v>3</v>
      </c>
      <c r="AJ3966" s="175">
        <v>4</v>
      </c>
      <c r="AK3966" s="175">
        <v>2</v>
      </c>
      <c r="AL3966" s="175">
        <v>3</v>
      </c>
      <c r="AM3966" s="175">
        <v>1</v>
      </c>
      <c r="AN3966" s="175">
        <v>0</v>
      </c>
      <c r="AO3966" s="175">
        <v>13</v>
      </c>
      <c r="AP3966" s="175">
        <v>12</v>
      </c>
      <c r="AQ3966" s="175">
        <v>1</v>
      </c>
      <c r="AR3966" s="175">
        <v>0</v>
      </c>
      <c r="AS3966" s="175">
        <v>0</v>
      </c>
      <c r="AT3966" s="175">
        <v>0</v>
      </c>
    </row>
    <row r="3967" spans="1:46">
      <c r="A3967">
        <v>65008</v>
      </c>
      <c r="B3967" t="s">
        <v>21681</v>
      </c>
      <c r="C3967" t="s">
        <v>21682</v>
      </c>
      <c r="D3967" t="s">
        <v>21683</v>
      </c>
      <c r="E3967" t="s">
        <v>21684</v>
      </c>
      <c r="F3967" t="s">
        <v>21685</v>
      </c>
      <c r="G3967" t="s">
        <v>2930</v>
      </c>
      <c r="H3967" t="s">
        <v>301</v>
      </c>
      <c r="J3967" t="s">
        <v>605</v>
      </c>
      <c r="K3967" t="s">
        <v>606</v>
      </c>
      <c r="M3967" t="s">
        <v>2366</v>
      </c>
      <c r="N3967" t="s">
        <v>657</v>
      </c>
      <c r="O3967" t="s">
        <v>2931</v>
      </c>
      <c r="P3967" t="s">
        <v>670</v>
      </c>
      <c r="Q3967" t="s">
        <v>518</v>
      </c>
      <c r="R3967" t="s">
        <v>2901</v>
      </c>
      <c r="S3967" t="s">
        <v>2930</v>
      </c>
      <c r="T3967" t="s">
        <v>2526</v>
      </c>
      <c r="U3967">
        <v>306000</v>
      </c>
      <c r="V3967" t="s">
        <v>15107</v>
      </c>
      <c r="W3967" t="s">
        <v>2933</v>
      </c>
      <c r="X3967" t="s">
        <v>21686</v>
      </c>
      <c r="Y3967" t="s">
        <v>5253</v>
      </c>
      <c r="AA3967" t="s">
        <v>5254</v>
      </c>
      <c r="AB3967" t="s">
        <v>21687</v>
      </c>
      <c r="AC3967">
        <v>99142</v>
      </c>
      <c r="AD3967" t="s">
        <v>2960</v>
      </c>
      <c r="AE3967">
        <v>-41.305615230000001</v>
      </c>
      <c r="AF3967">
        <v>173.25644990000001</v>
      </c>
      <c r="AG3967" s="175">
        <v>30</v>
      </c>
      <c r="AH3967" s="175">
        <v>20</v>
      </c>
      <c r="AI3967" s="175">
        <v>30</v>
      </c>
      <c r="AJ3967" s="175">
        <v>12</v>
      </c>
      <c r="AK3967" s="175">
        <v>5</v>
      </c>
      <c r="AL3967" s="175">
        <v>6</v>
      </c>
      <c r="AM3967" s="175">
        <v>3</v>
      </c>
      <c r="AN3967" s="175">
        <v>0</v>
      </c>
      <c r="AO3967" s="175">
        <v>56</v>
      </c>
      <c r="AP3967" s="175">
        <v>55</v>
      </c>
      <c r="AQ3967" s="175">
        <v>9</v>
      </c>
      <c r="AR3967" s="175">
        <v>0</v>
      </c>
      <c r="AS3967" s="175">
        <v>2</v>
      </c>
      <c r="AT3967" s="175">
        <v>0</v>
      </c>
    </row>
    <row r="3968" spans="1:46">
      <c r="A3968">
        <v>65009</v>
      </c>
      <c r="B3968" t="s">
        <v>21688</v>
      </c>
      <c r="C3968" t="s">
        <v>21689</v>
      </c>
      <c r="E3968" t="s">
        <v>21690</v>
      </c>
      <c r="G3968" t="s">
        <v>3679</v>
      </c>
      <c r="H3968" t="s">
        <v>449</v>
      </c>
      <c r="J3968" t="s">
        <v>4032</v>
      </c>
      <c r="K3968" t="s">
        <v>606</v>
      </c>
      <c r="M3968" t="s">
        <v>2366</v>
      </c>
      <c r="N3968" t="s">
        <v>657</v>
      </c>
      <c r="O3968" t="s">
        <v>3016</v>
      </c>
      <c r="P3968" t="s">
        <v>739</v>
      </c>
      <c r="Q3968" t="s">
        <v>521</v>
      </c>
      <c r="R3968" t="s">
        <v>3017</v>
      </c>
      <c r="S3968" t="s">
        <v>3038</v>
      </c>
      <c r="T3968" t="s">
        <v>2526</v>
      </c>
      <c r="U3968">
        <v>317301</v>
      </c>
      <c r="V3968" t="s">
        <v>3680</v>
      </c>
      <c r="W3968" t="s">
        <v>3059</v>
      </c>
      <c r="X3968" t="s">
        <v>21691</v>
      </c>
      <c r="Y3968" t="s">
        <v>21692</v>
      </c>
      <c r="Z3968" t="s">
        <v>13057</v>
      </c>
      <c r="AA3968" t="s">
        <v>18089</v>
      </c>
      <c r="AB3968" t="s">
        <v>21693</v>
      </c>
      <c r="AE3968">
        <v>-43.446350940000002</v>
      </c>
      <c r="AF3968">
        <v>172.63183946999999</v>
      </c>
      <c r="AG3968" s="175">
        <v>42</v>
      </c>
      <c r="AH3968" s="175">
        <v>12</v>
      </c>
      <c r="AI3968" s="175"/>
      <c r="AJ3968" s="175"/>
      <c r="AK3968" s="175"/>
      <c r="AL3968" s="175"/>
      <c r="AM3968" s="175"/>
      <c r="AN3968" s="175"/>
      <c r="AO3968" s="175"/>
      <c r="AP3968" s="175"/>
      <c r="AQ3968" s="175"/>
      <c r="AR3968" s="175"/>
      <c r="AS3968" s="175"/>
    </row>
    <row r="3969" spans="1:46">
      <c r="A3969">
        <v>65011</v>
      </c>
      <c r="B3969" t="s">
        <v>21694</v>
      </c>
      <c r="C3969" t="s">
        <v>21695</v>
      </c>
      <c r="D3969" t="s">
        <v>21696</v>
      </c>
      <c r="E3969" t="s">
        <v>21697</v>
      </c>
      <c r="F3969" t="s">
        <v>13270</v>
      </c>
      <c r="G3969" t="s">
        <v>3015</v>
      </c>
      <c r="H3969" t="s">
        <v>449</v>
      </c>
      <c r="J3969" t="s">
        <v>4032</v>
      </c>
      <c r="K3969" t="s">
        <v>606</v>
      </c>
      <c r="M3969" t="s">
        <v>2366</v>
      </c>
      <c r="N3969" t="s">
        <v>657</v>
      </c>
      <c r="O3969" t="s">
        <v>3016</v>
      </c>
      <c r="P3969" t="s">
        <v>739</v>
      </c>
      <c r="Q3969" t="s">
        <v>521</v>
      </c>
      <c r="R3969" t="s">
        <v>3017</v>
      </c>
      <c r="S3969" t="s">
        <v>3092</v>
      </c>
      <c r="T3969" t="s">
        <v>2526</v>
      </c>
      <c r="U3969">
        <v>319800</v>
      </c>
      <c r="V3969" t="s">
        <v>18697</v>
      </c>
      <c r="W3969" t="s">
        <v>3093</v>
      </c>
      <c r="X3969" t="s">
        <v>21698</v>
      </c>
      <c r="Y3969" t="s">
        <v>21699</v>
      </c>
      <c r="Z3969" t="s">
        <v>13270</v>
      </c>
      <c r="AA3969" t="s">
        <v>11482</v>
      </c>
      <c r="AB3969" t="s">
        <v>21700</v>
      </c>
      <c r="AC3969">
        <v>99045</v>
      </c>
      <c r="AD3969" t="s">
        <v>3094</v>
      </c>
      <c r="AE3969">
        <v>-43.53369163</v>
      </c>
      <c r="AF3969">
        <v>172.54647052999999</v>
      </c>
      <c r="AG3969" s="175">
        <v>27</v>
      </c>
      <c r="AH3969" s="175">
        <v>0</v>
      </c>
      <c r="AI3969" s="175">
        <v>0</v>
      </c>
      <c r="AJ3969" s="175">
        <v>0</v>
      </c>
      <c r="AK3969" s="175">
        <v>2</v>
      </c>
      <c r="AL3969" s="175">
        <v>13</v>
      </c>
      <c r="AM3969" s="175">
        <v>5</v>
      </c>
      <c r="AN3969" s="175">
        <v>2</v>
      </c>
      <c r="AO3969" s="175">
        <v>22</v>
      </c>
      <c r="AP3969" s="175">
        <v>4</v>
      </c>
      <c r="AQ3969" s="175">
        <v>0</v>
      </c>
      <c r="AR3969" s="175">
        <v>1</v>
      </c>
      <c r="AS3969" s="175">
        <v>20</v>
      </c>
      <c r="AT3969" s="175">
        <v>1</v>
      </c>
    </row>
    <row r="3970" spans="1:46">
      <c r="A3970">
        <v>65014</v>
      </c>
      <c r="B3970" t="s">
        <v>21701</v>
      </c>
      <c r="C3970" t="s">
        <v>21702</v>
      </c>
      <c r="D3970" t="s">
        <v>21703</v>
      </c>
      <c r="E3970" t="s">
        <v>21704</v>
      </c>
      <c r="G3970" t="s">
        <v>10974</v>
      </c>
      <c r="H3970" t="s">
        <v>449</v>
      </c>
      <c r="J3970" t="s">
        <v>605</v>
      </c>
      <c r="K3970" t="s">
        <v>606</v>
      </c>
      <c r="M3970" t="s">
        <v>2366</v>
      </c>
      <c r="N3970" t="s">
        <v>657</v>
      </c>
      <c r="O3970" t="s">
        <v>3281</v>
      </c>
      <c r="P3970" t="s">
        <v>1347</v>
      </c>
      <c r="Q3970" t="s">
        <v>521</v>
      </c>
      <c r="R3970" t="s">
        <v>3017</v>
      </c>
      <c r="S3970" t="s">
        <v>3252</v>
      </c>
      <c r="T3970" t="s">
        <v>2526</v>
      </c>
      <c r="U3970">
        <v>335101</v>
      </c>
      <c r="V3970" t="s">
        <v>11634</v>
      </c>
      <c r="W3970" t="s">
        <v>10977</v>
      </c>
      <c r="X3970" t="s">
        <v>10864</v>
      </c>
      <c r="Y3970" t="s">
        <v>4014</v>
      </c>
      <c r="Z3970" t="s">
        <v>4015</v>
      </c>
      <c r="AA3970" t="s">
        <v>4016</v>
      </c>
      <c r="AC3970">
        <v>99206</v>
      </c>
      <c r="AD3970" t="s">
        <v>3284</v>
      </c>
      <c r="AE3970">
        <v>-43.597834390000003</v>
      </c>
      <c r="AF3970">
        <v>172.38365777000001</v>
      </c>
      <c r="AG3970" s="175">
        <v>50</v>
      </c>
      <c r="AH3970" s="175">
        <v>20</v>
      </c>
      <c r="AI3970" s="175">
        <v>2</v>
      </c>
      <c r="AJ3970" s="175">
        <v>14</v>
      </c>
      <c r="AK3970" s="175">
        <v>11</v>
      </c>
      <c r="AL3970" s="175">
        <v>20</v>
      </c>
      <c r="AM3970" s="175">
        <v>10</v>
      </c>
      <c r="AN3970" s="175">
        <v>0</v>
      </c>
      <c r="AO3970" s="175">
        <v>57</v>
      </c>
      <c r="AP3970" s="175">
        <v>37</v>
      </c>
      <c r="AQ3970" s="175">
        <v>10</v>
      </c>
      <c r="AR3970" s="175">
        <v>1</v>
      </c>
      <c r="AS3970" s="175">
        <v>15</v>
      </c>
      <c r="AT3970" s="175">
        <v>8</v>
      </c>
    </row>
    <row r="3971" spans="1:46">
      <c r="A3971">
        <v>65015</v>
      </c>
      <c r="B3971" t="s">
        <v>21705</v>
      </c>
      <c r="C3971" t="s">
        <v>21706</v>
      </c>
      <c r="D3971" t="s">
        <v>21707</v>
      </c>
      <c r="E3971" t="s">
        <v>21708</v>
      </c>
      <c r="G3971" t="s">
        <v>3036</v>
      </c>
      <c r="H3971" t="s">
        <v>449</v>
      </c>
      <c r="J3971" t="s">
        <v>4032</v>
      </c>
      <c r="K3971" t="s">
        <v>606</v>
      </c>
      <c r="M3971" t="s">
        <v>2366</v>
      </c>
      <c r="N3971" t="s">
        <v>657</v>
      </c>
      <c r="O3971" t="s">
        <v>3037</v>
      </c>
      <c r="P3971" t="s">
        <v>1347</v>
      </c>
      <c r="Q3971" t="s">
        <v>521</v>
      </c>
      <c r="R3971" t="s">
        <v>3017</v>
      </c>
      <c r="S3971" t="s">
        <v>3038</v>
      </c>
      <c r="T3971" t="s">
        <v>2526</v>
      </c>
      <c r="U3971">
        <v>314501</v>
      </c>
      <c r="V3971" t="s">
        <v>3039</v>
      </c>
      <c r="W3971" t="s">
        <v>3040</v>
      </c>
      <c r="X3971" t="s">
        <v>21709</v>
      </c>
      <c r="Y3971" t="s">
        <v>21710</v>
      </c>
      <c r="Z3971" t="s">
        <v>21711</v>
      </c>
      <c r="AA3971" t="s">
        <v>3415</v>
      </c>
      <c r="AB3971" t="s">
        <v>21712</v>
      </c>
      <c r="AE3971">
        <v>-43.312355699999998</v>
      </c>
      <c r="AF3971">
        <v>172.58621894999999</v>
      </c>
      <c r="AG3971" s="175">
        <v>56</v>
      </c>
      <c r="AH3971" s="175">
        <v>8</v>
      </c>
      <c r="AI3971" s="175">
        <v>5</v>
      </c>
      <c r="AJ3971" s="175">
        <v>7</v>
      </c>
      <c r="AK3971" s="175">
        <v>14</v>
      </c>
      <c r="AL3971" s="175">
        <v>21</v>
      </c>
      <c r="AM3971" s="175">
        <v>19</v>
      </c>
      <c r="AN3971" s="175">
        <v>5</v>
      </c>
      <c r="AO3971" s="175">
        <v>71</v>
      </c>
      <c r="AP3971" s="175">
        <v>65</v>
      </c>
      <c r="AQ3971" s="175">
        <v>15</v>
      </c>
      <c r="AR3971" s="175">
        <v>5</v>
      </c>
      <c r="AS3971" s="175">
        <v>3</v>
      </c>
      <c r="AT3971" s="175">
        <v>2</v>
      </c>
    </row>
    <row r="3972" spans="1:46">
      <c r="A3972">
        <v>65016</v>
      </c>
      <c r="B3972" t="s">
        <v>21713</v>
      </c>
      <c r="C3972" t="s">
        <v>21714</v>
      </c>
      <c r="E3972" t="s">
        <v>21715</v>
      </c>
      <c r="F3972" t="s">
        <v>14722</v>
      </c>
      <c r="G3972" t="s">
        <v>3015</v>
      </c>
      <c r="H3972" t="s">
        <v>449</v>
      </c>
      <c r="I3972" t="s">
        <v>4233</v>
      </c>
      <c r="J3972" t="s">
        <v>605</v>
      </c>
      <c r="K3972" t="s">
        <v>606</v>
      </c>
      <c r="M3972" t="s">
        <v>2366</v>
      </c>
      <c r="N3972" t="s">
        <v>608</v>
      </c>
      <c r="O3972" t="s">
        <v>3016</v>
      </c>
      <c r="P3972" t="s">
        <v>739</v>
      </c>
      <c r="Q3972" t="s">
        <v>521</v>
      </c>
      <c r="R3972" t="s">
        <v>3017</v>
      </c>
      <c r="S3972" t="s">
        <v>3052</v>
      </c>
      <c r="T3972" t="s">
        <v>2526</v>
      </c>
      <c r="U3972">
        <v>331100</v>
      </c>
      <c r="V3972" t="s">
        <v>21716</v>
      </c>
      <c r="W3972" t="s">
        <v>3066</v>
      </c>
      <c r="X3972" t="s">
        <v>21717</v>
      </c>
      <c r="Y3972" t="s">
        <v>21718</v>
      </c>
      <c r="Z3972" t="s">
        <v>21719</v>
      </c>
      <c r="AA3972" t="s">
        <v>21720</v>
      </c>
      <c r="AE3972">
        <v>-43.547076949999997</v>
      </c>
      <c r="AF3972">
        <v>172.69352623</v>
      </c>
      <c r="AG3972" s="175">
        <v>25</v>
      </c>
      <c r="AH3972" s="175">
        <v>5</v>
      </c>
      <c r="AI3972" s="175">
        <v>1</v>
      </c>
      <c r="AJ3972" s="175">
        <v>3</v>
      </c>
      <c r="AK3972" s="175">
        <v>6</v>
      </c>
      <c r="AL3972" s="175">
        <v>4</v>
      </c>
      <c r="AM3972" s="175">
        <v>4</v>
      </c>
      <c r="AN3972" s="175">
        <v>0</v>
      </c>
      <c r="AO3972" s="175">
        <v>18</v>
      </c>
      <c r="AP3972" s="175">
        <v>7</v>
      </c>
      <c r="AQ3972" s="175">
        <v>2</v>
      </c>
      <c r="AR3972" s="175">
        <v>18</v>
      </c>
      <c r="AS3972" s="175">
        <v>0</v>
      </c>
      <c r="AT3972" s="175">
        <v>0</v>
      </c>
    </row>
    <row r="3973" spans="1:46">
      <c r="A3973">
        <v>65019</v>
      </c>
      <c r="B3973" t="s">
        <v>21721</v>
      </c>
      <c r="C3973" t="s">
        <v>21722</v>
      </c>
      <c r="D3973" t="s">
        <v>21723</v>
      </c>
      <c r="E3973" t="s">
        <v>21724</v>
      </c>
      <c r="G3973" t="s">
        <v>3036</v>
      </c>
      <c r="H3973" t="s">
        <v>449</v>
      </c>
      <c r="J3973" t="s">
        <v>4032</v>
      </c>
      <c r="K3973" t="s">
        <v>606</v>
      </c>
      <c r="M3973" t="s">
        <v>2366</v>
      </c>
      <c r="N3973" t="s">
        <v>657</v>
      </c>
      <c r="O3973" t="s">
        <v>3037</v>
      </c>
      <c r="P3973" t="s">
        <v>1347</v>
      </c>
      <c r="Q3973" t="s">
        <v>521</v>
      </c>
      <c r="R3973" t="s">
        <v>3017</v>
      </c>
      <c r="S3973" t="s">
        <v>3038</v>
      </c>
      <c r="T3973" t="s">
        <v>2526</v>
      </c>
      <c r="U3973">
        <v>314200</v>
      </c>
      <c r="V3973" t="s">
        <v>3126</v>
      </c>
      <c r="W3973" t="s">
        <v>3040</v>
      </c>
      <c r="X3973" t="s">
        <v>21725</v>
      </c>
      <c r="Y3973" t="s">
        <v>21726</v>
      </c>
      <c r="Z3973" t="s">
        <v>3036</v>
      </c>
      <c r="AA3973" t="s">
        <v>21727</v>
      </c>
      <c r="AC3973">
        <v>99077</v>
      </c>
      <c r="AD3973" t="s">
        <v>3041</v>
      </c>
      <c r="AE3973">
        <v>-43.296423259999997</v>
      </c>
      <c r="AF3973">
        <v>172.5971212</v>
      </c>
      <c r="AG3973" s="175">
        <v>44</v>
      </c>
      <c r="AH3973" s="175">
        <v>12</v>
      </c>
      <c r="AI3973" s="175">
        <v>3</v>
      </c>
      <c r="AJ3973" s="175">
        <v>7</v>
      </c>
      <c r="AK3973" s="175">
        <v>12</v>
      </c>
      <c r="AL3973" s="175">
        <v>14</v>
      </c>
      <c r="AM3973" s="175">
        <v>12</v>
      </c>
      <c r="AN3973" s="175">
        <v>1</v>
      </c>
      <c r="AO3973" s="175">
        <v>49</v>
      </c>
      <c r="AP3973" s="175">
        <v>37</v>
      </c>
      <c r="AQ3973" s="175">
        <v>10</v>
      </c>
      <c r="AR3973" s="175">
        <v>1</v>
      </c>
      <c r="AS3973" s="175">
        <v>1</v>
      </c>
      <c r="AT3973" s="175">
        <v>11</v>
      </c>
    </row>
    <row r="3974" spans="1:46">
      <c r="A3974">
        <v>65021</v>
      </c>
      <c r="B3974" t="s">
        <v>21728</v>
      </c>
      <c r="C3974" t="s">
        <v>21729</v>
      </c>
      <c r="D3974" t="s">
        <v>21730</v>
      </c>
      <c r="E3974" t="s">
        <v>21731</v>
      </c>
      <c r="G3974" t="s">
        <v>21732</v>
      </c>
      <c r="H3974" t="s">
        <v>449</v>
      </c>
      <c r="J3974" t="s">
        <v>4032</v>
      </c>
      <c r="K3974" t="s">
        <v>606</v>
      </c>
      <c r="M3974" t="s">
        <v>2366</v>
      </c>
      <c r="N3974" t="s">
        <v>657</v>
      </c>
      <c r="O3974" t="s">
        <v>3281</v>
      </c>
      <c r="P3974" t="s">
        <v>610</v>
      </c>
      <c r="Q3974" t="s">
        <v>521</v>
      </c>
      <c r="R3974" t="s">
        <v>3017</v>
      </c>
      <c r="S3974" t="s">
        <v>3252</v>
      </c>
      <c r="T3974" t="s">
        <v>2526</v>
      </c>
      <c r="U3974">
        <v>334001</v>
      </c>
      <c r="V3974" t="s">
        <v>21732</v>
      </c>
      <c r="W3974" t="s">
        <v>12669</v>
      </c>
      <c r="X3974" t="s">
        <v>11134</v>
      </c>
      <c r="Y3974" t="s">
        <v>21733</v>
      </c>
      <c r="Z3974" t="s">
        <v>21732</v>
      </c>
      <c r="AA3974" t="s">
        <v>21734</v>
      </c>
      <c r="AC3974">
        <v>99008</v>
      </c>
      <c r="AD3974" t="s">
        <v>17656</v>
      </c>
      <c r="AE3974">
        <v>-43.490031879999997</v>
      </c>
      <c r="AF3974">
        <v>172.11610099999999</v>
      </c>
      <c r="AG3974" s="175">
        <v>36</v>
      </c>
      <c r="AH3974" s="175">
        <v>0</v>
      </c>
      <c r="AI3974" s="175">
        <v>0</v>
      </c>
      <c r="AJ3974" s="175">
        <v>0</v>
      </c>
      <c r="AK3974" s="175">
        <v>0</v>
      </c>
      <c r="AL3974" s="175">
        <v>0</v>
      </c>
      <c r="AM3974" s="175">
        <v>39</v>
      </c>
      <c r="AN3974" s="175">
        <v>1</v>
      </c>
      <c r="AO3974" s="175">
        <v>40</v>
      </c>
      <c r="AP3974" s="175">
        <v>36</v>
      </c>
      <c r="AQ3974" s="175">
        <v>4</v>
      </c>
      <c r="AR3974" s="175">
        <v>0</v>
      </c>
      <c r="AS3974" s="175">
        <v>3</v>
      </c>
      <c r="AT3974" s="175">
        <v>2</v>
      </c>
    </row>
    <row r="3975" spans="1:46">
      <c r="A3975">
        <v>65025</v>
      </c>
      <c r="B3975" t="s">
        <v>21735</v>
      </c>
      <c r="C3975" t="s">
        <v>21736</v>
      </c>
      <c r="D3975" t="s">
        <v>21737</v>
      </c>
      <c r="E3975" t="s">
        <v>21738</v>
      </c>
      <c r="F3975" t="s">
        <v>21739</v>
      </c>
      <c r="G3975" t="s">
        <v>2930</v>
      </c>
      <c r="H3975" t="s">
        <v>452</v>
      </c>
      <c r="J3975" t="s">
        <v>605</v>
      </c>
      <c r="K3975" t="s">
        <v>606</v>
      </c>
      <c r="M3975" t="s">
        <v>2366</v>
      </c>
      <c r="N3975" t="s">
        <v>657</v>
      </c>
      <c r="O3975" t="s">
        <v>2944</v>
      </c>
      <c r="P3975" t="s">
        <v>610</v>
      </c>
      <c r="Q3975" t="s">
        <v>517</v>
      </c>
      <c r="R3975" t="s">
        <v>2901</v>
      </c>
      <c r="S3975" t="s">
        <v>2945</v>
      </c>
      <c r="T3975" t="s">
        <v>2526</v>
      </c>
      <c r="U3975">
        <v>302600</v>
      </c>
      <c r="V3975" t="s">
        <v>21740</v>
      </c>
      <c r="W3975" t="s">
        <v>11355</v>
      </c>
      <c r="X3975" t="s">
        <v>2934</v>
      </c>
      <c r="Y3975" t="s">
        <v>2935</v>
      </c>
      <c r="Z3975" t="s">
        <v>2930</v>
      </c>
      <c r="AA3975" t="s">
        <v>2936</v>
      </c>
      <c r="AB3975" t="s">
        <v>2937</v>
      </c>
      <c r="AC3975">
        <v>99142</v>
      </c>
      <c r="AD3975" t="s">
        <v>2960</v>
      </c>
      <c r="AE3975">
        <v>-41.376022640000002</v>
      </c>
      <c r="AF3975">
        <v>173.10854309000001</v>
      </c>
      <c r="AG3975" s="175">
        <v>44</v>
      </c>
      <c r="AH3975" s="175">
        <v>0</v>
      </c>
      <c r="AI3975" s="175">
        <v>0</v>
      </c>
      <c r="AJ3975" s="175">
        <v>0</v>
      </c>
      <c r="AK3975" s="175">
        <v>0</v>
      </c>
      <c r="AL3975" s="175">
        <v>19</v>
      </c>
      <c r="AM3975" s="175">
        <v>28</v>
      </c>
      <c r="AN3975" s="175">
        <v>2</v>
      </c>
      <c r="AO3975" s="175">
        <v>49</v>
      </c>
      <c r="AP3975" s="175">
        <v>45</v>
      </c>
      <c r="AQ3975" s="175">
        <v>10</v>
      </c>
      <c r="AR3975" s="175">
        <v>0</v>
      </c>
      <c r="AS3975" s="175">
        <v>2</v>
      </c>
      <c r="AT3975" s="175">
        <v>1</v>
      </c>
    </row>
    <row r="3976" spans="1:46">
      <c r="A3976">
        <v>65026</v>
      </c>
      <c r="B3976" t="s">
        <v>21741</v>
      </c>
      <c r="C3976" t="s">
        <v>21742</v>
      </c>
      <c r="E3976" t="s">
        <v>21743</v>
      </c>
      <c r="G3976" t="s">
        <v>2943</v>
      </c>
      <c r="H3976" t="s">
        <v>449</v>
      </c>
      <c r="I3976" t="s">
        <v>4134</v>
      </c>
      <c r="J3976" t="s">
        <v>4032</v>
      </c>
      <c r="K3976" t="s">
        <v>606</v>
      </c>
      <c r="M3976" t="s">
        <v>2366</v>
      </c>
      <c r="N3976" t="s">
        <v>643</v>
      </c>
      <c r="O3976" t="s">
        <v>2944</v>
      </c>
      <c r="P3976" t="s">
        <v>626</v>
      </c>
      <c r="Q3976" t="s">
        <v>517</v>
      </c>
      <c r="R3976" t="s">
        <v>2901</v>
      </c>
      <c r="S3976" t="s">
        <v>2945</v>
      </c>
      <c r="T3976" t="s">
        <v>2526</v>
      </c>
      <c r="U3976">
        <v>300801</v>
      </c>
      <c r="V3976" t="s">
        <v>21744</v>
      </c>
      <c r="W3976" t="s">
        <v>2947</v>
      </c>
      <c r="X3976" t="s">
        <v>21745</v>
      </c>
      <c r="Y3976" t="s">
        <v>21746</v>
      </c>
      <c r="Z3976" t="s">
        <v>21747</v>
      </c>
      <c r="AA3976" t="s">
        <v>21748</v>
      </c>
      <c r="AC3976">
        <v>99115</v>
      </c>
      <c r="AD3976" t="s">
        <v>2948</v>
      </c>
      <c r="AE3976">
        <v>-41.084064310000002</v>
      </c>
      <c r="AF3976">
        <v>172.99723295000001</v>
      </c>
      <c r="AG3976" s="175">
        <v>55</v>
      </c>
      <c r="AH3976" s="175">
        <v>12</v>
      </c>
      <c r="AI3976" s="175">
        <v>2</v>
      </c>
      <c r="AJ3976" s="175">
        <v>8</v>
      </c>
      <c r="AK3976" s="175">
        <v>14</v>
      </c>
      <c r="AL3976" s="175">
        <v>23</v>
      </c>
      <c r="AM3976" s="175">
        <v>15</v>
      </c>
      <c r="AN3976" s="175">
        <v>0</v>
      </c>
      <c r="AO3976" s="175">
        <v>62</v>
      </c>
      <c r="AP3976" s="175">
        <v>54</v>
      </c>
      <c r="AQ3976" s="175">
        <v>12</v>
      </c>
      <c r="AR3976" s="175">
        <v>2</v>
      </c>
      <c r="AS3976" s="175">
        <v>7</v>
      </c>
      <c r="AT3976" s="175">
        <v>3</v>
      </c>
    </row>
    <row r="3977" spans="1:46">
      <c r="A3977">
        <v>65030</v>
      </c>
      <c r="B3977" t="s">
        <v>21749</v>
      </c>
      <c r="C3977" t="s">
        <v>21750</v>
      </c>
      <c r="E3977" t="s">
        <v>21751</v>
      </c>
      <c r="G3977" t="s">
        <v>12902</v>
      </c>
      <c r="H3977" t="s">
        <v>449</v>
      </c>
      <c r="J3977" t="s">
        <v>4032</v>
      </c>
      <c r="K3977" t="s">
        <v>606</v>
      </c>
      <c r="M3977" t="s">
        <v>2366</v>
      </c>
      <c r="N3977" t="s">
        <v>657</v>
      </c>
      <c r="O3977" t="s">
        <v>3037</v>
      </c>
      <c r="P3977" t="s">
        <v>610</v>
      </c>
      <c r="Q3977" t="s">
        <v>521</v>
      </c>
      <c r="R3977" t="s">
        <v>3017</v>
      </c>
      <c r="S3977" t="s">
        <v>3038</v>
      </c>
      <c r="T3977" t="s">
        <v>2526</v>
      </c>
      <c r="U3977">
        <v>315301</v>
      </c>
      <c r="V3977" t="s">
        <v>12902</v>
      </c>
      <c r="W3977" t="s">
        <v>3262</v>
      </c>
      <c r="X3977" t="s">
        <v>21752</v>
      </c>
      <c r="Y3977" t="s">
        <v>4176</v>
      </c>
      <c r="AA3977" t="s">
        <v>4052</v>
      </c>
      <c r="AB3977" t="s">
        <v>21753</v>
      </c>
      <c r="AC3977">
        <v>99061</v>
      </c>
      <c r="AD3977" t="s">
        <v>3263</v>
      </c>
      <c r="AE3977">
        <v>-43.325336550000003</v>
      </c>
      <c r="AF3977">
        <v>172.66612216999999</v>
      </c>
      <c r="AG3977" s="175">
        <v>50</v>
      </c>
      <c r="AH3977" s="175">
        <v>12</v>
      </c>
      <c r="AI3977" s="175">
        <v>3</v>
      </c>
      <c r="AJ3977" s="175">
        <v>13</v>
      </c>
      <c r="AK3977" s="175">
        <v>11</v>
      </c>
      <c r="AL3977" s="175">
        <v>27</v>
      </c>
      <c r="AM3977" s="175">
        <v>19</v>
      </c>
      <c r="AN3977" s="175">
        <v>1</v>
      </c>
      <c r="AO3977" s="175">
        <v>74</v>
      </c>
      <c r="AP3977" s="175">
        <v>66</v>
      </c>
      <c r="AQ3977" s="175">
        <v>20</v>
      </c>
      <c r="AR3977" s="175">
        <v>3</v>
      </c>
      <c r="AS3977" s="175">
        <v>1</v>
      </c>
      <c r="AT3977" s="175">
        <v>2</v>
      </c>
    </row>
    <row r="3978" spans="1:46">
      <c r="A3978">
        <v>65031</v>
      </c>
      <c r="B3978" t="s">
        <v>21754</v>
      </c>
      <c r="C3978" t="s">
        <v>21755</v>
      </c>
      <c r="D3978" t="s">
        <v>21756</v>
      </c>
      <c r="E3978" t="s">
        <v>21757</v>
      </c>
      <c r="G3978" t="s">
        <v>3334</v>
      </c>
      <c r="H3978" t="s">
        <v>449</v>
      </c>
      <c r="J3978" t="s">
        <v>4032</v>
      </c>
      <c r="K3978" t="s">
        <v>606</v>
      </c>
      <c r="M3978" t="s">
        <v>2366</v>
      </c>
      <c r="N3978" t="s">
        <v>657</v>
      </c>
      <c r="O3978" t="s">
        <v>3322</v>
      </c>
      <c r="P3978" t="s">
        <v>1347</v>
      </c>
      <c r="Q3978" t="s">
        <v>521</v>
      </c>
      <c r="R3978" t="s">
        <v>3017</v>
      </c>
      <c r="S3978" t="s">
        <v>3292</v>
      </c>
      <c r="T3978" t="s">
        <v>2526</v>
      </c>
      <c r="U3978">
        <v>340100</v>
      </c>
      <c r="V3978" t="s">
        <v>13599</v>
      </c>
      <c r="W3978" t="s">
        <v>3336</v>
      </c>
      <c r="X3978" t="s">
        <v>14187</v>
      </c>
      <c r="Y3978" t="s">
        <v>21758</v>
      </c>
      <c r="AA3978" t="s">
        <v>21759</v>
      </c>
      <c r="AC3978">
        <v>99178</v>
      </c>
      <c r="AD3978" t="s">
        <v>3346</v>
      </c>
      <c r="AE3978">
        <v>-44.39004173</v>
      </c>
      <c r="AF3978">
        <v>171.20966103000001</v>
      </c>
      <c r="AG3978" s="175">
        <v>39</v>
      </c>
      <c r="AH3978" s="175">
        <v>0</v>
      </c>
      <c r="AI3978" s="175">
        <v>0</v>
      </c>
      <c r="AJ3978" s="175">
        <v>0</v>
      </c>
      <c r="AK3978" s="175">
        <v>6</v>
      </c>
      <c r="AL3978" s="175">
        <v>23</v>
      </c>
      <c r="AM3978" s="175">
        <v>20</v>
      </c>
      <c r="AN3978" s="175">
        <v>0</v>
      </c>
      <c r="AO3978" s="175">
        <v>49</v>
      </c>
      <c r="AP3978" s="175">
        <v>35</v>
      </c>
      <c r="AQ3978" s="175">
        <v>4</v>
      </c>
      <c r="AR3978" s="175">
        <v>1</v>
      </c>
      <c r="AS3978" s="175">
        <v>19</v>
      </c>
      <c r="AT3978" s="175">
        <v>4</v>
      </c>
    </row>
    <row r="3979" spans="1:46">
      <c r="A3979">
        <v>65034</v>
      </c>
      <c r="B3979" t="s">
        <v>21760</v>
      </c>
      <c r="C3979" t="s">
        <v>21761</v>
      </c>
      <c r="D3979" t="s">
        <v>21762</v>
      </c>
      <c r="E3979" t="s">
        <v>21763</v>
      </c>
      <c r="G3979" t="s">
        <v>18554</v>
      </c>
      <c r="H3979" t="s">
        <v>449</v>
      </c>
      <c r="J3979" t="s">
        <v>605</v>
      </c>
      <c r="K3979" t="s">
        <v>606</v>
      </c>
      <c r="M3979" t="s">
        <v>2366</v>
      </c>
      <c r="N3979" t="s">
        <v>657</v>
      </c>
      <c r="O3979" t="s">
        <v>18555</v>
      </c>
      <c r="P3979" t="s">
        <v>610</v>
      </c>
      <c r="Q3979" t="s">
        <v>521</v>
      </c>
      <c r="R3979" t="s">
        <v>2901</v>
      </c>
      <c r="S3979" t="s">
        <v>2902</v>
      </c>
      <c r="T3979" t="s">
        <v>2526</v>
      </c>
      <c r="U3979">
        <v>308900</v>
      </c>
      <c r="V3979" t="s">
        <v>2902</v>
      </c>
      <c r="W3979" t="s">
        <v>1734</v>
      </c>
      <c r="X3979" t="s">
        <v>21764</v>
      </c>
      <c r="Y3979" t="s">
        <v>6434</v>
      </c>
      <c r="Z3979" t="s">
        <v>4622</v>
      </c>
      <c r="AA3979" t="s">
        <v>4623</v>
      </c>
      <c r="AB3979" t="s">
        <v>21765</v>
      </c>
      <c r="AC3979">
        <v>99025</v>
      </c>
      <c r="AD3979" t="s">
        <v>21766</v>
      </c>
      <c r="AE3979">
        <v>-42.40071631</v>
      </c>
      <c r="AF3979">
        <v>173.67431619999999</v>
      </c>
      <c r="AG3979" s="175">
        <v>47</v>
      </c>
      <c r="AH3979" s="175">
        <v>15</v>
      </c>
      <c r="AI3979" s="175">
        <v>0</v>
      </c>
      <c r="AJ3979" s="175">
        <v>2</v>
      </c>
      <c r="AK3979" s="175">
        <v>12</v>
      </c>
      <c r="AL3979" s="175">
        <v>12</v>
      </c>
      <c r="AM3979" s="175">
        <v>16</v>
      </c>
      <c r="AN3979" s="175">
        <v>0</v>
      </c>
      <c r="AO3979" s="175">
        <v>42</v>
      </c>
      <c r="AP3979" s="175">
        <v>33</v>
      </c>
      <c r="AQ3979" s="175">
        <v>20</v>
      </c>
      <c r="AR3979" s="175">
        <v>0</v>
      </c>
      <c r="AS3979" s="175">
        <v>5</v>
      </c>
      <c r="AT3979" s="175">
        <v>0</v>
      </c>
    </row>
    <row r="3980" spans="1:46">
      <c r="A3980">
        <v>65039</v>
      </c>
      <c r="B3980" t="s">
        <v>21767</v>
      </c>
      <c r="C3980" t="s">
        <v>21768</v>
      </c>
      <c r="E3980" t="s">
        <v>21769</v>
      </c>
      <c r="F3980" t="s">
        <v>3141</v>
      </c>
      <c r="G3980" t="s">
        <v>3015</v>
      </c>
      <c r="H3980" t="s">
        <v>449</v>
      </c>
      <c r="I3980" t="s">
        <v>4134</v>
      </c>
      <c r="J3980" t="s">
        <v>4032</v>
      </c>
      <c r="K3980" t="s">
        <v>606</v>
      </c>
      <c r="M3980" t="s">
        <v>2366</v>
      </c>
      <c r="N3980" t="s">
        <v>657</v>
      </c>
      <c r="O3980" t="s">
        <v>3016</v>
      </c>
      <c r="P3980" t="s">
        <v>739</v>
      </c>
      <c r="Q3980" t="s">
        <v>521</v>
      </c>
      <c r="R3980" t="s">
        <v>3017</v>
      </c>
      <c r="S3980" t="s">
        <v>3030</v>
      </c>
      <c r="T3980" t="s">
        <v>2526</v>
      </c>
      <c r="U3980">
        <v>322100</v>
      </c>
      <c r="V3980" t="s">
        <v>3225</v>
      </c>
      <c r="W3980" t="s">
        <v>3171</v>
      </c>
      <c r="X3980" t="s">
        <v>21770</v>
      </c>
      <c r="Y3980" t="s">
        <v>18548</v>
      </c>
      <c r="AE3980">
        <v>-43.499781329999998</v>
      </c>
      <c r="AF3980">
        <v>172.62833658</v>
      </c>
      <c r="AG3980" s="175">
        <v>24</v>
      </c>
      <c r="AH3980" s="175">
        <v>0</v>
      </c>
      <c r="AI3980" s="175">
        <v>0</v>
      </c>
      <c r="AJ3980" s="175">
        <v>1</v>
      </c>
      <c r="AK3980" s="175">
        <v>2</v>
      </c>
      <c r="AL3980" s="175">
        <v>16</v>
      </c>
      <c r="AM3980" s="175">
        <v>8</v>
      </c>
      <c r="AN3980" s="175">
        <v>2</v>
      </c>
      <c r="AO3980" s="175">
        <v>29</v>
      </c>
      <c r="AP3980" s="175">
        <v>24</v>
      </c>
      <c r="AQ3980" s="175">
        <v>1</v>
      </c>
      <c r="AR3980" s="175">
        <v>3</v>
      </c>
      <c r="AS3980" s="175">
        <v>3</v>
      </c>
      <c r="AT3980" s="175">
        <v>4</v>
      </c>
    </row>
    <row r="3981" spans="1:46">
      <c r="A3981">
        <v>65042</v>
      </c>
      <c r="B3981" t="s">
        <v>21771</v>
      </c>
      <c r="C3981" t="s">
        <v>21772</v>
      </c>
      <c r="D3981" t="s">
        <v>21773</v>
      </c>
      <c r="E3981" t="s">
        <v>21774</v>
      </c>
      <c r="G3981" t="s">
        <v>3369</v>
      </c>
      <c r="H3981" t="s">
        <v>449</v>
      </c>
      <c r="J3981" t="s">
        <v>605</v>
      </c>
      <c r="K3981" t="s">
        <v>606</v>
      </c>
      <c r="M3981" t="s">
        <v>2366</v>
      </c>
      <c r="N3981" t="s">
        <v>657</v>
      </c>
      <c r="O3981" t="s">
        <v>3322</v>
      </c>
      <c r="P3981" t="s">
        <v>610</v>
      </c>
      <c r="Q3981" t="s">
        <v>521</v>
      </c>
      <c r="R3981" t="s">
        <v>3017</v>
      </c>
      <c r="S3981" t="s">
        <v>3292</v>
      </c>
      <c r="T3981" t="s">
        <v>2526</v>
      </c>
      <c r="U3981">
        <v>339300</v>
      </c>
      <c r="V3981" t="s">
        <v>3370</v>
      </c>
      <c r="W3981" t="s">
        <v>3371</v>
      </c>
      <c r="X3981" t="s">
        <v>10864</v>
      </c>
      <c r="Y3981" t="s">
        <v>4014</v>
      </c>
      <c r="Z3981" t="s">
        <v>4015</v>
      </c>
      <c r="AA3981" t="s">
        <v>4016</v>
      </c>
      <c r="AC3981">
        <v>99178</v>
      </c>
      <c r="AD3981" t="s">
        <v>3346</v>
      </c>
      <c r="AE3981">
        <v>-44.239707469999999</v>
      </c>
      <c r="AF3981">
        <v>171.28330439000001</v>
      </c>
      <c r="AG3981" s="175">
        <v>50</v>
      </c>
      <c r="AH3981" s="175">
        <v>14</v>
      </c>
      <c r="AI3981" s="175">
        <v>2</v>
      </c>
      <c r="AJ3981" s="175">
        <v>10</v>
      </c>
      <c r="AK3981" s="175">
        <v>10</v>
      </c>
      <c r="AL3981" s="175">
        <v>10</v>
      </c>
      <c r="AM3981" s="175">
        <v>16</v>
      </c>
      <c r="AN3981" s="175">
        <v>1</v>
      </c>
      <c r="AO3981" s="175">
        <v>49</v>
      </c>
      <c r="AP3981" s="175">
        <v>39</v>
      </c>
      <c r="AQ3981" s="175">
        <v>11</v>
      </c>
      <c r="AR3981" s="175">
        <v>3</v>
      </c>
      <c r="AS3981" s="175">
        <v>3</v>
      </c>
      <c r="AT3981" s="175">
        <v>3</v>
      </c>
    </row>
    <row r="3982" spans="1:46">
      <c r="A3982">
        <v>65043</v>
      </c>
      <c r="B3982" t="s">
        <v>21775</v>
      </c>
      <c r="C3982" t="s">
        <v>21776</v>
      </c>
      <c r="D3982" t="s">
        <v>21777</v>
      </c>
      <c r="E3982" t="s">
        <v>21778</v>
      </c>
      <c r="F3982" t="s">
        <v>3197</v>
      </c>
      <c r="G3982" t="s">
        <v>3015</v>
      </c>
      <c r="H3982" t="s">
        <v>449</v>
      </c>
      <c r="J3982" t="s">
        <v>4032</v>
      </c>
      <c r="K3982" t="s">
        <v>606</v>
      </c>
      <c r="M3982" t="s">
        <v>2366</v>
      </c>
      <c r="N3982" t="s">
        <v>625</v>
      </c>
      <c r="O3982" t="s">
        <v>3016</v>
      </c>
      <c r="P3982" t="s">
        <v>739</v>
      </c>
      <c r="Q3982" t="s">
        <v>521</v>
      </c>
      <c r="R3982" t="s">
        <v>3017</v>
      </c>
      <c r="S3982" t="s">
        <v>3046</v>
      </c>
      <c r="T3982" t="s">
        <v>2526</v>
      </c>
      <c r="U3982">
        <v>328400</v>
      </c>
      <c r="V3982" t="s">
        <v>3197</v>
      </c>
      <c r="W3982" t="s">
        <v>3066</v>
      </c>
      <c r="X3982" t="s">
        <v>21779</v>
      </c>
      <c r="Y3982" t="s">
        <v>21780</v>
      </c>
      <c r="Z3982" t="s">
        <v>3197</v>
      </c>
      <c r="AA3982" t="s">
        <v>16058</v>
      </c>
      <c r="AE3982">
        <v>-43.519618180000002</v>
      </c>
      <c r="AF3982">
        <v>172.69059059</v>
      </c>
      <c r="AG3982" s="175">
        <v>20</v>
      </c>
      <c r="AH3982" s="175">
        <v>4</v>
      </c>
      <c r="AI3982" s="175">
        <v>0</v>
      </c>
      <c r="AJ3982" s="175">
        <v>3</v>
      </c>
      <c r="AK3982" s="175">
        <v>5</v>
      </c>
      <c r="AL3982" s="175">
        <v>7</v>
      </c>
      <c r="AM3982" s="175">
        <v>4</v>
      </c>
      <c r="AN3982" s="175">
        <v>1</v>
      </c>
      <c r="AO3982" s="175">
        <v>20</v>
      </c>
      <c r="AP3982" s="175">
        <v>15</v>
      </c>
      <c r="AQ3982" s="175">
        <v>5</v>
      </c>
      <c r="AR3982" s="175">
        <v>1</v>
      </c>
      <c r="AS3982" s="175">
        <v>3</v>
      </c>
      <c r="AT3982" s="175">
        <v>1</v>
      </c>
    </row>
    <row r="3983" spans="1:46">
      <c r="A3983">
        <v>65048</v>
      </c>
      <c r="B3983" t="s">
        <v>21781</v>
      </c>
      <c r="C3983" t="s">
        <v>21782</v>
      </c>
      <c r="D3983" t="s">
        <v>21783</v>
      </c>
      <c r="E3983" t="s">
        <v>21784</v>
      </c>
      <c r="F3983" t="s">
        <v>18519</v>
      </c>
      <c r="G3983" t="s">
        <v>3015</v>
      </c>
      <c r="H3983" t="s">
        <v>449</v>
      </c>
      <c r="J3983" t="s">
        <v>4032</v>
      </c>
      <c r="K3983" t="s">
        <v>606</v>
      </c>
      <c r="M3983" t="s">
        <v>2366</v>
      </c>
      <c r="N3983" t="s">
        <v>657</v>
      </c>
      <c r="O3983" t="s">
        <v>3016</v>
      </c>
      <c r="P3983" t="s">
        <v>739</v>
      </c>
      <c r="Q3983" t="s">
        <v>521</v>
      </c>
      <c r="R3983" t="s">
        <v>3017</v>
      </c>
      <c r="S3983" t="s">
        <v>3092</v>
      </c>
      <c r="T3983" t="s">
        <v>2526</v>
      </c>
      <c r="U3983">
        <v>325000</v>
      </c>
      <c r="V3983" t="s">
        <v>18519</v>
      </c>
      <c r="W3983" t="s">
        <v>3161</v>
      </c>
      <c r="X3983" t="s">
        <v>21785</v>
      </c>
      <c r="Y3983" t="s">
        <v>21784</v>
      </c>
      <c r="Z3983" t="s">
        <v>3229</v>
      </c>
      <c r="AA3983" t="s">
        <v>13017</v>
      </c>
      <c r="AB3983" t="s">
        <v>21786</v>
      </c>
      <c r="AE3983">
        <v>-43.556228939999997</v>
      </c>
      <c r="AF3983">
        <v>172.59007978</v>
      </c>
      <c r="AG3983" s="175">
        <v>30</v>
      </c>
      <c r="AH3983" s="175">
        <v>7</v>
      </c>
      <c r="AI3983" s="175">
        <v>0</v>
      </c>
      <c r="AJ3983" s="175">
        <v>6</v>
      </c>
      <c r="AK3983" s="175">
        <v>6</v>
      </c>
      <c r="AL3983" s="175">
        <v>13</v>
      </c>
      <c r="AM3983" s="175">
        <v>13</v>
      </c>
      <c r="AN3983" s="175">
        <v>2</v>
      </c>
      <c r="AO3983" s="175">
        <v>40</v>
      </c>
      <c r="AP3983" s="175">
        <v>21</v>
      </c>
      <c r="AQ3983" s="175">
        <v>2</v>
      </c>
      <c r="AR3983" s="175">
        <v>0</v>
      </c>
      <c r="AS3983" s="175">
        <v>19</v>
      </c>
      <c r="AT3983" s="175">
        <v>6</v>
      </c>
    </row>
    <row r="3984" spans="1:46">
      <c r="A3984">
        <v>65056</v>
      </c>
      <c r="B3984" t="s">
        <v>21787</v>
      </c>
      <c r="C3984" t="s">
        <v>21788</v>
      </c>
      <c r="E3984" t="s">
        <v>21789</v>
      </c>
      <c r="G3984" t="s">
        <v>3321</v>
      </c>
      <c r="H3984" t="s">
        <v>449</v>
      </c>
      <c r="J3984" t="s">
        <v>605</v>
      </c>
      <c r="K3984" t="s">
        <v>606</v>
      </c>
      <c r="M3984" t="s">
        <v>2366</v>
      </c>
      <c r="N3984" t="s">
        <v>657</v>
      </c>
      <c r="O3984" t="s">
        <v>3322</v>
      </c>
      <c r="P3984" t="s">
        <v>658</v>
      </c>
      <c r="Q3984" t="s">
        <v>521</v>
      </c>
      <c r="R3984" t="s">
        <v>3017</v>
      </c>
      <c r="S3984" t="s">
        <v>3323</v>
      </c>
      <c r="T3984" t="s">
        <v>2526</v>
      </c>
      <c r="U3984">
        <v>338700</v>
      </c>
      <c r="V3984" t="s">
        <v>21790</v>
      </c>
      <c r="W3984" t="s">
        <v>3324</v>
      </c>
      <c r="X3984" t="s">
        <v>21791</v>
      </c>
      <c r="Y3984" t="s">
        <v>21792</v>
      </c>
      <c r="Z3984" t="s">
        <v>3321</v>
      </c>
      <c r="AA3984" t="s">
        <v>21793</v>
      </c>
      <c r="AB3984" t="s">
        <v>21794</v>
      </c>
      <c r="AC3984">
        <v>99053</v>
      </c>
      <c r="AD3984" t="s">
        <v>3329</v>
      </c>
      <c r="AE3984">
        <v>-43.916155709999998</v>
      </c>
      <c r="AF3984">
        <v>171.26269984000001</v>
      </c>
      <c r="AG3984" s="175">
        <v>20</v>
      </c>
      <c r="AH3984" s="175">
        <v>4</v>
      </c>
      <c r="AI3984" s="175">
        <v>0</v>
      </c>
      <c r="AJ3984" s="175">
        <v>0</v>
      </c>
      <c r="AK3984" s="175">
        <v>5</v>
      </c>
      <c r="AL3984" s="175">
        <v>10</v>
      </c>
      <c r="AM3984" s="175">
        <v>7</v>
      </c>
      <c r="AN3984" s="175">
        <v>1</v>
      </c>
      <c r="AO3984" s="175">
        <v>23</v>
      </c>
      <c r="AP3984" s="175">
        <v>22</v>
      </c>
      <c r="AQ3984" s="175">
        <v>0</v>
      </c>
      <c r="AR3984" s="175">
        <v>0</v>
      </c>
      <c r="AS3984" s="175">
        <v>1</v>
      </c>
      <c r="AT3984" s="175">
        <v>2</v>
      </c>
    </row>
    <row r="3985" spans="1:46">
      <c r="A3985">
        <v>65057</v>
      </c>
      <c r="B3985" t="s">
        <v>21795</v>
      </c>
      <c r="C3985" t="s">
        <v>21796</v>
      </c>
      <c r="D3985" t="s">
        <v>21797</v>
      </c>
      <c r="E3985" t="s">
        <v>21798</v>
      </c>
      <c r="G3985" t="s">
        <v>21799</v>
      </c>
      <c r="H3985" t="s">
        <v>449</v>
      </c>
      <c r="J3985" t="s">
        <v>4032</v>
      </c>
      <c r="K3985" t="s">
        <v>606</v>
      </c>
      <c r="M3985" t="s">
        <v>2366</v>
      </c>
      <c r="N3985" t="s">
        <v>657</v>
      </c>
      <c r="O3985" t="s">
        <v>13545</v>
      </c>
      <c r="P3985" t="s">
        <v>626</v>
      </c>
      <c r="Q3985" t="s">
        <v>521</v>
      </c>
      <c r="R3985" t="s">
        <v>3017</v>
      </c>
      <c r="S3985" t="s">
        <v>2902</v>
      </c>
      <c r="T3985" t="s">
        <v>2526</v>
      </c>
      <c r="U3985">
        <v>312500</v>
      </c>
      <c r="V3985" t="s">
        <v>21800</v>
      </c>
      <c r="W3985" t="s">
        <v>21801</v>
      </c>
      <c r="X3985" t="s">
        <v>15916</v>
      </c>
      <c r="Y3985" t="s">
        <v>9392</v>
      </c>
      <c r="AA3985" t="s">
        <v>21802</v>
      </c>
      <c r="AB3985" t="s">
        <v>15919</v>
      </c>
      <c r="AE3985">
        <v>-42.81205155</v>
      </c>
      <c r="AF3985">
        <v>173.2733404</v>
      </c>
      <c r="AG3985" s="175">
        <v>30</v>
      </c>
      <c r="AH3985" s="175">
        <v>8</v>
      </c>
      <c r="AI3985" s="175">
        <v>0</v>
      </c>
      <c r="AJ3985" s="175">
        <v>8</v>
      </c>
      <c r="AK3985" s="175">
        <v>9</v>
      </c>
      <c r="AL3985" s="175">
        <v>4</v>
      </c>
      <c r="AM3985" s="175">
        <v>3</v>
      </c>
      <c r="AN3985" s="175">
        <v>0</v>
      </c>
      <c r="AO3985" s="175">
        <v>24</v>
      </c>
      <c r="AP3985" s="175">
        <v>24</v>
      </c>
      <c r="AQ3985" s="175">
        <v>6</v>
      </c>
      <c r="AR3985" s="175">
        <v>0</v>
      </c>
      <c r="AS3985" s="175">
        <v>0</v>
      </c>
      <c r="AT3985" s="175">
        <v>1</v>
      </c>
    </row>
    <row r="3986" spans="1:46">
      <c r="A3986">
        <v>65058</v>
      </c>
      <c r="B3986" t="s">
        <v>21803</v>
      </c>
      <c r="C3986" t="s">
        <v>21804</v>
      </c>
      <c r="D3986" t="s">
        <v>21805</v>
      </c>
      <c r="E3986" t="s">
        <v>21806</v>
      </c>
      <c r="G3986" t="s">
        <v>3260</v>
      </c>
      <c r="H3986" t="s">
        <v>449</v>
      </c>
      <c r="J3986" t="s">
        <v>605</v>
      </c>
      <c r="K3986" t="s">
        <v>606</v>
      </c>
      <c r="M3986" t="s">
        <v>2366</v>
      </c>
      <c r="N3986" t="s">
        <v>812</v>
      </c>
      <c r="O3986" t="s">
        <v>3037</v>
      </c>
      <c r="P3986" t="s">
        <v>1347</v>
      </c>
      <c r="Q3986" t="s">
        <v>521</v>
      </c>
      <c r="R3986" t="s">
        <v>3017</v>
      </c>
      <c r="S3986" t="s">
        <v>3038</v>
      </c>
      <c r="T3986" t="s">
        <v>2526</v>
      </c>
      <c r="U3986">
        <v>316200</v>
      </c>
      <c r="V3986" t="s">
        <v>3261</v>
      </c>
      <c r="W3986" t="s">
        <v>3262</v>
      </c>
      <c r="X3986" t="s">
        <v>21807</v>
      </c>
      <c r="Y3986" t="s">
        <v>21808</v>
      </c>
      <c r="Z3986" t="s">
        <v>3036</v>
      </c>
      <c r="AA3986" t="s">
        <v>21809</v>
      </c>
      <c r="AB3986" t="s">
        <v>21810</v>
      </c>
      <c r="AC3986">
        <v>99061</v>
      </c>
      <c r="AD3986" t="s">
        <v>3263</v>
      </c>
      <c r="AE3986">
        <v>-43.387957929999999</v>
      </c>
      <c r="AF3986">
        <v>172.64445326000001</v>
      </c>
      <c r="AG3986" s="175">
        <v>29</v>
      </c>
      <c r="AH3986" s="175">
        <v>25</v>
      </c>
      <c r="AI3986" s="175">
        <v>2</v>
      </c>
      <c r="AJ3986" s="175">
        <v>9</v>
      </c>
      <c r="AK3986" s="175">
        <v>6</v>
      </c>
      <c r="AL3986" s="175">
        <v>7</v>
      </c>
      <c r="AM3986" s="175">
        <v>3</v>
      </c>
      <c r="AN3986" s="175">
        <v>1</v>
      </c>
      <c r="AO3986" s="175">
        <v>28</v>
      </c>
      <c r="AP3986" s="175">
        <v>17</v>
      </c>
      <c r="AQ3986" s="175">
        <v>18</v>
      </c>
      <c r="AR3986" s="175">
        <v>5</v>
      </c>
      <c r="AS3986" s="175">
        <v>0</v>
      </c>
      <c r="AT3986" s="175">
        <v>1</v>
      </c>
    </row>
    <row r="3987" spans="1:46">
      <c r="A3987">
        <v>65059</v>
      </c>
      <c r="B3987" t="s">
        <v>21811</v>
      </c>
      <c r="C3987" t="s">
        <v>21812</v>
      </c>
      <c r="D3987" t="s">
        <v>21813</v>
      </c>
      <c r="E3987" t="s">
        <v>21814</v>
      </c>
      <c r="F3987" t="s">
        <v>3203</v>
      </c>
      <c r="G3987" t="s">
        <v>3015</v>
      </c>
      <c r="H3987" t="s">
        <v>449</v>
      </c>
      <c r="J3987" t="s">
        <v>4032</v>
      </c>
      <c r="K3987" t="s">
        <v>606</v>
      </c>
      <c r="M3987" t="s">
        <v>2366</v>
      </c>
      <c r="N3987" t="s">
        <v>657</v>
      </c>
      <c r="O3987" t="s">
        <v>3016</v>
      </c>
      <c r="P3987" t="s">
        <v>739</v>
      </c>
      <c r="Q3987" t="s">
        <v>521</v>
      </c>
      <c r="R3987" t="s">
        <v>3017</v>
      </c>
      <c r="S3987" t="s">
        <v>3046</v>
      </c>
      <c r="T3987" t="s">
        <v>2526</v>
      </c>
      <c r="U3987">
        <v>324001</v>
      </c>
      <c r="V3987" t="s">
        <v>21815</v>
      </c>
      <c r="W3987" t="s">
        <v>3199</v>
      </c>
      <c r="X3987" t="s">
        <v>21816</v>
      </c>
      <c r="Y3987" t="s">
        <v>4176</v>
      </c>
      <c r="AA3987" t="s">
        <v>4052</v>
      </c>
      <c r="AB3987" t="s">
        <v>21817</v>
      </c>
      <c r="AC3987">
        <v>99175</v>
      </c>
      <c r="AD3987" t="s">
        <v>3144</v>
      </c>
      <c r="AE3987">
        <v>-43.491053530000002</v>
      </c>
      <c r="AF3987">
        <v>172.68369748000001</v>
      </c>
      <c r="AG3987" s="175">
        <v>65</v>
      </c>
      <c r="AH3987" s="175">
        <v>24</v>
      </c>
      <c r="AI3987" s="175">
        <v>3</v>
      </c>
      <c r="AJ3987" s="175">
        <v>8</v>
      </c>
      <c r="AK3987" s="175">
        <v>21</v>
      </c>
      <c r="AL3987" s="175">
        <v>21</v>
      </c>
      <c r="AM3987" s="175">
        <v>22</v>
      </c>
      <c r="AN3987" s="175">
        <v>1</v>
      </c>
      <c r="AO3987" s="175">
        <v>76</v>
      </c>
      <c r="AP3987" s="175">
        <v>59</v>
      </c>
      <c r="AQ3987" s="175">
        <v>27</v>
      </c>
      <c r="AR3987" s="175">
        <v>6</v>
      </c>
      <c r="AS3987" s="175">
        <v>6</v>
      </c>
      <c r="AT3987" s="175">
        <v>1</v>
      </c>
    </row>
    <row r="3988" spans="1:46">
      <c r="A3988">
        <v>65060</v>
      </c>
      <c r="B3988" t="s">
        <v>21818</v>
      </c>
      <c r="C3988" t="s">
        <v>21819</v>
      </c>
      <c r="D3988" t="s">
        <v>21820</v>
      </c>
      <c r="E3988" t="s">
        <v>21821</v>
      </c>
      <c r="G3988" t="s">
        <v>21732</v>
      </c>
      <c r="H3988" t="s">
        <v>449</v>
      </c>
      <c r="J3988" t="s">
        <v>4032</v>
      </c>
      <c r="K3988" t="s">
        <v>606</v>
      </c>
      <c r="M3988" t="s">
        <v>2366</v>
      </c>
      <c r="N3988" t="s">
        <v>657</v>
      </c>
      <c r="O3988" t="s">
        <v>3281</v>
      </c>
      <c r="P3988" t="s">
        <v>610</v>
      </c>
      <c r="Q3988" t="s">
        <v>521</v>
      </c>
      <c r="R3988" t="s">
        <v>3017</v>
      </c>
      <c r="S3988" t="s">
        <v>3252</v>
      </c>
      <c r="T3988" t="s">
        <v>2526</v>
      </c>
      <c r="U3988">
        <v>334001</v>
      </c>
      <c r="V3988" t="s">
        <v>21732</v>
      </c>
      <c r="W3988" t="s">
        <v>12669</v>
      </c>
      <c r="X3988" t="s">
        <v>11134</v>
      </c>
      <c r="Y3988" t="s">
        <v>21733</v>
      </c>
      <c r="Z3988" t="s">
        <v>21732</v>
      </c>
      <c r="AA3988" t="s">
        <v>21734</v>
      </c>
      <c r="AC3988">
        <v>99008</v>
      </c>
      <c r="AD3988" t="s">
        <v>17656</v>
      </c>
      <c r="AE3988">
        <v>-43.489934519999998</v>
      </c>
      <c r="AF3988">
        <v>172.11559528000001</v>
      </c>
      <c r="AG3988" s="175">
        <v>50</v>
      </c>
      <c r="AH3988" s="175">
        <v>12</v>
      </c>
      <c r="AI3988" s="175">
        <v>1</v>
      </c>
      <c r="AJ3988" s="175">
        <v>13</v>
      </c>
      <c r="AK3988" s="175">
        <v>22</v>
      </c>
      <c r="AL3988" s="175">
        <v>21</v>
      </c>
      <c r="AM3988" s="175">
        <v>12</v>
      </c>
      <c r="AN3988" s="175">
        <v>1</v>
      </c>
      <c r="AO3988" s="175">
        <v>70</v>
      </c>
      <c r="AP3988" s="175">
        <v>62</v>
      </c>
      <c r="AQ3988" s="175">
        <v>6</v>
      </c>
      <c r="AR3988" s="175">
        <v>0</v>
      </c>
      <c r="AS3988" s="175">
        <v>7</v>
      </c>
      <c r="AT3988" s="175">
        <v>2</v>
      </c>
    </row>
    <row r="3989" spans="1:46">
      <c r="A3989">
        <v>65063</v>
      </c>
      <c r="B3989" t="s">
        <v>21822</v>
      </c>
      <c r="C3989" t="s">
        <v>11935</v>
      </c>
      <c r="E3989" t="s">
        <v>11932</v>
      </c>
      <c r="G3989" t="s">
        <v>11933</v>
      </c>
      <c r="H3989" t="s">
        <v>449</v>
      </c>
      <c r="J3989" t="s">
        <v>4032</v>
      </c>
      <c r="K3989" t="s">
        <v>606</v>
      </c>
      <c r="M3989" t="s">
        <v>2366</v>
      </c>
      <c r="N3989" t="s">
        <v>657</v>
      </c>
      <c r="O3989" t="s">
        <v>3281</v>
      </c>
      <c r="P3989" t="s">
        <v>610</v>
      </c>
      <c r="Q3989" t="s">
        <v>521</v>
      </c>
      <c r="R3989" t="s">
        <v>3017</v>
      </c>
      <c r="S3989" t="s">
        <v>3252</v>
      </c>
      <c r="T3989" t="s">
        <v>2526</v>
      </c>
      <c r="U3989">
        <v>335701</v>
      </c>
      <c r="V3989" t="s">
        <v>11930</v>
      </c>
      <c r="W3989" t="s">
        <v>3735</v>
      </c>
      <c r="X3989" t="s">
        <v>11931</v>
      </c>
      <c r="Y3989" t="s">
        <v>11932</v>
      </c>
      <c r="Z3989" t="s">
        <v>11933</v>
      </c>
      <c r="AA3989" t="s">
        <v>11934</v>
      </c>
      <c r="AB3989" t="s">
        <v>11935</v>
      </c>
      <c r="AC3989">
        <v>99113</v>
      </c>
      <c r="AD3989" t="s">
        <v>3736</v>
      </c>
      <c r="AE3989">
        <v>-43.581097649999997</v>
      </c>
      <c r="AF3989">
        <v>172.51178929</v>
      </c>
      <c r="AG3989" s="175">
        <v>45</v>
      </c>
      <c r="AH3989" s="175">
        <v>0</v>
      </c>
      <c r="AI3989" s="175">
        <v>0</v>
      </c>
      <c r="AJ3989" s="175">
        <v>0</v>
      </c>
      <c r="AK3989" s="175">
        <v>9</v>
      </c>
      <c r="AL3989" s="175">
        <v>30</v>
      </c>
      <c r="AM3989" s="175">
        <v>24</v>
      </c>
      <c r="AN3989" s="175">
        <v>1</v>
      </c>
      <c r="AO3989" s="175">
        <v>64</v>
      </c>
      <c r="AP3989" s="175">
        <v>56</v>
      </c>
      <c r="AQ3989" s="175">
        <v>8</v>
      </c>
      <c r="AR3989" s="175">
        <v>0</v>
      </c>
      <c r="AS3989" s="175">
        <v>12</v>
      </c>
      <c r="AT3989" s="175">
        <v>2</v>
      </c>
    </row>
    <row r="3990" spans="1:46">
      <c r="A3990">
        <v>65064</v>
      </c>
      <c r="B3990" t="s">
        <v>21823</v>
      </c>
      <c r="C3990" t="s">
        <v>21824</v>
      </c>
      <c r="E3990" t="s">
        <v>21825</v>
      </c>
      <c r="F3990" t="s">
        <v>3246</v>
      </c>
      <c r="G3990" t="s">
        <v>3015</v>
      </c>
      <c r="H3990" t="s">
        <v>449</v>
      </c>
      <c r="J3990" t="s">
        <v>4032</v>
      </c>
      <c r="K3990" t="s">
        <v>606</v>
      </c>
      <c r="M3990" t="s">
        <v>2366</v>
      </c>
      <c r="N3990" t="s">
        <v>657</v>
      </c>
      <c r="O3990" t="s">
        <v>3016</v>
      </c>
      <c r="P3990" t="s">
        <v>739</v>
      </c>
      <c r="Q3990" t="s">
        <v>521</v>
      </c>
      <c r="R3990" t="s">
        <v>3017</v>
      </c>
      <c r="S3990" t="s">
        <v>3030</v>
      </c>
      <c r="T3990" t="s">
        <v>2526</v>
      </c>
      <c r="U3990">
        <v>322100</v>
      </c>
      <c r="V3990" t="s">
        <v>3225</v>
      </c>
      <c r="W3990" t="s">
        <v>3171</v>
      </c>
      <c r="X3990" t="s">
        <v>21826</v>
      </c>
      <c r="Y3990" t="s">
        <v>21827</v>
      </c>
      <c r="Z3990" t="s">
        <v>11763</v>
      </c>
      <c r="AA3990" t="s">
        <v>11764</v>
      </c>
      <c r="AB3990" t="s">
        <v>21828</v>
      </c>
      <c r="AE3990">
        <v>-43.498438370000002</v>
      </c>
      <c r="AF3990">
        <v>172.62945533000001</v>
      </c>
      <c r="AG3990" s="175">
        <v>37</v>
      </c>
      <c r="AH3990" s="175">
        <v>12</v>
      </c>
      <c r="AI3990" s="175">
        <v>4</v>
      </c>
      <c r="AJ3990" s="175">
        <v>9</v>
      </c>
      <c r="AK3990" s="175">
        <v>6</v>
      </c>
      <c r="AL3990" s="175">
        <v>7</v>
      </c>
      <c r="AM3990" s="175">
        <v>4</v>
      </c>
      <c r="AN3990" s="175">
        <v>0</v>
      </c>
      <c r="AO3990" s="175">
        <v>30</v>
      </c>
      <c r="AP3990" s="175">
        <v>23</v>
      </c>
      <c r="AQ3990" s="175">
        <v>1</v>
      </c>
      <c r="AR3990" s="175">
        <v>3</v>
      </c>
      <c r="AS3990" s="175">
        <v>6</v>
      </c>
      <c r="AT3990" s="175">
        <v>2</v>
      </c>
    </row>
    <row r="3991" spans="1:46">
      <c r="A3991">
        <v>65068</v>
      </c>
      <c r="B3991" t="s">
        <v>21829</v>
      </c>
      <c r="C3991" t="s">
        <v>21830</v>
      </c>
      <c r="D3991" t="s">
        <v>21831</v>
      </c>
      <c r="E3991" t="s">
        <v>21832</v>
      </c>
      <c r="F3991" t="s">
        <v>3188</v>
      </c>
      <c r="G3991" t="s">
        <v>3015</v>
      </c>
      <c r="H3991" t="s">
        <v>449</v>
      </c>
      <c r="J3991" t="s">
        <v>605</v>
      </c>
      <c r="K3991" t="s">
        <v>606</v>
      </c>
      <c r="M3991" t="s">
        <v>2366</v>
      </c>
      <c r="N3991" t="s">
        <v>657</v>
      </c>
      <c r="O3991" t="s">
        <v>3016</v>
      </c>
      <c r="P3991" t="s">
        <v>739</v>
      </c>
      <c r="Q3991" t="s">
        <v>521</v>
      </c>
      <c r="R3991" t="s">
        <v>3017</v>
      </c>
      <c r="S3991" t="s">
        <v>3018</v>
      </c>
      <c r="T3991" t="s">
        <v>2526</v>
      </c>
      <c r="U3991">
        <v>321400</v>
      </c>
      <c r="V3991" t="s">
        <v>21833</v>
      </c>
      <c r="W3991" t="s">
        <v>3072</v>
      </c>
      <c r="X3991" t="s">
        <v>21834</v>
      </c>
      <c r="Y3991" t="s">
        <v>21832</v>
      </c>
      <c r="Z3991" t="s">
        <v>21833</v>
      </c>
      <c r="AA3991" t="s">
        <v>11764</v>
      </c>
      <c r="AB3991" t="s">
        <v>21835</v>
      </c>
      <c r="AE3991">
        <v>-43.507608619999999</v>
      </c>
      <c r="AF3991">
        <v>172.61314161000001</v>
      </c>
      <c r="AG3991" s="175">
        <v>42</v>
      </c>
      <c r="AH3991" s="175">
        <v>0</v>
      </c>
      <c r="AI3991" s="175">
        <v>0</v>
      </c>
      <c r="AJ3991" s="175">
        <v>0</v>
      </c>
      <c r="AK3991" s="175">
        <v>5</v>
      </c>
      <c r="AL3991" s="175">
        <v>15</v>
      </c>
      <c r="AM3991" s="175">
        <v>21</v>
      </c>
      <c r="AN3991" s="175">
        <v>0</v>
      </c>
      <c r="AO3991" s="175">
        <v>41</v>
      </c>
      <c r="AP3991" s="175">
        <v>30</v>
      </c>
      <c r="AQ3991" s="175">
        <v>2</v>
      </c>
      <c r="AR3991" s="175">
        <v>0</v>
      </c>
      <c r="AS3991" s="175">
        <v>11</v>
      </c>
      <c r="AT3991" s="175">
        <v>6</v>
      </c>
    </row>
    <row r="3992" spans="1:46">
      <c r="A3992">
        <v>65069</v>
      </c>
      <c r="B3992" t="s">
        <v>21836</v>
      </c>
      <c r="C3992" t="s">
        <v>21837</v>
      </c>
      <c r="D3992" t="s">
        <v>21838</v>
      </c>
      <c r="E3992" t="s">
        <v>21839</v>
      </c>
      <c r="F3992" t="s">
        <v>2952</v>
      </c>
      <c r="G3992" t="s">
        <v>2930</v>
      </c>
      <c r="H3992" t="s">
        <v>449</v>
      </c>
      <c r="J3992" t="s">
        <v>4032</v>
      </c>
      <c r="K3992" t="s">
        <v>606</v>
      </c>
      <c r="M3992" t="s">
        <v>2366</v>
      </c>
      <c r="N3992" t="s">
        <v>657</v>
      </c>
      <c r="O3992" t="s">
        <v>2931</v>
      </c>
      <c r="P3992" t="s">
        <v>670</v>
      </c>
      <c r="Q3992" t="s">
        <v>518</v>
      </c>
      <c r="R3992" t="s">
        <v>2901</v>
      </c>
      <c r="S3992" t="s">
        <v>2930</v>
      </c>
      <c r="T3992" t="s">
        <v>2526</v>
      </c>
      <c r="U3992">
        <v>304800</v>
      </c>
      <c r="V3992" t="s">
        <v>2952</v>
      </c>
      <c r="W3992" t="s">
        <v>2114</v>
      </c>
      <c r="X3992" t="s">
        <v>21840</v>
      </c>
      <c r="Y3992" t="s">
        <v>21841</v>
      </c>
      <c r="AA3992" t="s">
        <v>16378</v>
      </c>
      <c r="AB3992" t="s">
        <v>21842</v>
      </c>
      <c r="AC3992">
        <v>99005</v>
      </c>
      <c r="AD3992" t="s">
        <v>2953</v>
      </c>
      <c r="AE3992">
        <v>-41.270364170000001</v>
      </c>
      <c r="AF3992">
        <v>173.29149511</v>
      </c>
      <c r="AG3992" s="175">
        <v>25</v>
      </c>
      <c r="AH3992" s="175">
        <v>5</v>
      </c>
      <c r="AI3992" s="175">
        <v>0</v>
      </c>
      <c r="AJ3992" s="175">
        <v>0</v>
      </c>
      <c r="AK3992" s="175">
        <v>4</v>
      </c>
      <c r="AL3992" s="175">
        <v>14</v>
      </c>
      <c r="AM3992" s="175">
        <v>7</v>
      </c>
      <c r="AN3992" s="175">
        <v>2</v>
      </c>
      <c r="AO3992" s="175">
        <v>27</v>
      </c>
      <c r="AP3992" s="175">
        <v>20</v>
      </c>
      <c r="AQ3992" s="175">
        <v>6</v>
      </c>
      <c r="AR3992" s="175">
        <v>0</v>
      </c>
      <c r="AS3992" s="175">
        <v>3</v>
      </c>
      <c r="AT3992" s="175">
        <v>0</v>
      </c>
    </row>
    <row r="3993" spans="1:46">
      <c r="A3993">
        <v>65070</v>
      </c>
      <c r="B3993" t="s">
        <v>21843</v>
      </c>
      <c r="C3993" t="s">
        <v>21844</v>
      </c>
      <c r="D3993" t="s">
        <v>21845</v>
      </c>
      <c r="E3993" t="s">
        <v>21846</v>
      </c>
      <c r="F3993" t="s">
        <v>3106</v>
      </c>
      <c r="G3993" t="s">
        <v>3015</v>
      </c>
      <c r="H3993" t="s">
        <v>449</v>
      </c>
      <c r="J3993" t="s">
        <v>605</v>
      </c>
      <c r="K3993" t="s">
        <v>606</v>
      </c>
      <c r="M3993" t="s">
        <v>2366</v>
      </c>
      <c r="N3993" t="s">
        <v>657</v>
      </c>
      <c r="O3993" t="s">
        <v>3016</v>
      </c>
      <c r="P3993" t="s">
        <v>739</v>
      </c>
      <c r="Q3993" t="s">
        <v>521</v>
      </c>
      <c r="R3993" t="s">
        <v>3017</v>
      </c>
      <c r="S3993" t="s">
        <v>3092</v>
      </c>
      <c r="T3993" t="s">
        <v>2526</v>
      </c>
      <c r="U3993">
        <v>321101</v>
      </c>
      <c r="V3993" t="s">
        <v>3107</v>
      </c>
      <c r="W3993" t="s">
        <v>3093</v>
      </c>
      <c r="X3993" t="s">
        <v>21847</v>
      </c>
      <c r="Y3993" t="s">
        <v>21846</v>
      </c>
      <c r="Z3993" t="s">
        <v>3106</v>
      </c>
      <c r="AA3993" t="s">
        <v>11482</v>
      </c>
      <c r="AB3993" t="s">
        <v>21844</v>
      </c>
      <c r="AC3993">
        <v>99045</v>
      </c>
      <c r="AD3993" t="s">
        <v>3094</v>
      </c>
      <c r="AE3993">
        <v>-43.547211679999997</v>
      </c>
      <c r="AF3993">
        <v>172.54148035</v>
      </c>
      <c r="AG3993" s="175">
        <v>38</v>
      </c>
      <c r="AH3993" s="175">
        <v>8</v>
      </c>
      <c r="AI3993" s="175">
        <v>0</v>
      </c>
      <c r="AJ3993" s="175">
        <v>5</v>
      </c>
      <c r="AK3993" s="175">
        <v>4</v>
      </c>
      <c r="AL3993" s="175">
        <v>9</v>
      </c>
      <c r="AM3993" s="175">
        <v>12</v>
      </c>
      <c r="AN3993" s="175">
        <v>1</v>
      </c>
      <c r="AO3993" s="175">
        <v>31</v>
      </c>
      <c r="AP3993" s="175">
        <v>1</v>
      </c>
      <c r="AQ3993" s="175">
        <v>1</v>
      </c>
      <c r="AR3993" s="175">
        <v>0</v>
      </c>
      <c r="AS3993" s="175">
        <v>11</v>
      </c>
      <c r="AT3993" s="175">
        <v>21</v>
      </c>
    </row>
    <row r="3994" spans="1:46">
      <c r="A3994">
        <v>65071</v>
      </c>
      <c r="B3994" t="s">
        <v>21848</v>
      </c>
      <c r="C3994" t="s">
        <v>21849</v>
      </c>
      <c r="D3994" t="s">
        <v>12383</v>
      </c>
      <c r="E3994" t="s">
        <v>12384</v>
      </c>
      <c r="F3994" t="s">
        <v>12385</v>
      </c>
      <c r="G3994" t="s">
        <v>3015</v>
      </c>
      <c r="H3994" t="s">
        <v>450</v>
      </c>
      <c r="J3994" t="s">
        <v>4032</v>
      </c>
      <c r="K3994" t="s">
        <v>606</v>
      </c>
      <c r="M3994" t="s">
        <v>2366</v>
      </c>
      <c r="N3994" t="s">
        <v>657</v>
      </c>
      <c r="O3994" t="s">
        <v>3016</v>
      </c>
      <c r="P3994" t="s">
        <v>739</v>
      </c>
      <c r="Q3994" t="s">
        <v>521</v>
      </c>
      <c r="R3994" t="s">
        <v>3017</v>
      </c>
      <c r="S3994" t="s">
        <v>3046</v>
      </c>
      <c r="T3994" t="s">
        <v>2526</v>
      </c>
      <c r="U3994">
        <v>326000</v>
      </c>
      <c r="V3994" t="s">
        <v>12385</v>
      </c>
      <c r="W3994" t="s">
        <v>3047</v>
      </c>
      <c r="X3994" t="s">
        <v>12386</v>
      </c>
      <c r="Y3994" t="s">
        <v>12387</v>
      </c>
      <c r="Z3994" t="s">
        <v>3045</v>
      </c>
      <c r="AA3994" t="s">
        <v>12388</v>
      </c>
      <c r="AB3994" t="s">
        <v>12389</v>
      </c>
      <c r="AE3994">
        <v>-43.483212909999999</v>
      </c>
      <c r="AF3994">
        <v>172.71902532999999</v>
      </c>
      <c r="AG3994" s="175">
        <v>80</v>
      </c>
      <c r="AH3994" s="175">
        <v>80</v>
      </c>
      <c r="AI3994" s="175">
        <v>6</v>
      </c>
      <c r="AJ3994" s="175">
        <v>7</v>
      </c>
      <c r="AK3994" s="175">
        <v>11</v>
      </c>
      <c r="AL3994" s="175">
        <v>4</v>
      </c>
      <c r="AM3994" s="175">
        <v>4</v>
      </c>
      <c r="AN3994" s="175">
        <v>0</v>
      </c>
      <c r="AO3994" s="175">
        <v>32</v>
      </c>
      <c r="AP3994" s="175">
        <v>5</v>
      </c>
      <c r="AQ3994" s="175">
        <v>1</v>
      </c>
      <c r="AR3994" s="175">
        <v>3</v>
      </c>
      <c r="AS3994" s="175">
        <v>24</v>
      </c>
      <c r="AT3994" s="175">
        <v>2</v>
      </c>
    </row>
    <row r="3995" spans="1:46">
      <c r="A3995">
        <v>65072</v>
      </c>
      <c r="B3995" t="s">
        <v>21850</v>
      </c>
      <c r="C3995" t="s">
        <v>21851</v>
      </c>
      <c r="D3995" t="s">
        <v>21852</v>
      </c>
      <c r="E3995" t="s">
        <v>21853</v>
      </c>
      <c r="G3995" t="s">
        <v>3251</v>
      </c>
      <c r="H3995" t="s">
        <v>449</v>
      </c>
      <c r="J3995" t="s">
        <v>4032</v>
      </c>
      <c r="K3995" t="s">
        <v>606</v>
      </c>
      <c r="M3995" t="s">
        <v>2366</v>
      </c>
      <c r="N3995" t="s">
        <v>657</v>
      </c>
      <c r="O3995" t="s">
        <v>3016</v>
      </c>
      <c r="P3995" t="s">
        <v>739</v>
      </c>
      <c r="Q3995" t="s">
        <v>521</v>
      </c>
      <c r="R3995" t="s">
        <v>3017</v>
      </c>
      <c r="S3995" t="s">
        <v>3252</v>
      </c>
      <c r="T3995" t="s">
        <v>2526</v>
      </c>
      <c r="U3995">
        <v>318100</v>
      </c>
      <c r="V3995" t="s">
        <v>3251</v>
      </c>
      <c r="W3995" t="s">
        <v>3093</v>
      </c>
      <c r="X3995" t="s">
        <v>21854</v>
      </c>
      <c r="Y3995" t="s">
        <v>21855</v>
      </c>
      <c r="Z3995" t="s">
        <v>3051</v>
      </c>
      <c r="AA3995" t="s">
        <v>10877</v>
      </c>
      <c r="AB3995" t="s">
        <v>21856</v>
      </c>
      <c r="AE3995">
        <v>-43.550832200000002</v>
      </c>
      <c r="AF3995">
        <v>172.47126929999999</v>
      </c>
      <c r="AG3995" s="175">
        <v>50</v>
      </c>
      <c r="AH3995" s="175">
        <v>12</v>
      </c>
      <c r="AI3995" s="175">
        <v>0</v>
      </c>
      <c r="AJ3995" s="175">
        <v>9</v>
      </c>
      <c r="AK3995" s="175">
        <v>12</v>
      </c>
      <c r="AL3995" s="175">
        <v>15</v>
      </c>
      <c r="AM3995" s="175">
        <v>13</v>
      </c>
      <c r="AN3995" s="175">
        <v>1</v>
      </c>
      <c r="AO3995" s="175">
        <v>50</v>
      </c>
      <c r="AP3995" s="175">
        <v>47</v>
      </c>
      <c r="AQ3995" s="175">
        <v>10</v>
      </c>
      <c r="AR3995" s="175">
        <v>2</v>
      </c>
      <c r="AS3995" s="175">
        <v>2</v>
      </c>
      <c r="AT3995" s="175">
        <v>1</v>
      </c>
    </row>
    <row r="3996" spans="1:46">
      <c r="A3996">
        <v>65073</v>
      </c>
      <c r="B3996" t="s">
        <v>21857</v>
      </c>
      <c r="C3996" t="s">
        <v>21858</v>
      </c>
      <c r="D3996" t="s">
        <v>21859</v>
      </c>
      <c r="E3996" t="s">
        <v>21860</v>
      </c>
      <c r="G3996" t="s">
        <v>10974</v>
      </c>
      <c r="H3996" t="s">
        <v>449</v>
      </c>
      <c r="J3996" t="s">
        <v>4032</v>
      </c>
      <c r="K3996" t="s">
        <v>606</v>
      </c>
      <c r="M3996" t="s">
        <v>2366</v>
      </c>
      <c r="N3996" t="s">
        <v>657</v>
      </c>
      <c r="O3996" t="s">
        <v>3281</v>
      </c>
      <c r="P3996" t="s">
        <v>1347</v>
      </c>
      <c r="Q3996" t="s">
        <v>521</v>
      </c>
      <c r="R3996" t="s">
        <v>3017</v>
      </c>
      <c r="S3996" t="s">
        <v>3252</v>
      </c>
      <c r="T3996" t="s">
        <v>2526</v>
      </c>
      <c r="U3996">
        <v>334901</v>
      </c>
      <c r="V3996" t="s">
        <v>11654</v>
      </c>
      <c r="W3996" t="s">
        <v>10977</v>
      </c>
      <c r="X3996" t="s">
        <v>21861</v>
      </c>
      <c r="Y3996" t="s">
        <v>21862</v>
      </c>
      <c r="Z3996" t="s">
        <v>3030</v>
      </c>
      <c r="AA3996" t="s">
        <v>21863</v>
      </c>
      <c r="AC3996">
        <v>99206</v>
      </c>
      <c r="AD3996" t="s">
        <v>3284</v>
      </c>
      <c r="AE3996">
        <v>-43.594822460000003</v>
      </c>
      <c r="AF3996">
        <v>172.37381139999999</v>
      </c>
      <c r="AG3996" s="175">
        <v>53</v>
      </c>
      <c r="AH3996" s="175">
        <v>10</v>
      </c>
      <c r="AI3996" s="175">
        <v>1</v>
      </c>
      <c r="AJ3996" s="175">
        <v>8</v>
      </c>
      <c r="AK3996" s="175">
        <v>9</v>
      </c>
      <c r="AL3996" s="175">
        <v>19</v>
      </c>
      <c r="AM3996" s="175">
        <v>21</v>
      </c>
      <c r="AN3996" s="175">
        <v>1</v>
      </c>
      <c r="AO3996" s="175">
        <v>59</v>
      </c>
      <c r="AP3996" s="175">
        <v>43</v>
      </c>
      <c r="AQ3996" s="175">
        <v>17</v>
      </c>
      <c r="AR3996" s="175">
        <v>9</v>
      </c>
      <c r="AS3996" s="175">
        <v>9</v>
      </c>
      <c r="AT3996" s="175">
        <v>3</v>
      </c>
    </row>
    <row r="3997" spans="1:46">
      <c r="A3997">
        <v>65077</v>
      </c>
      <c r="B3997" t="s">
        <v>21864</v>
      </c>
      <c r="C3997" t="s">
        <v>21865</v>
      </c>
      <c r="E3997" t="s">
        <v>21866</v>
      </c>
      <c r="F3997" t="s">
        <v>3029</v>
      </c>
      <c r="G3997" t="s">
        <v>3015</v>
      </c>
      <c r="H3997" t="s">
        <v>449</v>
      </c>
      <c r="J3997" t="s">
        <v>605</v>
      </c>
      <c r="K3997" t="s">
        <v>606</v>
      </c>
      <c r="M3997" t="s">
        <v>2366</v>
      </c>
      <c r="N3997" t="s">
        <v>657</v>
      </c>
      <c r="O3997" t="s">
        <v>3016</v>
      </c>
      <c r="P3997" t="s">
        <v>739</v>
      </c>
      <c r="Q3997" t="s">
        <v>521</v>
      </c>
      <c r="R3997" t="s">
        <v>3017</v>
      </c>
      <c r="S3997" t="s">
        <v>3030</v>
      </c>
      <c r="T3997" t="s">
        <v>2526</v>
      </c>
      <c r="U3997">
        <v>330600</v>
      </c>
      <c r="V3997" t="s">
        <v>3029</v>
      </c>
      <c r="W3997" t="s">
        <v>3031</v>
      </c>
      <c r="X3997" t="s">
        <v>10864</v>
      </c>
      <c r="Y3997" t="s">
        <v>4014</v>
      </c>
      <c r="Z3997" t="s">
        <v>4015</v>
      </c>
      <c r="AA3997" t="s">
        <v>4016</v>
      </c>
      <c r="AE3997">
        <v>-43.558961719999999</v>
      </c>
      <c r="AF3997">
        <v>172.63707292000001</v>
      </c>
      <c r="AG3997" s="175">
        <v>74</v>
      </c>
      <c r="AH3997" s="175">
        <v>24</v>
      </c>
      <c r="AI3997" s="175">
        <v>6</v>
      </c>
      <c r="AJ3997" s="175">
        <v>16</v>
      </c>
      <c r="AK3997" s="175">
        <v>15</v>
      </c>
      <c r="AL3997" s="175">
        <v>16</v>
      </c>
      <c r="AM3997" s="175">
        <v>20</v>
      </c>
      <c r="AN3997" s="175">
        <v>1</v>
      </c>
      <c r="AO3997" s="175">
        <v>74</v>
      </c>
      <c r="AP3997" s="175">
        <v>59</v>
      </c>
      <c r="AQ3997" s="175">
        <v>14</v>
      </c>
      <c r="AR3997" s="175">
        <v>7</v>
      </c>
      <c r="AS3997" s="175">
        <v>11</v>
      </c>
      <c r="AT3997" s="175">
        <v>5</v>
      </c>
    </row>
    <row r="3998" spans="1:46">
      <c r="A3998">
        <v>65078</v>
      </c>
      <c r="B3998" t="s">
        <v>21867</v>
      </c>
      <c r="C3998" t="s">
        <v>21868</v>
      </c>
      <c r="D3998" t="s">
        <v>21869</v>
      </c>
      <c r="E3998" t="s">
        <v>21870</v>
      </c>
      <c r="G3998" t="s">
        <v>3036</v>
      </c>
      <c r="H3998" t="s">
        <v>449</v>
      </c>
      <c r="J3998" t="s">
        <v>4032</v>
      </c>
      <c r="K3998" t="s">
        <v>606</v>
      </c>
      <c r="M3998" t="s">
        <v>2366</v>
      </c>
      <c r="N3998" t="s">
        <v>4586</v>
      </c>
      <c r="O3998" t="s">
        <v>3037</v>
      </c>
      <c r="P3998" t="s">
        <v>1347</v>
      </c>
      <c r="Q3998" t="s">
        <v>521</v>
      </c>
      <c r="R3998" t="s">
        <v>3017</v>
      </c>
      <c r="S3998" t="s">
        <v>3038</v>
      </c>
      <c r="T3998" t="s">
        <v>2526</v>
      </c>
      <c r="U3998">
        <v>314900</v>
      </c>
      <c r="V3998" t="s">
        <v>21871</v>
      </c>
      <c r="W3998" t="s">
        <v>3040</v>
      </c>
      <c r="X3998" t="s">
        <v>14338</v>
      </c>
      <c r="Y3998" t="s">
        <v>14339</v>
      </c>
      <c r="AA3998" t="s">
        <v>14340</v>
      </c>
      <c r="AB3998" t="s">
        <v>14341</v>
      </c>
      <c r="AC3998">
        <v>99077</v>
      </c>
      <c r="AD3998" t="s">
        <v>3041</v>
      </c>
      <c r="AE3998">
        <v>-43.302778340000003</v>
      </c>
      <c r="AF3998">
        <v>172.60157185</v>
      </c>
      <c r="AG3998" s="175">
        <v>60</v>
      </c>
      <c r="AH3998" s="175">
        <v>20</v>
      </c>
      <c r="AI3998" s="175">
        <v>2</v>
      </c>
      <c r="AJ3998" s="175">
        <v>12</v>
      </c>
      <c r="AK3998" s="175">
        <v>11</v>
      </c>
      <c r="AL3998" s="175">
        <v>20</v>
      </c>
      <c r="AM3998" s="175">
        <v>13</v>
      </c>
      <c r="AN3998" s="175">
        <v>3</v>
      </c>
      <c r="AO3998" s="175">
        <v>61</v>
      </c>
      <c r="AP3998" s="175">
        <v>58</v>
      </c>
      <c r="AQ3998" s="175">
        <v>12</v>
      </c>
      <c r="AR3998" s="175">
        <v>0</v>
      </c>
      <c r="AS3998" s="175">
        <v>1</v>
      </c>
      <c r="AT3998" s="175">
        <v>0</v>
      </c>
    </row>
    <row r="3999" spans="1:46">
      <c r="A3999">
        <v>65079</v>
      </c>
      <c r="B3999" t="s">
        <v>21872</v>
      </c>
      <c r="C3999" t="s">
        <v>21873</v>
      </c>
      <c r="D3999" t="s">
        <v>21874</v>
      </c>
      <c r="E3999" t="s">
        <v>21875</v>
      </c>
      <c r="G3999" t="s">
        <v>13856</v>
      </c>
      <c r="H3999" t="s">
        <v>449</v>
      </c>
      <c r="J3999" t="s">
        <v>4032</v>
      </c>
      <c r="K3999" t="s">
        <v>606</v>
      </c>
      <c r="M3999" t="s">
        <v>2366</v>
      </c>
      <c r="N3999" t="s">
        <v>657</v>
      </c>
      <c r="O3999" t="s">
        <v>13545</v>
      </c>
      <c r="P3999" t="s">
        <v>610</v>
      </c>
      <c r="Q3999" t="s">
        <v>521</v>
      </c>
      <c r="R3999" t="s">
        <v>3017</v>
      </c>
      <c r="S3999" t="s">
        <v>2902</v>
      </c>
      <c r="T3999" t="s">
        <v>2526</v>
      </c>
      <c r="U3999">
        <v>312300</v>
      </c>
      <c r="V3999" t="s">
        <v>13856</v>
      </c>
      <c r="W3999" t="s">
        <v>13857</v>
      </c>
      <c r="X3999" t="s">
        <v>21876</v>
      </c>
      <c r="Y3999" t="s">
        <v>21877</v>
      </c>
      <c r="AA3999" t="s">
        <v>21878</v>
      </c>
      <c r="AB3999" t="s">
        <v>21873</v>
      </c>
      <c r="AE3999">
        <v>-42.528333379999999</v>
      </c>
      <c r="AF3999">
        <v>172.82872420000001</v>
      </c>
      <c r="AG3999" s="175">
        <v>26</v>
      </c>
      <c r="AH3999" s="175">
        <v>8</v>
      </c>
      <c r="AI3999" s="175">
        <v>0</v>
      </c>
      <c r="AJ3999" s="175">
        <v>6</v>
      </c>
      <c r="AK3999" s="175">
        <v>6</v>
      </c>
      <c r="AL3999" s="175">
        <v>10</v>
      </c>
      <c r="AM3999" s="175">
        <v>10</v>
      </c>
      <c r="AN3999" s="175">
        <v>0</v>
      </c>
      <c r="AO3999" s="175">
        <v>32</v>
      </c>
      <c r="AP3999" s="175">
        <v>27</v>
      </c>
      <c r="AQ3999" s="175">
        <v>4</v>
      </c>
      <c r="AR3999" s="175">
        <v>0</v>
      </c>
      <c r="AS3999" s="175">
        <v>5</v>
      </c>
      <c r="AT3999" s="175">
        <v>4</v>
      </c>
    </row>
    <row r="4000" spans="1:46">
      <c r="A4000">
        <v>65081</v>
      </c>
      <c r="B4000" t="s">
        <v>21879</v>
      </c>
      <c r="C4000" t="s">
        <v>21880</v>
      </c>
      <c r="D4000" t="s">
        <v>21881</v>
      </c>
      <c r="E4000" t="s">
        <v>21882</v>
      </c>
      <c r="G4000" t="s">
        <v>2943</v>
      </c>
      <c r="H4000" t="s">
        <v>449</v>
      </c>
      <c r="J4000" t="s">
        <v>4032</v>
      </c>
      <c r="K4000" t="s">
        <v>606</v>
      </c>
      <c r="M4000" t="s">
        <v>2366</v>
      </c>
      <c r="N4000" t="s">
        <v>643</v>
      </c>
      <c r="O4000" t="s">
        <v>2944</v>
      </c>
      <c r="P4000" t="s">
        <v>610</v>
      </c>
      <c r="Q4000" t="s">
        <v>517</v>
      </c>
      <c r="R4000" t="s">
        <v>2901</v>
      </c>
      <c r="S4000" t="s">
        <v>2945</v>
      </c>
      <c r="T4000" t="s">
        <v>2526</v>
      </c>
      <c r="U4000">
        <v>301301</v>
      </c>
      <c r="V4000" t="s">
        <v>2946</v>
      </c>
      <c r="W4000" t="s">
        <v>2947</v>
      </c>
      <c r="X4000" t="s">
        <v>11001</v>
      </c>
      <c r="Y4000" t="s">
        <v>11002</v>
      </c>
      <c r="AA4000" t="s">
        <v>11003</v>
      </c>
      <c r="AB4000" t="s">
        <v>11004</v>
      </c>
      <c r="AC4000">
        <v>99115</v>
      </c>
      <c r="AD4000" t="s">
        <v>2948</v>
      </c>
      <c r="AE4000">
        <v>-41.111451520000003</v>
      </c>
      <c r="AF4000">
        <v>173.01387149999999</v>
      </c>
      <c r="AG4000" s="175">
        <v>30</v>
      </c>
      <c r="AH4000" s="175">
        <v>0</v>
      </c>
      <c r="AI4000" s="175">
        <v>0</v>
      </c>
      <c r="AJ4000" s="175">
        <v>0</v>
      </c>
      <c r="AK4000" s="175">
        <v>1</v>
      </c>
      <c r="AL4000" s="175">
        <v>10</v>
      </c>
      <c r="AM4000" s="175">
        <v>18</v>
      </c>
      <c r="AN4000" s="175">
        <v>0</v>
      </c>
      <c r="AO4000" s="175">
        <v>29</v>
      </c>
      <c r="AP4000" s="175">
        <v>29</v>
      </c>
      <c r="AQ4000" s="175">
        <v>4</v>
      </c>
      <c r="AR4000" s="175">
        <v>0</v>
      </c>
      <c r="AS4000" s="175">
        <v>1</v>
      </c>
      <c r="AT4000" s="175">
        <v>0</v>
      </c>
    </row>
    <row r="4001" spans="1:46">
      <c r="A4001">
        <v>65083</v>
      </c>
      <c r="B4001" t="s">
        <v>21883</v>
      </c>
      <c r="C4001" t="s">
        <v>21884</v>
      </c>
      <c r="D4001" t="s">
        <v>3012</v>
      </c>
      <c r="E4001" t="s">
        <v>21885</v>
      </c>
      <c r="F4001" t="s">
        <v>3130</v>
      </c>
      <c r="G4001" t="s">
        <v>3015</v>
      </c>
      <c r="H4001" t="s">
        <v>452</v>
      </c>
      <c r="I4001" t="s">
        <v>4320</v>
      </c>
      <c r="J4001" t="s">
        <v>605</v>
      </c>
      <c r="K4001" t="s">
        <v>606</v>
      </c>
      <c r="M4001" t="s">
        <v>2366</v>
      </c>
      <c r="N4001" t="s">
        <v>625</v>
      </c>
      <c r="O4001" t="s">
        <v>3016</v>
      </c>
      <c r="P4001" t="s">
        <v>739</v>
      </c>
      <c r="Q4001" t="s">
        <v>521</v>
      </c>
      <c r="R4001" t="s">
        <v>3017</v>
      </c>
      <c r="S4001" t="s">
        <v>3046</v>
      </c>
      <c r="T4001" t="s">
        <v>2526</v>
      </c>
      <c r="U4001">
        <v>327800</v>
      </c>
      <c r="V4001" t="s">
        <v>21886</v>
      </c>
      <c r="W4001" t="s">
        <v>3066</v>
      </c>
      <c r="X4001" t="s">
        <v>3021</v>
      </c>
      <c r="Y4001" t="s">
        <v>3022</v>
      </c>
      <c r="Z4001" t="s">
        <v>3023</v>
      </c>
      <c r="AA4001" t="s">
        <v>3024</v>
      </c>
      <c r="AB4001" t="s">
        <v>3025</v>
      </c>
      <c r="AC4001">
        <v>99063</v>
      </c>
      <c r="AD4001" t="s">
        <v>3067</v>
      </c>
      <c r="AE4001">
        <v>-43.525038219999999</v>
      </c>
      <c r="AF4001">
        <v>172.67572636</v>
      </c>
      <c r="AG4001" s="175">
        <v>50</v>
      </c>
      <c r="AH4001" s="175">
        <v>10</v>
      </c>
      <c r="AI4001" s="175">
        <v>1</v>
      </c>
      <c r="AJ4001" s="175">
        <v>3</v>
      </c>
      <c r="AK4001" s="175">
        <v>7</v>
      </c>
      <c r="AL4001" s="175">
        <v>8</v>
      </c>
      <c r="AM4001" s="175">
        <v>9</v>
      </c>
      <c r="AN4001" s="175">
        <v>1</v>
      </c>
      <c r="AO4001" s="175">
        <v>29</v>
      </c>
      <c r="AP4001" s="175">
        <v>14</v>
      </c>
      <c r="AQ4001" s="175">
        <v>14</v>
      </c>
      <c r="AR4001" s="175">
        <v>16</v>
      </c>
      <c r="AS4001" s="175">
        <v>1</v>
      </c>
      <c r="AT4001" s="175">
        <v>2</v>
      </c>
    </row>
    <row r="4002" spans="1:46">
      <c r="A4002">
        <v>65084</v>
      </c>
      <c r="B4002" t="s">
        <v>21887</v>
      </c>
      <c r="C4002" t="s">
        <v>21888</v>
      </c>
      <c r="D4002" t="s">
        <v>21889</v>
      </c>
      <c r="E4002" t="s">
        <v>21890</v>
      </c>
      <c r="F4002" t="s">
        <v>17402</v>
      </c>
      <c r="G4002" t="s">
        <v>3334</v>
      </c>
      <c r="H4002" t="s">
        <v>449</v>
      </c>
      <c r="J4002" t="s">
        <v>4032</v>
      </c>
      <c r="K4002" t="s">
        <v>606</v>
      </c>
      <c r="M4002" t="s">
        <v>2366</v>
      </c>
      <c r="N4002" t="s">
        <v>657</v>
      </c>
      <c r="O4002" t="s">
        <v>3322</v>
      </c>
      <c r="P4002" t="s">
        <v>1347</v>
      </c>
      <c r="Q4002" t="s">
        <v>521</v>
      </c>
      <c r="R4002" t="s">
        <v>3017</v>
      </c>
      <c r="S4002" t="s">
        <v>3292</v>
      </c>
      <c r="T4002" t="s">
        <v>2526</v>
      </c>
      <c r="U4002">
        <v>341101</v>
      </c>
      <c r="V4002" t="s">
        <v>21891</v>
      </c>
      <c r="W4002" t="s">
        <v>3336</v>
      </c>
      <c r="X4002" t="s">
        <v>21892</v>
      </c>
      <c r="Y4002" t="s">
        <v>4176</v>
      </c>
      <c r="AA4002" t="s">
        <v>4052</v>
      </c>
      <c r="AB4002" t="s">
        <v>21888</v>
      </c>
      <c r="AC4002">
        <v>99178</v>
      </c>
      <c r="AD4002" t="s">
        <v>3346</v>
      </c>
      <c r="AE4002">
        <v>-44.402295860000002</v>
      </c>
      <c r="AF4002">
        <v>171.25673753000001</v>
      </c>
      <c r="AG4002" s="175">
        <v>65</v>
      </c>
      <c r="AH4002" s="175">
        <v>17</v>
      </c>
      <c r="AI4002" s="175">
        <v>4</v>
      </c>
      <c r="AJ4002" s="175">
        <v>13</v>
      </c>
      <c r="AK4002" s="175">
        <v>15</v>
      </c>
      <c r="AL4002" s="175">
        <v>17</v>
      </c>
      <c r="AM4002" s="175">
        <v>19</v>
      </c>
      <c r="AN4002" s="175">
        <v>0</v>
      </c>
      <c r="AO4002" s="175">
        <v>68</v>
      </c>
      <c r="AP4002" s="175">
        <v>63</v>
      </c>
      <c r="AQ4002" s="175">
        <v>16</v>
      </c>
      <c r="AR4002" s="175">
        <v>2</v>
      </c>
      <c r="AS4002" s="175">
        <v>7</v>
      </c>
      <c r="AT4002" s="175">
        <v>1</v>
      </c>
    </row>
    <row r="4003" spans="1:46">
      <c r="A4003">
        <v>65085</v>
      </c>
      <c r="B4003" t="s">
        <v>21893</v>
      </c>
      <c r="C4003" t="s">
        <v>21894</v>
      </c>
      <c r="D4003" t="s">
        <v>21895</v>
      </c>
      <c r="E4003" t="s">
        <v>21896</v>
      </c>
      <c r="G4003" t="s">
        <v>3260</v>
      </c>
      <c r="H4003" t="s">
        <v>449</v>
      </c>
      <c r="J4003" t="s">
        <v>605</v>
      </c>
      <c r="K4003" t="s">
        <v>606</v>
      </c>
      <c r="M4003" t="s">
        <v>2366</v>
      </c>
      <c r="N4003" t="s">
        <v>657</v>
      </c>
      <c r="O4003" t="s">
        <v>3037</v>
      </c>
      <c r="P4003" t="s">
        <v>658</v>
      </c>
      <c r="Q4003" t="s">
        <v>521</v>
      </c>
      <c r="R4003" t="s">
        <v>3017</v>
      </c>
      <c r="S4003" t="s">
        <v>3038</v>
      </c>
      <c r="T4003" t="s">
        <v>2526</v>
      </c>
      <c r="U4003">
        <v>315500</v>
      </c>
      <c r="V4003" t="s">
        <v>21897</v>
      </c>
      <c r="W4003" t="s">
        <v>3262</v>
      </c>
      <c r="X4003" t="s">
        <v>21898</v>
      </c>
      <c r="Y4003" t="s">
        <v>21899</v>
      </c>
      <c r="AA4003" t="s">
        <v>15123</v>
      </c>
      <c r="AB4003" t="s">
        <v>21900</v>
      </c>
      <c r="AC4003">
        <v>99061</v>
      </c>
      <c r="AD4003" t="s">
        <v>3263</v>
      </c>
      <c r="AE4003">
        <v>-43.385422689999999</v>
      </c>
      <c r="AF4003">
        <v>172.63962079999999</v>
      </c>
      <c r="AG4003" s="175">
        <v>48</v>
      </c>
      <c r="AH4003" s="175">
        <v>12</v>
      </c>
      <c r="AI4003" s="175">
        <v>1</v>
      </c>
      <c r="AJ4003" s="175">
        <v>11</v>
      </c>
      <c r="AK4003" s="175">
        <v>13</v>
      </c>
      <c r="AL4003" s="175">
        <v>23</v>
      </c>
      <c r="AM4003" s="175">
        <v>14</v>
      </c>
      <c r="AN4003" s="175">
        <v>3</v>
      </c>
      <c r="AO4003" s="175">
        <v>65</v>
      </c>
      <c r="AP4003" s="175">
        <v>57</v>
      </c>
      <c r="AQ4003" s="175">
        <v>9</v>
      </c>
      <c r="AR4003" s="175">
        <v>2</v>
      </c>
      <c r="AS4003" s="175">
        <v>4</v>
      </c>
      <c r="AT4003" s="175">
        <v>7</v>
      </c>
    </row>
    <row r="4004" spans="1:46">
      <c r="A4004">
        <v>65086</v>
      </c>
      <c r="B4004" t="s">
        <v>21901</v>
      </c>
      <c r="C4004" t="s">
        <v>21902</v>
      </c>
      <c r="D4004" t="s">
        <v>21903</v>
      </c>
      <c r="E4004" t="s">
        <v>21904</v>
      </c>
      <c r="F4004" t="s">
        <v>3198</v>
      </c>
      <c r="G4004" t="s">
        <v>3015</v>
      </c>
      <c r="H4004" t="s">
        <v>469</v>
      </c>
      <c r="I4004" t="s">
        <v>4233</v>
      </c>
      <c r="J4004" t="s">
        <v>4032</v>
      </c>
      <c r="K4004" t="s">
        <v>606</v>
      </c>
      <c r="M4004" t="s">
        <v>2366</v>
      </c>
      <c r="N4004" t="s">
        <v>608</v>
      </c>
      <c r="O4004" t="s">
        <v>3016</v>
      </c>
      <c r="P4004" t="s">
        <v>739</v>
      </c>
      <c r="Q4004" t="s">
        <v>521</v>
      </c>
      <c r="R4004" t="s">
        <v>3017</v>
      </c>
      <c r="S4004" t="s">
        <v>3046</v>
      </c>
      <c r="T4004" t="s">
        <v>2526</v>
      </c>
      <c r="U4004">
        <v>328400</v>
      </c>
      <c r="V4004" t="s">
        <v>3197</v>
      </c>
      <c r="W4004" t="s">
        <v>3199</v>
      </c>
      <c r="X4004" t="s">
        <v>21905</v>
      </c>
      <c r="Y4004" t="s">
        <v>21904</v>
      </c>
      <c r="Z4004" t="s">
        <v>3130</v>
      </c>
      <c r="AA4004" t="s">
        <v>16058</v>
      </c>
      <c r="AB4004" t="s">
        <v>21906</v>
      </c>
      <c r="AE4004">
        <v>-43.51859881</v>
      </c>
      <c r="AF4004">
        <v>172.6967645</v>
      </c>
      <c r="AG4004" s="175">
        <v>49</v>
      </c>
      <c r="AH4004" s="175">
        <v>9</v>
      </c>
      <c r="AI4004" s="175">
        <v>1</v>
      </c>
      <c r="AJ4004" s="175">
        <v>4</v>
      </c>
      <c r="AK4004" s="175">
        <v>8</v>
      </c>
      <c r="AL4004" s="175">
        <v>11</v>
      </c>
      <c r="AM4004" s="175">
        <v>12</v>
      </c>
      <c r="AN4004" s="175">
        <v>0</v>
      </c>
      <c r="AO4004" s="175">
        <v>36</v>
      </c>
      <c r="AP4004" s="175">
        <v>6</v>
      </c>
      <c r="AQ4004" s="175">
        <v>9</v>
      </c>
      <c r="AR4004" s="175">
        <v>36</v>
      </c>
      <c r="AS4004" s="175">
        <v>0</v>
      </c>
      <c r="AT4004" s="175">
        <v>0</v>
      </c>
    </row>
    <row r="4005" spans="1:46">
      <c r="A4005">
        <v>65087</v>
      </c>
      <c r="B4005" t="s">
        <v>21907</v>
      </c>
      <c r="C4005" t="s">
        <v>21908</v>
      </c>
      <c r="E4005" t="s">
        <v>21909</v>
      </c>
      <c r="F4005" t="s">
        <v>13057</v>
      </c>
      <c r="G4005" t="s">
        <v>3015</v>
      </c>
      <c r="H4005" t="s">
        <v>449</v>
      </c>
      <c r="J4005" t="s">
        <v>605</v>
      </c>
      <c r="K4005" t="s">
        <v>606</v>
      </c>
      <c r="M4005" t="s">
        <v>2366</v>
      </c>
      <c r="N4005" t="s">
        <v>657</v>
      </c>
      <c r="O4005" t="s">
        <v>3016</v>
      </c>
      <c r="P4005" t="s">
        <v>739</v>
      </c>
      <c r="Q4005" t="s">
        <v>521</v>
      </c>
      <c r="R4005" t="s">
        <v>3017</v>
      </c>
      <c r="S4005" t="s">
        <v>3018</v>
      </c>
      <c r="T4005" t="s">
        <v>2526</v>
      </c>
      <c r="U4005">
        <v>323000</v>
      </c>
      <c r="V4005" t="s">
        <v>13057</v>
      </c>
      <c r="W4005" t="s">
        <v>3072</v>
      </c>
      <c r="X4005" t="s">
        <v>8565</v>
      </c>
      <c r="Y4005" t="s">
        <v>21910</v>
      </c>
      <c r="Z4005" t="s">
        <v>13057</v>
      </c>
      <c r="AA4005" t="s">
        <v>14595</v>
      </c>
      <c r="AB4005" t="s">
        <v>21911</v>
      </c>
      <c r="AE4005">
        <v>-43.51657823</v>
      </c>
      <c r="AF4005">
        <v>172.62282468000001</v>
      </c>
      <c r="AG4005" s="175">
        <v>50</v>
      </c>
      <c r="AH4005" s="175">
        <v>0</v>
      </c>
      <c r="AI4005" s="175">
        <v>0</v>
      </c>
      <c r="AJ4005" s="175">
        <v>0</v>
      </c>
      <c r="AK4005" s="175">
        <v>9</v>
      </c>
      <c r="AL4005" s="175">
        <v>16</v>
      </c>
      <c r="AM4005" s="175">
        <v>35</v>
      </c>
      <c r="AN4005" s="175">
        <v>2</v>
      </c>
      <c r="AO4005" s="175">
        <v>62</v>
      </c>
      <c r="AP4005" s="175">
        <v>52</v>
      </c>
      <c r="AQ4005" s="175">
        <v>6</v>
      </c>
      <c r="AR4005" s="175">
        <v>0</v>
      </c>
      <c r="AS4005" s="175">
        <v>16</v>
      </c>
      <c r="AT4005" s="175">
        <v>3</v>
      </c>
    </row>
    <row r="4006" spans="1:46">
      <c r="A4006">
        <v>65088</v>
      </c>
      <c r="B4006" t="s">
        <v>21912</v>
      </c>
      <c r="C4006" t="s">
        <v>21913</v>
      </c>
      <c r="D4006" t="s">
        <v>21914</v>
      </c>
      <c r="E4006" t="s">
        <v>21915</v>
      </c>
      <c r="F4006" t="s">
        <v>17937</v>
      </c>
      <c r="G4006" t="s">
        <v>3015</v>
      </c>
      <c r="H4006" t="s">
        <v>449</v>
      </c>
      <c r="I4006" t="s">
        <v>21916</v>
      </c>
      <c r="J4006" t="s">
        <v>605</v>
      </c>
      <c r="K4006" t="s">
        <v>606</v>
      </c>
      <c r="M4006" t="s">
        <v>2366</v>
      </c>
      <c r="N4006" t="s">
        <v>657</v>
      </c>
      <c r="O4006" t="s">
        <v>3016</v>
      </c>
      <c r="P4006" t="s">
        <v>739</v>
      </c>
      <c r="Q4006" t="s">
        <v>521</v>
      </c>
      <c r="R4006" t="s">
        <v>3017</v>
      </c>
      <c r="S4006" t="s">
        <v>3092</v>
      </c>
      <c r="T4006" t="s">
        <v>2526</v>
      </c>
      <c r="U4006">
        <v>327400</v>
      </c>
      <c r="V4006" t="s">
        <v>3230</v>
      </c>
      <c r="W4006" t="s">
        <v>3161</v>
      </c>
      <c r="X4006" t="s">
        <v>21917</v>
      </c>
      <c r="Y4006" t="s">
        <v>21918</v>
      </c>
      <c r="Z4006" t="s">
        <v>3188</v>
      </c>
      <c r="AA4006" t="s">
        <v>11584</v>
      </c>
      <c r="AB4006" t="s">
        <v>21919</v>
      </c>
      <c r="AE4006">
        <v>-43.547029389999999</v>
      </c>
      <c r="AF4006">
        <v>172.61891012000001</v>
      </c>
      <c r="AG4006" s="175">
        <v>38</v>
      </c>
      <c r="AH4006" s="175">
        <v>12</v>
      </c>
      <c r="AI4006" s="175">
        <v>1</v>
      </c>
      <c r="AJ4006" s="175">
        <v>2</v>
      </c>
      <c r="AK4006" s="175">
        <v>9</v>
      </c>
      <c r="AL4006" s="175">
        <v>8</v>
      </c>
      <c r="AM4006" s="175">
        <v>9</v>
      </c>
      <c r="AN4006" s="175">
        <v>2</v>
      </c>
      <c r="AO4006" s="175">
        <v>31</v>
      </c>
      <c r="AP4006" s="175">
        <v>4</v>
      </c>
      <c r="AQ4006" s="175">
        <v>0</v>
      </c>
      <c r="AR4006" s="175">
        <v>14</v>
      </c>
      <c r="AS4006" s="175">
        <v>15</v>
      </c>
      <c r="AT4006" s="175">
        <v>2</v>
      </c>
    </row>
    <row r="4007" spans="1:46">
      <c r="A4007">
        <v>65092</v>
      </c>
      <c r="B4007" t="s">
        <v>21920</v>
      </c>
      <c r="C4007" t="s">
        <v>21921</v>
      </c>
      <c r="D4007" t="s">
        <v>21922</v>
      </c>
      <c r="E4007" t="s">
        <v>21923</v>
      </c>
      <c r="F4007" t="s">
        <v>15828</v>
      </c>
      <c r="G4007" t="s">
        <v>3015</v>
      </c>
      <c r="H4007" t="s">
        <v>449</v>
      </c>
      <c r="J4007" t="s">
        <v>4032</v>
      </c>
      <c r="K4007" t="s">
        <v>606</v>
      </c>
      <c r="M4007" t="s">
        <v>2366</v>
      </c>
      <c r="N4007" t="s">
        <v>657</v>
      </c>
      <c r="O4007" t="s">
        <v>3016</v>
      </c>
      <c r="P4007" t="s">
        <v>739</v>
      </c>
      <c r="Q4007" t="s">
        <v>521</v>
      </c>
      <c r="R4007" t="s">
        <v>3017</v>
      </c>
      <c r="S4007" t="s">
        <v>3018</v>
      </c>
      <c r="T4007" t="s">
        <v>2526</v>
      </c>
      <c r="U4007">
        <v>321400</v>
      </c>
      <c r="V4007" t="s">
        <v>21833</v>
      </c>
      <c r="W4007" t="s">
        <v>3072</v>
      </c>
      <c r="X4007" t="s">
        <v>21924</v>
      </c>
      <c r="Y4007" t="s">
        <v>21923</v>
      </c>
      <c r="Z4007" t="s">
        <v>15828</v>
      </c>
      <c r="AA4007" t="s">
        <v>11764</v>
      </c>
      <c r="AC4007">
        <v>99027</v>
      </c>
      <c r="AD4007" t="s">
        <v>3073</v>
      </c>
      <c r="AE4007">
        <v>-43.510873859999997</v>
      </c>
      <c r="AF4007">
        <v>172.60273341999999</v>
      </c>
      <c r="AG4007" s="175">
        <v>50</v>
      </c>
      <c r="AH4007" s="175">
        <v>16</v>
      </c>
      <c r="AI4007" s="175">
        <v>1</v>
      </c>
      <c r="AJ4007" s="175">
        <v>17</v>
      </c>
      <c r="AK4007" s="175">
        <v>18</v>
      </c>
      <c r="AL4007" s="175">
        <v>13</v>
      </c>
      <c r="AM4007" s="175">
        <v>14</v>
      </c>
      <c r="AN4007" s="175">
        <v>1</v>
      </c>
      <c r="AO4007" s="175">
        <v>64</v>
      </c>
      <c r="AP4007" s="175">
        <v>59</v>
      </c>
      <c r="AQ4007" s="175">
        <v>8</v>
      </c>
      <c r="AR4007" s="175">
        <v>3</v>
      </c>
      <c r="AS4007" s="175">
        <v>2</v>
      </c>
      <c r="AT4007" s="175">
        <v>2</v>
      </c>
    </row>
    <row r="4008" spans="1:46">
      <c r="A4008">
        <v>65093</v>
      </c>
      <c r="B4008" t="s">
        <v>21925</v>
      </c>
      <c r="C4008" t="s">
        <v>21926</v>
      </c>
      <c r="D4008" t="s">
        <v>21927</v>
      </c>
      <c r="E4008" t="s">
        <v>21928</v>
      </c>
      <c r="G4008" t="s">
        <v>3569</v>
      </c>
      <c r="H4008" t="s">
        <v>449</v>
      </c>
      <c r="I4008" t="s">
        <v>3715</v>
      </c>
      <c r="J4008" t="s">
        <v>605</v>
      </c>
      <c r="K4008" t="s">
        <v>606</v>
      </c>
      <c r="M4008" t="s">
        <v>2366</v>
      </c>
      <c r="N4008" t="s">
        <v>608</v>
      </c>
      <c r="O4008" t="s">
        <v>3568</v>
      </c>
      <c r="P4008" t="s">
        <v>670</v>
      </c>
      <c r="Q4008" t="s">
        <v>523</v>
      </c>
      <c r="R4008" t="s">
        <v>3410</v>
      </c>
      <c r="S4008" t="s">
        <v>3569</v>
      </c>
      <c r="T4008" t="s">
        <v>2526</v>
      </c>
      <c r="U4008">
        <v>363001</v>
      </c>
      <c r="V4008" t="s">
        <v>21929</v>
      </c>
      <c r="W4008" t="s">
        <v>1734</v>
      </c>
      <c r="X4008" t="s">
        <v>21930</v>
      </c>
      <c r="Y4008" t="s">
        <v>21931</v>
      </c>
      <c r="AA4008" t="s">
        <v>15675</v>
      </c>
      <c r="AB4008" t="s">
        <v>21932</v>
      </c>
      <c r="AE4008">
        <v>-46.434289800000002</v>
      </c>
      <c r="AF4008">
        <v>168.35813565999999</v>
      </c>
      <c r="AG4008" s="175">
        <v>30</v>
      </c>
      <c r="AH4008" s="175">
        <v>10</v>
      </c>
      <c r="AI4008" s="175">
        <v>1</v>
      </c>
      <c r="AJ4008" s="175">
        <v>5</v>
      </c>
      <c r="AK4008" s="175">
        <v>6</v>
      </c>
      <c r="AL4008" s="175">
        <v>6</v>
      </c>
      <c r="AM4008" s="175">
        <v>7</v>
      </c>
      <c r="AN4008" s="175">
        <v>2</v>
      </c>
      <c r="AO4008" s="175">
        <v>27</v>
      </c>
      <c r="AP4008" s="175">
        <v>12</v>
      </c>
      <c r="AQ4008" s="175">
        <v>6</v>
      </c>
      <c r="AR4008" s="175">
        <v>15</v>
      </c>
      <c r="AS4008" s="175">
        <v>2</v>
      </c>
      <c r="AT4008" s="175">
        <v>0</v>
      </c>
    </row>
    <row r="4009" spans="1:46">
      <c r="A4009">
        <v>65096</v>
      </c>
      <c r="B4009" t="s">
        <v>21933</v>
      </c>
      <c r="C4009" t="s">
        <v>21934</v>
      </c>
      <c r="D4009" t="s">
        <v>21935</v>
      </c>
      <c r="E4009" t="s">
        <v>21936</v>
      </c>
      <c r="F4009" t="s">
        <v>3045</v>
      </c>
      <c r="G4009" t="s">
        <v>3015</v>
      </c>
      <c r="H4009" t="s">
        <v>449</v>
      </c>
      <c r="J4009" t="s">
        <v>605</v>
      </c>
      <c r="K4009" t="s">
        <v>606</v>
      </c>
      <c r="M4009" t="s">
        <v>2366</v>
      </c>
      <c r="N4009" t="s">
        <v>657</v>
      </c>
      <c r="O4009" t="s">
        <v>3016</v>
      </c>
      <c r="P4009" t="s">
        <v>739</v>
      </c>
      <c r="Q4009" t="s">
        <v>521</v>
      </c>
      <c r="R4009" t="s">
        <v>3017</v>
      </c>
      <c r="S4009" t="s">
        <v>3046</v>
      </c>
      <c r="T4009" t="s">
        <v>2526</v>
      </c>
      <c r="U4009">
        <v>325100</v>
      </c>
      <c r="V4009" t="s">
        <v>3045</v>
      </c>
      <c r="W4009" t="s">
        <v>3047</v>
      </c>
      <c r="X4009" t="s">
        <v>10864</v>
      </c>
      <c r="Y4009" t="s">
        <v>4014</v>
      </c>
      <c r="Z4009" t="s">
        <v>4015</v>
      </c>
      <c r="AA4009" t="s">
        <v>4016</v>
      </c>
      <c r="AE4009">
        <v>-43.47940775</v>
      </c>
      <c r="AF4009">
        <v>172.70509426999999</v>
      </c>
      <c r="AG4009" s="175">
        <v>50</v>
      </c>
      <c r="AH4009" s="175">
        <v>16</v>
      </c>
      <c r="AI4009" s="175">
        <v>1</v>
      </c>
      <c r="AJ4009" s="175">
        <v>17</v>
      </c>
      <c r="AK4009" s="175">
        <v>12</v>
      </c>
      <c r="AL4009" s="175">
        <v>11</v>
      </c>
      <c r="AM4009" s="175">
        <v>14</v>
      </c>
      <c r="AN4009" s="175">
        <v>1</v>
      </c>
      <c r="AO4009" s="175">
        <v>56</v>
      </c>
      <c r="AP4009" s="175">
        <v>42</v>
      </c>
      <c r="AQ4009" s="175">
        <v>15</v>
      </c>
      <c r="AR4009" s="175">
        <v>7</v>
      </c>
      <c r="AS4009" s="175">
        <v>1</v>
      </c>
      <c r="AT4009" s="175">
        <v>10</v>
      </c>
    </row>
    <row r="4010" spans="1:46">
      <c r="A4010">
        <v>65098</v>
      </c>
      <c r="B4010" t="s">
        <v>21937</v>
      </c>
      <c r="C4010" t="s">
        <v>21938</v>
      </c>
      <c r="D4010" t="s">
        <v>21939</v>
      </c>
      <c r="E4010" t="s">
        <v>21940</v>
      </c>
      <c r="F4010" t="s">
        <v>3023</v>
      </c>
      <c r="G4010" t="s">
        <v>3015</v>
      </c>
      <c r="H4010" t="s">
        <v>449</v>
      </c>
      <c r="J4010" t="s">
        <v>605</v>
      </c>
      <c r="K4010" t="s">
        <v>606</v>
      </c>
      <c r="M4010" t="s">
        <v>2366</v>
      </c>
      <c r="N4010" t="s">
        <v>657</v>
      </c>
      <c r="O4010" t="s">
        <v>3016</v>
      </c>
      <c r="P4010" t="s">
        <v>739</v>
      </c>
      <c r="Q4010" t="s">
        <v>521</v>
      </c>
      <c r="R4010" t="s">
        <v>3017</v>
      </c>
      <c r="S4010" t="s">
        <v>3092</v>
      </c>
      <c r="T4010" t="s">
        <v>2526</v>
      </c>
      <c r="U4010">
        <v>323300</v>
      </c>
      <c r="V4010" t="s">
        <v>3148</v>
      </c>
      <c r="W4010" t="s">
        <v>3149</v>
      </c>
      <c r="X4010" t="s">
        <v>10864</v>
      </c>
      <c r="Y4010" t="s">
        <v>4014</v>
      </c>
      <c r="Z4010" t="s">
        <v>4015</v>
      </c>
      <c r="AA4010" t="s">
        <v>4016</v>
      </c>
      <c r="AC4010">
        <v>99176</v>
      </c>
      <c r="AD4010" t="s">
        <v>3150</v>
      </c>
      <c r="AE4010">
        <v>-43.531576479999998</v>
      </c>
      <c r="AF4010">
        <v>172.5928864</v>
      </c>
      <c r="AG4010" s="175">
        <v>99</v>
      </c>
      <c r="AH4010" s="175">
        <v>16</v>
      </c>
      <c r="AI4010" s="175">
        <v>3</v>
      </c>
      <c r="AJ4010" s="175">
        <v>12</v>
      </c>
      <c r="AK4010" s="175">
        <v>14</v>
      </c>
      <c r="AL4010" s="175">
        <v>12</v>
      </c>
      <c r="AM4010" s="175">
        <v>30</v>
      </c>
      <c r="AN4010" s="175">
        <v>4</v>
      </c>
      <c r="AO4010" s="175">
        <v>75</v>
      </c>
      <c r="AP4010" s="175">
        <v>16</v>
      </c>
      <c r="AQ4010" s="175">
        <v>14</v>
      </c>
      <c r="AR4010" s="175">
        <v>2</v>
      </c>
      <c r="AS4010" s="175">
        <v>41</v>
      </c>
      <c r="AT4010" s="175">
        <v>13</v>
      </c>
    </row>
    <row r="4011" spans="1:46">
      <c r="A4011">
        <v>65099</v>
      </c>
      <c r="B4011" t="s">
        <v>21941</v>
      </c>
      <c r="C4011" t="s">
        <v>21942</v>
      </c>
      <c r="D4011" t="s">
        <v>21943</v>
      </c>
      <c r="E4011" t="s">
        <v>21944</v>
      </c>
      <c r="G4011" t="s">
        <v>12668</v>
      </c>
      <c r="H4011" t="s">
        <v>449</v>
      </c>
      <c r="J4011" t="s">
        <v>4032</v>
      </c>
      <c r="K4011" t="s">
        <v>606</v>
      </c>
      <c r="M4011" t="s">
        <v>2366</v>
      </c>
      <c r="N4011" t="s">
        <v>657</v>
      </c>
      <c r="O4011" t="s">
        <v>3281</v>
      </c>
      <c r="P4011" t="s">
        <v>610</v>
      </c>
      <c r="Q4011" t="s">
        <v>521</v>
      </c>
      <c r="R4011" t="s">
        <v>3017</v>
      </c>
      <c r="S4011" t="s">
        <v>3252</v>
      </c>
      <c r="T4011" t="s">
        <v>2526</v>
      </c>
      <c r="U4011">
        <v>334601</v>
      </c>
      <c r="V4011" t="s">
        <v>12668</v>
      </c>
      <c r="W4011" t="s">
        <v>12669</v>
      </c>
      <c r="X4011" t="s">
        <v>16923</v>
      </c>
      <c r="Y4011" t="s">
        <v>21945</v>
      </c>
      <c r="Z4011" t="s">
        <v>12668</v>
      </c>
      <c r="AA4011" t="s">
        <v>21946</v>
      </c>
      <c r="AC4011">
        <v>99206</v>
      </c>
      <c r="AD4011" t="s">
        <v>3284</v>
      </c>
      <c r="AE4011">
        <v>-43.522767520000002</v>
      </c>
      <c r="AF4011">
        <v>172.36945904999999</v>
      </c>
      <c r="AG4011" s="175">
        <v>82</v>
      </c>
      <c r="AH4011" s="175">
        <v>16</v>
      </c>
      <c r="AI4011" s="175">
        <v>4</v>
      </c>
      <c r="AJ4011" s="175">
        <v>12</v>
      </c>
      <c r="AK4011" s="175">
        <v>16</v>
      </c>
      <c r="AL4011" s="175">
        <v>17</v>
      </c>
      <c r="AM4011" s="175">
        <v>17</v>
      </c>
      <c r="AN4011" s="175">
        <v>4</v>
      </c>
      <c r="AO4011" s="175">
        <v>70</v>
      </c>
      <c r="AP4011" s="175">
        <v>67</v>
      </c>
      <c r="AQ4011" s="175">
        <v>11</v>
      </c>
      <c r="AR4011" s="175">
        <v>0</v>
      </c>
      <c r="AS4011" s="175">
        <v>4</v>
      </c>
      <c r="AT4011" s="175">
        <v>0</v>
      </c>
    </row>
    <row r="4012" spans="1:46">
      <c r="A4012">
        <v>65101</v>
      </c>
      <c r="B4012" t="s">
        <v>21947</v>
      </c>
      <c r="C4012" t="s">
        <v>21682</v>
      </c>
      <c r="D4012" t="s">
        <v>21683</v>
      </c>
      <c r="E4012" t="s">
        <v>21948</v>
      </c>
      <c r="G4012" t="s">
        <v>2957</v>
      </c>
      <c r="H4012" t="s">
        <v>301</v>
      </c>
      <c r="J4012" t="s">
        <v>605</v>
      </c>
      <c r="K4012" t="s">
        <v>606</v>
      </c>
      <c r="M4012" t="s">
        <v>2366</v>
      </c>
      <c r="N4012" t="s">
        <v>657</v>
      </c>
      <c r="O4012" t="s">
        <v>2944</v>
      </c>
      <c r="P4012" t="s">
        <v>658</v>
      </c>
      <c r="Q4012" t="s">
        <v>517</v>
      </c>
      <c r="R4012" t="s">
        <v>2901</v>
      </c>
      <c r="S4012" t="s">
        <v>2945</v>
      </c>
      <c r="T4012" t="s">
        <v>2526</v>
      </c>
      <c r="U4012">
        <v>302101</v>
      </c>
      <c r="V4012" t="s">
        <v>21949</v>
      </c>
      <c r="W4012" t="s">
        <v>11355</v>
      </c>
      <c r="X4012" t="s">
        <v>21686</v>
      </c>
      <c r="Y4012" t="s">
        <v>5253</v>
      </c>
      <c r="AA4012" t="s">
        <v>5254</v>
      </c>
      <c r="AB4012" t="s">
        <v>21687</v>
      </c>
      <c r="AC4012">
        <v>99142</v>
      </c>
      <c r="AD4012" t="s">
        <v>2960</v>
      </c>
      <c r="AE4012">
        <v>-41.308552849999998</v>
      </c>
      <c r="AF4012">
        <v>173.12734811999999</v>
      </c>
      <c r="AG4012" s="175">
        <v>26</v>
      </c>
      <c r="AH4012" s="175">
        <v>15</v>
      </c>
      <c r="AI4012" s="175">
        <v>2</v>
      </c>
      <c r="AJ4012" s="175">
        <v>2</v>
      </c>
      <c r="AK4012" s="175">
        <v>0</v>
      </c>
      <c r="AL4012" s="175">
        <v>1</v>
      </c>
      <c r="AM4012" s="175">
        <v>1</v>
      </c>
      <c r="AN4012" s="175">
        <v>0</v>
      </c>
      <c r="AO4012" s="175">
        <v>6</v>
      </c>
      <c r="AP4012" s="175">
        <v>6</v>
      </c>
      <c r="AQ4012" s="175">
        <v>1</v>
      </c>
      <c r="AR4012" s="175">
        <v>0</v>
      </c>
      <c r="AS4012" s="175">
        <v>0</v>
      </c>
      <c r="AT4012" s="175">
        <v>0</v>
      </c>
    </row>
    <row r="4013" spans="1:46">
      <c r="A4013">
        <v>65102</v>
      </c>
      <c r="B4013" t="s">
        <v>21950</v>
      </c>
      <c r="C4013" t="s">
        <v>21682</v>
      </c>
      <c r="D4013" t="s">
        <v>21951</v>
      </c>
      <c r="E4013" t="s">
        <v>21952</v>
      </c>
      <c r="F4013" t="s">
        <v>16536</v>
      </c>
      <c r="G4013" t="s">
        <v>2930</v>
      </c>
      <c r="H4013" t="s">
        <v>301</v>
      </c>
      <c r="J4013" t="s">
        <v>605</v>
      </c>
      <c r="K4013" t="s">
        <v>606</v>
      </c>
      <c r="M4013" t="s">
        <v>2366</v>
      </c>
      <c r="N4013" t="s">
        <v>657</v>
      </c>
      <c r="O4013" t="s">
        <v>2931</v>
      </c>
      <c r="P4013" t="s">
        <v>670</v>
      </c>
      <c r="Q4013" t="s">
        <v>518</v>
      </c>
      <c r="R4013" t="s">
        <v>2901</v>
      </c>
      <c r="S4013" t="s">
        <v>2930</v>
      </c>
      <c r="T4013" t="s">
        <v>2526</v>
      </c>
      <c r="U4013">
        <v>304300</v>
      </c>
      <c r="V4013" t="s">
        <v>16536</v>
      </c>
      <c r="W4013" t="s">
        <v>2114</v>
      </c>
      <c r="X4013" t="s">
        <v>21686</v>
      </c>
      <c r="Y4013" t="s">
        <v>5253</v>
      </c>
      <c r="AA4013" t="s">
        <v>5254</v>
      </c>
      <c r="AB4013" t="s">
        <v>21687</v>
      </c>
      <c r="AE4013">
        <v>-41.236551669999997</v>
      </c>
      <c r="AF4013">
        <v>173.31687557999999</v>
      </c>
      <c r="AG4013" s="175">
        <v>30</v>
      </c>
      <c r="AH4013" s="175">
        <v>15</v>
      </c>
      <c r="AI4013" s="175">
        <v>5</v>
      </c>
      <c r="AJ4013" s="175">
        <v>9</v>
      </c>
      <c r="AK4013" s="175">
        <v>10</v>
      </c>
      <c r="AL4013" s="175">
        <v>5</v>
      </c>
      <c r="AM4013" s="175">
        <v>1</v>
      </c>
      <c r="AN4013" s="175">
        <v>0</v>
      </c>
      <c r="AO4013" s="175">
        <v>30</v>
      </c>
      <c r="AP4013" s="175">
        <v>29</v>
      </c>
      <c r="AQ4013" s="175">
        <v>5</v>
      </c>
      <c r="AR4013" s="175">
        <v>0</v>
      </c>
      <c r="AS4013" s="175">
        <v>0</v>
      </c>
      <c r="AT4013" s="175">
        <v>2</v>
      </c>
    </row>
    <row r="4014" spans="1:46">
      <c r="A4014">
        <v>65103</v>
      </c>
      <c r="B4014" t="s">
        <v>21953</v>
      </c>
      <c r="C4014" t="s">
        <v>21954</v>
      </c>
      <c r="D4014" t="s">
        <v>21683</v>
      </c>
      <c r="E4014" t="s">
        <v>21955</v>
      </c>
      <c r="G4014" t="s">
        <v>21740</v>
      </c>
      <c r="H4014" t="s">
        <v>301</v>
      </c>
      <c r="J4014" t="s">
        <v>605</v>
      </c>
      <c r="K4014" t="s">
        <v>606</v>
      </c>
      <c r="M4014" t="s">
        <v>2366</v>
      </c>
      <c r="N4014" t="s">
        <v>657</v>
      </c>
      <c r="O4014" t="s">
        <v>2944</v>
      </c>
      <c r="P4014" t="s">
        <v>658</v>
      </c>
      <c r="Q4014" t="s">
        <v>517</v>
      </c>
      <c r="R4014" t="s">
        <v>2901</v>
      </c>
      <c r="S4014" t="s">
        <v>2945</v>
      </c>
      <c r="T4014" t="s">
        <v>2526</v>
      </c>
      <c r="U4014">
        <v>302500</v>
      </c>
      <c r="V4014" t="s">
        <v>21956</v>
      </c>
      <c r="W4014" t="s">
        <v>11355</v>
      </c>
      <c r="X4014" t="s">
        <v>21686</v>
      </c>
      <c r="Y4014" t="s">
        <v>5253</v>
      </c>
      <c r="AA4014" t="s">
        <v>5254</v>
      </c>
      <c r="AB4014" t="s">
        <v>21687</v>
      </c>
      <c r="AC4014">
        <v>99142</v>
      </c>
      <c r="AD4014" t="s">
        <v>2960</v>
      </c>
      <c r="AE4014">
        <v>-41.385528790000002</v>
      </c>
      <c r="AF4014">
        <v>173.09044152000001</v>
      </c>
      <c r="AG4014" s="175">
        <v>30</v>
      </c>
      <c r="AH4014" s="175">
        <v>15</v>
      </c>
      <c r="AI4014" s="175">
        <v>4</v>
      </c>
      <c r="AJ4014" s="175">
        <v>2</v>
      </c>
      <c r="AK4014" s="175">
        <v>7</v>
      </c>
      <c r="AL4014" s="175">
        <v>6</v>
      </c>
      <c r="AM4014" s="175">
        <v>2</v>
      </c>
      <c r="AN4014" s="175">
        <v>0</v>
      </c>
      <c r="AO4014" s="175">
        <v>21</v>
      </c>
      <c r="AP4014" s="175">
        <v>21</v>
      </c>
      <c r="AQ4014" s="175">
        <v>3</v>
      </c>
      <c r="AR4014" s="175">
        <v>0</v>
      </c>
      <c r="AS4014" s="175">
        <v>0</v>
      </c>
      <c r="AT4014" s="175">
        <v>0</v>
      </c>
    </row>
    <row r="4015" spans="1:46">
      <c r="A4015">
        <v>65104</v>
      </c>
      <c r="B4015" t="s">
        <v>21957</v>
      </c>
      <c r="C4015" t="s">
        <v>21682</v>
      </c>
      <c r="D4015" t="s">
        <v>21683</v>
      </c>
      <c r="E4015" t="s">
        <v>21958</v>
      </c>
      <c r="G4015" t="s">
        <v>21959</v>
      </c>
      <c r="H4015" t="s">
        <v>301</v>
      </c>
      <c r="J4015" t="s">
        <v>605</v>
      </c>
      <c r="K4015" t="s">
        <v>606</v>
      </c>
      <c r="M4015" t="s">
        <v>2366</v>
      </c>
      <c r="N4015" t="s">
        <v>657</v>
      </c>
      <c r="O4015" t="s">
        <v>2944</v>
      </c>
      <c r="P4015" t="s">
        <v>626</v>
      </c>
      <c r="Q4015" t="s">
        <v>517</v>
      </c>
      <c r="R4015" t="s">
        <v>2901</v>
      </c>
      <c r="S4015" t="s">
        <v>2945</v>
      </c>
      <c r="T4015" t="s">
        <v>2526</v>
      </c>
      <c r="U4015">
        <v>300301</v>
      </c>
      <c r="V4015" t="s">
        <v>21960</v>
      </c>
      <c r="W4015" t="s">
        <v>21961</v>
      </c>
      <c r="X4015" t="s">
        <v>21686</v>
      </c>
      <c r="Y4015" t="s">
        <v>5253</v>
      </c>
      <c r="AA4015" t="s">
        <v>5254</v>
      </c>
      <c r="AB4015" t="s">
        <v>21687</v>
      </c>
      <c r="AC4015">
        <v>99054</v>
      </c>
      <c r="AD4015" t="s">
        <v>21962</v>
      </c>
      <c r="AE4015">
        <v>-40.682971790000003</v>
      </c>
      <c r="AF4015">
        <v>172.67904544999999</v>
      </c>
      <c r="AG4015" s="175">
        <v>30</v>
      </c>
      <c r="AH4015" s="175">
        <v>15</v>
      </c>
      <c r="AI4015" s="175">
        <v>2</v>
      </c>
      <c r="AJ4015" s="175">
        <v>5</v>
      </c>
      <c r="AK4015" s="175">
        <v>3</v>
      </c>
      <c r="AL4015" s="175">
        <v>7</v>
      </c>
      <c r="AM4015" s="175">
        <v>4</v>
      </c>
      <c r="AN4015" s="175">
        <v>0</v>
      </c>
      <c r="AO4015" s="175">
        <v>21</v>
      </c>
      <c r="AP4015" s="175">
        <v>21</v>
      </c>
      <c r="AQ4015" s="175">
        <v>2</v>
      </c>
      <c r="AR4015" s="175">
        <v>0</v>
      </c>
      <c r="AS4015" s="175">
        <v>0</v>
      </c>
      <c r="AT4015" s="175">
        <v>0</v>
      </c>
    </row>
    <row r="4016" spans="1:46">
      <c r="A4016">
        <v>65105</v>
      </c>
      <c r="B4016" t="s">
        <v>21963</v>
      </c>
      <c r="C4016" t="s">
        <v>21682</v>
      </c>
      <c r="D4016" t="s">
        <v>21683</v>
      </c>
      <c r="E4016" t="s">
        <v>21964</v>
      </c>
      <c r="G4016" t="s">
        <v>21965</v>
      </c>
      <c r="H4016" t="s">
        <v>301</v>
      </c>
      <c r="J4016" t="s">
        <v>605</v>
      </c>
      <c r="K4016" t="s">
        <v>606</v>
      </c>
      <c r="M4016" t="s">
        <v>2366</v>
      </c>
      <c r="N4016" t="s">
        <v>657</v>
      </c>
      <c r="O4016" t="s">
        <v>2944</v>
      </c>
      <c r="P4016" t="s">
        <v>610</v>
      </c>
      <c r="Q4016" t="s">
        <v>517</v>
      </c>
      <c r="R4016" t="s">
        <v>2901</v>
      </c>
      <c r="S4016" t="s">
        <v>2945</v>
      </c>
      <c r="T4016" t="s">
        <v>2526</v>
      </c>
      <c r="U4016">
        <v>301704</v>
      </c>
      <c r="V4016" t="s">
        <v>21966</v>
      </c>
      <c r="W4016" t="s">
        <v>11355</v>
      </c>
      <c r="X4016" t="s">
        <v>21686</v>
      </c>
      <c r="Y4016" t="s">
        <v>5253</v>
      </c>
      <c r="AA4016" t="s">
        <v>5254</v>
      </c>
      <c r="AB4016" t="s">
        <v>21687</v>
      </c>
      <c r="AE4016">
        <v>-41.251157749999997</v>
      </c>
      <c r="AF4016">
        <v>173.0938855</v>
      </c>
      <c r="AG4016" s="175">
        <v>25</v>
      </c>
      <c r="AH4016" s="175">
        <v>15</v>
      </c>
      <c r="AI4016" s="175">
        <v>0</v>
      </c>
      <c r="AJ4016" s="175">
        <v>5</v>
      </c>
      <c r="AK4016" s="175">
        <v>4</v>
      </c>
      <c r="AL4016" s="175">
        <v>5</v>
      </c>
      <c r="AM4016" s="175">
        <v>1</v>
      </c>
      <c r="AN4016" s="175">
        <v>0</v>
      </c>
      <c r="AO4016" s="175">
        <v>15</v>
      </c>
      <c r="AP4016" s="175">
        <v>15</v>
      </c>
      <c r="AQ4016" s="175">
        <v>1</v>
      </c>
      <c r="AR4016" s="175">
        <v>0</v>
      </c>
      <c r="AS4016" s="175">
        <v>0</v>
      </c>
      <c r="AT4016" s="175">
        <v>2</v>
      </c>
    </row>
    <row r="4017" spans="1:46">
      <c r="A4017">
        <v>65106</v>
      </c>
      <c r="B4017" t="s">
        <v>21967</v>
      </c>
      <c r="C4017" t="s">
        <v>21682</v>
      </c>
      <c r="D4017" t="s">
        <v>21683</v>
      </c>
      <c r="E4017" t="s">
        <v>21968</v>
      </c>
      <c r="G4017" t="s">
        <v>2943</v>
      </c>
      <c r="H4017" t="s">
        <v>301</v>
      </c>
      <c r="J4017" t="s">
        <v>605</v>
      </c>
      <c r="K4017" t="s">
        <v>606</v>
      </c>
      <c r="M4017" t="s">
        <v>2366</v>
      </c>
      <c r="N4017" t="s">
        <v>657</v>
      </c>
      <c r="O4017" t="s">
        <v>2944</v>
      </c>
      <c r="P4017" t="s">
        <v>610</v>
      </c>
      <c r="Q4017" t="s">
        <v>517</v>
      </c>
      <c r="R4017" t="s">
        <v>2901</v>
      </c>
      <c r="S4017" t="s">
        <v>2945</v>
      </c>
      <c r="T4017" t="s">
        <v>2526</v>
      </c>
      <c r="U4017">
        <v>301200</v>
      </c>
      <c r="V4017" t="s">
        <v>2965</v>
      </c>
      <c r="W4017" t="s">
        <v>2947</v>
      </c>
      <c r="X4017" t="s">
        <v>21686</v>
      </c>
      <c r="Y4017" t="s">
        <v>5253</v>
      </c>
      <c r="AA4017" t="s">
        <v>5254</v>
      </c>
      <c r="AB4017" t="s">
        <v>21687</v>
      </c>
      <c r="AC4017">
        <v>99115</v>
      </c>
      <c r="AD4017" t="s">
        <v>2948</v>
      </c>
      <c r="AE4017">
        <v>-41.11220179</v>
      </c>
      <c r="AF4017">
        <v>173.0087388</v>
      </c>
      <c r="AG4017" s="175">
        <v>30</v>
      </c>
      <c r="AH4017" s="175">
        <v>20</v>
      </c>
      <c r="AI4017" s="175">
        <v>18</v>
      </c>
      <c r="AJ4017" s="175">
        <v>6</v>
      </c>
      <c r="AK4017" s="175">
        <v>11</v>
      </c>
      <c r="AL4017" s="175">
        <v>4</v>
      </c>
      <c r="AM4017" s="175">
        <v>3</v>
      </c>
      <c r="AN4017" s="175">
        <v>1</v>
      </c>
      <c r="AO4017" s="175">
        <v>43</v>
      </c>
      <c r="AP4017" s="175">
        <v>43</v>
      </c>
      <c r="AQ4017" s="175">
        <v>5</v>
      </c>
      <c r="AR4017" s="175">
        <v>0</v>
      </c>
      <c r="AS4017" s="175">
        <v>3</v>
      </c>
      <c r="AT4017" s="175">
        <v>2</v>
      </c>
    </row>
    <row r="4018" spans="1:46">
      <c r="A4018">
        <v>65107</v>
      </c>
      <c r="B4018" t="s">
        <v>21969</v>
      </c>
      <c r="C4018" t="s">
        <v>21687</v>
      </c>
      <c r="D4018" t="s">
        <v>21683</v>
      </c>
      <c r="E4018" t="s">
        <v>21970</v>
      </c>
      <c r="G4018" t="s">
        <v>2957</v>
      </c>
      <c r="H4018" t="s">
        <v>301</v>
      </c>
      <c r="J4018" t="s">
        <v>605</v>
      </c>
      <c r="K4018" t="s">
        <v>606</v>
      </c>
      <c r="M4018" t="s">
        <v>2366</v>
      </c>
      <c r="N4018" t="s">
        <v>657</v>
      </c>
      <c r="O4018" t="s">
        <v>2944</v>
      </c>
      <c r="P4018" t="s">
        <v>1347</v>
      </c>
      <c r="Q4018" t="s">
        <v>517</v>
      </c>
      <c r="R4018" t="s">
        <v>2901</v>
      </c>
      <c r="S4018" t="s">
        <v>2930</v>
      </c>
      <c r="T4018" t="s">
        <v>2526</v>
      </c>
      <c r="U4018">
        <v>302800</v>
      </c>
      <c r="V4018" t="s">
        <v>2985</v>
      </c>
      <c r="W4018" t="s">
        <v>2959</v>
      </c>
      <c r="X4018" t="s">
        <v>21686</v>
      </c>
      <c r="Y4018" t="s">
        <v>5253</v>
      </c>
      <c r="AA4018" t="s">
        <v>5254</v>
      </c>
      <c r="AB4018" t="s">
        <v>21687</v>
      </c>
      <c r="AC4018">
        <v>99142</v>
      </c>
      <c r="AD4018" t="s">
        <v>2960</v>
      </c>
      <c r="AE4018">
        <v>-41.340535180000003</v>
      </c>
      <c r="AF4018">
        <v>173.18050407999999</v>
      </c>
      <c r="AG4018" s="175">
        <v>30</v>
      </c>
      <c r="AH4018" s="175">
        <v>20</v>
      </c>
      <c r="AI4018" s="175">
        <v>30</v>
      </c>
      <c r="AJ4018" s="175">
        <v>10</v>
      </c>
      <c r="AK4018" s="175">
        <v>6</v>
      </c>
      <c r="AL4018" s="175">
        <v>6</v>
      </c>
      <c r="AM4018" s="175">
        <v>0</v>
      </c>
      <c r="AN4018" s="175">
        <v>0</v>
      </c>
      <c r="AO4018" s="175">
        <v>52</v>
      </c>
      <c r="AP4018" s="175">
        <v>51</v>
      </c>
      <c r="AQ4018" s="175">
        <v>4</v>
      </c>
      <c r="AR4018" s="175">
        <v>0</v>
      </c>
      <c r="AS4018" s="175">
        <v>3</v>
      </c>
      <c r="AT4018" s="175">
        <v>3</v>
      </c>
    </row>
    <row r="4019" spans="1:46">
      <c r="A4019">
        <v>65108</v>
      </c>
      <c r="B4019" t="s">
        <v>21971</v>
      </c>
      <c r="C4019" t="s">
        <v>21682</v>
      </c>
      <c r="D4019" t="s">
        <v>21951</v>
      </c>
      <c r="E4019" t="s">
        <v>21972</v>
      </c>
      <c r="G4019" t="s">
        <v>21973</v>
      </c>
      <c r="H4019" t="s">
        <v>301</v>
      </c>
      <c r="J4019" t="s">
        <v>605</v>
      </c>
      <c r="K4019" t="s">
        <v>606</v>
      </c>
      <c r="M4019" t="s">
        <v>2366</v>
      </c>
      <c r="N4019" t="s">
        <v>657</v>
      </c>
      <c r="O4019" t="s">
        <v>2944</v>
      </c>
      <c r="P4019" t="s">
        <v>610</v>
      </c>
      <c r="Q4019" t="s">
        <v>517</v>
      </c>
      <c r="R4019" t="s">
        <v>2901</v>
      </c>
      <c r="S4019" t="s">
        <v>2945</v>
      </c>
      <c r="T4019" t="s">
        <v>2526</v>
      </c>
      <c r="U4019">
        <v>300500</v>
      </c>
      <c r="V4019" t="s">
        <v>21974</v>
      </c>
      <c r="W4019" t="s">
        <v>21961</v>
      </c>
      <c r="X4019" t="s">
        <v>21686</v>
      </c>
      <c r="Y4019" t="s">
        <v>5253</v>
      </c>
      <c r="AA4019" t="s">
        <v>5254</v>
      </c>
      <c r="AB4019" t="s">
        <v>21687</v>
      </c>
      <c r="AC4019">
        <v>99054</v>
      </c>
      <c r="AD4019" t="s">
        <v>21962</v>
      </c>
      <c r="AE4019">
        <v>-40.853253619999997</v>
      </c>
      <c r="AF4019">
        <v>172.80840372</v>
      </c>
      <c r="AG4019" s="175">
        <v>30</v>
      </c>
      <c r="AH4019" s="175">
        <v>20</v>
      </c>
      <c r="AI4019" s="175">
        <v>3</v>
      </c>
      <c r="AJ4019" s="175">
        <v>8</v>
      </c>
      <c r="AK4019" s="175">
        <v>3</v>
      </c>
      <c r="AL4019" s="175">
        <v>5</v>
      </c>
      <c r="AM4019" s="175">
        <v>0</v>
      </c>
      <c r="AN4019" s="175">
        <v>0</v>
      </c>
      <c r="AO4019" s="175">
        <v>19</v>
      </c>
      <c r="AP4019" s="175">
        <v>17</v>
      </c>
      <c r="AQ4019" s="175">
        <v>2</v>
      </c>
      <c r="AR4019" s="175">
        <v>0</v>
      </c>
      <c r="AS4019" s="175">
        <v>0</v>
      </c>
      <c r="AT4019" s="175">
        <v>0</v>
      </c>
    </row>
    <row r="4020" spans="1:46">
      <c r="A4020">
        <v>65109</v>
      </c>
      <c r="B4020" t="s">
        <v>21975</v>
      </c>
      <c r="C4020" t="s">
        <v>21682</v>
      </c>
      <c r="D4020" t="s">
        <v>21951</v>
      </c>
      <c r="E4020" t="s">
        <v>21976</v>
      </c>
      <c r="G4020" t="s">
        <v>17081</v>
      </c>
      <c r="H4020" t="s">
        <v>301</v>
      </c>
      <c r="J4020" t="s">
        <v>605</v>
      </c>
      <c r="K4020" t="s">
        <v>606</v>
      </c>
      <c r="M4020" t="s">
        <v>2366</v>
      </c>
      <c r="N4020" t="s">
        <v>657</v>
      </c>
      <c r="O4020" t="s">
        <v>2944</v>
      </c>
      <c r="P4020" t="s">
        <v>626</v>
      </c>
      <c r="Q4020" t="s">
        <v>517</v>
      </c>
      <c r="R4020" t="s">
        <v>2901</v>
      </c>
      <c r="S4020" t="s">
        <v>2945</v>
      </c>
      <c r="T4020" t="s">
        <v>2526</v>
      </c>
      <c r="U4020">
        <v>301500</v>
      </c>
      <c r="V4020" t="s">
        <v>17082</v>
      </c>
      <c r="W4020" t="s">
        <v>15588</v>
      </c>
      <c r="X4020" t="s">
        <v>21686</v>
      </c>
      <c r="Y4020" t="s">
        <v>5253</v>
      </c>
      <c r="AA4020" t="s">
        <v>5254</v>
      </c>
      <c r="AB4020" t="s">
        <v>21687</v>
      </c>
      <c r="AC4020">
        <v>99115</v>
      </c>
      <c r="AD4020" t="s">
        <v>2948</v>
      </c>
      <c r="AE4020">
        <v>-41.391753360000003</v>
      </c>
      <c r="AF4020">
        <v>172.82366603</v>
      </c>
      <c r="AG4020" s="175">
        <v>25</v>
      </c>
      <c r="AH4020" s="175">
        <v>15</v>
      </c>
      <c r="AI4020" s="175">
        <v>3</v>
      </c>
      <c r="AJ4020" s="175">
        <v>3</v>
      </c>
      <c r="AK4020" s="175">
        <v>5</v>
      </c>
      <c r="AL4020" s="175">
        <v>0</v>
      </c>
      <c r="AM4020" s="175">
        <v>3</v>
      </c>
      <c r="AN4020" s="175">
        <v>0</v>
      </c>
      <c r="AO4020" s="175">
        <v>14</v>
      </c>
      <c r="AP4020" s="175">
        <v>14</v>
      </c>
      <c r="AQ4020" s="175">
        <v>0</v>
      </c>
      <c r="AR4020" s="175">
        <v>0</v>
      </c>
      <c r="AS4020" s="175">
        <v>0</v>
      </c>
      <c r="AT4020" s="175">
        <v>0</v>
      </c>
    </row>
    <row r="4021" spans="1:46">
      <c r="A4021">
        <v>65110</v>
      </c>
      <c r="B4021" t="s">
        <v>21977</v>
      </c>
      <c r="C4021" t="s">
        <v>21682</v>
      </c>
      <c r="D4021" t="s">
        <v>21683</v>
      </c>
      <c r="E4021" t="s">
        <v>21978</v>
      </c>
      <c r="F4021" t="s">
        <v>2930</v>
      </c>
      <c r="G4021" t="s">
        <v>2930</v>
      </c>
      <c r="H4021" t="s">
        <v>301</v>
      </c>
      <c r="J4021" t="s">
        <v>605</v>
      </c>
      <c r="K4021" t="s">
        <v>606</v>
      </c>
      <c r="M4021" t="s">
        <v>2366</v>
      </c>
      <c r="N4021" t="s">
        <v>643</v>
      </c>
      <c r="O4021" t="s">
        <v>2931</v>
      </c>
      <c r="P4021" t="s">
        <v>670</v>
      </c>
      <c r="Q4021" t="s">
        <v>518</v>
      </c>
      <c r="R4021" t="s">
        <v>2901</v>
      </c>
      <c r="S4021" t="s">
        <v>2930</v>
      </c>
      <c r="T4021" t="s">
        <v>2526</v>
      </c>
      <c r="U4021">
        <v>305200</v>
      </c>
      <c r="V4021" t="s">
        <v>15361</v>
      </c>
      <c r="W4021" t="s">
        <v>2114</v>
      </c>
      <c r="X4021" t="s">
        <v>21686</v>
      </c>
      <c r="Y4021" t="s">
        <v>5253</v>
      </c>
      <c r="AA4021" t="s">
        <v>5254</v>
      </c>
      <c r="AB4021" t="s">
        <v>21687</v>
      </c>
      <c r="AE4021">
        <v>-41.286866779999997</v>
      </c>
      <c r="AF4021">
        <v>173.26718019</v>
      </c>
      <c r="AG4021" s="175">
        <v>25</v>
      </c>
      <c r="AH4021" s="175">
        <v>20</v>
      </c>
      <c r="AI4021" s="175">
        <v>10</v>
      </c>
      <c r="AJ4021" s="175">
        <v>12</v>
      </c>
      <c r="AK4021" s="175">
        <v>6</v>
      </c>
      <c r="AL4021" s="175">
        <v>6</v>
      </c>
      <c r="AM4021" s="175">
        <v>0</v>
      </c>
      <c r="AN4021" s="175">
        <v>1</v>
      </c>
      <c r="AO4021" s="175">
        <v>35</v>
      </c>
      <c r="AP4021" s="175">
        <v>31</v>
      </c>
      <c r="AQ4021" s="175">
        <v>5</v>
      </c>
      <c r="AR4021" s="175">
        <v>0</v>
      </c>
      <c r="AS4021" s="175">
        <v>6</v>
      </c>
      <c r="AT4021" s="175">
        <v>1</v>
      </c>
    </row>
    <row r="4022" spans="1:46">
      <c r="A4022">
        <v>65111</v>
      </c>
      <c r="B4022" t="s">
        <v>21979</v>
      </c>
      <c r="C4022" t="s">
        <v>21682</v>
      </c>
      <c r="D4022" t="s">
        <v>21951</v>
      </c>
      <c r="E4022" t="s">
        <v>21980</v>
      </c>
      <c r="G4022" t="s">
        <v>21981</v>
      </c>
      <c r="H4022" t="s">
        <v>301</v>
      </c>
      <c r="J4022" t="s">
        <v>605</v>
      </c>
      <c r="K4022" t="s">
        <v>606</v>
      </c>
      <c r="M4022" t="s">
        <v>2366</v>
      </c>
      <c r="N4022" t="s">
        <v>657</v>
      </c>
      <c r="O4022" t="s">
        <v>2944</v>
      </c>
      <c r="P4022" t="s">
        <v>610</v>
      </c>
      <c r="Q4022" t="s">
        <v>517</v>
      </c>
      <c r="R4022" t="s">
        <v>2901</v>
      </c>
      <c r="S4022" t="s">
        <v>2945</v>
      </c>
      <c r="T4022" t="s">
        <v>2526</v>
      </c>
      <c r="U4022">
        <v>302300</v>
      </c>
      <c r="V4022" t="s">
        <v>21981</v>
      </c>
      <c r="W4022" t="s">
        <v>11355</v>
      </c>
      <c r="X4022" t="s">
        <v>21686</v>
      </c>
      <c r="Y4022" t="s">
        <v>5253</v>
      </c>
      <c r="AA4022" t="s">
        <v>5254</v>
      </c>
      <c r="AB4022" t="s">
        <v>21687</v>
      </c>
      <c r="AC4022">
        <v>99142</v>
      </c>
      <c r="AD4022" t="s">
        <v>2960</v>
      </c>
      <c r="AE4022">
        <v>-41.409042999999997</v>
      </c>
      <c r="AF4022">
        <v>173.04381219999999</v>
      </c>
      <c r="AG4022" s="175">
        <v>30</v>
      </c>
      <c r="AH4022" s="175">
        <v>15</v>
      </c>
      <c r="AI4022" s="175">
        <v>6</v>
      </c>
      <c r="AJ4022" s="175">
        <v>4</v>
      </c>
      <c r="AK4022" s="175">
        <v>8</v>
      </c>
      <c r="AL4022" s="175">
        <v>7</v>
      </c>
      <c r="AM4022" s="175">
        <v>2</v>
      </c>
      <c r="AN4022" s="175">
        <v>0</v>
      </c>
      <c r="AO4022" s="175">
        <v>27</v>
      </c>
      <c r="AP4022" s="175">
        <v>27</v>
      </c>
      <c r="AQ4022" s="175">
        <v>3</v>
      </c>
      <c r="AR4022" s="175">
        <v>0</v>
      </c>
      <c r="AS4022" s="175">
        <v>0</v>
      </c>
      <c r="AT4022" s="175">
        <v>2</v>
      </c>
    </row>
    <row r="4023" spans="1:46">
      <c r="A4023">
        <v>65114</v>
      </c>
      <c r="B4023" t="s">
        <v>21982</v>
      </c>
      <c r="C4023" t="s">
        <v>21983</v>
      </c>
      <c r="D4023" t="s">
        <v>21984</v>
      </c>
      <c r="E4023" t="s">
        <v>21985</v>
      </c>
      <c r="F4023" t="s">
        <v>3229</v>
      </c>
      <c r="G4023" t="s">
        <v>3015</v>
      </c>
      <c r="H4023" t="s">
        <v>449</v>
      </c>
      <c r="J4023" t="s">
        <v>4032</v>
      </c>
      <c r="K4023" t="s">
        <v>606</v>
      </c>
      <c r="M4023" t="s">
        <v>2366</v>
      </c>
      <c r="N4023" t="s">
        <v>657</v>
      </c>
      <c r="O4023" t="s">
        <v>3016</v>
      </c>
      <c r="P4023" t="s">
        <v>739</v>
      </c>
      <c r="Q4023" t="s">
        <v>521</v>
      </c>
      <c r="R4023" t="s">
        <v>3017</v>
      </c>
      <c r="S4023" t="s">
        <v>3030</v>
      </c>
      <c r="T4023" t="s">
        <v>2526</v>
      </c>
      <c r="U4023">
        <v>328700</v>
      </c>
      <c r="V4023" t="s">
        <v>21986</v>
      </c>
      <c r="W4023" t="s">
        <v>3087</v>
      </c>
      <c r="X4023" t="s">
        <v>12140</v>
      </c>
      <c r="Y4023" t="s">
        <v>4166</v>
      </c>
      <c r="Z4023" t="s">
        <v>4167</v>
      </c>
      <c r="AA4023" t="s">
        <v>4168</v>
      </c>
      <c r="AB4023" t="s">
        <v>10870</v>
      </c>
      <c r="AC4023">
        <v>99177</v>
      </c>
      <c r="AD4023" t="s">
        <v>3032</v>
      </c>
      <c r="AE4023">
        <v>-43.551546530000003</v>
      </c>
      <c r="AF4023">
        <v>172.63056949</v>
      </c>
      <c r="AG4023" s="175">
        <v>50</v>
      </c>
      <c r="AH4023" s="175">
        <v>16</v>
      </c>
      <c r="AI4023" s="175">
        <v>4</v>
      </c>
      <c r="AJ4023" s="175">
        <v>12</v>
      </c>
      <c r="AK4023" s="175">
        <v>8</v>
      </c>
      <c r="AL4023" s="175">
        <v>15</v>
      </c>
      <c r="AM4023" s="175">
        <v>12</v>
      </c>
      <c r="AN4023" s="175">
        <v>4</v>
      </c>
      <c r="AO4023" s="175">
        <v>55</v>
      </c>
      <c r="AP4023" s="175">
        <v>32</v>
      </c>
      <c r="AQ4023" s="175">
        <v>7</v>
      </c>
      <c r="AR4023" s="175">
        <v>1</v>
      </c>
      <c r="AS4023" s="175">
        <v>18</v>
      </c>
      <c r="AT4023" s="175">
        <v>7</v>
      </c>
    </row>
    <row r="4024" spans="1:46">
      <c r="A4024">
        <v>65115</v>
      </c>
      <c r="B4024" t="s">
        <v>21987</v>
      </c>
      <c r="C4024" t="s">
        <v>21988</v>
      </c>
      <c r="D4024" t="s">
        <v>21989</v>
      </c>
      <c r="E4024" t="s">
        <v>21990</v>
      </c>
      <c r="G4024" t="s">
        <v>21991</v>
      </c>
      <c r="H4024" t="s">
        <v>449</v>
      </c>
      <c r="J4024" t="s">
        <v>4032</v>
      </c>
      <c r="K4024" t="s">
        <v>606</v>
      </c>
      <c r="M4024" t="s">
        <v>2366</v>
      </c>
      <c r="N4024" t="s">
        <v>657</v>
      </c>
      <c r="O4024" t="s">
        <v>3281</v>
      </c>
      <c r="P4024" t="s">
        <v>626</v>
      </c>
      <c r="Q4024" t="s">
        <v>521</v>
      </c>
      <c r="R4024" t="s">
        <v>3017</v>
      </c>
      <c r="S4024" t="s">
        <v>3252</v>
      </c>
      <c r="T4024" t="s">
        <v>2526</v>
      </c>
      <c r="U4024">
        <v>334200</v>
      </c>
      <c r="V4024" t="s">
        <v>21992</v>
      </c>
      <c r="W4024" t="s">
        <v>3283</v>
      </c>
      <c r="X4024" t="s">
        <v>21993</v>
      </c>
      <c r="Y4024" t="s">
        <v>21994</v>
      </c>
      <c r="Z4024" t="s">
        <v>21991</v>
      </c>
      <c r="AA4024" t="s">
        <v>21995</v>
      </c>
      <c r="AB4024" t="s">
        <v>21996</v>
      </c>
      <c r="AC4024">
        <v>99207</v>
      </c>
      <c r="AD4024" t="s">
        <v>21997</v>
      </c>
      <c r="AE4024">
        <v>-43.659424110000003</v>
      </c>
      <c r="AF4024">
        <v>172.19293535</v>
      </c>
      <c r="AG4024" s="175">
        <v>44</v>
      </c>
      <c r="AH4024" s="175">
        <v>8</v>
      </c>
      <c r="AI4024" s="175">
        <v>2</v>
      </c>
      <c r="AJ4024" s="175">
        <v>7</v>
      </c>
      <c r="AK4024" s="175">
        <v>11</v>
      </c>
      <c r="AL4024" s="175">
        <v>22</v>
      </c>
      <c r="AM4024" s="175">
        <v>14</v>
      </c>
      <c r="AN4024" s="175">
        <v>1</v>
      </c>
      <c r="AO4024" s="175">
        <v>57</v>
      </c>
      <c r="AP4024" s="175">
        <v>47</v>
      </c>
      <c r="AQ4024" s="175">
        <v>4</v>
      </c>
      <c r="AR4024" s="175">
        <v>0</v>
      </c>
      <c r="AS4024" s="175">
        <v>7</v>
      </c>
      <c r="AT4024" s="175">
        <v>6</v>
      </c>
    </row>
    <row r="4025" spans="1:46">
      <c r="A4025">
        <v>65121</v>
      </c>
      <c r="B4025" t="s">
        <v>21998</v>
      </c>
      <c r="C4025" t="s">
        <v>21999</v>
      </c>
      <c r="D4025" t="s">
        <v>22000</v>
      </c>
      <c r="E4025" t="s">
        <v>22001</v>
      </c>
      <c r="G4025" t="s">
        <v>22002</v>
      </c>
      <c r="H4025" t="s">
        <v>449</v>
      </c>
      <c r="J4025" t="s">
        <v>605</v>
      </c>
      <c r="K4025" t="s">
        <v>606</v>
      </c>
      <c r="M4025" t="s">
        <v>2366</v>
      </c>
      <c r="N4025" t="s">
        <v>657</v>
      </c>
      <c r="O4025" t="s">
        <v>3016</v>
      </c>
      <c r="P4025" t="s">
        <v>626</v>
      </c>
      <c r="Q4025" t="s">
        <v>521</v>
      </c>
      <c r="R4025" t="s">
        <v>3017</v>
      </c>
      <c r="S4025" t="s">
        <v>3052</v>
      </c>
      <c r="T4025" t="s">
        <v>2526</v>
      </c>
      <c r="U4025">
        <v>333300</v>
      </c>
      <c r="V4025" t="s">
        <v>22003</v>
      </c>
      <c r="W4025" t="s">
        <v>3136</v>
      </c>
      <c r="X4025" t="s">
        <v>22004</v>
      </c>
      <c r="Y4025" t="s">
        <v>22001</v>
      </c>
      <c r="AA4025" t="s">
        <v>22005</v>
      </c>
      <c r="AE4025">
        <v>-43.749586039999997</v>
      </c>
      <c r="AF4025">
        <v>172.93209991000001</v>
      </c>
      <c r="AG4025" s="175">
        <v>30</v>
      </c>
      <c r="AH4025" s="175">
        <v>5</v>
      </c>
      <c r="AI4025" s="175">
        <v>0</v>
      </c>
      <c r="AJ4025" s="175">
        <v>3</v>
      </c>
      <c r="AK4025" s="175">
        <v>6</v>
      </c>
      <c r="AL4025" s="175">
        <v>8</v>
      </c>
      <c r="AM4025" s="175">
        <v>8</v>
      </c>
      <c r="AN4025" s="175">
        <v>0</v>
      </c>
      <c r="AO4025" s="175">
        <v>25</v>
      </c>
      <c r="AP4025" s="175">
        <v>25</v>
      </c>
      <c r="AQ4025" s="175">
        <v>2</v>
      </c>
      <c r="AR4025" s="175">
        <v>0</v>
      </c>
      <c r="AS4025" s="175">
        <v>2</v>
      </c>
      <c r="AT4025" s="175">
        <v>1</v>
      </c>
    </row>
    <row r="4026" spans="1:46">
      <c r="A4026">
        <v>65124</v>
      </c>
      <c r="B4026" t="s">
        <v>22006</v>
      </c>
      <c r="C4026" t="s">
        <v>22007</v>
      </c>
      <c r="D4026" t="s">
        <v>22008</v>
      </c>
      <c r="E4026" t="s">
        <v>22009</v>
      </c>
      <c r="F4026" t="s">
        <v>11773</v>
      </c>
      <c r="G4026" t="s">
        <v>3015</v>
      </c>
      <c r="H4026" t="s">
        <v>449</v>
      </c>
      <c r="J4026" t="s">
        <v>605</v>
      </c>
      <c r="K4026" t="s">
        <v>606</v>
      </c>
      <c r="M4026" t="s">
        <v>2366</v>
      </c>
      <c r="N4026" t="s">
        <v>657</v>
      </c>
      <c r="O4026" t="s">
        <v>3016</v>
      </c>
      <c r="P4026" t="s">
        <v>739</v>
      </c>
      <c r="Q4026" t="s">
        <v>521</v>
      </c>
      <c r="R4026" t="s">
        <v>3017</v>
      </c>
      <c r="S4026" t="s">
        <v>3038</v>
      </c>
      <c r="T4026" t="s">
        <v>2526</v>
      </c>
      <c r="U4026">
        <v>317400</v>
      </c>
      <c r="V4026" t="s">
        <v>11773</v>
      </c>
      <c r="W4026" t="s">
        <v>3059</v>
      </c>
      <c r="X4026" t="s">
        <v>10864</v>
      </c>
      <c r="Y4026" t="s">
        <v>4014</v>
      </c>
      <c r="Z4026" t="s">
        <v>4015</v>
      </c>
      <c r="AA4026" t="s">
        <v>4016</v>
      </c>
      <c r="AE4026">
        <v>-43.460929239999999</v>
      </c>
      <c r="AF4026">
        <v>172.62097216000001</v>
      </c>
      <c r="AG4026" s="175">
        <v>62</v>
      </c>
      <c r="AH4026" s="175">
        <v>12</v>
      </c>
      <c r="AI4026" s="175">
        <v>3</v>
      </c>
      <c r="AJ4026" s="175">
        <v>10</v>
      </c>
      <c r="AK4026" s="175">
        <v>10</v>
      </c>
      <c r="AL4026" s="175">
        <v>16</v>
      </c>
      <c r="AM4026" s="175">
        <v>13</v>
      </c>
      <c r="AN4026" s="175">
        <v>0</v>
      </c>
      <c r="AO4026" s="175">
        <v>52</v>
      </c>
      <c r="AP4026" s="175">
        <v>36</v>
      </c>
      <c r="AQ4026" s="175">
        <v>6</v>
      </c>
      <c r="AR4026" s="175">
        <v>3</v>
      </c>
      <c r="AS4026" s="175">
        <v>14</v>
      </c>
      <c r="AT4026" s="175">
        <v>5</v>
      </c>
    </row>
    <row r="4027" spans="1:46">
      <c r="A4027">
        <v>65125</v>
      </c>
      <c r="B4027" t="s">
        <v>22010</v>
      </c>
      <c r="C4027" t="s">
        <v>22011</v>
      </c>
      <c r="E4027" t="s">
        <v>22012</v>
      </c>
      <c r="F4027" t="s">
        <v>3184</v>
      </c>
      <c r="G4027" t="s">
        <v>3015</v>
      </c>
      <c r="H4027" t="s">
        <v>449</v>
      </c>
      <c r="J4027" t="s">
        <v>4032</v>
      </c>
      <c r="K4027" t="s">
        <v>606</v>
      </c>
      <c r="M4027" t="s">
        <v>2366</v>
      </c>
      <c r="N4027" t="s">
        <v>657</v>
      </c>
      <c r="O4027" t="s">
        <v>3016</v>
      </c>
      <c r="P4027" t="s">
        <v>739</v>
      </c>
      <c r="Q4027" t="s">
        <v>521</v>
      </c>
      <c r="R4027" t="s">
        <v>3017</v>
      </c>
      <c r="S4027" t="s">
        <v>3052</v>
      </c>
      <c r="T4027" t="s">
        <v>2526</v>
      </c>
      <c r="U4027">
        <v>330500</v>
      </c>
      <c r="V4027" t="s">
        <v>18123</v>
      </c>
      <c r="W4027" t="s">
        <v>3066</v>
      </c>
      <c r="X4027" t="s">
        <v>22013</v>
      </c>
      <c r="Y4027" t="s">
        <v>22014</v>
      </c>
      <c r="AA4027" t="s">
        <v>22015</v>
      </c>
      <c r="AB4027" t="s">
        <v>22016</v>
      </c>
      <c r="AC4027">
        <v>99063</v>
      </c>
      <c r="AD4027" t="s">
        <v>3067</v>
      </c>
      <c r="AE4027">
        <v>-43.54799251</v>
      </c>
      <c r="AF4027">
        <v>172.67004961000001</v>
      </c>
      <c r="AG4027" s="175">
        <v>51</v>
      </c>
      <c r="AH4027" s="175">
        <v>16</v>
      </c>
      <c r="AI4027" s="175">
        <v>0</v>
      </c>
      <c r="AJ4027" s="175">
        <v>15</v>
      </c>
      <c r="AK4027" s="175">
        <v>15</v>
      </c>
      <c r="AL4027" s="175">
        <v>16</v>
      </c>
      <c r="AM4027" s="175">
        <v>15</v>
      </c>
      <c r="AN4027" s="175">
        <v>1</v>
      </c>
      <c r="AO4027" s="175">
        <v>62</v>
      </c>
      <c r="AP4027" s="175">
        <v>49</v>
      </c>
      <c r="AQ4027" s="175">
        <v>10</v>
      </c>
      <c r="AR4027" s="175">
        <v>4</v>
      </c>
      <c r="AS4027" s="175">
        <v>13</v>
      </c>
      <c r="AT4027" s="175">
        <v>4</v>
      </c>
    </row>
    <row r="4028" spans="1:46">
      <c r="A4028">
        <v>65126</v>
      </c>
      <c r="B4028" t="s">
        <v>22017</v>
      </c>
      <c r="C4028" t="s">
        <v>22018</v>
      </c>
      <c r="E4028" t="s">
        <v>22019</v>
      </c>
      <c r="G4028" t="s">
        <v>3938</v>
      </c>
      <c r="H4028" t="s">
        <v>449</v>
      </c>
      <c r="J4028" t="s">
        <v>4032</v>
      </c>
      <c r="K4028" t="s">
        <v>606</v>
      </c>
      <c r="M4028" t="s">
        <v>2366</v>
      </c>
      <c r="N4028" t="s">
        <v>657</v>
      </c>
      <c r="O4028" t="s">
        <v>2900</v>
      </c>
      <c r="P4028" t="s">
        <v>610</v>
      </c>
      <c r="Q4028" t="s">
        <v>519</v>
      </c>
      <c r="R4028" t="s">
        <v>2901</v>
      </c>
      <c r="S4028" t="s">
        <v>2902</v>
      </c>
      <c r="T4028" t="s">
        <v>2526</v>
      </c>
      <c r="U4028">
        <v>307100</v>
      </c>
      <c r="V4028" t="s">
        <v>3938</v>
      </c>
      <c r="W4028" t="s">
        <v>3939</v>
      </c>
      <c r="X4028" t="s">
        <v>22020</v>
      </c>
      <c r="Y4028" t="s">
        <v>10723</v>
      </c>
      <c r="AA4028" t="s">
        <v>22021</v>
      </c>
      <c r="AB4028" t="s">
        <v>22022</v>
      </c>
      <c r="AC4028">
        <v>99006</v>
      </c>
      <c r="AD4028" t="s">
        <v>2908</v>
      </c>
      <c r="AE4028">
        <v>-41.51266734</v>
      </c>
      <c r="AF4028">
        <v>173.81874053000001</v>
      </c>
      <c r="AG4028" s="175">
        <v>22</v>
      </c>
      <c r="AH4028" s="175">
        <v>8</v>
      </c>
      <c r="AI4028" s="175">
        <v>0</v>
      </c>
      <c r="AJ4028" s="175">
        <v>1</v>
      </c>
      <c r="AK4028" s="175">
        <v>1</v>
      </c>
      <c r="AL4028" s="175">
        <v>5</v>
      </c>
      <c r="AM4028" s="175">
        <v>4</v>
      </c>
      <c r="AN4028" s="175">
        <v>0</v>
      </c>
      <c r="AO4028" s="175">
        <v>11</v>
      </c>
      <c r="AP4028" s="175">
        <v>9</v>
      </c>
      <c r="AQ4028" s="175">
        <v>3</v>
      </c>
      <c r="AR4028" s="175">
        <v>1</v>
      </c>
      <c r="AS4028" s="175">
        <v>0</v>
      </c>
      <c r="AT4028" s="175">
        <v>1</v>
      </c>
    </row>
    <row r="4029" spans="1:46">
      <c r="A4029">
        <v>65130</v>
      </c>
      <c r="B4029" t="s">
        <v>22023</v>
      </c>
      <c r="C4029" t="s">
        <v>22024</v>
      </c>
      <c r="D4029" t="s">
        <v>22025</v>
      </c>
      <c r="E4029" t="s">
        <v>21841</v>
      </c>
      <c r="F4029" t="s">
        <v>2930</v>
      </c>
      <c r="G4029" t="s">
        <v>2930</v>
      </c>
      <c r="H4029" t="s">
        <v>449</v>
      </c>
      <c r="J4029" t="s">
        <v>4032</v>
      </c>
      <c r="K4029" t="s">
        <v>606</v>
      </c>
      <c r="M4029" t="s">
        <v>2366</v>
      </c>
      <c r="N4029" t="s">
        <v>657</v>
      </c>
      <c r="O4029" t="s">
        <v>2931</v>
      </c>
      <c r="P4029" t="s">
        <v>670</v>
      </c>
      <c r="Q4029" t="s">
        <v>518</v>
      </c>
      <c r="R4029" t="s">
        <v>2901</v>
      </c>
      <c r="S4029" t="s">
        <v>2930</v>
      </c>
      <c r="T4029" t="s">
        <v>2526</v>
      </c>
      <c r="U4029">
        <v>304800</v>
      </c>
      <c r="V4029" t="s">
        <v>2952</v>
      </c>
      <c r="W4029" t="s">
        <v>2114</v>
      </c>
      <c r="X4029" t="s">
        <v>21840</v>
      </c>
      <c r="Y4029" t="s">
        <v>21841</v>
      </c>
      <c r="AA4029" t="s">
        <v>16378</v>
      </c>
      <c r="AB4029" t="s">
        <v>21842</v>
      </c>
      <c r="AC4029">
        <v>99005</v>
      </c>
      <c r="AD4029" t="s">
        <v>2953</v>
      </c>
      <c r="AE4029">
        <v>-41.267026799999996</v>
      </c>
      <c r="AF4029">
        <v>173.29168147999999</v>
      </c>
      <c r="AG4029" s="175">
        <v>27</v>
      </c>
      <c r="AH4029" s="175">
        <v>12</v>
      </c>
      <c r="AI4029" s="175">
        <v>2</v>
      </c>
      <c r="AJ4029" s="175">
        <v>10</v>
      </c>
      <c r="AK4029" s="175">
        <v>9</v>
      </c>
      <c r="AL4029" s="175">
        <v>8</v>
      </c>
      <c r="AM4029" s="175">
        <v>9</v>
      </c>
      <c r="AN4029" s="175">
        <v>0</v>
      </c>
      <c r="AO4029" s="175">
        <v>38</v>
      </c>
      <c r="AP4029" s="175">
        <v>37</v>
      </c>
      <c r="AQ4029" s="175">
        <v>4</v>
      </c>
      <c r="AR4029" s="175">
        <v>0</v>
      </c>
      <c r="AS4029" s="175">
        <v>2</v>
      </c>
      <c r="AT4029" s="175">
        <v>1</v>
      </c>
    </row>
    <row r="4030" spans="1:46">
      <c r="A4030">
        <v>65131</v>
      </c>
      <c r="B4030" t="s">
        <v>22026</v>
      </c>
      <c r="C4030" t="s">
        <v>22027</v>
      </c>
      <c r="D4030" t="s">
        <v>12017</v>
      </c>
      <c r="E4030" t="s">
        <v>22028</v>
      </c>
      <c r="G4030" t="s">
        <v>22029</v>
      </c>
      <c r="H4030" t="s">
        <v>449</v>
      </c>
      <c r="J4030" t="s">
        <v>4032</v>
      </c>
      <c r="K4030" t="s">
        <v>606</v>
      </c>
      <c r="M4030" t="s">
        <v>2366</v>
      </c>
      <c r="N4030" t="s">
        <v>657</v>
      </c>
      <c r="O4030" t="s">
        <v>3598</v>
      </c>
      <c r="P4030" t="s">
        <v>626</v>
      </c>
      <c r="Q4030" t="s">
        <v>523</v>
      </c>
      <c r="R4030" t="s">
        <v>3410</v>
      </c>
      <c r="S4030" t="s">
        <v>3569</v>
      </c>
      <c r="T4030" t="s">
        <v>2526</v>
      </c>
      <c r="U4030">
        <v>359100</v>
      </c>
      <c r="V4030" t="s">
        <v>22030</v>
      </c>
      <c r="W4030" t="s">
        <v>22031</v>
      </c>
      <c r="X4030" t="s">
        <v>12020</v>
      </c>
      <c r="Y4030" t="s">
        <v>12021</v>
      </c>
      <c r="AA4030" t="s">
        <v>12022</v>
      </c>
      <c r="AB4030" t="s">
        <v>12023</v>
      </c>
      <c r="AC4030">
        <v>99028</v>
      </c>
      <c r="AD4030" t="s">
        <v>22032</v>
      </c>
      <c r="AE4030">
        <v>-46.311950680000002</v>
      </c>
      <c r="AF4030">
        <v>168.78794156000001</v>
      </c>
      <c r="AG4030" s="175">
        <v>45</v>
      </c>
      <c r="AH4030" s="175">
        <v>15</v>
      </c>
      <c r="AI4030" s="175">
        <v>0</v>
      </c>
      <c r="AJ4030" s="175">
        <v>6</v>
      </c>
      <c r="AK4030" s="175">
        <v>3</v>
      </c>
      <c r="AL4030" s="175">
        <v>15</v>
      </c>
      <c r="AM4030" s="175">
        <v>9</v>
      </c>
      <c r="AN4030" s="175">
        <v>0</v>
      </c>
      <c r="AO4030" s="175">
        <v>33</v>
      </c>
      <c r="AP4030" s="175">
        <v>26</v>
      </c>
      <c r="AQ4030" s="175">
        <v>8</v>
      </c>
      <c r="AR4030" s="175">
        <v>1</v>
      </c>
      <c r="AS4030" s="175">
        <v>3</v>
      </c>
      <c r="AT4030" s="175">
        <v>0</v>
      </c>
    </row>
    <row r="4031" spans="1:46">
      <c r="A4031">
        <v>65132</v>
      </c>
      <c r="B4031" t="s">
        <v>22033</v>
      </c>
      <c r="C4031" t="s">
        <v>14641</v>
      </c>
      <c r="D4031" t="s">
        <v>22034</v>
      </c>
      <c r="E4031" t="s">
        <v>14644</v>
      </c>
      <c r="F4031" t="s">
        <v>3154</v>
      </c>
      <c r="G4031" t="s">
        <v>3015</v>
      </c>
      <c r="H4031" t="s">
        <v>471</v>
      </c>
      <c r="I4031" t="s">
        <v>5017</v>
      </c>
      <c r="J4031" t="s">
        <v>605</v>
      </c>
      <c r="K4031" t="s">
        <v>606</v>
      </c>
      <c r="M4031" t="s">
        <v>2366</v>
      </c>
      <c r="N4031" t="s">
        <v>657</v>
      </c>
      <c r="O4031" t="s">
        <v>3016</v>
      </c>
      <c r="P4031" t="s">
        <v>739</v>
      </c>
      <c r="Q4031" t="s">
        <v>521</v>
      </c>
      <c r="R4031" t="s">
        <v>3017</v>
      </c>
      <c r="S4031" t="s">
        <v>3046</v>
      </c>
      <c r="T4031" t="s">
        <v>2526</v>
      </c>
      <c r="U4031">
        <v>323400</v>
      </c>
      <c r="V4031" t="s">
        <v>3142</v>
      </c>
      <c r="W4031" t="s">
        <v>3143</v>
      </c>
      <c r="X4031" t="s">
        <v>14643</v>
      </c>
      <c r="Y4031" t="s">
        <v>14644</v>
      </c>
      <c r="Z4031" t="s">
        <v>3154</v>
      </c>
      <c r="AA4031" t="s">
        <v>11764</v>
      </c>
      <c r="AB4031" t="s">
        <v>14645</v>
      </c>
      <c r="AC4031">
        <v>99215</v>
      </c>
      <c r="AD4031" t="s">
        <v>11035</v>
      </c>
      <c r="AE4031">
        <v>-43.495181680000002</v>
      </c>
      <c r="AF4031">
        <v>172.65370573999999</v>
      </c>
      <c r="AG4031" s="175">
        <v>35</v>
      </c>
      <c r="AH4031" s="175">
        <v>10</v>
      </c>
      <c r="AI4031" s="175">
        <v>0</v>
      </c>
      <c r="AJ4031" s="175">
        <v>5</v>
      </c>
      <c r="AK4031" s="175">
        <v>11</v>
      </c>
      <c r="AL4031" s="175">
        <v>8</v>
      </c>
      <c r="AM4031" s="175">
        <v>5</v>
      </c>
      <c r="AN4031" s="175">
        <v>0</v>
      </c>
      <c r="AO4031" s="175">
        <v>29</v>
      </c>
      <c r="AP4031" s="175">
        <v>14</v>
      </c>
      <c r="AQ4031" s="175">
        <v>27</v>
      </c>
      <c r="AR4031" s="175">
        <v>6</v>
      </c>
      <c r="AS4031" s="175">
        <v>0</v>
      </c>
      <c r="AT4031" s="175">
        <v>1</v>
      </c>
    </row>
    <row r="4032" spans="1:46">
      <c r="A4032">
        <v>65135</v>
      </c>
      <c r="B4032" t="s">
        <v>22035</v>
      </c>
      <c r="C4032" t="s">
        <v>22036</v>
      </c>
      <c r="D4032" t="s">
        <v>22037</v>
      </c>
      <c r="E4032" t="s">
        <v>22038</v>
      </c>
      <c r="F4032" t="s">
        <v>3267</v>
      </c>
      <c r="G4032" t="s">
        <v>3015</v>
      </c>
      <c r="H4032" t="s">
        <v>449</v>
      </c>
      <c r="J4032" t="s">
        <v>605</v>
      </c>
      <c r="K4032" t="s">
        <v>606</v>
      </c>
      <c r="M4032" t="s">
        <v>2366</v>
      </c>
      <c r="N4032" t="s">
        <v>657</v>
      </c>
      <c r="O4032" t="s">
        <v>3016</v>
      </c>
      <c r="P4032" t="s">
        <v>739</v>
      </c>
      <c r="Q4032" t="s">
        <v>521</v>
      </c>
      <c r="R4032" t="s">
        <v>3017</v>
      </c>
      <c r="S4032" t="s">
        <v>3092</v>
      </c>
      <c r="T4032" t="s">
        <v>2526</v>
      </c>
      <c r="U4032">
        <v>325400</v>
      </c>
      <c r="V4032" t="s">
        <v>12265</v>
      </c>
      <c r="W4032" t="s">
        <v>3269</v>
      </c>
      <c r="X4032" t="s">
        <v>10864</v>
      </c>
      <c r="Y4032" t="s">
        <v>4014</v>
      </c>
      <c r="Z4032" t="s">
        <v>4015</v>
      </c>
      <c r="AA4032" t="s">
        <v>4016</v>
      </c>
      <c r="AE4032">
        <v>-43.565844730000002</v>
      </c>
      <c r="AF4032">
        <v>172.56798040000001</v>
      </c>
      <c r="AG4032" s="175">
        <v>50</v>
      </c>
      <c r="AH4032" s="175">
        <v>12</v>
      </c>
      <c r="AI4032" s="175">
        <v>3</v>
      </c>
      <c r="AJ4032" s="175">
        <v>4</v>
      </c>
      <c r="AK4032" s="175">
        <v>16</v>
      </c>
      <c r="AL4032" s="175">
        <v>17</v>
      </c>
      <c r="AM4032" s="175">
        <v>15</v>
      </c>
      <c r="AN4032" s="175">
        <v>1</v>
      </c>
      <c r="AO4032" s="175">
        <v>56</v>
      </c>
      <c r="AP4032" s="175">
        <v>37</v>
      </c>
      <c r="AQ4032" s="175">
        <v>5</v>
      </c>
      <c r="AR4032" s="175">
        <v>0</v>
      </c>
      <c r="AS4032" s="175">
        <v>12</v>
      </c>
      <c r="AT4032" s="175">
        <v>10</v>
      </c>
    </row>
    <row r="4033" spans="1:46">
      <c r="A4033">
        <v>65137</v>
      </c>
      <c r="B4033" t="s">
        <v>22039</v>
      </c>
      <c r="C4033" t="s">
        <v>22040</v>
      </c>
      <c r="D4033" t="s">
        <v>22041</v>
      </c>
      <c r="E4033" t="s">
        <v>21918</v>
      </c>
      <c r="F4033" t="s">
        <v>3188</v>
      </c>
      <c r="G4033" t="s">
        <v>3015</v>
      </c>
      <c r="H4033" t="s">
        <v>449</v>
      </c>
      <c r="J4033" t="s">
        <v>605</v>
      </c>
      <c r="K4033" t="s">
        <v>606</v>
      </c>
      <c r="M4033" t="s">
        <v>2366</v>
      </c>
      <c r="N4033" t="s">
        <v>4586</v>
      </c>
      <c r="O4033" t="s">
        <v>3016</v>
      </c>
      <c r="P4033" t="s">
        <v>739</v>
      </c>
      <c r="Q4033" t="s">
        <v>521</v>
      </c>
      <c r="R4033" t="s">
        <v>3017</v>
      </c>
      <c r="S4033" t="s">
        <v>3030</v>
      </c>
      <c r="T4033" t="s">
        <v>2526</v>
      </c>
      <c r="U4033">
        <v>320900</v>
      </c>
      <c r="V4033" t="s">
        <v>22042</v>
      </c>
      <c r="W4033" t="s">
        <v>3171</v>
      </c>
      <c r="X4033" t="s">
        <v>22043</v>
      </c>
      <c r="Y4033" t="s">
        <v>21918</v>
      </c>
      <c r="Z4033" t="s">
        <v>3188</v>
      </c>
      <c r="AA4033" t="s">
        <v>11584</v>
      </c>
      <c r="AB4033" t="s">
        <v>22044</v>
      </c>
      <c r="AE4033">
        <v>-43.499359140000003</v>
      </c>
      <c r="AF4033">
        <v>172.61075740999999</v>
      </c>
      <c r="AG4033" s="175">
        <v>46</v>
      </c>
      <c r="AH4033" s="175">
        <v>0</v>
      </c>
      <c r="AI4033" s="175">
        <v>0</v>
      </c>
      <c r="AJ4033" s="175">
        <v>0</v>
      </c>
      <c r="AK4033" s="175">
        <v>7</v>
      </c>
      <c r="AL4033" s="175">
        <v>13</v>
      </c>
      <c r="AM4033" s="175">
        <v>25</v>
      </c>
      <c r="AN4033" s="175">
        <v>4</v>
      </c>
      <c r="AO4033" s="175">
        <v>49</v>
      </c>
      <c r="AP4033" s="175">
        <v>35</v>
      </c>
      <c r="AQ4033" s="175">
        <v>2</v>
      </c>
      <c r="AR4033" s="175">
        <v>9</v>
      </c>
      <c r="AS4033" s="175">
        <v>10</v>
      </c>
      <c r="AT4033" s="175">
        <v>6</v>
      </c>
    </row>
    <row r="4034" spans="1:46">
      <c r="A4034">
        <v>65138</v>
      </c>
      <c r="B4034" t="s">
        <v>22045</v>
      </c>
      <c r="D4034" t="s">
        <v>22046</v>
      </c>
      <c r="E4034" t="s">
        <v>22047</v>
      </c>
      <c r="G4034" t="s">
        <v>21965</v>
      </c>
      <c r="H4034" t="s">
        <v>449</v>
      </c>
      <c r="J4034" t="s">
        <v>4032</v>
      </c>
      <c r="K4034" t="s">
        <v>606</v>
      </c>
      <c r="M4034" t="s">
        <v>2366</v>
      </c>
      <c r="N4034" t="s">
        <v>657</v>
      </c>
      <c r="O4034" t="s">
        <v>2944</v>
      </c>
      <c r="P4034" t="s">
        <v>610</v>
      </c>
      <c r="Q4034" t="s">
        <v>517</v>
      </c>
      <c r="R4034" t="s">
        <v>2901</v>
      </c>
      <c r="S4034" t="s">
        <v>2945</v>
      </c>
      <c r="T4034" t="s">
        <v>2526</v>
      </c>
      <c r="U4034">
        <v>301704</v>
      </c>
      <c r="V4034" t="s">
        <v>21966</v>
      </c>
      <c r="W4034" t="s">
        <v>11355</v>
      </c>
      <c r="X4034" t="s">
        <v>11001</v>
      </c>
      <c r="Y4034" t="s">
        <v>22048</v>
      </c>
      <c r="AA4034" t="s">
        <v>18599</v>
      </c>
      <c r="AB4034" t="s">
        <v>11004</v>
      </c>
      <c r="AC4034">
        <v>99115</v>
      </c>
      <c r="AD4034" t="s">
        <v>2948</v>
      </c>
      <c r="AE4034">
        <v>-41.253689299999998</v>
      </c>
      <c r="AF4034">
        <v>173.09653746000001</v>
      </c>
      <c r="AG4034" s="175">
        <v>42</v>
      </c>
      <c r="AH4034" s="175">
        <v>20</v>
      </c>
      <c r="AI4034" s="175">
        <v>2</v>
      </c>
      <c r="AJ4034" s="175">
        <v>6</v>
      </c>
      <c r="AK4034" s="175">
        <v>14</v>
      </c>
      <c r="AL4034" s="175">
        <v>11</v>
      </c>
      <c r="AM4034" s="175">
        <v>12</v>
      </c>
      <c r="AN4034" s="175">
        <v>1</v>
      </c>
      <c r="AO4034" s="175">
        <v>46</v>
      </c>
      <c r="AP4034" s="175">
        <v>44</v>
      </c>
      <c r="AQ4034" s="175">
        <v>7</v>
      </c>
      <c r="AR4034" s="175">
        <v>0</v>
      </c>
      <c r="AS4034" s="175">
        <v>0</v>
      </c>
      <c r="AT4034" s="175">
        <v>1</v>
      </c>
    </row>
    <row r="4035" spans="1:46">
      <c r="A4035">
        <v>65139</v>
      </c>
      <c r="B4035" t="s">
        <v>22049</v>
      </c>
      <c r="C4035" t="s">
        <v>22050</v>
      </c>
      <c r="D4035" t="s">
        <v>22051</v>
      </c>
      <c r="E4035" t="s">
        <v>22052</v>
      </c>
      <c r="F4035" t="s">
        <v>3203</v>
      </c>
      <c r="G4035" t="s">
        <v>3015</v>
      </c>
      <c r="H4035" t="s">
        <v>449</v>
      </c>
      <c r="J4035" t="s">
        <v>4032</v>
      </c>
      <c r="K4035" t="s">
        <v>606</v>
      </c>
      <c r="M4035" t="s">
        <v>2366</v>
      </c>
      <c r="N4035" t="s">
        <v>657</v>
      </c>
      <c r="O4035" t="s">
        <v>3016</v>
      </c>
      <c r="P4035" t="s">
        <v>739</v>
      </c>
      <c r="Q4035" t="s">
        <v>521</v>
      </c>
      <c r="R4035" t="s">
        <v>3017</v>
      </c>
      <c r="S4035" t="s">
        <v>3046</v>
      </c>
      <c r="T4035" t="s">
        <v>2526</v>
      </c>
      <c r="U4035">
        <v>325601</v>
      </c>
      <c r="V4035" t="s">
        <v>22053</v>
      </c>
      <c r="W4035" t="s">
        <v>3199</v>
      </c>
      <c r="X4035" t="s">
        <v>22054</v>
      </c>
      <c r="Y4035" t="s">
        <v>4176</v>
      </c>
      <c r="AA4035" t="s">
        <v>4052</v>
      </c>
      <c r="AB4035" t="s">
        <v>22055</v>
      </c>
      <c r="AC4035">
        <v>99175</v>
      </c>
      <c r="AD4035" t="s">
        <v>3144</v>
      </c>
      <c r="AE4035">
        <v>-43.498737869999999</v>
      </c>
      <c r="AF4035">
        <v>172.68178811999999</v>
      </c>
      <c r="AG4035" s="175">
        <v>68</v>
      </c>
      <c r="AH4035" s="175">
        <v>16</v>
      </c>
      <c r="AI4035" s="175">
        <v>4</v>
      </c>
      <c r="AJ4035" s="175">
        <v>14</v>
      </c>
      <c r="AK4035" s="175">
        <v>21</v>
      </c>
      <c r="AL4035" s="175">
        <v>22</v>
      </c>
      <c r="AM4035" s="175">
        <v>24</v>
      </c>
      <c r="AN4035" s="175">
        <v>1</v>
      </c>
      <c r="AO4035" s="175">
        <v>86</v>
      </c>
      <c r="AP4035" s="175">
        <v>69</v>
      </c>
      <c r="AQ4035" s="175">
        <v>20</v>
      </c>
      <c r="AR4035" s="175">
        <v>2</v>
      </c>
      <c r="AS4035" s="175">
        <v>2</v>
      </c>
      <c r="AT4035" s="175">
        <v>9</v>
      </c>
    </row>
    <row r="4036" spans="1:46">
      <c r="A4036">
        <v>65140</v>
      </c>
      <c r="B4036" t="s">
        <v>22056</v>
      </c>
      <c r="C4036" t="s">
        <v>22057</v>
      </c>
      <c r="D4036" t="s">
        <v>22058</v>
      </c>
      <c r="E4036" t="s">
        <v>22059</v>
      </c>
      <c r="G4036" t="s">
        <v>22060</v>
      </c>
      <c r="H4036" t="s">
        <v>452</v>
      </c>
      <c r="J4036" t="s">
        <v>605</v>
      </c>
      <c r="K4036" t="s">
        <v>606</v>
      </c>
      <c r="M4036" t="s">
        <v>2366</v>
      </c>
      <c r="N4036" t="s">
        <v>657</v>
      </c>
      <c r="O4036" t="s">
        <v>2931</v>
      </c>
      <c r="P4036" t="s">
        <v>658</v>
      </c>
      <c r="Q4036" t="s">
        <v>518</v>
      </c>
      <c r="R4036" t="s">
        <v>2901</v>
      </c>
      <c r="S4036" t="s">
        <v>2930</v>
      </c>
      <c r="T4036" t="s">
        <v>2526</v>
      </c>
      <c r="U4036">
        <v>303600</v>
      </c>
      <c r="V4036" t="s">
        <v>22061</v>
      </c>
      <c r="W4036" t="s">
        <v>2114</v>
      </c>
      <c r="X4036" t="s">
        <v>2934</v>
      </c>
      <c r="Y4036" t="s">
        <v>2935</v>
      </c>
      <c r="Z4036" t="s">
        <v>2930</v>
      </c>
      <c r="AA4036" t="s">
        <v>2936</v>
      </c>
      <c r="AB4036" t="s">
        <v>2937</v>
      </c>
      <c r="AC4036">
        <v>99005</v>
      </c>
      <c r="AD4036" t="s">
        <v>2953</v>
      </c>
      <c r="AE4036">
        <v>-41.207292690000003</v>
      </c>
      <c r="AF4036">
        <v>173.36388334</v>
      </c>
      <c r="AG4036" s="175">
        <v>36</v>
      </c>
      <c r="AH4036" s="175">
        <v>0</v>
      </c>
      <c r="AI4036" s="175">
        <v>0</v>
      </c>
      <c r="AJ4036" s="175">
        <v>0</v>
      </c>
      <c r="AK4036" s="175">
        <v>8</v>
      </c>
      <c r="AL4036" s="175">
        <v>7</v>
      </c>
      <c r="AM4036" s="175">
        <v>10</v>
      </c>
      <c r="AN4036" s="175">
        <v>5</v>
      </c>
      <c r="AO4036" s="175">
        <v>30</v>
      </c>
      <c r="AP4036" s="175">
        <v>23</v>
      </c>
      <c r="AQ4036" s="175">
        <v>6</v>
      </c>
      <c r="AR4036" s="175">
        <v>0</v>
      </c>
      <c r="AS4036" s="175">
        <v>1</v>
      </c>
      <c r="AT4036" s="175">
        <v>0</v>
      </c>
    </row>
    <row r="4037" spans="1:46">
      <c r="A4037">
        <v>65142</v>
      </c>
      <c r="B4037" t="s">
        <v>22062</v>
      </c>
      <c r="C4037" t="s">
        <v>22063</v>
      </c>
      <c r="D4037" t="s">
        <v>22064</v>
      </c>
      <c r="E4037" t="s">
        <v>22065</v>
      </c>
      <c r="G4037" t="s">
        <v>3569</v>
      </c>
      <c r="H4037" t="s">
        <v>449</v>
      </c>
      <c r="J4037" t="s">
        <v>4032</v>
      </c>
      <c r="K4037" t="s">
        <v>606</v>
      </c>
      <c r="M4037" t="s">
        <v>2366</v>
      </c>
      <c r="N4037" t="s">
        <v>657</v>
      </c>
      <c r="O4037" t="s">
        <v>3568</v>
      </c>
      <c r="P4037" t="s">
        <v>670</v>
      </c>
      <c r="Q4037" t="s">
        <v>523</v>
      </c>
      <c r="R4037" t="s">
        <v>3410</v>
      </c>
      <c r="S4037" t="s">
        <v>3569</v>
      </c>
      <c r="T4037" t="s">
        <v>2526</v>
      </c>
      <c r="U4037">
        <v>361501</v>
      </c>
      <c r="V4037" t="s">
        <v>3656</v>
      </c>
      <c r="W4037" t="s">
        <v>1734</v>
      </c>
      <c r="X4037" t="s">
        <v>22066</v>
      </c>
      <c r="Y4037" t="s">
        <v>22067</v>
      </c>
      <c r="AA4037" t="s">
        <v>22068</v>
      </c>
      <c r="AB4037" t="s">
        <v>22069</v>
      </c>
      <c r="AE4037">
        <v>-46.394463809999998</v>
      </c>
      <c r="AF4037">
        <v>168.37385774000001</v>
      </c>
      <c r="AG4037" s="175">
        <v>65</v>
      </c>
      <c r="AH4037" s="175">
        <v>25</v>
      </c>
      <c r="AI4037" s="175">
        <v>1</v>
      </c>
      <c r="AJ4037" s="175">
        <v>17</v>
      </c>
      <c r="AK4037" s="175">
        <v>26</v>
      </c>
      <c r="AL4037" s="175">
        <v>20</v>
      </c>
      <c r="AM4037" s="175">
        <v>11</v>
      </c>
      <c r="AN4037" s="175">
        <v>2</v>
      </c>
      <c r="AO4037" s="175">
        <v>77</v>
      </c>
      <c r="AP4037" s="175">
        <v>57</v>
      </c>
      <c r="AQ4037" s="175">
        <v>22</v>
      </c>
      <c r="AR4037" s="175">
        <v>4</v>
      </c>
      <c r="AS4037" s="175">
        <v>8</v>
      </c>
      <c r="AT4037" s="175">
        <v>0</v>
      </c>
    </row>
    <row r="4038" spans="1:46">
      <c r="A4038">
        <v>65143</v>
      </c>
      <c r="B4038" t="s">
        <v>22070</v>
      </c>
      <c r="C4038" t="s">
        <v>22071</v>
      </c>
      <c r="D4038" t="s">
        <v>22072</v>
      </c>
      <c r="E4038" t="s">
        <v>22073</v>
      </c>
      <c r="F4038" t="s">
        <v>3030</v>
      </c>
      <c r="G4038" t="s">
        <v>3015</v>
      </c>
      <c r="H4038" t="s">
        <v>449</v>
      </c>
      <c r="I4038" t="s">
        <v>5017</v>
      </c>
      <c r="J4038" t="s">
        <v>605</v>
      </c>
      <c r="K4038" t="s">
        <v>606</v>
      </c>
      <c r="M4038" t="s">
        <v>2366</v>
      </c>
      <c r="N4038" t="s">
        <v>643</v>
      </c>
      <c r="O4038" t="s">
        <v>3016</v>
      </c>
      <c r="P4038" t="s">
        <v>739</v>
      </c>
      <c r="Q4038" t="s">
        <v>521</v>
      </c>
      <c r="R4038" t="s">
        <v>3017</v>
      </c>
      <c r="S4038" t="s">
        <v>3030</v>
      </c>
      <c r="T4038" t="s">
        <v>2526</v>
      </c>
      <c r="U4038">
        <v>327100</v>
      </c>
      <c r="V4038" t="s">
        <v>16490</v>
      </c>
      <c r="W4038" t="s">
        <v>2521</v>
      </c>
      <c r="X4038" t="s">
        <v>22074</v>
      </c>
      <c r="Y4038" t="s">
        <v>22075</v>
      </c>
      <c r="Z4038" t="s">
        <v>22076</v>
      </c>
      <c r="AA4038" t="s">
        <v>17932</v>
      </c>
      <c r="AB4038" t="s">
        <v>22071</v>
      </c>
      <c r="AE4038">
        <v>-43.538029479999999</v>
      </c>
      <c r="AF4038">
        <v>172.64498785999999</v>
      </c>
      <c r="AG4038" s="175">
        <v>40</v>
      </c>
      <c r="AH4038" s="175">
        <v>10</v>
      </c>
      <c r="AI4038" s="175">
        <v>0</v>
      </c>
      <c r="AJ4038" s="175">
        <v>10</v>
      </c>
      <c r="AK4038" s="175">
        <v>4</v>
      </c>
      <c r="AL4038" s="175">
        <v>8</v>
      </c>
      <c r="AM4038" s="175">
        <v>5</v>
      </c>
      <c r="AN4038" s="175">
        <v>0</v>
      </c>
      <c r="AO4038" s="175">
        <v>27</v>
      </c>
      <c r="AP4038" s="175">
        <v>14</v>
      </c>
      <c r="AQ4038" s="175">
        <v>21</v>
      </c>
      <c r="AR4038" s="175">
        <v>4</v>
      </c>
      <c r="AS4038" s="175">
        <v>2</v>
      </c>
      <c r="AT4038" s="175">
        <v>3</v>
      </c>
    </row>
    <row r="4039" spans="1:46">
      <c r="A4039">
        <v>65145</v>
      </c>
      <c r="B4039" t="s">
        <v>22077</v>
      </c>
      <c r="C4039" t="s">
        <v>22078</v>
      </c>
      <c r="E4039" t="s">
        <v>22079</v>
      </c>
      <c r="G4039" t="s">
        <v>10974</v>
      </c>
      <c r="H4039" t="s">
        <v>449</v>
      </c>
      <c r="J4039" t="s">
        <v>4032</v>
      </c>
      <c r="K4039" t="s">
        <v>606</v>
      </c>
      <c r="M4039" t="s">
        <v>2366</v>
      </c>
      <c r="N4039" t="s">
        <v>657</v>
      </c>
      <c r="O4039" t="s">
        <v>3281</v>
      </c>
      <c r="P4039" t="s">
        <v>1347</v>
      </c>
      <c r="Q4039" t="s">
        <v>521</v>
      </c>
      <c r="R4039" t="s">
        <v>3017</v>
      </c>
      <c r="S4039" t="s">
        <v>3252</v>
      </c>
      <c r="T4039" t="s">
        <v>2526</v>
      </c>
      <c r="U4039">
        <v>335201</v>
      </c>
      <c r="V4039" t="s">
        <v>10976</v>
      </c>
      <c r="W4039" t="s">
        <v>10977</v>
      </c>
      <c r="X4039" t="s">
        <v>22080</v>
      </c>
      <c r="Y4039" t="s">
        <v>4725</v>
      </c>
      <c r="Z4039" t="s">
        <v>1043</v>
      </c>
      <c r="AA4039" t="s">
        <v>4726</v>
      </c>
      <c r="AC4039">
        <v>99206</v>
      </c>
      <c r="AD4039" t="s">
        <v>3284</v>
      </c>
      <c r="AE4039">
        <v>-43.593747780000001</v>
      </c>
      <c r="AF4039">
        <v>172.38190309000001</v>
      </c>
      <c r="AG4039" s="175">
        <v>81</v>
      </c>
      <c r="AH4039" s="175">
        <v>12</v>
      </c>
      <c r="AI4039" s="175">
        <v>1</v>
      </c>
      <c r="AJ4039" s="175">
        <v>12</v>
      </c>
      <c r="AK4039" s="175">
        <v>18</v>
      </c>
      <c r="AL4039" s="175">
        <v>31</v>
      </c>
      <c r="AM4039" s="175">
        <v>25</v>
      </c>
      <c r="AN4039" s="175">
        <v>2</v>
      </c>
      <c r="AO4039" s="175">
        <v>89</v>
      </c>
      <c r="AP4039" s="175">
        <v>53</v>
      </c>
      <c r="AQ4039" s="175">
        <v>5</v>
      </c>
      <c r="AR4039" s="175">
        <v>5</v>
      </c>
      <c r="AS4039" s="175">
        <v>31</v>
      </c>
      <c r="AT4039" s="175">
        <v>5</v>
      </c>
    </row>
    <row r="4040" spans="1:46">
      <c r="A4040">
        <v>65146</v>
      </c>
      <c r="B4040" t="s">
        <v>22081</v>
      </c>
      <c r="C4040" t="s">
        <v>22082</v>
      </c>
      <c r="D4040" t="s">
        <v>22083</v>
      </c>
      <c r="E4040" t="s">
        <v>22084</v>
      </c>
      <c r="G4040" t="s">
        <v>3569</v>
      </c>
      <c r="H4040" t="s">
        <v>449</v>
      </c>
      <c r="J4040" t="s">
        <v>4032</v>
      </c>
      <c r="K4040" t="s">
        <v>606</v>
      </c>
      <c r="M4040" t="s">
        <v>2366</v>
      </c>
      <c r="N4040" t="s">
        <v>657</v>
      </c>
      <c r="O4040" t="s">
        <v>3568</v>
      </c>
      <c r="P4040" t="s">
        <v>670</v>
      </c>
      <c r="Q4040" t="s">
        <v>523</v>
      </c>
      <c r="R4040" t="s">
        <v>3410</v>
      </c>
      <c r="S4040" t="s">
        <v>3569</v>
      </c>
      <c r="T4040" t="s">
        <v>2526</v>
      </c>
      <c r="U4040">
        <v>361000</v>
      </c>
      <c r="V4040" t="s">
        <v>11346</v>
      </c>
      <c r="W4040" t="s">
        <v>1734</v>
      </c>
      <c r="X4040" t="s">
        <v>22085</v>
      </c>
      <c r="Y4040" t="s">
        <v>22086</v>
      </c>
      <c r="Z4040" t="s">
        <v>13988</v>
      </c>
      <c r="AA4040" t="s">
        <v>11966</v>
      </c>
      <c r="AB4040" t="s">
        <v>22082</v>
      </c>
      <c r="AE4040">
        <v>-46.406628079999997</v>
      </c>
      <c r="AF4040">
        <v>168.3503268</v>
      </c>
      <c r="AG4040" s="175">
        <v>35</v>
      </c>
      <c r="AH4040" s="175">
        <v>10</v>
      </c>
      <c r="AI4040" s="175">
        <v>0</v>
      </c>
      <c r="AJ4040" s="175">
        <v>9</v>
      </c>
      <c r="AK4040" s="175">
        <v>5</v>
      </c>
      <c r="AL4040" s="175">
        <v>8</v>
      </c>
      <c r="AM4040" s="175">
        <v>11</v>
      </c>
      <c r="AN4040" s="175">
        <v>1</v>
      </c>
      <c r="AO4040" s="175">
        <v>34</v>
      </c>
      <c r="AP4040" s="175">
        <v>23</v>
      </c>
      <c r="AQ4040" s="175">
        <v>10</v>
      </c>
      <c r="AR4040" s="175">
        <v>2</v>
      </c>
      <c r="AS4040" s="175">
        <v>15</v>
      </c>
      <c r="AT4040" s="175">
        <v>0</v>
      </c>
    </row>
    <row r="4041" spans="1:46">
      <c r="A4041">
        <v>65148</v>
      </c>
      <c r="B4041" t="s">
        <v>22087</v>
      </c>
      <c r="C4041" t="s">
        <v>22088</v>
      </c>
      <c r="D4041" t="s">
        <v>22089</v>
      </c>
      <c r="E4041" t="s">
        <v>22090</v>
      </c>
      <c r="G4041" t="s">
        <v>3661</v>
      </c>
      <c r="H4041" t="s">
        <v>449</v>
      </c>
      <c r="I4041" t="s">
        <v>22091</v>
      </c>
      <c r="J4041" t="s">
        <v>4032</v>
      </c>
      <c r="K4041" t="s">
        <v>606</v>
      </c>
      <c r="M4041" t="s">
        <v>2366</v>
      </c>
      <c r="N4041" t="s">
        <v>657</v>
      </c>
      <c r="O4041" t="s">
        <v>3598</v>
      </c>
      <c r="P4041" t="s">
        <v>610</v>
      </c>
      <c r="Q4041" t="s">
        <v>523</v>
      </c>
      <c r="R4041" t="s">
        <v>3410</v>
      </c>
      <c r="S4041" t="s">
        <v>3433</v>
      </c>
      <c r="T4041" t="s">
        <v>2526</v>
      </c>
      <c r="U4041">
        <v>358600</v>
      </c>
      <c r="V4041" t="s">
        <v>3661</v>
      </c>
      <c r="W4041" t="s">
        <v>3662</v>
      </c>
      <c r="X4041" t="s">
        <v>22092</v>
      </c>
      <c r="Y4041" t="s">
        <v>22093</v>
      </c>
      <c r="AA4041" t="s">
        <v>22094</v>
      </c>
      <c r="AB4041" t="s">
        <v>22095</v>
      </c>
      <c r="AE4041">
        <v>-46.14190292</v>
      </c>
      <c r="AF4041">
        <v>168.32360068</v>
      </c>
      <c r="AG4041" s="175">
        <v>74</v>
      </c>
      <c r="AH4041" s="175">
        <v>25</v>
      </c>
      <c r="AI4041" s="175">
        <v>2</v>
      </c>
      <c r="AJ4041" s="175">
        <v>18</v>
      </c>
      <c r="AK4041" s="175">
        <v>22</v>
      </c>
      <c r="AL4041" s="175">
        <v>28</v>
      </c>
      <c r="AM4041" s="175">
        <v>27</v>
      </c>
      <c r="AN4041" s="175">
        <v>0</v>
      </c>
      <c r="AO4041" s="175">
        <v>97</v>
      </c>
      <c r="AP4041" s="175">
        <v>91</v>
      </c>
      <c r="AQ4041" s="175">
        <v>8</v>
      </c>
      <c r="AR4041" s="175">
        <v>0</v>
      </c>
      <c r="AS4041" s="175">
        <v>4</v>
      </c>
      <c r="AT4041" s="175">
        <v>3</v>
      </c>
    </row>
    <row r="4042" spans="1:46">
      <c r="A4042">
        <v>65149</v>
      </c>
      <c r="B4042" t="s">
        <v>22096</v>
      </c>
      <c r="C4042" t="s">
        <v>11239</v>
      </c>
      <c r="E4042" t="s">
        <v>22097</v>
      </c>
      <c r="G4042" t="s">
        <v>3099</v>
      </c>
      <c r="H4042" t="s">
        <v>449</v>
      </c>
      <c r="J4042" t="s">
        <v>4032</v>
      </c>
      <c r="K4042" t="s">
        <v>606</v>
      </c>
      <c r="M4042" t="s">
        <v>2366</v>
      </c>
      <c r="N4042" t="s">
        <v>657</v>
      </c>
      <c r="O4042" t="s">
        <v>3100</v>
      </c>
      <c r="P4042" t="s">
        <v>610</v>
      </c>
      <c r="Q4042" t="s">
        <v>520</v>
      </c>
      <c r="R4042" t="s">
        <v>2901</v>
      </c>
      <c r="S4042" t="s">
        <v>2945</v>
      </c>
      <c r="T4042" t="s">
        <v>2526</v>
      </c>
      <c r="U4042">
        <v>311501</v>
      </c>
      <c r="V4042" t="s">
        <v>3099</v>
      </c>
      <c r="W4042" t="s">
        <v>3101</v>
      </c>
      <c r="X4042" t="s">
        <v>11238</v>
      </c>
      <c r="Y4042" t="s">
        <v>4725</v>
      </c>
      <c r="Z4042" t="s">
        <v>1043</v>
      </c>
      <c r="AA4042" t="s">
        <v>4726</v>
      </c>
      <c r="AB4042" t="s">
        <v>11239</v>
      </c>
      <c r="AE4042">
        <v>-42.719177969999997</v>
      </c>
      <c r="AF4042">
        <v>170.97548269000001</v>
      </c>
      <c r="AG4042" s="175">
        <v>55</v>
      </c>
      <c r="AH4042" s="175">
        <v>15</v>
      </c>
      <c r="AI4042" s="175">
        <v>2</v>
      </c>
      <c r="AJ4042" s="175">
        <v>15</v>
      </c>
      <c r="AK4042" s="175">
        <v>17</v>
      </c>
      <c r="AL4042" s="175">
        <v>14</v>
      </c>
      <c r="AM4042" s="175">
        <v>14</v>
      </c>
      <c r="AN4042" s="175">
        <v>0</v>
      </c>
      <c r="AO4042" s="175">
        <v>62</v>
      </c>
      <c r="AP4042" s="175">
        <v>54</v>
      </c>
      <c r="AQ4042" s="175">
        <v>24</v>
      </c>
      <c r="AR4042" s="175">
        <v>1</v>
      </c>
      <c r="AS4042" s="175">
        <v>2</v>
      </c>
      <c r="AT4042" s="175">
        <v>0</v>
      </c>
    </row>
    <row r="4043" spans="1:46">
      <c r="A4043">
        <v>65150</v>
      </c>
      <c r="B4043" t="s">
        <v>22098</v>
      </c>
      <c r="C4043" t="s">
        <v>22099</v>
      </c>
      <c r="D4043" t="s">
        <v>22100</v>
      </c>
      <c r="E4043" t="s">
        <v>22101</v>
      </c>
      <c r="F4043" t="s">
        <v>2957</v>
      </c>
      <c r="G4043" t="s">
        <v>2930</v>
      </c>
      <c r="H4043" t="s">
        <v>449</v>
      </c>
      <c r="J4043" t="s">
        <v>4032</v>
      </c>
      <c r="K4043" t="s">
        <v>606</v>
      </c>
      <c r="M4043" t="s">
        <v>2366</v>
      </c>
      <c r="N4043" t="s">
        <v>657</v>
      </c>
      <c r="O4043" t="s">
        <v>2944</v>
      </c>
      <c r="P4043" t="s">
        <v>1347</v>
      </c>
      <c r="Q4043" t="s">
        <v>517</v>
      </c>
      <c r="R4043" t="s">
        <v>2901</v>
      </c>
      <c r="S4043" t="s">
        <v>2930</v>
      </c>
      <c r="T4043" t="s">
        <v>2526</v>
      </c>
      <c r="U4043">
        <v>302800</v>
      </c>
      <c r="V4043" t="s">
        <v>2985</v>
      </c>
      <c r="W4043" t="s">
        <v>2959</v>
      </c>
      <c r="X4043" t="s">
        <v>22102</v>
      </c>
      <c r="Y4043" t="s">
        <v>22103</v>
      </c>
      <c r="Z4043" t="s">
        <v>2957</v>
      </c>
      <c r="AA4043" t="s">
        <v>12887</v>
      </c>
      <c r="AB4043" t="s">
        <v>22104</v>
      </c>
      <c r="AC4043">
        <v>99142</v>
      </c>
      <c r="AD4043" t="s">
        <v>2960</v>
      </c>
      <c r="AE4043">
        <v>-41.338339580000003</v>
      </c>
      <c r="AF4043">
        <v>173.17950216</v>
      </c>
      <c r="AG4043" s="175">
        <v>35</v>
      </c>
      <c r="AH4043" s="175">
        <v>10</v>
      </c>
      <c r="AI4043" s="175">
        <v>1</v>
      </c>
      <c r="AJ4043" s="175">
        <v>6</v>
      </c>
      <c r="AK4043" s="175">
        <v>6</v>
      </c>
      <c r="AL4043" s="175">
        <v>10</v>
      </c>
      <c r="AM4043" s="175">
        <v>6</v>
      </c>
      <c r="AN4043" s="175">
        <v>0</v>
      </c>
      <c r="AO4043" s="175">
        <v>29</v>
      </c>
      <c r="AP4043" s="175">
        <v>25</v>
      </c>
      <c r="AQ4043" s="175">
        <v>11</v>
      </c>
      <c r="AR4043" s="175">
        <v>1</v>
      </c>
      <c r="AS4043" s="175">
        <v>2</v>
      </c>
      <c r="AT4043" s="175">
        <v>0</v>
      </c>
    </row>
    <row r="4044" spans="1:46">
      <c r="A4044">
        <v>65151</v>
      </c>
      <c r="B4044" t="s">
        <v>22105</v>
      </c>
      <c r="C4044" t="s">
        <v>22106</v>
      </c>
      <c r="E4044" t="s">
        <v>22107</v>
      </c>
      <c r="G4044" t="s">
        <v>3454</v>
      </c>
      <c r="H4044" t="s">
        <v>449</v>
      </c>
      <c r="J4044" t="s">
        <v>4032</v>
      </c>
      <c r="K4044" t="s">
        <v>606</v>
      </c>
      <c r="M4044" t="s">
        <v>2366</v>
      </c>
      <c r="N4044" t="s">
        <v>657</v>
      </c>
      <c r="O4044" t="s">
        <v>3455</v>
      </c>
      <c r="P4044" t="s">
        <v>739</v>
      </c>
      <c r="Q4044" t="s">
        <v>522</v>
      </c>
      <c r="R4044" t="s">
        <v>3410</v>
      </c>
      <c r="S4044" t="s">
        <v>3454</v>
      </c>
      <c r="T4044" t="s">
        <v>2526</v>
      </c>
      <c r="U4044">
        <v>353400</v>
      </c>
      <c r="V4044" t="s">
        <v>14367</v>
      </c>
      <c r="W4044" t="s">
        <v>1734</v>
      </c>
      <c r="X4044" t="s">
        <v>22108</v>
      </c>
      <c r="Y4044" t="s">
        <v>22109</v>
      </c>
      <c r="Z4044" t="s">
        <v>3454</v>
      </c>
      <c r="AA4044" t="s">
        <v>22110</v>
      </c>
      <c r="AB4044" t="s">
        <v>22111</v>
      </c>
      <c r="AE4044">
        <v>-45.872195120000001</v>
      </c>
      <c r="AF4044">
        <v>170.50182118000001</v>
      </c>
      <c r="AG4044" s="175">
        <v>50</v>
      </c>
      <c r="AH4044" s="175">
        <v>20</v>
      </c>
      <c r="AI4044" s="175">
        <v>4</v>
      </c>
      <c r="AJ4044" s="175">
        <v>14</v>
      </c>
      <c r="AK4044" s="175">
        <v>13</v>
      </c>
      <c r="AL4044" s="175">
        <v>14</v>
      </c>
      <c r="AM4044" s="175">
        <v>16</v>
      </c>
      <c r="AN4044" s="175">
        <v>0</v>
      </c>
      <c r="AO4044" s="175">
        <v>61</v>
      </c>
      <c r="AP4044" s="175">
        <v>33</v>
      </c>
      <c r="AQ4044" s="175">
        <v>3</v>
      </c>
      <c r="AR4044" s="175">
        <v>1</v>
      </c>
      <c r="AS4044" s="175">
        <v>20</v>
      </c>
      <c r="AT4044" s="175">
        <v>11</v>
      </c>
    </row>
    <row r="4045" spans="1:46">
      <c r="A4045">
        <v>65152</v>
      </c>
      <c r="B4045" t="s">
        <v>22112</v>
      </c>
      <c r="C4045" t="s">
        <v>22113</v>
      </c>
      <c r="E4045" t="s">
        <v>22114</v>
      </c>
      <c r="F4045" t="s">
        <v>4907</v>
      </c>
      <c r="G4045" t="s">
        <v>22115</v>
      </c>
      <c r="H4045" t="s">
        <v>449</v>
      </c>
      <c r="J4045" t="s">
        <v>605</v>
      </c>
      <c r="K4045" t="s">
        <v>606</v>
      </c>
      <c r="M4045" t="s">
        <v>2366</v>
      </c>
      <c r="N4045" t="s">
        <v>657</v>
      </c>
      <c r="O4045" t="s">
        <v>3598</v>
      </c>
      <c r="P4045" t="s">
        <v>626</v>
      </c>
      <c r="Q4045" t="s">
        <v>523</v>
      </c>
      <c r="R4045" t="s">
        <v>3410</v>
      </c>
      <c r="S4045" t="s">
        <v>3569</v>
      </c>
      <c r="T4045" t="s">
        <v>2526</v>
      </c>
      <c r="U4045">
        <v>359300</v>
      </c>
      <c r="V4045" t="s">
        <v>22115</v>
      </c>
      <c r="W4045" t="s">
        <v>22116</v>
      </c>
      <c r="X4045" t="s">
        <v>22117</v>
      </c>
      <c r="Y4045" t="s">
        <v>22118</v>
      </c>
      <c r="AA4045" t="s">
        <v>22119</v>
      </c>
      <c r="AB4045" t="s">
        <v>22120</v>
      </c>
      <c r="AE4045">
        <v>-46.899039019999996</v>
      </c>
      <c r="AF4045">
        <v>168.12817577999999</v>
      </c>
      <c r="AG4045" s="175">
        <v>15</v>
      </c>
      <c r="AH4045" s="175">
        <v>0</v>
      </c>
      <c r="AI4045" s="175">
        <v>0</v>
      </c>
      <c r="AJ4045" s="175">
        <v>0</v>
      </c>
      <c r="AK4045" s="175">
        <v>2</v>
      </c>
      <c r="AL4045" s="175">
        <v>2</v>
      </c>
      <c r="AM4045" s="175">
        <v>3</v>
      </c>
      <c r="AN4045" s="175">
        <v>0</v>
      </c>
      <c r="AO4045" s="175">
        <v>7</v>
      </c>
      <c r="AP4045" s="175">
        <v>7</v>
      </c>
      <c r="AQ4045" s="175">
        <v>1</v>
      </c>
      <c r="AR4045" s="175">
        <v>0</v>
      </c>
      <c r="AS4045" s="175">
        <v>0</v>
      </c>
      <c r="AT4045" s="175">
        <v>0</v>
      </c>
    </row>
    <row r="4046" spans="1:46">
      <c r="A4046">
        <v>65154</v>
      </c>
      <c r="B4046" t="s">
        <v>22121</v>
      </c>
      <c r="C4046" t="s">
        <v>22122</v>
      </c>
      <c r="D4046" t="s">
        <v>22123</v>
      </c>
      <c r="E4046" t="s">
        <v>22124</v>
      </c>
      <c r="F4046" t="s">
        <v>2929</v>
      </c>
      <c r="G4046" t="s">
        <v>2930</v>
      </c>
      <c r="H4046" t="s">
        <v>449</v>
      </c>
      <c r="I4046" t="s">
        <v>4134</v>
      </c>
      <c r="J4046" t="s">
        <v>4032</v>
      </c>
      <c r="K4046" t="s">
        <v>606</v>
      </c>
      <c r="M4046" t="s">
        <v>2366</v>
      </c>
      <c r="N4046" t="s">
        <v>657</v>
      </c>
      <c r="O4046" t="s">
        <v>2931</v>
      </c>
      <c r="P4046" t="s">
        <v>670</v>
      </c>
      <c r="Q4046" t="s">
        <v>518</v>
      </c>
      <c r="R4046" t="s">
        <v>2901</v>
      </c>
      <c r="S4046" t="s">
        <v>2930</v>
      </c>
      <c r="T4046" t="s">
        <v>2526</v>
      </c>
      <c r="U4046">
        <v>305100</v>
      </c>
      <c r="V4046" t="s">
        <v>22125</v>
      </c>
      <c r="W4046" t="s">
        <v>2933</v>
      </c>
      <c r="X4046" t="s">
        <v>12944</v>
      </c>
      <c r="Y4046" t="s">
        <v>12945</v>
      </c>
      <c r="AA4046" t="s">
        <v>2936</v>
      </c>
      <c r="AC4046">
        <v>99042</v>
      </c>
      <c r="AD4046" t="s">
        <v>2938</v>
      </c>
      <c r="AE4046">
        <v>-41.315854549999997</v>
      </c>
      <c r="AF4046">
        <v>173.22480131</v>
      </c>
      <c r="AG4046" s="175">
        <v>25</v>
      </c>
      <c r="AH4046" s="175">
        <v>0</v>
      </c>
      <c r="AI4046" s="175">
        <v>0</v>
      </c>
      <c r="AJ4046" s="175">
        <v>0</v>
      </c>
      <c r="AK4046" s="175">
        <v>2</v>
      </c>
      <c r="AL4046" s="175">
        <v>11</v>
      </c>
      <c r="AM4046" s="175">
        <v>12</v>
      </c>
      <c r="AN4046" s="175">
        <v>0</v>
      </c>
      <c r="AO4046" s="175">
        <v>25</v>
      </c>
      <c r="AP4046" s="175">
        <v>17</v>
      </c>
      <c r="AQ4046" s="175">
        <v>2</v>
      </c>
      <c r="AR4046" s="175">
        <v>0</v>
      </c>
      <c r="AS4046" s="175">
        <v>5</v>
      </c>
      <c r="AT4046" s="175">
        <v>6</v>
      </c>
    </row>
    <row r="4047" spans="1:46">
      <c r="A4047">
        <v>65155</v>
      </c>
      <c r="B4047" t="s">
        <v>22126</v>
      </c>
      <c r="C4047" t="s">
        <v>22127</v>
      </c>
      <c r="D4047" t="s">
        <v>22128</v>
      </c>
      <c r="E4047" t="s">
        <v>16057</v>
      </c>
      <c r="F4047" t="s">
        <v>3197</v>
      </c>
      <c r="G4047" t="s">
        <v>3015</v>
      </c>
      <c r="H4047" t="s">
        <v>449</v>
      </c>
      <c r="J4047" t="s">
        <v>605</v>
      </c>
      <c r="K4047" t="s">
        <v>606</v>
      </c>
      <c r="M4047" t="s">
        <v>2366</v>
      </c>
      <c r="N4047" t="s">
        <v>643</v>
      </c>
      <c r="O4047" t="s">
        <v>3016</v>
      </c>
      <c r="P4047" t="s">
        <v>739</v>
      </c>
      <c r="Q4047" t="s">
        <v>521</v>
      </c>
      <c r="R4047" t="s">
        <v>3017</v>
      </c>
      <c r="S4047" t="s">
        <v>3046</v>
      </c>
      <c r="T4047" t="s">
        <v>2526</v>
      </c>
      <c r="U4047">
        <v>328400</v>
      </c>
      <c r="V4047" t="s">
        <v>3197</v>
      </c>
      <c r="W4047" t="s">
        <v>3199</v>
      </c>
      <c r="X4047" t="s">
        <v>16056</v>
      </c>
      <c r="Y4047" t="s">
        <v>16057</v>
      </c>
      <c r="Z4047" t="s">
        <v>3197</v>
      </c>
      <c r="AA4047" t="s">
        <v>16058</v>
      </c>
      <c r="AB4047" t="s">
        <v>16053</v>
      </c>
      <c r="AC4047">
        <v>99175</v>
      </c>
      <c r="AD4047" t="s">
        <v>3144</v>
      </c>
      <c r="AE4047">
        <v>-43.519314299999998</v>
      </c>
      <c r="AF4047">
        <v>172.6932875</v>
      </c>
      <c r="AG4047" s="175">
        <v>147</v>
      </c>
      <c r="AH4047" s="175">
        <v>25</v>
      </c>
      <c r="AI4047" s="175">
        <v>2</v>
      </c>
      <c r="AJ4047" s="175">
        <v>22</v>
      </c>
      <c r="AK4047" s="175">
        <v>23</v>
      </c>
      <c r="AL4047" s="175">
        <v>22</v>
      </c>
      <c r="AM4047" s="175">
        <v>26</v>
      </c>
      <c r="AN4047" s="175">
        <v>1</v>
      </c>
      <c r="AO4047" s="175">
        <v>96</v>
      </c>
      <c r="AP4047" s="175">
        <v>48</v>
      </c>
      <c r="AQ4047" s="175">
        <v>61</v>
      </c>
      <c r="AR4047" s="175">
        <v>14</v>
      </c>
      <c r="AS4047" s="175">
        <v>8</v>
      </c>
      <c r="AT4047" s="175">
        <v>1</v>
      </c>
    </row>
    <row r="4048" spans="1:46">
      <c r="A4048">
        <v>65156</v>
      </c>
      <c r="B4048" t="s">
        <v>22129</v>
      </c>
      <c r="C4048" t="s">
        <v>22130</v>
      </c>
      <c r="D4048" t="s">
        <v>22131</v>
      </c>
      <c r="E4048" t="s">
        <v>22132</v>
      </c>
      <c r="G4048" t="s">
        <v>3905</v>
      </c>
      <c r="H4048" t="s">
        <v>449</v>
      </c>
      <c r="J4048" t="s">
        <v>605</v>
      </c>
      <c r="K4048" t="s">
        <v>606</v>
      </c>
      <c r="M4048" t="s">
        <v>2366</v>
      </c>
      <c r="N4048" t="s">
        <v>657</v>
      </c>
      <c r="O4048" t="s">
        <v>3906</v>
      </c>
      <c r="P4048" t="s">
        <v>1347</v>
      </c>
      <c r="Q4048" t="s">
        <v>522</v>
      </c>
      <c r="R4048" t="s">
        <v>3410</v>
      </c>
      <c r="S4048" t="s">
        <v>3433</v>
      </c>
      <c r="T4048" t="s">
        <v>2526</v>
      </c>
      <c r="U4048">
        <v>347700</v>
      </c>
      <c r="V4048" t="s">
        <v>3907</v>
      </c>
      <c r="W4048" t="s">
        <v>3908</v>
      </c>
      <c r="X4048" t="s">
        <v>18374</v>
      </c>
      <c r="Y4048" t="s">
        <v>4014</v>
      </c>
      <c r="Z4048" t="s">
        <v>4015</v>
      </c>
      <c r="AA4048" t="s">
        <v>4016</v>
      </c>
      <c r="AE4048">
        <v>-45.026696379999997</v>
      </c>
      <c r="AF4048">
        <v>168.65894914</v>
      </c>
      <c r="AG4048" s="175">
        <v>75</v>
      </c>
      <c r="AH4048" s="175">
        <v>25</v>
      </c>
      <c r="AI4048" s="175">
        <v>4</v>
      </c>
      <c r="AJ4048" s="175">
        <v>19</v>
      </c>
      <c r="AK4048" s="175">
        <v>31</v>
      </c>
      <c r="AL4048" s="175">
        <v>23</v>
      </c>
      <c r="AM4048" s="175">
        <v>13</v>
      </c>
      <c r="AN4048" s="175">
        <v>1</v>
      </c>
      <c r="AO4048" s="175">
        <v>91</v>
      </c>
      <c r="AP4048" s="175">
        <v>72</v>
      </c>
      <c r="AQ4048" s="175">
        <v>4</v>
      </c>
      <c r="AR4048" s="175">
        <v>4</v>
      </c>
      <c r="AS4048" s="175">
        <v>12</v>
      </c>
      <c r="AT4048" s="175">
        <v>18</v>
      </c>
    </row>
    <row r="4049" spans="1:46">
      <c r="A4049">
        <v>65158</v>
      </c>
      <c r="B4049" t="s">
        <v>22133</v>
      </c>
      <c r="C4049" t="s">
        <v>22134</v>
      </c>
      <c r="D4049" t="s">
        <v>22135</v>
      </c>
      <c r="E4049" t="s">
        <v>22136</v>
      </c>
      <c r="F4049" t="s">
        <v>3092</v>
      </c>
      <c r="G4049" t="s">
        <v>3015</v>
      </c>
      <c r="H4049" t="s">
        <v>449</v>
      </c>
      <c r="J4049" t="s">
        <v>605</v>
      </c>
      <c r="K4049" t="s">
        <v>606</v>
      </c>
      <c r="M4049" t="s">
        <v>2366</v>
      </c>
      <c r="N4049" t="s">
        <v>657</v>
      </c>
      <c r="O4049" t="s">
        <v>3016</v>
      </c>
      <c r="P4049" t="s">
        <v>739</v>
      </c>
      <c r="Q4049" t="s">
        <v>521</v>
      </c>
      <c r="R4049" t="s">
        <v>3017</v>
      </c>
      <c r="S4049" t="s">
        <v>3092</v>
      </c>
      <c r="T4049" t="s">
        <v>2526</v>
      </c>
      <c r="U4049">
        <v>322500</v>
      </c>
      <c r="V4049" t="s">
        <v>14578</v>
      </c>
      <c r="W4049" t="s">
        <v>3093</v>
      </c>
      <c r="X4049" t="s">
        <v>10864</v>
      </c>
      <c r="Y4049" t="s">
        <v>4014</v>
      </c>
      <c r="Z4049" t="s">
        <v>4015</v>
      </c>
      <c r="AA4049" t="s">
        <v>4016</v>
      </c>
      <c r="AE4049">
        <v>-43.549276570000004</v>
      </c>
      <c r="AF4049">
        <v>172.54619965000001</v>
      </c>
      <c r="AG4049" s="175">
        <v>122</v>
      </c>
      <c r="AH4049" s="175">
        <v>41</v>
      </c>
      <c r="AI4049" s="175">
        <v>5</v>
      </c>
      <c r="AJ4049" s="175">
        <v>25</v>
      </c>
      <c r="AK4049" s="175">
        <v>35</v>
      </c>
      <c r="AL4049" s="175">
        <v>35</v>
      </c>
      <c r="AM4049" s="175">
        <v>38</v>
      </c>
      <c r="AN4049" s="175">
        <v>0</v>
      </c>
      <c r="AO4049" s="175">
        <v>138</v>
      </c>
      <c r="AP4049" s="175">
        <v>59</v>
      </c>
      <c r="AQ4049" s="175">
        <v>14</v>
      </c>
      <c r="AR4049" s="175">
        <v>7</v>
      </c>
      <c r="AS4049" s="175">
        <v>75</v>
      </c>
      <c r="AT4049" s="175">
        <v>11</v>
      </c>
    </row>
    <row r="4050" spans="1:46">
      <c r="A4050">
        <v>65160</v>
      </c>
      <c r="B4050" t="s">
        <v>22137</v>
      </c>
      <c r="C4050" t="s">
        <v>22138</v>
      </c>
      <c r="D4050" t="s">
        <v>22139</v>
      </c>
      <c r="E4050" t="s">
        <v>22140</v>
      </c>
      <c r="F4050" t="s">
        <v>14367</v>
      </c>
      <c r="G4050" t="s">
        <v>3454</v>
      </c>
      <c r="H4050" t="s">
        <v>449</v>
      </c>
      <c r="J4050" t="s">
        <v>4032</v>
      </c>
      <c r="K4050" t="s">
        <v>606</v>
      </c>
      <c r="M4050" t="s">
        <v>2366</v>
      </c>
      <c r="N4050" t="s">
        <v>657</v>
      </c>
      <c r="O4050" t="s">
        <v>3455</v>
      </c>
      <c r="P4050" t="s">
        <v>739</v>
      </c>
      <c r="Q4050" t="s">
        <v>522</v>
      </c>
      <c r="R4050" t="s">
        <v>3410</v>
      </c>
      <c r="S4050" t="s">
        <v>3454</v>
      </c>
      <c r="T4050" t="s">
        <v>2526</v>
      </c>
      <c r="U4050">
        <v>353400</v>
      </c>
      <c r="V4050" t="s">
        <v>14367</v>
      </c>
      <c r="W4050" t="s">
        <v>1734</v>
      </c>
      <c r="X4050" t="s">
        <v>22141</v>
      </c>
      <c r="Y4050" t="s">
        <v>22140</v>
      </c>
      <c r="Z4050" t="s">
        <v>3454</v>
      </c>
      <c r="AA4050" t="s">
        <v>14368</v>
      </c>
      <c r="AB4050" t="s">
        <v>22138</v>
      </c>
      <c r="AE4050">
        <v>-45.881168440000003</v>
      </c>
      <c r="AF4050">
        <v>170.49531365999999</v>
      </c>
      <c r="AG4050" s="175">
        <v>60</v>
      </c>
      <c r="AH4050" s="175">
        <v>20</v>
      </c>
      <c r="AI4050" s="175">
        <v>2</v>
      </c>
      <c r="AJ4050" s="175">
        <v>14</v>
      </c>
      <c r="AK4050" s="175">
        <v>17</v>
      </c>
      <c r="AL4050" s="175">
        <v>16</v>
      </c>
      <c r="AM4050" s="175">
        <v>12</v>
      </c>
      <c r="AN4050" s="175">
        <v>0</v>
      </c>
      <c r="AO4050" s="175">
        <v>61</v>
      </c>
      <c r="AP4050" s="175">
        <v>53</v>
      </c>
      <c r="AQ4050" s="175">
        <v>9</v>
      </c>
      <c r="AR4050" s="175">
        <v>5</v>
      </c>
      <c r="AS4050" s="175">
        <v>3</v>
      </c>
      <c r="AT4050" s="175">
        <v>3</v>
      </c>
    </row>
    <row r="4051" spans="1:46">
      <c r="A4051">
        <v>65161</v>
      </c>
      <c r="B4051" t="s">
        <v>22142</v>
      </c>
      <c r="C4051" t="s">
        <v>22143</v>
      </c>
      <c r="D4051" t="s">
        <v>22144</v>
      </c>
      <c r="E4051" t="s">
        <v>22145</v>
      </c>
      <c r="G4051" t="s">
        <v>2957</v>
      </c>
      <c r="H4051" t="s">
        <v>449</v>
      </c>
      <c r="J4051" t="s">
        <v>4032</v>
      </c>
      <c r="K4051" t="s">
        <v>606</v>
      </c>
      <c r="M4051" t="s">
        <v>2366</v>
      </c>
      <c r="N4051" t="s">
        <v>4586</v>
      </c>
      <c r="O4051" t="s">
        <v>2944</v>
      </c>
      <c r="P4051" t="s">
        <v>1347</v>
      </c>
      <c r="Q4051" t="s">
        <v>517</v>
      </c>
      <c r="R4051" t="s">
        <v>2901</v>
      </c>
      <c r="S4051" t="s">
        <v>2930</v>
      </c>
      <c r="T4051" t="s">
        <v>2526</v>
      </c>
      <c r="U4051">
        <v>302800</v>
      </c>
      <c r="V4051" t="s">
        <v>2985</v>
      </c>
      <c r="W4051" t="s">
        <v>2959</v>
      </c>
      <c r="X4051" t="s">
        <v>22146</v>
      </c>
      <c r="Y4051" t="s">
        <v>22145</v>
      </c>
      <c r="AA4051" t="s">
        <v>11003</v>
      </c>
      <c r="AB4051" t="s">
        <v>22147</v>
      </c>
      <c r="AC4051">
        <v>99142</v>
      </c>
      <c r="AD4051" t="s">
        <v>2960</v>
      </c>
      <c r="AE4051">
        <v>-41.340967050000003</v>
      </c>
      <c r="AF4051">
        <v>173.18064630999999</v>
      </c>
      <c r="AG4051" s="175">
        <v>40</v>
      </c>
      <c r="AH4051" s="175">
        <v>10</v>
      </c>
      <c r="AI4051" s="175"/>
      <c r="AJ4051" s="175"/>
      <c r="AK4051" s="175"/>
      <c r="AL4051" s="175"/>
      <c r="AM4051" s="175"/>
      <c r="AN4051" s="175"/>
      <c r="AO4051" s="175"/>
      <c r="AP4051" s="175"/>
      <c r="AQ4051" s="175"/>
      <c r="AR4051" s="175"/>
      <c r="AS4051" s="175"/>
    </row>
    <row r="4052" spans="1:46">
      <c r="A4052">
        <v>65166</v>
      </c>
      <c r="B4052" t="s">
        <v>22148</v>
      </c>
      <c r="C4052" t="s">
        <v>22149</v>
      </c>
      <c r="D4052" t="s">
        <v>22150</v>
      </c>
      <c r="E4052" t="s">
        <v>22151</v>
      </c>
      <c r="G4052" t="s">
        <v>3645</v>
      </c>
      <c r="H4052" t="s">
        <v>449</v>
      </c>
      <c r="J4052" t="s">
        <v>4032</v>
      </c>
      <c r="K4052" t="s">
        <v>606</v>
      </c>
      <c r="M4052" t="s">
        <v>2366</v>
      </c>
      <c r="N4052" t="s">
        <v>657</v>
      </c>
      <c r="O4052" t="s">
        <v>3598</v>
      </c>
      <c r="P4052" t="s">
        <v>610</v>
      </c>
      <c r="Q4052" t="s">
        <v>523</v>
      </c>
      <c r="R4052" t="s">
        <v>3410</v>
      </c>
      <c r="S4052" t="s">
        <v>3569</v>
      </c>
      <c r="T4052" t="s">
        <v>2526</v>
      </c>
      <c r="U4052">
        <v>358801</v>
      </c>
      <c r="V4052" t="s">
        <v>3645</v>
      </c>
      <c r="W4052" t="s">
        <v>3646</v>
      </c>
      <c r="X4052" t="s">
        <v>22152</v>
      </c>
      <c r="Y4052" t="s">
        <v>22153</v>
      </c>
      <c r="AA4052" t="s">
        <v>22154</v>
      </c>
      <c r="AB4052" t="s">
        <v>22155</v>
      </c>
      <c r="AE4052">
        <v>-46.351953020000003</v>
      </c>
      <c r="AF4052">
        <v>168.01790706</v>
      </c>
      <c r="AG4052" s="175">
        <v>54</v>
      </c>
      <c r="AH4052" s="175">
        <v>20</v>
      </c>
      <c r="AI4052" s="175">
        <v>4</v>
      </c>
      <c r="AJ4052" s="175">
        <v>13</v>
      </c>
      <c r="AK4052" s="175">
        <v>16</v>
      </c>
      <c r="AL4052" s="175">
        <v>17</v>
      </c>
      <c r="AM4052" s="175">
        <v>13</v>
      </c>
      <c r="AN4052" s="175">
        <v>0</v>
      </c>
      <c r="AO4052" s="175">
        <v>63</v>
      </c>
      <c r="AP4052" s="175">
        <v>55</v>
      </c>
      <c r="AQ4052" s="175">
        <v>18</v>
      </c>
      <c r="AR4052" s="175">
        <v>0</v>
      </c>
      <c r="AS4052" s="175">
        <v>4</v>
      </c>
      <c r="AT4052" s="175">
        <v>1</v>
      </c>
    </row>
    <row r="4053" spans="1:46">
      <c r="A4053">
        <v>65167</v>
      </c>
      <c r="B4053" t="s">
        <v>22156</v>
      </c>
      <c r="C4053" t="s">
        <v>22157</v>
      </c>
      <c r="D4053" t="s">
        <v>12324</v>
      </c>
      <c r="E4053" t="s">
        <v>22158</v>
      </c>
      <c r="F4053" t="s">
        <v>3229</v>
      </c>
      <c r="G4053" t="s">
        <v>3015</v>
      </c>
      <c r="H4053" t="s">
        <v>449</v>
      </c>
      <c r="J4053" t="s">
        <v>605</v>
      </c>
      <c r="K4053" t="s">
        <v>606</v>
      </c>
      <c r="M4053" t="s">
        <v>2366</v>
      </c>
      <c r="N4053" t="s">
        <v>657</v>
      </c>
      <c r="O4053" t="s">
        <v>3016</v>
      </c>
      <c r="P4053" t="s">
        <v>739</v>
      </c>
      <c r="Q4053" t="s">
        <v>521</v>
      </c>
      <c r="R4053" t="s">
        <v>3017</v>
      </c>
      <c r="S4053" t="s">
        <v>3092</v>
      </c>
      <c r="T4053" t="s">
        <v>2526</v>
      </c>
      <c r="U4053">
        <v>326900</v>
      </c>
      <c r="V4053" t="s">
        <v>12327</v>
      </c>
      <c r="W4053" t="s">
        <v>3161</v>
      </c>
      <c r="X4053" t="s">
        <v>12328</v>
      </c>
      <c r="Y4053" t="s">
        <v>12329</v>
      </c>
      <c r="Z4053" t="s">
        <v>12326</v>
      </c>
      <c r="AA4053" t="s">
        <v>12330</v>
      </c>
      <c r="AB4053" t="s">
        <v>12331</v>
      </c>
      <c r="AE4053">
        <v>-43.55656673</v>
      </c>
      <c r="AF4053">
        <v>172.60719205999999</v>
      </c>
      <c r="AG4053" s="175">
        <v>24</v>
      </c>
      <c r="AH4053" s="175">
        <v>0</v>
      </c>
      <c r="AI4053" s="175">
        <v>0</v>
      </c>
      <c r="AJ4053" s="175">
        <v>0</v>
      </c>
      <c r="AK4053" s="175">
        <v>0</v>
      </c>
      <c r="AL4053" s="175">
        <v>9</v>
      </c>
      <c r="AM4053" s="175">
        <v>23</v>
      </c>
      <c r="AN4053" s="175">
        <v>0</v>
      </c>
      <c r="AO4053" s="175">
        <v>32</v>
      </c>
      <c r="AP4053" s="175">
        <v>26</v>
      </c>
      <c r="AQ4053" s="175">
        <v>5</v>
      </c>
      <c r="AR4053" s="175">
        <v>5</v>
      </c>
      <c r="AS4053" s="175">
        <v>3</v>
      </c>
      <c r="AT4053" s="175">
        <v>1</v>
      </c>
    </row>
    <row r="4054" spans="1:46">
      <c r="A4054">
        <v>65170</v>
      </c>
      <c r="B4054" t="s">
        <v>22159</v>
      </c>
      <c r="C4054" t="s">
        <v>22160</v>
      </c>
      <c r="D4054" t="s">
        <v>22161</v>
      </c>
      <c r="E4054" t="s">
        <v>22162</v>
      </c>
      <c r="G4054" t="s">
        <v>21675</v>
      </c>
      <c r="H4054" t="s">
        <v>449</v>
      </c>
      <c r="J4054" t="s">
        <v>4032</v>
      </c>
      <c r="K4054" t="s">
        <v>606</v>
      </c>
      <c r="M4054" t="s">
        <v>2366</v>
      </c>
      <c r="N4054" t="s">
        <v>4586</v>
      </c>
      <c r="O4054" t="s">
        <v>2900</v>
      </c>
      <c r="P4054" t="s">
        <v>610</v>
      </c>
      <c r="Q4054" t="s">
        <v>519</v>
      </c>
      <c r="R4054" t="s">
        <v>2901</v>
      </c>
      <c r="S4054" t="s">
        <v>2902</v>
      </c>
      <c r="T4054" t="s">
        <v>2526</v>
      </c>
      <c r="U4054">
        <v>306801</v>
      </c>
      <c r="V4054" t="s">
        <v>21676</v>
      </c>
      <c r="W4054" t="s">
        <v>21677</v>
      </c>
      <c r="X4054" t="s">
        <v>22163</v>
      </c>
      <c r="Y4054" t="s">
        <v>22164</v>
      </c>
      <c r="Z4054" t="s">
        <v>21675</v>
      </c>
      <c r="AA4054" t="s">
        <v>22165</v>
      </c>
      <c r="AB4054" t="s">
        <v>22166</v>
      </c>
      <c r="AC4054">
        <v>99004</v>
      </c>
      <c r="AD4054" t="s">
        <v>22167</v>
      </c>
      <c r="AE4054">
        <v>-41.296391030000002</v>
      </c>
      <c r="AF4054">
        <v>174.00102236000001</v>
      </c>
      <c r="AG4054" s="175">
        <v>30</v>
      </c>
      <c r="AH4054" s="175">
        <v>10</v>
      </c>
      <c r="AI4054" s="175">
        <v>0</v>
      </c>
      <c r="AJ4054" s="175">
        <v>8</v>
      </c>
      <c r="AK4054" s="175">
        <v>8</v>
      </c>
      <c r="AL4054" s="175">
        <v>5</v>
      </c>
      <c r="AM4054" s="175">
        <v>6</v>
      </c>
      <c r="AN4054" s="175">
        <v>0</v>
      </c>
      <c r="AO4054" s="175">
        <v>27</v>
      </c>
      <c r="AP4054" s="175">
        <v>20</v>
      </c>
      <c r="AQ4054" s="175">
        <v>11</v>
      </c>
      <c r="AR4054" s="175">
        <v>1</v>
      </c>
      <c r="AS4054" s="175">
        <v>7</v>
      </c>
      <c r="AT4054" s="175">
        <v>2</v>
      </c>
    </row>
    <row r="4055" spans="1:46">
      <c r="A4055">
        <v>65174</v>
      </c>
      <c r="B4055" t="s">
        <v>22168</v>
      </c>
      <c r="C4055" t="s">
        <v>22169</v>
      </c>
      <c r="D4055" t="s">
        <v>22170</v>
      </c>
      <c r="E4055" t="s">
        <v>22171</v>
      </c>
      <c r="F4055" t="s">
        <v>22172</v>
      </c>
      <c r="G4055" t="s">
        <v>3454</v>
      </c>
      <c r="H4055" t="s">
        <v>449</v>
      </c>
      <c r="I4055" t="s">
        <v>4134</v>
      </c>
      <c r="J4055" t="s">
        <v>4032</v>
      </c>
      <c r="K4055" t="s">
        <v>606</v>
      </c>
      <c r="M4055" t="s">
        <v>2366</v>
      </c>
      <c r="N4055" t="s">
        <v>4586</v>
      </c>
      <c r="O4055" t="s">
        <v>3455</v>
      </c>
      <c r="P4055" t="s">
        <v>739</v>
      </c>
      <c r="Q4055" t="s">
        <v>522</v>
      </c>
      <c r="R4055" t="s">
        <v>3410</v>
      </c>
      <c r="S4055" t="s">
        <v>3454</v>
      </c>
      <c r="T4055" t="s">
        <v>2526</v>
      </c>
      <c r="U4055">
        <v>351500</v>
      </c>
      <c r="V4055" t="s">
        <v>22172</v>
      </c>
      <c r="W4055" t="s">
        <v>1734</v>
      </c>
      <c r="X4055" t="s">
        <v>22173</v>
      </c>
      <c r="Y4055" t="s">
        <v>22171</v>
      </c>
      <c r="Z4055" t="s">
        <v>22172</v>
      </c>
      <c r="AA4055" t="s">
        <v>11623</v>
      </c>
      <c r="AB4055" t="s">
        <v>22174</v>
      </c>
      <c r="AE4055">
        <v>-45.858135169999997</v>
      </c>
      <c r="AF4055">
        <v>170.50059801</v>
      </c>
      <c r="AG4055" s="175">
        <v>30</v>
      </c>
      <c r="AH4055" s="175">
        <v>0</v>
      </c>
      <c r="AI4055" s="175">
        <v>0</v>
      </c>
      <c r="AJ4055" s="175">
        <v>0</v>
      </c>
      <c r="AK4055" s="175">
        <v>3</v>
      </c>
      <c r="AL4055" s="175">
        <v>5</v>
      </c>
      <c r="AM4055" s="175">
        <v>11</v>
      </c>
      <c r="AN4055" s="175">
        <v>2</v>
      </c>
      <c r="AO4055" s="175">
        <v>21</v>
      </c>
      <c r="AP4055" s="175">
        <v>14</v>
      </c>
      <c r="AQ4055" s="175">
        <v>2</v>
      </c>
      <c r="AR4055" s="175">
        <v>0</v>
      </c>
      <c r="AS4055" s="175">
        <v>8</v>
      </c>
      <c r="AT4055" s="175">
        <v>2</v>
      </c>
    </row>
    <row r="4056" spans="1:46">
      <c r="A4056">
        <v>65176</v>
      </c>
      <c r="B4056" t="s">
        <v>22175</v>
      </c>
      <c r="C4056" t="s">
        <v>22176</v>
      </c>
      <c r="E4056" t="s">
        <v>22177</v>
      </c>
      <c r="G4056" t="s">
        <v>18554</v>
      </c>
      <c r="H4056" t="s">
        <v>449</v>
      </c>
      <c r="J4056" t="s">
        <v>4032</v>
      </c>
      <c r="K4056" t="s">
        <v>606</v>
      </c>
      <c r="M4056" t="s">
        <v>2366</v>
      </c>
      <c r="N4056" t="s">
        <v>657</v>
      </c>
      <c r="O4056" t="s">
        <v>18555</v>
      </c>
      <c r="P4056" t="s">
        <v>610</v>
      </c>
      <c r="Q4056" t="s">
        <v>521</v>
      </c>
      <c r="R4056" t="s">
        <v>2901</v>
      </c>
      <c r="S4056" t="s">
        <v>2902</v>
      </c>
      <c r="T4056" t="s">
        <v>2526</v>
      </c>
      <c r="U4056">
        <v>308900</v>
      </c>
      <c r="V4056" t="s">
        <v>2902</v>
      </c>
      <c r="W4056" t="s">
        <v>1734</v>
      </c>
      <c r="X4056" t="s">
        <v>15916</v>
      </c>
      <c r="Y4056" t="s">
        <v>9392</v>
      </c>
      <c r="AA4056" t="s">
        <v>21802</v>
      </c>
      <c r="AB4056" t="s">
        <v>15919</v>
      </c>
      <c r="AC4056">
        <v>99025</v>
      </c>
      <c r="AD4056" t="s">
        <v>21766</v>
      </c>
      <c r="AE4056">
        <v>-42.415254400000002</v>
      </c>
      <c r="AF4056">
        <v>173.67689501999999</v>
      </c>
      <c r="AG4056" s="175">
        <v>21</v>
      </c>
      <c r="AH4056" s="175">
        <v>5</v>
      </c>
      <c r="AI4056" s="175">
        <v>0</v>
      </c>
      <c r="AJ4056" s="175">
        <v>1</v>
      </c>
      <c r="AK4056" s="175">
        <v>12</v>
      </c>
      <c r="AL4056" s="175">
        <v>9</v>
      </c>
      <c r="AM4056" s="175">
        <v>12</v>
      </c>
      <c r="AN4056" s="175">
        <v>1</v>
      </c>
      <c r="AO4056" s="175">
        <v>35</v>
      </c>
      <c r="AP4056" s="175">
        <v>31</v>
      </c>
      <c r="AQ4056" s="175">
        <v>8</v>
      </c>
      <c r="AR4056" s="175">
        <v>0</v>
      </c>
      <c r="AS4056" s="175">
        <v>3</v>
      </c>
      <c r="AT4056" s="175">
        <v>1</v>
      </c>
    </row>
    <row r="4057" spans="1:46">
      <c r="A4057">
        <v>65177</v>
      </c>
      <c r="B4057" t="s">
        <v>22178</v>
      </c>
      <c r="C4057" t="s">
        <v>11935</v>
      </c>
      <c r="D4057" t="s">
        <v>22179</v>
      </c>
      <c r="E4057" t="s">
        <v>11932</v>
      </c>
      <c r="G4057" t="s">
        <v>11933</v>
      </c>
      <c r="H4057" t="s">
        <v>449</v>
      </c>
      <c r="J4057" t="s">
        <v>4032</v>
      </c>
      <c r="K4057" t="s">
        <v>606</v>
      </c>
      <c r="M4057" t="s">
        <v>2366</v>
      </c>
      <c r="N4057" t="s">
        <v>657</v>
      </c>
      <c r="O4057" t="s">
        <v>3281</v>
      </c>
      <c r="P4057" t="s">
        <v>610</v>
      </c>
      <c r="Q4057" t="s">
        <v>521</v>
      </c>
      <c r="R4057" t="s">
        <v>3017</v>
      </c>
      <c r="S4057" t="s">
        <v>3252</v>
      </c>
      <c r="T4057" t="s">
        <v>2526</v>
      </c>
      <c r="U4057">
        <v>335701</v>
      </c>
      <c r="V4057" t="s">
        <v>11930</v>
      </c>
      <c r="W4057" t="s">
        <v>3735</v>
      </c>
      <c r="X4057" t="s">
        <v>11931</v>
      </c>
      <c r="Y4057" t="s">
        <v>11932</v>
      </c>
      <c r="Z4057" t="s">
        <v>11933</v>
      </c>
      <c r="AA4057" t="s">
        <v>11934</v>
      </c>
      <c r="AB4057" t="s">
        <v>11935</v>
      </c>
      <c r="AC4057">
        <v>99113</v>
      </c>
      <c r="AD4057" t="s">
        <v>3736</v>
      </c>
      <c r="AE4057">
        <v>-43.58112878</v>
      </c>
      <c r="AF4057">
        <v>172.51178618</v>
      </c>
      <c r="AG4057" s="175">
        <v>35</v>
      </c>
      <c r="AH4057" s="175">
        <v>25</v>
      </c>
      <c r="AI4057" s="175">
        <v>5</v>
      </c>
      <c r="AJ4057" s="175">
        <v>19</v>
      </c>
      <c r="AK4057" s="175">
        <v>21</v>
      </c>
      <c r="AL4057" s="175">
        <v>0</v>
      </c>
      <c r="AM4057" s="175">
        <v>0</v>
      </c>
      <c r="AN4057" s="175">
        <v>0</v>
      </c>
      <c r="AO4057" s="175">
        <v>45</v>
      </c>
      <c r="AP4057" s="175">
        <v>43</v>
      </c>
      <c r="AQ4057" s="175">
        <v>9</v>
      </c>
      <c r="AR4057" s="175">
        <v>0</v>
      </c>
      <c r="AS4057" s="175">
        <v>4</v>
      </c>
      <c r="AT4057" s="175">
        <v>1</v>
      </c>
    </row>
    <row r="4058" spans="1:46">
      <c r="A4058">
        <v>65179</v>
      </c>
      <c r="B4058" t="s">
        <v>22180</v>
      </c>
      <c r="C4058" t="s">
        <v>22181</v>
      </c>
      <c r="D4058" t="s">
        <v>22182</v>
      </c>
      <c r="E4058" t="s">
        <v>22183</v>
      </c>
      <c r="G4058" t="s">
        <v>3584</v>
      </c>
      <c r="H4058" t="s">
        <v>301</v>
      </c>
      <c r="J4058" t="s">
        <v>605</v>
      </c>
      <c r="K4058" t="s">
        <v>606</v>
      </c>
      <c r="M4058" t="s">
        <v>2366</v>
      </c>
      <c r="N4058" t="s">
        <v>657</v>
      </c>
      <c r="O4058" t="s">
        <v>3585</v>
      </c>
      <c r="P4058" t="s">
        <v>610</v>
      </c>
      <c r="Q4058" t="s">
        <v>523</v>
      </c>
      <c r="R4058" t="s">
        <v>3410</v>
      </c>
      <c r="S4058" t="s">
        <v>3433</v>
      </c>
      <c r="T4058" t="s">
        <v>2526</v>
      </c>
      <c r="U4058">
        <v>359900</v>
      </c>
      <c r="V4058" t="s">
        <v>11401</v>
      </c>
      <c r="W4058" t="s">
        <v>3587</v>
      </c>
      <c r="X4058" t="s">
        <v>11140</v>
      </c>
      <c r="Y4058" t="s">
        <v>5253</v>
      </c>
      <c r="AA4058" t="s">
        <v>5254</v>
      </c>
      <c r="AB4058" t="s">
        <v>11141</v>
      </c>
      <c r="AC4058">
        <v>99055</v>
      </c>
      <c r="AD4058" t="s">
        <v>3588</v>
      </c>
      <c r="AE4058">
        <v>-46.111846870000001</v>
      </c>
      <c r="AF4058">
        <v>168.93087456999999</v>
      </c>
      <c r="AG4058" s="175">
        <v>30</v>
      </c>
      <c r="AH4058" s="175">
        <v>15</v>
      </c>
      <c r="AI4058" s="175">
        <v>3</v>
      </c>
      <c r="AJ4058" s="175">
        <v>2</v>
      </c>
      <c r="AK4058" s="175">
        <v>6</v>
      </c>
      <c r="AL4058" s="175">
        <v>3</v>
      </c>
      <c r="AM4058" s="175">
        <v>4</v>
      </c>
      <c r="AN4058" s="175">
        <v>1</v>
      </c>
      <c r="AO4058" s="175">
        <v>19</v>
      </c>
      <c r="AP4058" s="175">
        <v>16</v>
      </c>
      <c r="AQ4058" s="175">
        <v>3</v>
      </c>
      <c r="AR4058" s="175">
        <v>0</v>
      </c>
      <c r="AS4058" s="175">
        <v>0</v>
      </c>
      <c r="AT4058" s="175">
        <v>0</v>
      </c>
    </row>
    <row r="4059" spans="1:46">
      <c r="A4059">
        <v>65182</v>
      </c>
      <c r="B4059" t="s">
        <v>2671</v>
      </c>
      <c r="C4059" t="s">
        <v>22184</v>
      </c>
      <c r="D4059" t="s">
        <v>22185</v>
      </c>
      <c r="E4059" t="s">
        <v>22186</v>
      </c>
      <c r="G4059" t="s">
        <v>21675</v>
      </c>
      <c r="H4059" t="s">
        <v>452</v>
      </c>
      <c r="J4059" t="s">
        <v>605</v>
      </c>
      <c r="K4059" t="s">
        <v>606</v>
      </c>
      <c r="M4059" t="s">
        <v>2366</v>
      </c>
      <c r="N4059" t="s">
        <v>643</v>
      </c>
      <c r="O4059" t="s">
        <v>2900</v>
      </c>
      <c r="P4059" t="s">
        <v>610</v>
      </c>
      <c r="Q4059" t="s">
        <v>519</v>
      </c>
      <c r="R4059" t="s">
        <v>2901</v>
      </c>
      <c r="S4059" t="s">
        <v>2902</v>
      </c>
      <c r="T4059" t="s">
        <v>2526</v>
      </c>
      <c r="U4059">
        <v>306801</v>
      </c>
      <c r="V4059" t="s">
        <v>21676</v>
      </c>
      <c r="W4059" t="s">
        <v>21677</v>
      </c>
      <c r="X4059" t="s">
        <v>2904</v>
      </c>
      <c r="Y4059" t="s">
        <v>2905</v>
      </c>
      <c r="AA4059" t="s">
        <v>2906</v>
      </c>
      <c r="AB4059" t="s">
        <v>2907</v>
      </c>
      <c r="AC4059">
        <v>99004</v>
      </c>
      <c r="AD4059" t="s">
        <v>22167</v>
      </c>
      <c r="AE4059">
        <v>-41.293372410000003</v>
      </c>
      <c r="AF4059">
        <v>174.00175530000001</v>
      </c>
      <c r="AG4059" s="175">
        <v>22</v>
      </c>
      <c r="AH4059" s="175">
        <v>0</v>
      </c>
      <c r="AI4059" s="175">
        <v>0</v>
      </c>
      <c r="AJ4059" s="175">
        <v>0</v>
      </c>
      <c r="AK4059" s="175">
        <v>4</v>
      </c>
      <c r="AL4059" s="175">
        <v>8</v>
      </c>
      <c r="AM4059" s="175">
        <v>12</v>
      </c>
      <c r="AN4059" s="175">
        <v>0</v>
      </c>
      <c r="AO4059" s="175">
        <v>24</v>
      </c>
      <c r="AP4059" s="175">
        <v>20</v>
      </c>
      <c r="AQ4059" s="175">
        <v>11</v>
      </c>
      <c r="AR4059" s="175">
        <v>0</v>
      </c>
      <c r="AS4059" s="175">
        <v>1</v>
      </c>
      <c r="AT4059" s="175">
        <v>1</v>
      </c>
    </row>
    <row r="4060" spans="1:46">
      <c r="A4060">
        <v>65183</v>
      </c>
      <c r="B4060" t="s">
        <v>22187</v>
      </c>
      <c r="C4060" t="s">
        <v>22188</v>
      </c>
      <c r="D4060" t="s">
        <v>22189</v>
      </c>
      <c r="E4060" t="s">
        <v>22190</v>
      </c>
      <c r="F4060" t="s">
        <v>3203</v>
      </c>
      <c r="G4060" t="s">
        <v>3015</v>
      </c>
      <c r="H4060" t="s">
        <v>449</v>
      </c>
      <c r="J4060" t="s">
        <v>4032</v>
      </c>
      <c r="K4060" t="s">
        <v>606</v>
      </c>
      <c r="M4060" t="s">
        <v>2366</v>
      </c>
      <c r="N4060" t="s">
        <v>657</v>
      </c>
      <c r="O4060" t="s">
        <v>3016</v>
      </c>
      <c r="P4060" t="s">
        <v>739</v>
      </c>
      <c r="Q4060" t="s">
        <v>521</v>
      </c>
      <c r="R4060" t="s">
        <v>3017</v>
      </c>
      <c r="S4060" t="s">
        <v>3046</v>
      </c>
      <c r="T4060" t="s">
        <v>2526</v>
      </c>
      <c r="U4060">
        <v>324001</v>
      </c>
      <c r="V4060" t="s">
        <v>21815</v>
      </c>
      <c r="W4060" t="s">
        <v>3199</v>
      </c>
      <c r="X4060" t="s">
        <v>12140</v>
      </c>
      <c r="Y4060" t="s">
        <v>4166</v>
      </c>
      <c r="Z4060" t="s">
        <v>4167</v>
      </c>
      <c r="AA4060" t="s">
        <v>4168</v>
      </c>
      <c r="AB4060" t="s">
        <v>10870</v>
      </c>
      <c r="AE4060">
        <v>-43.480617580000001</v>
      </c>
      <c r="AF4060">
        <v>172.68078029</v>
      </c>
      <c r="AG4060" s="175">
        <v>55</v>
      </c>
      <c r="AH4060" s="175">
        <v>19</v>
      </c>
      <c r="AI4060" s="175">
        <v>2</v>
      </c>
      <c r="AJ4060" s="175">
        <v>13</v>
      </c>
      <c r="AK4060" s="175">
        <v>21</v>
      </c>
      <c r="AL4060" s="175">
        <v>15</v>
      </c>
      <c r="AM4060" s="175">
        <v>11</v>
      </c>
      <c r="AN4060" s="175">
        <v>2</v>
      </c>
      <c r="AO4060" s="175">
        <v>64</v>
      </c>
      <c r="AP4060" s="175">
        <v>48</v>
      </c>
      <c r="AQ4060" s="175">
        <v>10</v>
      </c>
      <c r="AR4060" s="175">
        <v>2</v>
      </c>
      <c r="AS4060" s="175">
        <v>14</v>
      </c>
      <c r="AT4060" s="175">
        <v>3</v>
      </c>
    </row>
    <row r="4061" spans="1:46">
      <c r="A4061">
        <v>65186</v>
      </c>
      <c r="B4061" t="s">
        <v>22191</v>
      </c>
      <c r="C4061" t="s">
        <v>22192</v>
      </c>
      <c r="D4061" t="s">
        <v>22193</v>
      </c>
      <c r="E4061" t="s">
        <v>22194</v>
      </c>
      <c r="F4061" t="s">
        <v>11346</v>
      </c>
      <c r="G4061" t="s">
        <v>3569</v>
      </c>
      <c r="H4061" t="s">
        <v>449</v>
      </c>
      <c r="J4061" t="s">
        <v>605</v>
      </c>
      <c r="K4061" t="s">
        <v>606</v>
      </c>
      <c r="M4061" t="s">
        <v>2366</v>
      </c>
      <c r="N4061" t="s">
        <v>643</v>
      </c>
      <c r="O4061" t="s">
        <v>3568</v>
      </c>
      <c r="P4061" t="s">
        <v>670</v>
      </c>
      <c r="Q4061" t="s">
        <v>523</v>
      </c>
      <c r="R4061" t="s">
        <v>3410</v>
      </c>
      <c r="S4061" t="s">
        <v>3569</v>
      </c>
      <c r="T4061" t="s">
        <v>2526</v>
      </c>
      <c r="U4061">
        <v>362001</v>
      </c>
      <c r="V4061" t="s">
        <v>13023</v>
      </c>
      <c r="W4061" t="s">
        <v>1734</v>
      </c>
      <c r="X4061" t="s">
        <v>12827</v>
      </c>
      <c r="Y4061" t="s">
        <v>4014</v>
      </c>
      <c r="Z4061" t="s">
        <v>4015</v>
      </c>
      <c r="AA4061" t="s">
        <v>4016</v>
      </c>
      <c r="AB4061" t="s">
        <v>12828</v>
      </c>
      <c r="AE4061">
        <v>-46.416542499999998</v>
      </c>
      <c r="AF4061">
        <v>168.35964469999999</v>
      </c>
      <c r="AG4061" s="175">
        <v>75</v>
      </c>
      <c r="AH4061" s="175">
        <v>25</v>
      </c>
      <c r="AI4061" s="175">
        <v>3</v>
      </c>
      <c r="AJ4061" s="175">
        <v>11</v>
      </c>
      <c r="AK4061" s="175">
        <v>20</v>
      </c>
      <c r="AL4061" s="175">
        <v>13</v>
      </c>
      <c r="AM4061" s="175">
        <v>15</v>
      </c>
      <c r="AN4061" s="175">
        <v>1</v>
      </c>
      <c r="AO4061" s="175">
        <v>63</v>
      </c>
      <c r="AP4061" s="175">
        <v>27</v>
      </c>
      <c r="AQ4061" s="175">
        <v>13</v>
      </c>
      <c r="AR4061" s="175">
        <v>3</v>
      </c>
      <c r="AS4061" s="175">
        <v>18</v>
      </c>
      <c r="AT4061" s="175">
        <v>11</v>
      </c>
    </row>
    <row r="4062" spans="1:46">
      <c r="A4062">
        <v>65188</v>
      </c>
      <c r="B4062" t="s">
        <v>22195</v>
      </c>
      <c r="C4062" t="s">
        <v>22196</v>
      </c>
      <c r="E4062" t="s">
        <v>22197</v>
      </c>
      <c r="G4062" t="s">
        <v>3569</v>
      </c>
      <c r="H4062" t="s">
        <v>347</v>
      </c>
      <c r="J4062" t="s">
        <v>605</v>
      </c>
      <c r="K4062" t="s">
        <v>606</v>
      </c>
      <c r="L4062" t="s">
        <v>4273</v>
      </c>
      <c r="M4062" t="s">
        <v>2366</v>
      </c>
      <c r="N4062" t="s">
        <v>625</v>
      </c>
      <c r="O4062" t="s">
        <v>3568</v>
      </c>
      <c r="P4062" t="s">
        <v>670</v>
      </c>
      <c r="Q4062" t="s">
        <v>523</v>
      </c>
      <c r="R4062" t="s">
        <v>3410</v>
      </c>
      <c r="S4062" t="s">
        <v>3569</v>
      </c>
      <c r="T4062" t="s">
        <v>2526</v>
      </c>
      <c r="U4062">
        <v>362402</v>
      </c>
      <c r="V4062" t="s">
        <v>22198</v>
      </c>
      <c r="W4062" t="s">
        <v>1734</v>
      </c>
      <c r="X4062" t="s">
        <v>12121</v>
      </c>
      <c r="Y4062" t="s">
        <v>4276</v>
      </c>
      <c r="Z4062" t="s">
        <v>4277</v>
      </c>
      <c r="AA4062" t="s">
        <v>4278</v>
      </c>
      <c r="AB4062" t="s">
        <v>12122</v>
      </c>
      <c r="AE4062">
        <v>-46.417681190000003</v>
      </c>
      <c r="AF4062">
        <v>168.39376339</v>
      </c>
      <c r="AG4062" s="175">
        <v>16</v>
      </c>
      <c r="AH4062" s="175">
        <v>8</v>
      </c>
      <c r="AI4062" s="175">
        <v>0</v>
      </c>
      <c r="AJ4062" s="175">
        <v>2</v>
      </c>
      <c r="AK4062" s="175">
        <v>4</v>
      </c>
      <c r="AL4062" s="175">
        <v>2</v>
      </c>
      <c r="AM4062" s="175">
        <v>6</v>
      </c>
      <c r="AN4062" s="175">
        <v>0</v>
      </c>
      <c r="AO4062" s="175">
        <v>14</v>
      </c>
      <c r="AP4062" s="175">
        <v>0</v>
      </c>
      <c r="AQ4062" s="175">
        <v>14</v>
      </c>
      <c r="AR4062" s="175">
        <v>0</v>
      </c>
      <c r="AS4062" s="175">
        <v>0</v>
      </c>
      <c r="AT4062" s="175">
        <v>0</v>
      </c>
    </row>
    <row r="4063" spans="1:46">
      <c r="A4063">
        <v>65191</v>
      </c>
      <c r="B4063" t="s">
        <v>22199</v>
      </c>
      <c r="C4063" t="s">
        <v>22200</v>
      </c>
      <c r="D4063" t="s">
        <v>22201</v>
      </c>
      <c r="E4063" t="s">
        <v>22202</v>
      </c>
      <c r="G4063" t="s">
        <v>2957</v>
      </c>
      <c r="H4063" t="s">
        <v>452</v>
      </c>
      <c r="J4063" t="s">
        <v>605</v>
      </c>
      <c r="K4063" t="s">
        <v>606</v>
      </c>
      <c r="M4063" t="s">
        <v>2366</v>
      </c>
      <c r="N4063" t="s">
        <v>657</v>
      </c>
      <c r="O4063" t="s">
        <v>2944</v>
      </c>
      <c r="P4063" t="s">
        <v>1347</v>
      </c>
      <c r="Q4063" t="s">
        <v>517</v>
      </c>
      <c r="R4063" t="s">
        <v>2901</v>
      </c>
      <c r="S4063" t="s">
        <v>2930</v>
      </c>
      <c r="T4063" t="s">
        <v>2526</v>
      </c>
      <c r="U4063">
        <v>302800</v>
      </c>
      <c r="V4063" t="s">
        <v>2985</v>
      </c>
      <c r="W4063" t="s">
        <v>2959</v>
      </c>
      <c r="X4063" t="s">
        <v>2934</v>
      </c>
      <c r="Y4063" t="s">
        <v>2935</v>
      </c>
      <c r="Z4063" t="s">
        <v>2930</v>
      </c>
      <c r="AA4063" t="s">
        <v>2936</v>
      </c>
      <c r="AB4063" t="s">
        <v>2937</v>
      </c>
      <c r="AC4063">
        <v>99142</v>
      </c>
      <c r="AD4063" t="s">
        <v>2960</v>
      </c>
      <c r="AE4063">
        <v>-41.339610819999997</v>
      </c>
      <c r="AF4063">
        <v>173.17929218</v>
      </c>
      <c r="AG4063" s="175">
        <v>43</v>
      </c>
      <c r="AH4063" s="175">
        <v>0</v>
      </c>
      <c r="AI4063" s="175">
        <v>0</v>
      </c>
      <c r="AJ4063" s="175">
        <v>0</v>
      </c>
      <c r="AK4063" s="175">
        <v>5</v>
      </c>
      <c r="AL4063" s="175">
        <v>16</v>
      </c>
      <c r="AM4063" s="175">
        <v>24</v>
      </c>
      <c r="AN4063" s="175">
        <v>1</v>
      </c>
      <c r="AO4063" s="175">
        <v>46</v>
      </c>
      <c r="AP4063" s="175">
        <v>35</v>
      </c>
      <c r="AQ4063" s="175">
        <v>7</v>
      </c>
      <c r="AR4063" s="175">
        <v>5</v>
      </c>
      <c r="AS4063" s="175">
        <v>3</v>
      </c>
      <c r="AT4063" s="175">
        <v>0</v>
      </c>
    </row>
    <row r="4064" spans="1:46">
      <c r="A4064">
        <v>65195</v>
      </c>
      <c r="B4064" t="s">
        <v>22203</v>
      </c>
      <c r="C4064" t="s">
        <v>22204</v>
      </c>
      <c r="E4064" t="s">
        <v>22205</v>
      </c>
      <c r="F4064" t="s">
        <v>22206</v>
      </c>
      <c r="G4064" t="s">
        <v>3078</v>
      </c>
      <c r="H4064" t="s">
        <v>449</v>
      </c>
      <c r="J4064" t="s">
        <v>4032</v>
      </c>
      <c r="K4064" t="s">
        <v>606</v>
      </c>
      <c r="M4064" t="s">
        <v>2366</v>
      </c>
      <c r="N4064" t="s">
        <v>657</v>
      </c>
      <c r="O4064" t="s">
        <v>3079</v>
      </c>
      <c r="P4064" t="s">
        <v>610</v>
      </c>
      <c r="Q4064" t="s">
        <v>520</v>
      </c>
      <c r="R4064" t="s">
        <v>2901</v>
      </c>
      <c r="S4064" t="s">
        <v>2945</v>
      </c>
      <c r="T4064" t="s">
        <v>2526</v>
      </c>
      <c r="U4064">
        <v>310300</v>
      </c>
      <c r="V4064" t="s">
        <v>22207</v>
      </c>
      <c r="W4064" t="s">
        <v>2521</v>
      </c>
      <c r="X4064" t="s">
        <v>22208</v>
      </c>
      <c r="Y4064" t="s">
        <v>4725</v>
      </c>
      <c r="Z4064" t="s">
        <v>1043</v>
      </c>
      <c r="AA4064" t="s">
        <v>4726</v>
      </c>
      <c r="AB4064" t="s">
        <v>22204</v>
      </c>
      <c r="AC4064">
        <v>99026</v>
      </c>
      <c r="AD4064" t="s">
        <v>3081</v>
      </c>
      <c r="AE4064">
        <v>-42.467046850000003</v>
      </c>
      <c r="AF4064">
        <v>171.19391873000001</v>
      </c>
      <c r="AG4064" s="175">
        <v>60</v>
      </c>
      <c r="AH4064" s="175">
        <v>20</v>
      </c>
      <c r="AI4064" s="175">
        <v>2</v>
      </c>
      <c r="AJ4064" s="175">
        <v>8</v>
      </c>
      <c r="AK4064" s="175">
        <v>16</v>
      </c>
      <c r="AL4064" s="175">
        <v>13</v>
      </c>
      <c r="AM4064" s="175">
        <v>19</v>
      </c>
      <c r="AN4064" s="175">
        <v>2</v>
      </c>
      <c r="AO4064" s="175">
        <v>60</v>
      </c>
      <c r="AP4064" s="175">
        <v>54</v>
      </c>
      <c r="AQ4064" s="175">
        <v>5</v>
      </c>
      <c r="AR4064" s="175">
        <v>1</v>
      </c>
      <c r="AS4064" s="175">
        <v>9</v>
      </c>
      <c r="AT4064" s="175">
        <v>1</v>
      </c>
    </row>
    <row r="4065" spans="1:46">
      <c r="A4065">
        <v>65196</v>
      </c>
      <c r="B4065" t="s">
        <v>22209</v>
      </c>
      <c r="C4065" t="s">
        <v>15356</v>
      </c>
      <c r="D4065" t="s">
        <v>22210</v>
      </c>
      <c r="E4065" t="s">
        <v>22211</v>
      </c>
      <c r="G4065" t="s">
        <v>3099</v>
      </c>
      <c r="H4065" t="s">
        <v>449</v>
      </c>
      <c r="J4065" t="s">
        <v>4032</v>
      </c>
      <c r="K4065" t="s">
        <v>606</v>
      </c>
      <c r="M4065" t="s">
        <v>2366</v>
      </c>
      <c r="N4065" t="s">
        <v>643</v>
      </c>
      <c r="O4065" t="s">
        <v>3100</v>
      </c>
      <c r="P4065" t="s">
        <v>610</v>
      </c>
      <c r="Q4065" t="s">
        <v>520</v>
      </c>
      <c r="R4065" t="s">
        <v>2901</v>
      </c>
      <c r="S4065" t="s">
        <v>2945</v>
      </c>
      <c r="T4065" t="s">
        <v>2526</v>
      </c>
      <c r="U4065">
        <v>311501</v>
      </c>
      <c r="V4065" t="s">
        <v>3099</v>
      </c>
      <c r="W4065" t="s">
        <v>3101</v>
      </c>
      <c r="X4065" t="s">
        <v>15354</v>
      </c>
      <c r="Y4065" t="s">
        <v>15355</v>
      </c>
      <c r="AA4065" t="s">
        <v>11960</v>
      </c>
      <c r="AB4065" t="s">
        <v>15356</v>
      </c>
      <c r="AE4065">
        <v>-42.72189281</v>
      </c>
      <c r="AF4065">
        <v>170.97464783999999</v>
      </c>
      <c r="AG4065" s="175">
        <v>20</v>
      </c>
      <c r="AH4065" s="175">
        <v>0</v>
      </c>
      <c r="AI4065" s="175">
        <v>0</v>
      </c>
      <c r="AJ4065" s="175">
        <v>0</v>
      </c>
      <c r="AK4065" s="175">
        <v>5</v>
      </c>
      <c r="AL4065" s="175">
        <v>9</v>
      </c>
      <c r="AM4065" s="175">
        <v>9</v>
      </c>
      <c r="AN4065" s="175">
        <v>0</v>
      </c>
      <c r="AO4065" s="175">
        <v>23</v>
      </c>
      <c r="AP4065" s="175">
        <v>20</v>
      </c>
      <c r="AQ4065" s="175">
        <v>6</v>
      </c>
      <c r="AR4065" s="175">
        <v>2</v>
      </c>
      <c r="AS4065" s="175">
        <v>1</v>
      </c>
      <c r="AT4065" s="175">
        <v>1</v>
      </c>
    </row>
    <row r="4066" spans="1:46">
      <c r="A4066">
        <v>65197</v>
      </c>
      <c r="B4066" t="s">
        <v>22212</v>
      </c>
      <c r="C4066" t="s">
        <v>22213</v>
      </c>
      <c r="D4066" t="s">
        <v>22214</v>
      </c>
      <c r="E4066" t="s">
        <v>22215</v>
      </c>
      <c r="G4066" t="s">
        <v>21981</v>
      </c>
      <c r="H4066" t="s">
        <v>449</v>
      </c>
      <c r="J4066" t="s">
        <v>4032</v>
      </c>
      <c r="K4066" t="s">
        <v>606</v>
      </c>
      <c r="M4066" t="s">
        <v>2366</v>
      </c>
      <c r="N4066" t="s">
        <v>657</v>
      </c>
      <c r="O4066" t="s">
        <v>2944</v>
      </c>
      <c r="P4066" t="s">
        <v>610</v>
      </c>
      <c r="Q4066" t="s">
        <v>517</v>
      </c>
      <c r="R4066" t="s">
        <v>2901</v>
      </c>
      <c r="S4066" t="s">
        <v>2945</v>
      </c>
      <c r="T4066" t="s">
        <v>2526</v>
      </c>
      <c r="U4066">
        <v>302300</v>
      </c>
      <c r="V4066" t="s">
        <v>21981</v>
      </c>
      <c r="W4066" t="s">
        <v>11355</v>
      </c>
      <c r="X4066" t="s">
        <v>22216</v>
      </c>
      <c r="Y4066" t="s">
        <v>22217</v>
      </c>
      <c r="AA4066" t="s">
        <v>22218</v>
      </c>
      <c r="AB4066" t="s">
        <v>22219</v>
      </c>
      <c r="AC4066">
        <v>99142</v>
      </c>
      <c r="AD4066" t="s">
        <v>2960</v>
      </c>
      <c r="AE4066">
        <v>-41.405471130000002</v>
      </c>
      <c r="AF4066">
        <v>173.04376539</v>
      </c>
      <c r="AG4066" s="175">
        <v>37</v>
      </c>
      <c r="AH4066" s="175">
        <v>0</v>
      </c>
      <c r="AI4066" s="175">
        <v>0</v>
      </c>
      <c r="AJ4066" s="175">
        <v>0</v>
      </c>
      <c r="AK4066" s="175">
        <v>15</v>
      </c>
      <c r="AL4066" s="175">
        <v>17</v>
      </c>
      <c r="AM4066" s="175">
        <v>15</v>
      </c>
      <c r="AN4066" s="175">
        <v>0</v>
      </c>
      <c r="AO4066" s="175">
        <v>47</v>
      </c>
      <c r="AP4066" s="175">
        <v>45</v>
      </c>
      <c r="AQ4066" s="175">
        <v>7</v>
      </c>
      <c r="AR4066" s="175">
        <v>2</v>
      </c>
      <c r="AS4066" s="175">
        <v>1</v>
      </c>
      <c r="AT4066" s="175">
        <v>2</v>
      </c>
    </row>
    <row r="4067" spans="1:46">
      <c r="A4067">
        <v>65200</v>
      </c>
      <c r="B4067" t="s">
        <v>22220</v>
      </c>
      <c r="C4067" t="s">
        <v>22221</v>
      </c>
      <c r="D4067" t="s">
        <v>22222</v>
      </c>
      <c r="E4067" t="s">
        <v>22223</v>
      </c>
      <c r="G4067" t="s">
        <v>18554</v>
      </c>
      <c r="H4067" t="s">
        <v>449</v>
      </c>
      <c r="J4067" t="s">
        <v>4032</v>
      </c>
      <c r="K4067" t="s">
        <v>606</v>
      </c>
      <c r="M4067" t="s">
        <v>2366</v>
      </c>
      <c r="N4067" t="s">
        <v>657</v>
      </c>
      <c r="O4067" t="s">
        <v>18555</v>
      </c>
      <c r="P4067" t="s">
        <v>610</v>
      </c>
      <c r="Q4067" t="s">
        <v>521</v>
      </c>
      <c r="R4067" t="s">
        <v>2901</v>
      </c>
      <c r="S4067" t="s">
        <v>2902</v>
      </c>
      <c r="T4067" t="s">
        <v>2526</v>
      </c>
      <c r="U4067">
        <v>308900</v>
      </c>
      <c r="V4067" t="s">
        <v>2902</v>
      </c>
      <c r="W4067" t="s">
        <v>1734</v>
      </c>
      <c r="X4067" t="s">
        <v>22224</v>
      </c>
      <c r="Y4067" t="s">
        <v>22225</v>
      </c>
      <c r="Z4067" t="s">
        <v>2644</v>
      </c>
      <c r="AA4067" t="s">
        <v>20290</v>
      </c>
      <c r="AB4067" t="s">
        <v>22226</v>
      </c>
      <c r="AC4067">
        <v>99025</v>
      </c>
      <c r="AD4067" t="s">
        <v>21766</v>
      </c>
      <c r="AE4067">
        <v>-42.401133719999997</v>
      </c>
      <c r="AF4067">
        <v>173.67604603999999</v>
      </c>
      <c r="AG4067" s="175">
        <v>39</v>
      </c>
      <c r="AH4067" s="175">
        <v>9</v>
      </c>
      <c r="AI4067" s="175">
        <v>0</v>
      </c>
      <c r="AJ4067" s="175">
        <v>8</v>
      </c>
      <c r="AK4067" s="175">
        <v>6</v>
      </c>
      <c r="AL4067" s="175">
        <v>6</v>
      </c>
      <c r="AM4067" s="175">
        <v>13</v>
      </c>
      <c r="AN4067" s="175">
        <v>0</v>
      </c>
      <c r="AO4067" s="175">
        <v>33</v>
      </c>
      <c r="AP4067" s="175">
        <v>29</v>
      </c>
      <c r="AQ4067" s="175">
        <v>10</v>
      </c>
      <c r="AR4067" s="175">
        <v>3</v>
      </c>
      <c r="AS4067" s="175">
        <v>1</v>
      </c>
      <c r="AT4067" s="175">
        <v>1</v>
      </c>
    </row>
    <row r="4068" spans="1:46">
      <c r="A4068">
        <v>65201</v>
      </c>
      <c r="B4068" t="s">
        <v>22227</v>
      </c>
      <c r="C4068" t="s">
        <v>22228</v>
      </c>
      <c r="D4068" t="s">
        <v>22229</v>
      </c>
      <c r="E4068" t="s">
        <v>22230</v>
      </c>
      <c r="G4068" t="s">
        <v>22231</v>
      </c>
      <c r="H4068" t="s">
        <v>301</v>
      </c>
      <c r="J4068" t="s">
        <v>605</v>
      </c>
      <c r="K4068" t="s">
        <v>606</v>
      </c>
      <c r="M4068" t="s">
        <v>2366</v>
      </c>
      <c r="N4068" t="s">
        <v>643</v>
      </c>
      <c r="O4068" t="s">
        <v>3079</v>
      </c>
      <c r="P4068" t="s">
        <v>626</v>
      </c>
      <c r="Q4068" t="s">
        <v>520</v>
      </c>
      <c r="R4068" t="s">
        <v>2901</v>
      </c>
      <c r="S4068" t="s">
        <v>2945</v>
      </c>
      <c r="T4068" t="s">
        <v>2526</v>
      </c>
      <c r="U4068">
        <v>311000</v>
      </c>
      <c r="V4068" t="s">
        <v>22232</v>
      </c>
      <c r="W4068" t="s">
        <v>2533</v>
      </c>
      <c r="X4068" t="s">
        <v>22233</v>
      </c>
      <c r="Y4068" t="s">
        <v>5253</v>
      </c>
      <c r="AA4068" t="s">
        <v>5254</v>
      </c>
      <c r="AE4068">
        <v>-42.3478353</v>
      </c>
      <c r="AF4068">
        <v>171.53843938</v>
      </c>
      <c r="AG4068" s="175">
        <v>30</v>
      </c>
      <c r="AH4068" s="175">
        <v>12</v>
      </c>
      <c r="AI4068" s="175">
        <v>0</v>
      </c>
      <c r="AJ4068" s="175">
        <v>5</v>
      </c>
      <c r="AK4068" s="175">
        <v>3</v>
      </c>
      <c r="AL4068" s="175">
        <v>4</v>
      </c>
      <c r="AM4068" s="175">
        <v>1</v>
      </c>
      <c r="AN4068" s="175">
        <v>0</v>
      </c>
      <c r="AO4068" s="175">
        <v>13</v>
      </c>
      <c r="AP4068" s="175">
        <v>13</v>
      </c>
      <c r="AQ4068" s="175">
        <v>0</v>
      </c>
      <c r="AR4068" s="175">
        <v>0</v>
      </c>
      <c r="AS4068" s="175">
        <v>0</v>
      </c>
      <c r="AT4068" s="175">
        <v>0</v>
      </c>
    </row>
    <row r="4069" spans="1:46">
      <c r="A4069">
        <v>65209</v>
      </c>
      <c r="B4069" t="s">
        <v>22234</v>
      </c>
      <c r="C4069" t="s">
        <v>22228</v>
      </c>
      <c r="D4069" t="s">
        <v>22229</v>
      </c>
      <c r="E4069" t="s">
        <v>22235</v>
      </c>
      <c r="G4069" t="s">
        <v>22236</v>
      </c>
      <c r="H4069" t="s">
        <v>301</v>
      </c>
      <c r="J4069" t="s">
        <v>605</v>
      </c>
      <c r="K4069" t="s">
        <v>606</v>
      </c>
      <c r="M4069" t="s">
        <v>2366</v>
      </c>
      <c r="N4069" t="s">
        <v>657</v>
      </c>
      <c r="O4069" t="s">
        <v>3100</v>
      </c>
      <c r="P4069" t="s">
        <v>626</v>
      </c>
      <c r="Q4069" t="s">
        <v>520</v>
      </c>
      <c r="R4069" t="s">
        <v>2901</v>
      </c>
      <c r="S4069" t="s">
        <v>2945</v>
      </c>
      <c r="T4069" t="s">
        <v>2526</v>
      </c>
      <c r="U4069">
        <v>311701</v>
      </c>
      <c r="V4069" t="s">
        <v>22237</v>
      </c>
      <c r="W4069" t="s">
        <v>2546</v>
      </c>
      <c r="X4069" t="s">
        <v>22233</v>
      </c>
      <c r="Y4069" t="s">
        <v>5253</v>
      </c>
      <c r="AA4069" t="s">
        <v>5254</v>
      </c>
      <c r="AE4069">
        <v>-42.718806710000003</v>
      </c>
      <c r="AF4069">
        <v>170.96062079999999</v>
      </c>
      <c r="AG4069" s="175">
        <v>30</v>
      </c>
      <c r="AH4069" s="175">
        <v>20</v>
      </c>
      <c r="AI4069" s="175">
        <v>11</v>
      </c>
      <c r="AJ4069" s="175">
        <v>4</v>
      </c>
      <c r="AK4069" s="175">
        <v>4</v>
      </c>
      <c r="AL4069" s="175">
        <v>1</v>
      </c>
      <c r="AM4069" s="175">
        <v>5</v>
      </c>
      <c r="AN4069" s="175">
        <v>1</v>
      </c>
      <c r="AO4069" s="175">
        <v>26</v>
      </c>
      <c r="AP4069" s="175">
        <v>26</v>
      </c>
      <c r="AQ4069" s="175">
        <v>10</v>
      </c>
      <c r="AR4069" s="175">
        <v>0</v>
      </c>
      <c r="AS4069" s="175">
        <v>0</v>
      </c>
      <c r="AT4069" s="175">
        <v>0</v>
      </c>
    </row>
    <row r="4070" spans="1:46">
      <c r="A4070">
        <v>65212</v>
      </c>
      <c r="B4070" t="s">
        <v>22238</v>
      </c>
      <c r="C4070" t="s">
        <v>22239</v>
      </c>
      <c r="D4070" t="s">
        <v>22229</v>
      </c>
      <c r="E4070" t="s">
        <v>22240</v>
      </c>
      <c r="G4070" t="s">
        <v>15586</v>
      </c>
      <c r="H4070" t="s">
        <v>301</v>
      </c>
      <c r="J4070" t="s">
        <v>605</v>
      </c>
      <c r="K4070" t="s">
        <v>606</v>
      </c>
      <c r="M4070" t="s">
        <v>2366</v>
      </c>
      <c r="N4070" t="s">
        <v>657</v>
      </c>
      <c r="O4070" t="s">
        <v>2944</v>
      </c>
      <c r="P4070" t="s">
        <v>626</v>
      </c>
      <c r="Q4070" t="s">
        <v>517</v>
      </c>
      <c r="R4070" t="s">
        <v>2901</v>
      </c>
      <c r="S4070" t="s">
        <v>2945</v>
      </c>
      <c r="T4070" t="s">
        <v>2526</v>
      </c>
      <c r="U4070">
        <v>301800</v>
      </c>
      <c r="V4070" t="s">
        <v>15587</v>
      </c>
      <c r="W4070" t="s">
        <v>15588</v>
      </c>
      <c r="X4070" t="s">
        <v>22233</v>
      </c>
      <c r="Y4070" t="s">
        <v>5253</v>
      </c>
      <c r="AA4070" t="s">
        <v>5254</v>
      </c>
      <c r="AC4070">
        <v>99023</v>
      </c>
      <c r="AD4070" t="s">
        <v>15589</v>
      </c>
      <c r="AE4070">
        <v>-41.799103350000003</v>
      </c>
      <c r="AF4070">
        <v>172.32645436000001</v>
      </c>
      <c r="AG4070" s="175">
        <v>30</v>
      </c>
      <c r="AH4070" s="175">
        <v>15</v>
      </c>
      <c r="AI4070" s="175">
        <v>0</v>
      </c>
      <c r="AJ4070" s="175">
        <v>0</v>
      </c>
      <c r="AK4070" s="175">
        <v>1</v>
      </c>
      <c r="AL4070" s="175">
        <v>3</v>
      </c>
      <c r="AM4070" s="175">
        <v>0</v>
      </c>
      <c r="AN4070" s="175">
        <v>0</v>
      </c>
      <c r="AO4070" s="175">
        <v>4</v>
      </c>
      <c r="AP4070" s="175">
        <v>4</v>
      </c>
      <c r="AQ4070" s="175">
        <v>0</v>
      </c>
      <c r="AR4070" s="175">
        <v>0</v>
      </c>
      <c r="AS4070" s="175">
        <v>0</v>
      </c>
      <c r="AT4070" s="175">
        <v>0</v>
      </c>
    </row>
    <row r="4071" spans="1:46">
      <c r="A4071">
        <v>65213</v>
      </c>
      <c r="B4071" t="s">
        <v>22241</v>
      </c>
      <c r="C4071" t="s">
        <v>22228</v>
      </c>
      <c r="E4071" t="s">
        <v>22242</v>
      </c>
      <c r="F4071" t="s">
        <v>22243</v>
      </c>
      <c r="G4071" t="s">
        <v>3078</v>
      </c>
      <c r="H4071" t="s">
        <v>301</v>
      </c>
      <c r="J4071" t="s">
        <v>605</v>
      </c>
      <c r="K4071" t="s">
        <v>606</v>
      </c>
      <c r="M4071" t="s">
        <v>2366</v>
      </c>
      <c r="N4071" t="s">
        <v>657</v>
      </c>
      <c r="O4071" t="s">
        <v>3079</v>
      </c>
      <c r="P4071" t="s">
        <v>610</v>
      </c>
      <c r="Q4071" t="s">
        <v>520</v>
      </c>
      <c r="R4071" t="s">
        <v>2901</v>
      </c>
      <c r="S4071" t="s">
        <v>2945</v>
      </c>
      <c r="T4071" t="s">
        <v>2526</v>
      </c>
      <c r="U4071">
        <v>310700</v>
      </c>
      <c r="V4071" t="s">
        <v>18664</v>
      </c>
      <c r="W4071" t="s">
        <v>3113</v>
      </c>
      <c r="X4071" t="s">
        <v>22233</v>
      </c>
      <c r="Y4071" t="s">
        <v>5253</v>
      </c>
      <c r="AA4071" t="s">
        <v>5254</v>
      </c>
      <c r="AE4071">
        <v>-42.510132230000004</v>
      </c>
      <c r="AF4071">
        <v>171.16820380999999</v>
      </c>
      <c r="AG4071" s="175">
        <v>32</v>
      </c>
      <c r="AH4071" s="175">
        <v>16</v>
      </c>
      <c r="AI4071" s="175">
        <v>1</v>
      </c>
      <c r="AJ4071" s="175">
        <v>2</v>
      </c>
      <c r="AK4071" s="175">
        <v>6</v>
      </c>
      <c r="AL4071" s="175">
        <v>6</v>
      </c>
      <c r="AM4071" s="175">
        <v>4</v>
      </c>
      <c r="AN4071" s="175">
        <v>0</v>
      </c>
      <c r="AO4071" s="175">
        <v>19</v>
      </c>
      <c r="AP4071" s="175">
        <v>16</v>
      </c>
      <c r="AQ4071" s="175">
        <v>4</v>
      </c>
      <c r="AR4071" s="175">
        <v>0</v>
      </c>
      <c r="AS4071" s="175">
        <v>0</v>
      </c>
      <c r="AT4071" s="175">
        <v>1</v>
      </c>
    </row>
    <row r="4072" spans="1:46">
      <c r="A4072">
        <v>65218</v>
      </c>
      <c r="B4072" t="s">
        <v>22244</v>
      </c>
      <c r="E4072" t="s">
        <v>22245</v>
      </c>
      <c r="G4072" t="s">
        <v>3001</v>
      </c>
      <c r="H4072" t="s">
        <v>301</v>
      </c>
      <c r="J4072" t="s">
        <v>605</v>
      </c>
      <c r="K4072" t="s">
        <v>606</v>
      </c>
      <c r="M4072" t="s">
        <v>2366</v>
      </c>
      <c r="N4072" t="s">
        <v>643</v>
      </c>
      <c r="O4072" t="s">
        <v>3002</v>
      </c>
      <c r="P4072" t="s">
        <v>610</v>
      </c>
      <c r="Q4072" t="s">
        <v>520</v>
      </c>
      <c r="R4072" t="s">
        <v>2901</v>
      </c>
      <c r="S4072" t="s">
        <v>2945</v>
      </c>
      <c r="T4072" t="s">
        <v>2526</v>
      </c>
      <c r="U4072">
        <v>309400</v>
      </c>
      <c r="V4072" t="s">
        <v>13093</v>
      </c>
      <c r="W4072" t="s">
        <v>3004</v>
      </c>
      <c r="X4072" t="s">
        <v>22233</v>
      </c>
      <c r="Y4072" t="s">
        <v>5253</v>
      </c>
      <c r="AA4072" t="s">
        <v>5254</v>
      </c>
      <c r="AE4072">
        <v>-41.758968019999998</v>
      </c>
      <c r="AF4072">
        <v>171.60817255000001</v>
      </c>
      <c r="AG4072" s="175">
        <v>30</v>
      </c>
      <c r="AH4072" s="175">
        <v>15</v>
      </c>
      <c r="AI4072" s="175">
        <v>0</v>
      </c>
      <c r="AJ4072" s="175">
        <v>2</v>
      </c>
      <c r="AK4072" s="175">
        <v>1</v>
      </c>
      <c r="AL4072" s="175">
        <v>3</v>
      </c>
      <c r="AM4072" s="175">
        <v>2</v>
      </c>
      <c r="AN4072" s="175">
        <v>1</v>
      </c>
      <c r="AO4072" s="175">
        <v>9</v>
      </c>
      <c r="AP4072" s="175">
        <v>5</v>
      </c>
      <c r="AQ4072" s="175">
        <v>5</v>
      </c>
      <c r="AR4072" s="175">
        <v>0</v>
      </c>
      <c r="AS4072" s="175">
        <v>0</v>
      </c>
      <c r="AT4072" s="175">
        <v>0</v>
      </c>
    </row>
    <row r="4073" spans="1:46">
      <c r="A4073">
        <v>65222</v>
      </c>
      <c r="B4073" t="s">
        <v>22246</v>
      </c>
      <c r="C4073" t="s">
        <v>22247</v>
      </c>
      <c r="D4073" t="s">
        <v>22248</v>
      </c>
      <c r="E4073" t="s">
        <v>22249</v>
      </c>
      <c r="G4073" t="s">
        <v>2899</v>
      </c>
      <c r="H4073" t="s">
        <v>449</v>
      </c>
      <c r="J4073" t="s">
        <v>605</v>
      </c>
      <c r="K4073" t="s">
        <v>606</v>
      </c>
      <c r="M4073" t="s">
        <v>2366</v>
      </c>
      <c r="N4073" t="s">
        <v>657</v>
      </c>
      <c r="O4073" t="s">
        <v>2900</v>
      </c>
      <c r="P4073" t="s">
        <v>1347</v>
      </c>
      <c r="Q4073" t="s">
        <v>519</v>
      </c>
      <c r="R4073" t="s">
        <v>2901</v>
      </c>
      <c r="S4073" t="s">
        <v>2902</v>
      </c>
      <c r="T4073" t="s">
        <v>2526</v>
      </c>
      <c r="U4073">
        <v>307802</v>
      </c>
      <c r="V4073" t="s">
        <v>16928</v>
      </c>
      <c r="W4073" t="s">
        <v>3939</v>
      </c>
      <c r="X4073" t="s">
        <v>22250</v>
      </c>
      <c r="Y4073" t="s">
        <v>22251</v>
      </c>
      <c r="Z4073" t="s">
        <v>2899</v>
      </c>
      <c r="AA4073" t="s">
        <v>22165</v>
      </c>
      <c r="AB4073" t="s">
        <v>22252</v>
      </c>
      <c r="AC4073">
        <v>99006</v>
      </c>
      <c r="AD4073" t="s">
        <v>2908</v>
      </c>
      <c r="AE4073">
        <v>-41.537068920000003</v>
      </c>
      <c r="AF4073">
        <v>173.92367200000001</v>
      </c>
      <c r="AG4073" s="175">
        <v>40</v>
      </c>
      <c r="AH4073" s="175">
        <v>5</v>
      </c>
      <c r="AI4073" s="175">
        <v>0</v>
      </c>
      <c r="AJ4073" s="175">
        <v>1</v>
      </c>
      <c r="AK4073" s="175">
        <v>12</v>
      </c>
      <c r="AL4073" s="175">
        <v>14</v>
      </c>
      <c r="AM4073" s="175">
        <v>12</v>
      </c>
      <c r="AN4073" s="175">
        <v>1</v>
      </c>
      <c r="AO4073" s="175">
        <v>40</v>
      </c>
      <c r="AP4073" s="175">
        <v>35</v>
      </c>
      <c r="AQ4073" s="175">
        <v>18</v>
      </c>
      <c r="AR4073" s="175">
        <v>3</v>
      </c>
      <c r="AS4073" s="175">
        <v>4</v>
      </c>
      <c r="AT4073" s="175">
        <v>0</v>
      </c>
    </row>
    <row r="4074" spans="1:46">
      <c r="A4074">
        <v>65223</v>
      </c>
      <c r="B4074" t="s">
        <v>22253</v>
      </c>
      <c r="C4074" t="s">
        <v>22254</v>
      </c>
      <c r="D4074" t="s">
        <v>22255</v>
      </c>
      <c r="E4074" t="s">
        <v>22256</v>
      </c>
      <c r="F4074" t="s">
        <v>3772</v>
      </c>
      <c r="G4074" t="s">
        <v>2899</v>
      </c>
      <c r="H4074" t="s">
        <v>449</v>
      </c>
      <c r="J4074" t="s">
        <v>605</v>
      </c>
      <c r="K4074" t="s">
        <v>606</v>
      </c>
      <c r="M4074" t="s">
        <v>2366</v>
      </c>
      <c r="N4074" t="s">
        <v>657</v>
      </c>
      <c r="O4074" t="s">
        <v>2900</v>
      </c>
      <c r="P4074" t="s">
        <v>1347</v>
      </c>
      <c r="Q4074" t="s">
        <v>519</v>
      </c>
      <c r="R4074" t="s">
        <v>2901</v>
      </c>
      <c r="S4074" t="s">
        <v>2902</v>
      </c>
      <c r="T4074" t="s">
        <v>2526</v>
      </c>
      <c r="U4074">
        <v>307501</v>
      </c>
      <c r="V4074" t="s">
        <v>3772</v>
      </c>
      <c r="W4074" t="s">
        <v>2903</v>
      </c>
      <c r="X4074" t="s">
        <v>18379</v>
      </c>
      <c r="Y4074" t="s">
        <v>4014</v>
      </c>
      <c r="Z4074" t="s">
        <v>4015</v>
      </c>
      <c r="AA4074" t="s">
        <v>4016</v>
      </c>
      <c r="AC4074">
        <v>99006</v>
      </c>
      <c r="AD4074" t="s">
        <v>2908</v>
      </c>
      <c r="AE4074">
        <v>-41.507675749999997</v>
      </c>
      <c r="AF4074">
        <v>173.9372553</v>
      </c>
      <c r="AG4074" s="175">
        <v>81</v>
      </c>
      <c r="AH4074" s="175">
        <v>25</v>
      </c>
      <c r="AI4074" s="175">
        <v>6</v>
      </c>
      <c r="AJ4074" s="175">
        <v>19</v>
      </c>
      <c r="AK4074" s="175">
        <v>23</v>
      </c>
      <c r="AL4074" s="175">
        <v>21</v>
      </c>
      <c r="AM4074" s="175">
        <v>18</v>
      </c>
      <c r="AN4074" s="175">
        <v>0</v>
      </c>
      <c r="AO4074" s="175">
        <v>87</v>
      </c>
      <c r="AP4074" s="175">
        <v>67</v>
      </c>
      <c r="AQ4074" s="175">
        <v>13</v>
      </c>
      <c r="AR4074" s="175">
        <v>0</v>
      </c>
      <c r="AS4074" s="175">
        <v>10</v>
      </c>
      <c r="AT4074" s="175">
        <v>11</v>
      </c>
    </row>
    <row r="4075" spans="1:46">
      <c r="A4075">
        <v>65225</v>
      </c>
      <c r="B4075" t="s">
        <v>22257</v>
      </c>
      <c r="C4075" t="s">
        <v>22258</v>
      </c>
      <c r="E4075" t="s">
        <v>22259</v>
      </c>
      <c r="G4075" t="s">
        <v>2930</v>
      </c>
      <c r="H4075" t="s">
        <v>347</v>
      </c>
      <c r="J4075" t="s">
        <v>605</v>
      </c>
      <c r="K4075" t="s">
        <v>606</v>
      </c>
      <c r="L4075" t="s">
        <v>4273</v>
      </c>
      <c r="M4075" t="s">
        <v>2366</v>
      </c>
      <c r="N4075" t="s">
        <v>625</v>
      </c>
      <c r="O4075" t="s">
        <v>2931</v>
      </c>
      <c r="P4075" t="s">
        <v>670</v>
      </c>
      <c r="Q4075" t="s">
        <v>518</v>
      </c>
      <c r="R4075" t="s">
        <v>2901</v>
      </c>
      <c r="S4075" t="s">
        <v>2930</v>
      </c>
      <c r="T4075" t="s">
        <v>2526</v>
      </c>
      <c r="U4075">
        <v>305200</v>
      </c>
      <c r="V4075" t="s">
        <v>15361</v>
      </c>
      <c r="W4075" t="s">
        <v>2114</v>
      </c>
      <c r="X4075" t="s">
        <v>12121</v>
      </c>
      <c r="Y4075" t="s">
        <v>4276</v>
      </c>
      <c r="Z4075" t="s">
        <v>4277</v>
      </c>
      <c r="AA4075" t="s">
        <v>4278</v>
      </c>
      <c r="AB4075" t="s">
        <v>12122</v>
      </c>
      <c r="AE4075">
        <v>-41.283965389999999</v>
      </c>
      <c r="AF4075">
        <v>173.26947275000001</v>
      </c>
      <c r="AG4075" s="175">
        <v>22</v>
      </c>
      <c r="AH4075" s="175">
        <v>8</v>
      </c>
      <c r="AI4075" s="175">
        <v>0</v>
      </c>
      <c r="AJ4075" s="175">
        <v>7</v>
      </c>
      <c r="AK4075" s="175">
        <v>6</v>
      </c>
      <c r="AL4075" s="175">
        <v>4</v>
      </c>
      <c r="AM4075" s="175">
        <v>3</v>
      </c>
      <c r="AN4075" s="175">
        <v>0</v>
      </c>
      <c r="AO4075" s="175">
        <v>20</v>
      </c>
      <c r="AP4075" s="175">
        <v>0</v>
      </c>
      <c r="AQ4075" s="175">
        <v>17</v>
      </c>
      <c r="AR4075" s="175">
        <v>2</v>
      </c>
      <c r="AS4075" s="175">
        <v>0</v>
      </c>
      <c r="AT4075" s="175">
        <v>1</v>
      </c>
    </row>
    <row r="4076" spans="1:46">
      <c r="A4076">
        <v>65226</v>
      </c>
      <c r="B4076" t="s">
        <v>22260</v>
      </c>
      <c r="C4076" t="s">
        <v>22261</v>
      </c>
      <c r="E4076" t="s">
        <v>22262</v>
      </c>
      <c r="G4076" t="s">
        <v>22263</v>
      </c>
      <c r="H4076" t="s">
        <v>449</v>
      </c>
      <c r="J4076" t="s">
        <v>605</v>
      </c>
      <c r="K4076" t="s">
        <v>606</v>
      </c>
      <c r="M4076" t="s">
        <v>2366</v>
      </c>
      <c r="N4076" t="s">
        <v>657</v>
      </c>
      <c r="O4076" t="s">
        <v>3002</v>
      </c>
      <c r="P4076" t="s">
        <v>610</v>
      </c>
      <c r="Q4076" t="s">
        <v>520</v>
      </c>
      <c r="R4076" t="s">
        <v>2901</v>
      </c>
      <c r="S4076" t="s">
        <v>2945</v>
      </c>
      <c r="T4076" t="s">
        <v>2526</v>
      </c>
      <c r="U4076">
        <v>309800</v>
      </c>
      <c r="V4076" t="s">
        <v>22263</v>
      </c>
      <c r="W4076" t="s">
        <v>22264</v>
      </c>
      <c r="X4076" t="s">
        <v>22265</v>
      </c>
      <c r="Y4076" t="s">
        <v>22266</v>
      </c>
      <c r="Z4076" t="s">
        <v>22263</v>
      </c>
      <c r="AA4076" t="s">
        <v>22267</v>
      </c>
      <c r="AC4076">
        <v>99023</v>
      </c>
      <c r="AD4076" t="s">
        <v>15589</v>
      </c>
      <c r="AE4076">
        <v>-42.113305799999999</v>
      </c>
      <c r="AF4076">
        <v>171.85927950000001</v>
      </c>
      <c r="AG4076" s="175">
        <v>23</v>
      </c>
      <c r="AH4076" s="175">
        <v>3</v>
      </c>
      <c r="AI4076" s="175">
        <v>0</v>
      </c>
      <c r="AJ4076" s="175">
        <v>0</v>
      </c>
      <c r="AK4076" s="175">
        <v>3</v>
      </c>
      <c r="AL4076" s="175">
        <v>11</v>
      </c>
      <c r="AM4076" s="175">
        <v>17</v>
      </c>
      <c r="AN4076" s="175">
        <v>0</v>
      </c>
      <c r="AO4076" s="175">
        <v>31</v>
      </c>
      <c r="AP4076" s="175">
        <v>29</v>
      </c>
      <c r="AQ4076" s="175">
        <v>6</v>
      </c>
      <c r="AR4076" s="175">
        <v>1</v>
      </c>
      <c r="AS4076" s="175">
        <v>2</v>
      </c>
      <c r="AT4076" s="175">
        <v>0</v>
      </c>
    </row>
    <row r="4077" spans="1:46">
      <c r="A4077">
        <v>65227</v>
      </c>
      <c r="B4077" t="s">
        <v>22268</v>
      </c>
      <c r="C4077" t="s">
        <v>22269</v>
      </c>
      <c r="D4077" t="s">
        <v>11329</v>
      </c>
      <c r="E4077" t="s">
        <v>22270</v>
      </c>
      <c r="G4077" t="s">
        <v>2899</v>
      </c>
      <c r="H4077" t="s">
        <v>449</v>
      </c>
      <c r="J4077" t="s">
        <v>4032</v>
      </c>
      <c r="K4077" t="s">
        <v>606</v>
      </c>
      <c r="M4077" t="s">
        <v>2366</v>
      </c>
      <c r="N4077" t="s">
        <v>657</v>
      </c>
      <c r="O4077" t="s">
        <v>2900</v>
      </c>
      <c r="P4077" t="s">
        <v>1347</v>
      </c>
      <c r="Q4077" t="s">
        <v>519</v>
      </c>
      <c r="R4077" t="s">
        <v>2901</v>
      </c>
      <c r="S4077" t="s">
        <v>2902</v>
      </c>
      <c r="T4077" t="s">
        <v>2526</v>
      </c>
      <c r="U4077">
        <v>308000</v>
      </c>
      <c r="V4077" t="s">
        <v>11331</v>
      </c>
      <c r="W4077" t="s">
        <v>2903</v>
      </c>
      <c r="X4077" t="s">
        <v>11332</v>
      </c>
      <c r="Y4077" t="s">
        <v>11333</v>
      </c>
      <c r="AA4077" t="s">
        <v>10927</v>
      </c>
      <c r="AE4077">
        <v>-41.503557100000002</v>
      </c>
      <c r="AF4077">
        <v>173.96372099999999</v>
      </c>
      <c r="AG4077" s="175">
        <v>37</v>
      </c>
      <c r="AH4077" s="175">
        <v>0</v>
      </c>
      <c r="AI4077" s="175">
        <v>0</v>
      </c>
      <c r="AJ4077" s="175">
        <v>0</v>
      </c>
      <c r="AK4077" s="175">
        <v>6</v>
      </c>
      <c r="AL4077" s="175">
        <v>9</v>
      </c>
      <c r="AM4077" s="175">
        <v>23</v>
      </c>
      <c r="AN4077" s="175">
        <v>1</v>
      </c>
      <c r="AO4077" s="175">
        <v>39</v>
      </c>
      <c r="AP4077" s="175">
        <v>25</v>
      </c>
      <c r="AQ4077" s="175">
        <v>17</v>
      </c>
      <c r="AR4077" s="175">
        <v>0</v>
      </c>
      <c r="AS4077" s="175">
        <v>7</v>
      </c>
      <c r="AT4077" s="175">
        <v>3</v>
      </c>
    </row>
    <row r="4078" spans="1:46">
      <c r="A4078">
        <v>65228</v>
      </c>
      <c r="B4078" t="s">
        <v>22271</v>
      </c>
      <c r="C4078" t="s">
        <v>22272</v>
      </c>
      <c r="D4078" t="s">
        <v>22273</v>
      </c>
      <c r="E4078" t="s">
        <v>22274</v>
      </c>
      <c r="G4078" t="s">
        <v>22275</v>
      </c>
      <c r="H4078" t="s">
        <v>449</v>
      </c>
      <c r="J4078" t="s">
        <v>605</v>
      </c>
      <c r="K4078" t="s">
        <v>606</v>
      </c>
      <c r="M4078" t="s">
        <v>2366</v>
      </c>
      <c r="N4078" t="s">
        <v>657</v>
      </c>
      <c r="O4078" t="s">
        <v>2900</v>
      </c>
      <c r="P4078" t="s">
        <v>626</v>
      </c>
      <c r="Q4078" t="s">
        <v>519</v>
      </c>
      <c r="R4078" t="s">
        <v>2901</v>
      </c>
      <c r="S4078" t="s">
        <v>2902</v>
      </c>
      <c r="T4078" t="s">
        <v>2526</v>
      </c>
      <c r="U4078">
        <v>306301</v>
      </c>
      <c r="V4078" t="s">
        <v>22276</v>
      </c>
      <c r="W4078" t="s">
        <v>21677</v>
      </c>
      <c r="X4078" t="s">
        <v>22277</v>
      </c>
      <c r="Y4078" t="s">
        <v>22278</v>
      </c>
      <c r="AA4078" t="s">
        <v>22279</v>
      </c>
      <c r="AE4078">
        <v>-41.280973449999998</v>
      </c>
      <c r="AF4078">
        <v>173.7669018</v>
      </c>
      <c r="AG4078" s="175">
        <v>30</v>
      </c>
      <c r="AH4078" s="175">
        <v>10</v>
      </c>
      <c r="AI4078" s="175">
        <v>0</v>
      </c>
      <c r="AJ4078" s="175">
        <v>1</v>
      </c>
      <c r="AK4078" s="175">
        <v>8</v>
      </c>
      <c r="AL4078" s="175">
        <v>8</v>
      </c>
      <c r="AM4078" s="175">
        <v>13</v>
      </c>
      <c r="AN4078" s="175">
        <v>0</v>
      </c>
      <c r="AO4078" s="175">
        <v>30</v>
      </c>
      <c r="AP4078" s="175">
        <v>25</v>
      </c>
      <c r="AQ4078" s="175">
        <v>8</v>
      </c>
      <c r="AR4078" s="175">
        <v>4</v>
      </c>
      <c r="AS4078" s="175">
        <v>2</v>
      </c>
      <c r="AT4078" s="175">
        <v>1</v>
      </c>
    </row>
    <row r="4079" spans="1:46">
      <c r="A4079">
        <v>65229</v>
      </c>
      <c r="B4079" t="s">
        <v>22280</v>
      </c>
      <c r="C4079" t="s">
        <v>22281</v>
      </c>
      <c r="D4079" t="s">
        <v>22282</v>
      </c>
      <c r="E4079" t="s">
        <v>22283</v>
      </c>
      <c r="G4079" t="s">
        <v>21965</v>
      </c>
      <c r="H4079" t="s">
        <v>449</v>
      </c>
      <c r="J4079" t="s">
        <v>4032</v>
      </c>
      <c r="K4079" t="s">
        <v>606</v>
      </c>
      <c r="M4079" t="s">
        <v>2366</v>
      </c>
      <c r="N4079" t="s">
        <v>657</v>
      </c>
      <c r="O4079" t="s">
        <v>2944</v>
      </c>
      <c r="P4079" t="s">
        <v>610</v>
      </c>
      <c r="Q4079" t="s">
        <v>517</v>
      </c>
      <c r="R4079" t="s">
        <v>2901</v>
      </c>
      <c r="S4079" t="s">
        <v>2945</v>
      </c>
      <c r="T4079" t="s">
        <v>2526</v>
      </c>
      <c r="U4079">
        <v>301704</v>
      </c>
      <c r="V4079" t="s">
        <v>21966</v>
      </c>
      <c r="W4079" t="s">
        <v>11355</v>
      </c>
      <c r="X4079" t="s">
        <v>22284</v>
      </c>
      <c r="Y4079" t="s">
        <v>4176</v>
      </c>
      <c r="AA4079" t="s">
        <v>4052</v>
      </c>
      <c r="AB4079" t="s">
        <v>22285</v>
      </c>
      <c r="AC4079">
        <v>99115</v>
      </c>
      <c r="AD4079" t="s">
        <v>2948</v>
      </c>
      <c r="AE4079">
        <v>-41.250891019999997</v>
      </c>
      <c r="AF4079">
        <v>173.09373524</v>
      </c>
      <c r="AG4079" s="175">
        <v>60</v>
      </c>
      <c r="AH4079" s="175">
        <v>12</v>
      </c>
      <c r="AI4079" s="175">
        <v>0</v>
      </c>
      <c r="AJ4079" s="175">
        <v>14</v>
      </c>
      <c r="AK4079" s="175">
        <v>13</v>
      </c>
      <c r="AL4079" s="175">
        <v>18</v>
      </c>
      <c r="AM4079" s="175">
        <v>16</v>
      </c>
      <c r="AN4079" s="175">
        <v>0</v>
      </c>
      <c r="AO4079" s="175">
        <v>61</v>
      </c>
      <c r="AP4079" s="175">
        <v>59</v>
      </c>
      <c r="AQ4079" s="175">
        <v>12</v>
      </c>
      <c r="AR4079" s="175">
        <v>0</v>
      </c>
      <c r="AS4079" s="175">
        <v>0</v>
      </c>
      <c r="AT4079" s="175">
        <v>2</v>
      </c>
    </row>
    <row r="4080" spans="1:46">
      <c r="A4080">
        <v>65230</v>
      </c>
      <c r="B4080" t="s">
        <v>22286</v>
      </c>
      <c r="C4080" t="s">
        <v>22287</v>
      </c>
      <c r="D4080" t="s">
        <v>22288</v>
      </c>
      <c r="E4080" t="s">
        <v>22289</v>
      </c>
      <c r="G4080" t="s">
        <v>21973</v>
      </c>
      <c r="H4080" t="s">
        <v>452</v>
      </c>
      <c r="J4080" t="s">
        <v>605</v>
      </c>
      <c r="K4080" t="s">
        <v>606</v>
      </c>
      <c r="M4080" t="s">
        <v>2366</v>
      </c>
      <c r="N4080" t="s">
        <v>657</v>
      </c>
      <c r="O4080" t="s">
        <v>2944</v>
      </c>
      <c r="P4080" t="s">
        <v>610</v>
      </c>
      <c r="Q4080" t="s">
        <v>517</v>
      </c>
      <c r="R4080" t="s">
        <v>2901</v>
      </c>
      <c r="S4080" t="s">
        <v>2945</v>
      </c>
      <c r="T4080" t="s">
        <v>2526</v>
      </c>
      <c r="U4080">
        <v>300500</v>
      </c>
      <c r="V4080" t="s">
        <v>21974</v>
      </c>
      <c r="W4080" t="s">
        <v>21961</v>
      </c>
      <c r="X4080" t="s">
        <v>2934</v>
      </c>
      <c r="Y4080" t="s">
        <v>2935</v>
      </c>
      <c r="Z4080" t="s">
        <v>2930</v>
      </c>
      <c r="AA4080" t="s">
        <v>2936</v>
      </c>
      <c r="AB4080" t="s">
        <v>2937</v>
      </c>
      <c r="AC4080">
        <v>99054</v>
      </c>
      <c r="AD4080" t="s">
        <v>21962</v>
      </c>
      <c r="AE4080">
        <v>-40.845811150000003</v>
      </c>
      <c r="AF4080">
        <v>172.80997352</v>
      </c>
      <c r="AG4080" s="175">
        <v>43</v>
      </c>
      <c r="AH4080" s="175">
        <v>0</v>
      </c>
      <c r="AI4080" s="175">
        <v>0</v>
      </c>
      <c r="AJ4080" s="175">
        <v>0</v>
      </c>
      <c r="AK4080" s="175">
        <v>6</v>
      </c>
      <c r="AL4080" s="175">
        <v>10</v>
      </c>
      <c r="AM4080" s="175">
        <v>26</v>
      </c>
      <c r="AN4080" s="175">
        <v>3</v>
      </c>
      <c r="AO4080" s="175">
        <v>45</v>
      </c>
      <c r="AP4080" s="175">
        <v>41</v>
      </c>
      <c r="AQ4080" s="175">
        <v>9</v>
      </c>
      <c r="AR4080" s="175">
        <v>4</v>
      </c>
      <c r="AS4080" s="175">
        <v>3</v>
      </c>
      <c r="AT4080" s="175">
        <v>1</v>
      </c>
    </row>
    <row r="4081" spans="1:46">
      <c r="A4081">
        <v>65231</v>
      </c>
      <c r="B4081" t="s">
        <v>22290</v>
      </c>
      <c r="C4081" t="s">
        <v>22291</v>
      </c>
      <c r="E4081" t="s">
        <v>22292</v>
      </c>
      <c r="F4081" t="s">
        <v>10993</v>
      </c>
      <c r="G4081" t="s">
        <v>2930</v>
      </c>
      <c r="H4081" t="s">
        <v>449</v>
      </c>
      <c r="J4081" t="s">
        <v>605</v>
      </c>
      <c r="K4081" t="s">
        <v>606</v>
      </c>
      <c r="M4081" t="s">
        <v>2366</v>
      </c>
      <c r="N4081" t="s">
        <v>643</v>
      </c>
      <c r="O4081" t="s">
        <v>2931</v>
      </c>
      <c r="P4081" t="s">
        <v>670</v>
      </c>
      <c r="Q4081" t="s">
        <v>518</v>
      </c>
      <c r="R4081" t="s">
        <v>2901</v>
      </c>
      <c r="S4081" t="s">
        <v>2930</v>
      </c>
      <c r="T4081" t="s">
        <v>2526</v>
      </c>
      <c r="U4081">
        <v>305200</v>
      </c>
      <c r="V4081" t="s">
        <v>15361</v>
      </c>
      <c r="W4081" t="s">
        <v>2114</v>
      </c>
      <c r="X4081" t="s">
        <v>22293</v>
      </c>
      <c r="Y4081" t="s">
        <v>22292</v>
      </c>
      <c r="Z4081" t="s">
        <v>22294</v>
      </c>
      <c r="AA4081" t="s">
        <v>2936</v>
      </c>
      <c r="AB4081" t="s">
        <v>22291</v>
      </c>
      <c r="AC4081">
        <v>99005</v>
      </c>
      <c r="AD4081" t="s">
        <v>2953</v>
      </c>
      <c r="AE4081">
        <v>-41.281431830000002</v>
      </c>
      <c r="AF4081">
        <v>173.26943653000001</v>
      </c>
      <c r="AG4081" s="175">
        <v>91</v>
      </c>
      <c r="AH4081" s="175">
        <v>15</v>
      </c>
      <c r="AI4081" s="175">
        <v>1</v>
      </c>
      <c r="AJ4081" s="175">
        <v>13</v>
      </c>
      <c r="AK4081" s="175">
        <v>19</v>
      </c>
      <c r="AL4081" s="175">
        <v>21</v>
      </c>
      <c r="AM4081" s="175">
        <v>32</v>
      </c>
      <c r="AN4081" s="175">
        <v>4</v>
      </c>
      <c r="AO4081" s="175">
        <v>90</v>
      </c>
      <c r="AP4081" s="175">
        <v>46</v>
      </c>
      <c r="AQ4081" s="175">
        <v>15</v>
      </c>
      <c r="AR4081" s="175">
        <v>6</v>
      </c>
      <c r="AS4081" s="175">
        <v>26</v>
      </c>
      <c r="AT4081" s="175">
        <v>20</v>
      </c>
    </row>
    <row r="4082" spans="1:46">
      <c r="A4082">
        <v>65236</v>
      </c>
      <c r="B4082" t="s">
        <v>22295</v>
      </c>
      <c r="C4082" t="s">
        <v>22296</v>
      </c>
      <c r="D4082" t="s">
        <v>22297</v>
      </c>
      <c r="E4082" t="s">
        <v>22298</v>
      </c>
      <c r="F4082" t="s">
        <v>2957</v>
      </c>
      <c r="G4082" t="s">
        <v>2930</v>
      </c>
      <c r="H4082" t="s">
        <v>449</v>
      </c>
      <c r="J4082" t="s">
        <v>4032</v>
      </c>
      <c r="K4082" t="s">
        <v>606</v>
      </c>
      <c r="M4082" t="s">
        <v>2366</v>
      </c>
      <c r="N4082" t="s">
        <v>657</v>
      </c>
      <c r="O4082" t="s">
        <v>2944</v>
      </c>
      <c r="P4082" t="s">
        <v>1347</v>
      </c>
      <c r="Q4082" t="s">
        <v>517</v>
      </c>
      <c r="R4082" t="s">
        <v>2901</v>
      </c>
      <c r="S4082" t="s">
        <v>2930</v>
      </c>
      <c r="T4082" t="s">
        <v>2526</v>
      </c>
      <c r="U4082">
        <v>303200</v>
      </c>
      <c r="V4082" t="s">
        <v>2958</v>
      </c>
      <c r="W4082" t="s">
        <v>2959</v>
      </c>
      <c r="X4082" t="s">
        <v>22299</v>
      </c>
      <c r="Y4082" t="s">
        <v>4725</v>
      </c>
      <c r="Z4082" t="s">
        <v>1043</v>
      </c>
      <c r="AA4082" t="s">
        <v>4726</v>
      </c>
      <c r="AB4082" t="s">
        <v>22300</v>
      </c>
      <c r="AC4082">
        <v>99142</v>
      </c>
      <c r="AD4082" t="s">
        <v>2960</v>
      </c>
      <c r="AE4082">
        <v>-41.334460239999999</v>
      </c>
      <c r="AF4082">
        <v>173.20254517999999</v>
      </c>
      <c r="AG4082" s="175">
        <v>75</v>
      </c>
      <c r="AH4082" s="175">
        <v>25</v>
      </c>
      <c r="AI4082" s="175">
        <v>1</v>
      </c>
      <c r="AJ4082" s="175">
        <v>18</v>
      </c>
      <c r="AK4082" s="175">
        <v>20</v>
      </c>
      <c r="AL4082" s="175">
        <v>19</v>
      </c>
      <c r="AM4082" s="175">
        <v>14</v>
      </c>
      <c r="AN4082" s="175">
        <v>0</v>
      </c>
      <c r="AO4082" s="175">
        <v>72</v>
      </c>
      <c r="AP4082" s="175">
        <v>65</v>
      </c>
      <c r="AQ4082" s="175">
        <v>6</v>
      </c>
      <c r="AR4082" s="175">
        <v>4</v>
      </c>
      <c r="AS4082" s="175">
        <v>11</v>
      </c>
      <c r="AT4082" s="175">
        <v>0</v>
      </c>
    </row>
    <row r="4083" spans="1:46">
      <c r="A4083">
        <v>65238</v>
      </c>
      <c r="B4083" t="s">
        <v>22301</v>
      </c>
      <c r="C4083" t="s">
        <v>22302</v>
      </c>
      <c r="D4083" t="s">
        <v>18109</v>
      </c>
      <c r="E4083" t="s">
        <v>22303</v>
      </c>
      <c r="F4083" t="s">
        <v>2899</v>
      </c>
      <c r="G4083" t="s">
        <v>2899</v>
      </c>
      <c r="H4083" t="s">
        <v>449</v>
      </c>
      <c r="J4083" t="s">
        <v>4032</v>
      </c>
      <c r="K4083" t="s">
        <v>606</v>
      </c>
      <c r="M4083" t="s">
        <v>2366</v>
      </c>
      <c r="N4083" t="s">
        <v>657</v>
      </c>
      <c r="O4083" t="s">
        <v>2900</v>
      </c>
      <c r="P4083" t="s">
        <v>1347</v>
      </c>
      <c r="Q4083" t="s">
        <v>519</v>
      </c>
      <c r="R4083" t="s">
        <v>2901</v>
      </c>
      <c r="S4083" t="s">
        <v>2902</v>
      </c>
      <c r="T4083" t="s">
        <v>2526</v>
      </c>
      <c r="U4083">
        <v>307900</v>
      </c>
      <c r="V4083" t="s">
        <v>11615</v>
      </c>
      <c r="W4083" t="s">
        <v>2903</v>
      </c>
      <c r="X4083" t="s">
        <v>18112</v>
      </c>
      <c r="Y4083" t="s">
        <v>18113</v>
      </c>
      <c r="AA4083" t="s">
        <v>18114</v>
      </c>
      <c r="AC4083">
        <v>99006</v>
      </c>
      <c r="AD4083" t="s">
        <v>2908</v>
      </c>
      <c r="AE4083">
        <v>-41.50980131</v>
      </c>
      <c r="AF4083">
        <v>173.95362093</v>
      </c>
      <c r="AG4083" s="175">
        <v>45</v>
      </c>
      <c r="AH4083" s="175">
        <v>20</v>
      </c>
      <c r="AI4083" s="175">
        <v>0</v>
      </c>
      <c r="AJ4083" s="175">
        <v>4</v>
      </c>
      <c r="AK4083" s="175">
        <v>12</v>
      </c>
      <c r="AL4083" s="175">
        <v>14</v>
      </c>
      <c r="AM4083" s="175">
        <v>8</v>
      </c>
      <c r="AN4083" s="175">
        <v>1</v>
      </c>
      <c r="AO4083" s="175">
        <v>39</v>
      </c>
      <c r="AP4083" s="175">
        <v>29</v>
      </c>
      <c r="AQ4083" s="175">
        <v>14</v>
      </c>
      <c r="AR4083" s="175">
        <v>5</v>
      </c>
      <c r="AS4083" s="175">
        <v>3</v>
      </c>
      <c r="AT4083" s="175">
        <v>1</v>
      </c>
    </row>
    <row r="4084" spans="1:46">
      <c r="A4084">
        <v>65302</v>
      </c>
      <c r="B4084" t="s">
        <v>22304</v>
      </c>
      <c r="C4084" t="s">
        <v>22305</v>
      </c>
      <c r="E4084" t="s">
        <v>22306</v>
      </c>
      <c r="G4084" t="s">
        <v>18554</v>
      </c>
      <c r="H4084" t="s">
        <v>301</v>
      </c>
      <c r="J4084" t="s">
        <v>605</v>
      </c>
      <c r="K4084" t="s">
        <v>606</v>
      </c>
      <c r="M4084" t="s">
        <v>2366</v>
      </c>
      <c r="N4084" t="s">
        <v>657</v>
      </c>
      <c r="O4084" t="s">
        <v>18555</v>
      </c>
      <c r="P4084" t="s">
        <v>610</v>
      </c>
      <c r="Q4084" t="s">
        <v>521</v>
      </c>
      <c r="R4084" t="s">
        <v>2901</v>
      </c>
      <c r="S4084" t="s">
        <v>2902</v>
      </c>
      <c r="T4084" t="s">
        <v>2526</v>
      </c>
      <c r="U4084">
        <v>308900</v>
      </c>
      <c r="V4084" t="s">
        <v>2902</v>
      </c>
      <c r="W4084" t="s">
        <v>1734</v>
      </c>
      <c r="X4084" t="s">
        <v>13858</v>
      </c>
      <c r="Y4084" t="s">
        <v>5253</v>
      </c>
      <c r="AA4084" t="s">
        <v>5254</v>
      </c>
      <c r="AB4084" t="s">
        <v>13859</v>
      </c>
      <c r="AC4084">
        <v>99025</v>
      </c>
      <c r="AD4084" t="s">
        <v>21766</v>
      </c>
      <c r="AE4084">
        <v>-42.408551549999999</v>
      </c>
      <c r="AF4084">
        <v>173.68515434</v>
      </c>
      <c r="AG4084" s="175">
        <v>25</v>
      </c>
      <c r="AH4084" s="175">
        <v>12</v>
      </c>
      <c r="AI4084" s="175">
        <v>2</v>
      </c>
      <c r="AJ4084" s="175">
        <v>3</v>
      </c>
      <c r="AK4084" s="175">
        <v>1</v>
      </c>
      <c r="AL4084" s="175">
        <v>3</v>
      </c>
      <c r="AM4084" s="175">
        <v>3</v>
      </c>
      <c r="AN4084" s="175">
        <v>0</v>
      </c>
      <c r="AO4084" s="175">
        <v>12</v>
      </c>
      <c r="AP4084" s="175">
        <v>10</v>
      </c>
      <c r="AQ4084" s="175">
        <v>2</v>
      </c>
      <c r="AR4084" s="175">
        <v>0</v>
      </c>
      <c r="AS4084" s="175">
        <v>1</v>
      </c>
      <c r="AT4084" s="175">
        <v>0</v>
      </c>
    </row>
    <row r="4085" spans="1:46">
      <c r="A4085">
        <v>65404</v>
      </c>
      <c r="B4085" t="s">
        <v>22307</v>
      </c>
      <c r="C4085" t="s">
        <v>22308</v>
      </c>
      <c r="D4085" t="s">
        <v>22309</v>
      </c>
      <c r="E4085" t="s">
        <v>22310</v>
      </c>
      <c r="G4085" t="s">
        <v>21973</v>
      </c>
      <c r="H4085" t="s">
        <v>449</v>
      </c>
      <c r="J4085" t="s">
        <v>605</v>
      </c>
      <c r="K4085" t="s">
        <v>606</v>
      </c>
      <c r="M4085" t="s">
        <v>2366</v>
      </c>
      <c r="N4085" t="s">
        <v>657</v>
      </c>
      <c r="O4085" t="s">
        <v>2944</v>
      </c>
      <c r="P4085" t="s">
        <v>610</v>
      </c>
      <c r="Q4085" t="s">
        <v>517</v>
      </c>
      <c r="R4085" t="s">
        <v>2901</v>
      </c>
      <c r="S4085" t="s">
        <v>2945</v>
      </c>
      <c r="T4085" t="s">
        <v>2526</v>
      </c>
      <c r="U4085">
        <v>300500</v>
      </c>
      <c r="V4085" t="s">
        <v>21974</v>
      </c>
      <c r="W4085" t="s">
        <v>21961</v>
      </c>
      <c r="X4085" t="s">
        <v>22311</v>
      </c>
      <c r="Y4085" t="s">
        <v>22312</v>
      </c>
      <c r="AA4085" t="s">
        <v>22313</v>
      </c>
      <c r="AB4085" t="s">
        <v>22314</v>
      </c>
      <c r="AC4085">
        <v>99054</v>
      </c>
      <c r="AD4085" t="s">
        <v>21962</v>
      </c>
      <c r="AE4085">
        <v>-40.857430100000002</v>
      </c>
      <c r="AF4085">
        <v>172.80725459999999</v>
      </c>
      <c r="AG4085" s="175">
        <v>41</v>
      </c>
      <c r="AH4085" s="175">
        <v>8</v>
      </c>
      <c r="AI4085" s="175">
        <v>0</v>
      </c>
      <c r="AJ4085" s="175">
        <v>14</v>
      </c>
      <c r="AK4085" s="175">
        <v>14</v>
      </c>
      <c r="AL4085" s="175">
        <v>18</v>
      </c>
      <c r="AM4085" s="175">
        <v>13</v>
      </c>
      <c r="AN4085" s="175">
        <v>0</v>
      </c>
      <c r="AO4085" s="175">
        <v>59</v>
      </c>
      <c r="AP4085" s="175">
        <v>56</v>
      </c>
      <c r="AQ4085" s="175">
        <v>13</v>
      </c>
      <c r="AR4085" s="175">
        <v>0</v>
      </c>
      <c r="AS4085" s="175">
        <v>1</v>
      </c>
      <c r="AT4085" s="175">
        <v>3</v>
      </c>
    </row>
    <row r="4086" spans="1:46">
      <c r="A4086">
        <v>65406</v>
      </c>
      <c r="B4086" t="s">
        <v>22315</v>
      </c>
      <c r="C4086" t="s">
        <v>22316</v>
      </c>
      <c r="D4086" t="s">
        <v>22317</v>
      </c>
      <c r="E4086" t="s">
        <v>22318</v>
      </c>
      <c r="G4086" t="s">
        <v>11353</v>
      </c>
      <c r="H4086" t="s">
        <v>449</v>
      </c>
      <c r="J4086" t="s">
        <v>605</v>
      </c>
      <c r="K4086" t="s">
        <v>606</v>
      </c>
      <c r="M4086" t="s">
        <v>2366</v>
      </c>
      <c r="N4086" t="s">
        <v>657</v>
      </c>
      <c r="O4086" t="s">
        <v>2944</v>
      </c>
      <c r="P4086" t="s">
        <v>658</v>
      </c>
      <c r="Q4086" t="s">
        <v>517</v>
      </c>
      <c r="R4086" t="s">
        <v>2901</v>
      </c>
      <c r="S4086" t="s">
        <v>2945</v>
      </c>
      <c r="T4086" t="s">
        <v>2526</v>
      </c>
      <c r="U4086">
        <v>301601</v>
      </c>
      <c r="V4086" t="s">
        <v>11354</v>
      </c>
      <c r="W4086" t="s">
        <v>11355</v>
      </c>
      <c r="X4086" t="s">
        <v>22319</v>
      </c>
      <c r="Y4086" t="s">
        <v>22320</v>
      </c>
      <c r="Z4086" t="s">
        <v>11353</v>
      </c>
      <c r="AA4086" t="s">
        <v>22321</v>
      </c>
      <c r="AB4086" t="s">
        <v>22322</v>
      </c>
      <c r="AC4086">
        <v>99115</v>
      </c>
      <c r="AD4086" t="s">
        <v>2948</v>
      </c>
      <c r="AE4086">
        <v>-41.257714229999998</v>
      </c>
      <c r="AF4086">
        <v>173.00756724999999</v>
      </c>
      <c r="AG4086" s="175">
        <v>50</v>
      </c>
      <c r="AH4086" s="175">
        <v>9</v>
      </c>
      <c r="AI4086" s="175">
        <v>0</v>
      </c>
      <c r="AJ4086" s="175">
        <v>11</v>
      </c>
      <c r="AK4086" s="175">
        <v>14</v>
      </c>
      <c r="AL4086" s="175">
        <v>11</v>
      </c>
      <c r="AM4086" s="175">
        <v>19</v>
      </c>
      <c r="AN4086" s="175">
        <v>0</v>
      </c>
      <c r="AO4086" s="175">
        <v>55</v>
      </c>
      <c r="AP4086" s="175">
        <v>47</v>
      </c>
      <c r="AQ4086" s="175">
        <v>9</v>
      </c>
      <c r="AR4086" s="175">
        <v>1</v>
      </c>
      <c r="AS4086" s="175">
        <v>3</v>
      </c>
      <c r="AT4086" s="175">
        <v>5</v>
      </c>
    </row>
    <row r="4087" spans="1:46">
      <c r="A4087">
        <v>65408</v>
      </c>
      <c r="B4087" t="s">
        <v>22323</v>
      </c>
      <c r="C4087" t="s">
        <v>22324</v>
      </c>
      <c r="E4087" t="s">
        <v>22325</v>
      </c>
      <c r="G4087" t="s">
        <v>2930</v>
      </c>
      <c r="H4087" t="s">
        <v>452</v>
      </c>
      <c r="J4087" t="s">
        <v>605</v>
      </c>
      <c r="K4087" t="s">
        <v>606</v>
      </c>
      <c r="M4087" t="s">
        <v>2366</v>
      </c>
      <c r="N4087" t="s">
        <v>657</v>
      </c>
      <c r="O4087" t="s">
        <v>2931</v>
      </c>
      <c r="P4087" t="s">
        <v>670</v>
      </c>
      <c r="Q4087" t="s">
        <v>518</v>
      </c>
      <c r="R4087" t="s">
        <v>2901</v>
      </c>
      <c r="S4087" t="s">
        <v>2930</v>
      </c>
      <c r="T4087" t="s">
        <v>2526</v>
      </c>
      <c r="U4087">
        <v>304700</v>
      </c>
      <c r="V4087" t="s">
        <v>22326</v>
      </c>
      <c r="W4087" t="s">
        <v>2114</v>
      </c>
      <c r="X4087" t="s">
        <v>2934</v>
      </c>
      <c r="Y4087" t="s">
        <v>2935</v>
      </c>
      <c r="Z4087" t="s">
        <v>2930</v>
      </c>
      <c r="AA4087" t="s">
        <v>2936</v>
      </c>
      <c r="AB4087" t="s">
        <v>2937</v>
      </c>
      <c r="AC4087">
        <v>99005</v>
      </c>
      <c r="AD4087" t="s">
        <v>2953</v>
      </c>
      <c r="AE4087">
        <v>-41.272493359999999</v>
      </c>
      <c r="AF4087">
        <v>173.28956732</v>
      </c>
      <c r="AG4087" s="175">
        <v>40</v>
      </c>
      <c r="AH4087" s="175">
        <v>10</v>
      </c>
      <c r="AI4087" s="175">
        <v>1</v>
      </c>
      <c r="AJ4087" s="175">
        <v>8</v>
      </c>
      <c r="AK4087" s="175">
        <v>10</v>
      </c>
      <c r="AL4087" s="175">
        <v>10</v>
      </c>
      <c r="AM4087" s="175">
        <v>10</v>
      </c>
      <c r="AN4087" s="175">
        <v>0</v>
      </c>
      <c r="AO4087" s="175">
        <v>39</v>
      </c>
      <c r="AP4087" s="175">
        <v>33</v>
      </c>
      <c r="AQ4087" s="175">
        <v>12</v>
      </c>
      <c r="AR4087" s="175">
        <v>0</v>
      </c>
      <c r="AS4087" s="175">
        <v>3</v>
      </c>
      <c r="AT4087" s="175">
        <v>1</v>
      </c>
    </row>
    <row r="4088" spans="1:46">
      <c r="A4088">
        <v>65409</v>
      </c>
      <c r="B4088" t="s">
        <v>22327</v>
      </c>
      <c r="C4088" t="s">
        <v>22328</v>
      </c>
      <c r="D4088" t="s">
        <v>22329</v>
      </c>
      <c r="E4088" t="s">
        <v>22330</v>
      </c>
      <c r="F4088" t="s">
        <v>16536</v>
      </c>
      <c r="G4088" t="s">
        <v>2930</v>
      </c>
      <c r="H4088" t="s">
        <v>449</v>
      </c>
      <c r="I4088" t="s">
        <v>4134</v>
      </c>
      <c r="J4088" t="s">
        <v>4032</v>
      </c>
      <c r="K4088" t="s">
        <v>606</v>
      </c>
      <c r="M4088" t="s">
        <v>2366</v>
      </c>
      <c r="N4088" t="s">
        <v>657</v>
      </c>
      <c r="O4088" t="s">
        <v>2931</v>
      </c>
      <c r="P4088" t="s">
        <v>670</v>
      </c>
      <c r="Q4088" t="s">
        <v>518</v>
      </c>
      <c r="R4088" t="s">
        <v>2901</v>
      </c>
      <c r="S4088" t="s">
        <v>2930</v>
      </c>
      <c r="T4088" t="s">
        <v>2526</v>
      </c>
      <c r="U4088">
        <v>304800</v>
      </c>
      <c r="V4088" t="s">
        <v>2952</v>
      </c>
      <c r="W4088" t="s">
        <v>2114</v>
      </c>
      <c r="X4088" t="s">
        <v>12944</v>
      </c>
      <c r="Y4088" t="s">
        <v>12945</v>
      </c>
      <c r="AA4088" t="s">
        <v>2936</v>
      </c>
      <c r="AC4088">
        <v>99005</v>
      </c>
      <c r="AD4088" t="s">
        <v>2953</v>
      </c>
      <c r="AE4088">
        <v>-41.262344540000001</v>
      </c>
      <c r="AF4088">
        <v>173.29761503</v>
      </c>
      <c r="AG4088" s="175">
        <v>50</v>
      </c>
      <c r="AH4088" s="175">
        <v>0</v>
      </c>
      <c r="AI4088" s="175">
        <v>0</v>
      </c>
      <c r="AJ4088" s="175">
        <v>0</v>
      </c>
      <c r="AK4088" s="175">
        <v>5</v>
      </c>
      <c r="AL4088" s="175">
        <v>17</v>
      </c>
      <c r="AM4088" s="175">
        <v>17</v>
      </c>
      <c r="AN4088" s="175">
        <v>1</v>
      </c>
      <c r="AO4088" s="175">
        <v>40</v>
      </c>
      <c r="AP4088" s="175">
        <v>24</v>
      </c>
      <c r="AQ4088" s="175">
        <v>4</v>
      </c>
      <c r="AR4088" s="175">
        <v>0</v>
      </c>
      <c r="AS4088" s="175">
        <v>4</v>
      </c>
      <c r="AT4088" s="175">
        <v>14</v>
      </c>
    </row>
    <row r="4089" spans="1:46">
      <c r="A4089">
        <v>65410</v>
      </c>
      <c r="B4089" t="s">
        <v>22331</v>
      </c>
      <c r="C4089" t="s">
        <v>22332</v>
      </c>
      <c r="D4089" t="s">
        <v>22333</v>
      </c>
      <c r="E4089" t="s">
        <v>22334</v>
      </c>
      <c r="F4089" t="s">
        <v>2930</v>
      </c>
      <c r="G4089" t="s">
        <v>2930</v>
      </c>
      <c r="H4089" t="s">
        <v>449</v>
      </c>
      <c r="J4089" t="s">
        <v>605</v>
      </c>
      <c r="K4089" t="s">
        <v>606</v>
      </c>
      <c r="M4089" t="s">
        <v>2366</v>
      </c>
      <c r="N4089" t="s">
        <v>657</v>
      </c>
      <c r="O4089" t="s">
        <v>2931</v>
      </c>
      <c r="P4089" t="s">
        <v>670</v>
      </c>
      <c r="Q4089" t="s">
        <v>518</v>
      </c>
      <c r="R4089" t="s">
        <v>2901</v>
      </c>
      <c r="S4089" t="s">
        <v>2930</v>
      </c>
      <c r="T4089" t="s">
        <v>2526</v>
      </c>
      <c r="U4089">
        <v>304700</v>
      </c>
      <c r="V4089" t="s">
        <v>22326</v>
      </c>
      <c r="W4089" t="s">
        <v>2114</v>
      </c>
      <c r="X4089" t="s">
        <v>22335</v>
      </c>
      <c r="Y4089" t="s">
        <v>22334</v>
      </c>
      <c r="AA4089" t="s">
        <v>16378</v>
      </c>
      <c r="AB4089" t="s">
        <v>22336</v>
      </c>
      <c r="AE4089">
        <v>-41.276143269999999</v>
      </c>
      <c r="AF4089">
        <v>173.28731409</v>
      </c>
      <c r="AG4089" s="175">
        <v>37</v>
      </c>
      <c r="AH4089" s="175">
        <v>9</v>
      </c>
      <c r="AI4089" s="175">
        <v>1</v>
      </c>
      <c r="AJ4089" s="175">
        <v>9</v>
      </c>
      <c r="AK4089" s="175">
        <v>10</v>
      </c>
      <c r="AL4089" s="175">
        <v>11</v>
      </c>
      <c r="AM4089" s="175">
        <v>14</v>
      </c>
      <c r="AN4089" s="175">
        <v>0</v>
      </c>
      <c r="AO4089" s="175">
        <v>45</v>
      </c>
      <c r="AP4089" s="175">
        <v>39</v>
      </c>
      <c r="AQ4089" s="175">
        <v>13</v>
      </c>
      <c r="AR4089" s="175">
        <v>5</v>
      </c>
      <c r="AS4089" s="175">
        <v>4</v>
      </c>
      <c r="AT4089" s="175">
        <v>4</v>
      </c>
    </row>
    <row r="4090" spans="1:46">
      <c r="A4090">
        <v>65412</v>
      </c>
      <c r="B4090" t="s">
        <v>22337</v>
      </c>
      <c r="C4090" t="s">
        <v>22338</v>
      </c>
      <c r="D4090" t="s">
        <v>22339</v>
      </c>
      <c r="E4090" t="s">
        <v>22340</v>
      </c>
      <c r="G4090" t="s">
        <v>2957</v>
      </c>
      <c r="H4090" t="s">
        <v>449</v>
      </c>
      <c r="J4090" t="s">
        <v>605</v>
      </c>
      <c r="K4090" t="s">
        <v>606</v>
      </c>
      <c r="M4090" t="s">
        <v>2366</v>
      </c>
      <c r="N4090" t="s">
        <v>657</v>
      </c>
      <c r="O4090" t="s">
        <v>2944</v>
      </c>
      <c r="P4090" t="s">
        <v>1347</v>
      </c>
      <c r="Q4090" t="s">
        <v>517</v>
      </c>
      <c r="R4090" t="s">
        <v>2901</v>
      </c>
      <c r="S4090" t="s">
        <v>2930</v>
      </c>
      <c r="T4090" t="s">
        <v>2526</v>
      </c>
      <c r="U4090">
        <v>302800</v>
      </c>
      <c r="V4090" t="s">
        <v>2985</v>
      </c>
      <c r="W4090" t="s">
        <v>2959</v>
      </c>
      <c r="X4090" t="s">
        <v>22341</v>
      </c>
      <c r="Y4090" t="s">
        <v>22342</v>
      </c>
      <c r="Z4090" t="s">
        <v>21981</v>
      </c>
      <c r="AA4090" t="s">
        <v>22343</v>
      </c>
      <c r="AB4090" t="s">
        <v>22338</v>
      </c>
      <c r="AC4090">
        <v>99142</v>
      </c>
      <c r="AD4090" t="s">
        <v>2960</v>
      </c>
      <c r="AE4090">
        <v>-41.338345080000003</v>
      </c>
      <c r="AF4090">
        <v>173.19436193000001</v>
      </c>
      <c r="AG4090" s="175">
        <v>37</v>
      </c>
      <c r="AH4090" s="175">
        <v>7</v>
      </c>
      <c r="AI4090" s="175">
        <v>1</v>
      </c>
      <c r="AJ4090" s="175">
        <v>9</v>
      </c>
      <c r="AK4090" s="175">
        <v>15</v>
      </c>
      <c r="AL4090" s="175">
        <v>18</v>
      </c>
      <c r="AM4090" s="175">
        <v>13</v>
      </c>
      <c r="AN4090" s="175">
        <v>1</v>
      </c>
      <c r="AO4090" s="175">
        <v>57</v>
      </c>
      <c r="AP4090" s="175">
        <v>43</v>
      </c>
      <c r="AQ4090" s="175">
        <v>14</v>
      </c>
      <c r="AR4090" s="175">
        <v>0</v>
      </c>
      <c r="AS4090" s="175">
        <v>11</v>
      </c>
      <c r="AT4090" s="175">
        <v>1</v>
      </c>
    </row>
    <row r="4091" spans="1:46">
      <c r="A4091">
        <v>65413</v>
      </c>
      <c r="B4091" t="s">
        <v>22344</v>
      </c>
      <c r="C4091" t="s">
        <v>22345</v>
      </c>
      <c r="E4091" t="s">
        <v>22346</v>
      </c>
      <c r="G4091" t="s">
        <v>2957</v>
      </c>
      <c r="H4091" t="s">
        <v>449</v>
      </c>
      <c r="J4091" t="s">
        <v>4032</v>
      </c>
      <c r="K4091" t="s">
        <v>606</v>
      </c>
      <c r="M4091" t="s">
        <v>2366</v>
      </c>
      <c r="N4091" t="s">
        <v>657</v>
      </c>
      <c r="O4091" t="s">
        <v>2944</v>
      </c>
      <c r="P4091" t="s">
        <v>1347</v>
      </c>
      <c r="Q4091" t="s">
        <v>517</v>
      </c>
      <c r="R4091" t="s">
        <v>2901</v>
      </c>
      <c r="S4091" t="s">
        <v>2930</v>
      </c>
      <c r="T4091" t="s">
        <v>2526</v>
      </c>
      <c r="U4091">
        <v>302800</v>
      </c>
      <c r="V4091" t="s">
        <v>2985</v>
      </c>
      <c r="W4091" t="s">
        <v>2959</v>
      </c>
      <c r="X4091" t="s">
        <v>22347</v>
      </c>
      <c r="Y4091" t="s">
        <v>22346</v>
      </c>
      <c r="AA4091" t="s">
        <v>11003</v>
      </c>
      <c r="AB4091" t="s">
        <v>22348</v>
      </c>
      <c r="AC4091">
        <v>99142</v>
      </c>
      <c r="AD4091" t="s">
        <v>2960</v>
      </c>
      <c r="AE4091">
        <v>-41.338232699999999</v>
      </c>
      <c r="AF4091">
        <v>173.18113450000001</v>
      </c>
      <c r="AG4091" s="175">
        <v>40</v>
      </c>
      <c r="AH4091" s="175">
        <v>10</v>
      </c>
      <c r="AI4091" s="175">
        <v>0</v>
      </c>
      <c r="AJ4091" s="175">
        <v>0</v>
      </c>
      <c r="AK4091" s="175">
        <v>8</v>
      </c>
      <c r="AL4091" s="175">
        <v>15</v>
      </c>
      <c r="AM4091" s="175">
        <v>12</v>
      </c>
      <c r="AN4091" s="175">
        <v>1</v>
      </c>
      <c r="AO4091" s="175">
        <v>36</v>
      </c>
      <c r="AP4091" s="175">
        <v>29</v>
      </c>
      <c r="AQ4091" s="175">
        <v>10</v>
      </c>
      <c r="AR4091" s="175">
        <v>4</v>
      </c>
      <c r="AS4091" s="175">
        <v>4</v>
      </c>
      <c r="AT4091" s="175">
        <v>0</v>
      </c>
    </row>
    <row r="4092" spans="1:46">
      <c r="A4092">
        <v>65417</v>
      </c>
      <c r="B4092" t="s">
        <v>22349</v>
      </c>
      <c r="C4092" t="s">
        <v>22350</v>
      </c>
      <c r="E4092" t="s">
        <v>22351</v>
      </c>
      <c r="G4092" t="s">
        <v>2930</v>
      </c>
      <c r="H4092" t="s">
        <v>347</v>
      </c>
      <c r="J4092" t="s">
        <v>605</v>
      </c>
      <c r="K4092" t="s">
        <v>606</v>
      </c>
      <c r="L4092" t="s">
        <v>4273</v>
      </c>
      <c r="M4092" t="s">
        <v>2366</v>
      </c>
      <c r="N4092" t="s">
        <v>625</v>
      </c>
      <c r="O4092" t="s">
        <v>2931</v>
      </c>
      <c r="P4092" t="s">
        <v>670</v>
      </c>
      <c r="Q4092" t="s">
        <v>518</v>
      </c>
      <c r="R4092" t="s">
        <v>2901</v>
      </c>
      <c r="S4092" t="s">
        <v>2930</v>
      </c>
      <c r="T4092" t="s">
        <v>2526</v>
      </c>
      <c r="U4092">
        <v>304300</v>
      </c>
      <c r="V4092" t="s">
        <v>16536</v>
      </c>
      <c r="W4092" t="s">
        <v>2114</v>
      </c>
      <c r="X4092" t="s">
        <v>12121</v>
      </c>
      <c r="Y4092" t="s">
        <v>4276</v>
      </c>
      <c r="Z4092" t="s">
        <v>4277</v>
      </c>
      <c r="AA4092" t="s">
        <v>4278</v>
      </c>
      <c r="AB4092" t="s">
        <v>12122</v>
      </c>
      <c r="AE4092">
        <v>-41.261150319999999</v>
      </c>
      <c r="AF4092">
        <v>173.29807815999999</v>
      </c>
      <c r="AG4092" s="175">
        <v>25</v>
      </c>
      <c r="AH4092" s="175">
        <v>10</v>
      </c>
      <c r="AI4092" s="175">
        <v>1</v>
      </c>
      <c r="AJ4092" s="175">
        <v>6</v>
      </c>
      <c r="AK4092" s="175">
        <v>7</v>
      </c>
      <c r="AL4092" s="175">
        <v>3</v>
      </c>
      <c r="AM4092" s="175">
        <v>4</v>
      </c>
      <c r="AN4092" s="175">
        <v>0</v>
      </c>
      <c r="AO4092" s="175">
        <v>21</v>
      </c>
      <c r="AP4092" s="175">
        <v>0</v>
      </c>
      <c r="AQ4092" s="175">
        <v>18</v>
      </c>
      <c r="AR4092" s="175">
        <v>2</v>
      </c>
      <c r="AS4092" s="175">
        <v>0</v>
      </c>
      <c r="AT4092" s="175">
        <v>1</v>
      </c>
    </row>
    <row r="4093" spans="1:46">
      <c r="A4093">
        <v>65421</v>
      </c>
      <c r="B4093" t="s">
        <v>22352</v>
      </c>
      <c r="C4093" t="s">
        <v>22353</v>
      </c>
      <c r="D4093" t="s">
        <v>22354</v>
      </c>
      <c r="E4093" t="s">
        <v>22355</v>
      </c>
      <c r="G4093" t="s">
        <v>2957</v>
      </c>
      <c r="H4093" t="s">
        <v>449</v>
      </c>
      <c r="I4093" t="s">
        <v>5838</v>
      </c>
      <c r="J4093" t="s">
        <v>4032</v>
      </c>
      <c r="K4093" t="s">
        <v>606</v>
      </c>
      <c r="M4093" t="s">
        <v>2366</v>
      </c>
      <c r="N4093" t="s">
        <v>657</v>
      </c>
      <c r="O4093" t="s">
        <v>2944</v>
      </c>
      <c r="P4093" t="s">
        <v>1347</v>
      </c>
      <c r="Q4093" t="s">
        <v>517</v>
      </c>
      <c r="R4093" t="s">
        <v>2901</v>
      </c>
      <c r="S4093" t="s">
        <v>2930</v>
      </c>
      <c r="T4093" t="s">
        <v>2526</v>
      </c>
      <c r="U4093">
        <v>302800</v>
      </c>
      <c r="V4093" t="s">
        <v>2985</v>
      </c>
      <c r="W4093" t="s">
        <v>2959</v>
      </c>
      <c r="X4093" t="s">
        <v>22356</v>
      </c>
      <c r="Y4093" t="s">
        <v>22357</v>
      </c>
      <c r="Z4093" t="s">
        <v>2957</v>
      </c>
      <c r="AA4093" t="s">
        <v>22358</v>
      </c>
      <c r="AB4093" t="s">
        <v>22359</v>
      </c>
      <c r="AC4093">
        <v>99142</v>
      </c>
      <c r="AD4093" t="s">
        <v>2960</v>
      </c>
      <c r="AE4093">
        <v>-41.335075510000003</v>
      </c>
      <c r="AF4093">
        <v>173.1995613</v>
      </c>
      <c r="AG4093" s="175">
        <v>42</v>
      </c>
      <c r="AH4093" s="175">
        <v>0</v>
      </c>
      <c r="AI4093" s="175">
        <v>0</v>
      </c>
      <c r="AJ4093" s="175">
        <v>0</v>
      </c>
      <c r="AK4093" s="175">
        <v>11</v>
      </c>
      <c r="AL4093" s="175">
        <v>21</v>
      </c>
      <c r="AM4093" s="175">
        <v>15</v>
      </c>
      <c r="AN4093" s="175">
        <v>2</v>
      </c>
      <c r="AO4093" s="175">
        <v>49</v>
      </c>
      <c r="AP4093" s="175">
        <v>45</v>
      </c>
      <c r="AQ4093" s="175">
        <v>11</v>
      </c>
      <c r="AR4093" s="175">
        <v>4</v>
      </c>
      <c r="AS4093" s="175">
        <v>4</v>
      </c>
      <c r="AT4093" s="175">
        <v>3</v>
      </c>
    </row>
    <row r="4094" spans="1:46">
      <c r="A4094">
        <v>65501</v>
      </c>
      <c r="B4094" t="s">
        <v>22360</v>
      </c>
      <c r="C4094" t="s">
        <v>22361</v>
      </c>
      <c r="D4094" t="s">
        <v>22362</v>
      </c>
      <c r="E4094" t="s">
        <v>22363</v>
      </c>
      <c r="G4094" t="s">
        <v>2899</v>
      </c>
      <c r="H4094" t="s">
        <v>449</v>
      </c>
      <c r="J4094" t="s">
        <v>605</v>
      </c>
      <c r="K4094" t="s">
        <v>606</v>
      </c>
      <c r="M4094" t="s">
        <v>2366</v>
      </c>
      <c r="N4094" t="s">
        <v>657</v>
      </c>
      <c r="O4094" t="s">
        <v>2900</v>
      </c>
      <c r="P4094" t="s">
        <v>1347</v>
      </c>
      <c r="Q4094" t="s">
        <v>519</v>
      </c>
      <c r="R4094" t="s">
        <v>2901</v>
      </c>
      <c r="S4094" t="s">
        <v>2902</v>
      </c>
      <c r="T4094" t="s">
        <v>2526</v>
      </c>
      <c r="U4094">
        <v>308200</v>
      </c>
      <c r="V4094" t="s">
        <v>22364</v>
      </c>
      <c r="W4094" t="s">
        <v>2903</v>
      </c>
      <c r="X4094" t="s">
        <v>22250</v>
      </c>
      <c r="Y4094" t="s">
        <v>22251</v>
      </c>
      <c r="Z4094" t="s">
        <v>2899</v>
      </c>
      <c r="AA4094" t="s">
        <v>22165</v>
      </c>
      <c r="AB4094" t="s">
        <v>22252</v>
      </c>
      <c r="AC4094">
        <v>99006</v>
      </c>
      <c r="AD4094" t="s">
        <v>2908</v>
      </c>
      <c r="AE4094">
        <v>-41.534084010000001</v>
      </c>
      <c r="AF4094">
        <v>173.94891894</v>
      </c>
      <c r="AG4094" s="175">
        <v>34</v>
      </c>
      <c r="AH4094" s="175">
        <v>5</v>
      </c>
      <c r="AI4094" s="175">
        <v>0</v>
      </c>
      <c r="AJ4094" s="175">
        <v>5</v>
      </c>
      <c r="AK4094" s="175">
        <v>8</v>
      </c>
      <c r="AL4094" s="175">
        <v>16</v>
      </c>
      <c r="AM4094" s="175">
        <v>12</v>
      </c>
      <c r="AN4094" s="175">
        <v>0</v>
      </c>
      <c r="AO4094" s="175">
        <v>41</v>
      </c>
      <c r="AP4094" s="175">
        <v>26</v>
      </c>
      <c r="AQ4094" s="175">
        <v>11</v>
      </c>
      <c r="AR4094" s="175">
        <v>1</v>
      </c>
      <c r="AS4094" s="175">
        <v>11</v>
      </c>
      <c r="AT4094" s="175">
        <v>2</v>
      </c>
    </row>
    <row r="4095" spans="1:46">
      <c r="A4095">
        <v>65502</v>
      </c>
      <c r="B4095" t="s">
        <v>22365</v>
      </c>
      <c r="C4095" t="s">
        <v>22366</v>
      </c>
      <c r="D4095" t="s">
        <v>22367</v>
      </c>
      <c r="E4095" t="s">
        <v>22368</v>
      </c>
      <c r="F4095" t="s">
        <v>2899</v>
      </c>
      <c r="G4095" t="s">
        <v>2899</v>
      </c>
      <c r="H4095" t="s">
        <v>449</v>
      </c>
      <c r="J4095" t="s">
        <v>605</v>
      </c>
      <c r="K4095" t="s">
        <v>606</v>
      </c>
      <c r="M4095" t="s">
        <v>2366</v>
      </c>
      <c r="N4095" t="s">
        <v>657</v>
      </c>
      <c r="O4095" t="s">
        <v>2900</v>
      </c>
      <c r="P4095" t="s">
        <v>1347</v>
      </c>
      <c r="Q4095" t="s">
        <v>519</v>
      </c>
      <c r="R4095" t="s">
        <v>2901</v>
      </c>
      <c r="S4095" t="s">
        <v>2902</v>
      </c>
      <c r="T4095" t="s">
        <v>2526</v>
      </c>
      <c r="U4095">
        <v>307900</v>
      </c>
      <c r="V4095" t="s">
        <v>11615</v>
      </c>
      <c r="W4095" t="s">
        <v>2903</v>
      </c>
      <c r="X4095" t="s">
        <v>22250</v>
      </c>
      <c r="Y4095" t="s">
        <v>22251</v>
      </c>
      <c r="Z4095" t="s">
        <v>2899</v>
      </c>
      <c r="AA4095" t="s">
        <v>22165</v>
      </c>
      <c r="AB4095" t="s">
        <v>22252</v>
      </c>
      <c r="AC4095">
        <v>99006</v>
      </c>
      <c r="AD4095" t="s">
        <v>2908</v>
      </c>
      <c r="AE4095">
        <v>-41.50935793</v>
      </c>
      <c r="AF4095">
        <v>173.95347470999999</v>
      </c>
      <c r="AG4095" s="175">
        <v>60</v>
      </c>
      <c r="AH4095" s="175">
        <v>12</v>
      </c>
      <c r="AI4095" s="175">
        <v>0</v>
      </c>
      <c r="AJ4095" s="175">
        <v>15</v>
      </c>
      <c r="AK4095" s="175">
        <v>11</v>
      </c>
      <c r="AL4095" s="175">
        <v>14</v>
      </c>
      <c r="AM4095" s="175">
        <v>24</v>
      </c>
      <c r="AN4095" s="175">
        <v>0</v>
      </c>
      <c r="AO4095" s="175">
        <v>64</v>
      </c>
      <c r="AP4095" s="175">
        <v>53</v>
      </c>
      <c r="AQ4095" s="175">
        <v>17</v>
      </c>
      <c r="AR4095" s="175">
        <v>5</v>
      </c>
      <c r="AS4095" s="175">
        <v>5</v>
      </c>
      <c r="AT4095" s="175">
        <v>2</v>
      </c>
    </row>
    <row r="4096" spans="1:46">
      <c r="A4096">
        <v>65503</v>
      </c>
      <c r="B4096" t="s">
        <v>22369</v>
      </c>
      <c r="C4096" t="s">
        <v>22370</v>
      </c>
      <c r="D4096" t="s">
        <v>18109</v>
      </c>
      <c r="E4096" t="s">
        <v>18113</v>
      </c>
      <c r="F4096" t="s">
        <v>2899</v>
      </c>
      <c r="G4096" t="s">
        <v>2899</v>
      </c>
      <c r="H4096" t="s">
        <v>449</v>
      </c>
      <c r="J4096" t="s">
        <v>4032</v>
      </c>
      <c r="K4096" t="s">
        <v>606</v>
      </c>
      <c r="M4096" t="s">
        <v>2366</v>
      </c>
      <c r="N4096" t="s">
        <v>643</v>
      </c>
      <c r="O4096" t="s">
        <v>2900</v>
      </c>
      <c r="P4096" t="s">
        <v>1347</v>
      </c>
      <c r="Q4096" t="s">
        <v>519</v>
      </c>
      <c r="R4096" t="s">
        <v>2901</v>
      </c>
      <c r="S4096" t="s">
        <v>2902</v>
      </c>
      <c r="T4096" t="s">
        <v>2526</v>
      </c>
      <c r="U4096">
        <v>308100</v>
      </c>
      <c r="V4096" t="s">
        <v>2919</v>
      </c>
      <c r="W4096" t="s">
        <v>2903</v>
      </c>
      <c r="X4096" t="s">
        <v>18112</v>
      </c>
      <c r="Y4096" t="s">
        <v>18113</v>
      </c>
      <c r="AA4096" t="s">
        <v>18114</v>
      </c>
      <c r="AC4096">
        <v>99006</v>
      </c>
      <c r="AD4096" t="s">
        <v>2908</v>
      </c>
      <c r="AE4096">
        <v>-41.521527380000002</v>
      </c>
      <c r="AF4096">
        <v>173.95719837999999</v>
      </c>
      <c r="AG4096" s="175">
        <v>42</v>
      </c>
      <c r="AH4096" s="175">
        <v>8</v>
      </c>
      <c r="AI4096" s="175">
        <v>0</v>
      </c>
      <c r="AJ4096" s="175">
        <v>5</v>
      </c>
      <c r="AK4096" s="175">
        <v>13</v>
      </c>
      <c r="AL4096" s="175">
        <v>14</v>
      </c>
      <c r="AM4096" s="175">
        <v>9</v>
      </c>
      <c r="AN4096" s="175">
        <v>0</v>
      </c>
      <c r="AO4096" s="175">
        <v>41</v>
      </c>
      <c r="AP4096" s="175">
        <v>31</v>
      </c>
      <c r="AQ4096" s="175">
        <v>10</v>
      </c>
      <c r="AR4096" s="175">
        <v>3</v>
      </c>
      <c r="AS4096" s="175">
        <v>5</v>
      </c>
      <c r="AT4096" s="175">
        <v>2</v>
      </c>
    </row>
    <row r="4097" spans="1:46">
      <c r="A4097">
        <v>65504</v>
      </c>
      <c r="B4097" t="s">
        <v>22371</v>
      </c>
      <c r="C4097" t="s">
        <v>22372</v>
      </c>
      <c r="D4097" t="s">
        <v>22373</v>
      </c>
      <c r="E4097" t="s">
        <v>22374</v>
      </c>
      <c r="F4097" t="s">
        <v>2899</v>
      </c>
      <c r="G4097" t="s">
        <v>2899</v>
      </c>
      <c r="H4097" t="s">
        <v>449</v>
      </c>
      <c r="I4097" t="s">
        <v>6296</v>
      </c>
      <c r="J4097" t="s">
        <v>605</v>
      </c>
      <c r="K4097" t="s">
        <v>606</v>
      </c>
      <c r="M4097" t="s">
        <v>2366</v>
      </c>
      <c r="N4097" t="s">
        <v>657</v>
      </c>
      <c r="O4097" t="s">
        <v>2900</v>
      </c>
      <c r="P4097" t="s">
        <v>1347</v>
      </c>
      <c r="Q4097" t="s">
        <v>519</v>
      </c>
      <c r="R4097" t="s">
        <v>2901</v>
      </c>
      <c r="S4097" t="s">
        <v>2902</v>
      </c>
      <c r="T4097" t="s">
        <v>2526</v>
      </c>
      <c r="U4097">
        <v>308100</v>
      </c>
      <c r="V4097" t="s">
        <v>2919</v>
      </c>
      <c r="W4097" t="s">
        <v>2903</v>
      </c>
      <c r="X4097" t="s">
        <v>22375</v>
      </c>
      <c r="Y4097" t="s">
        <v>22374</v>
      </c>
      <c r="Z4097" t="s">
        <v>2899</v>
      </c>
      <c r="AA4097" t="s">
        <v>2906</v>
      </c>
      <c r="AB4097" t="s">
        <v>22376</v>
      </c>
      <c r="AE4097">
        <v>-41.517005589999997</v>
      </c>
      <c r="AF4097">
        <v>173.95319541999999</v>
      </c>
      <c r="AG4097" s="175">
        <v>40</v>
      </c>
      <c r="AH4097" s="175">
        <v>0</v>
      </c>
      <c r="AI4097" s="175">
        <v>0</v>
      </c>
      <c r="AJ4097" s="175">
        <v>0</v>
      </c>
      <c r="AK4097" s="175">
        <v>12</v>
      </c>
      <c r="AL4097" s="175">
        <v>17</v>
      </c>
      <c r="AM4097" s="175">
        <v>20</v>
      </c>
      <c r="AN4097" s="175">
        <v>2</v>
      </c>
      <c r="AO4097" s="175">
        <v>51</v>
      </c>
      <c r="AP4097" s="175">
        <v>30</v>
      </c>
      <c r="AQ4097" s="175">
        <v>10</v>
      </c>
      <c r="AR4097" s="175">
        <v>8</v>
      </c>
      <c r="AS4097" s="175">
        <v>10</v>
      </c>
      <c r="AT4097" s="175">
        <v>7</v>
      </c>
    </row>
    <row r="4098" spans="1:46">
      <c r="A4098">
        <v>65506</v>
      </c>
      <c r="B4098" t="s">
        <v>22377</v>
      </c>
      <c r="C4098" t="s">
        <v>22378</v>
      </c>
      <c r="D4098" t="s">
        <v>22379</v>
      </c>
      <c r="E4098" t="s">
        <v>22380</v>
      </c>
      <c r="G4098" t="s">
        <v>21675</v>
      </c>
      <c r="H4098" t="s">
        <v>449</v>
      </c>
      <c r="J4098" t="s">
        <v>605</v>
      </c>
      <c r="K4098" t="s">
        <v>606</v>
      </c>
      <c r="M4098" t="s">
        <v>2366</v>
      </c>
      <c r="N4098" t="s">
        <v>657</v>
      </c>
      <c r="O4098" t="s">
        <v>2900</v>
      </c>
      <c r="P4098" t="s">
        <v>610</v>
      </c>
      <c r="Q4098" t="s">
        <v>519</v>
      </c>
      <c r="R4098" t="s">
        <v>2901</v>
      </c>
      <c r="S4098" t="s">
        <v>2902</v>
      </c>
      <c r="T4098" t="s">
        <v>2526</v>
      </c>
      <c r="U4098">
        <v>306801</v>
      </c>
      <c r="V4098" t="s">
        <v>21676</v>
      </c>
      <c r="W4098" t="s">
        <v>21677</v>
      </c>
      <c r="X4098" t="s">
        <v>22381</v>
      </c>
      <c r="Y4098" t="s">
        <v>22382</v>
      </c>
      <c r="AA4098" t="s">
        <v>22383</v>
      </c>
      <c r="AB4098" t="s">
        <v>22378</v>
      </c>
      <c r="AC4098">
        <v>99004</v>
      </c>
      <c r="AD4098" t="s">
        <v>22167</v>
      </c>
      <c r="AE4098">
        <v>-41.293604199999997</v>
      </c>
      <c r="AF4098">
        <v>174.00473439999999</v>
      </c>
      <c r="AG4098" s="175">
        <v>40</v>
      </c>
      <c r="AH4098" s="175">
        <v>10</v>
      </c>
      <c r="AI4098" s="175">
        <v>1</v>
      </c>
      <c r="AJ4098" s="175">
        <v>14</v>
      </c>
      <c r="AK4098" s="175">
        <v>6</v>
      </c>
      <c r="AL4098" s="175">
        <v>12</v>
      </c>
      <c r="AM4098" s="175">
        <v>21</v>
      </c>
      <c r="AN4098" s="175">
        <v>0</v>
      </c>
      <c r="AO4098" s="175">
        <v>54</v>
      </c>
      <c r="AP4098" s="175">
        <v>45</v>
      </c>
      <c r="AQ4098" s="175">
        <v>18</v>
      </c>
      <c r="AR4098" s="175">
        <v>2</v>
      </c>
      <c r="AS4098" s="175">
        <v>1</v>
      </c>
      <c r="AT4098" s="175">
        <v>2</v>
      </c>
    </row>
    <row r="4099" spans="1:46">
      <c r="A4099">
        <v>65507</v>
      </c>
      <c r="B4099" t="s">
        <v>21578</v>
      </c>
      <c r="C4099" t="s">
        <v>22384</v>
      </c>
      <c r="E4099" t="s">
        <v>22385</v>
      </c>
      <c r="G4099" t="s">
        <v>2899</v>
      </c>
      <c r="H4099" t="s">
        <v>347</v>
      </c>
      <c r="J4099" t="s">
        <v>605</v>
      </c>
      <c r="K4099" t="s">
        <v>606</v>
      </c>
      <c r="L4099" t="s">
        <v>4273</v>
      </c>
      <c r="M4099" t="s">
        <v>2366</v>
      </c>
      <c r="N4099" t="s">
        <v>625</v>
      </c>
      <c r="O4099" t="s">
        <v>2900</v>
      </c>
      <c r="P4099" t="s">
        <v>1347</v>
      </c>
      <c r="Q4099" t="s">
        <v>519</v>
      </c>
      <c r="R4099" t="s">
        <v>2901</v>
      </c>
      <c r="S4099" t="s">
        <v>2902</v>
      </c>
      <c r="T4099" t="s">
        <v>2526</v>
      </c>
      <c r="U4099">
        <v>308000</v>
      </c>
      <c r="V4099" t="s">
        <v>11331</v>
      </c>
      <c r="W4099" t="s">
        <v>2903</v>
      </c>
      <c r="X4099" t="s">
        <v>12121</v>
      </c>
      <c r="Y4099" t="s">
        <v>4276</v>
      </c>
      <c r="Z4099" t="s">
        <v>4277</v>
      </c>
      <c r="AA4099" t="s">
        <v>4278</v>
      </c>
      <c r="AB4099" t="s">
        <v>12122</v>
      </c>
      <c r="AE4099">
        <v>-41.504092059999998</v>
      </c>
      <c r="AF4099">
        <v>173.96817909000001</v>
      </c>
      <c r="AG4099" s="175">
        <v>24</v>
      </c>
      <c r="AH4099" s="175">
        <v>8</v>
      </c>
      <c r="AI4099" s="175">
        <v>1</v>
      </c>
      <c r="AJ4099" s="175">
        <v>7</v>
      </c>
      <c r="AK4099" s="175">
        <v>10</v>
      </c>
      <c r="AL4099" s="175">
        <v>2</v>
      </c>
      <c r="AM4099" s="175">
        <v>3</v>
      </c>
      <c r="AN4099" s="175">
        <v>0</v>
      </c>
      <c r="AO4099" s="175">
        <v>23</v>
      </c>
      <c r="AP4099" s="175">
        <v>0</v>
      </c>
      <c r="AQ4099" s="175">
        <v>22</v>
      </c>
      <c r="AR4099" s="175">
        <v>1</v>
      </c>
      <c r="AS4099" s="175">
        <v>0</v>
      </c>
      <c r="AT4099" s="175">
        <v>0</v>
      </c>
    </row>
    <row r="4100" spans="1:46">
      <c r="A4100">
        <v>65512</v>
      </c>
      <c r="B4100" t="s">
        <v>22386</v>
      </c>
      <c r="C4100" t="s">
        <v>22387</v>
      </c>
      <c r="D4100" t="s">
        <v>22388</v>
      </c>
      <c r="E4100" t="s">
        <v>22389</v>
      </c>
      <c r="F4100" t="s">
        <v>2899</v>
      </c>
      <c r="G4100" t="s">
        <v>2899</v>
      </c>
      <c r="H4100" t="s">
        <v>449</v>
      </c>
      <c r="J4100" t="s">
        <v>605</v>
      </c>
      <c r="K4100" t="s">
        <v>606</v>
      </c>
      <c r="M4100" t="s">
        <v>2366</v>
      </c>
      <c r="N4100" t="s">
        <v>657</v>
      </c>
      <c r="O4100" t="s">
        <v>2900</v>
      </c>
      <c r="P4100" t="s">
        <v>1347</v>
      </c>
      <c r="Q4100" t="s">
        <v>519</v>
      </c>
      <c r="R4100" t="s">
        <v>2901</v>
      </c>
      <c r="S4100" t="s">
        <v>2902</v>
      </c>
      <c r="T4100" t="s">
        <v>2526</v>
      </c>
      <c r="U4100">
        <v>307601</v>
      </c>
      <c r="V4100" t="s">
        <v>22390</v>
      </c>
      <c r="W4100" t="s">
        <v>2903</v>
      </c>
      <c r="X4100" t="s">
        <v>18379</v>
      </c>
      <c r="Y4100" t="s">
        <v>4014</v>
      </c>
      <c r="Z4100" t="s">
        <v>4015</v>
      </c>
      <c r="AA4100" t="s">
        <v>4016</v>
      </c>
      <c r="AC4100">
        <v>99006</v>
      </c>
      <c r="AD4100" t="s">
        <v>2908</v>
      </c>
      <c r="AE4100">
        <v>-41.51200729</v>
      </c>
      <c r="AF4100">
        <v>173.95185914999999</v>
      </c>
      <c r="AG4100" s="175">
        <v>52</v>
      </c>
      <c r="AH4100" s="175">
        <v>12</v>
      </c>
      <c r="AI4100" s="175">
        <v>3</v>
      </c>
      <c r="AJ4100" s="175">
        <v>9</v>
      </c>
      <c r="AK4100" s="175">
        <v>8</v>
      </c>
      <c r="AL4100" s="175">
        <v>17</v>
      </c>
      <c r="AM4100" s="175">
        <v>16</v>
      </c>
      <c r="AN4100" s="175">
        <v>0</v>
      </c>
      <c r="AO4100" s="175">
        <v>53</v>
      </c>
      <c r="AP4100" s="175">
        <v>34</v>
      </c>
      <c r="AQ4100" s="175">
        <v>13</v>
      </c>
      <c r="AR4100" s="175">
        <v>2</v>
      </c>
      <c r="AS4100" s="175">
        <v>10</v>
      </c>
      <c r="AT4100" s="175">
        <v>8</v>
      </c>
    </row>
    <row r="4101" spans="1:46">
      <c r="A4101">
        <v>65603</v>
      </c>
      <c r="B4101" t="s">
        <v>22391</v>
      </c>
      <c r="C4101" t="s">
        <v>22392</v>
      </c>
      <c r="D4101" t="s">
        <v>22393</v>
      </c>
      <c r="E4101" t="s">
        <v>22394</v>
      </c>
      <c r="G4101" t="s">
        <v>3001</v>
      </c>
      <c r="H4101" t="s">
        <v>449</v>
      </c>
      <c r="J4101" t="s">
        <v>605</v>
      </c>
      <c r="K4101" t="s">
        <v>606</v>
      </c>
      <c r="M4101" t="s">
        <v>2366</v>
      </c>
      <c r="N4101" t="s">
        <v>643</v>
      </c>
      <c r="O4101" t="s">
        <v>3002</v>
      </c>
      <c r="P4101" t="s">
        <v>610</v>
      </c>
      <c r="Q4101" t="s">
        <v>520</v>
      </c>
      <c r="R4101" t="s">
        <v>2901</v>
      </c>
      <c r="S4101" t="s">
        <v>2945</v>
      </c>
      <c r="T4101" t="s">
        <v>2526</v>
      </c>
      <c r="U4101">
        <v>309201</v>
      </c>
      <c r="V4101" t="s">
        <v>3003</v>
      </c>
      <c r="W4101" t="s">
        <v>3004</v>
      </c>
      <c r="X4101" t="s">
        <v>22395</v>
      </c>
      <c r="Y4101" t="s">
        <v>22396</v>
      </c>
      <c r="AA4101" t="s">
        <v>22397</v>
      </c>
      <c r="AC4101">
        <v>99007</v>
      </c>
      <c r="AD4101" t="s">
        <v>3009</v>
      </c>
      <c r="AE4101">
        <v>-41.749207560000002</v>
      </c>
      <c r="AF4101">
        <v>171.60946423999999</v>
      </c>
      <c r="AG4101" s="175">
        <v>51</v>
      </c>
      <c r="AH4101" s="175">
        <v>12</v>
      </c>
      <c r="AI4101" s="175">
        <v>1</v>
      </c>
      <c r="AJ4101" s="175">
        <v>13</v>
      </c>
      <c r="AK4101" s="175">
        <v>18</v>
      </c>
      <c r="AL4101" s="175">
        <v>13</v>
      </c>
      <c r="AM4101" s="175">
        <v>21</v>
      </c>
      <c r="AN4101" s="175">
        <v>1</v>
      </c>
      <c r="AO4101" s="175">
        <v>67</v>
      </c>
      <c r="AP4101" s="175">
        <v>55</v>
      </c>
      <c r="AQ4101" s="175">
        <v>16</v>
      </c>
      <c r="AR4101" s="175">
        <v>2</v>
      </c>
      <c r="AS4101" s="175">
        <v>3</v>
      </c>
      <c r="AT4101" s="175">
        <v>8</v>
      </c>
    </row>
    <row r="4102" spans="1:46">
      <c r="A4102">
        <v>65608</v>
      </c>
      <c r="B4102" t="s">
        <v>22398</v>
      </c>
      <c r="C4102" t="s">
        <v>22399</v>
      </c>
      <c r="D4102" t="s">
        <v>22400</v>
      </c>
      <c r="E4102" t="s">
        <v>21968</v>
      </c>
      <c r="G4102" t="s">
        <v>2943</v>
      </c>
      <c r="H4102" t="s">
        <v>452</v>
      </c>
      <c r="J4102" t="s">
        <v>605</v>
      </c>
      <c r="K4102" t="s">
        <v>606</v>
      </c>
      <c r="M4102" t="s">
        <v>2366</v>
      </c>
      <c r="N4102" t="s">
        <v>625</v>
      </c>
      <c r="O4102" t="s">
        <v>2944</v>
      </c>
      <c r="P4102" t="s">
        <v>610</v>
      </c>
      <c r="Q4102" t="s">
        <v>517</v>
      </c>
      <c r="R4102" t="s">
        <v>2901</v>
      </c>
      <c r="S4102" t="s">
        <v>2945</v>
      </c>
      <c r="T4102" t="s">
        <v>2526</v>
      </c>
      <c r="U4102">
        <v>301200</v>
      </c>
      <c r="V4102" t="s">
        <v>2965</v>
      </c>
      <c r="W4102" t="s">
        <v>2947</v>
      </c>
      <c r="X4102" t="s">
        <v>2934</v>
      </c>
      <c r="Y4102" t="s">
        <v>2935</v>
      </c>
      <c r="Z4102" t="s">
        <v>2930</v>
      </c>
      <c r="AA4102" t="s">
        <v>2936</v>
      </c>
      <c r="AB4102" t="s">
        <v>2937</v>
      </c>
      <c r="AC4102">
        <v>99115</v>
      </c>
      <c r="AD4102" t="s">
        <v>2948</v>
      </c>
      <c r="AE4102">
        <v>-41.112058060000003</v>
      </c>
      <c r="AF4102">
        <v>173.00873469999999</v>
      </c>
      <c r="AG4102" s="175">
        <v>40</v>
      </c>
      <c r="AH4102" s="175">
        <v>12</v>
      </c>
      <c r="AI4102" s="175">
        <v>0</v>
      </c>
      <c r="AJ4102" s="175">
        <v>0</v>
      </c>
      <c r="AK4102" s="175">
        <v>12</v>
      </c>
      <c r="AL4102" s="175">
        <v>11</v>
      </c>
      <c r="AM4102" s="175">
        <v>11</v>
      </c>
      <c r="AN4102" s="175">
        <v>0</v>
      </c>
      <c r="AO4102" s="175">
        <v>34</v>
      </c>
      <c r="AP4102" s="175">
        <v>24</v>
      </c>
      <c r="AQ4102" s="175">
        <v>11</v>
      </c>
      <c r="AR4102" s="175">
        <v>3</v>
      </c>
      <c r="AS4102" s="175">
        <v>7</v>
      </c>
      <c r="AT4102" s="175">
        <v>0</v>
      </c>
    </row>
    <row r="4103" spans="1:46">
      <c r="A4103">
        <v>65611</v>
      </c>
      <c r="B4103" t="s">
        <v>22401</v>
      </c>
      <c r="C4103" t="s">
        <v>22402</v>
      </c>
      <c r="E4103" t="s">
        <v>22403</v>
      </c>
      <c r="G4103" t="s">
        <v>3938</v>
      </c>
      <c r="H4103" t="s">
        <v>449</v>
      </c>
      <c r="J4103" t="s">
        <v>4032</v>
      </c>
      <c r="K4103" t="s">
        <v>606</v>
      </c>
      <c r="M4103" t="s">
        <v>2366</v>
      </c>
      <c r="N4103" t="s">
        <v>657</v>
      </c>
      <c r="O4103" t="s">
        <v>2900</v>
      </c>
      <c r="P4103" t="s">
        <v>610</v>
      </c>
      <c r="Q4103" t="s">
        <v>519</v>
      </c>
      <c r="R4103" t="s">
        <v>2901</v>
      </c>
      <c r="S4103" t="s">
        <v>2902</v>
      </c>
      <c r="T4103" t="s">
        <v>2526</v>
      </c>
      <c r="U4103">
        <v>307100</v>
      </c>
      <c r="V4103" t="s">
        <v>3938</v>
      </c>
      <c r="W4103" t="s">
        <v>3939</v>
      </c>
      <c r="X4103" t="s">
        <v>22020</v>
      </c>
      <c r="Y4103" t="s">
        <v>10723</v>
      </c>
      <c r="AA4103" t="s">
        <v>22021</v>
      </c>
      <c r="AB4103" t="s">
        <v>22022</v>
      </c>
      <c r="AE4103">
        <v>-41.512587150000002</v>
      </c>
      <c r="AF4103">
        <v>173.81887153</v>
      </c>
      <c r="AG4103" s="175">
        <v>30</v>
      </c>
      <c r="AH4103" s="175">
        <v>10</v>
      </c>
      <c r="AI4103" s="175">
        <v>1</v>
      </c>
      <c r="AJ4103" s="175">
        <v>11</v>
      </c>
      <c r="AK4103" s="175">
        <v>6</v>
      </c>
      <c r="AL4103" s="175">
        <v>10</v>
      </c>
      <c r="AM4103" s="175">
        <v>8</v>
      </c>
      <c r="AN4103" s="175">
        <v>0</v>
      </c>
      <c r="AO4103" s="175">
        <v>36</v>
      </c>
      <c r="AP4103" s="175">
        <v>33</v>
      </c>
      <c r="AQ4103" s="175">
        <v>10</v>
      </c>
      <c r="AR4103" s="175">
        <v>3</v>
      </c>
      <c r="AS4103" s="175">
        <v>1</v>
      </c>
      <c r="AT4103" s="175">
        <v>1</v>
      </c>
    </row>
    <row r="4104" spans="1:46">
      <c r="A4104">
        <v>65613</v>
      </c>
      <c r="B4104" t="s">
        <v>22404</v>
      </c>
      <c r="C4104" t="s">
        <v>22405</v>
      </c>
      <c r="D4104" t="s">
        <v>22406</v>
      </c>
      <c r="E4104" t="s">
        <v>22407</v>
      </c>
      <c r="F4104" t="s">
        <v>2899</v>
      </c>
      <c r="G4104" t="s">
        <v>2899</v>
      </c>
      <c r="H4104" t="s">
        <v>449</v>
      </c>
      <c r="I4104" t="s">
        <v>4134</v>
      </c>
      <c r="J4104" t="s">
        <v>4032</v>
      </c>
      <c r="K4104" t="s">
        <v>606</v>
      </c>
      <c r="M4104" t="s">
        <v>2366</v>
      </c>
      <c r="N4104" t="s">
        <v>657</v>
      </c>
      <c r="O4104" t="s">
        <v>2900</v>
      </c>
      <c r="P4104" t="s">
        <v>1347</v>
      </c>
      <c r="Q4104" t="s">
        <v>519</v>
      </c>
      <c r="R4104" t="s">
        <v>2901</v>
      </c>
      <c r="S4104" t="s">
        <v>2902</v>
      </c>
      <c r="T4104" t="s">
        <v>2526</v>
      </c>
      <c r="U4104">
        <v>308100</v>
      </c>
      <c r="V4104" t="s">
        <v>2919</v>
      </c>
      <c r="W4104" t="s">
        <v>2903</v>
      </c>
      <c r="X4104" t="s">
        <v>22408</v>
      </c>
      <c r="Y4104" t="s">
        <v>22409</v>
      </c>
      <c r="AA4104" t="s">
        <v>22165</v>
      </c>
      <c r="AB4104" t="s">
        <v>22410</v>
      </c>
      <c r="AE4104">
        <v>-41.516716969999997</v>
      </c>
      <c r="AF4104">
        <v>173.95581962</v>
      </c>
      <c r="AG4104" s="175">
        <v>42</v>
      </c>
      <c r="AH4104" s="175">
        <v>0</v>
      </c>
      <c r="AI4104" s="175">
        <v>0</v>
      </c>
      <c r="AJ4104" s="175">
        <v>0</v>
      </c>
      <c r="AK4104" s="175">
        <v>0</v>
      </c>
      <c r="AL4104" s="175">
        <v>26</v>
      </c>
      <c r="AM4104" s="175">
        <v>18</v>
      </c>
      <c r="AN4104" s="175">
        <v>1</v>
      </c>
      <c r="AO4104" s="175">
        <v>45</v>
      </c>
      <c r="AP4104" s="175">
        <v>43</v>
      </c>
      <c r="AQ4104" s="175">
        <v>10</v>
      </c>
      <c r="AR4104" s="175">
        <v>1</v>
      </c>
      <c r="AS4104" s="175">
        <v>2</v>
      </c>
      <c r="AT4104" s="175">
        <v>1</v>
      </c>
    </row>
    <row r="4105" spans="1:46">
      <c r="A4105">
        <v>65614</v>
      </c>
      <c r="B4105" t="s">
        <v>22411</v>
      </c>
      <c r="C4105" t="s">
        <v>22412</v>
      </c>
      <c r="E4105" t="s">
        <v>22413</v>
      </c>
      <c r="F4105" t="s">
        <v>2929</v>
      </c>
      <c r="G4105" t="s">
        <v>2930</v>
      </c>
      <c r="H4105" t="s">
        <v>449</v>
      </c>
      <c r="I4105" t="s">
        <v>4023</v>
      </c>
      <c r="J4105" t="s">
        <v>605</v>
      </c>
      <c r="K4105" t="s">
        <v>606</v>
      </c>
      <c r="M4105" t="s">
        <v>2366</v>
      </c>
      <c r="N4105" t="s">
        <v>657</v>
      </c>
      <c r="O4105" t="s">
        <v>2931</v>
      </c>
      <c r="P4105" t="s">
        <v>670</v>
      </c>
      <c r="Q4105" t="s">
        <v>518</v>
      </c>
      <c r="R4105" t="s">
        <v>2901</v>
      </c>
      <c r="S4105" t="s">
        <v>2930</v>
      </c>
      <c r="T4105" t="s">
        <v>2526</v>
      </c>
      <c r="U4105">
        <v>305900</v>
      </c>
      <c r="V4105" t="s">
        <v>2990</v>
      </c>
      <c r="W4105" t="s">
        <v>2933</v>
      </c>
      <c r="X4105" t="s">
        <v>22414</v>
      </c>
      <c r="Y4105" t="s">
        <v>22415</v>
      </c>
      <c r="Z4105" t="s">
        <v>2929</v>
      </c>
      <c r="AA4105" t="s">
        <v>11591</v>
      </c>
      <c r="AB4105" t="s">
        <v>22416</v>
      </c>
      <c r="AC4105">
        <v>99042</v>
      </c>
      <c r="AD4105" t="s">
        <v>2938</v>
      </c>
      <c r="AE4105">
        <v>-41.31706758</v>
      </c>
      <c r="AF4105">
        <v>173.22912932</v>
      </c>
      <c r="AG4105" s="175">
        <v>40</v>
      </c>
      <c r="AH4105" s="175">
        <v>13</v>
      </c>
      <c r="AI4105" s="175">
        <v>3</v>
      </c>
      <c r="AJ4105" s="175">
        <v>9</v>
      </c>
      <c r="AK4105" s="175">
        <v>15</v>
      </c>
      <c r="AL4105" s="175">
        <v>11</v>
      </c>
      <c r="AM4105" s="175">
        <v>14</v>
      </c>
      <c r="AN4105" s="175">
        <v>0</v>
      </c>
      <c r="AO4105" s="175">
        <v>52</v>
      </c>
      <c r="AP4105" s="175">
        <v>43</v>
      </c>
      <c r="AQ4105" s="175">
        <v>13</v>
      </c>
      <c r="AR4105" s="175">
        <v>2</v>
      </c>
      <c r="AS4105" s="175">
        <v>7</v>
      </c>
      <c r="AT4105" s="175">
        <v>4</v>
      </c>
    </row>
    <row r="4106" spans="1:46">
      <c r="A4106">
        <v>65616</v>
      </c>
      <c r="B4106" t="s">
        <v>22417</v>
      </c>
      <c r="C4106" t="s">
        <v>22418</v>
      </c>
      <c r="D4106" t="s">
        <v>22419</v>
      </c>
      <c r="E4106" t="s">
        <v>22420</v>
      </c>
      <c r="F4106" t="s">
        <v>2929</v>
      </c>
      <c r="G4106" t="s">
        <v>2930</v>
      </c>
      <c r="H4106" t="s">
        <v>449</v>
      </c>
      <c r="J4106" t="s">
        <v>4032</v>
      </c>
      <c r="K4106" t="s">
        <v>606</v>
      </c>
      <c r="M4106" t="s">
        <v>2366</v>
      </c>
      <c r="N4106" t="s">
        <v>643</v>
      </c>
      <c r="O4106" t="s">
        <v>2931</v>
      </c>
      <c r="P4106" t="s">
        <v>670</v>
      </c>
      <c r="Q4106" t="s">
        <v>518</v>
      </c>
      <c r="R4106" t="s">
        <v>2901</v>
      </c>
      <c r="S4106" t="s">
        <v>2930</v>
      </c>
      <c r="T4106" t="s">
        <v>2526</v>
      </c>
      <c r="U4106">
        <v>305900</v>
      </c>
      <c r="V4106" t="s">
        <v>2990</v>
      </c>
      <c r="W4106" t="s">
        <v>2933</v>
      </c>
      <c r="X4106" t="s">
        <v>22421</v>
      </c>
      <c r="Y4106" t="s">
        <v>10588</v>
      </c>
      <c r="Z4106" t="s">
        <v>9801</v>
      </c>
      <c r="AA4106" t="s">
        <v>10589</v>
      </c>
      <c r="AB4106" t="s">
        <v>22422</v>
      </c>
      <c r="AC4106">
        <v>99042</v>
      </c>
      <c r="AD4106" t="s">
        <v>2938</v>
      </c>
      <c r="AE4106">
        <v>-41.316779060000002</v>
      </c>
      <c r="AF4106">
        <v>173.23421447000001</v>
      </c>
      <c r="AG4106" s="175">
        <v>35</v>
      </c>
      <c r="AH4106" s="175">
        <v>0</v>
      </c>
      <c r="AI4106" s="175">
        <v>0</v>
      </c>
      <c r="AJ4106" s="175">
        <v>0</v>
      </c>
      <c r="AK4106" s="175">
        <v>8</v>
      </c>
      <c r="AL4106" s="175">
        <v>17</v>
      </c>
      <c r="AM4106" s="175">
        <v>12</v>
      </c>
      <c r="AN4106" s="175">
        <v>2</v>
      </c>
      <c r="AO4106" s="175">
        <v>39</v>
      </c>
      <c r="AP4106" s="175">
        <v>25</v>
      </c>
      <c r="AQ4106" s="175">
        <v>11</v>
      </c>
      <c r="AR4106" s="175">
        <v>6</v>
      </c>
      <c r="AS4106" s="175">
        <v>5</v>
      </c>
      <c r="AT4106" s="175">
        <v>2</v>
      </c>
    </row>
    <row r="4107" spans="1:46">
      <c r="A4107">
        <v>65617</v>
      </c>
      <c r="B4107" t="s">
        <v>22423</v>
      </c>
      <c r="C4107" t="s">
        <v>22424</v>
      </c>
      <c r="E4107" t="s">
        <v>22425</v>
      </c>
      <c r="F4107" t="s">
        <v>2929</v>
      </c>
      <c r="G4107" t="s">
        <v>2930</v>
      </c>
      <c r="H4107" t="s">
        <v>347</v>
      </c>
      <c r="J4107" t="s">
        <v>605</v>
      </c>
      <c r="K4107" t="s">
        <v>606</v>
      </c>
      <c r="L4107" t="s">
        <v>4273</v>
      </c>
      <c r="M4107" t="s">
        <v>2366</v>
      </c>
      <c r="N4107" t="s">
        <v>608</v>
      </c>
      <c r="O4107" t="s">
        <v>2931</v>
      </c>
      <c r="P4107" t="s">
        <v>670</v>
      </c>
      <c r="Q4107" t="s">
        <v>518</v>
      </c>
      <c r="R4107" t="s">
        <v>2901</v>
      </c>
      <c r="S4107" t="s">
        <v>2930</v>
      </c>
      <c r="T4107" t="s">
        <v>2526</v>
      </c>
      <c r="U4107">
        <v>305900</v>
      </c>
      <c r="V4107" t="s">
        <v>2990</v>
      </c>
      <c r="W4107" t="s">
        <v>2933</v>
      </c>
      <c r="X4107" t="s">
        <v>12121</v>
      </c>
      <c r="Y4107" t="s">
        <v>4276</v>
      </c>
      <c r="Z4107" t="s">
        <v>4277</v>
      </c>
      <c r="AA4107" t="s">
        <v>4278</v>
      </c>
      <c r="AB4107" t="s">
        <v>12122</v>
      </c>
      <c r="AE4107">
        <v>-41.3190472</v>
      </c>
      <c r="AF4107">
        <v>173.2345655</v>
      </c>
      <c r="AG4107" s="175">
        <v>21</v>
      </c>
      <c r="AH4107" s="175">
        <v>5</v>
      </c>
      <c r="AI4107" s="175">
        <v>1</v>
      </c>
      <c r="AJ4107" s="175">
        <v>1</v>
      </c>
      <c r="AK4107" s="175">
        <v>6</v>
      </c>
      <c r="AL4107" s="175">
        <v>2</v>
      </c>
      <c r="AM4107" s="175">
        <v>4</v>
      </c>
      <c r="AN4107" s="175">
        <v>0</v>
      </c>
      <c r="AO4107" s="175">
        <v>14</v>
      </c>
      <c r="AP4107" s="175">
        <v>0</v>
      </c>
      <c r="AQ4107" s="175">
        <v>11</v>
      </c>
      <c r="AR4107" s="175">
        <v>1</v>
      </c>
      <c r="AS4107" s="175">
        <v>0</v>
      </c>
      <c r="AT4107" s="175">
        <v>2</v>
      </c>
    </row>
    <row r="4108" spans="1:46">
      <c r="A4108">
        <v>70001</v>
      </c>
      <c r="B4108" t="s">
        <v>22426</v>
      </c>
      <c r="C4108" t="s">
        <v>22427</v>
      </c>
      <c r="E4108" t="s">
        <v>22428</v>
      </c>
      <c r="G4108" t="s">
        <v>22429</v>
      </c>
      <c r="H4108" t="s">
        <v>449</v>
      </c>
      <c r="J4108" t="s">
        <v>4032</v>
      </c>
      <c r="K4108" t="s">
        <v>606</v>
      </c>
      <c r="M4108" t="s">
        <v>2366</v>
      </c>
      <c r="N4108" t="s">
        <v>657</v>
      </c>
      <c r="O4108" t="s">
        <v>3281</v>
      </c>
      <c r="P4108" t="s">
        <v>610</v>
      </c>
      <c r="Q4108" t="s">
        <v>521</v>
      </c>
      <c r="R4108" t="s">
        <v>3017</v>
      </c>
      <c r="S4108" t="s">
        <v>3252</v>
      </c>
      <c r="T4108" t="s">
        <v>2526</v>
      </c>
      <c r="U4108">
        <v>336200</v>
      </c>
      <c r="V4108" t="s">
        <v>22429</v>
      </c>
      <c r="W4108" t="s">
        <v>3283</v>
      </c>
      <c r="X4108" t="s">
        <v>22080</v>
      </c>
      <c r="Y4108" t="s">
        <v>4725</v>
      </c>
      <c r="Z4108" t="s">
        <v>1043</v>
      </c>
      <c r="AA4108" t="s">
        <v>4726</v>
      </c>
      <c r="AC4108">
        <v>99207</v>
      </c>
      <c r="AD4108" t="s">
        <v>21997</v>
      </c>
      <c r="AE4108">
        <v>-43.765730380000001</v>
      </c>
      <c r="AF4108">
        <v>172.29851737000001</v>
      </c>
      <c r="AG4108" s="175">
        <v>66</v>
      </c>
      <c r="AH4108" s="175">
        <v>12</v>
      </c>
      <c r="AI4108" s="175">
        <v>3</v>
      </c>
      <c r="AJ4108" s="175">
        <v>13</v>
      </c>
      <c r="AK4108" s="175">
        <v>13</v>
      </c>
      <c r="AL4108" s="175">
        <v>17</v>
      </c>
      <c r="AM4108" s="175">
        <v>16</v>
      </c>
      <c r="AN4108" s="175">
        <v>2</v>
      </c>
      <c r="AO4108" s="175">
        <v>64</v>
      </c>
      <c r="AP4108" s="175">
        <v>58</v>
      </c>
      <c r="AQ4108" s="175">
        <v>11</v>
      </c>
      <c r="AR4108" s="175">
        <v>4</v>
      </c>
      <c r="AS4108" s="175">
        <v>3</v>
      </c>
      <c r="AT4108" s="175">
        <v>0</v>
      </c>
    </row>
    <row r="4109" spans="1:46">
      <c r="A4109">
        <v>70003</v>
      </c>
      <c r="B4109" t="s">
        <v>22430</v>
      </c>
      <c r="C4109" t="s">
        <v>22431</v>
      </c>
      <c r="D4109" t="s">
        <v>22432</v>
      </c>
      <c r="E4109" t="s">
        <v>22433</v>
      </c>
      <c r="F4109" t="s">
        <v>17362</v>
      </c>
      <c r="G4109" t="s">
        <v>3015</v>
      </c>
      <c r="H4109" t="s">
        <v>449</v>
      </c>
      <c r="J4109" t="s">
        <v>605</v>
      </c>
      <c r="K4109" t="s">
        <v>606</v>
      </c>
      <c r="M4109" t="s">
        <v>2366</v>
      </c>
      <c r="N4109" t="s">
        <v>643</v>
      </c>
      <c r="O4109" t="s">
        <v>3016</v>
      </c>
      <c r="P4109" t="s">
        <v>739</v>
      </c>
      <c r="Q4109" t="s">
        <v>521</v>
      </c>
      <c r="R4109" t="s">
        <v>3017</v>
      </c>
      <c r="S4109" t="s">
        <v>3030</v>
      </c>
      <c r="T4109" t="s">
        <v>2526</v>
      </c>
      <c r="U4109">
        <v>328900</v>
      </c>
      <c r="V4109" t="s">
        <v>3193</v>
      </c>
      <c r="W4109" t="s">
        <v>2521</v>
      </c>
      <c r="X4109" t="s">
        <v>22434</v>
      </c>
      <c r="Y4109" t="s">
        <v>22435</v>
      </c>
      <c r="AA4109" t="s">
        <v>22436</v>
      </c>
      <c r="AB4109" t="s">
        <v>22431</v>
      </c>
      <c r="AC4109">
        <v>99063</v>
      </c>
      <c r="AD4109" t="s">
        <v>3067</v>
      </c>
      <c r="AE4109">
        <v>-43.538262029999999</v>
      </c>
      <c r="AF4109">
        <v>172.66719631999999</v>
      </c>
      <c r="AG4109" s="175">
        <v>50</v>
      </c>
      <c r="AH4109" s="175">
        <v>23</v>
      </c>
      <c r="AI4109" s="175">
        <v>6</v>
      </c>
      <c r="AJ4109" s="175">
        <v>7</v>
      </c>
      <c r="AK4109" s="175">
        <v>10</v>
      </c>
      <c r="AL4109" s="175">
        <v>11</v>
      </c>
      <c r="AM4109" s="175">
        <v>12</v>
      </c>
      <c r="AN4109" s="175">
        <v>0</v>
      </c>
      <c r="AO4109" s="175">
        <v>46</v>
      </c>
      <c r="AP4109" s="175">
        <v>32</v>
      </c>
      <c r="AQ4109" s="175">
        <v>21</v>
      </c>
      <c r="AR4109" s="175">
        <v>5</v>
      </c>
      <c r="AS4109" s="175">
        <v>6</v>
      </c>
      <c r="AT4109" s="175">
        <v>2</v>
      </c>
    </row>
    <row r="4110" spans="1:46">
      <c r="A4110">
        <v>70008</v>
      </c>
      <c r="B4110" t="s">
        <v>22437</v>
      </c>
      <c r="C4110" t="s">
        <v>22438</v>
      </c>
      <c r="D4110" t="s">
        <v>22439</v>
      </c>
      <c r="E4110" t="s">
        <v>22440</v>
      </c>
      <c r="F4110" t="s">
        <v>3091</v>
      </c>
      <c r="G4110" t="s">
        <v>3015</v>
      </c>
      <c r="H4110" t="s">
        <v>449</v>
      </c>
      <c r="J4110" t="s">
        <v>605</v>
      </c>
      <c r="K4110" t="s">
        <v>606</v>
      </c>
      <c r="M4110" t="s">
        <v>2366</v>
      </c>
      <c r="N4110" t="s">
        <v>643</v>
      </c>
      <c r="O4110" t="s">
        <v>3016</v>
      </c>
      <c r="P4110" t="s">
        <v>739</v>
      </c>
      <c r="Q4110" t="s">
        <v>521</v>
      </c>
      <c r="R4110" t="s">
        <v>3017</v>
      </c>
      <c r="S4110" t="s">
        <v>3092</v>
      </c>
      <c r="T4110" t="s">
        <v>2526</v>
      </c>
      <c r="U4110">
        <v>319300</v>
      </c>
      <c r="V4110" t="s">
        <v>3091</v>
      </c>
      <c r="W4110" t="s">
        <v>3093</v>
      </c>
      <c r="X4110" t="s">
        <v>10864</v>
      </c>
      <c r="Y4110" t="s">
        <v>4014</v>
      </c>
      <c r="Z4110" t="s">
        <v>4015</v>
      </c>
      <c r="AA4110" t="s">
        <v>4016</v>
      </c>
      <c r="AE4110">
        <v>-43.537849649999998</v>
      </c>
      <c r="AF4110">
        <v>172.52280223</v>
      </c>
      <c r="AG4110" s="175">
        <v>80</v>
      </c>
      <c r="AH4110" s="175">
        <v>24</v>
      </c>
      <c r="AI4110" s="175">
        <v>6</v>
      </c>
      <c r="AJ4110" s="175">
        <v>7</v>
      </c>
      <c r="AK4110" s="175">
        <v>20</v>
      </c>
      <c r="AL4110" s="175">
        <v>23</v>
      </c>
      <c r="AM4110" s="175">
        <v>26</v>
      </c>
      <c r="AN4110" s="175">
        <v>0</v>
      </c>
      <c r="AO4110" s="175">
        <v>82</v>
      </c>
      <c r="AP4110" s="175">
        <v>45</v>
      </c>
      <c r="AQ4110" s="175">
        <v>17</v>
      </c>
      <c r="AR4110" s="175">
        <v>13</v>
      </c>
      <c r="AS4110" s="175">
        <v>26</v>
      </c>
      <c r="AT4110" s="175">
        <v>6</v>
      </c>
    </row>
    <row r="4111" spans="1:46">
      <c r="A4111">
        <v>70010</v>
      </c>
      <c r="B4111" t="s">
        <v>22441</v>
      </c>
      <c r="C4111" t="s">
        <v>13854</v>
      </c>
      <c r="D4111" t="s">
        <v>22442</v>
      </c>
      <c r="E4111" t="s">
        <v>22443</v>
      </c>
      <c r="G4111" t="s">
        <v>22444</v>
      </c>
      <c r="H4111" t="s">
        <v>301</v>
      </c>
      <c r="J4111" t="s">
        <v>605</v>
      </c>
      <c r="K4111" t="s">
        <v>606</v>
      </c>
      <c r="M4111" t="s">
        <v>2366</v>
      </c>
      <c r="N4111" t="s">
        <v>657</v>
      </c>
      <c r="O4111" t="s">
        <v>3016</v>
      </c>
      <c r="P4111" t="s">
        <v>626</v>
      </c>
      <c r="Q4111" t="s">
        <v>521</v>
      </c>
      <c r="R4111" t="s">
        <v>3017</v>
      </c>
      <c r="S4111" t="s">
        <v>3052</v>
      </c>
      <c r="T4111" t="s">
        <v>2526</v>
      </c>
      <c r="U4111">
        <v>333500</v>
      </c>
      <c r="V4111" t="s">
        <v>22444</v>
      </c>
      <c r="W4111" t="s">
        <v>3136</v>
      </c>
      <c r="X4111" t="s">
        <v>13858</v>
      </c>
      <c r="Y4111" t="s">
        <v>5253</v>
      </c>
      <c r="AA4111" t="s">
        <v>5254</v>
      </c>
      <c r="AB4111" t="s">
        <v>13859</v>
      </c>
      <c r="AE4111">
        <v>-43.801476399999999</v>
      </c>
      <c r="AF4111">
        <v>172.9684657</v>
      </c>
      <c r="AG4111" s="175">
        <v>25</v>
      </c>
      <c r="AH4111" s="175">
        <v>10</v>
      </c>
      <c r="AI4111" s="175">
        <v>0</v>
      </c>
      <c r="AJ4111" s="175">
        <v>2</v>
      </c>
      <c r="AK4111" s="175">
        <v>0</v>
      </c>
      <c r="AL4111" s="175">
        <v>0</v>
      </c>
      <c r="AM4111" s="175">
        <v>2</v>
      </c>
      <c r="AN4111" s="175">
        <v>0</v>
      </c>
      <c r="AO4111" s="175">
        <v>4</v>
      </c>
      <c r="AP4111" s="175">
        <v>3</v>
      </c>
      <c r="AQ4111" s="175">
        <v>1</v>
      </c>
      <c r="AR4111" s="175">
        <v>1</v>
      </c>
      <c r="AS4111" s="175">
        <v>0</v>
      </c>
      <c r="AT4111" s="175">
        <v>0</v>
      </c>
    </row>
    <row r="4112" spans="1:46">
      <c r="A4112">
        <v>70011</v>
      </c>
      <c r="B4112" t="s">
        <v>22445</v>
      </c>
      <c r="C4112" t="s">
        <v>22446</v>
      </c>
      <c r="D4112" t="s">
        <v>22447</v>
      </c>
      <c r="E4112" t="s">
        <v>22448</v>
      </c>
      <c r="F4112" t="s">
        <v>11773</v>
      </c>
      <c r="G4112" t="s">
        <v>3015</v>
      </c>
      <c r="H4112" t="s">
        <v>449</v>
      </c>
      <c r="J4112" t="s">
        <v>605</v>
      </c>
      <c r="K4112" t="s">
        <v>606</v>
      </c>
      <c r="M4112" t="s">
        <v>2366</v>
      </c>
      <c r="N4112" t="s">
        <v>657</v>
      </c>
      <c r="O4112" t="s">
        <v>3016</v>
      </c>
      <c r="P4112" t="s">
        <v>739</v>
      </c>
      <c r="Q4112" t="s">
        <v>521</v>
      </c>
      <c r="R4112" t="s">
        <v>3017</v>
      </c>
      <c r="S4112" t="s">
        <v>3038</v>
      </c>
      <c r="T4112" t="s">
        <v>2526</v>
      </c>
      <c r="U4112">
        <v>317400</v>
      </c>
      <c r="V4112" t="s">
        <v>11773</v>
      </c>
      <c r="W4112" t="s">
        <v>3059</v>
      </c>
      <c r="X4112" t="s">
        <v>10864</v>
      </c>
      <c r="Y4112" t="s">
        <v>4014</v>
      </c>
      <c r="Z4112" t="s">
        <v>4015</v>
      </c>
      <c r="AA4112" t="s">
        <v>4016</v>
      </c>
      <c r="AE4112">
        <v>-43.45312242</v>
      </c>
      <c r="AF4112">
        <v>172.61073182000001</v>
      </c>
      <c r="AG4112" s="175">
        <v>66</v>
      </c>
      <c r="AH4112" s="175">
        <v>16</v>
      </c>
      <c r="AI4112" s="175">
        <v>1</v>
      </c>
      <c r="AJ4112" s="175">
        <v>9</v>
      </c>
      <c r="AK4112" s="175">
        <v>20</v>
      </c>
      <c r="AL4112" s="175">
        <v>18</v>
      </c>
      <c r="AM4112" s="175">
        <v>16</v>
      </c>
      <c r="AN4112" s="175">
        <v>0</v>
      </c>
      <c r="AO4112" s="175">
        <v>64</v>
      </c>
      <c r="AP4112" s="175">
        <v>49</v>
      </c>
      <c r="AQ4112" s="175">
        <v>4</v>
      </c>
      <c r="AR4112" s="175">
        <v>4</v>
      </c>
      <c r="AS4112" s="175">
        <v>22</v>
      </c>
      <c r="AT4112" s="175">
        <v>2</v>
      </c>
    </row>
    <row r="4113" spans="1:46">
      <c r="A4113">
        <v>70014</v>
      </c>
      <c r="B4113" t="s">
        <v>22449</v>
      </c>
      <c r="C4113" t="s">
        <v>13854</v>
      </c>
      <c r="D4113" t="s">
        <v>22442</v>
      </c>
      <c r="E4113" t="s">
        <v>22450</v>
      </c>
      <c r="G4113" t="s">
        <v>13544</v>
      </c>
      <c r="H4113" t="s">
        <v>301</v>
      </c>
      <c r="J4113" t="s">
        <v>605</v>
      </c>
      <c r="K4113" t="s">
        <v>606</v>
      </c>
      <c r="M4113" t="s">
        <v>2366</v>
      </c>
      <c r="N4113" t="s">
        <v>657</v>
      </c>
      <c r="O4113" t="s">
        <v>13545</v>
      </c>
      <c r="P4113" t="s">
        <v>610</v>
      </c>
      <c r="Q4113" t="s">
        <v>521</v>
      </c>
      <c r="R4113" t="s">
        <v>3017</v>
      </c>
      <c r="S4113" t="s">
        <v>2902</v>
      </c>
      <c r="T4113" t="s">
        <v>2526</v>
      </c>
      <c r="U4113">
        <v>312901</v>
      </c>
      <c r="V4113" t="s">
        <v>13544</v>
      </c>
      <c r="W4113" t="s">
        <v>13546</v>
      </c>
      <c r="X4113" t="s">
        <v>13858</v>
      </c>
      <c r="Y4113" t="s">
        <v>5253</v>
      </c>
      <c r="AA4113" t="s">
        <v>5254</v>
      </c>
      <c r="AB4113" t="s">
        <v>13859</v>
      </c>
      <c r="AE4113">
        <v>-43.155704499999999</v>
      </c>
      <c r="AF4113">
        <v>172.72811730000001</v>
      </c>
      <c r="AG4113" s="175">
        <v>25</v>
      </c>
      <c r="AH4113" s="175">
        <v>15</v>
      </c>
      <c r="AI4113" s="175">
        <v>1</v>
      </c>
      <c r="AJ4113" s="175">
        <v>5</v>
      </c>
      <c r="AK4113" s="175">
        <v>3</v>
      </c>
      <c r="AL4113" s="175">
        <v>1</v>
      </c>
      <c r="AM4113" s="175">
        <v>6</v>
      </c>
      <c r="AN4113" s="175">
        <v>0</v>
      </c>
      <c r="AO4113" s="175">
        <v>16</v>
      </c>
      <c r="AP4113" s="175">
        <v>12</v>
      </c>
      <c r="AQ4113" s="175">
        <v>3</v>
      </c>
      <c r="AR4113" s="175">
        <v>0</v>
      </c>
      <c r="AS4113" s="175">
        <v>0</v>
      </c>
      <c r="AT4113" s="175">
        <v>3</v>
      </c>
    </row>
    <row r="4114" spans="1:46">
      <c r="A4114">
        <v>70018</v>
      </c>
      <c r="B4114" t="s">
        <v>22451</v>
      </c>
      <c r="C4114" t="s">
        <v>13854</v>
      </c>
      <c r="E4114" t="s">
        <v>22452</v>
      </c>
      <c r="G4114" t="s">
        <v>3290</v>
      </c>
      <c r="H4114" t="s">
        <v>301</v>
      </c>
      <c r="J4114" t="s">
        <v>605</v>
      </c>
      <c r="K4114" t="s">
        <v>606</v>
      </c>
      <c r="M4114" t="s">
        <v>2366</v>
      </c>
      <c r="N4114" t="s">
        <v>657</v>
      </c>
      <c r="O4114" t="s">
        <v>3291</v>
      </c>
      <c r="P4114" t="s">
        <v>1347</v>
      </c>
      <c r="Q4114" t="s">
        <v>521</v>
      </c>
      <c r="R4114" t="s">
        <v>3017</v>
      </c>
      <c r="S4114" t="s">
        <v>3292</v>
      </c>
      <c r="T4114" t="s">
        <v>2526</v>
      </c>
      <c r="U4114">
        <v>338000</v>
      </c>
      <c r="V4114" t="s">
        <v>22453</v>
      </c>
      <c r="W4114" t="s">
        <v>3294</v>
      </c>
      <c r="X4114" t="s">
        <v>13858</v>
      </c>
      <c r="Y4114" t="s">
        <v>5253</v>
      </c>
      <c r="AA4114" t="s">
        <v>5254</v>
      </c>
      <c r="AB4114" t="s">
        <v>13859</v>
      </c>
      <c r="AE4114">
        <v>-43.903555500000003</v>
      </c>
      <c r="AF4114">
        <v>171.743179</v>
      </c>
      <c r="AG4114" s="175">
        <v>30</v>
      </c>
      <c r="AH4114" s="175">
        <v>20</v>
      </c>
      <c r="AI4114" s="175">
        <v>1</v>
      </c>
      <c r="AJ4114" s="175">
        <v>5</v>
      </c>
      <c r="AK4114" s="175">
        <v>3</v>
      </c>
      <c r="AL4114" s="175">
        <v>2</v>
      </c>
      <c r="AM4114" s="175">
        <v>3</v>
      </c>
      <c r="AN4114" s="175">
        <v>1</v>
      </c>
      <c r="AO4114" s="175">
        <v>15</v>
      </c>
      <c r="AP4114" s="175">
        <v>14</v>
      </c>
      <c r="AQ4114" s="175">
        <v>0</v>
      </c>
      <c r="AR4114" s="175">
        <v>0</v>
      </c>
      <c r="AS4114" s="175">
        <v>1</v>
      </c>
      <c r="AT4114" s="175">
        <v>0</v>
      </c>
    </row>
    <row r="4115" spans="1:46">
      <c r="A4115">
        <v>70020</v>
      </c>
      <c r="B4115" t="s">
        <v>22454</v>
      </c>
      <c r="C4115" t="s">
        <v>13854</v>
      </c>
      <c r="D4115" t="s">
        <v>22442</v>
      </c>
      <c r="E4115" t="s">
        <v>22455</v>
      </c>
      <c r="G4115" t="s">
        <v>18097</v>
      </c>
      <c r="H4115" t="s">
        <v>301</v>
      </c>
      <c r="J4115" t="s">
        <v>605</v>
      </c>
      <c r="K4115" t="s">
        <v>606</v>
      </c>
      <c r="M4115" t="s">
        <v>2366</v>
      </c>
      <c r="N4115" t="s">
        <v>657</v>
      </c>
      <c r="O4115" t="s">
        <v>3037</v>
      </c>
      <c r="P4115" t="s">
        <v>626</v>
      </c>
      <c r="Q4115" t="s">
        <v>521</v>
      </c>
      <c r="R4115" t="s">
        <v>3017</v>
      </c>
      <c r="S4115" t="s">
        <v>2902</v>
      </c>
      <c r="T4115" t="s">
        <v>2526</v>
      </c>
      <c r="U4115">
        <v>313700</v>
      </c>
      <c r="V4115" t="s">
        <v>18098</v>
      </c>
      <c r="W4115" t="s">
        <v>3040</v>
      </c>
      <c r="X4115" t="s">
        <v>13858</v>
      </c>
      <c r="Y4115" t="s">
        <v>5253</v>
      </c>
      <c r="AA4115" t="s">
        <v>5254</v>
      </c>
      <c r="AB4115" t="s">
        <v>13859</v>
      </c>
      <c r="AE4115">
        <v>-43.274433999999999</v>
      </c>
      <c r="AF4115">
        <v>172.6013949</v>
      </c>
      <c r="AG4115" s="175">
        <v>21</v>
      </c>
      <c r="AH4115" s="175">
        <v>15</v>
      </c>
      <c r="AI4115" s="175">
        <v>4</v>
      </c>
      <c r="AJ4115" s="175">
        <v>8</v>
      </c>
      <c r="AK4115" s="175">
        <v>7</v>
      </c>
      <c r="AL4115" s="175">
        <v>4</v>
      </c>
      <c r="AM4115" s="175">
        <v>2</v>
      </c>
      <c r="AN4115" s="175">
        <v>1</v>
      </c>
      <c r="AO4115" s="175">
        <v>26</v>
      </c>
      <c r="AP4115" s="175">
        <v>26</v>
      </c>
      <c r="AQ4115" s="175">
        <v>6</v>
      </c>
      <c r="AR4115" s="175">
        <v>2</v>
      </c>
      <c r="AS4115" s="175">
        <v>2</v>
      </c>
      <c r="AT4115" s="175">
        <v>0</v>
      </c>
    </row>
    <row r="4116" spans="1:46">
      <c r="A4116">
        <v>70021</v>
      </c>
      <c r="B4116" t="s">
        <v>22456</v>
      </c>
      <c r="C4116" t="s">
        <v>22457</v>
      </c>
      <c r="E4116" t="s">
        <v>22458</v>
      </c>
      <c r="F4116" t="s">
        <v>3018</v>
      </c>
      <c r="G4116" t="s">
        <v>3015</v>
      </c>
      <c r="H4116" t="s">
        <v>449</v>
      </c>
      <c r="J4116" t="s">
        <v>605</v>
      </c>
      <c r="K4116" t="s">
        <v>606</v>
      </c>
      <c r="M4116" t="s">
        <v>2366</v>
      </c>
      <c r="N4116" t="s">
        <v>657</v>
      </c>
      <c r="O4116" t="s">
        <v>3016</v>
      </c>
      <c r="P4116" t="s">
        <v>739</v>
      </c>
      <c r="Q4116" t="s">
        <v>521</v>
      </c>
      <c r="R4116" t="s">
        <v>3017</v>
      </c>
      <c r="S4116" t="s">
        <v>3018</v>
      </c>
      <c r="T4116" t="s">
        <v>2526</v>
      </c>
      <c r="U4116">
        <v>321200</v>
      </c>
      <c r="V4116" t="s">
        <v>22459</v>
      </c>
      <c r="W4116" t="s">
        <v>3149</v>
      </c>
      <c r="X4116" t="s">
        <v>22460</v>
      </c>
      <c r="Y4116" t="s">
        <v>22461</v>
      </c>
      <c r="Z4116" t="s">
        <v>3018</v>
      </c>
      <c r="AA4116" t="s">
        <v>22462</v>
      </c>
      <c r="AB4116" t="s">
        <v>22457</v>
      </c>
      <c r="AE4116">
        <v>-43.5207689</v>
      </c>
      <c r="AF4116">
        <v>172.58004320000001</v>
      </c>
      <c r="AG4116" s="175">
        <v>38</v>
      </c>
      <c r="AH4116" s="175">
        <v>15</v>
      </c>
      <c r="AI4116" s="175">
        <v>2</v>
      </c>
      <c r="AJ4116" s="175">
        <v>7</v>
      </c>
      <c r="AK4116" s="175">
        <v>7</v>
      </c>
      <c r="AL4116" s="175">
        <v>14</v>
      </c>
      <c r="AM4116" s="175">
        <v>6</v>
      </c>
      <c r="AN4116" s="175">
        <v>3</v>
      </c>
      <c r="AO4116" s="175">
        <v>39</v>
      </c>
      <c r="AP4116" s="175">
        <v>24</v>
      </c>
      <c r="AQ4116" s="175">
        <v>9</v>
      </c>
      <c r="AR4116" s="175">
        <v>2</v>
      </c>
      <c r="AS4116" s="175">
        <v>18</v>
      </c>
      <c r="AT4116" s="175">
        <v>3</v>
      </c>
    </row>
    <row r="4117" spans="1:46">
      <c r="A4117">
        <v>70022</v>
      </c>
      <c r="B4117" t="s">
        <v>22463</v>
      </c>
      <c r="C4117" t="s">
        <v>13854</v>
      </c>
      <c r="D4117" t="s">
        <v>22442</v>
      </c>
      <c r="E4117" t="s">
        <v>22464</v>
      </c>
      <c r="F4117" t="s">
        <v>3023</v>
      </c>
      <c r="G4117" t="s">
        <v>3015</v>
      </c>
      <c r="H4117" t="s">
        <v>301</v>
      </c>
      <c r="J4117" t="s">
        <v>605</v>
      </c>
      <c r="K4117" t="s">
        <v>606</v>
      </c>
      <c r="M4117" t="s">
        <v>2366</v>
      </c>
      <c r="N4117" t="s">
        <v>657</v>
      </c>
      <c r="O4117" t="s">
        <v>3016</v>
      </c>
      <c r="P4117" t="s">
        <v>739</v>
      </c>
      <c r="Q4117" t="s">
        <v>521</v>
      </c>
      <c r="R4117" t="s">
        <v>3017</v>
      </c>
      <c r="S4117" t="s">
        <v>3018</v>
      </c>
      <c r="T4117" t="s">
        <v>2526</v>
      </c>
      <c r="U4117">
        <v>320700</v>
      </c>
      <c r="V4117" t="s">
        <v>11133</v>
      </c>
      <c r="W4117" t="s">
        <v>3149</v>
      </c>
      <c r="X4117" t="s">
        <v>13858</v>
      </c>
      <c r="Y4117" t="s">
        <v>5253</v>
      </c>
      <c r="AA4117" t="s">
        <v>5254</v>
      </c>
      <c r="AB4117" t="s">
        <v>13859</v>
      </c>
      <c r="AE4117">
        <v>-43.518184609999999</v>
      </c>
      <c r="AF4117">
        <v>172.57240200000001</v>
      </c>
      <c r="AG4117" s="175">
        <v>25</v>
      </c>
      <c r="AH4117" s="175">
        <v>20</v>
      </c>
      <c r="AI4117" s="175">
        <v>25</v>
      </c>
      <c r="AJ4117" s="175">
        <v>7</v>
      </c>
      <c r="AK4117" s="175">
        <v>3</v>
      </c>
      <c r="AL4117" s="175">
        <v>5</v>
      </c>
      <c r="AM4117" s="175">
        <v>5</v>
      </c>
      <c r="AN4117" s="175">
        <v>1</v>
      </c>
      <c r="AO4117" s="175">
        <v>46</v>
      </c>
      <c r="AP4117" s="175">
        <v>38</v>
      </c>
      <c r="AQ4117" s="175">
        <v>4</v>
      </c>
      <c r="AR4117" s="175">
        <v>2</v>
      </c>
      <c r="AS4117" s="175">
        <v>18</v>
      </c>
      <c r="AT4117" s="175">
        <v>2</v>
      </c>
    </row>
    <row r="4118" spans="1:46">
      <c r="A4118">
        <v>70026</v>
      </c>
      <c r="B4118" t="s">
        <v>22465</v>
      </c>
      <c r="C4118" t="s">
        <v>13854</v>
      </c>
      <c r="D4118" t="s">
        <v>22442</v>
      </c>
      <c r="E4118" t="s">
        <v>22466</v>
      </c>
      <c r="F4118" t="s">
        <v>3679</v>
      </c>
      <c r="G4118" t="s">
        <v>3015</v>
      </c>
      <c r="H4118" t="s">
        <v>301</v>
      </c>
      <c r="J4118" t="s">
        <v>605</v>
      </c>
      <c r="K4118" t="s">
        <v>606</v>
      </c>
      <c r="M4118" t="s">
        <v>2366</v>
      </c>
      <c r="N4118" t="s">
        <v>657</v>
      </c>
      <c r="O4118" t="s">
        <v>3016</v>
      </c>
      <c r="P4118" t="s">
        <v>739</v>
      </c>
      <c r="Q4118" t="s">
        <v>521</v>
      </c>
      <c r="R4118" t="s">
        <v>3017</v>
      </c>
      <c r="S4118" t="s">
        <v>3038</v>
      </c>
      <c r="T4118" t="s">
        <v>2526</v>
      </c>
      <c r="U4118">
        <v>317301</v>
      </c>
      <c r="V4118" t="s">
        <v>3680</v>
      </c>
      <c r="W4118" t="s">
        <v>3059</v>
      </c>
      <c r="X4118" t="s">
        <v>13858</v>
      </c>
      <c r="Y4118" t="s">
        <v>5253</v>
      </c>
      <c r="AA4118" t="s">
        <v>5254</v>
      </c>
      <c r="AB4118" t="s">
        <v>13859</v>
      </c>
      <c r="AE4118">
        <v>-43.452779399999997</v>
      </c>
      <c r="AF4118">
        <v>172.6283474</v>
      </c>
      <c r="AG4118" s="175">
        <v>30</v>
      </c>
      <c r="AH4118" s="175">
        <v>20</v>
      </c>
      <c r="AI4118" s="175">
        <v>0</v>
      </c>
      <c r="AJ4118" s="175">
        <v>2</v>
      </c>
      <c r="AK4118" s="175">
        <v>6</v>
      </c>
      <c r="AL4118" s="175">
        <v>2</v>
      </c>
      <c r="AM4118" s="175">
        <v>2</v>
      </c>
      <c r="AN4118" s="175">
        <v>0</v>
      </c>
      <c r="AO4118" s="175">
        <v>12</v>
      </c>
      <c r="AP4118" s="175">
        <v>11</v>
      </c>
      <c r="AQ4118" s="175">
        <v>4</v>
      </c>
      <c r="AR4118" s="175">
        <v>0</v>
      </c>
      <c r="AS4118" s="175">
        <v>3</v>
      </c>
      <c r="AT4118" s="175">
        <v>0</v>
      </c>
    </row>
    <row r="4119" spans="1:46">
      <c r="A4119">
        <v>70028</v>
      </c>
      <c r="B4119" t="s">
        <v>22467</v>
      </c>
      <c r="C4119" t="s">
        <v>13854</v>
      </c>
      <c r="E4119" t="s">
        <v>22468</v>
      </c>
      <c r="G4119" t="s">
        <v>3015</v>
      </c>
      <c r="H4119" t="s">
        <v>301</v>
      </c>
      <c r="J4119" t="s">
        <v>605</v>
      </c>
      <c r="K4119" t="s">
        <v>606</v>
      </c>
      <c r="M4119" t="s">
        <v>2366</v>
      </c>
      <c r="N4119" t="s">
        <v>657</v>
      </c>
      <c r="O4119" t="s">
        <v>3016</v>
      </c>
      <c r="P4119" t="s">
        <v>626</v>
      </c>
      <c r="Q4119" t="s">
        <v>521</v>
      </c>
      <c r="R4119" t="s">
        <v>3017</v>
      </c>
      <c r="S4119" t="s">
        <v>3046</v>
      </c>
      <c r="T4119" t="s">
        <v>2526</v>
      </c>
      <c r="U4119">
        <v>317100</v>
      </c>
      <c r="V4119" t="s">
        <v>22469</v>
      </c>
      <c r="W4119" t="s">
        <v>3047</v>
      </c>
      <c r="X4119" t="s">
        <v>13858</v>
      </c>
      <c r="Y4119" t="s">
        <v>5253</v>
      </c>
      <c r="AA4119" t="s">
        <v>5254</v>
      </c>
      <c r="AB4119" t="s">
        <v>13859</v>
      </c>
      <c r="AE4119">
        <v>-43.432956300000001</v>
      </c>
      <c r="AF4119">
        <v>172.69583499999999</v>
      </c>
      <c r="AG4119" s="175">
        <v>24</v>
      </c>
      <c r="AH4119" s="175">
        <v>10</v>
      </c>
      <c r="AI4119" s="175">
        <v>0</v>
      </c>
      <c r="AJ4119" s="175">
        <v>2</v>
      </c>
      <c r="AK4119" s="175">
        <v>6</v>
      </c>
      <c r="AL4119" s="175">
        <v>3</v>
      </c>
      <c r="AM4119" s="175">
        <v>2</v>
      </c>
      <c r="AN4119" s="175">
        <v>0</v>
      </c>
      <c r="AO4119" s="175">
        <v>13</v>
      </c>
      <c r="AP4119" s="175">
        <v>13</v>
      </c>
      <c r="AQ4119" s="175">
        <v>0</v>
      </c>
      <c r="AR4119" s="175">
        <v>0</v>
      </c>
      <c r="AS4119" s="175">
        <v>1</v>
      </c>
      <c r="AT4119" s="175">
        <v>0</v>
      </c>
    </row>
    <row r="4120" spans="1:46">
      <c r="A4120">
        <v>70029</v>
      </c>
      <c r="B4120" t="s">
        <v>22470</v>
      </c>
      <c r="C4120" t="s">
        <v>22471</v>
      </c>
      <c r="D4120" t="s">
        <v>22472</v>
      </c>
      <c r="E4120" t="s">
        <v>22473</v>
      </c>
      <c r="F4120" t="s">
        <v>3057</v>
      </c>
      <c r="G4120" t="s">
        <v>3015</v>
      </c>
      <c r="H4120" t="s">
        <v>449</v>
      </c>
      <c r="J4120" t="s">
        <v>605</v>
      </c>
      <c r="K4120" t="s">
        <v>606</v>
      </c>
      <c r="M4120" t="s">
        <v>2366</v>
      </c>
      <c r="N4120" t="s">
        <v>657</v>
      </c>
      <c r="O4120" t="s">
        <v>3016</v>
      </c>
      <c r="P4120" t="s">
        <v>739</v>
      </c>
      <c r="Q4120" t="s">
        <v>521</v>
      </c>
      <c r="R4120" t="s">
        <v>3017</v>
      </c>
      <c r="S4120" t="s">
        <v>3018</v>
      </c>
      <c r="T4120" t="s">
        <v>2526</v>
      </c>
      <c r="U4120">
        <v>318000</v>
      </c>
      <c r="V4120" t="s">
        <v>22474</v>
      </c>
      <c r="W4120" t="s">
        <v>3059</v>
      </c>
      <c r="X4120" t="s">
        <v>22475</v>
      </c>
      <c r="Y4120" t="s">
        <v>18614</v>
      </c>
      <c r="Z4120" t="s">
        <v>3030</v>
      </c>
      <c r="AA4120" t="s">
        <v>17932</v>
      </c>
      <c r="AB4120" t="s">
        <v>22471</v>
      </c>
      <c r="AC4120">
        <v>99027</v>
      </c>
      <c r="AD4120" t="s">
        <v>3073</v>
      </c>
      <c r="AE4120">
        <v>-43.48937154</v>
      </c>
      <c r="AF4120">
        <v>172.58555150000001</v>
      </c>
      <c r="AG4120" s="175">
        <v>40</v>
      </c>
      <c r="AH4120" s="175">
        <v>10</v>
      </c>
      <c r="AI4120" s="175">
        <v>3</v>
      </c>
      <c r="AJ4120" s="175">
        <v>8</v>
      </c>
      <c r="AK4120" s="175">
        <v>13</v>
      </c>
      <c r="AL4120" s="175">
        <v>14</v>
      </c>
      <c r="AM4120" s="175">
        <v>12</v>
      </c>
      <c r="AN4120" s="175">
        <v>1</v>
      </c>
      <c r="AO4120" s="175">
        <v>51</v>
      </c>
      <c r="AP4120" s="175">
        <v>35</v>
      </c>
      <c r="AQ4120" s="175">
        <v>14</v>
      </c>
      <c r="AR4120" s="175">
        <v>4</v>
      </c>
      <c r="AS4120" s="175">
        <v>14</v>
      </c>
      <c r="AT4120" s="175">
        <v>2</v>
      </c>
    </row>
    <row r="4121" spans="1:46">
      <c r="A4121">
        <v>70030</v>
      </c>
      <c r="B4121" t="s">
        <v>22476</v>
      </c>
      <c r="C4121" t="s">
        <v>13854</v>
      </c>
      <c r="D4121" t="s">
        <v>22442</v>
      </c>
      <c r="E4121" t="s">
        <v>22477</v>
      </c>
      <c r="F4121" t="s">
        <v>3203</v>
      </c>
      <c r="G4121" t="s">
        <v>3015</v>
      </c>
      <c r="H4121" t="s">
        <v>301</v>
      </c>
      <c r="J4121" t="s">
        <v>605</v>
      </c>
      <c r="K4121" t="s">
        <v>606</v>
      </c>
      <c r="M4121" t="s">
        <v>2366</v>
      </c>
      <c r="N4121" t="s">
        <v>4586</v>
      </c>
      <c r="O4121" t="s">
        <v>3016</v>
      </c>
      <c r="P4121" t="s">
        <v>739</v>
      </c>
      <c r="Q4121" t="s">
        <v>521</v>
      </c>
      <c r="R4121" t="s">
        <v>3017</v>
      </c>
      <c r="S4121" t="s">
        <v>3046</v>
      </c>
      <c r="T4121" t="s">
        <v>2526</v>
      </c>
      <c r="U4121">
        <v>325601</v>
      </c>
      <c r="V4121" t="s">
        <v>22053</v>
      </c>
      <c r="W4121" t="s">
        <v>3199</v>
      </c>
      <c r="X4121" t="s">
        <v>13858</v>
      </c>
      <c r="Y4121" t="s">
        <v>5253</v>
      </c>
      <c r="AA4121" t="s">
        <v>5254</v>
      </c>
      <c r="AB4121" t="s">
        <v>13859</v>
      </c>
      <c r="AE4121">
        <v>-43.500838430000002</v>
      </c>
      <c r="AF4121">
        <v>172.68383684</v>
      </c>
      <c r="AG4121" s="175">
        <v>25</v>
      </c>
      <c r="AH4121" s="175">
        <v>20</v>
      </c>
      <c r="AI4121" s="175">
        <v>20</v>
      </c>
      <c r="AJ4121" s="175">
        <v>5</v>
      </c>
      <c r="AK4121" s="175">
        <v>5</v>
      </c>
      <c r="AL4121" s="175">
        <v>1</v>
      </c>
      <c r="AM4121" s="175">
        <v>1</v>
      </c>
      <c r="AN4121" s="175">
        <v>0</v>
      </c>
      <c r="AO4121" s="175">
        <v>32</v>
      </c>
      <c r="AP4121" s="175">
        <v>32</v>
      </c>
      <c r="AQ4121" s="175">
        <v>6</v>
      </c>
      <c r="AR4121" s="175">
        <v>0</v>
      </c>
      <c r="AS4121" s="175">
        <v>1</v>
      </c>
      <c r="AT4121" s="175">
        <v>1</v>
      </c>
    </row>
    <row r="4122" spans="1:46">
      <c r="A4122">
        <v>70032</v>
      </c>
      <c r="B4122" t="s">
        <v>22478</v>
      </c>
      <c r="C4122" t="s">
        <v>13854</v>
      </c>
      <c r="E4122" t="s">
        <v>22479</v>
      </c>
      <c r="F4122" t="s">
        <v>3051</v>
      </c>
      <c r="G4122" t="s">
        <v>3015</v>
      </c>
      <c r="H4122" t="s">
        <v>301</v>
      </c>
      <c r="J4122" t="s">
        <v>605</v>
      </c>
      <c r="K4122" t="s">
        <v>606</v>
      </c>
      <c r="M4122" t="s">
        <v>2366</v>
      </c>
      <c r="N4122" t="s">
        <v>657</v>
      </c>
      <c r="O4122" t="s">
        <v>3016</v>
      </c>
      <c r="P4122" t="s">
        <v>739</v>
      </c>
      <c r="Q4122" t="s">
        <v>521</v>
      </c>
      <c r="R4122" t="s">
        <v>3017</v>
      </c>
      <c r="S4122" t="s">
        <v>3052</v>
      </c>
      <c r="T4122" t="s">
        <v>2526</v>
      </c>
      <c r="U4122">
        <v>331300</v>
      </c>
      <c r="V4122" t="s">
        <v>22480</v>
      </c>
      <c r="W4122" t="s">
        <v>3031</v>
      </c>
      <c r="X4122" t="s">
        <v>13858</v>
      </c>
      <c r="Y4122" t="s">
        <v>5253</v>
      </c>
      <c r="AA4122" t="s">
        <v>5254</v>
      </c>
      <c r="AB4122" t="s">
        <v>13859</v>
      </c>
      <c r="AE4122">
        <v>-43.571147799999999</v>
      </c>
      <c r="AF4122">
        <v>172.63970019999999</v>
      </c>
      <c r="AG4122" s="175">
        <v>30</v>
      </c>
      <c r="AH4122" s="175">
        <v>15</v>
      </c>
      <c r="AI4122" s="175">
        <v>4</v>
      </c>
      <c r="AJ4122" s="175">
        <v>3</v>
      </c>
      <c r="AK4122" s="175">
        <v>9</v>
      </c>
      <c r="AL4122" s="175">
        <v>4</v>
      </c>
      <c r="AM4122" s="175">
        <v>1</v>
      </c>
      <c r="AN4122" s="175">
        <v>0</v>
      </c>
      <c r="AO4122" s="175">
        <v>21</v>
      </c>
      <c r="AP4122" s="175">
        <v>21</v>
      </c>
      <c r="AQ4122" s="175">
        <v>1</v>
      </c>
      <c r="AR4122" s="175">
        <v>0</v>
      </c>
      <c r="AS4122" s="175">
        <v>0</v>
      </c>
      <c r="AT4122" s="175">
        <v>0</v>
      </c>
    </row>
    <row r="4123" spans="1:46">
      <c r="A4123">
        <v>70033</v>
      </c>
      <c r="B4123" t="s">
        <v>22481</v>
      </c>
      <c r="C4123" t="s">
        <v>22482</v>
      </c>
      <c r="D4123" t="s">
        <v>22483</v>
      </c>
      <c r="E4123" t="s">
        <v>22484</v>
      </c>
      <c r="F4123" t="s">
        <v>3014</v>
      </c>
      <c r="G4123" t="s">
        <v>3015</v>
      </c>
      <c r="H4123" t="s">
        <v>449</v>
      </c>
      <c r="J4123" t="s">
        <v>4032</v>
      </c>
      <c r="K4123" t="s">
        <v>606</v>
      </c>
      <c r="M4123" t="s">
        <v>2366</v>
      </c>
      <c r="N4123" t="s">
        <v>657</v>
      </c>
      <c r="O4123" t="s">
        <v>3016</v>
      </c>
      <c r="P4123" t="s">
        <v>739</v>
      </c>
      <c r="Q4123" t="s">
        <v>521</v>
      </c>
      <c r="R4123" t="s">
        <v>3017</v>
      </c>
      <c r="S4123" t="s">
        <v>3018</v>
      </c>
      <c r="T4123" t="s">
        <v>2526</v>
      </c>
      <c r="U4123">
        <v>320700</v>
      </c>
      <c r="V4123" t="s">
        <v>11133</v>
      </c>
      <c r="W4123" t="s">
        <v>3020</v>
      </c>
      <c r="X4123" t="s">
        <v>11275</v>
      </c>
      <c r="Y4123" t="s">
        <v>11276</v>
      </c>
      <c r="AA4123" t="s">
        <v>11277</v>
      </c>
      <c r="AB4123" t="s">
        <v>11278</v>
      </c>
      <c r="AC4123">
        <v>99176</v>
      </c>
      <c r="AD4123" t="s">
        <v>3150</v>
      </c>
      <c r="AE4123">
        <v>-43.528303639999997</v>
      </c>
      <c r="AF4123">
        <v>172.56115076</v>
      </c>
      <c r="AG4123" s="175">
        <v>67</v>
      </c>
      <c r="AH4123" s="175">
        <v>20</v>
      </c>
      <c r="AI4123" s="175">
        <v>2</v>
      </c>
      <c r="AJ4123" s="175">
        <v>9</v>
      </c>
      <c r="AK4123" s="175">
        <v>13</v>
      </c>
      <c r="AL4123" s="175">
        <v>9</v>
      </c>
      <c r="AM4123" s="175">
        <v>15</v>
      </c>
      <c r="AN4123" s="175">
        <v>0</v>
      </c>
      <c r="AO4123" s="175">
        <v>48</v>
      </c>
      <c r="AP4123" s="175">
        <v>36</v>
      </c>
      <c r="AQ4123" s="175">
        <v>7</v>
      </c>
      <c r="AR4123" s="175">
        <v>2</v>
      </c>
      <c r="AS4123" s="175">
        <v>6</v>
      </c>
      <c r="AT4123" s="175">
        <v>3</v>
      </c>
    </row>
    <row r="4124" spans="1:46">
      <c r="A4124">
        <v>70035</v>
      </c>
      <c r="B4124" t="s">
        <v>22485</v>
      </c>
      <c r="C4124" t="s">
        <v>22486</v>
      </c>
      <c r="E4124" t="s">
        <v>22487</v>
      </c>
      <c r="F4124" t="s">
        <v>3130</v>
      </c>
      <c r="G4124" t="s">
        <v>3015</v>
      </c>
      <c r="H4124" t="s">
        <v>449</v>
      </c>
      <c r="J4124" t="s">
        <v>605</v>
      </c>
      <c r="K4124" t="s">
        <v>606</v>
      </c>
      <c r="M4124" t="s">
        <v>2366</v>
      </c>
      <c r="N4124" t="s">
        <v>812</v>
      </c>
      <c r="O4124" t="s">
        <v>3016</v>
      </c>
      <c r="P4124" t="s">
        <v>739</v>
      </c>
      <c r="Q4124" t="s">
        <v>521</v>
      </c>
      <c r="R4124" t="s">
        <v>3017</v>
      </c>
      <c r="S4124" t="s">
        <v>3046</v>
      </c>
      <c r="T4124" t="s">
        <v>2526</v>
      </c>
      <c r="U4124">
        <v>328400</v>
      </c>
      <c r="V4124" t="s">
        <v>3197</v>
      </c>
      <c r="W4124" t="s">
        <v>3066</v>
      </c>
      <c r="X4124" t="s">
        <v>22488</v>
      </c>
      <c r="Y4124" t="s">
        <v>22489</v>
      </c>
      <c r="Z4124" t="s">
        <v>3014</v>
      </c>
      <c r="AA4124" t="s">
        <v>11482</v>
      </c>
      <c r="AB4124" t="s">
        <v>22490</v>
      </c>
      <c r="AC4124">
        <v>99063</v>
      </c>
      <c r="AD4124" t="s">
        <v>3067</v>
      </c>
      <c r="AE4124">
        <v>-43.524938630000001</v>
      </c>
      <c r="AF4124">
        <v>172.68401385000001</v>
      </c>
      <c r="AG4124" s="175">
        <v>44</v>
      </c>
      <c r="AH4124" s="175">
        <v>15</v>
      </c>
      <c r="AI4124" s="175">
        <v>3</v>
      </c>
      <c r="AJ4124" s="175">
        <v>8</v>
      </c>
      <c r="AK4124" s="175">
        <v>11</v>
      </c>
      <c r="AL4124" s="175">
        <v>11</v>
      </c>
      <c r="AM4124" s="175">
        <v>12</v>
      </c>
      <c r="AN4124" s="175">
        <v>0</v>
      </c>
      <c r="AO4124" s="175">
        <v>45</v>
      </c>
      <c r="AP4124" s="175">
        <v>29</v>
      </c>
      <c r="AQ4124" s="175">
        <v>17</v>
      </c>
      <c r="AR4124" s="175">
        <v>10</v>
      </c>
      <c r="AS4124" s="175">
        <v>8</v>
      </c>
      <c r="AT4124" s="175">
        <v>0</v>
      </c>
    </row>
    <row r="4125" spans="1:46">
      <c r="A4125">
        <v>70036</v>
      </c>
      <c r="B4125" t="s">
        <v>22491</v>
      </c>
      <c r="C4125" t="s">
        <v>13854</v>
      </c>
      <c r="D4125" t="s">
        <v>22442</v>
      </c>
      <c r="E4125" t="s">
        <v>22492</v>
      </c>
      <c r="G4125" t="s">
        <v>21897</v>
      </c>
      <c r="H4125" t="s">
        <v>301</v>
      </c>
      <c r="J4125" t="s">
        <v>605</v>
      </c>
      <c r="K4125" t="s">
        <v>606</v>
      </c>
      <c r="M4125" t="s">
        <v>2366</v>
      </c>
      <c r="N4125" t="s">
        <v>657</v>
      </c>
      <c r="O4125" t="s">
        <v>3037</v>
      </c>
      <c r="P4125" t="s">
        <v>658</v>
      </c>
      <c r="Q4125" t="s">
        <v>521</v>
      </c>
      <c r="R4125" t="s">
        <v>3017</v>
      </c>
      <c r="S4125" t="s">
        <v>3038</v>
      </c>
      <c r="T4125" t="s">
        <v>2526</v>
      </c>
      <c r="U4125">
        <v>315500</v>
      </c>
      <c r="V4125" t="s">
        <v>21897</v>
      </c>
      <c r="W4125" t="s">
        <v>3262</v>
      </c>
      <c r="X4125" t="s">
        <v>13858</v>
      </c>
      <c r="Y4125" t="s">
        <v>5253</v>
      </c>
      <c r="AA4125" t="s">
        <v>5254</v>
      </c>
      <c r="AB4125" t="s">
        <v>13859</v>
      </c>
      <c r="AE4125">
        <v>-43.40613982</v>
      </c>
      <c r="AF4125">
        <v>172.6239947</v>
      </c>
      <c r="AG4125" s="175">
        <v>25</v>
      </c>
      <c r="AH4125" s="175">
        <v>10</v>
      </c>
      <c r="AI4125" s="175">
        <v>0</v>
      </c>
      <c r="AJ4125" s="175">
        <v>6</v>
      </c>
      <c r="AK4125" s="175">
        <v>5</v>
      </c>
      <c r="AL4125" s="175">
        <v>4</v>
      </c>
      <c r="AM4125" s="175">
        <v>6</v>
      </c>
      <c r="AN4125" s="175">
        <v>1</v>
      </c>
      <c r="AO4125" s="175">
        <v>22</v>
      </c>
      <c r="AP4125" s="175">
        <v>22</v>
      </c>
      <c r="AQ4125" s="175">
        <v>3</v>
      </c>
      <c r="AR4125" s="175">
        <v>0</v>
      </c>
      <c r="AS4125" s="175">
        <v>1</v>
      </c>
      <c r="AT4125" s="175">
        <v>1</v>
      </c>
    </row>
    <row r="4126" spans="1:46">
      <c r="A4126">
        <v>70037</v>
      </c>
      <c r="B4126" t="s">
        <v>22493</v>
      </c>
      <c r="C4126" t="s">
        <v>22494</v>
      </c>
      <c r="D4126" t="s">
        <v>22495</v>
      </c>
      <c r="E4126" t="s">
        <v>22496</v>
      </c>
      <c r="G4126" t="s">
        <v>3290</v>
      </c>
      <c r="H4126" t="s">
        <v>449</v>
      </c>
      <c r="J4126" t="s">
        <v>605</v>
      </c>
      <c r="K4126" t="s">
        <v>606</v>
      </c>
      <c r="M4126" t="s">
        <v>2366</v>
      </c>
      <c r="N4126" t="s">
        <v>657</v>
      </c>
      <c r="O4126" t="s">
        <v>3291</v>
      </c>
      <c r="P4126" t="s">
        <v>1347</v>
      </c>
      <c r="Q4126" t="s">
        <v>521</v>
      </c>
      <c r="R4126" t="s">
        <v>3017</v>
      </c>
      <c r="S4126" t="s">
        <v>3292</v>
      </c>
      <c r="T4126" t="s">
        <v>2526</v>
      </c>
      <c r="U4126">
        <v>338501</v>
      </c>
      <c r="V4126" t="s">
        <v>3308</v>
      </c>
      <c r="W4126" t="s">
        <v>3294</v>
      </c>
      <c r="X4126" t="s">
        <v>22497</v>
      </c>
      <c r="Y4126" t="s">
        <v>22498</v>
      </c>
      <c r="Z4126" t="s">
        <v>3290</v>
      </c>
      <c r="AA4126" t="s">
        <v>22499</v>
      </c>
      <c r="AB4126" t="s">
        <v>22500</v>
      </c>
      <c r="AC4126">
        <v>99043</v>
      </c>
      <c r="AD4126" t="s">
        <v>3299</v>
      </c>
      <c r="AE4126">
        <v>-43.905358210000003</v>
      </c>
      <c r="AF4126">
        <v>171.76000912999999</v>
      </c>
      <c r="AG4126" s="175">
        <v>50</v>
      </c>
      <c r="AH4126" s="175">
        <v>12</v>
      </c>
      <c r="AI4126" s="175">
        <v>0</v>
      </c>
      <c r="AJ4126" s="175">
        <v>5</v>
      </c>
      <c r="AK4126" s="175">
        <v>17</v>
      </c>
      <c r="AL4126" s="175">
        <v>16</v>
      </c>
      <c r="AM4126" s="175">
        <v>12</v>
      </c>
      <c r="AN4126" s="175">
        <v>0</v>
      </c>
      <c r="AO4126" s="175">
        <v>50</v>
      </c>
      <c r="AP4126" s="175">
        <v>40</v>
      </c>
      <c r="AQ4126" s="175">
        <v>5</v>
      </c>
      <c r="AR4126" s="175">
        <v>9</v>
      </c>
      <c r="AS4126" s="175">
        <v>6</v>
      </c>
      <c r="AT4126" s="175">
        <v>2</v>
      </c>
    </row>
    <row r="4127" spans="1:46">
      <c r="A4127">
        <v>70038</v>
      </c>
      <c r="B4127" t="s">
        <v>22501</v>
      </c>
      <c r="C4127" t="s">
        <v>13854</v>
      </c>
      <c r="D4127" t="s">
        <v>22442</v>
      </c>
      <c r="E4127" t="s">
        <v>22502</v>
      </c>
      <c r="G4127" t="s">
        <v>22503</v>
      </c>
      <c r="H4127" t="s">
        <v>301</v>
      </c>
      <c r="J4127" t="s">
        <v>605</v>
      </c>
      <c r="K4127" t="s">
        <v>606</v>
      </c>
      <c r="M4127" t="s">
        <v>2366</v>
      </c>
      <c r="N4127" t="s">
        <v>657</v>
      </c>
      <c r="O4127" t="s">
        <v>13545</v>
      </c>
      <c r="P4127" t="s">
        <v>626</v>
      </c>
      <c r="Q4127" t="s">
        <v>521</v>
      </c>
      <c r="R4127" t="s">
        <v>3017</v>
      </c>
      <c r="S4127" t="s">
        <v>2902</v>
      </c>
      <c r="T4127" t="s">
        <v>2526</v>
      </c>
      <c r="U4127">
        <v>312200</v>
      </c>
      <c r="V4127" t="s">
        <v>22504</v>
      </c>
      <c r="W4127" t="s">
        <v>13857</v>
      </c>
      <c r="X4127" t="s">
        <v>13858</v>
      </c>
      <c r="Y4127" t="s">
        <v>5253</v>
      </c>
      <c r="AA4127" t="s">
        <v>5254</v>
      </c>
      <c r="AB4127" t="s">
        <v>13859</v>
      </c>
      <c r="AE4127">
        <v>-42.770985199999998</v>
      </c>
      <c r="AF4127">
        <v>172.85272990000001</v>
      </c>
      <c r="AG4127" s="175">
        <v>25</v>
      </c>
      <c r="AH4127" s="175">
        <v>10</v>
      </c>
      <c r="AI4127" s="175">
        <v>0</v>
      </c>
      <c r="AJ4127" s="175">
        <v>1</v>
      </c>
      <c r="AK4127" s="175">
        <v>0</v>
      </c>
      <c r="AL4127" s="175">
        <v>1</v>
      </c>
      <c r="AM4127" s="175">
        <v>1</v>
      </c>
      <c r="AN4127" s="175">
        <v>0</v>
      </c>
      <c r="AO4127" s="175">
        <v>3</v>
      </c>
      <c r="AP4127" s="175">
        <v>3</v>
      </c>
      <c r="AQ4127" s="175">
        <v>0</v>
      </c>
      <c r="AR4127" s="175">
        <v>0</v>
      </c>
      <c r="AS4127" s="175">
        <v>0</v>
      </c>
      <c r="AT4127" s="175">
        <v>0</v>
      </c>
    </row>
    <row r="4128" spans="1:46">
      <c r="A4128">
        <v>70040</v>
      </c>
      <c r="B4128" t="s">
        <v>22505</v>
      </c>
      <c r="C4128" t="s">
        <v>13854</v>
      </c>
      <c r="D4128" t="s">
        <v>22442</v>
      </c>
      <c r="E4128" t="s">
        <v>21225</v>
      </c>
      <c r="G4128" t="s">
        <v>14555</v>
      </c>
      <c r="H4128" t="s">
        <v>301</v>
      </c>
      <c r="J4128" t="s">
        <v>605</v>
      </c>
      <c r="K4128" t="s">
        <v>606</v>
      </c>
      <c r="M4128" t="s">
        <v>2366</v>
      </c>
      <c r="N4128" t="s">
        <v>657</v>
      </c>
      <c r="O4128" t="s">
        <v>3037</v>
      </c>
      <c r="P4128" t="s">
        <v>626</v>
      </c>
      <c r="Q4128" t="s">
        <v>521</v>
      </c>
      <c r="R4128" t="s">
        <v>3017</v>
      </c>
      <c r="S4128" t="s">
        <v>3038</v>
      </c>
      <c r="T4128" t="s">
        <v>2526</v>
      </c>
      <c r="U4128">
        <v>313300</v>
      </c>
      <c r="V4128" t="s">
        <v>14556</v>
      </c>
      <c r="W4128" t="s">
        <v>3040</v>
      </c>
      <c r="X4128" t="s">
        <v>13858</v>
      </c>
      <c r="Y4128" t="s">
        <v>5253</v>
      </c>
      <c r="AA4128" t="s">
        <v>5254</v>
      </c>
      <c r="AB4128" t="s">
        <v>13859</v>
      </c>
      <c r="AE4128">
        <v>-43.3105847</v>
      </c>
      <c r="AF4128">
        <v>172.3731105</v>
      </c>
      <c r="AG4128" s="175">
        <v>25</v>
      </c>
      <c r="AH4128" s="175">
        <v>10</v>
      </c>
      <c r="AI4128" s="175">
        <v>0</v>
      </c>
      <c r="AJ4128" s="175">
        <v>1</v>
      </c>
      <c r="AK4128" s="175">
        <v>2</v>
      </c>
      <c r="AL4128" s="175">
        <v>1</v>
      </c>
      <c r="AM4128" s="175">
        <v>2</v>
      </c>
      <c r="AN4128" s="175">
        <v>0</v>
      </c>
      <c r="AO4128" s="175">
        <v>6</v>
      </c>
      <c r="AP4128" s="175">
        <v>5</v>
      </c>
      <c r="AQ4128" s="175">
        <v>1</v>
      </c>
      <c r="AR4128" s="175">
        <v>2</v>
      </c>
      <c r="AS4128" s="175">
        <v>0</v>
      </c>
      <c r="AT4128" s="175">
        <v>1</v>
      </c>
    </row>
    <row r="4129" spans="1:46">
      <c r="A4129">
        <v>70041</v>
      </c>
      <c r="B4129" t="s">
        <v>22506</v>
      </c>
      <c r="C4129" t="s">
        <v>22507</v>
      </c>
      <c r="D4129" t="s">
        <v>14940</v>
      </c>
      <c r="E4129" t="s">
        <v>22508</v>
      </c>
      <c r="G4129" t="s">
        <v>3369</v>
      </c>
      <c r="H4129" t="s">
        <v>449</v>
      </c>
      <c r="J4129" t="s">
        <v>4032</v>
      </c>
      <c r="K4129" t="s">
        <v>606</v>
      </c>
      <c r="M4129" t="s">
        <v>2366</v>
      </c>
      <c r="N4129" t="s">
        <v>657</v>
      </c>
      <c r="O4129" t="s">
        <v>3322</v>
      </c>
      <c r="P4129" t="s">
        <v>610</v>
      </c>
      <c r="Q4129" t="s">
        <v>521</v>
      </c>
      <c r="R4129" t="s">
        <v>3017</v>
      </c>
      <c r="S4129" t="s">
        <v>3292</v>
      </c>
      <c r="T4129" t="s">
        <v>2526</v>
      </c>
      <c r="U4129">
        <v>339300</v>
      </c>
      <c r="V4129" t="s">
        <v>3370</v>
      </c>
      <c r="W4129" t="s">
        <v>3371</v>
      </c>
      <c r="X4129" t="s">
        <v>14943</v>
      </c>
      <c r="Y4129" t="s">
        <v>14944</v>
      </c>
      <c r="AA4129" t="s">
        <v>14945</v>
      </c>
      <c r="AB4129" t="s">
        <v>14946</v>
      </c>
      <c r="AC4129">
        <v>99174</v>
      </c>
      <c r="AD4129" t="s">
        <v>3341</v>
      </c>
      <c r="AE4129">
        <v>-44.240461199999999</v>
      </c>
      <c r="AF4129">
        <v>171.27850032000001</v>
      </c>
      <c r="AG4129" s="175">
        <v>26</v>
      </c>
      <c r="AH4129" s="175">
        <v>10</v>
      </c>
      <c r="AI4129" s="175">
        <v>0</v>
      </c>
      <c r="AJ4129" s="175">
        <v>6</v>
      </c>
      <c r="AK4129" s="175">
        <v>11</v>
      </c>
      <c r="AL4129" s="175">
        <v>10</v>
      </c>
      <c r="AM4129" s="175">
        <v>0</v>
      </c>
      <c r="AN4129" s="175">
        <v>0</v>
      </c>
      <c r="AO4129" s="175">
        <v>27</v>
      </c>
      <c r="AP4129" s="175">
        <v>24</v>
      </c>
      <c r="AQ4129" s="175">
        <v>3</v>
      </c>
      <c r="AR4129" s="175">
        <v>1</v>
      </c>
      <c r="AS4129" s="175">
        <v>4</v>
      </c>
      <c r="AT4129" s="175">
        <v>0</v>
      </c>
    </row>
    <row r="4130" spans="1:46">
      <c r="A4130">
        <v>70042</v>
      </c>
      <c r="B4130" t="s">
        <v>22509</v>
      </c>
      <c r="C4130" t="s">
        <v>13854</v>
      </c>
      <c r="E4130" t="s">
        <v>22510</v>
      </c>
      <c r="G4130" t="s">
        <v>21732</v>
      </c>
      <c r="H4130" t="s">
        <v>301</v>
      </c>
      <c r="J4130" t="s">
        <v>605</v>
      </c>
      <c r="K4130" t="s">
        <v>606</v>
      </c>
      <c r="M4130" t="s">
        <v>2366</v>
      </c>
      <c r="N4130" t="s">
        <v>657</v>
      </c>
      <c r="O4130" t="s">
        <v>3281</v>
      </c>
      <c r="P4130" t="s">
        <v>610</v>
      </c>
      <c r="Q4130" t="s">
        <v>521</v>
      </c>
      <c r="R4130" t="s">
        <v>3017</v>
      </c>
      <c r="S4130" t="s">
        <v>3252</v>
      </c>
      <c r="T4130" t="s">
        <v>2526</v>
      </c>
      <c r="U4130">
        <v>334001</v>
      </c>
      <c r="V4130" t="s">
        <v>21732</v>
      </c>
      <c r="W4130" t="s">
        <v>12669</v>
      </c>
      <c r="X4130" t="s">
        <v>13858</v>
      </c>
      <c r="Y4130" t="s">
        <v>5253</v>
      </c>
      <c r="AA4130" t="s">
        <v>5254</v>
      </c>
      <c r="AB4130" t="s">
        <v>13859</v>
      </c>
      <c r="AC4130">
        <v>99008</v>
      </c>
      <c r="AD4130" t="s">
        <v>17656</v>
      </c>
      <c r="AE4130">
        <v>-43.490067439999997</v>
      </c>
      <c r="AF4130">
        <v>172.1075137</v>
      </c>
      <c r="AG4130" s="175">
        <v>25</v>
      </c>
      <c r="AH4130" s="175">
        <v>15</v>
      </c>
      <c r="AI4130" s="175">
        <v>2</v>
      </c>
      <c r="AJ4130" s="175">
        <v>5</v>
      </c>
      <c r="AK4130" s="175">
        <v>6</v>
      </c>
      <c r="AL4130" s="175">
        <v>3</v>
      </c>
      <c r="AM4130" s="175">
        <v>8</v>
      </c>
      <c r="AN4130" s="175">
        <v>0</v>
      </c>
      <c r="AO4130" s="175">
        <v>24</v>
      </c>
      <c r="AP4130" s="175">
        <v>23</v>
      </c>
      <c r="AQ4130" s="175">
        <v>2</v>
      </c>
      <c r="AR4130" s="175">
        <v>0</v>
      </c>
      <c r="AS4130" s="175">
        <v>1</v>
      </c>
      <c r="AT4130" s="175">
        <v>0</v>
      </c>
    </row>
    <row r="4131" spans="1:46">
      <c r="A4131">
        <v>70044</v>
      </c>
      <c r="B4131" t="s">
        <v>22511</v>
      </c>
      <c r="C4131" t="s">
        <v>13854</v>
      </c>
      <c r="E4131" t="s">
        <v>22512</v>
      </c>
      <c r="G4131" t="s">
        <v>14346</v>
      </c>
      <c r="H4131" t="s">
        <v>301</v>
      </c>
      <c r="J4131" t="s">
        <v>605</v>
      </c>
      <c r="K4131" t="s">
        <v>606</v>
      </c>
      <c r="M4131" t="s">
        <v>2366</v>
      </c>
      <c r="N4131" t="s">
        <v>657</v>
      </c>
      <c r="O4131" t="s">
        <v>3016</v>
      </c>
      <c r="P4131" t="s">
        <v>610</v>
      </c>
      <c r="Q4131" t="s">
        <v>521</v>
      </c>
      <c r="R4131" t="s">
        <v>3017</v>
      </c>
      <c r="S4131" t="s">
        <v>3052</v>
      </c>
      <c r="T4131" t="s">
        <v>2526</v>
      </c>
      <c r="U4131">
        <v>332901</v>
      </c>
      <c r="V4131" t="s">
        <v>14346</v>
      </c>
      <c r="W4131" t="s">
        <v>3136</v>
      </c>
      <c r="X4131" t="s">
        <v>13858</v>
      </c>
      <c r="Y4131" t="s">
        <v>5253</v>
      </c>
      <c r="AA4131" t="s">
        <v>5254</v>
      </c>
      <c r="AB4131" t="s">
        <v>13859</v>
      </c>
      <c r="AE4131">
        <v>-43.626043289999998</v>
      </c>
      <c r="AF4131">
        <v>172.74191490000001</v>
      </c>
      <c r="AG4131" s="175">
        <v>21</v>
      </c>
      <c r="AH4131" s="175">
        <v>15</v>
      </c>
      <c r="AI4131" s="175">
        <v>0</v>
      </c>
      <c r="AJ4131" s="175">
        <v>3</v>
      </c>
      <c r="AK4131" s="175">
        <v>2</v>
      </c>
      <c r="AL4131" s="175">
        <v>1</v>
      </c>
      <c r="AM4131" s="175">
        <v>6</v>
      </c>
      <c r="AN4131" s="175">
        <v>0</v>
      </c>
      <c r="AO4131" s="175">
        <v>12</v>
      </c>
      <c r="AP4131" s="175">
        <v>12</v>
      </c>
      <c r="AQ4131" s="175">
        <v>5</v>
      </c>
      <c r="AR4131" s="175">
        <v>0</v>
      </c>
      <c r="AS4131" s="175">
        <v>0</v>
      </c>
      <c r="AT4131" s="175">
        <v>0</v>
      </c>
    </row>
    <row r="4132" spans="1:46">
      <c r="A4132">
        <v>70047</v>
      </c>
      <c r="B4132" t="s">
        <v>22513</v>
      </c>
      <c r="C4132" t="s">
        <v>22514</v>
      </c>
      <c r="D4132" t="s">
        <v>22515</v>
      </c>
      <c r="E4132" t="s">
        <v>22516</v>
      </c>
      <c r="F4132" t="s">
        <v>3203</v>
      </c>
      <c r="G4132" t="s">
        <v>3015</v>
      </c>
      <c r="H4132" t="s">
        <v>449</v>
      </c>
      <c r="J4132" t="s">
        <v>4032</v>
      </c>
      <c r="K4132" t="s">
        <v>606</v>
      </c>
      <c r="M4132" t="s">
        <v>2366</v>
      </c>
      <c r="N4132" t="s">
        <v>657</v>
      </c>
      <c r="O4132" t="s">
        <v>3016</v>
      </c>
      <c r="P4132" t="s">
        <v>739</v>
      </c>
      <c r="Q4132" t="s">
        <v>521</v>
      </c>
      <c r="R4132" t="s">
        <v>3017</v>
      </c>
      <c r="S4132" t="s">
        <v>3046</v>
      </c>
      <c r="T4132" t="s">
        <v>2526</v>
      </c>
      <c r="U4132">
        <v>325601</v>
      </c>
      <c r="V4132" t="s">
        <v>22053</v>
      </c>
      <c r="W4132" t="s">
        <v>3199</v>
      </c>
      <c r="X4132" t="s">
        <v>22517</v>
      </c>
      <c r="Y4132" t="s">
        <v>22516</v>
      </c>
      <c r="Z4132" t="s">
        <v>3203</v>
      </c>
      <c r="AA4132" t="s">
        <v>14360</v>
      </c>
      <c r="AE4132">
        <v>-43.4979722</v>
      </c>
      <c r="AF4132">
        <v>172.6901282</v>
      </c>
      <c r="AG4132" s="175">
        <v>32</v>
      </c>
      <c r="AH4132" s="175">
        <v>10</v>
      </c>
      <c r="AI4132" s="175">
        <v>1</v>
      </c>
      <c r="AJ4132" s="175">
        <v>11</v>
      </c>
      <c r="AK4132" s="175">
        <v>13</v>
      </c>
      <c r="AL4132" s="175">
        <v>12</v>
      </c>
      <c r="AM4132" s="175">
        <v>15</v>
      </c>
      <c r="AN4132" s="175">
        <v>1</v>
      </c>
      <c r="AO4132" s="175">
        <v>53</v>
      </c>
      <c r="AP4132" s="175">
        <v>44</v>
      </c>
      <c r="AQ4132" s="175">
        <v>10</v>
      </c>
      <c r="AR4132" s="175">
        <v>5</v>
      </c>
      <c r="AS4132" s="175">
        <v>3</v>
      </c>
      <c r="AT4132" s="175">
        <v>7</v>
      </c>
    </row>
    <row r="4133" spans="1:46">
      <c r="A4133">
        <v>70048</v>
      </c>
      <c r="B4133" t="s">
        <v>22518</v>
      </c>
      <c r="C4133" t="s">
        <v>13854</v>
      </c>
      <c r="D4133" t="s">
        <v>22442</v>
      </c>
      <c r="E4133" t="s">
        <v>22519</v>
      </c>
      <c r="G4133" t="s">
        <v>21991</v>
      </c>
      <c r="H4133" t="s">
        <v>301</v>
      </c>
      <c r="J4133" t="s">
        <v>605</v>
      </c>
      <c r="K4133" t="s">
        <v>606</v>
      </c>
      <c r="M4133" t="s">
        <v>2366</v>
      </c>
      <c r="N4133" t="s">
        <v>657</v>
      </c>
      <c r="O4133" t="s">
        <v>3281</v>
      </c>
      <c r="P4133" t="s">
        <v>658</v>
      </c>
      <c r="Q4133" t="s">
        <v>521</v>
      </c>
      <c r="R4133" t="s">
        <v>3017</v>
      </c>
      <c r="S4133" t="s">
        <v>3252</v>
      </c>
      <c r="T4133" t="s">
        <v>2526</v>
      </c>
      <c r="U4133">
        <v>334200</v>
      </c>
      <c r="V4133" t="s">
        <v>21992</v>
      </c>
      <c r="W4133" t="s">
        <v>3283</v>
      </c>
      <c r="X4133" t="s">
        <v>13858</v>
      </c>
      <c r="Y4133" t="s">
        <v>5253</v>
      </c>
      <c r="AA4133" t="s">
        <v>5254</v>
      </c>
      <c r="AB4133" t="s">
        <v>13859</v>
      </c>
      <c r="AC4133">
        <v>99207</v>
      </c>
      <c r="AD4133" t="s">
        <v>21997</v>
      </c>
      <c r="AE4133">
        <v>-43.66815802</v>
      </c>
      <c r="AF4133">
        <v>172.19724554000001</v>
      </c>
      <c r="AG4133" s="175">
        <v>21</v>
      </c>
      <c r="AH4133" s="175">
        <v>10</v>
      </c>
      <c r="AI4133" s="175">
        <v>3</v>
      </c>
      <c r="AJ4133" s="175">
        <v>4</v>
      </c>
      <c r="AK4133" s="175">
        <v>2</v>
      </c>
      <c r="AL4133" s="175">
        <v>4</v>
      </c>
      <c r="AM4133" s="175">
        <v>2</v>
      </c>
      <c r="AN4133" s="175">
        <v>0</v>
      </c>
      <c r="AO4133" s="175">
        <v>15</v>
      </c>
      <c r="AP4133" s="175">
        <v>14</v>
      </c>
      <c r="AQ4133" s="175">
        <v>1</v>
      </c>
      <c r="AR4133" s="175">
        <v>0</v>
      </c>
      <c r="AS4133" s="175">
        <v>1</v>
      </c>
      <c r="AT4133" s="175">
        <v>1</v>
      </c>
    </row>
    <row r="4134" spans="1:46">
      <c r="A4134">
        <v>70050</v>
      </c>
      <c r="B4134" t="s">
        <v>22520</v>
      </c>
      <c r="C4134" t="s">
        <v>13854</v>
      </c>
      <c r="E4134" t="s">
        <v>3732</v>
      </c>
      <c r="G4134" t="s">
        <v>3290</v>
      </c>
      <c r="H4134" t="s">
        <v>301</v>
      </c>
      <c r="J4134" t="s">
        <v>605</v>
      </c>
      <c r="K4134" t="s">
        <v>606</v>
      </c>
      <c r="M4134" t="s">
        <v>2366</v>
      </c>
      <c r="N4134" t="s">
        <v>657</v>
      </c>
      <c r="O4134" t="s">
        <v>3291</v>
      </c>
      <c r="P4134" t="s">
        <v>658</v>
      </c>
      <c r="Q4134" t="s">
        <v>521</v>
      </c>
      <c r="R4134" t="s">
        <v>3017</v>
      </c>
      <c r="S4134" t="s">
        <v>3292</v>
      </c>
      <c r="T4134" t="s">
        <v>2526</v>
      </c>
      <c r="U4134">
        <v>337100</v>
      </c>
      <c r="V4134" t="s">
        <v>22521</v>
      </c>
      <c r="W4134" t="s">
        <v>2533</v>
      </c>
      <c r="X4134" t="s">
        <v>13858</v>
      </c>
      <c r="Y4134" t="s">
        <v>5253</v>
      </c>
      <c r="AA4134" t="s">
        <v>5254</v>
      </c>
      <c r="AB4134" t="s">
        <v>13859</v>
      </c>
      <c r="AE4134">
        <v>-43.979551100000002</v>
      </c>
      <c r="AF4134">
        <v>171.68308450000001</v>
      </c>
      <c r="AG4134" s="175">
        <v>24</v>
      </c>
      <c r="AH4134" s="175">
        <v>10</v>
      </c>
      <c r="AI4134" s="175">
        <v>2</v>
      </c>
      <c r="AJ4134" s="175">
        <v>2</v>
      </c>
      <c r="AK4134" s="175">
        <v>1</v>
      </c>
      <c r="AL4134" s="175">
        <v>1</v>
      </c>
      <c r="AM4134" s="175">
        <v>1</v>
      </c>
      <c r="AN4134" s="175">
        <v>0</v>
      </c>
      <c r="AO4134" s="175">
        <v>7</v>
      </c>
      <c r="AP4134" s="175">
        <v>7</v>
      </c>
      <c r="AQ4134" s="175">
        <v>0</v>
      </c>
      <c r="AR4134" s="175">
        <v>0</v>
      </c>
      <c r="AS4134" s="175">
        <v>0</v>
      </c>
      <c r="AT4134" s="175">
        <v>0</v>
      </c>
    </row>
    <row r="4135" spans="1:46">
      <c r="A4135">
        <v>70051</v>
      </c>
      <c r="B4135" t="s">
        <v>22522</v>
      </c>
      <c r="C4135" t="s">
        <v>22523</v>
      </c>
      <c r="D4135" t="s">
        <v>22524</v>
      </c>
      <c r="E4135" t="s">
        <v>22525</v>
      </c>
      <c r="G4135" t="s">
        <v>3036</v>
      </c>
      <c r="H4135" t="s">
        <v>449</v>
      </c>
      <c r="J4135" t="s">
        <v>4032</v>
      </c>
      <c r="K4135" t="s">
        <v>606</v>
      </c>
      <c r="M4135" t="s">
        <v>2366</v>
      </c>
      <c r="N4135" t="s">
        <v>657</v>
      </c>
      <c r="O4135" t="s">
        <v>3037</v>
      </c>
      <c r="P4135" t="s">
        <v>1347</v>
      </c>
      <c r="Q4135" t="s">
        <v>521</v>
      </c>
      <c r="R4135" t="s">
        <v>3017</v>
      </c>
      <c r="S4135" t="s">
        <v>3038</v>
      </c>
      <c r="T4135" t="s">
        <v>2526</v>
      </c>
      <c r="U4135">
        <v>315001</v>
      </c>
      <c r="V4135" t="s">
        <v>12139</v>
      </c>
      <c r="W4135" t="s">
        <v>3040</v>
      </c>
      <c r="X4135" t="s">
        <v>22526</v>
      </c>
      <c r="Y4135" t="s">
        <v>4176</v>
      </c>
      <c r="AA4135" t="s">
        <v>4052</v>
      </c>
      <c r="AB4135" t="s">
        <v>22523</v>
      </c>
      <c r="AE4135">
        <v>-43.318409019999997</v>
      </c>
      <c r="AF4135">
        <v>172.59679729000001</v>
      </c>
      <c r="AG4135" s="175">
        <v>70</v>
      </c>
      <c r="AH4135" s="175">
        <v>20</v>
      </c>
      <c r="AI4135" s="175">
        <v>4</v>
      </c>
      <c r="AJ4135" s="175">
        <v>17</v>
      </c>
      <c r="AK4135" s="175">
        <v>10</v>
      </c>
      <c r="AL4135" s="175">
        <v>20</v>
      </c>
      <c r="AM4135" s="175">
        <v>16</v>
      </c>
      <c r="AN4135" s="175">
        <v>1</v>
      </c>
      <c r="AO4135" s="175">
        <v>68</v>
      </c>
      <c r="AP4135" s="175">
        <v>56</v>
      </c>
      <c r="AQ4135" s="175">
        <v>10</v>
      </c>
      <c r="AR4135" s="175">
        <v>1</v>
      </c>
      <c r="AS4135" s="175">
        <v>11</v>
      </c>
      <c r="AT4135" s="175">
        <v>2</v>
      </c>
    </row>
    <row r="4136" spans="1:46">
      <c r="A4136">
        <v>70052</v>
      </c>
      <c r="B4136" t="s">
        <v>22527</v>
      </c>
      <c r="C4136" t="s">
        <v>13854</v>
      </c>
      <c r="E4136" t="s">
        <v>22528</v>
      </c>
      <c r="F4136" t="s">
        <v>3256</v>
      </c>
      <c r="G4136" t="s">
        <v>3015</v>
      </c>
      <c r="H4136" t="s">
        <v>301</v>
      </c>
      <c r="J4136" t="s">
        <v>605</v>
      </c>
      <c r="K4136" t="s">
        <v>606</v>
      </c>
      <c r="M4136" t="s">
        <v>2366</v>
      </c>
      <c r="N4136" t="s">
        <v>657</v>
      </c>
      <c r="O4136" t="s">
        <v>3016</v>
      </c>
      <c r="P4136" t="s">
        <v>739</v>
      </c>
      <c r="Q4136" t="s">
        <v>521</v>
      </c>
      <c r="R4136" t="s">
        <v>3017</v>
      </c>
      <c r="S4136" t="s">
        <v>3018</v>
      </c>
      <c r="T4136" t="s">
        <v>2526</v>
      </c>
      <c r="U4136">
        <v>321500</v>
      </c>
      <c r="V4136" t="s">
        <v>3256</v>
      </c>
      <c r="W4136" t="s">
        <v>3072</v>
      </c>
      <c r="X4136" t="s">
        <v>13858</v>
      </c>
      <c r="Y4136" t="s">
        <v>5253</v>
      </c>
      <c r="AA4136" t="s">
        <v>5254</v>
      </c>
      <c r="AB4136" t="s">
        <v>13859</v>
      </c>
      <c r="AE4136">
        <v>-43.515674199999999</v>
      </c>
      <c r="AF4136">
        <v>172.59102350000001</v>
      </c>
      <c r="AG4136" s="175">
        <v>25</v>
      </c>
      <c r="AH4136" s="175">
        <v>20</v>
      </c>
      <c r="AI4136" s="175">
        <v>2</v>
      </c>
      <c r="AJ4136" s="175">
        <v>12</v>
      </c>
      <c r="AK4136" s="175">
        <v>8</v>
      </c>
      <c r="AL4136" s="175">
        <v>3</v>
      </c>
      <c r="AM4136" s="175">
        <v>4</v>
      </c>
      <c r="AN4136" s="175">
        <v>0</v>
      </c>
      <c r="AO4136" s="175">
        <v>29</v>
      </c>
      <c r="AP4136" s="175">
        <v>24</v>
      </c>
      <c r="AQ4136" s="175">
        <v>4</v>
      </c>
      <c r="AR4136" s="175">
        <v>0</v>
      </c>
      <c r="AS4136" s="175">
        <v>4</v>
      </c>
      <c r="AT4136" s="175">
        <v>0</v>
      </c>
    </row>
    <row r="4137" spans="1:46">
      <c r="A4137">
        <v>70054</v>
      </c>
      <c r="B4137" t="s">
        <v>22529</v>
      </c>
      <c r="C4137" t="s">
        <v>13854</v>
      </c>
      <c r="E4137" t="s">
        <v>22530</v>
      </c>
      <c r="G4137" t="s">
        <v>3334</v>
      </c>
      <c r="H4137" t="s">
        <v>301</v>
      </c>
      <c r="J4137" t="s">
        <v>605</v>
      </c>
      <c r="K4137" t="s">
        <v>606</v>
      </c>
      <c r="M4137" t="s">
        <v>2366</v>
      </c>
      <c r="N4137" t="s">
        <v>657</v>
      </c>
      <c r="O4137" t="s">
        <v>3322</v>
      </c>
      <c r="P4137" t="s">
        <v>1347</v>
      </c>
      <c r="Q4137" t="s">
        <v>521</v>
      </c>
      <c r="R4137" t="s">
        <v>3017</v>
      </c>
      <c r="S4137" t="s">
        <v>3292</v>
      </c>
      <c r="T4137" t="s">
        <v>2526</v>
      </c>
      <c r="U4137">
        <v>340100</v>
      </c>
      <c r="V4137" t="s">
        <v>13599</v>
      </c>
      <c r="W4137" t="s">
        <v>3336</v>
      </c>
      <c r="X4137" t="s">
        <v>13858</v>
      </c>
      <c r="Y4137" t="s">
        <v>5253</v>
      </c>
      <c r="AA4137" t="s">
        <v>5254</v>
      </c>
      <c r="AB4137" t="s">
        <v>13859</v>
      </c>
      <c r="AE4137">
        <v>-44.388074629999998</v>
      </c>
      <c r="AF4137">
        <v>171.20576510000001</v>
      </c>
      <c r="AG4137" s="175">
        <v>25</v>
      </c>
      <c r="AH4137" s="175">
        <v>15</v>
      </c>
      <c r="AI4137" s="175">
        <v>2</v>
      </c>
      <c r="AJ4137" s="175">
        <v>2</v>
      </c>
      <c r="AK4137" s="175">
        <v>10</v>
      </c>
      <c r="AL4137" s="175">
        <v>3</v>
      </c>
      <c r="AM4137" s="175">
        <v>1</v>
      </c>
      <c r="AN4137" s="175">
        <v>0</v>
      </c>
      <c r="AO4137" s="175">
        <v>18</v>
      </c>
      <c r="AP4137" s="175">
        <v>15</v>
      </c>
      <c r="AQ4137" s="175">
        <v>3</v>
      </c>
      <c r="AR4137" s="175">
        <v>2</v>
      </c>
      <c r="AS4137" s="175">
        <v>2</v>
      </c>
      <c r="AT4137" s="175">
        <v>1</v>
      </c>
    </row>
    <row r="4138" spans="1:46">
      <c r="A4138">
        <v>70057</v>
      </c>
      <c r="B4138" t="s">
        <v>22531</v>
      </c>
      <c r="C4138" t="s">
        <v>22532</v>
      </c>
      <c r="D4138" t="s">
        <v>22533</v>
      </c>
      <c r="E4138" t="s">
        <v>22534</v>
      </c>
      <c r="F4138" t="s">
        <v>3180</v>
      </c>
      <c r="G4138" t="s">
        <v>3015</v>
      </c>
      <c r="H4138" t="s">
        <v>449</v>
      </c>
      <c r="J4138" t="s">
        <v>605</v>
      </c>
      <c r="K4138" t="s">
        <v>606</v>
      </c>
      <c r="M4138" t="s">
        <v>2366</v>
      </c>
      <c r="N4138" t="s">
        <v>657</v>
      </c>
      <c r="O4138" t="s">
        <v>3016</v>
      </c>
      <c r="P4138" t="s">
        <v>739</v>
      </c>
      <c r="Q4138" t="s">
        <v>521</v>
      </c>
      <c r="R4138" t="s">
        <v>3017</v>
      </c>
      <c r="S4138" t="s">
        <v>3046</v>
      </c>
      <c r="T4138" t="s">
        <v>2526</v>
      </c>
      <c r="U4138">
        <v>330200</v>
      </c>
      <c r="V4138" t="s">
        <v>3180</v>
      </c>
      <c r="W4138" t="s">
        <v>3047</v>
      </c>
      <c r="X4138" t="s">
        <v>22535</v>
      </c>
      <c r="Y4138" t="s">
        <v>22534</v>
      </c>
      <c r="Z4138" t="s">
        <v>3180</v>
      </c>
      <c r="AA4138" t="s">
        <v>16058</v>
      </c>
      <c r="AB4138" t="s">
        <v>22536</v>
      </c>
      <c r="AE4138">
        <v>-43.51063722</v>
      </c>
      <c r="AF4138">
        <v>172.72503205999999</v>
      </c>
      <c r="AG4138" s="175">
        <v>30</v>
      </c>
      <c r="AH4138" s="175">
        <v>0</v>
      </c>
      <c r="AI4138" s="175">
        <v>0</v>
      </c>
      <c r="AJ4138" s="175">
        <v>0</v>
      </c>
      <c r="AK4138" s="175">
        <v>0</v>
      </c>
      <c r="AL4138" s="175">
        <v>5</v>
      </c>
      <c r="AM4138" s="175">
        <v>10</v>
      </c>
      <c r="AN4138" s="175">
        <v>5</v>
      </c>
      <c r="AO4138" s="175">
        <v>20</v>
      </c>
      <c r="AP4138" s="175">
        <v>18</v>
      </c>
      <c r="AQ4138" s="175">
        <v>1</v>
      </c>
      <c r="AR4138" s="175">
        <v>1</v>
      </c>
      <c r="AS4138" s="175">
        <v>6</v>
      </c>
      <c r="AT4138" s="175">
        <v>1</v>
      </c>
    </row>
    <row r="4139" spans="1:46">
      <c r="A4139">
        <v>70059</v>
      </c>
      <c r="B4139" t="s">
        <v>22537</v>
      </c>
      <c r="C4139" t="s">
        <v>22538</v>
      </c>
      <c r="D4139" t="s">
        <v>22539</v>
      </c>
      <c r="E4139" t="s">
        <v>22540</v>
      </c>
      <c r="F4139" t="s">
        <v>3351</v>
      </c>
      <c r="G4139" t="s">
        <v>3334</v>
      </c>
      <c r="H4139" t="s">
        <v>449</v>
      </c>
      <c r="J4139" t="s">
        <v>4032</v>
      </c>
      <c r="K4139" t="s">
        <v>606</v>
      </c>
      <c r="M4139" t="s">
        <v>2366</v>
      </c>
      <c r="N4139" t="s">
        <v>657</v>
      </c>
      <c r="O4139" t="s">
        <v>3322</v>
      </c>
      <c r="P4139" t="s">
        <v>1347</v>
      </c>
      <c r="Q4139" t="s">
        <v>521</v>
      </c>
      <c r="R4139" t="s">
        <v>3017</v>
      </c>
      <c r="S4139" t="s">
        <v>3292</v>
      </c>
      <c r="T4139" t="s">
        <v>2526</v>
      </c>
      <c r="U4139">
        <v>341300</v>
      </c>
      <c r="V4139" t="s">
        <v>17402</v>
      </c>
      <c r="W4139" t="s">
        <v>3336</v>
      </c>
      <c r="X4139" t="s">
        <v>14187</v>
      </c>
      <c r="Y4139" t="s">
        <v>21758</v>
      </c>
      <c r="AA4139" t="s">
        <v>21759</v>
      </c>
      <c r="AC4139">
        <v>99178</v>
      </c>
      <c r="AD4139" t="s">
        <v>3346</v>
      </c>
      <c r="AE4139">
        <v>-44.406004549999999</v>
      </c>
      <c r="AF4139">
        <v>171.24088700999999</v>
      </c>
      <c r="AG4139" s="175">
        <v>33</v>
      </c>
      <c r="AH4139" s="175">
        <v>8</v>
      </c>
      <c r="AI4139" s="175">
        <v>3</v>
      </c>
      <c r="AJ4139" s="175">
        <v>6</v>
      </c>
      <c r="AK4139" s="175">
        <v>7</v>
      </c>
      <c r="AL4139" s="175">
        <v>4</v>
      </c>
      <c r="AM4139" s="175">
        <v>5</v>
      </c>
      <c r="AN4139" s="175">
        <v>1</v>
      </c>
      <c r="AO4139" s="175">
        <v>26</v>
      </c>
      <c r="AP4139" s="175">
        <v>17</v>
      </c>
      <c r="AQ4139" s="175">
        <v>9</v>
      </c>
      <c r="AR4139" s="175">
        <v>1</v>
      </c>
      <c r="AS4139" s="175">
        <v>3</v>
      </c>
      <c r="AT4139" s="175">
        <v>0</v>
      </c>
    </row>
    <row r="4140" spans="1:46">
      <c r="A4140">
        <v>70060</v>
      </c>
      <c r="B4140" t="s">
        <v>22541</v>
      </c>
      <c r="C4140" t="s">
        <v>13854</v>
      </c>
      <c r="E4140" t="s">
        <v>22542</v>
      </c>
      <c r="F4140" t="s">
        <v>3267</v>
      </c>
      <c r="G4140" t="s">
        <v>3015</v>
      </c>
      <c r="H4140" t="s">
        <v>301</v>
      </c>
      <c r="J4140" t="s">
        <v>605</v>
      </c>
      <c r="K4140" t="s">
        <v>606</v>
      </c>
      <c r="M4140" t="s">
        <v>2366</v>
      </c>
      <c r="N4140" t="s">
        <v>657</v>
      </c>
      <c r="O4140" t="s">
        <v>3016</v>
      </c>
      <c r="P4140" t="s">
        <v>739</v>
      </c>
      <c r="Q4140" t="s">
        <v>521</v>
      </c>
      <c r="R4140" t="s">
        <v>3017</v>
      </c>
      <c r="S4140" t="s">
        <v>3052</v>
      </c>
      <c r="T4140" t="s">
        <v>2526</v>
      </c>
      <c r="U4140">
        <v>328001</v>
      </c>
      <c r="V4140" t="s">
        <v>14623</v>
      </c>
      <c r="W4140" t="s">
        <v>3269</v>
      </c>
      <c r="X4140" t="s">
        <v>13858</v>
      </c>
      <c r="Y4140" t="s">
        <v>5253</v>
      </c>
      <c r="AA4140" t="s">
        <v>5254</v>
      </c>
      <c r="AB4140" t="s">
        <v>13859</v>
      </c>
      <c r="AE4140">
        <v>-43.584387100000001</v>
      </c>
      <c r="AF4140">
        <v>172.5697012</v>
      </c>
      <c r="AG4140" s="175">
        <v>23</v>
      </c>
      <c r="AH4140" s="175">
        <v>20</v>
      </c>
      <c r="AI4140" s="175">
        <v>18</v>
      </c>
      <c r="AJ4140" s="175">
        <v>7</v>
      </c>
      <c r="AK4140" s="175">
        <v>13</v>
      </c>
      <c r="AL4140" s="175">
        <v>6</v>
      </c>
      <c r="AM4140" s="175">
        <v>3</v>
      </c>
      <c r="AN4140" s="175">
        <v>2</v>
      </c>
      <c r="AO4140" s="175">
        <v>49</v>
      </c>
      <c r="AP4140" s="175">
        <v>42</v>
      </c>
      <c r="AQ4140" s="175">
        <v>3</v>
      </c>
      <c r="AR4140" s="175">
        <v>5</v>
      </c>
      <c r="AS4140" s="175">
        <v>10</v>
      </c>
      <c r="AT4140" s="175">
        <v>0</v>
      </c>
    </row>
    <row r="4141" spans="1:46">
      <c r="A4141">
        <v>70063</v>
      </c>
      <c r="B4141" t="s">
        <v>22543</v>
      </c>
      <c r="C4141" t="s">
        <v>22544</v>
      </c>
      <c r="D4141" t="s">
        <v>22545</v>
      </c>
      <c r="E4141" t="s">
        <v>22546</v>
      </c>
      <c r="F4141" t="s">
        <v>3203</v>
      </c>
      <c r="G4141" t="s">
        <v>3015</v>
      </c>
      <c r="H4141" t="s">
        <v>449</v>
      </c>
      <c r="J4141" t="s">
        <v>4032</v>
      </c>
      <c r="K4141" t="s">
        <v>606</v>
      </c>
      <c r="M4141" t="s">
        <v>2366</v>
      </c>
      <c r="N4141" t="s">
        <v>657</v>
      </c>
      <c r="O4141" t="s">
        <v>3016</v>
      </c>
      <c r="P4141" t="s">
        <v>739</v>
      </c>
      <c r="Q4141" t="s">
        <v>521</v>
      </c>
      <c r="R4141" t="s">
        <v>3017</v>
      </c>
      <c r="S4141" t="s">
        <v>3046</v>
      </c>
      <c r="T4141" t="s">
        <v>2526</v>
      </c>
      <c r="U4141">
        <v>321600</v>
      </c>
      <c r="V4141" t="s">
        <v>22547</v>
      </c>
      <c r="W4141" t="s">
        <v>3047</v>
      </c>
      <c r="X4141" t="s">
        <v>22548</v>
      </c>
      <c r="Y4141" t="s">
        <v>4051</v>
      </c>
      <c r="AA4141" t="s">
        <v>4052</v>
      </c>
      <c r="AB4141" t="s">
        <v>22055</v>
      </c>
      <c r="AE4141">
        <v>-43.476030899999998</v>
      </c>
      <c r="AF4141">
        <v>172.68552532000001</v>
      </c>
      <c r="AG4141" s="175">
        <v>100</v>
      </c>
      <c r="AH4141" s="175">
        <v>20</v>
      </c>
      <c r="AI4141" s="175">
        <v>4</v>
      </c>
      <c r="AJ4141" s="175">
        <v>23</v>
      </c>
      <c r="AK4141" s="175">
        <v>33</v>
      </c>
      <c r="AL4141" s="175">
        <v>39</v>
      </c>
      <c r="AM4141" s="175">
        <v>36</v>
      </c>
      <c r="AN4141" s="175">
        <v>2</v>
      </c>
      <c r="AO4141" s="175">
        <v>137</v>
      </c>
      <c r="AP4141" s="175">
        <v>126</v>
      </c>
      <c r="AQ4141" s="175">
        <v>28</v>
      </c>
      <c r="AR4141" s="175">
        <v>8</v>
      </c>
      <c r="AS4141" s="175">
        <v>4</v>
      </c>
      <c r="AT4141" s="175">
        <v>0</v>
      </c>
    </row>
    <row r="4142" spans="1:46">
      <c r="A4142">
        <v>70064</v>
      </c>
      <c r="B4142" t="s">
        <v>22549</v>
      </c>
      <c r="C4142" t="s">
        <v>13854</v>
      </c>
      <c r="D4142" t="s">
        <v>22442</v>
      </c>
      <c r="E4142" t="s">
        <v>22550</v>
      </c>
      <c r="F4142" t="s">
        <v>14336</v>
      </c>
      <c r="G4142" t="s">
        <v>3015</v>
      </c>
      <c r="H4142" t="s">
        <v>301</v>
      </c>
      <c r="J4142" t="s">
        <v>605</v>
      </c>
      <c r="K4142" t="s">
        <v>606</v>
      </c>
      <c r="M4142" t="s">
        <v>2366</v>
      </c>
      <c r="N4142" t="s">
        <v>657</v>
      </c>
      <c r="O4142" t="s">
        <v>3016</v>
      </c>
      <c r="P4142" t="s">
        <v>739</v>
      </c>
      <c r="Q4142" t="s">
        <v>521</v>
      </c>
      <c r="R4142" t="s">
        <v>3017</v>
      </c>
      <c r="S4142" t="s">
        <v>3018</v>
      </c>
      <c r="T4142" t="s">
        <v>2526</v>
      </c>
      <c r="U4142">
        <v>317000</v>
      </c>
      <c r="V4142" t="s">
        <v>14336</v>
      </c>
      <c r="W4142" t="s">
        <v>3059</v>
      </c>
      <c r="X4142" t="s">
        <v>13858</v>
      </c>
      <c r="Y4142" t="s">
        <v>5253</v>
      </c>
      <c r="AA4142" t="s">
        <v>5254</v>
      </c>
      <c r="AB4142" t="s">
        <v>13859</v>
      </c>
      <c r="AE4142">
        <v>-43.479607110000003</v>
      </c>
      <c r="AF4142">
        <v>172.55966111000001</v>
      </c>
      <c r="AG4142" s="175">
        <v>25</v>
      </c>
      <c r="AH4142" s="175">
        <v>15</v>
      </c>
      <c r="AI4142" s="175">
        <v>2</v>
      </c>
      <c r="AJ4142" s="175">
        <v>5</v>
      </c>
      <c r="AK4142" s="175">
        <v>7</v>
      </c>
      <c r="AL4142" s="175">
        <v>1</v>
      </c>
      <c r="AM4142" s="175">
        <v>3</v>
      </c>
      <c r="AN4142" s="175">
        <v>0</v>
      </c>
      <c r="AO4142" s="175">
        <v>18</v>
      </c>
      <c r="AP4142" s="175">
        <v>16</v>
      </c>
      <c r="AQ4142" s="175">
        <v>0</v>
      </c>
      <c r="AR4142" s="175">
        <v>0</v>
      </c>
      <c r="AS4142" s="175">
        <v>2</v>
      </c>
      <c r="AT4142" s="175">
        <v>1</v>
      </c>
    </row>
    <row r="4143" spans="1:46">
      <c r="A4143">
        <v>70065</v>
      </c>
      <c r="B4143" t="s">
        <v>22551</v>
      </c>
      <c r="C4143" t="s">
        <v>22552</v>
      </c>
      <c r="E4143" t="s">
        <v>22553</v>
      </c>
      <c r="G4143" t="s">
        <v>3260</v>
      </c>
      <c r="H4143" t="s">
        <v>449</v>
      </c>
      <c r="J4143" t="s">
        <v>605</v>
      </c>
      <c r="K4143" t="s">
        <v>606</v>
      </c>
      <c r="M4143" t="s">
        <v>2366</v>
      </c>
      <c r="N4143" t="s">
        <v>657</v>
      </c>
      <c r="O4143" t="s">
        <v>3037</v>
      </c>
      <c r="P4143" t="s">
        <v>1347</v>
      </c>
      <c r="Q4143" t="s">
        <v>521</v>
      </c>
      <c r="R4143" t="s">
        <v>3017</v>
      </c>
      <c r="S4143" t="s">
        <v>3038</v>
      </c>
      <c r="T4143" t="s">
        <v>2526</v>
      </c>
      <c r="U4143">
        <v>316100</v>
      </c>
      <c r="V4143" t="s">
        <v>15121</v>
      </c>
      <c r="W4143" t="s">
        <v>3262</v>
      </c>
      <c r="X4143" t="s">
        <v>10864</v>
      </c>
      <c r="Y4143" t="s">
        <v>4014</v>
      </c>
      <c r="Z4143" t="s">
        <v>4015</v>
      </c>
      <c r="AA4143" t="s">
        <v>4016</v>
      </c>
      <c r="AE4143">
        <v>-43.390764679999997</v>
      </c>
      <c r="AF4143">
        <v>172.65372536000001</v>
      </c>
      <c r="AG4143" s="175">
        <v>95</v>
      </c>
      <c r="AH4143" s="175">
        <v>25</v>
      </c>
      <c r="AI4143" s="175">
        <v>2</v>
      </c>
      <c r="AJ4143" s="175">
        <v>12</v>
      </c>
      <c r="AK4143" s="175">
        <v>16</v>
      </c>
      <c r="AL4143" s="175">
        <v>35</v>
      </c>
      <c r="AM4143" s="175">
        <v>28</v>
      </c>
      <c r="AN4143" s="175">
        <v>2</v>
      </c>
      <c r="AO4143" s="175">
        <v>95</v>
      </c>
      <c r="AP4143" s="175">
        <v>63</v>
      </c>
      <c r="AQ4143" s="175">
        <v>17</v>
      </c>
      <c r="AR4143" s="175">
        <v>7</v>
      </c>
      <c r="AS4143" s="175">
        <v>13</v>
      </c>
      <c r="AT4143" s="175">
        <v>17</v>
      </c>
    </row>
    <row r="4144" spans="1:46">
      <c r="A4144">
        <v>70069</v>
      </c>
      <c r="B4144" t="s">
        <v>22554</v>
      </c>
      <c r="C4144" t="s">
        <v>22555</v>
      </c>
      <c r="D4144" t="s">
        <v>22556</v>
      </c>
      <c r="E4144" t="s">
        <v>22557</v>
      </c>
      <c r="F4144" t="s">
        <v>3188</v>
      </c>
      <c r="G4144" t="s">
        <v>3015</v>
      </c>
      <c r="H4144" t="s">
        <v>449</v>
      </c>
      <c r="J4144" t="s">
        <v>4032</v>
      </c>
      <c r="K4144" t="s">
        <v>606</v>
      </c>
      <c r="M4144" t="s">
        <v>2366</v>
      </c>
      <c r="N4144" t="s">
        <v>625</v>
      </c>
      <c r="O4144" t="s">
        <v>3016</v>
      </c>
      <c r="P4144" t="s">
        <v>739</v>
      </c>
      <c r="Q4144" t="s">
        <v>521</v>
      </c>
      <c r="R4144" t="s">
        <v>3017</v>
      </c>
      <c r="S4144" t="s">
        <v>3030</v>
      </c>
      <c r="T4144" t="s">
        <v>2526</v>
      </c>
      <c r="U4144">
        <v>319400</v>
      </c>
      <c r="V4144" t="s">
        <v>3170</v>
      </c>
      <c r="W4144" t="s">
        <v>3171</v>
      </c>
      <c r="X4144" t="s">
        <v>15622</v>
      </c>
      <c r="Y4144" t="s">
        <v>15623</v>
      </c>
      <c r="Z4144" t="s">
        <v>12010</v>
      </c>
      <c r="AA4144" t="s">
        <v>12388</v>
      </c>
      <c r="AE4144">
        <v>-43.489499330000001</v>
      </c>
      <c r="AF4144">
        <v>172.59766332999999</v>
      </c>
      <c r="AG4144" s="175">
        <v>42</v>
      </c>
      <c r="AH4144" s="175">
        <v>12</v>
      </c>
      <c r="AI4144" s="175">
        <v>2</v>
      </c>
      <c r="AJ4144" s="175">
        <v>4</v>
      </c>
      <c r="AK4144" s="175">
        <v>14</v>
      </c>
      <c r="AL4144" s="175">
        <v>9</v>
      </c>
      <c r="AM4144" s="175">
        <v>6</v>
      </c>
      <c r="AN4144" s="175">
        <v>0</v>
      </c>
      <c r="AO4144" s="175">
        <v>35</v>
      </c>
      <c r="AP4144" s="175">
        <v>22</v>
      </c>
      <c r="AQ4144" s="175">
        <v>6</v>
      </c>
      <c r="AR4144" s="175">
        <v>4</v>
      </c>
      <c r="AS4144" s="175">
        <v>10</v>
      </c>
      <c r="AT4144" s="175">
        <v>1</v>
      </c>
    </row>
    <row r="4145" spans="1:46">
      <c r="A4145">
        <v>70070</v>
      </c>
      <c r="B4145" t="s">
        <v>22558</v>
      </c>
      <c r="C4145" t="s">
        <v>13854</v>
      </c>
      <c r="E4145" t="s">
        <v>22559</v>
      </c>
      <c r="G4145" t="s">
        <v>22560</v>
      </c>
      <c r="H4145" t="s">
        <v>301</v>
      </c>
      <c r="J4145" t="s">
        <v>605</v>
      </c>
      <c r="K4145" t="s">
        <v>606</v>
      </c>
      <c r="M4145" t="s">
        <v>2366</v>
      </c>
      <c r="N4145" t="s">
        <v>657</v>
      </c>
      <c r="O4145" t="s">
        <v>3291</v>
      </c>
      <c r="P4145" t="s">
        <v>626</v>
      </c>
      <c r="Q4145" t="s">
        <v>521</v>
      </c>
      <c r="R4145" t="s">
        <v>3017</v>
      </c>
      <c r="S4145" t="s">
        <v>3292</v>
      </c>
      <c r="T4145" t="s">
        <v>2526</v>
      </c>
      <c r="U4145">
        <v>337000</v>
      </c>
      <c r="V4145" t="s">
        <v>22561</v>
      </c>
      <c r="W4145" t="s">
        <v>2533</v>
      </c>
      <c r="X4145" t="s">
        <v>13858</v>
      </c>
      <c r="Y4145" t="s">
        <v>5253</v>
      </c>
      <c r="AA4145" t="s">
        <v>5254</v>
      </c>
      <c r="AB4145" t="s">
        <v>13859</v>
      </c>
      <c r="AE4145">
        <v>-44.001105369999998</v>
      </c>
      <c r="AF4145">
        <v>171.56428331000001</v>
      </c>
      <c r="AG4145" s="175">
        <v>25</v>
      </c>
      <c r="AH4145" s="175">
        <v>10</v>
      </c>
      <c r="AI4145" s="175">
        <v>0</v>
      </c>
      <c r="AJ4145" s="175">
        <v>1</v>
      </c>
      <c r="AK4145" s="175">
        <v>2</v>
      </c>
      <c r="AL4145" s="175">
        <v>1</v>
      </c>
      <c r="AM4145" s="175">
        <v>1</v>
      </c>
      <c r="AN4145" s="175">
        <v>0</v>
      </c>
      <c r="AO4145" s="175">
        <v>5</v>
      </c>
      <c r="AP4145" s="175">
        <v>5</v>
      </c>
      <c r="AQ4145" s="175">
        <v>0</v>
      </c>
      <c r="AR4145" s="175">
        <v>0</v>
      </c>
      <c r="AS4145" s="175">
        <v>0</v>
      </c>
      <c r="AT4145" s="175">
        <v>0</v>
      </c>
    </row>
    <row r="4146" spans="1:46">
      <c r="A4146">
        <v>70071</v>
      </c>
      <c r="B4146" t="s">
        <v>22562</v>
      </c>
      <c r="C4146" t="s">
        <v>22563</v>
      </c>
      <c r="D4146" t="s">
        <v>22564</v>
      </c>
      <c r="E4146" t="s">
        <v>22565</v>
      </c>
      <c r="F4146" t="s">
        <v>22566</v>
      </c>
      <c r="G4146" t="s">
        <v>3015</v>
      </c>
      <c r="H4146" t="s">
        <v>449</v>
      </c>
      <c r="J4146" t="s">
        <v>4032</v>
      </c>
      <c r="K4146" t="s">
        <v>606</v>
      </c>
      <c r="M4146" t="s">
        <v>2366</v>
      </c>
      <c r="N4146" t="s">
        <v>657</v>
      </c>
      <c r="O4146" t="s">
        <v>3016</v>
      </c>
      <c r="P4146" t="s">
        <v>739</v>
      </c>
      <c r="Q4146" t="s">
        <v>521</v>
      </c>
      <c r="R4146" t="s">
        <v>3017</v>
      </c>
      <c r="S4146" t="s">
        <v>3092</v>
      </c>
      <c r="T4146" t="s">
        <v>2526</v>
      </c>
      <c r="U4146">
        <v>325500</v>
      </c>
      <c r="V4146" t="s">
        <v>22567</v>
      </c>
      <c r="W4146" t="s">
        <v>3149</v>
      </c>
      <c r="X4146" t="s">
        <v>12140</v>
      </c>
      <c r="Y4146" t="s">
        <v>4166</v>
      </c>
      <c r="Z4146" t="s">
        <v>4167</v>
      </c>
      <c r="AA4146" t="s">
        <v>4168</v>
      </c>
      <c r="AB4146" t="s">
        <v>10870</v>
      </c>
      <c r="AC4146">
        <v>99176</v>
      </c>
      <c r="AD4146" t="s">
        <v>3150</v>
      </c>
      <c r="AE4146">
        <v>-43.540223019999999</v>
      </c>
      <c r="AF4146">
        <v>172.59967152999999</v>
      </c>
      <c r="AG4146" s="175">
        <v>100</v>
      </c>
      <c r="AH4146" s="175">
        <v>30</v>
      </c>
      <c r="AI4146" s="175">
        <v>2</v>
      </c>
      <c r="AJ4146" s="175">
        <v>14</v>
      </c>
      <c r="AK4146" s="175">
        <v>9</v>
      </c>
      <c r="AL4146" s="175">
        <v>20</v>
      </c>
      <c r="AM4146" s="175">
        <v>16</v>
      </c>
      <c r="AN4146" s="175">
        <v>0</v>
      </c>
      <c r="AO4146" s="175">
        <v>61</v>
      </c>
      <c r="AP4146" s="175">
        <v>12</v>
      </c>
      <c r="AQ4146" s="175">
        <v>1</v>
      </c>
      <c r="AR4146" s="175">
        <v>3</v>
      </c>
      <c r="AS4146" s="175">
        <v>47</v>
      </c>
      <c r="AT4146" s="175">
        <v>2</v>
      </c>
    </row>
    <row r="4147" spans="1:46">
      <c r="A4147">
        <v>70074</v>
      </c>
      <c r="B4147" t="s">
        <v>22568</v>
      </c>
      <c r="C4147" t="s">
        <v>13854</v>
      </c>
      <c r="E4147" t="s">
        <v>22569</v>
      </c>
      <c r="G4147" t="s">
        <v>22570</v>
      </c>
      <c r="H4147" t="s">
        <v>301</v>
      </c>
      <c r="J4147" t="s">
        <v>605</v>
      </c>
      <c r="K4147" t="s">
        <v>606</v>
      </c>
      <c r="M4147" t="s">
        <v>2366</v>
      </c>
      <c r="N4147" t="s">
        <v>657</v>
      </c>
      <c r="O4147" t="s">
        <v>3281</v>
      </c>
      <c r="P4147" t="s">
        <v>658</v>
      </c>
      <c r="Q4147" t="s">
        <v>521</v>
      </c>
      <c r="R4147" t="s">
        <v>3017</v>
      </c>
      <c r="S4147" t="s">
        <v>3252</v>
      </c>
      <c r="T4147" t="s">
        <v>2526</v>
      </c>
      <c r="U4147">
        <v>333800</v>
      </c>
      <c r="V4147" t="s">
        <v>22571</v>
      </c>
      <c r="W4147" t="s">
        <v>12669</v>
      </c>
      <c r="X4147" t="s">
        <v>13858</v>
      </c>
      <c r="Y4147" t="s">
        <v>5253</v>
      </c>
      <c r="AA4147" t="s">
        <v>5254</v>
      </c>
      <c r="AB4147" t="s">
        <v>13859</v>
      </c>
      <c r="AC4147">
        <v>99008</v>
      </c>
      <c r="AD4147" t="s">
        <v>17656</v>
      </c>
      <c r="AE4147">
        <v>-43.533696519999999</v>
      </c>
      <c r="AF4147">
        <v>171.95031599999999</v>
      </c>
      <c r="AG4147" s="175">
        <v>25</v>
      </c>
      <c r="AH4147" s="175">
        <v>10</v>
      </c>
      <c r="AI4147" s="175">
        <v>3</v>
      </c>
      <c r="AJ4147" s="175">
        <v>0</v>
      </c>
      <c r="AK4147" s="175">
        <v>2</v>
      </c>
      <c r="AL4147" s="175">
        <v>1</v>
      </c>
      <c r="AM4147" s="175">
        <v>0</v>
      </c>
      <c r="AN4147" s="175">
        <v>0</v>
      </c>
      <c r="AO4147" s="175">
        <v>6</v>
      </c>
      <c r="AP4147" s="175">
        <v>6</v>
      </c>
      <c r="AQ4147" s="175">
        <v>0</v>
      </c>
      <c r="AR4147" s="175">
        <v>0</v>
      </c>
      <c r="AS4147" s="175">
        <v>0</v>
      </c>
      <c r="AT4147" s="175">
        <v>0</v>
      </c>
    </row>
    <row r="4148" spans="1:46">
      <c r="A4148">
        <v>70077</v>
      </c>
      <c r="B4148" t="s">
        <v>22572</v>
      </c>
      <c r="C4148" t="s">
        <v>13854</v>
      </c>
      <c r="D4148" t="s">
        <v>22442</v>
      </c>
      <c r="E4148" t="s">
        <v>22573</v>
      </c>
      <c r="G4148" t="s">
        <v>3733</v>
      </c>
      <c r="H4148" t="s">
        <v>301</v>
      </c>
      <c r="J4148" t="s">
        <v>605</v>
      </c>
      <c r="K4148" t="s">
        <v>606</v>
      </c>
      <c r="M4148" t="s">
        <v>2366</v>
      </c>
      <c r="N4148" t="s">
        <v>657</v>
      </c>
      <c r="O4148" t="s">
        <v>3281</v>
      </c>
      <c r="P4148" t="s">
        <v>610</v>
      </c>
      <c r="Q4148" t="s">
        <v>521</v>
      </c>
      <c r="R4148" t="s">
        <v>3017</v>
      </c>
      <c r="S4148" t="s">
        <v>3252</v>
      </c>
      <c r="T4148" t="s">
        <v>2526</v>
      </c>
      <c r="U4148">
        <v>336001</v>
      </c>
      <c r="V4148" t="s">
        <v>3734</v>
      </c>
      <c r="W4148" t="s">
        <v>3735</v>
      </c>
      <c r="X4148" t="s">
        <v>13858</v>
      </c>
      <c r="Y4148" t="s">
        <v>5253</v>
      </c>
      <c r="AA4148" t="s">
        <v>5254</v>
      </c>
      <c r="AB4148" t="s">
        <v>13859</v>
      </c>
      <c r="AC4148">
        <v>99113</v>
      </c>
      <c r="AD4148" t="s">
        <v>3736</v>
      </c>
      <c r="AE4148">
        <v>-43.637350169999998</v>
      </c>
      <c r="AF4148">
        <v>172.48325589999999</v>
      </c>
      <c r="AG4148" s="175">
        <v>25</v>
      </c>
      <c r="AH4148" s="175">
        <v>20</v>
      </c>
      <c r="AI4148" s="175">
        <v>21</v>
      </c>
      <c r="AJ4148" s="175">
        <v>8</v>
      </c>
      <c r="AK4148" s="175">
        <v>11</v>
      </c>
      <c r="AL4148" s="175">
        <v>10</v>
      </c>
      <c r="AM4148" s="175">
        <v>2</v>
      </c>
      <c r="AN4148" s="175">
        <v>3</v>
      </c>
      <c r="AO4148" s="175">
        <v>55</v>
      </c>
      <c r="AP4148" s="175">
        <v>49</v>
      </c>
      <c r="AQ4148" s="175">
        <v>3</v>
      </c>
      <c r="AR4148" s="175">
        <v>1</v>
      </c>
      <c r="AS4148" s="175">
        <v>3</v>
      </c>
      <c r="AT4148" s="175">
        <v>2</v>
      </c>
    </row>
    <row r="4149" spans="1:46">
      <c r="A4149">
        <v>70078</v>
      </c>
      <c r="B4149" t="s">
        <v>22574</v>
      </c>
      <c r="C4149" t="s">
        <v>13854</v>
      </c>
      <c r="E4149" t="s">
        <v>22575</v>
      </c>
      <c r="G4149" t="s">
        <v>22429</v>
      </c>
      <c r="H4149" t="s">
        <v>301</v>
      </c>
      <c r="J4149" t="s">
        <v>605</v>
      </c>
      <c r="K4149" t="s">
        <v>606</v>
      </c>
      <c r="M4149" t="s">
        <v>2366</v>
      </c>
      <c r="N4149" t="s">
        <v>657</v>
      </c>
      <c r="O4149" t="s">
        <v>3281</v>
      </c>
      <c r="P4149" t="s">
        <v>610</v>
      </c>
      <c r="Q4149" t="s">
        <v>521</v>
      </c>
      <c r="R4149" t="s">
        <v>3017</v>
      </c>
      <c r="S4149" t="s">
        <v>3252</v>
      </c>
      <c r="T4149" t="s">
        <v>2526</v>
      </c>
      <c r="U4149">
        <v>336200</v>
      </c>
      <c r="V4149" t="s">
        <v>22429</v>
      </c>
      <c r="W4149" t="s">
        <v>3283</v>
      </c>
      <c r="X4149" t="s">
        <v>13858</v>
      </c>
      <c r="Y4149" t="s">
        <v>5253</v>
      </c>
      <c r="AA4149" t="s">
        <v>5254</v>
      </c>
      <c r="AB4149" t="s">
        <v>13859</v>
      </c>
      <c r="AC4149">
        <v>99207</v>
      </c>
      <c r="AD4149" t="s">
        <v>21997</v>
      </c>
      <c r="AE4149">
        <v>-43.758937789999997</v>
      </c>
      <c r="AF4149">
        <v>172.29882117</v>
      </c>
      <c r="AG4149" s="175">
        <v>25</v>
      </c>
      <c r="AH4149" s="175">
        <v>10</v>
      </c>
      <c r="AI4149" s="175">
        <v>3</v>
      </c>
      <c r="AJ4149" s="175">
        <v>3</v>
      </c>
      <c r="AK4149" s="175">
        <v>3</v>
      </c>
      <c r="AL4149" s="175">
        <v>3</v>
      </c>
      <c r="AM4149" s="175">
        <v>1</v>
      </c>
      <c r="AN4149" s="175">
        <v>0</v>
      </c>
      <c r="AO4149" s="175">
        <v>13</v>
      </c>
      <c r="AP4149" s="175">
        <v>13</v>
      </c>
      <c r="AQ4149" s="175">
        <v>0</v>
      </c>
      <c r="AR4149" s="175">
        <v>0</v>
      </c>
      <c r="AS4149" s="175">
        <v>0</v>
      </c>
      <c r="AT4149" s="175">
        <v>0</v>
      </c>
    </row>
    <row r="4150" spans="1:46">
      <c r="A4150">
        <v>70079</v>
      </c>
      <c r="B4150" t="s">
        <v>22576</v>
      </c>
      <c r="C4150" t="s">
        <v>13854</v>
      </c>
      <c r="E4150" t="s">
        <v>22577</v>
      </c>
      <c r="G4150" t="s">
        <v>22578</v>
      </c>
      <c r="H4150" t="s">
        <v>301</v>
      </c>
      <c r="J4150" t="s">
        <v>605</v>
      </c>
      <c r="K4150" t="s">
        <v>606</v>
      </c>
      <c r="M4150" t="s">
        <v>2366</v>
      </c>
      <c r="N4150" t="s">
        <v>657</v>
      </c>
      <c r="O4150" t="s">
        <v>13545</v>
      </c>
      <c r="P4150" t="s">
        <v>626</v>
      </c>
      <c r="Q4150" t="s">
        <v>521</v>
      </c>
      <c r="R4150" t="s">
        <v>3017</v>
      </c>
      <c r="S4150" t="s">
        <v>2902</v>
      </c>
      <c r="T4150" t="s">
        <v>2526</v>
      </c>
      <c r="U4150">
        <v>312801</v>
      </c>
      <c r="V4150" t="s">
        <v>22579</v>
      </c>
      <c r="W4150" t="s">
        <v>13546</v>
      </c>
      <c r="X4150" t="s">
        <v>13858</v>
      </c>
      <c r="Y4150" t="s">
        <v>5253</v>
      </c>
      <c r="AA4150" t="s">
        <v>5254</v>
      </c>
      <c r="AB4150" t="s">
        <v>13859</v>
      </c>
      <c r="AE4150">
        <v>-43.191706000000003</v>
      </c>
      <c r="AF4150">
        <v>172.73918860000001</v>
      </c>
      <c r="AG4150" s="175">
        <v>25</v>
      </c>
      <c r="AH4150" s="175">
        <v>15</v>
      </c>
      <c r="AI4150" s="175">
        <v>5</v>
      </c>
      <c r="AJ4150" s="175">
        <v>1</v>
      </c>
      <c r="AK4150" s="175">
        <v>3</v>
      </c>
      <c r="AL4150" s="175">
        <v>3</v>
      </c>
      <c r="AM4150" s="175">
        <v>4</v>
      </c>
      <c r="AN4150" s="175">
        <v>0</v>
      </c>
      <c r="AO4150" s="175">
        <v>16</v>
      </c>
      <c r="AP4150" s="175">
        <v>16</v>
      </c>
      <c r="AQ4150" s="175">
        <v>1</v>
      </c>
      <c r="AR4150" s="175">
        <v>4</v>
      </c>
      <c r="AS4150" s="175">
        <v>0</v>
      </c>
      <c r="AT4150" s="175">
        <v>2</v>
      </c>
    </row>
    <row r="4151" spans="1:46">
      <c r="A4151">
        <v>70080</v>
      </c>
      <c r="B4151" t="s">
        <v>22580</v>
      </c>
      <c r="C4151" t="s">
        <v>13854</v>
      </c>
      <c r="E4151" t="s">
        <v>22581</v>
      </c>
      <c r="F4151" t="s">
        <v>3130</v>
      </c>
      <c r="G4151" t="s">
        <v>3015</v>
      </c>
      <c r="H4151" t="s">
        <v>301</v>
      </c>
      <c r="J4151" t="s">
        <v>605</v>
      </c>
      <c r="K4151" t="s">
        <v>606</v>
      </c>
      <c r="M4151" t="s">
        <v>2366</v>
      </c>
      <c r="N4151" t="s">
        <v>643</v>
      </c>
      <c r="O4151" t="s">
        <v>3016</v>
      </c>
      <c r="P4151" t="s">
        <v>739</v>
      </c>
      <c r="Q4151" t="s">
        <v>521</v>
      </c>
      <c r="R4151" t="s">
        <v>3017</v>
      </c>
      <c r="S4151" t="s">
        <v>3046</v>
      </c>
      <c r="T4151" t="s">
        <v>2526</v>
      </c>
      <c r="U4151">
        <v>328500</v>
      </c>
      <c r="V4151" t="s">
        <v>3131</v>
      </c>
      <c r="W4151" t="s">
        <v>3066</v>
      </c>
      <c r="X4151" t="s">
        <v>13858</v>
      </c>
      <c r="Y4151" t="s">
        <v>5253</v>
      </c>
      <c r="AA4151" t="s">
        <v>5254</v>
      </c>
      <c r="AB4151" t="s">
        <v>13859</v>
      </c>
      <c r="AE4151">
        <v>-43.528437099999998</v>
      </c>
      <c r="AF4151">
        <v>172.672494</v>
      </c>
      <c r="AG4151" s="175">
        <v>25</v>
      </c>
      <c r="AH4151" s="175">
        <v>15</v>
      </c>
      <c r="AI4151" s="175">
        <v>6</v>
      </c>
      <c r="AJ4151" s="175">
        <v>6</v>
      </c>
      <c r="AK4151" s="175">
        <v>8</v>
      </c>
      <c r="AL4151" s="175">
        <v>3</v>
      </c>
      <c r="AM4151" s="175">
        <v>4</v>
      </c>
      <c r="AN4151" s="175">
        <v>0</v>
      </c>
      <c r="AO4151" s="175">
        <v>27</v>
      </c>
      <c r="AP4151" s="175">
        <v>24</v>
      </c>
      <c r="AQ4151" s="175">
        <v>4</v>
      </c>
      <c r="AR4151" s="175">
        <v>4</v>
      </c>
      <c r="AS4151" s="175">
        <v>3</v>
      </c>
      <c r="AT4151" s="175">
        <v>0</v>
      </c>
    </row>
    <row r="4152" spans="1:46">
      <c r="A4152">
        <v>70081</v>
      </c>
      <c r="B4152" t="s">
        <v>22582</v>
      </c>
      <c r="C4152" t="s">
        <v>22583</v>
      </c>
      <c r="D4152" t="s">
        <v>15914</v>
      </c>
      <c r="E4152" t="s">
        <v>22584</v>
      </c>
      <c r="G4152" t="s">
        <v>13544</v>
      </c>
      <c r="H4152" t="s">
        <v>449</v>
      </c>
      <c r="J4152" t="s">
        <v>4032</v>
      </c>
      <c r="K4152" t="s">
        <v>606</v>
      </c>
      <c r="M4152" t="s">
        <v>2366</v>
      </c>
      <c r="N4152" t="s">
        <v>657</v>
      </c>
      <c r="O4152" t="s">
        <v>13545</v>
      </c>
      <c r="P4152" t="s">
        <v>610</v>
      </c>
      <c r="Q4152" t="s">
        <v>521</v>
      </c>
      <c r="R4152" t="s">
        <v>3017</v>
      </c>
      <c r="S4152" t="s">
        <v>2902</v>
      </c>
      <c r="T4152" t="s">
        <v>2526</v>
      </c>
      <c r="U4152">
        <v>312901</v>
      </c>
      <c r="V4152" t="s">
        <v>13544</v>
      </c>
      <c r="W4152" t="s">
        <v>13546</v>
      </c>
      <c r="X4152" t="s">
        <v>15916</v>
      </c>
      <c r="Y4152" t="s">
        <v>15917</v>
      </c>
      <c r="Z4152" t="s">
        <v>13544</v>
      </c>
      <c r="AA4152" t="s">
        <v>15918</v>
      </c>
      <c r="AB4152" t="s">
        <v>15919</v>
      </c>
      <c r="AC4152">
        <v>99077</v>
      </c>
      <c r="AD4152" t="s">
        <v>3041</v>
      </c>
      <c r="AE4152">
        <v>-43.15742985</v>
      </c>
      <c r="AF4152">
        <v>172.73056270000001</v>
      </c>
      <c r="AG4152" s="175">
        <v>40</v>
      </c>
      <c r="AH4152" s="175">
        <v>10</v>
      </c>
      <c r="AI4152" s="175">
        <v>0</v>
      </c>
      <c r="AJ4152" s="175">
        <v>0</v>
      </c>
      <c r="AK4152" s="175">
        <v>3</v>
      </c>
      <c r="AL4152" s="175">
        <v>10</v>
      </c>
      <c r="AM4152" s="175">
        <v>20</v>
      </c>
      <c r="AN4152" s="175">
        <v>1</v>
      </c>
      <c r="AO4152" s="175">
        <v>34</v>
      </c>
      <c r="AP4152" s="175">
        <v>29</v>
      </c>
      <c r="AQ4152" s="175">
        <v>6</v>
      </c>
      <c r="AR4152" s="175">
        <v>2</v>
      </c>
      <c r="AS4152" s="175">
        <v>2</v>
      </c>
      <c r="AT4152" s="175">
        <v>1</v>
      </c>
    </row>
    <row r="4153" spans="1:46">
      <c r="A4153">
        <v>70082</v>
      </c>
      <c r="B4153" t="s">
        <v>22585</v>
      </c>
      <c r="C4153" t="s">
        <v>13854</v>
      </c>
      <c r="E4153" t="s">
        <v>22586</v>
      </c>
      <c r="G4153" t="s">
        <v>22587</v>
      </c>
      <c r="H4153" t="s">
        <v>301</v>
      </c>
      <c r="J4153" t="s">
        <v>605</v>
      </c>
      <c r="K4153" t="s">
        <v>606</v>
      </c>
      <c r="M4153" t="s">
        <v>2366</v>
      </c>
      <c r="N4153" t="s">
        <v>657</v>
      </c>
      <c r="O4153" t="s">
        <v>3016</v>
      </c>
      <c r="P4153" t="s">
        <v>626</v>
      </c>
      <c r="Q4153" t="s">
        <v>521</v>
      </c>
      <c r="R4153" t="s">
        <v>3017</v>
      </c>
      <c r="S4153" t="s">
        <v>3052</v>
      </c>
      <c r="T4153" t="s">
        <v>2526</v>
      </c>
      <c r="U4153">
        <v>333100</v>
      </c>
      <c r="V4153" t="s">
        <v>22588</v>
      </c>
      <c r="W4153" t="s">
        <v>3136</v>
      </c>
      <c r="X4153" t="s">
        <v>13858</v>
      </c>
      <c r="Y4153" t="s">
        <v>5253</v>
      </c>
      <c r="AA4153" t="s">
        <v>5254</v>
      </c>
      <c r="AB4153" t="s">
        <v>13859</v>
      </c>
      <c r="AE4153">
        <v>-43.763754300000002</v>
      </c>
      <c r="AF4153">
        <v>172.7952803</v>
      </c>
      <c r="AG4153" s="175">
        <v>25</v>
      </c>
      <c r="AH4153" s="175">
        <v>10</v>
      </c>
      <c r="AI4153" s="175">
        <v>0</v>
      </c>
      <c r="AJ4153" s="175">
        <v>3</v>
      </c>
      <c r="AK4153" s="175">
        <v>1</v>
      </c>
      <c r="AL4153" s="175">
        <v>1</v>
      </c>
      <c r="AM4153" s="175">
        <v>3</v>
      </c>
      <c r="AN4153" s="175">
        <v>1</v>
      </c>
      <c r="AO4153" s="175">
        <v>9</v>
      </c>
      <c r="AP4153" s="175">
        <v>8</v>
      </c>
      <c r="AQ4153" s="175">
        <v>1</v>
      </c>
      <c r="AR4153" s="175">
        <v>0</v>
      </c>
      <c r="AS4153" s="175">
        <v>1</v>
      </c>
      <c r="AT4153" s="175">
        <v>2</v>
      </c>
    </row>
    <row r="4154" spans="1:46">
      <c r="A4154">
        <v>70084</v>
      </c>
      <c r="B4154" t="s">
        <v>22589</v>
      </c>
      <c r="C4154" t="s">
        <v>13854</v>
      </c>
      <c r="E4154" t="s">
        <v>22590</v>
      </c>
      <c r="F4154" t="s">
        <v>3229</v>
      </c>
      <c r="G4154" t="s">
        <v>3015</v>
      </c>
      <c r="H4154" t="s">
        <v>301</v>
      </c>
      <c r="J4154" t="s">
        <v>605</v>
      </c>
      <c r="K4154" t="s">
        <v>606</v>
      </c>
      <c r="M4154" t="s">
        <v>2366</v>
      </c>
      <c r="N4154" t="s">
        <v>657</v>
      </c>
      <c r="O4154" t="s">
        <v>3016</v>
      </c>
      <c r="P4154" t="s">
        <v>739</v>
      </c>
      <c r="Q4154" t="s">
        <v>521</v>
      </c>
      <c r="R4154" t="s">
        <v>3017</v>
      </c>
      <c r="S4154" t="s">
        <v>3052</v>
      </c>
      <c r="T4154" t="s">
        <v>2526</v>
      </c>
      <c r="U4154">
        <v>329200</v>
      </c>
      <c r="V4154" t="s">
        <v>22591</v>
      </c>
      <c r="W4154" t="s">
        <v>3031</v>
      </c>
      <c r="X4154" t="s">
        <v>13858</v>
      </c>
      <c r="Y4154" t="s">
        <v>5253</v>
      </c>
      <c r="AA4154" t="s">
        <v>5254</v>
      </c>
      <c r="AB4154" t="s">
        <v>13859</v>
      </c>
      <c r="AE4154">
        <v>-43.565486100000001</v>
      </c>
      <c r="AF4154">
        <v>172.61453090000001</v>
      </c>
      <c r="AG4154" s="175">
        <v>28</v>
      </c>
      <c r="AH4154" s="175">
        <v>20</v>
      </c>
      <c r="AI4154" s="175">
        <v>19</v>
      </c>
      <c r="AJ4154" s="175">
        <v>7</v>
      </c>
      <c r="AK4154" s="175">
        <v>11</v>
      </c>
      <c r="AL4154" s="175">
        <v>8</v>
      </c>
      <c r="AM4154" s="175">
        <v>8</v>
      </c>
      <c r="AN4154" s="175">
        <v>1</v>
      </c>
      <c r="AO4154" s="175">
        <v>54</v>
      </c>
      <c r="AP4154" s="175">
        <v>46</v>
      </c>
      <c r="AQ4154" s="175">
        <v>4</v>
      </c>
      <c r="AR4154" s="175">
        <v>0</v>
      </c>
      <c r="AS4154" s="175">
        <v>13</v>
      </c>
      <c r="AT4154" s="175">
        <v>5</v>
      </c>
    </row>
    <row r="4155" spans="1:46">
      <c r="A4155">
        <v>70086</v>
      </c>
      <c r="B4155" t="s">
        <v>22592</v>
      </c>
      <c r="C4155" t="s">
        <v>13854</v>
      </c>
      <c r="E4155" t="s">
        <v>22593</v>
      </c>
      <c r="G4155" t="s">
        <v>22594</v>
      </c>
      <c r="H4155" t="s">
        <v>301</v>
      </c>
      <c r="J4155" t="s">
        <v>605</v>
      </c>
      <c r="K4155" t="s">
        <v>606</v>
      </c>
      <c r="M4155" t="s">
        <v>2366</v>
      </c>
      <c r="N4155" t="s">
        <v>657</v>
      </c>
      <c r="O4155" t="s">
        <v>3291</v>
      </c>
      <c r="P4155" t="s">
        <v>658</v>
      </c>
      <c r="Q4155" t="s">
        <v>521</v>
      </c>
      <c r="R4155" t="s">
        <v>3017</v>
      </c>
      <c r="S4155" t="s">
        <v>3292</v>
      </c>
      <c r="T4155" t="s">
        <v>2526</v>
      </c>
      <c r="U4155">
        <v>336800</v>
      </c>
      <c r="V4155" t="s">
        <v>22595</v>
      </c>
      <c r="W4155" t="s">
        <v>2539</v>
      </c>
      <c r="X4155" t="s">
        <v>13858</v>
      </c>
      <c r="Y4155" t="s">
        <v>5253</v>
      </c>
      <c r="AA4155" t="s">
        <v>5254</v>
      </c>
      <c r="AB4155" t="s">
        <v>13859</v>
      </c>
      <c r="AE4155">
        <v>-43.8193184</v>
      </c>
      <c r="AF4155">
        <v>171.4245311</v>
      </c>
      <c r="AG4155" s="175">
        <v>26</v>
      </c>
      <c r="AH4155" s="175">
        <v>15</v>
      </c>
      <c r="AI4155" s="175">
        <v>2</v>
      </c>
      <c r="AJ4155" s="175">
        <v>5</v>
      </c>
      <c r="AK4155" s="175">
        <v>3</v>
      </c>
      <c r="AL4155" s="175">
        <v>4</v>
      </c>
      <c r="AM4155" s="175">
        <v>4</v>
      </c>
      <c r="AN4155" s="175">
        <v>1</v>
      </c>
      <c r="AO4155" s="175">
        <v>19</v>
      </c>
      <c r="AP4155" s="175">
        <v>17</v>
      </c>
      <c r="AQ4155" s="175">
        <v>0</v>
      </c>
      <c r="AR4155" s="175">
        <v>0</v>
      </c>
      <c r="AS4155" s="175">
        <v>2</v>
      </c>
      <c r="AT4155" s="175">
        <v>1</v>
      </c>
    </row>
    <row r="4156" spans="1:46">
      <c r="A4156">
        <v>70088</v>
      </c>
      <c r="B4156" t="s">
        <v>22596</v>
      </c>
      <c r="C4156" t="s">
        <v>13854</v>
      </c>
      <c r="E4156" t="s">
        <v>22597</v>
      </c>
      <c r="G4156" t="s">
        <v>12194</v>
      </c>
      <c r="H4156" t="s">
        <v>301</v>
      </c>
      <c r="J4156" t="s">
        <v>605</v>
      </c>
      <c r="K4156" t="s">
        <v>606</v>
      </c>
      <c r="M4156" t="s">
        <v>2366</v>
      </c>
      <c r="N4156" t="s">
        <v>657</v>
      </c>
      <c r="O4156" t="s">
        <v>3291</v>
      </c>
      <c r="P4156" t="s">
        <v>610</v>
      </c>
      <c r="Q4156" t="s">
        <v>521</v>
      </c>
      <c r="R4156" t="s">
        <v>3017</v>
      </c>
      <c r="S4156" t="s">
        <v>3292</v>
      </c>
      <c r="T4156" t="s">
        <v>2526</v>
      </c>
      <c r="U4156">
        <v>336901</v>
      </c>
      <c r="V4156" t="s">
        <v>12194</v>
      </c>
      <c r="W4156" t="s">
        <v>2539</v>
      </c>
      <c r="X4156" t="s">
        <v>13858</v>
      </c>
      <c r="Y4156" t="s">
        <v>5253</v>
      </c>
      <c r="AA4156" t="s">
        <v>5254</v>
      </c>
      <c r="AB4156" t="s">
        <v>13859</v>
      </c>
      <c r="AC4156">
        <v>99009</v>
      </c>
      <c r="AD4156" t="s">
        <v>10953</v>
      </c>
      <c r="AE4156">
        <v>-43.6358076</v>
      </c>
      <c r="AF4156">
        <v>171.64668380000001</v>
      </c>
      <c r="AG4156" s="175">
        <v>20</v>
      </c>
      <c r="AH4156" s="175">
        <v>10</v>
      </c>
      <c r="AI4156" s="175">
        <v>2</v>
      </c>
      <c r="AJ4156" s="175">
        <v>5</v>
      </c>
      <c r="AK4156" s="175">
        <v>3</v>
      </c>
      <c r="AL4156" s="175">
        <v>2</v>
      </c>
      <c r="AM4156" s="175">
        <v>2</v>
      </c>
      <c r="AN4156" s="175">
        <v>1</v>
      </c>
      <c r="AO4156" s="175">
        <v>15</v>
      </c>
      <c r="AP4156" s="175">
        <v>12</v>
      </c>
      <c r="AQ4156" s="175">
        <v>2</v>
      </c>
      <c r="AR4156" s="175">
        <v>0</v>
      </c>
      <c r="AS4156" s="175">
        <v>1</v>
      </c>
      <c r="AT4156" s="175">
        <v>1</v>
      </c>
    </row>
    <row r="4157" spans="1:46">
      <c r="A4157">
        <v>70089</v>
      </c>
      <c r="B4157" t="s">
        <v>22598</v>
      </c>
      <c r="C4157" t="s">
        <v>22599</v>
      </c>
      <c r="D4157" t="s">
        <v>22600</v>
      </c>
      <c r="E4157" t="s">
        <v>22601</v>
      </c>
      <c r="F4157" t="s">
        <v>3180</v>
      </c>
      <c r="G4157" t="s">
        <v>3015</v>
      </c>
      <c r="H4157" t="s">
        <v>449</v>
      </c>
      <c r="J4157" t="s">
        <v>4032</v>
      </c>
      <c r="K4157" t="s">
        <v>606</v>
      </c>
      <c r="M4157" t="s">
        <v>2366</v>
      </c>
      <c r="N4157" t="s">
        <v>4586</v>
      </c>
      <c r="O4157" t="s">
        <v>3016</v>
      </c>
      <c r="P4157" t="s">
        <v>739</v>
      </c>
      <c r="Q4157" t="s">
        <v>521</v>
      </c>
      <c r="R4157" t="s">
        <v>3017</v>
      </c>
      <c r="S4157" t="s">
        <v>3046</v>
      </c>
      <c r="T4157" t="s">
        <v>2526</v>
      </c>
      <c r="U4157">
        <v>328300</v>
      </c>
      <c r="V4157" t="s">
        <v>3176</v>
      </c>
      <c r="W4157" t="s">
        <v>3047</v>
      </c>
      <c r="X4157" t="s">
        <v>11134</v>
      </c>
      <c r="Y4157" t="s">
        <v>11135</v>
      </c>
      <c r="AA4157" t="s">
        <v>11136</v>
      </c>
      <c r="AE4157">
        <v>-43.505957359999996</v>
      </c>
      <c r="AF4157">
        <v>172.71923892999999</v>
      </c>
      <c r="AG4157" s="175">
        <v>50</v>
      </c>
      <c r="AH4157" s="175">
        <v>15</v>
      </c>
      <c r="AI4157" s="175">
        <v>1</v>
      </c>
      <c r="AJ4157" s="175">
        <v>11</v>
      </c>
      <c r="AK4157" s="175">
        <v>15</v>
      </c>
      <c r="AL4157" s="175">
        <v>16</v>
      </c>
      <c r="AM4157" s="175">
        <v>20</v>
      </c>
      <c r="AN4157" s="175">
        <v>1</v>
      </c>
      <c r="AO4157" s="175">
        <v>64</v>
      </c>
      <c r="AP4157" s="175">
        <v>55</v>
      </c>
      <c r="AQ4157" s="175">
        <v>15</v>
      </c>
      <c r="AR4157" s="175">
        <v>8</v>
      </c>
      <c r="AS4157" s="175">
        <v>3</v>
      </c>
      <c r="AT4157" s="175">
        <v>3</v>
      </c>
    </row>
    <row r="4158" spans="1:46">
      <c r="A4158">
        <v>70090</v>
      </c>
      <c r="B4158" t="s">
        <v>22602</v>
      </c>
      <c r="C4158" t="s">
        <v>13854</v>
      </c>
      <c r="E4158" t="s">
        <v>22603</v>
      </c>
      <c r="F4158" t="s">
        <v>3175</v>
      </c>
      <c r="G4158" t="s">
        <v>3015</v>
      </c>
      <c r="H4158" t="s">
        <v>301</v>
      </c>
      <c r="J4158" t="s">
        <v>605</v>
      </c>
      <c r="K4158" t="s">
        <v>606</v>
      </c>
      <c r="M4158" t="s">
        <v>2366</v>
      </c>
      <c r="N4158" t="s">
        <v>657</v>
      </c>
      <c r="O4158" t="s">
        <v>3016</v>
      </c>
      <c r="P4158" t="s">
        <v>739</v>
      </c>
      <c r="Q4158" t="s">
        <v>521</v>
      </c>
      <c r="R4158" t="s">
        <v>3017</v>
      </c>
      <c r="S4158" t="s">
        <v>3046</v>
      </c>
      <c r="T4158" t="s">
        <v>2526</v>
      </c>
      <c r="U4158">
        <v>327200</v>
      </c>
      <c r="V4158" t="s">
        <v>22604</v>
      </c>
      <c r="W4158" t="s">
        <v>3047</v>
      </c>
      <c r="X4158" t="s">
        <v>13858</v>
      </c>
      <c r="Y4158" t="s">
        <v>5253</v>
      </c>
      <c r="AA4158" t="s">
        <v>5254</v>
      </c>
      <c r="AB4158" t="s">
        <v>13859</v>
      </c>
      <c r="AE4158">
        <v>-43.495460430000001</v>
      </c>
      <c r="AF4158">
        <v>172.71876338999999</v>
      </c>
      <c r="AG4158" s="175">
        <v>24</v>
      </c>
      <c r="AH4158" s="175">
        <v>10</v>
      </c>
      <c r="AI4158" s="175"/>
      <c r="AJ4158" s="175"/>
      <c r="AK4158" s="175"/>
      <c r="AL4158" s="175"/>
      <c r="AM4158" s="175"/>
      <c r="AN4158" s="175"/>
      <c r="AO4158" s="175"/>
      <c r="AP4158" s="175"/>
      <c r="AQ4158" s="175"/>
      <c r="AR4158" s="175"/>
      <c r="AS4158" s="175"/>
    </row>
    <row r="4159" spans="1:46">
      <c r="A4159">
        <v>70093</v>
      </c>
      <c r="B4159" t="s">
        <v>22605</v>
      </c>
      <c r="C4159" t="s">
        <v>22606</v>
      </c>
      <c r="D4159" t="s">
        <v>22607</v>
      </c>
      <c r="E4159" t="s">
        <v>22608</v>
      </c>
      <c r="F4159" t="s">
        <v>3188</v>
      </c>
      <c r="G4159" t="s">
        <v>3015</v>
      </c>
      <c r="H4159" t="s">
        <v>449</v>
      </c>
      <c r="J4159" t="s">
        <v>605</v>
      </c>
      <c r="K4159" t="s">
        <v>606</v>
      </c>
      <c r="M4159" t="s">
        <v>2366</v>
      </c>
      <c r="N4159" t="s">
        <v>657</v>
      </c>
      <c r="O4159" t="s">
        <v>3016</v>
      </c>
      <c r="P4159" t="s">
        <v>739</v>
      </c>
      <c r="Q4159" t="s">
        <v>521</v>
      </c>
      <c r="R4159" t="s">
        <v>3017</v>
      </c>
      <c r="S4159" t="s">
        <v>3018</v>
      </c>
      <c r="T4159" t="s">
        <v>2526</v>
      </c>
      <c r="U4159">
        <v>317501</v>
      </c>
      <c r="V4159" t="s">
        <v>22609</v>
      </c>
      <c r="W4159" t="s">
        <v>3020</v>
      </c>
      <c r="X4159" t="s">
        <v>10864</v>
      </c>
      <c r="Y4159" t="s">
        <v>4014</v>
      </c>
      <c r="Z4159" t="s">
        <v>4015</v>
      </c>
      <c r="AA4159" t="s">
        <v>4016</v>
      </c>
      <c r="AC4159">
        <v>99027</v>
      </c>
      <c r="AD4159" t="s">
        <v>3073</v>
      </c>
      <c r="AE4159">
        <v>-43.492145710000003</v>
      </c>
      <c r="AF4159">
        <v>172.57294400999999</v>
      </c>
      <c r="AG4159" s="175">
        <v>64</v>
      </c>
      <c r="AH4159" s="175">
        <v>16</v>
      </c>
      <c r="AI4159" s="175">
        <v>4</v>
      </c>
      <c r="AJ4159" s="175">
        <v>10</v>
      </c>
      <c r="AK4159" s="175">
        <v>20</v>
      </c>
      <c r="AL4159" s="175">
        <v>16</v>
      </c>
      <c r="AM4159" s="175">
        <v>18</v>
      </c>
      <c r="AN4159" s="175">
        <v>0</v>
      </c>
      <c r="AO4159" s="175">
        <v>68</v>
      </c>
      <c r="AP4159" s="175">
        <v>36</v>
      </c>
      <c r="AQ4159" s="175">
        <v>12</v>
      </c>
      <c r="AR4159" s="175">
        <v>0</v>
      </c>
      <c r="AS4159" s="175">
        <v>28</v>
      </c>
      <c r="AT4159" s="175">
        <v>9</v>
      </c>
    </row>
    <row r="4160" spans="1:46">
      <c r="A4160">
        <v>70094</v>
      </c>
      <c r="B4160" t="s">
        <v>22610</v>
      </c>
      <c r="C4160" t="s">
        <v>13854</v>
      </c>
      <c r="E4160" t="s">
        <v>5510</v>
      </c>
      <c r="G4160" t="s">
        <v>11264</v>
      </c>
      <c r="H4160" t="s">
        <v>301</v>
      </c>
      <c r="J4160" t="s">
        <v>605</v>
      </c>
      <c r="K4160" t="s">
        <v>606</v>
      </c>
      <c r="M4160" t="s">
        <v>2366</v>
      </c>
      <c r="N4160" t="s">
        <v>657</v>
      </c>
      <c r="O4160" t="s">
        <v>3037</v>
      </c>
      <c r="P4160" t="s">
        <v>610</v>
      </c>
      <c r="Q4160" t="s">
        <v>521</v>
      </c>
      <c r="R4160" t="s">
        <v>3017</v>
      </c>
      <c r="S4160" t="s">
        <v>3038</v>
      </c>
      <c r="T4160" t="s">
        <v>2526</v>
      </c>
      <c r="U4160">
        <v>313200</v>
      </c>
      <c r="V4160" t="s">
        <v>11264</v>
      </c>
      <c r="W4160" t="s">
        <v>11265</v>
      </c>
      <c r="X4160" t="s">
        <v>13858</v>
      </c>
      <c r="Y4160" t="s">
        <v>5253</v>
      </c>
      <c r="AA4160" t="s">
        <v>5254</v>
      </c>
      <c r="AB4160" t="s">
        <v>13859</v>
      </c>
      <c r="AE4160">
        <v>-43.298683599999997</v>
      </c>
      <c r="AF4160">
        <v>172.184718</v>
      </c>
      <c r="AG4160" s="175">
        <v>25</v>
      </c>
      <c r="AH4160" s="175">
        <v>15</v>
      </c>
      <c r="AI4160" s="175">
        <v>2</v>
      </c>
      <c r="AJ4160" s="175">
        <v>5</v>
      </c>
      <c r="AK4160" s="175">
        <v>5</v>
      </c>
      <c r="AL4160" s="175">
        <v>2</v>
      </c>
      <c r="AM4160" s="175">
        <v>2</v>
      </c>
      <c r="AN4160" s="175">
        <v>0</v>
      </c>
      <c r="AO4160" s="175">
        <v>16</v>
      </c>
      <c r="AP4160" s="175">
        <v>16</v>
      </c>
      <c r="AQ4160" s="175">
        <v>2</v>
      </c>
      <c r="AR4160" s="175">
        <v>0</v>
      </c>
      <c r="AS4160" s="175">
        <v>0</v>
      </c>
      <c r="AT4160" s="175">
        <v>0</v>
      </c>
    </row>
    <row r="4161" spans="1:46">
      <c r="A4161">
        <v>70095</v>
      </c>
      <c r="B4161" t="s">
        <v>22611</v>
      </c>
      <c r="C4161" t="s">
        <v>22612</v>
      </c>
      <c r="D4161" t="s">
        <v>22613</v>
      </c>
      <c r="E4161" t="s">
        <v>22614</v>
      </c>
      <c r="F4161" t="s">
        <v>12326</v>
      </c>
      <c r="G4161" t="s">
        <v>3015</v>
      </c>
      <c r="H4161" t="s">
        <v>449</v>
      </c>
      <c r="J4161" t="s">
        <v>4032</v>
      </c>
      <c r="K4161" t="s">
        <v>606</v>
      </c>
      <c r="M4161" t="s">
        <v>2366</v>
      </c>
      <c r="N4161" t="s">
        <v>657</v>
      </c>
      <c r="O4161" t="s">
        <v>3016</v>
      </c>
      <c r="P4161" t="s">
        <v>739</v>
      </c>
      <c r="Q4161" t="s">
        <v>521</v>
      </c>
      <c r="R4161" t="s">
        <v>3017</v>
      </c>
      <c r="S4161" t="s">
        <v>3092</v>
      </c>
      <c r="T4161" t="s">
        <v>2526</v>
      </c>
      <c r="U4161">
        <v>328200</v>
      </c>
      <c r="V4161" t="s">
        <v>22615</v>
      </c>
      <c r="W4161" t="s">
        <v>3161</v>
      </c>
      <c r="X4161" t="s">
        <v>22616</v>
      </c>
      <c r="Y4161" t="s">
        <v>22617</v>
      </c>
      <c r="Z4161" t="s">
        <v>12326</v>
      </c>
      <c r="AA4161" t="s">
        <v>11013</v>
      </c>
      <c r="AB4161" t="s">
        <v>22618</v>
      </c>
      <c r="AC4161">
        <v>99177</v>
      </c>
      <c r="AD4161" t="s">
        <v>3032</v>
      </c>
      <c r="AE4161">
        <v>-43.559600439999997</v>
      </c>
      <c r="AF4161">
        <v>172.61385153000001</v>
      </c>
      <c r="AG4161" s="175">
        <v>30</v>
      </c>
      <c r="AH4161" s="175">
        <v>0</v>
      </c>
      <c r="AI4161" s="175">
        <v>0</v>
      </c>
      <c r="AJ4161" s="175">
        <v>0</v>
      </c>
      <c r="AK4161" s="175">
        <v>12</v>
      </c>
      <c r="AL4161" s="175">
        <v>16</v>
      </c>
      <c r="AM4161" s="175">
        <v>13</v>
      </c>
      <c r="AN4161" s="175">
        <v>2</v>
      </c>
      <c r="AO4161" s="175">
        <v>43</v>
      </c>
      <c r="AP4161" s="175">
        <v>36</v>
      </c>
      <c r="AQ4161" s="175">
        <v>6</v>
      </c>
      <c r="AR4161" s="175">
        <v>2</v>
      </c>
      <c r="AS4161" s="175">
        <v>7</v>
      </c>
      <c r="AT4161" s="175">
        <v>2</v>
      </c>
    </row>
    <row r="4162" spans="1:46">
      <c r="A4162">
        <v>70097</v>
      </c>
      <c r="B4162" t="s">
        <v>5568</v>
      </c>
      <c r="C4162" t="s">
        <v>13854</v>
      </c>
      <c r="E4162" t="s">
        <v>22619</v>
      </c>
      <c r="F4162" t="s">
        <v>3045</v>
      </c>
      <c r="G4162" t="s">
        <v>3015</v>
      </c>
      <c r="H4162" t="s">
        <v>301</v>
      </c>
      <c r="J4162" t="s">
        <v>605</v>
      </c>
      <c r="K4162" t="s">
        <v>606</v>
      </c>
      <c r="M4162" t="s">
        <v>2366</v>
      </c>
      <c r="N4162" t="s">
        <v>657</v>
      </c>
      <c r="O4162" t="s">
        <v>3016</v>
      </c>
      <c r="P4162" t="s">
        <v>739</v>
      </c>
      <c r="Q4162" t="s">
        <v>521</v>
      </c>
      <c r="R4162" t="s">
        <v>3017</v>
      </c>
      <c r="S4162" t="s">
        <v>3046</v>
      </c>
      <c r="T4162" t="s">
        <v>2526</v>
      </c>
      <c r="U4162">
        <v>325100</v>
      </c>
      <c r="V4162" t="s">
        <v>3045</v>
      </c>
      <c r="W4162" t="s">
        <v>3047</v>
      </c>
      <c r="X4162" t="s">
        <v>13858</v>
      </c>
      <c r="Y4162" t="s">
        <v>5253</v>
      </c>
      <c r="AA4162" t="s">
        <v>5254</v>
      </c>
      <c r="AB4162" t="s">
        <v>13859</v>
      </c>
      <c r="AE4162">
        <v>-43.479862400000002</v>
      </c>
      <c r="AF4162">
        <v>172.7016126</v>
      </c>
      <c r="AG4162" s="175">
        <v>25</v>
      </c>
      <c r="AH4162" s="175">
        <v>20</v>
      </c>
      <c r="AI4162" s="175">
        <v>20</v>
      </c>
      <c r="AJ4162" s="175">
        <v>8</v>
      </c>
      <c r="AK4162" s="175">
        <v>5</v>
      </c>
      <c r="AL4162" s="175">
        <v>0</v>
      </c>
      <c r="AM4162" s="175">
        <v>2</v>
      </c>
      <c r="AN4162" s="175">
        <v>0</v>
      </c>
      <c r="AO4162" s="175">
        <v>35</v>
      </c>
      <c r="AP4162" s="175">
        <v>35</v>
      </c>
      <c r="AQ4162" s="175">
        <v>6</v>
      </c>
      <c r="AR4162" s="175">
        <v>0</v>
      </c>
      <c r="AS4162" s="175">
        <v>0</v>
      </c>
      <c r="AT4162" s="175">
        <v>0</v>
      </c>
    </row>
    <row r="4163" spans="1:46">
      <c r="A4163">
        <v>70099</v>
      </c>
      <c r="B4163" t="s">
        <v>22620</v>
      </c>
      <c r="C4163" t="s">
        <v>22621</v>
      </c>
      <c r="D4163" t="s">
        <v>22622</v>
      </c>
      <c r="E4163" t="s">
        <v>22623</v>
      </c>
      <c r="F4163" t="s">
        <v>3141</v>
      </c>
      <c r="G4163" t="s">
        <v>3015</v>
      </c>
      <c r="H4163" t="s">
        <v>449</v>
      </c>
      <c r="J4163" t="s">
        <v>605</v>
      </c>
      <c r="K4163" t="s">
        <v>606</v>
      </c>
      <c r="M4163" t="s">
        <v>2366</v>
      </c>
      <c r="N4163" t="s">
        <v>625</v>
      </c>
      <c r="O4163" t="s">
        <v>3016</v>
      </c>
      <c r="P4163" t="s">
        <v>739</v>
      </c>
      <c r="Q4163" t="s">
        <v>521</v>
      </c>
      <c r="R4163" t="s">
        <v>3017</v>
      </c>
      <c r="S4163" t="s">
        <v>3046</v>
      </c>
      <c r="T4163" t="s">
        <v>2526</v>
      </c>
      <c r="U4163">
        <v>323400</v>
      </c>
      <c r="V4163" t="s">
        <v>3142</v>
      </c>
      <c r="W4163" t="s">
        <v>3143</v>
      </c>
      <c r="X4163" t="s">
        <v>22624</v>
      </c>
      <c r="Y4163" t="s">
        <v>6434</v>
      </c>
      <c r="Z4163" t="s">
        <v>4622</v>
      </c>
      <c r="AA4163" t="s">
        <v>4623</v>
      </c>
      <c r="AB4163" t="s">
        <v>22625</v>
      </c>
      <c r="AE4163">
        <v>-43.49581774</v>
      </c>
      <c r="AF4163">
        <v>172.65407436000001</v>
      </c>
      <c r="AG4163" s="175">
        <v>36</v>
      </c>
      <c r="AH4163" s="175">
        <v>11</v>
      </c>
      <c r="AI4163" s="175">
        <v>1</v>
      </c>
      <c r="AJ4163" s="175">
        <v>4</v>
      </c>
      <c r="AK4163" s="175">
        <v>5</v>
      </c>
      <c r="AL4163" s="175">
        <v>12</v>
      </c>
      <c r="AM4163" s="175">
        <v>13</v>
      </c>
      <c r="AN4163" s="175">
        <v>2</v>
      </c>
      <c r="AO4163" s="175">
        <v>37</v>
      </c>
      <c r="AP4163" s="175">
        <v>22</v>
      </c>
      <c r="AQ4163" s="175">
        <v>17</v>
      </c>
      <c r="AR4163" s="175">
        <v>8</v>
      </c>
      <c r="AS4163" s="175">
        <v>2</v>
      </c>
      <c r="AT4163" s="175">
        <v>0</v>
      </c>
    </row>
    <row r="4164" spans="1:46">
      <c r="A4164">
        <v>70102</v>
      </c>
      <c r="B4164" t="s">
        <v>22626</v>
      </c>
      <c r="C4164" t="s">
        <v>13854</v>
      </c>
      <c r="E4164" t="s">
        <v>22627</v>
      </c>
      <c r="G4164" t="s">
        <v>11546</v>
      </c>
      <c r="H4164" t="s">
        <v>301</v>
      </c>
      <c r="J4164" t="s">
        <v>605</v>
      </c>
      <c r="K4164" t="s">
        <v>606</v>
      </c>
      <c r="M4164" t="s">
        <v>2366</v>
      </c>
      <c r="N4164" t="s">
        <v>657</v>
      </c>
      <c r="O4164" t="s">
        <v>3322</v>
      </c>
      <c r="P4164" t="s">
        <v>610</v>
      </c>
      <c r="Q4164" t="s">
        <v>521</v>
      </c>
      <c r="R4164" t="s">
        <v>3017</v>
      </c>
      <c r="S4164" t="s">
        <v>3292</v>
      </c>
      <c r="T4164" t="s">
        <v>2526</v>
      </c>
      <c r="U4164">
        <v>339200</v>
      </c>
      <c r="V4164" t="s">
        <v>11546</v>
      </c>
      <c r="W4164" t="s">
        <v>3371</v>
      </c>
      <c r="X4164" t="s">
        <v>13858</v>
      </c>
      <c r="Y4164" t="s">
        <v>5253</v>
      </c>
      <c r="AA4164" t="s">
        <v>5254</v>
      </c>
      <c r="AB4164" t="s">
        <v>13859</v>
      </c>
      <c r="AE4164">
        <v>-44.259799970000003</v>
      </c>
      <c r="AF4164">
        <v>171.1319652</v>
      </c>
      <c r="AG4164" s="175">
        <v>30</v>
      </c>
      <c r="AH4164" s="175">
        <v>15</v>
      </c>
      <c r="AI4164" s="175">
        <v>5</v>
      </c>
      <c r="AJ4164" s="175">
        <v>4</v>
      </c>
      <c r="AK4164" s="175">
        <v>7</v>
      </c>
      <c r="AL4164" s="175">
        <v>5</v>
      </c>
      <c r="AM4164" s="175">
        <v>1</v>
      </c>
      <c r="AN4164" s="175">
        <v>0</v>
      </c>
      <c r="AO4164" s="175">
        <v>22</v>
      </c>
      <c r="AP4164" s="175">
        <v>21</v>
      </c>
      <c r="AQ4164" s="175">
        <v>2</v>
      </c>
      <c r="AR4164" s="175">
        <v>0</v>
      </c>
      <c r="AS4164" s="175">
        <v>1</v>
      </c>
      <c r="AT4164" s="175">
        <v>0</v>
      </c>
    </row>
    <row r="4165" spans="1:46">
      <c r="A4165">
        <v>70103</v>
      </c>
      <c r="B4165" t="s">
        <v>22628</v>
      </c>
      <c r="C4165" t="s">
        <v>11526</v>
      </c>
      <c r="D4165" t="s">
        <v>22629</v>
      </c>
      <c r="E4165" t="s">
        <v>11524</v>
      </c>
      <c r="F4165" t="s">
        <v>3015</v>
      </c>
      <c r="G4165" t="s">
        <v>3015</v>
      </c>
      <c r="H4165" t="s">
        <v>450</v>
      </c>
      <c r="J4165" t="s">
        <v>4032</v>
      </c>
      <c r="K4165" t="s">
        <v>606</v>
      </c>
      <c r="M4165" t="s">
        <v>2366</v>
      </c>
      <c r="N4165" t="s">
        <v>657</v>
      </c>
      <c r="O4165" t="s">
        <v>3281</v>
      </c>
      <c r="P4165" t="s">
        <v>1347</v>
      </c>
      <c r="Q4165" t="s">
        <v>521</v>
      </c>
      <c r="R4165" t="s">
        <v>3017</v>
      </c>
      <c r="S4165" t="s">
        <v>3252</v>
      </c>
      <c r="T4165" t="s">
        <v>2526</v>
      </c>
      <c r="U4165">
        <v>335201</v>
      </c>
      <c r="V4165" t="s">
        <v>10976</v>
      </c>
      <c r="W4165" t="s">
        <v>10977</v>
      </c>
      <c r="X4165" t="s">
        <v>11523</v>
      </c>
      <c r="Y4165" t="s">
        <v>11524</v>
      </c>
      <c r="Z4165" t="s">
        <v>10974</v>
      </c>
      <c r="AA4165" t="s">
        <v>11525</v>
      </c>
      <c r="AB4165" t="s">
        <v>11526</v>
      </c>
      <c r="AC4165">
        <v>99206</v>
      </c>
      <c r="AD4165" t="s">
        <v>3284</v>
      </c>
      <c r="AE4165">
        <v>-43.594265790000001</v>
      </c>
      <c r="AF4165">
        <v>172.38569838000001</v>
      </c>
      <c r="AG4165" s="175">
        <v>50</v>
      </c>
      <c r="AH4165" s="175">
        <v>50</v>
      </c>
      <c r="AI4165" s="175">
        <v>1</v>
      </c>
      <c r="AJ4165" s="175">
        <v>3</v>
      </c>
      <c r="AK4165" s="175">
        <v>8</v>
      </c>
      <c r="AL4165" s="175">
        <v>4</v>
      </c>
      <c r="AM4165" s="175">
        <v>5</v>
      </c>
      <c r="AN4165" s="175">
        <v>0</v>
      </c>
      <c r="AO4165" s="175">
        <v>21</v>
      </c>
      <c r="AP4165" s="175">
        <v>18</v>
      </c>
      <c r="AQ4165" s="175">
        <v>3</v>
      </c>
      <c r="AR4165" s="175">
        <v>2</v>
      </c>
      <c r="AS4165" s="175">
        <v>1</v>
      </c>
      <c r="AT4165" s="175">
        <v>0</v>
      </c>
    </row>
    <row r="4166" spans="1:46">
      <c r="A4166">
        <v>70104</v>
      </c>
      <c r="B4166" t="s">
        <v>22630</v>
      </c>
      <c r="C4166" t="s">
        <v>13854</v>
      </c>
      <c r="E4166" t="s">
        <v>22631</v>
      </c>
      <c r="G4166" t="s">
        <v>11933</v>
      </c>
      <c r="H4166" t="s">
        <v>301</v>
      </c>
      <c r="J4166" t="s">
        <v>605</v>
      </c>
      <c r="K4166" t="s">
        <v>606</v>
      </c>
      <c r="M4166" t="s">
        <v>2366</v>
      </c>
      <c r="N4166" t="s">
        <v>657</v>
      </c>
      <c r="O4166" t="s">
        <v>3281</v>
      </c>
      <c r="P4166" t="s">
        <v>610</v>
      </c>
      <c r="Q4166" t="s">
        <v>521</v>
      </c>
      <c r="R4166" t="s">
        <v>3017</v>
      </c>
      <c r="S4166" t="s">
        <v>3252</v>
      </c>
      <c r="T4166" t="s">
        <v>2526</v>
      </c>
      <c r="U4166">
        <v>335702</v>
      </c>
      <c r="V4166" t="s">
        <v>22632</v>
      </c>
      <c r="W4166" t="s">
        <v>3735</v>
      </c>
      <c r="X4166" t="s">
        <v>13858</v>
      </c>
      <c r="Y4166" t="s">
        <v>5253</v>
      </c>
      <c r="AA4166" t="s">
        <v>5254</v>
      </c>
      <c r="AB4166" t="s">
        <v>13859</v>
      </c>
      <c r="AC4166">
        <v>99113</v>
      </c>
      <c r="AD4166" t="s">
        <v>3736</v>
      </c>
      <c r="AE4166">
        <v>-43.586901130000001</v>
      </c>
      <c r="AF4166">
        <v>172.5181437</v>
      </c>
      <c r="AG4166" s="175">
        <v>29</v>
      </c>
      <c r="AH4166" s="175">
        <v>20</v>
      </c>
      <c r="AI4166" s="175">
        <v>12</v>
      </c>
      <c r="AJ4166" s="175">
        <v>7</v>
      </c>
      <c r="AK4166" s="175">
        <v>5</v>
      </c>
      <c r="AL4166" s="175">
        <v>6</v>
      </c>
      <c r="AM4166" s="175">
        <v>7</v>
      </c>
      <c r="AN4166" s="175">
        <v>1</v>
      </c>
      <c r="AO4166" s="175">
        <v>38</v>
      </c>
      <c r="AP4166" s="175">
        <v>38</v>
      </c>
      <c r="AQ4166" s="175">
        <v>2</v>
      </c>
      <c r="AR4166" s="175">
        <v>0</v>
      </c>
      <c r="AS4166" s="175">
        <v>2</v>
      </c>
      <c r="AT4166" s="175">
        <v>0</v>
      </c>
    </row>
    <row r="4167" spans="1:46">
      <c r="A4167">
        <v>70105</v>
      </c>
      <c r="B4167" t="s">
        <v>22633</v>
      </c>
      <c r="C4167" t="s">
        <v>11130</v>
      </c>
      <c r="D4167" t="s">
        <v>22634</v>
      </c>
      <c r="E4167" t="s">
        <v>11135</v>
      </c>
      <c r="G4167" t="s">
        <v>21732</v>
      </c>
      <c r="H4167" t="s">
        <v>449</v>
      </c>
      <c r="J4167" t="s">
        <v>4032</v>
      </c>
      <c r="K4167" t="s">
        <v>606</v>
      </c>
      <c r="M4167" t="s">
        <v>2366</v>
      </c>
      <c r="N4167" t="s">
        <v>657</v>
      </c>
      <c r="O4167" t="s">
        <v>3281</v>
      </c>
      <c r="P4167" t="s">
        <v>610</v>
      </c>
      <c r="Q4167" t="s">
        <v>521</v>
      </c>
      <c r="R4167" t="s">
        <v>3017</v>
      </c>
      <c r="S4167" t="s">
        <v>3252</v>
      </c>
      <c r="T4167" t="s">
        <v>2526</v>
      </c>
      <c r="U4167">
        <v>334001</v>
      </c>
      <c r="V4167" t="s">
        <v>21732</v>
      </c>
      <c r="W4167" t="s">
        <v>12669</v>
      </c>
      <c r="X4167" t="s">
        <v>11134</v>
      </c>
      <c r="Y4167" t="s">
        <v>21733</v>
      </c>
      <c r="Z4167" t="s">
        <v>21732</v>
      </c>
      <c r="AA4167" t="s">
        <v>21734</v>
      </c>
      <c r="AC4167">
        <v>99008</v>
      </c>
      <c r="AD4167" t="s">
        <v>17656</v>
      </c>
      <c r="AE4167">
        <v>-43.489955420000001</v>
      </c>
      <c r="AF4167">
        <v>172.11587664000001</v>
      </c>
      <c r="AG4167" s="175">
        <v>37</v>
      </c>
      <c r="AH4167" s="175">
        <v>0</v>
      </c>
      <c r="AI4167" s="175">
        <v>0</v>
      </c>
      <c r="AJ4167" s="175">
        <v>0</v>
      </c>
      <c r="AK4167" s="175">
        <v>0</v>
      </c>
      <c r="AL4167" s="175">
        <v>34</v>
      </c>
      <c r="AM4167" s="175">
        <v>8</v>
      </c>
      <c r="AN4167" s="175">
        <v>0</v>
      </c>
      <c r="AO4167" s="175">
        <v>42</v>
      </c>
      <c r="AP4167" s="175">
        <v>36</v>
      </c>
      <c r="AQ4167" s="175">
        <v>2</v>
      </c>
      <c r="AR4167" s="175">
        <v>0</v>
      </c>
      <c r="AS4167" s="175">
        <v>7</v>
      </c>
      <c r="AT4167" s="175">
        <v>1</v>
      </c>
    </row>
    <row r="4168" spans="1:46">
      <c r="A4168">
        <v>70107</v>
      </c>
      <c r="B4168" t="s">
        <v>22635</v>
      </c>
      <c r="C4168" t="s">
        <v>22636</v>
      </c>
      <c r="D4168" t="s">
        <v>22637</v>
      </c>
      <c r="E4168" t="s">
        <v>22638</v>
      </c>
      <c r="F4168" t="s">
        <v>3064</v>
      </c>
      <c r="G4168" t="s">
        <v>3015</v>
      </c>
      <c r="H4168" t="s">
        <v>449</v>
      </c>
      <c r="J4168" t="s">
        <v>4032</v>
      </c>
      <c r="K4168" t="s">
        <v>606</v>
      </c>
      <c r="M4168" t="s">
        <v>2366</v>
      </c>
      <c r="N4168" t="s">
        <v>643</v>
      </c>
      <c r="O4168" t="s">
        <v>3016</v>
      </c>
      <c r="P4168" t="s">
        <v>739</v>
      </c>
      <c r="Q4168" t="s">
        <v>521</v>
      </c>
      <c r="R4168" t="s">
        <v>3017</v>
      </c>
      <c r="S4168" t="s">
        <v>3052</v>
      </c>
      <c r="T4168" t="s">
        <v>2526</v>
      </c>
      <c r="U4168">
        <v>330100</v>
      </c>
      <c r="V4168" t="s">
        <v>3065</v>
      </c>
      <c r="W4168" t="s">
        <v>3066</v>
      </c>
      <c r="X4168" t="s">
        <v>10869</v>
      </c>
      <c r="Y4168" t="s">
        <v>4166</v>
      </c>
      <c r="Z4168" t="s">
        <v>4167</v>
      </c>
      <c r="AA4168" t="s">
        <v>4168</v>
      </c>
      <c r="AB4168" t="s">
        <v>10870</v>
      </c>
      <c r="AC4168">
        <v>99063</v>
      </c>
      <c r="AD4168" t="s">
        <v>3067</v>
      </c>
      <c r="AE4168">
        <v>-43.546889030000003</v>
      </c>
      <c r="AF4168">
        <v>172.67888373</v>
      </c>
      <c r="AG4168" s="175">
        <v>88</v>
      </c>
      <c r="AH4168" s="175">
        <v>25</v>
      </c>
      <c r="AI4168" s="175">
        <v>3</v>
      </c>
      <c r="AJ4168" s="175">
        <v>12</v>
      </c>
      <c r="AK4168" s="175">
        <v>23</v>
      </c>
      <c r="AL4168" s="175">
        <v>22</v>
      </c>
      <c r="AM4168" s="175">
        <v>26</v>
      </c>
      <c r="AN4168" s="175">
        <v>1</v>
      </c>
      <c r="AO4168" s="175">
        <v>87</v>
      </c>
      <c r="AP4168" s="175">
        <v>57</v>
      </c>
      <c r="AQ4168" s="175">
        <v>22</v>
      </c>
      <c r="AR4168" s="175">
        <v>11</v>
      </c>
      <c r="AS4168" s="175">
        <v>23</v>
      </c>
      <c r="AT4168" s="175">
        <v>1</v>
      </c>
    </row>
    <row r="4169" spans="1:46">
      <c r="A4169">
        <v>70108</v>
      </c>
      <c r="B4169" t="s">
        <v>22639</v>
      </c>
      <c r="C4169" t="s">
        <v>13854</v>
      </c>
      <c r="E4169" t="s">
        <v>22640</v>
      </c>
      <c r="G4169" t="s">
        <v>3036</v>
      </c>
      <c r="H4169" t="s">
        <v>301</v>
      </c>
      <c r="J4169" t="s">
        <v>605</v>
      </c>
      <c r="K4169" t="s">
        <v>606</v>
      </c>
      <c r="M4169" t="s">
        <v>2366</v>
      </c>
      <c r="N4169" t="s">
        <v>657</v>
      </c>
      <c r="O4169" t="s">
        <v>3037</v>
      </c>
      <c r="P4169" t="s">
        <v>1347</v>
      </c>
      <c r="Q4169" t="s">
        <v>521</v>
      </c>
      <c r="R4169" t="s">
        <v>3017</v>
      </c>
      <c r="S4169" t="s">
        <v>3038</v>
      </c>
      <c r="T4169" t="s">
        <v>2526</v>
      </c>
      <c r="U4169">
        <v>314501</v>
      </c>
      <c r="V4169" t="s">
        <v>3039</v>
      </c>
      <c r="W4169" t="s">
        <v>3040</v>
      </c>
      <c r="X4169" t="s">
        <v>13858</v>
      </c>
      <c r="Y4169" t="s">
        <v>5253</v>
      </c>
      <c r="AA4169" t="s">
        <v>5254</v>
      </c>
      <c r="AB4169" t="s">
        <v>13859</v>
      </c>
      <c r="AE4169">
        <v>-43.309011679999998</v>
      </c>
      <c r="AF4169">
        <v>172.58665637999999</v>
      </c>
      <c r="AG4169" s="175">
        <v>25</v>
      </c>
      <c r="AH4169" s="175">
        <v>20</v>
      </c>
      <c r="AI4169" s="175">
        <v>20</v>
      </c>
      <c r="AJ4169" s="175">
        <v>2</v>
      </c>
      <c r="AK4169" s="175">
        <v>6</v>
      </c>
      <c r="AL4169" s="175">
        <v>4</v>
      </c>
      <c r="AM4169" s="175">
        <v>6</v>
      </c>
      <c r="AN4169" s="175">
        <v>0</v>
      </c>
      <c r="AO4169" s="175">
        <v>38</v>
      </c>
      <c r="AP4169" s="175">
        <v>37</v>
      </c>
      <c r="AQ4169" s="175">
        <v>6</v>
      </c>
      <c r="AR4169" s="175">
        <v>0</v>
      </c>
      <c r="AS4169" s="175">
        <v>3</v>
      </c>
      <c r="AT4169" s="175">
        <v>1</v>
      </c>
    </row>
    <row r="4170" spans="1:46">
      <c r="A4170">
        <v>70109</v>
      </c>
      <c r="B4170" t="s">
        <v>22641</v>
      </c>
      <c r="C4170" t="s">
        <v>22642</v>
      </c>
      <c r="D4170" t="s">
        <v>22643</v>
      </c>
      <c r="E4170" t="s">
        <v>22644</v>
      </c>
      <c r="G4170" t="s">
        <v>3036</v>
      </c>
      <c r="H4170" t="s">
        <v>449</v>
      </c>
      <c r="J4170" t="s">
        <v>605</v>
      </c>
      <c r="K4170" t="s">
        <v>606</v>
      </c>
      <c r="M4170" t="s">
        <v>2366</v>
      </c>
      <c r="N4170" t="s">
        <v>657</v>
      </c>
      <c r="O4170" t="s">
        <v>3037</v>
      </c>
      <c r="P4170" t="s">
        <v>1347</v>
      </c>
      <c r="Q4170" t="s">
        <v>521</v>
      </c>
      <c r="R4170" t="s">
        <v>3017</v>
      </c>
      <c r="S4170" t="s">
        <v>3038</v>
      </c>
      <c r="T4170" t="s">
        <v>2526</v>
      </c>
      <c r="U4170">
        <v>314600</v>
      </c>
      <c r="V4170" t="s">
        <v>15934</v>
      </c>
      <c r="W4170" t="s">
        <v>3040</v>
      </c>
      <c r="X4170" t="s">
        <v>10864</v>
      </c>
      <c r="Y4170" t="s">
        <v>4014</v>
      </c>
      <c r="Z4170" t="s">
        <v>4015</v>
      </c>
      <c r="AA4170" t="s">
        <v>4016</v>
      </c>
      <c r="AE4170">
        <v>-43.312538160000003</v>
      </c>
      <c r="AF4170">
        <v>172.59664565</v>
      </c>
      <c r="AG4170" s="175">
        <v>75</v>
      </c>
      <c r="AH4170" s="175">
        <v>25</v>
      </c>
      <c r="AI4170" s="175">
        <v>3</v>
      </c>
      <c r="AJ4170" s="175">
        <v>18</v>
      </c>
      <c r="AK4170" s="175">
        <v>16</v>
      </c>
      <c r="AL4170" s="175">
        <v>17</v>
      </c>
      <c r="AM4170" s="175">
        <v>20</v>
      </c>
      <c r="AN4170" s="175">
        <v>0</v>
      </c>
      <c r="AO4170" s="175">
        <v>74</v>
      </c>
      <c r="AP4170" s="175">
        <v>44</v>
      </c>
      <c r="AQ4170" s="175">
        <v>8</v>
      </c>
      <c r="AR4170" s="175">
        <v>1</v>
      </c>
      <c r="AS4170" s="175">
        <v>21</v>
      </c>
      <c r="AT4170" s="175">
        <v>16</v>
      </c>
    </row>
    <row r="4171" spans="1:46">
      <c r="A4171">
        <v>70110</v>
      </c>
      <c r="B4171" t="s">
        <v>22645</v>
      </c>
      <c r="C4171" t="s">
        <v>13854</v>
      </c>
      <c r="E4171" t="s">
        <v>22646</v>
      </c>
      <c r="F4171" t="s">
        <v>3208</v>
      </c>
      <c r="G4171" t="s">
        <v>3015</v>
      </c>
      <c r="H4171" t="s">
        <v>301</v>
      </c>
      <c r="J4171" t="s">
        <v>605</v>
      </c>
      <c r="K4171" t="s">
        <v>606</v>
      </c>
      <c r="M4171" t="s">
        <v>2366</v>
      </c>
      <c r="N4171" t="s">
        <v>657</v>
      </c>
      <c r="O4171" t="s">
        <v>3016</v>
      </c>
      <c r="P4171" t="s">
        <v>739</v>
      </c>
      <c r="Q4171" t="s">
        <v>521</v>
      </c>
      <c r="R4171" t="s">
        <v>3017</v>
      </c>
      <c r="S4171" t="s">
        <v>3030</v>
      </c>
      <c r="T4171" t="s">
        <v>2526</v>
      </c>
      <c r="U4171">
        <v>319600</v>
      </c>
      <c r="V4171" t="s">
        <v>10988</v>
      </c>
      <c r="W4171" t="s">
        <v>3171</v>
      </c>
      <c r="X4171" t="s">
        <v>13858</v>
      </c>
      <c r="Y4171" t="s">
        <v>5253</v>
      </c>
      <c r="AA4171" t="s">
        <v>5254</v>
      </c>
      <c r="AB4171" t="s">
        <v>13859</v>
      </c>
      <c r="AE4171">
        <v>-43.476919680000002</v>
      </c>
      <c r="AF4171">
        <v>172.62266056000001</v>
      </c>
      <c r="AG4171" s="175">
        <v>25</v>
      </c>
      <c r="AH4171" s="175">
        <v>20</v>
      </c>
      <c r="AI4171" s="175">
        <v>23</v>
      </c>
      <c r="AJ4171" s="175">
        <v>11</v>
      </c>
      <c r="AK4171" s="175">
        <v>13</v>
      </c>
      <c r="AL4171" s="175">
        <v>9</v>
      </c>
      <c r="AM4171" s="175">
        <v>7</v>
      </c>
      <c r="AN4171" s="175">
        <v>1</v>
      </c>
      <c r="AO4171" s="175">
        <v>64</v>
      </c>
      <c r="AP4171" s="175">
        <v>57</v>
      </c>
      <c r="AQ4171" s="175">
        <v>13</v>
      </c>
      <c r="AR4171" s="175">
        <v>0</v>
      </c>
      <c r="AS4171" s="175">
        <v>4</v>
      </c>
      <c r="AT4171" s="175">
        <v>6</v>
      </c>
    </row>
    <row r="4172" spans="1:46">
      <c r="A4172">
        <v>70112</v>
      </c>
      <c r="B4172" t="s">
        <v>22647</v>
      </c>
      <c r="C4172" t="s">
        <v>13854</v>
      </c>
      <c r="E4172" t="s">
        <v>22648</v>
      </c>
      <c r="G4172" t="s">
        <v>10974</v>
      </c>
      <c r="H4172" t="s">
        <v>301</v>
      </c>
      <c r="J4172" t="s">
        <v>605</v>
      </c>
      <c r="K4172" t="s">
        <v>606</v>
      </c>
      <c r="M4172" t="s">
        <v>2366</v>
      </c>
      <c r="N4172" t="s">
        <v>657</v>
      </c>
      <c r="O4172" t="s">
        <v>3281</v>
      </c>
      <c r="P4172" t="s">
        <v>1347</v>
      </c>
      <c r="Q4172" t="s">
        <v>521</v>
      </c>
      <c r="R4172" t="s">
        <v>3017</v>
      </c>
      <c r="S4172" t="s">
        <v>3252</v>
      </c>
      <c r="T4172" t="s">
        <v>2526</v>
      </c>
      <c r="U4172">
        <v>335201</v>
      </c>
      <c r="V4172" t="s">
        <v>10976</v>
      </c>
      <c r="W4172" t="s">
        <v>10977</v>
      </c>
      <c r="X4172" t="s">
        <v>13858</v>
      </c>
      <c r="Y4172" t="s">
        <v>5253</v>
      </c>
      <c r="AA4172" t="s">
        <v>5254</v>
      </c>
      <c r="AB4172" t="s">
        <v>13859</v>
      </c>
      <c r="AE4172">
        <v>-43.596870410000001</v>
      </c>
      <c r="AF4172">
        <v>172.37938948999999</v>
      </c>
      <c r="AG4172" s="175">
        <v>25</v>
      </c>
      <c r="AH4172" s="175">
        <v>20</v>
      </c>
      <c r="AI4172" s="175">
        <v>19</v>
      </c>
      <c r="AJ4172" s="175">
        <v>9</v>
      </c>
      <c r="AK4172" s="175">
        <v>7</v>
      </c>
      <c r="AL4172" s="175">
        <v>9</v>
      </c>
      <c r="AM4172" s="175">
        <v>5</v>
      </c>
      <c r="AN4172" s="175">
        <v>1</v>
      </c>
      <c r="AO4172" s="175">
        <v>50</v>
      </c>
      <c r="AP4172" s="175">
        <v>42</v>
      </c>
      <c r="AQ4172" s="175">
        <v>8</v>
      </c>
      <c r="AR4172" s="175">
        <v>0</v>
      </c>
      <c r="AS4172" s="175">
        <v>9</v>
      </c>
      <c r="AT4172" s="175">
        <v>2</v>
      </c>
    </row>
    <row r="4173" spans="1:46">
      <c r="A4173">
        <v>70113</v>
      </c>
      <c r="B4173" t="s">
        <v>22649</v>
      </c>
      <c r="C4173" t="s">
        <v>22650</v>
      </c>
      <c r="D4173" t="s">
        <v>22651</v>
      </c>
      <c r="E4173" t="s">
        <v>22652</v>
      </c>
      <c r="F4173" t="s">
        <v>3289</v>
      </c>
      <c r="G4173" t="s">
        <v>3290</v>
      </c>
      <c r="H4173" t="s">
        <v>449</v>
      </c>
      <c r="J4173" t="s">
        <v>605</v>
      </c>
      <c r="K4173" t="s">
        <v>606</v>
      </c>
      <c r="M4173" t="s">
        <v>2366</v>
      </c>
      <c r="N4173" t="s">
        <v>657</v>
      </c>
      <c r="O4173" t="s">
        <v>3291</v>
      </c>
      <c r="P4173" t="s">
        <v>1347</v>
      </c>
      <c r="Q4173" t="s">
        <v>521</v>
      </c>
      <c r="R4173" t="s">
        <v>3017</v>
      </c>
      <c r="S4173" t="s">
        <v>3292</v>
      </c>
      <c r="T4173" t="s">
        <v>2526</v>
      </c>
      <c r="U4173">
        <v>337400</v>
      </c>
      <c r="V4173" t="s">
        <v>22653</v>
      </c>
      <c r="W4173" t="s">
        <v>3294</v>
      </c>
      <c r="X4173" t="s">
        <v>10864</v>
      </c>
      <c r="Y4173" t="s">
        <v>4014</v>
      </c>
      <c r="Z4173" t="s">
        <v>4015</v>
      </c>
      <c r="AA4173" t="s">
        <v>4016</v>
      </c>
      <c r="AC4173">
        <v>99043</v>
      </c>
      <c r="AD4173" t="s">
        <v>3299</v>
      </c>
      <c r="AE4173">
        <v>-43.885371020000001</v>
      </c>
      <c r="AF4173">
        <v>171.74016460000001</v>
      </c>
      <c r="AG4173" s="175">
        <v>60</v>
      </c>
      <c r="AH4173" s="175">
        <v>24</v>
      </c>
      <c r="AI4173" s="175">
        <v>3</v>
      </c>
      <c r="AJ4173" s="175">
        <v>10</v>
      </c>
      <c r="AK4173" s="175">
        <v>18</v>
      </c>
      <c r="AL4173" s="175">
        <v>23</v>
      </c>
      <c r="AM4173" s="175">
        <v>18</v>
      </c>
      <c r="AN4173" s="175">
        <v>0</v>
      </c>
      <c r="AO4173" s="175">
        <v>72</v>
      </c>
      <c r="AP4173" s="175">
        <v>57</v>
      </c>
      <c r="AQ4173" s="175">
        <v>9</v>
      </c>
      <c r="AR4173" s="175">
        <v>2</v>
      </c>
      <c r="AS4173" s="175">
        <v>14</v>
      </c>
      <c r="AT4173" s="175">
        <v>2</v>
      </c>
    </row>
    <row r="4174" spans="1:46">
      <c r="A4174">
        <v>70114</v>
      </c>
      <c r="B4174" t="s">
        <v>22654</v>
      </c>
      <c r="C4174" t="s">
        <v>13854</v>
      </c>
      <c r="E4174" t="s">
        <v>22655</v>
      </c>
      <c r="F4174" t="s">
        <v>18255</v>
      </c>
      <c r="G4174" t="s">
        <v>3015</v>
      </c>
      <c r="H4174" t="s">
        <v>301</v>
      </c>
      <c r="J4174" t="s">
        <v>605</v>
      </c>
      <c r="K4174" t="s">
        <v>606</v>
      </c>
      <c r="M4174" t="s">
        <v>2366</v>
      </c>
      <c r="N4174" t="s">
        <v>657</v>
      </c>
      <c r="O4174" t="s">
        <v>3016</v>
      </c>
      <c r="P4174" t="s">
        <v>739</v>
      </c>
      <c r="Q4174" t="s">
        <v>521</v>
      </c>
      <c r="R4174" t="s">
        <v>3017</v>
      </c>
      <c r="S4174" t="s">
        <v>3018</v>
      </c>
      <c r="T4174" t="s">
        <v>2526</v>
      </c>
      <c r="U4174">
        <v>318901</v>
      </c>
      <c r="V4174" t="s">
        <v>3922</v>
      </c>
      <c r="W4174" t="s">
        <v>3020</v>
      </c>
      <c r="X4174" t="s">
        <v>13858</v>
      </c>
      <c r="Y4174" t="s">
        <v>5253</v>
      </c>
      <c r="AA4174" t="s">
        <v>5254</v>
      </c>
      <c r="AB4174" t="s">
        <v>13859</v>
      </c>
      <c r="AE4174">
        <v>-43.516018099999997</v>
      </c>
      <c r="AF4174">
        <v>172.54666499999999</v>
      </c>
      <c r="AG4174" s="175">
        <v>25</v>
      </c>
      <c r="AH4174" s="175">
        <v>15</v>
      </c>
      <c r="AI4174" s="175">
        <v>6</v>
      </c>
      <c r="AJ4174" s="175">
        <v>6</v>
      </c>
      <c r="AK4174" s="175">
        <v>13</v>
      </c>
      <c r="AL4174" s="175">
        <v>8</v>
      </c>
      <c r="AM4174" s="175">
        <v>5</v>
      </c>
      <c r="AN4174" s="175">
        <v>0</v>
      </c>
      <c r="AO4174" s="175">
        <v>38</v>
      </c>
      <c r="AP4174" s="175">
        <v>30</v>
      </c>
      <c r="AQ4174" s="175">
        <v>1</v>
      </c>
      <c r="AR4174" s="175">
        <v>0</v>
      </c>
      <c r="AS4174" s="175">
        <v>11</v>
      </c>
      <c r="AT4174" s="175">
        <v>2</v>
      </c>
    </row>
    <row r="4175" spans="1:46">
      <c r="A4175">
        <v>70118</v>
      </c>
      <c r="B4175" t="s">
        <v>22656</v>
      </c>
      <c r="C4175" t="s">
        <v>13854</v>
      </c>
      <c r="E4175" t="s">
        <v>22657</v>
      </c>
      <c r="F4175" t="s">
        <v>3141</v>
      </c>
      <c r="G4175" t="s">
        <v>3015</v>
      </c>
      <c r="H4175" t="s">
        <v>301</v>
      </c>
      <c r="J4175" t="s">
        <v>605</v>
      </c>
      <c r="K4175" t="s">
        <v>606</v>
      </c>
      <c r="M4175" t="s">
        <v>2366</v>
      </c>
      <c r="N4175" t="s">
        <v>657</v>
      </c>
      <c r="O4175" t="s">
        <v>3016</v>
      </c>
      <c r="P4175" t="s">
        <v>739</v>
      </c>
      <c r="Q4175" t="s">
        <v>521</v>
      </c>
      <c r="R4175" t="s">
        <v>3017</v>
      </c>
      <c r="S4175" t="s">
        <v>3046</v>
      </c>
      <c r="T4175" t="s">
        <v>2526</v>
      </c>
      <c r="U4175">
        <v>325900</v>
      </c>
      <c r="V4175" t="s">
        <v>3218</v>
      </c>
      <c r="W4175" t="s">
        <v>2521</v>
      </c>
      <c r="X4175" t="s">
        <v>13858</v>
      </c>
      <c r="Y4175" t="s">
        <v>5253</v>
      </c>
      <c r="AA4175" t="s">
        <v>5254</v>
      </c>
      <c r="AB4175" t="s">
        <v>13859</v>
      </c>
      <c r="AE4175">
        <v>-43.509011000000001</v>
      </c>
      <c r="AF4175">
        <v>172.65408780000001</v>
      </c>
      <c r="AG4175" s="175">
        <v>27</v>
      </c>
      <c r="AH4175" s="175">
        <v>20</v>
      </c>
      <c r="AI4175" s="175">
        <v>15</v>
      </c>
      <c r="AJ4175" s="175">
        <v>11</v>
      </c>
      <c r="AK4175" s="175">
        <v>8</v>
      </c>
      <c r="AL4175" s="175">
        <v>7</v>
      </c>
      <c r="AM4175" s="175">
        <v>6</v>
      </c>
      <c r="AN4175" s="175">
        <v>1</v>
      </c>
      <c r="AO4175" s="175">
        <v>48</v>
      </c>
      <c r="AP4175" s="175">
        <v>45</v>
      </c>
      <c r="AQ4175" s="175">
        <v>5</v>
      </c>
      <c r="AR4175" s="175">
        <v>6</v>
      </c>
      <c r="AS4175" s="175">
        <v>3</v>
      </c>
      <c r="AT4175" s="175">
        <v>0</v>
      </c>
    </row>
    <row r="4176" spans="1:46">
      <c r="A4176">
        <v>70119</v>
      </c>
      <c r="B4176" t="s">
        <v>22658</v>
      </c>
      <c r="C4176" t="s">
        <v>22659</v>
      </c>
      <c r="D4176" t="s">
        <v>22660</v>
      </c>
      <c r="E4176" t="s">
        <v>22661</v>
      </c>
      <c r="F4176" t="s">
        <v>3106</v>
      </c>
      <c r="G4176" t="s">
        <v>3015</v>
      </c>
      <c r="H4176" t="s">
        <v>449</v>
      </c>
      <c r="J4176" t="s">
        <v>4032</v>
      </c>
      <c r="K4176" t="s">
        <v>606</v>
      </c>
      <c r="M4176" t="s">
        <v>2366</v>
      </c>
      <c r="N4176" t="s">
        <v>625</v>
      </c>
      <c r="O4176" t="s">
        <v>3016</v>
      </c>
      <c r="P4176" t="s">
        <v>739</v>
      </c>
      <c r="Q4176" t="s">
        <v>521</v>
      </c>
      <c r="R4176" t="s">
        <v>3017</v>
      </c>
      <c r="S4176" t="s">
        <v>3092</v>
      </c>
      <c r="T4176" t="s">
        <v>2526</v>
      </c>
      <c r="U4176">
        <v>321101</v>
      </c>
      <c r="V4176" t="s">
        <v>3107</v>
      </c>
      <c r="W4176" t="s">
        <v>3093</v>
      </c>
      <c r="X4176" t="s">
        <v>22662</v>
      </c>
      <c r="Y4176" t="s">
        <v>22661</v>
      </c>
      <c r="Z4176" t="s">
        <v>3106</v>
      </c>
      <c r="AA4176" t="s">
        <v>11482</v>
      </c>
      <c r="AB4176" t="s">
        <v>22663</v>
      </c>
      <c r="AC4176">
        <v>99045</v>
      </c>
      <c r="AD4176" t="s">
        <v>3094</v>
      </c>
      <c r="AE4176">
        <v>-43.548173679999998</v>
      </c>
      <c r="AF4176">
        <v>172.53272143000001</v>
      </c>
      <c r="AG4176" s="175">
        <v>35</v>
      </c>
      <c r="AH4176" s="175">
        <v>10</v>
      </c>
      <c r="AI4176" s="175">
        <v>1</v>
      </c>
      <c r="AJ4176" s="175">
        <v>14</v>
      </c>
      <c r="AK4176" s="175">
        <v>9</v>
      </c>
      <c r="AL4176" s="175">
        <v>9</v>
      </c>
      <c r="AM4176" s="175">
        <v>12</v>
      </c>
      <c r="AN4176" s="175">
        <v>1</v>
      </c>
      <c r="AO4176" s="175">
        <v>46</v>
      </c>
      <c r="AP4176" s="175">
        <v>31</v>
      </c>
      <c r="AQ4176" s="175">
        <v>14</v>
      </c>
      <c r="AR4176" s="175">
        <v>2</v>
      </c>
      <c r="AS4176" s="175">
        <v>9</v>
      </c>
      <c r="AT4176" s="175">
        <v>0</v>
      </c>
    </row>
    <row r="4177" spans="1:46">
      <c r="A4177">
        <v>70120</v>
      </c>
      <c r="B4177" t="s">
        <v>22664</v>
      </c>
      <c r="C4177" t="s">
        <v>13854</v>
      </c>
      <c r="E4177" t="s">
        <v>22665</v>
      </c>
      <c r="F4177" t="s">
        <v>11012</v>
      </c>
      <c r="G4177" t="s">
        <v>3015</v>
      </c>
      <c r="H4177" t="s">
        <v>301</v>
      </c>
      <c r="J4177" t="s">
        <v>605</v>
      </c>
      <c r="K4177" t="s">
        <v>606</v>
      </c>
      <c r="M4177" t="s">
        <v>2366</v>
      </c>
      <c r="N4177" t="s">
        <v>657</v>
      </c>
      <c r="O4177" t="s">
        <v>3016</v>
      </c>
      <c r="P4177" t="s">
        <v>739</v>
      </c>
      <c r="Q4177" t="s">
        <v>521</v>
      </c>
      <c r="R4177" t="s">
        <v>3017</v>
      </c>
      <c r="S4177" t="s">
        <v>3052</v>
      </c>
      <c r="T4177" t="s">
        <v>2526</v>
      </c>
      <c r="U4177">
        <v>329100</v>
      </c>
      <c r="V4177" t="s">
        <v>13683</v>
      </c>
      <c r="W4177" t="s">
        <v>3031</v>
      </c>
      <c r="X4177" t="s">
        <v>13858</v>
      </c>
      <c r="Y4177" t="s">
        <v>5253</v>
      </c>
      <c r="AA4177" t="s">
        <v>5254</v>
      </c>
      <c r="AB4177" t="s">
        <v>13859</v>
      </c>
      <c r="AE4177">
        <v>-43.559770899999997</v>
      </c>
      <c r="AF4177">
        <v>172.6269546</v>
      </c>
      <c r="AG4177" s="175">
        <v>24</v>
      </c>
      <c r="AH4177" s="175">
        <v>20</v>
      </c>
      <c r="AI4177" s="175">
        <v>32</v>
      </c>
      <c r="AJ4177" s="175">
        <v>9</v>
      </c>
      <c r="AK4177" s="175">
        <v>15</v>
      </c>
      <c r="AL4177" s="175">
        <v>7</v>
      </c>
      <c r="AM4177" s="175">
        <v>5</v>
      </c>
      <c r="AN4177" s="175">
        <v>1</v>
      </c>
      <c r="AO4177" s="175">
        <v>69</v>
      </c>
      <c r="AP4177" s="175">
        <v>68</v>
      </c>
      <c r="AQ4177" s="175">
        <v>5</v>
      </c>
      <c r="AR4177" s="175">
        <v>0</v>
      </c>
      <c r="AS4177" s="175">
        <v>4</v>
      </c>
      <c r="AT4177" s="175">
        <v>0</v>
      </c>
    </row>
    <row r="4178" spans="1:46">
      <c r="A4178">
        <v>70121</v>
      </c>
      <c r="B4178" t="s">
        <v>22666</v>
      </c>
      <c r="C4178" t="s">
        <v>22667</v>
      </c>
      <c r="D4178" t="s">
        <v>22668</v>
      </c>
      <c r="E4178" t="s">
        <v>22669</v>
      </c>
      <c r="G4178" t="s">
        <v>22560</v>
      </c>
      <c r="H4178" t="s">
        <v>449</v>
      </c>
      <c r="J4178" t="s">
        <v>4032</v>
      </c>
      <c r="K4178" t="s">
        <v>606</v>
      </c>
      <c r="M4178" t="s">
        <v>2366</v>
      </c>
      <c r="N4178" t="s">
        <v>657</v>
      </c>
      <c r="O4178" t="s">
        <v>3291</v>
      </c>
      <c r="P4178" t="s">
        <v>626</v>
      </c>
      <c r="Q4178" t="s">
        <v>521</v>
      </c>
      <c r="R4178" t="s">
        <v>3017</v>
      </c>
      <c r="S4178" t="s">
        <v>3292</v>
      </c>
      <c r="T4178" t="s">
        <v>2526</v>
      </c>
      <c r="U4178">
        <v>337000</v>
      </c>
      <c r="V4178" t="s">
        <v>22561</v>
      </c>
      <c r="W4178" t="s">
        <v>2533</v>
      </c>
      <c r="X4178" t="s">
        <v>12195</v>
      </c>
      <c r="Y4178" t="s">
        <v>12193</v>
      </c>
      <c r="AA4178" t="s">
        <v>12196</v>
      </c>
      <c r="AB4178" t="s">
        <v>12197</v>
      </c>
      <c r="AE4178">
        <v>-44.001790159999999</v>
      </c>
      <c r="AF4178">
        <v>171.56736291999999</v>
      </c>
      <c r="AG4178" s="175">
        <v>35</v>
      </c>
      <c r="AH4178" s="175">
        <v>10</v>
      </c>
      <c r="AI4178" s="175">
        <v>1</v>
      </c>
      <c r="AJ4178" s="175">
        <v>12</v>
      </c>
      <c r="AK4178" s="175">
        <v>14</v>
      </c>
      <c r="AL4178" s="175">
        <v>15</v>
      </c>
      <c r="AM4178" s="175">
        <v>16</v>
      </c>
      <c r="AN4178" s="175">
        <v>1</v>
      </c>
      <c r="AO4178" s="175">
        <v>59</v>
      </c>
      <c r="AP4178" s="175">
        <v>50</v>
      </c>
      <c r="AQ4178" s="175">
        <v>7</v>
      </c>
      <c r="AR4178" s="175">
        <v>1</v>
      </c>
      <c r="AS4178" s="175">
        <v>7</v>
      </c>
      <c r="AT4178" s="175">
        <v>1</v>
      </c>
    </row>
    <row r="4179" spans="1:46">
      <c r="A4179">
        <v>70122</v>
      </c>
      <c r="B4179" t="s">
        <v>22670</v>
      </c>
      <c r="C4179" t="s">
        <v>13854</v>
      </c>
      <c r="E4179" t="s">
        <v>22671</v>
      </c>
      <c r="G4179" t="s">
        <v>22672</v>
      </c>
      <c r="H4179" t="s">
        <v>301</v>
      </c>
      <c r="J4179" t="s">
        <v>605</v>
      </c>
      <c r="K4179" t="s">
        <v>606</v>
      </c>
      <c r="M4179" t="s">
        <v>2366</v>
      </c>
      <c r="N4179" t="s">
        <v>657</v>
      </c>
      <c r="O4179" t="s">
        <v>3281</v>
      </c>
      <c r="P4179" t="s">
        <v>626</v>
      </c>
      <c r="Q4179" t="s">
        <v>521</v>
      </c>
      <c r="R4179" t="s">
        <v>3017</v>
      </c>
      <c r="S4179" t="s">
        <v>3252</v>
      </c>
      <c r="T4179" t="s">
        <v>2526</v>
      </c>
      <c r="U4179">
        <v>335400</v>
      </c>
      <c r="V4179" t="s">
        <v>22672</v>
      </c>
      <c r="W4179" t="s">
        <v>3283</v>
      </c>
      <c r="X4179" t="s">
        <v>13858</v>
      </c>
      <c r="Y4179" t="s">
        <v>5253</v>
      </c>
      <c r="AA4179" t="s">
        <v>5254</v>
      </c>
      <c r="AB4179" t="s">
        <v>13859</v>
      </c>
      <c r="AC4179">
        <v>99207</v>
      </c>
      <c r="AD4179" t="s">
        <v>21997</v>
      </c>
      <c r="AE4179">
        <v>-43.811516099999999</v>
      </c>
      <c r="AF4179">
        <v>172.25153710000001</v>
      </c>
      <c r="AG4179" s="175">
        <v>24</v>
      </c>
      <c r="AH4179" s="175">
        <v>10</v>
      </c>
      <c r="AI4179" s="175">
        <v>0</v>
      </c>
      <c r="AJ4179" s="175">
        <v>3</v>
      </c>
      <c r="AK4179" s="175">
        <v>4</v>
      </c>
      <c r="AL4179" s="175">
        <v>2</v>
      </c>
      <c r="AM4179" s="175">
        <v>1</v>
      </c>
      <c r="AN4179" s="175">
        <v>1</v>
      </c>
      <c r="AO4179" s="175">
        <v>11</v>
      </c>
      <c r="AP4179" s="175">
        <v>11</v>
      </c>
      <c r="AQ4179" s="175">
        <v>1</v>
      </c>
      <c r="AR4179" s="175">
        <v>0</v>
      </c>
      <c r="AS4179" s="175">
        <v>2</v>
      </c>
      <c r="AT4179" s="175">
        <v>1</v>
      </c>
    </row>
    <row r="4180" spans="1:46">
      <c r="A4180">
        <v>70123</v>
      </c>
      <c r="B4180" t="s">
        <v>22673</v>
      </c>
      <c r="C4180" t="s">
        <v>22674</v>
      </c>
      <c r="E4180" t="s">
        <v>22675</v>
      </c>
      <c r="G4180" t="s">
        <v>22676</v>
      </c>
      <c r="H4180" t="s">
        <v>449</v>
      </c>
      <c r="J4180" t="s">
        <v>4032</v>
      </c>
      <c r="K4180" t="s">
        <v>606</v>
      </c>
      <c r="M4180" t="s">
        <v>2366</v>
      </c>
      <c r="N4180" t="s">
        <v>657</v>
      </c>
      <c r="O4180" t="s">
        <v>3281</v>
      </c>
      <c r="P4180" t="s">
        <v>626</v>
      </c>
      <c r="Q4180" t="s">
        <v>521</v>
      </c>
      <c r="R4180" t="s">
        <v>3017</v>
      </c>
      <c r="S4180" t="s">
        <v>3252</v>
      </c>
      <c r="T4180" t="s">
        <v>2526</v>
      </c>
      <c r="U4180">
        <v>336301</v>
      </c>
      <c r="V4180" t="s">
        <v>22677</v>
      </c>
      <c r="W4180" t="s">
        <v>3735</v>
      </c>
      <c r="X4180" t="s">
        <v>22678</v>
      </c>
      <c r="Y4180" t="s">
        <v>4725</v>
      </c>
      <c r="Z4180" t="s">
        <v>1043</v>
      </c>
      <c r="AA4180" t="s">
        <v>4726</v>
      </c>
      <c r="AB4180" t="s">
        <v>22674</v>
      </c>
      <c r="AC4180">
        <v>99113</v>
      </c>
      <c r="AD4180" t="s">
        <v>3736</v>
      </c>
      <c r="AE4180">
        <v>-43.662152919999997</v>
      </c>
      <c r="AF4180">
        <v>172.55085081999999</v>
      </c>
      <c r="AG4180" s="175">
        <v>59</v>
      </c>
      <c r="AH4180" s="175">
        <v>14</v>
      </c>
      <c r="AI4180" s="175">
        <v>0</v>
      </c>
      <c r="AJ4180" s="175">
        <v>9</v>
      </c>
      <c r="AK4180" s="175">
        <v>11</v>
      </c>
      <c r="AL4180" s="175">
        <v>9</v>
      </c>
      <c r="AM4180" s="175">
        <v>15</v>
      </c>
      <c r="AN4180" s="175">
        <v>0</v>
      </c>
      <c r="AO4180" s="175">
        <v>44</v>
      </c>
      <c r="AP4180" s="175">
        <v>36</v>
      </c>
      <c r="AQ4180" s="175">
        <v>11</v>
      </c>
      <c r="AR4180" s="175">
        <v>3</v>
      </c>
      <c r="AS4180" s="175">
        <v>0</v>
      </c>
      <c r="AT4180" s="175">
        <v>0</v>
      </c>
    </row>
    <row r="4181" spans="1:46">
      <c r="A4181">
        <v>70124</v>
      </c>
      <c r="B4181" t="s">
        <v>22679</v>
      </c>
      <c r="C4181" t="s">
        <v>13854</v>
      </c>
      <c r="E4181" t="s">
        <v>22680</v>
      </c>
      <c r="F4181" t="s">
        <v>3238</v>
      </c>
      <c r="G4181" t="s">
        <v>3015</v>
      </c>
      <c r="H4181" t="s">
        <v>301</v>
      </c>
      <c r="J4181" t="s">
        <v>605</v>
      </c>
      <c r="K4181" t="s">
        <v>606</v>
      </c>
      <c r="M4181" t="s">
        <v>2366</v>
      </c>
      <c r="N4181" t="s">
        <v>657</v>
      </c>
      <c r="O4181" t="s">
        <v>3016</v>
      </c>
      <c r="P4181" t="s">
        <v>739</v>
      </c>
      <c r="Q4181" t="s">
        <v>521</v>
      </c>
      <c r="R4181" t="s">
        <v>3017</v>
      </c>
      <c r="S4181" t="s">
        <v>3046</v>
      </c>
      <c r="T4181" t="s">
        <v>2526</v>
      </c>
      <c r="U4181">
        <v>331700</v>
      </c>
      <c r="V4181" t="s">
        <v>3238</v>
      </c>
      <c r="W4181" t="s">
        <v>3047</v>
      </c>
      <c r="X4181" t="s">
        <v>13858</v>
      </c>
      <c r="Y4181" t="s">
        <v>5253</v>
      </c>
      <c r="AA4181" t="s">
        <v>5254</v>
      </c>
      <c r="AB4181" t="s">
        <v>13859</v>
      </c>
      <c r="AE4181">
        <v>-43.5276365</v>
      </c>
      <c r="AF4181">
        <v>172.73355910000001</v>
      </c>
      <c r="AG4181" s="175">
        <v>25</v>
      </c>
      <c r="AH4181" s="175">
        <v>15</v>
      </c>
      <c r="AI4181" s="175">
        <v>4</v>
      </c>
      <c r="AJ4181" s="175">
        <v>13</v>
      </c>
      <c r="AK4181" s="175">
        <v>11</v>
      </c>
      <c r="AL4181" s="175">
        <v>7</v>
      </c>
      <c r="AM4181" s="175">
        <v>4</v>
      </c>
      <c r="AN4181" s="175">
        <v>0</v>
      </c>
      <c r="AO4181" s="175">
        <v>39</v>
      </c>
      <c r="AP4181" s="175">
        <v>38</v>
      </c>
      <c r="AQ4181" s="175">
        <v>4</v>
      </c>
      <c r="AR4181" s="175">
        <v>4</v>
      </c>
      <c r="AS4181" s="175">
        <v>2</v>
      </c>
      <c r="AT4181" s="175">
        <v>5</v>
      </c>
    </row>
    <row r="4182" spans="1:46">
      <c r="A4182">
        <v>70126</v>
      </c>
      <c r="B4182" t="s">
        <v>22681</v>
      </c>
      <c r="C4182" t="s">
        <v>13854</v>
      </c>
      <c r="E4182" t="s">
        <v>22682</v>
      </c>
      <c r="G4182" t="s">
        <v>22683</v>
      </c>
      <c r="H4182" t="s">
        <v>301</v>
      </c>
      <c r="J4182" t="s">
        <v>605</v>
      </c>
      <c r="K4182" t="s">
        <v>606</v>
      </c>
      <c r="M4182" t="s">
        <v>2366</v>
      </c>
      <c r="N4182" t="s">
        <v>657</v>
      </c>
      <c r="O4182" t="s">
        <v>3291</v>
      </c>
      <c r="P4182" t="s">
        <v>626</v>
      </c>
      <c r="Q4182" t="s">
        <v>521</v>
      </c>
      <c r="R4182" t="s">
        <v>3017</v>
      </c>
      <c r="S4182" t="s">
        <v>3292</v>
      </c>
      <c r="T4182" t="s">
        <v>2526</v>
      </c>
      <c r="U4182">
        <v>336800</v>
      </c>
      <c r="V4182" t="s">
        <v>22595</v>
      </c>
      <c r="W4182" t="s">
        <v>2539</v>
      </c>
      <c r="X4182" t="s">
        <v>13858</v>
      </c>
      <c r="Y4182" t="s">
        <v>5253</v>
      </c>
      <c r="AA4182" t="s">
        <v>5254</v>
      </c>
      <c r="AB4182" t="s">
        <v>13859</v>
      </c>
      <c r="AE4182">
        <v>-43.7060666</v>
      </c>
      <c r="AF4182">
        <v>171.40356879999999</v>
      </c>
      <c r="AG4182" s="175">
        <v>20</v>
      </c>
      <c r="AH4182" s="175">
        <v>10</v>
      </c>
      <c r="AI4182" s="175">
        <v>1</v>
      </c>
      <c r="AJ4182" s="175">
        <v>2</v>
      </c>
      <c r="AK4182" s="175">
        <v>4</v>
      </c>
      <c r="AL4182" s="175">
        <v>0</v>
      </c>
      <c r="AM4182" s="175">
        <v>4</v>
      </c>
      <c r="AN4182" s="175">
        <v>0</v>
      </c>
      <c r="AO4182" s="175">
        <v>11</v>
      </c>
      <c r="AP4182" s="175">
        <v>9</v>
      </c>
      <c r="AQ4182" s="175">
        <v>0</v>
      </c>
      <c r="AR4182" s="175">
        <v>0</v>
      </c>
      <c r="AS4182" s="175">
        <v>2</v>
      </c>
      <c r="AT4182" s="175">
        <v>0</v>
      </c>
    </row>
    <row r="4183" spans="1:46">
      <c r="A4183">
        <v>70128</v>
      </c>
      <c r="B4183" t="s">
        <v>22684</v>
      </c>
      <c r="C4183" t="s">
        <v>13854</v>
      </c>
      <c r="E4183" t="s">
        <v>22685</v>
      </c>
      <c r="F4183" t="s">
        <v>3246</v>
      </c>
      <c r="G4183" t="s">
        <v>3015</v>
      </c>
      <c r="H4183" t="s">
        <v>301</v>
      </c>
      <c r="J4183" t="s">
        <v>605</v>
      </c>
      <c r="K4183" t="s">
        <v>606</v>
      </c>
      <c r="M4183" t="s">
        <v>2366</v>
      </c>
      <c r="N4183" t="s">
        <v>657</v>
      </c>
      <c r="O4183" t="s">
        <v>3016</v>
      </c>
      <c r="P4183" t="s">
        <v>739</v>
      </c>
      <c r="Q4183" t="s">
        <v>521</v>
      </c>
      <c r="R4183" t="s">
        <v>3017</v>
      </c>
      <c r="S4183" t="s">
        <v>3030</v>
      </c>
      <c r="T4183" t="s">
        <v>2526</v>
      </c>
      <c r="U4183">
        <v>321701</v>
      </c>
      <c r="V4183" t="s">
        <v>22686</v>
      </c>
      <c r="W4183" t="s">
        <v>3143</v>
      </c>
      <c r="X4183" t="s">
        <v>13858</v>
      </c>
      <c r="Y4183" t="s">
        <v>5253</v>
      </c>
      <c r="AA4183" t="s">
        <v>5254</v>
      </c>
      <c r="AB4183" t="s">
        <v>13859</v>
      </c>
      <c r="AE4183">
        <v>-43.492628529999998</v>
      </c>
      <c r="AF4183">
        <v>172.6360956</v>
      </c>
      <c r="AG4183" s="175">
        <v>25</v>
      </c>
      <c r="AH4183" s="175">
        <v>20</v>
      </c>
      <c r="AI4183" s="175">
        <v>5</v>
      </c>
      <c r="AJ4183" s="175">
        <v>17</v>
      </c>
      <c r="AK4183" s="175">
        <v>6</v>
      </c>
      <c r="AL4183" s="175">
        <v>1</v>
      </c>
      <c r="AM4183" s="175">
        <v>6</v>
      </c>
      <c r="AN4183" s="175">
        <v>0</v>
      </c>
      <c r="AO4183" s="175">
        <v>35</v>
      </c>
      <c r="AP4183" s="175">
        <v>34</v>
      </c>
      <c r="AQ4183" s="175">
        <v>4</v>
      </c>
      <c r="AR4183" s="175">
        <v>2</v>
      </c>
      <c r="AS4183" s="175">
        <v>2</v>
      </c>
      <c r="AT4183" s="175">
        <v>0</v>
      </c>
    </row>
    <row r="4184" spans="1:46">
      <c r="A4184">
        <v>70132</v>
      </c>
      <c r="B4184" t="s">
        <v>22687</v>
      </c>
      <c r="C4184" t="s">
        <v>13854</v>
      </c>
      <c r="E4184" t="s">
        <v>22688</v>
      </c>
      <c r="G4184" t="s">
        <v>22676</v>
      </c>
      <c r="H4184" t="s">
        <v>301</v>
      </c>
      <c r="J4184" t="s">
        <v>605</v>
      </c>
      <c r="K4184" t="s">
        <v>606</v>
      </c>
      <c r="M4184" t="s">
        <v>2366</v>
      </c>
      <c r="N4184" t="s">
        <v>4586</v>
      </c>
      <c r="O4184" t="s">
        <v>3281</v>
      </c>
      <c r="P4184" t="s">
        <v>658</v>
      </c>
      <c r="Q4184" t="s">
        <v>521</v>
      </c>
      <c r="R4184" t="s">
        <v>3017</v>
      </c>
      <c r="S4184" t="s">
        <v>3252</v>
      </c>
      <c r="T4184" t="s">
        <v>2526</v>
      </c>
      <c r="U4184">
        <v>336301</v>
      </c>
      <c r="V4184" t="s">
        <v>22677</v>
      </c>
      <c r="W4184" t="s">
        <v>3735</v>
      </c>
      <c r="X4184" t="s">
        <v>13858</v>
      </c>
      <c r="Y4184" t="s">
        <v>5253</v>
      </c>
      <c r="AA4184" t="s">
        <v>5254</v>
      </c>
      <c r="AB4184" t="s">
        <v>13859</v>
      </c>
      <c r="AC4184">
        <v>99113</v>
      </c>
      <c r="AD4184" t="s">
        <v>3736</v>
      </c>
      <c r="AE4184">
        <v>-43.659590199999997</v>
      </c>
      <c r="AF4184">
        <v>172.5532106</v>
      </c>
      <c r="AG4184" s="175">
        <v>30</v>
      </c>
      <c r="AH4184" s="175">
        <v>20</v>
      </c>
      <c r="AI4184" s="175">
        <v>4</v>
      </c>
      <c r="AJ4184" s="175">
        <v>5</v>
      </c>
      <c r="AK4184" s="175">
        <v>14</v>
      </c>
      <c r="AL4184" s="175">
        <v>12</v>
      </c>
      <c r="AM4184" s="175">
        <v>7</v>
      </c>
      <c r="AN4184" s="175">
        <v>1</v>
      </c>
      <c r="AO4184" s="175">
        <v>43</v>
      </c>
      <c r="AP4184" s="175">
        <v>39</v>
      </c>
      <c r="AQ4184" s="175">
        <v>0</v>
      </c>
      <c r="AR4184" s="175">
        <v>0</v>
      </c>
      <c r="AS4184" s="175">
        <v>2</v>
      </c>
      <c r="AT4184" s="175">
        <v>2</v>
      </c>
    </row>
    <row r="4185" spans="1:46">
      <c r="A4185">
        <v>70136</v>
      </c>
      <c r="B4185" t="s">
        <v>22689</v>
      </c>
      <c r="C4185" t="s">
        <v>13854</v>
      </c>
      <c r="E4185" t="s">
        <v>22690</v>
      </c>
      <c r="G4185" t="s">
        <v>22691</v>
      </c>
      <c r="H4185" t="s">
        <v>301</v>
      </c>
      <c r="J4185" t="s">
        <v>605</v>
      </c>
      <c r="K4185" t="s">
        <v>606</v>
      </c>
      <c r="M4185" t="s">
        <v>2366</v>
      </c>
      <c r="N4185" t="s">
        <v>657</v>
      </c>
      <c r="O4185" t="s">
        <v>13545</v>
      </c>
      <c r="P4185" t="s">
        <v>626</v>
      </c>
      <c r="Q4185" t="s">
        <v>521</v>
      </c>
      <c r="R4185" t="s">
        <v>3017</v>
      </c>
      <c r="S4185" t="s">
        <v>2902</v>
      </c>
      <c r="T4185" t="s">
        <v>2526</v>
      </c>
      <c r="U4185">
        <v>312200</v>
      </c>
      <c r="V4185" t="s">
        <v>22504</v>
      </c>
      <c r="W4185" t="s">
        <v>13857</v>
      </c>
      <c r="X4185" t="s">
        <v>13858</v>
      </c>
      <c r="Y4185" t="s">
        <v>5253</v>
      </c>
      <c r="AA4185" t="s">
        <v>5254</v>
      </c>
      <c r="AB4185" t="s">
        <v>13859</v>
      </c>
      <c r="AE4185">
        <v>-42.653554499999998</v>
      </c>
      <c r="AF4185">
        <v>173.043565</v>
      </c>
      <c r="AG4185" s="175">
        <v>29</v>
      </c>
      <c r="AH4185" s="175">
        <v>15</v>
      </c>
      <c r="AI4185" s="175">
        <v>2</v>
      </c>
      <c r="AJ4185" s="175">
        <v>3</v>
      </c>
      <c r="AK4185" s="175">
        <v>2</v>
      </c>
      <c r="AL4185" s="175">
        <v>6</v>
      </c>
      <c r="AM4185" s="175">
        <v>0</v>
      </c>
      <c r="AN4185" s="175">
        <v>0</v>
      </c>
      <c r="AO4185" s="175">
        <v>13</v>
      </c>
      <c r="AP4185" s="175">
        <v>13</v>
      </c>
      <c r="AQ4185" s="175">
        <v>1</v>
      </c>
      <c r="AR4185" s="175">
        <v>0</v>
      </c>
      <c r="AS4185" s="175">
        <v>0</v>
      </c>
      <c r="AT4185" s="175">
        <v>0</v>
      </c>
    </row>
    <row r="4186" spans="1:46">
      <c r="A4186">
        <v>70143</v>
      </c>
      <c r="B4186" t="s">
        <v>22692</v>
      </c>
      <c r="E4186" t="s">
        <v>22693</v>
      </c>
      <c r="F4186" t="s">
        <v>3246</v>
      </c>
      <c r="G4186" t="s">
        <v>3015</v>
      </c>
      <c r="H4186" t="s">
        <v>449</v>
      </c>
      <c r="J4186" t="s">
        <v>4032</v>
      </c>
      <c r="K4186" t="s">
        <v>606</v>
      </c>
      <c r="M4186" t="s">
        <v>2366</v>
      </c>
      <c r="N4186" t="s">
        <v>657</v>
      </c>
      <c r="O4186" t="s">
        <v>3016</v>
      </c>
      <c r="P4186" t="s">
        <v>739</v>
      </c>
      <c r="Q4186" t="s">
        <v>521</v>
      </c>
      <c r="R4186" t="s">
        <v>3017</v>
      </c>
      <c r="S4186" t="s">
        <v>3030</v>
      </c>
      <c r="T4186" t="s">
        <v>2526</v>
      </c>
      <c r="U4186">
        <v>325301</v>
      </c>
      <c r="V4186" t="s">
        <v>22694</v>
      </c>
      <c r="W4186" t="s">
        <v>3143</v>
      </c>
      <c r="X4186" t="s">
        <v>22695</v>
      </c>
      <c r="Y4186" t="s">
        <v>18306</v>
      </c>
      <c r="AA4186" t="s">
        <v>12388</v>
      </c>
      <c r="AE4186">
        <v>-43.508320980000001</v>
      </c>
      <c r="AF4186">
        <v>172.64817336999999</v>
      </c>
      <c r="AG4186" s="175">
        <v>18</v>
      </c>
      <c r="AH4186" s="175">
        <v>18</v>
      </c>
      <c r="AI4186" s="175">
        <v>4</v>
      </c>
      <c r="AJ4186" s="175">
        <v>10</v>
      </c>
      <c r="AK4186" s="175">
        <v>0</v>
      </c>
      <c r="AL4186" s="175">
        <v>0</v>
      </c>
      <c r="AM4186" s="175">
        <v>0</v>
      </c>
      <c r="AN4186" s="175">
        <v>0</v>
      </c>
      <c r="AO4186" s="175">
        <v>14</v>
      </c>
      <c r="AP4186" s="175">
        <v>12</v>
      </c>
      <c r="AQ4186" s="175">
        <v>2</v>
      </c>
      <c r="AR4186" s="175">
        <v>1</v>
      </c>
      <c r="AS4186" s="175">
        <v>2</v>
      </c>
      <c r="AT4186" s="175">
        <v>0</v>
      </c>
    </row>
    <row r="4187" spans="1:46">
      <c r="A4187">
        <v>70145</v>
      </c>
      <c r="B4187" t="s">
        <v>22696</v>
      </c>
      <c r="C4187" t="s">
        <v>22697</v>
      </c>
      <c r="D4187" t="s">
        <v>22698</v>
      </c>
      <c r="E4187" t="s">
        <v>22699</v>
      </c>
      <c r="F4187" t="s">
        <v>3188</v>
      </c>
      <c r="G4187" t="s">
        <v>3015</v>
      </c>
      <c r="H4187" t="s">
        <v>449</v>
      </c>
      <c r="J4187" t="s">
        <v>4032</v>
      </c>
      <c r="K4187" t="s">
        <v>606</v>
      </c>
      <c r="M4187" t="s">
        <v>2366</v>
      </c>
      <c r="N4187" t="s">
        <v>657</v>
      </c>
      <c r="O4187" t="s">
        <v>3016</v>
      </c>
      <c r="P4187" t="s">
        <v>739</v>
      </c>
      <c r="Q4187" t="s">
        <v>521</v>
      </c>
      <c r="R4187" t="s">
        <v>3017</v>
      </c>
      <c r="S4187" t="s">
        <v>3018</v>
      </c>
      <c r="T4187" t="s">
        <v>2526</v>
      </c>
      <c r="U4187">
        <v>321400</v>
      </c>
      <c r="V4187" t="s">
        <v>21833</v>
      </c>
      <c r="W4187" t="s">
        <v>3072</v>
      </c>
      <c r="X4187" t="s">
        <v>22700</v>
      </c>
      <c r="Y4187" t="s">
        <v>4725</v>
      </c>
      <c r="Z4187" t="s">
        <v>1043</v>
      </c>
      <c r="AA4187" t="s">
        <v>4726</v>
      </c>
      <c r="AB4187" t="s">
        <v>22701</v>
      </c>
      <c r="AC4187">
        <v>99027</v>
      </c>
      <c r="AD4187" t="s">
        <v>3073</v>
      </c>
      <c r="AE4187">
        <v>-43.505214080000002</v>
      </c>
      <c r="AF4187">
        <v>172.60109764000001</v>
      </c>
      <c r="AG4187" s="175">
        <v>75</v>
      </c>
      <c r="AH4187" s="175">
        <v>25</v>
      </c>
      <c r="AI4187" s="175">
        <v>2</v>
      </c>
      <c r="AJ4187" s="175">
        <v>15</v>
      </c>
      <c r="AK4187" s="175">
        <v>20</v>
      </c>
      <c r="AL4187" s="175">
        <v>18</v>
      </c>
      <c r="AM4187" s="175">
        <v>20</v>
      </c>
      <c r="AN4187" s="175">
        <v>0</v>
      </c>
      <c r="AO4187" s="175">
        <v>75</v>
      </c>
      <c r="AP4187" s="175">
        <v>55</v>
      </c>
      <c r="AQ4187" s="175">
        <v>9</v>
      </c>
      <c r="AR4187" s="175">
        <v>5</v>
      </c>
      <c r="AS4187" s="175">
        <v>18</v>
      </c>
      <c r="AT4187" s="175">
        <v>3</v>
      </c>
    </row>
    <row r="4188" spans="1:46">
      <c r="A4188">
        <v>70147</v>
      </c>
      <c r="B4188" t="s">
        <v>22702</v>
      </c>
      <c r="C4188" t="s">
        <v>22703</v>
      </c>
      <c r="D4188" t="s">
        <v>22704</v>
      </c>
      <c r="E4188" t="s">
        <v>22705</v>
      </c>
      <c r="F4188" t="s">
        <v>22706</v>
      </c>
      <c r="G4188" t="s">
        <v>3015</v>
      </c>
      <c r="H4188" t="s">
        <v>449</v>
      </c>
      <c r="J4188" t="s">
        <v>4032</v>
      </c>
      <c r="K4188" t="s">
        <v>606</v>
      </c>
      <c r="M4188" t="s">
        <v>2366</v>
      </c>
      <c r="N4188" t="s">
        <v>608</v>
      </c>
      <c r="O4188" t="s">
        <v>3016</v>
      </c>
      <c r="P4188" t="s">
        <v>739</v>
      </c>
      <c r="Q4188" t="s">
        <v>521</v>
      </c>
      <c r="R4188" t="s">
        <v>3017</v>
      </c>
      <c r="S4188" t="s">
        <v>3046</v>
      </c>
      <c r="T4188" t="s">
        <v>2526</v>
      </c>
      <c r="U4188">
        <v>329800</v>
      </c>
      <c r="V4188" t="s">
        <v>16055</v>
      </c>
      <c r="W4188" t="s">
        <v>3066</v>
      </c>
      <c r="X4188" t="s">
        <v>22707</v>
      </c>
      <c r="Y4188" t="s">
        <v>22705</v>
      </c>
      <c r="Z4188" t="s">
        <v>3198</v>
      </c>
      <c r="AA4188" t="s">
        <v>16058</v>
      </c>
      <c r="AB4188" t="s">
        <v>22708</v>
      </c>
      <c r="AE4188">
        <v>-43.518098969999997</v>
      </c>
      <c r="AF4188">
        <v>172.70313553</v>
      </c>
      <c r="AG4188" s="175">
        <v>35</v>
      </c>
      <c r="AH4188" s="175">
        <v>5</v>
      </c>
      <c r="AI4188" s="175">
        <v>0</v>
      </c>
      <c r="AJ4188" s="175">
        <v>3</v>
      </c>
      <c r="AK4188" s="175">
        <v>9</v>
      </c>
      <c r="AL4188" s="175">
        <v>9</v>
      </c>
      <c r="AM4188" s="175">
        <v>12</v>
      </c>
      <c r="AN4188" s="175">
        <v>0</v>
      </c>
      <c r="AO4188" s="175">
        <v>33</v>
      </c>
      <c r="AP4188" s="175">
        <v>20</v>
      </c>
      <c r="AQ4188" s="175">
        <v>21</v>
      </c>
      <c r="AR4188" s="175">
        <v>8</v>
      </c>
      <c r="AS4188" s="175">
        <v>4</v>
      </c>
      <c r="AT4188" s="175">
        <v>0</v>
      </c>
    </row>
    <row r="4189" spans="1:46">
      <c r="A4189">
        <v>70148</v>
      </c>
      <c r="B4189" t="s">
        <v>22709</v>
      </c>
      <c r="C4189" t="s">
        <v>13854</v>
      </c>
      <c r="E4189" t="s">
        <v>22710</v>
      </c>
      <c r="G4189" t="s">
        <v>12668</v>
      </c>
      <c r="H4189" t="s">
        <v>301</v>
      </c>
      <c r="J4189" t="s">
        <v>605</v>
      </c>
      <c r="K4189" t="s">
        <v>606</v>
      </c>
      <c r="M4189" t="s">
        <v>2366</v>
      </c>
      <c r="N4189" t="s">
        <v>657</v>
      </c>
      <c r="O4189" t="s">
        <v>3281</v>
      </c>
      <c r="P4189" t="s">
        <v>610</v>
      </c>
      <c r="Q4189" t="s">
        <v>521</v>
      </c>
      <c r="R4189" t="s">
        <v>3017</v>
      </c>
      <c r="S4189" t="s">
        <v>3252</v>
      </c>
      <c r="T4189" t="s">
        <v>2526</v>
      </c>
      <c r="U4189">
        <v>334601</v>
      </c>
      <c r="V4189" t="s">
        <v>12668</v>
      </c>
      <c r="W4189" t="s">
        <v>12669</v>
      </c>
      <c r="X4189" t="s">
        <v>13858</v>
      </c>
      <c r="Y4189" t="s">
        <v>5253</v>
      </c>
      <c r="AA4189" t="s">
        <v>5254</v>
      </c>
      <c r="AB4189" t="s">
        <v>13859</v>
      </c>
      <c r="AC4189">
        <v>99206</v>
      </c>
      <c r="AD4189" t="s">
        <v>3284</v>
      </c>
      <c r="AE4189">
        <v>-43.524258000000003</v>
      </c>
      <c r="AF4189">
        <v>172.36641299999999</v>
      </c>
      <c r="AG4189" s="175">
        <v>25</v>
      </c>
      <c r="AH4189" s="175">
        <v>20</v>
      </c>
      <c r="AI4189" s="175">
        <v>12</v>
      </c>
      <c r="AJ4189" s="175">
        <v>1</v>
      </c>
      <c r="AK4189" s="175">
        <v>5</v>
      </c>
      <c r="AL4189" s="175">
        <v>4</v>
      </c>
      <c r="AM4189" s="175">
        <v>4</v>
      </c>
      <c r="AN4189" s="175">
        <v>0</v>
      </c>
      <c r="AO4189" s="175">
        <v>26</v>
      </c>
      <c r="AP4189" s="175">
        <v>24</v>
      </c>
      <c r="AQ4189" s="175">
        <v>6</v>
      </c>
      <c r="AR4189" s="175">
        <v>0</v>
      </c>
      <c r="AS4189" s="175">
        <v>3</v>
      </c>
      <c r="AT4189" s="175">
        <v>1</v>
      </c>
    </row>
    <row r="4190" spans="1:46">
      <c r="A4190">
        <v>70149</v>
      </c>
      <c r="B4190" t="s">
        <v>22711</v>
      </c>
      <c r="C4190" t="s">
        <v>22712</v>
      </c>
      <c r="D4190" t="s">
        <v>22713</v>
      </c>
      <c r="E4190" t="s">
        <v>22714</v>
      </c>
      <c r="F4190" t="s">
        <v>10875</v>
      </c>
      <c r="G4190" t="s">
        <v>3015</v>
      </c>
      <c r="H4190" t="s">
        <v>449</v>
      </c>
      <c r="J4190" t="s">
        <v>4032</v>
      </c>
      <c r="K4190" t="s">
        <v>606</v>
      </c>
      <c r="M4190" t="s">
        <v>2366</v>
      </c>
      <c r="N4190" t="s">
        <v>4586</v>
      </c>
      <c r="O4190" t="s">
        <v>3016</v>
      </c>
      <c r="P4190" t="s">
        <v>739</v>
      </c>
      <c r="Q4190" t="s">
        <v>521</v>
      </c>
      <c r="R4190" t="s">
        <v>3017</v>
      </c>
      <c r="S4190" t="s">
        <v>3052</v>
      </c>
      <c r="T4190" t="s">
        <v>2526</v>
      </c>
      <c r="U4190">
        <v>330800</v>
      </c>
      <c r="V4190" t="s">
        <v>10875</v>
      </c>
      <c r="W4190" t="s">
        <v>3031</v>
      </c>
      <c r="X4190" t="s">
        <v>14338</v>
      </c>
      <c r="Y4190" t="s">
        <v>14339</v>
      </c>
      <c r="AA4190" t="s">
        <v>14340</v>
      </c>
      <c r="AB4190" t="s">
        <v>14341</v>
      </c>
      <c r="AC4190">
        <v>99177</v>
      </c>
      <c r="AD4190" t="s">
        <v>3032</v>
      </c>
      <c r="AE4190">
        <v>-43.556406199999998</v>
      </c>
      <c r="AF4190">
        <v>172.6491221</v>
      </c>
      <c r="AG4190" s="175">
        <v>54</v>
      </c>
      <c r="AH4190" s="175">
        <v>16</v>
      </c>
      <c r="AI4190" s="175">
        <v>0</v>
      </c>
      <c r="AJ4190" s="175">
        <v>15</v>
      </c>
      <c r="AK4190" s="175">
        <v>17</v>
      </c>
      <c r="AL4190" s="175">
        <v>13</v>
      </c>
      <c r="AM4190" s="175">
        <v>17</v>
      </c>
      <c r="AN4190" s="175">
        <v>2</v>
      </c>
      <c r="AO4190" s="175">
        <v>64</v>
      </c>
      <c r="AP4190" s="175">
        <v>60</v>
      </c>
      <c r="AQ4190" s="175">
        <v>11</v>
      </c>
      <c r="AR4190" s="175">
        <v>1</v>
      </c>
      <c r="AS4190" s="175">
        <v>2</v>
      </c>
      <c r="AT4190" s="175">
        <v>0</v>
      </c>
    </row>
    <row r="4191" spans="1:46">
      <c r="A4191">
        <v>70150</v>
      </c>
      <c r="B4191" t="s">
        <v>22715</v>
      </c>
      <c r="C4191" t="s">
        <v>13854</v>
      </c>
      <c r="E4191" t="s">
        <v>22716</v>
      </c>
      <c r="G4191" t="s">
        <v>12902</v>
      </c>
      <c r="H4191" t="s">
        <v>301</v>
      </c>
      <c r="J4191" t="s">
        <v>605</v>
      </c>
      <c r="K4191" t="s">
        <v>606</v>
      </c>
      <c r="M4191" t="s">
        <v>2366</v>
      </c>
      <c r="N4191" t="s">
        <v>657</v>
      </c>
      <c r="O4191" t="s">
        <v>3037</v>
      </c>
      <c r="P4191" t="s">
        <v>610</v>
      </c>
      <c r="Q4191" t="s">
        <v>521</v>
      </c>
      <c r="R4191" t="s">
        <v>3017</v>
      </c>
      <c r="S4191" t="s">
        <v>3038</v>
      </c>
      <c r="T4191" t="s">
        <v>2526</v>
      </c>
      <c r="U4191">
        <v>315301</v>
      </c>
      <c r="V4191" t="s">
        <v>12902</v>
      </c>
      <c r="W4191" t="s">
        <v>3262</v>
      </c>
      <c r="X4191" t="s">
        <v>13858</v>
      </c>
      <c r="Y4191" t="s">
        <v>5253</v>
      </c>
      <c r="AA4191" t="s">
        <v>5254</v>
      </c>
      <c r="AB4191" t="s">
        <v>13859</v>
      </c>
      <c r="AE4191">
        <v>-43.323909800000003</v>
      </c>
      <c r="AF4191">
        <v>172.66474450000001</v>
      </c>
      <c r="AG4191" s="175">
        <v>25</v>
      </c>
      <c r="AH4191" s="175">
        <v>20</v>
      </c>
      <c r="AI4191" s="175">
        <v>7</v>
      </c>
      <c r="AJ4191" s="175">
        <v>9</v>
      </c>
      <c r="AK4191" s="175">
        <v>4</v>
      </c>
      <c r="AL4191" s="175">
        <v>3</v>
      </c>
      <c r="AM4191" s="175">
        <v>6</v>
      </c>
      <c r="AN4191" s="175">
        <v>0</v>
      </c>
      <c r="AO4191" s="175">
        <v>29</v>
      </c>
      <c r="AP4191" s="175">
        <v>26</v>
      </c>
      <c r="AQ4191" s="175">
        <v>0</v>
      </c>
      <c r="AR4191" s="175">
        <v>0</v>
      </c>
      <c r="AS4191" s="175">
        <v>2</v>
      </c>
      <c r="AT4191" s="175">
        <v>1</v>
      </c>
    </row>
    <row r="4192" spans="1:46">
      <c r="A4192">
        <v>70151</v>
      </c>
      <c r="B4192" t="s">
        <v>22717</v>
      </c>
      <c r="C4192" t="s">
        <v>22718</v>
      </c>
      <c r="D4192" t="s">
        <v>22719</v>
      </c>
      <c r="E4192" t="s">
        <v>22720</v>
      </c>
      <c r="F4192" t="s">
        <v>11012</v>
      </c>
      <c r="G4192" t="s">
        <v>3015</v>
      </c>
      <c r="H4192" t="s">
        <v>449</v>
      </c>
      <c r="J4192" t="s">
        <v>4032</v>
      </c>
      <c r="K4192" t="s">
        <v>606</v>
      </c>
      <c r="M4192" t="s">
        <v>2366</v>
      </c>
      <c r="N4192" t="s">
        <v>657</v>
      </c>
      <c r="O4192" t="s">
        <v>3016</v>
      </c>
      <c r="P4192" t="s">
        <v>739</v>
      </c>
      <c r="Q4192" t="s">
        <v>521</v>
      </c>
      <c r="R4192" t="s">
        <v>3017</v>
      </c>
      <c r="S4192" t="s">
        <v>3052</v>
      </c>
      <c r="T4192" t="s">
        <v>2526</v>
      </c>
      <c r="U4192">
        <v>329200</v>
      </c>
      <c r="V4192" t="s">
        <v>22591</v>
      </c>
      <c r="W4192" t="s">
        <v>3031</v>
      </c>
      <c r="X4192" t="s">
        <v>22721</v>
      </c>
      <c r="Y4192" t="s">
        <v>22720</v>
      </c>
      <c r="Z4192" t="s">
        <v>11012</v>
      </c>
      <c r="AA4192" t="s">
        <v>12388</v>
      </c>
      <c r="AB4192" t="s">
        <v>22722</v>
      </c>
      <c r="AC4192">
        <v>99177</v>
      </c>
      <c r="AD4192" t="s">
        <v>3032</v>
      </c>
      <c r="AE4192">
        <v>-43.563666580000003</v>
      </c>
      <c r="AF4192">
        <v>172.62481438</v>
      </c>
      <c r="AG4192" s="175">
        <v>35</v>
      </c>
      <c r="AH4192" s="175">
        <v>0</v>
      </c>
      <c r="AI4192" s="175">
        <v>0</v>
      </c>
      <c r="AJ4192" s="175">
        <v>0</v>
      </c>
      <c r="AK4192" s="175">
        <v>9</v>
      </c>
      <c r="AL4192" s="175">
        <v>20</v>
      </c>
      <c r="AM4192" s="175">
        <v>25</v>
      </c>
      <c r="AN4192" s="175">
        <v>2</v>
      </c>
      <c r="AO4192" s="175">
        <v>56</v>
      </c>
      <c r="AP4192" s="175">
        <v>49</v>
      </c>
      <c r="AQ4192" s="175">
        <v>6</v>
      </c>
      <c r="AR4192" s="175">
        <v>1</v>
      </c>
      <c r="AS4192" s="175">
        <v>4</v>
      </c>
      <c r="AT4192" s="175">
        <v>6</v>
      </c>
    </row>
    <row r="4193" spans="1:46">
      <c r="A4193">
        <v>70152</v>
      </c>
      <c r="B4193" t="s">
        <v>22723</v>
      </c>
      <c r="C4193" t="s">
        <v>13854</v>
      </c>
      <c r="E4193" t="s">
        <v>22724</v>
      </c>
      <c r="F4193" t="s">
        <v>3064</v>
      </c>
      <c r="G4193" t="s">
        <v>3015</v>
      </c>
      <c r="H4193" t="s">
        <v>301</v>
      </c>
      <c r="J4193" t="s">
        <v>605</v>
      </c>
      <c r="K4193" t="s">
        <v>606</v>
      </c>
      <c r="M4193" t="s">
        <v>2366</v>
      </c>
      <c r="N4193" t="s">
        <v>657</v>
      </c>
      <c r="O4193" t="s">
        <v>3016</v>
      </c>
      <c r="P4193" t="s">
        <v>739</v>
      </c>
      <c r="Q4193" t="s">
        <v>521</v>
      </c>
      <c r="R4193" t="s">
        <v>3017</v>
      </c>
      <c r="S4193" t="s">
        <v>3052</v>
      </c>
      <c r="T4193" t="s">
        <v>2526</v>
      </c>
      <c r="U4193">
        <v>331100</v>
      </c>
      <c r="V4193" t="s">
        <v>21716</v>
      </c>
      <c r="W4193" t="s">
        <v>3066</v>
      </c>
      <c r="X4193" t="s">
        <v>13858</v>
      </c>
      <c r="Y4193" t="s">
        <v>5253</v>
      </c>
      <c r="AA4193" t="s">
        <v>5254</v>
      </c>
      <c r="AB4193" t="s">
        <v>13859</v>
      </c>
      <c r="AC4193">
        <v>99063</v>
      </c>
      <c r="AD4193" t="s">
        <v>3067</v>
      </c>
      <c r="AE4193">
        <v>-43.546657170000003</v>
      </c>
      <c r="AF4193">
        <v>172.68345027000001</v>
      </c>
      <c r="AG4193" s="175">
        <v>25</v>
      </c>
      <c r="AH4193" s="175">
        <v>20</v>
      </c>
      <c r="AI4193" s="175">
        <v>16</v>
      </c>
      <c r="AJ4193" s="175">
        <v>8</v>
      </c>
      <c r="AK4193" s="175">
        <v>13</v>
      </c>
      <c r="AL4193" s="175">
        <v>6</v>
      </c>
      <c r="AM4193" s="175">
        <v>5</v>
      </c>
      <c r="AN4193" s="175">
        <v>1</v>
      </c>
      <c r="AO4193" s="175">
        <v>49</v>
      </c>
      <c r="AP4193" s="175">
        <v>45</v>
      </c>
      <c r="AQ4193" s="175">
        <v>6</v>
      </c>
      <c r="AR4193" s="175">
        <v>3</v>
      </c>
      <c r="AS4193" s="175">
        <v>1</v>
      </c>
      <c r="AT4193" s="175">
        <v>1</v>
      </c>
    </row>
    <row r="4194" spans="1:46">
      <c r="A4194">
        <v>70156</v>
      </c>
      <c r="B4194" t="s">
        <v>22725</v>
      </c>
      <c r="C4194" t="s">
        <v>22726</v>
      </c>
      <c r="D4194" t="s">
        <v>22727</v>
      </c>
      <c r="E4194" t="s">
        <v>22728</v>
      </c>
      <c r="G4194" t="s">
        <v>22503</v>
      </c>
      <c r="H4194" t="s">
        <v>449</v>
      </c>
      <c r="J4194" t="s">
        <v>4032</v>
      </c>
      <c r="K4194" t="s">
        <v>606</v>
      </c>
      <c r="M4194" t="s">
        <v>2366</v>
      </c>
      <c r="N4194" t="s">
        <v>657</v>
      </c>
      <c r="O4194" t="s">
        <v>13545</v>
      </c>
      <c r="P4194" t="s">
        <v>626</v>
      </c>
      <c r="Q4194" t="s">
        <v>521</v>
      </c>
      <c r="R4194" t="s">
        <v>3017</v>
      </c>
      <c r="S4194" t="s">
        <v>2902</v>
      </c>
      <c r="T4194" t="s">
        <v>2526</v>
      </c>
      <c r="U4194">
        <v>312200</v>
      </c>
      <c r="V4194" t="s">
        <v>22504</v>
      </c>
      <c r="W4194" t="s">
        <v>13857</v>
      </c>
      <c r="X4194" t="s">
        <v>22729</v>
      </c>
      <c r="Y4194" t="s">
        <v>22730</v>
      </c>
      <c r="AA4194" t="s">
        <v>22731</v>
      </c>
      <c r="AB4194" t="s">
        <v>22732</v>
      </c>
      <c r="AE4194">
        <v>-42.775229379999999</v>
      </c>
      <c r="AF4194">
        <v>172.84810732</v>
      </c>
      <c r="AG4194" s="175">
        <v>55</v>
      </c>
      <c r="AH4194" s="175">
        <v>10</v>
      </c>
      <c r="AI4194" s="175">
        <v>1</v>
      </c>
      <c r="AJ4194" s="175">
        <v>5</v>
      </c>
      <c r="AK4194" s="175">
        <v>17</v>
      </c>
      <c r="AL4194" s="175">
        <v>14</v>
      </c>
      <c r="AM4194" s="175">
        <v>22</v>
      </c>
      <c r="AN4194" s="175">
        <v>0</v>
      </c>
      <c r="AO4194" s="175">
        <v>59</v>
      </c>
      <c r="AP4194" s="175">
        <v>48</v>
      </c>
      <c r="AQ4194" s="175">
        <v>8</v>
      </c>
      <c r="AR4194" s="175">
        <v>1</v>
      </c>
      <c r="AS4194" s="175">
        <v>7</v>
      </c>
      <c r="AT4194" s="175">
        <v>3</v>
      </c>
    </row>
    <row r="4195" spans="1:46">
      <c r="A4195">
        <v>70158</v>
      </c>
      <c r="B4195" t="s">
        <v>22733</v>
      </c>
      <c r="C4195" t="s">
        <v>22734</v>
      </c>
      <c r="D4195" t="s">
        <v>22735</v>
      </c>
      <c r="E4195" t="s">
        <v>22736</v>
      </c>
      <c r="G4195" t="s">
        <v>10974</v>
      </c>
      <c r="H4195" t="s">
        <v>449</v>
      </c>
      <c r="J4195" t="s">
        <v>605</v>
      </c>
      <c r="K4195" t="s">
        <v>606</v>
      </c>
      <c r="M4195" t="s">
        <v>2366</v>
      </c>
      <c r="N4195" t="s">
        <v>657</v>
      </c>
      <c r="O4195" t="s">
        <v>3281</v>
      </c>
      <c r="P4195" t="s">
        <v>1347</v>
      </c>
      <c r="Q4195" t="s">
        <v>521</v>
      </c>
      <c r="R4195" t="s">
        <v>3017</v>
      </c>
      <c r="S4195" t="s">
        <v>3252</v>
      </c>
      <c r="T4195" t="s">
        <v>2526</v>
      </c>
      <c r="U4195">
        <v>335201</v>
      </c>
      <c r="V4195" t="s">
        <v>10976</v>
      </c>
      <c r="W4195" t="s">
        <v>10977</v>
      </c>
      <c r="X4195" t="s">
        <v>10864</v>
      </c>
      <c r="Y4195" t="s">
        <v>4014</v>
      </c>
      <c r="Z4195" t="s">
        <v>4015</v>
      </c>
      <c r="AA4195" t="s">
        <v>4016</v>
      </c>
      <c r="AC4195">
        <v>99206</v>
      </c>
      <c r="AD4195" t="s">
        <v>3284</v>
      </c>
      <c r="AE4195">
        <v>-43.595764950000003</v>
      </c>
      <c r="AF4195">
        <v>172.39440690000001</v>
      </c>
      <c r="AG4195" s="175">
        <v>70</v>
      </c>
      <c r="AH4195" s="175">
        <v>20</v>
      </c>
      <c r="AI4195" s="175">
        <v>3</v>
      </c>
      <c r="AJ4195" s="175">
        <v>15</v>
      </c>
      <c r="AK4195" s="175">
        <v>19</v>
      </c>
      <c r="AL4195" s="175">
        <v>23</v>
      </c>
      <c r="AM4195" s="175">
        <v>25</v>
      </c>
      <c r="AN4195" s="175">
        <v>1</v>
      </c>
      <c r="AO4195" s="175">
        <v>86</v>
      </c>
      <c r="AP4195" s="175">
        <v>62</v>
      </c>
      <c r="AQ4195" s="175">
        <v>10</v>
      </c>
      <c r="AR4195" s="175">
        <v>3</v>
      </c>
      <c r="AS4195" s="175">
        <v>16</v>
      </c>
      <c r="AT4195" s="175">
        <v>15</v>
      </c>
    </row>
    <row r="4196" spans="1:46">
      <c r="A4196">
        <v>70163</v>
      </c>
      <c r="B4196" t="s">
        <v>22737</v>
      </c>
      <c r="C4196" t="s">
        <v>22738</v>
      </c>
      <c r="D4196" t="s">
        <v>22739</v>
      </c>
      <c r="E4196" t="s">
        <v>22740</v>
      </c>
      <c r="F4196" t="s">
        <v>3014</v>
      </c>
      <c r="G4196" t="s">
        <v>3015</v>
      </c>
      <c r="H4196" t="s">
        <v>449</v>
      </c>
      <c r="J4196" t="s">
        <v>4032</v>
      </c>
      <c r="K4196" t="s">
        <v>606</v>
      </c>
      <c r="M4196" t="s">
        <v>2366</v>
      </c>
      <c r="N4196" t="s">
        <v>657</v>
      </c>
      <c r="O4196" t="s">
        <v>3016</v>
      </c>
      <c r="P4196" t="s">
        <v>739</v>
      </c>
      <c r="Q4196" t="s">
        <v>521</v>
      </c>
      <c r="R4196" t="s">
        <v>3017</v>
      </c>
      <c r="S4196" t="s">
        <v>3018</v>
      </c>
      <c r="T4196" t="s">
        <v>2526</v>
      </c>
      <c r="U4196">
        <v>319700</v>
      </c>
      <c r="V4196" t="s">
        <v>3019</v>
      </c>
      <c r="W4196" t="s">
        <v>3020</v>
      </c>
      <c r="X4196" t="s">
        <v>12140</v>
      </c>
      <c r="Y4196" t="s">
        <v>4166</v>
      </c>
      <c r="Z4196" t="s">
        <v>4167</v>
      </c>
      <c r="AA4196" t="s">
        <v>4168</v>
      </c>
      <c r="AB4196" t="s">
        <v>10870</v>
      </c>
      <c r="AC4196">
        <v>99176</v>
      </c>
      <c r="AD4196" t="s">
        <v>3150</v>
      </c>
      <c r="AE4196">
        <v>-43.527209679999999</v>
      </c>
      <c r="AF4196">
        <v>172.55776854000001</v>
      </c>
      <c r="AG4196" s="175">
        <v>100</v>
      </c>
      <c r="AH4196" s="175">
        <v>25</v>
      </c>
      <c r="AI4196" s="175">
        <v>6</v>
      </c>
      <c r="AJ4196" s="175">
        <v>9</v>
      </c>
      <c r="AK4196" s="175">
        <v>20</v>
      </c>
      <c r="AL4196" s="175">
        <v>26</v>
      </c>
      <c r="AM4196" s="175">
        <v>29</v>
      </c>
      <c r="AN4196" s="175">
        <v>1</v>
      </c>
      <c r="AO4196" s="175">
        <v>91</v>
      </c>
      <c r="AP4196" s="175">
        <v>31</v>
      </c>
      <c r="AQ4196" s="175">
        <v>8</v>
      </c>
      <c r="AR4196" s="175">
        <v>8</v>
      </c>
      <c r="AS4196" s="175">
        <v>61</v>
      </c>
      <c r="AT4196" s="175">
        <v>2</v>
      </c>
    </row>
    <row r="4197" spans="1:46">
      <c r="A4197">
        <v>70164</v>
      </c>
      <c r="B4197" t="s">
        <v>22741</v>
      </c>
      <c r="C4197" t="s">
        <v>22742</v>
      </c>
      <c r="D4197" t="s">
        <v>22743</v>
      </c>
      <c r="E4197" t="s">
        <v>22744</v>
      </c>
      <c r="F4197" t="s">
        <v>3303</v>
      </c>
      <c r="G4197" t="s">
        <v>3290</v>
      </c>
      <c r="H4197" t="s">
        <v>449</v>
      </c>
      <c r="J4197" t="s">
        <v>4032</v>
      </c>
      <c r="K4197" t="s">
        <v>606</v>
      </c>
      <c r="M4197" t="s">
        <v>2366</v>
      </c>
      <c r="N4197" t="s">
        <v>4586</v>
      </c>
      <c r="O4197" t="s">
        <v>3291</v>
      </c>
      <c r="P4197" t="s">
        <v>1347</v>
      </c>
      <c r="Q4197" t="s">
        <v>521</v>
      </c>
      <c r="R4197" t="s">
        <v>3017</v>
      </c>
      <c r="S4197" t="s">
        <v>3292</v>
      </c>
      <c r="T4197" t="s">
        <v>2526</v>
      </c>
      <c r="U4197">
        <v>337900</v>
      </c>
      <c r="V4197" t="s">
        <v>22745</v>
      </c>
      <c r="W4197" t="s">
        <v>3294</v>
      </c>
      <c r="X4197" t="s">
        <v>22746</v>
      </c>
      <c r="Y4197" t="s">
        <v>22744</v>
      </c>
      <c r="Z4197" t="s">
        <v>3303</v>
      </c>
      <c r="AA4197" t="s">
        <v>3297</v>
      </c>
      <c r="AB4197" t="s">
        <v>22747</v>
      </c>
      <c r="AC4197">
        <v>99043</v>
      </c>
      <c r="AD4197" t="s">
        <v>3299</v>
      </c>
      <c r="AE4197">
        <v>-43.914564630000001</v>
      </c>
      <c r="AF4197">
        <v>171.72362304000001</v>
      </c>
      <c r="AG4197" s="175">
        <v>50</v>
      </c>
      <c r="AH4197" s="175">
        <v>14</v>
      </c>
      <c r="AI4197" s="175">
        <v>3</v>
      </c>
      <c r="AJ4197" s="175">
        <v>8</v>
      </c>
      <c r="AK4197" s="175">
        <v>16</v>
      </c>
      <c r="AL4197" s="175">
        <v>18</v>
      </c>
      <c r="AM4197" s="175">
        <v>17</v>
      </c>
      <c r="AN4197" s="175">
        <v>0</v>
      </c>
      <c r="AO4197" s="175">
        <v>62</v>
      </c>
      <c r="AP4197" s="175">
        <v>57</v>
      </c>
      <c r="AQ4197" s="175">
        <v>2</v>
      </c>
      <c r="AR4197" s="175">
        <v>0</v>
      </c>
      <c r="AS4197" s="175">
        <v>3</v>
      </c>
      <c r="AT4197" s="175">
        <v>2</v>
      </c>
    </row>
    <row r="4198" spans="1:46">
      <c r="A4198">
        <v>70166</v>
      </c>
      <c r="B4198" t="s">
        <v>22748</v>
      </c>
      <c r="C4198" t="s">
        <v>22749</v>
      </c>
      <c r="D4198" t="s">
        <v>22750</v>
      </c>
      <c r="E4198" t="s">
        <v>22751</v>
      </c>
      <c r="G4198" t="s">
        <v>3036</v>
      </c>
      <c r="H4198" t="s">
        <v>449</v>
      </c>
      <c r="J4198" t="s">
        <v>4032</v>
      </c>
      <c r="K4198" t="s">
        <v>606</v>
      </c>
      <c r="M4198" t="s">
        <v>2366</v>
      </c>
      <c r="N4198" t="s">
        <v>657</v>
      </c>
      <c r="O4198" t="s">
        <v>3037</v>
      </c>
      <c r="P4198" t="s">
        <v>658</v>
      </c>
      <c r="Q4198" t="s">
        <v>521</v>
      </c>
      <c r="R4198" t="s">
        <v>3017</v>
      </c>
      <c r="S4198" t="s">
        <v>3038</v>
      </c>
      <c r="T4198" t="s">
        <v>2526</v>
      </c>
      <c r="U4198">
        <v>313801</v>
      </c>
      <c r="V4198" t="s">
        <v>22752</v>
      </c>
      <c r="W4198" t="s">
        <v>3040</v>
      </c>
      <c r="X4198" t="s">
        <v>22753</v>
      </c>
      <c r="Y4198" t="s">
        <v>22754</v>
      </c>
      <c r="Z4198" t="s">
        <v>3036</v>
      </c>
      <c r="AA4198" t="s">
        <v>22755</v>
      </c>
      <c r="AB4198" t="s">
        <v>22756</v>
      </c>
      <c r="AC4198">
        <v>99077</v>
      </c>
      <c r="AD4198" t="s">
        <v>3041</v>
      </c>
      <c r="AE4198">
        <v>-43.321294709999997</v>
      </c>
      <c r="AF4198">
        <v>172.53565649999999</v>
      </c>
      <c r="AG4198" s="175">
        <v>62</v>
      </c>
      <c r="AH4198" s="175">
        <v>11</v>
      </c>
      <c r="AI4198" s="175">
        <v>1</v>
      </c>
      <c r="AJ4198" s="175">
        <v>15</v>
      </c>
      <c r="AK4198" s="175">
        <v>19</v>
      </c>
      <c r="AL4198" s="175">
        <v>20</v>
      </c>
      <c r="AM4198" s="175">
        <v>23</v>
      </c>
      <c r="AN4198" s="175">
        <v>1</v>
      </c>
      <c r="AO4198" s="175">
        <v>79</v>
      </c>
      <c r="AP4198" s="175">
        <v>76</v>
      </c>
      <c r="AQ4198" s="175">
        <v>6</v>
      </c>
      <c r="AR4198" s="175">
        <v>2</v>
      </c>
      <c r="AS4198" s="175">
        <v>2</v>
      </c>
      <c r="AT4198" s="175">
        <v>1</v>
      </c>
    </row>
    <row r="4199" spans="1:46">
      <c r="A4199">
        <v>70167</v>
      </c>
      <c r="B4199" t="s">
        <v>22757</v>
      </c>
      <c r="C4199" t="s">
        <v>22758</v>
      </c>
      <c r="D4199" t="s">
        <v>22759</v>
      </c>
      <c r="E4199" t="s">
        <v>22760</v>
      </c>
      <c r="F4199" t="s">
        <v>3282</v>
      </c>
      <c r="G4199" t="s">
        <v>3015</v>
      </c>
      <c r="H4199" t="s">
        <v>449</v>
      </c>
      <c r="I4199" t="s">
        <v>4134</v>
      </c>
      <c r="J4199" t="s">
        <v>4032</v>
      </c>
      <c r="K4199" t="s">
        <v>606</v>
      </c>
      <c r="M4199" t="s">
        <v>2366</v>
      </c>
      <c r="N4199" t="s">
        <v>657</v>
      </c>
      <c r="O4199" t="s">
        <v>3281</v>
      </c>
      <c r="P4199" t="s">
        <v>658</v>
      </c>
      <c r="Q4199" t="s">
        <v>521</v>
      </c>
      <c r="R4199" t="s">
        <v>3017</v>
      </c>
      <c r="S4199" t="s">
        <v>3252</v>
      </c>
      <c r="T4199" t="s">
        <v>2526</v>
      </c>
      <c r="U4199">
        <v>335001</v>
      </c>
      <c r="V4199" t="s">
        <v>15628</v>
      </c>
      <c r="W4199" t="s">
        <v>3283</v>
      </c>
      <c r="X4199" t="s">
        <v>22761</v>
      </c>
      <c r="Y4199" t="s">
        <v>22762</v>
      </c>
      <c r="Z4199" t="s">
        <v>13057</v>
      </c>
      <c r="AA4199" t="s">
        <v>18089</v>
      </c>
      <c r="AB4199" t="s">
        <v>22763</v>
      </c>
      <c r="AC4199">
        <v>99206</v>
      </c>
      <c r="AD4199" t="s">
        <v>3284</v>
      </c>
      <c r="AE4199">
        <v>-43.632907930000002</v>
      </c>
      <c r="AF4199">
        <v>172.29288724</v>
      </c>
      <c r="AG4199" s="175">
        <v>68</v>
      </c>
      <c r="AH4199" s="175">
        <v>15</v>
      </c>
      <c r="AI4199" s="175">
        <v>1</v>
      </c>
      <c r="AJ4199" s="175">
        <v>10</v>
      </c>
      <c r="AK4199" s="175">
        <v>9</v>
      </c>
      <c r="AL4199" s="175">
        <v>18</v>
      </c>
      <c r="AM4199" s="175">
        <v>21</v>
      </c>
      <c r="AN4199" s="175">
        <v>1</v>
      </c>
      <c r="AO4199" s="175">
        <v>60</v>
      </c>
      <c r="AP4199" s="175">
        <v>50</v>
      </c>
      <c r="AQ4199" s="175">
        <v>12</v>
      </c>
      <c r="AR4199" s="175">
        <v>3</v>
      </c>
      <c r="AS4199" s="175">
        <v>7</v>
      </c>
      <c r="AT4199" s="175">
        <v>4</v>
      </c>
    </row>
    <row r="4200" spans="1:46">
      <c r="A4200">
        <v>70168</v>
      </c>
      <c r="B4200" t="s">
        <v>22764</v>
      </c>
      <c r="D4200" t="s">
        <v>22765</v>
      </c>
      <c r="E4200" t="s">
        <v>22766</v>
      </c>
      <c r="G4200" t="s">
        <v>10948</v>
      </c>
      <c r="H4200" t="s">
        <v>449</v>
      </c>
      <c r="J4200" t="s">
        <v>4032</v>
      </c>
      <c r="K4200" t="s">
        <v>606</v>
      </c>
      <c r="M4200" t="s">
        <v>2366</v>
      </c>
      <c r="N4200" t="s">
        <v>657</v>
      </c>
      <c r="O4200" t="s">
        <v>3291</v>
      </c>
      <c r="P4200" t="s">
        <v>610</v>
      </c>
      <c r="Q4200" t="s">
        <v>521</v>
      </c>
      <c r="R4200" t="s">
        <v>3017</v>
      </c>
      <c r="S4200" t="s">
        <v>3292</v>
      </c>
      <c r="T4200" t="s">
        <v>2526</v>
      </c>
      <c r="U4200">
        <v>337600</v>
      </c>
      <c r="V4200" t="s">
        <v>22767</v>
      </c>
      <c r="W4200" t="s">
        <v>2533</v>
      </c>
      <c r="X4200" t="s">
        <v>22768</v>
      </c>
      <c r="Y4200" t="s">
        <v>22766</v>
      </c>
      <c r="AA4200" t="s">
        <v>22769</v>
      </c>
      <c r="AC4200">
        <v>99009</v>
      </c>
      <c r="AD4200" t="s">
        <v>10953</v>
      </c>
      <c r="AE4200">
        <v>-43.752419869999997</v>
      </c>
      <c r="AF4200">
        <v>172.02339119000001</v>
      </c>
      <c r="AG4200" s="175">
        <v>50</v>
      </c>
      <c r="AH4200" s="175">
        <v>11</v>
      </c>
      <c r="AI4200" s="175">
        <v>1</v>
      </c>
      <c r="AJ4200" s="175">
        <v>13</v>
      </c>
      <c r="AK4200" s="175">
        <v>14</v>
      </c>
      <c r="AL4200" s="175">
        <v>24</v>
      </c>
      <c r="AM4200" s="175">
        <v>18</v>
      </c>
      <c r="AN4200" s="175">
        <v>0</v>
      </c>
      <c r="AO4200" s="175">
        <v>70</v>
      </c>
      <c r="AP4200" s="175">
        <v>46</v>
      </c>
      <c r="AQ4200" s="175">
        <v>16</v>
      </c>
      <c r="AR4200" s="175">
        <v>6</v>
      </c>
      <c r="AS4200" s="175">
        <v>13</v>
      </c>
      <c r="AT4200" s="175">
        <v>0</v>
      </c>
    </row>
    <row r="4201" spans="1:46">
      <c r="A4201">
        <v>70170</v>
      </c>
      <c r="B4201" t="s">
        <v>22770</v>
      </c>
      <c r="C4201" t="s">
        <v>22771</v>
      </c>
      <c r="D4201" t="s">
        <v>22772</v>
      </c>
      <c r="E4201" t="s">
        <v>22773</v>
      </c>
      <c r="G4201" t="s">
        <v>3708</v>
      </c>
      <c r="H4201" t="s">
        <v>449</v>
      </c>
      <c r="J4201" t="s">
        <v>4032</v>
      </c>
      <c r="K4201" t="s">
        <v>606</v>
      </c>
      <c r="M4201" t="s">
        <v>2366</v>
      </c>
      <c r="N4201" t="s">
        <v>657</v>
      </c>
      <c r="O4201" t="s">
        <v>3396</v>
      </c>
      <c r="P4201" t="s">
        <v>610</v>
      </c>
      <c r="Q4201" t="s">
        <v>521</v>
      </c>
      <c r="R4201" t="s">
        <v>3017</v>
      </c>
      <c r="S4201" t="s">
        <v>3323</v>
      </c>
      <c r="T4201" t="s">
        <v>2526</v>
      </c>
      <c r="U4201">
        <v>342500</v>
      </c>
      <c r="V4201" t="s">
        <v>17074</v>
      </c>
      <c r="W4201" t="s">
        <v>3710</v>
      </c>
      <c r="X4201" t="s">
        <v>22774</v>
      </c>
      <c r="Y4201" t="s">
        <v>22773</v>
      </c>
      <c r="Z4201" t="s">
        <v>3708</v>
      </c>
      <c r="AA4201" t="s">
        <v>22775</v>
      </c>
      <c r="AB4201" t="s">
        <v>22776</v>
      </c>
      <c r="AC4201">
        <v>99040</v>
      </c>
      <c r="AD4201" t="s">
        <v>3403</v>
      </c>
      <c r="AE4201">
        <v>-44.73292867</v>
      </c>
      <c r="AF4201">
        <v>171.05329391999999</v>
      </c>
      <c r="AG4201" s="175">
        <v>51</v>
      </c>
      <c r="AH4201" s="175">
        <v>10</v>
      </c>
      <c r="AI4201" s="175">
        <v>3</v>
      </c>
      <c r="AJ4201" s="175">
        <v>12</v>
      </c>
      <c r="AK4201" s="175">
        <v>14</v>
      </c>
      <c r="AL4201" s="175">
        <v>21</v>
      </c>
      <c r="AM4201" s="175">
        <v>20</v>
      </c>
      <c r="AN4201" s="175">
        <v>1</v>
      </c>
      <c r="AO4201" s="175">
        <v>71</v>
      </c>
      <c r="AP4201" s="175">
        <v>65</v>
      </c>
      <c r="AQ4201" s="175">
        <v>14</v>
      </c>
      <c r="AR4201" s="175">
        <v>5</v>
      </c>
      <c r="AS4201" s="175">
        <v>3</v>
      </c>
      <c r="AT4201" s="175">
        <v>3</v>
      </c>
    </row>
    <row r="4202" spans="1:46">
      <c r="A4202">
        <v>70172</v>
      </c>
      <c r="B4202" t="s">
        <v>22777</v>
      </c>
      <c r="C4202" t="s">
        <v>22778</v>
      </c>
      <c r="D4202" t="s">
        <v>22779</v>
      </c>
      <c r="E4202" t="s">
        <v>22780</v>
      </c>
      <c r="F4202" t="s">
        <v>3023</v>
      </c>
      <c r="G4202" t="s">
        <v>3015</v>
      </c>
      <c r="H4202" t="s">
        <v>449</v>
      </c>
      <c r="J4202" t="s">
        <v>605</v>
      </c>
      <c r="K4202" t="s">
        <v>606</v>
      </c>
      <c r="M4202" t="s">
        <v>2366</v>
      </c>
      <c r="N4202" t="s">
        <v>657</v>
      </c>
      <c r="O4202" t="s">
        <v>3016</v>
      </c>
      <c r="P4202" t="s">
        <v>739</v>
      </c>
      <c r="Q4202" t="s">
        <v>521</v>
      </c>
      <c r="R4202" t="s">
        <v>3017</v>
      </c>
      <c r="S4202" t="s">
        <v>3018</v>
      </c>
      <c r="T4202" t="s">
        <v>2526</v>
      </c>
      <c r="U4202">
        <v>323200</v>
      </c>
      <c r="V4202" t="s">
        <v>3213</v>
      </c>
      <c r="W4202" t="s">
        <v>3149</v>
      </c>
      <c r="X4202" t="s">
        <v>10864</v>
      </c>
      <c r="Y4202" t="s">
        <v>4014</v>
      </c>
      <c r="Z4202" t="s">
        <v>4015</v>
      </c>
      <c r="AA4202" t="s">
        <v>4016</v>
      </c>
      <c r="AC4202">
        <v>99176</v>
      </c>
      <c r="AD4202" t="s">
        <v>3150</v>
      </c>
      <c r="AE4202">
        <v>-43.527111990000002</v>
      </c>
      <c r="AF4202">
        <v>172.60787529000001</v>
      </c>
      <c r="AG4202" s="175">
        <v>70</v>
      </c>
      <c r="AH4202" s="175">
        <v>16</v>
      </c>
      <c r="AI4202" s="175">
        <v>2</v>
      </c>
      <c r="AJ4202" s="175">
        <v>4</v>
      </c>
      <c r="AK4202" s="175">
        <v>11</v>
      </c>
      <c r="AL4202" s="175">
        <v>24</v>
      </c>
      <c r="AM4202" s="175">
        <v>16</v>
      </c>
      <c r="AN4202" s="175">
        <v>0</v>
      </c>
      <c r="AO4202" s="175">
        <v>57</v>
      </c>
      <c r="AP4202" s="175">
        <v>15</v>
      </c>
      <c r="AQ4202" s="175">
        <v>2</v>
      </c>
      <c r="AR4202" s="175">
        <v>7</v>
      </c>
      <c r="AS4202" s="175">
        <v>35</v>
      </c>
      <c r="AT4202" s="175">
        <v>11</v>
      </c>
    </row>
    <row r="4203" spans="1:46">
      <c r="A4203">
        <v>70301</v>
      </c>
      <c r="B4203" t="s">
        <v>22781</v>
      </c>
      <c r="C4203" t="s">
        <v>22782</v>
      </c>
      <c r="E4203" t="s">
        <v>22783</v>
      </c>
      <c r="F4203" t="s">
        <v>3246</v>
      </c>
      <c r="G4203" t="s">
        <v>3015</v>
      </c>
      <c r="H4203" t="s">
        <v>449</v>
      </c>
      <c r="J4203" t="s">
        <v>4032</v>
      </c>
      <c r="K4203" t="s">
        <v>606</v>
      </c>
      <c r="M4203" t="s">
        <v>2366</v>
      </c>
      <c r="N4203" t="s">
        <v>657</v>
      </c>
      <c r="O4203" t="s">
        <v>3016</v>
      </c>
      <c r="P4203" t="s">
        <v>739</v>
      </c>
      <c r="Q4203" t="s">
        <v>521</v>
      </c>
      <c r="R4203" t="s">
        <v>3017</v>
      </c>
      <c r="S4203" t="s">
        <v>3030</v>
      </c>
      <c r="T4203" t="s">
        <v>2526</v>
      </c>
      <c r="U4203">
        <v>323900</v>
      </c>
      <c r="V4203" t="s">
        <v>22784</v>
      </c>
      <c r="W4203" t="s">
        <v>3143</v>
      </c>
      <c r="X4203" t="s">
        <v>22695</v>
      </c>
      <c r="Y4203" t="s">
        <v>22785</v>
      </c>
      <c r="Z4203" t="s">
        <v>3733</v>
      </c>
      <c r="AA4203" t="s">
        <v>12388</v>
      </c>
      <c r="AB4203" t="s">
        <v>18307</v>
      </c>
      <c r="AE4203">
        <v>-43.51491935</v>
      </c>
      <c r="AF4203">
        <v>172.6314386</v>
      </c>
      <c r="AG4203" s="175">
        <v>32</v>
      </c>
      <c r="AH4203" s="175">
        <v>0</v>
      </c>
      <c r="AI4203" s="175">
        <v>0</v>
      </c>
      <c r="AJ4203" s="175">
        <v>0</v>
      </c>
      <c r="AK4203" s="175">
        <v>13</v>
      </c>
      <c r="AL4203" s="175">
        <v>6</v>
      </c>
      <c r="AM4203" s="175">
        <v>10</v>
      </c>
      <c r="AN4203" s="175">
        <v>1</v>
      </c>
      <c r="AO4203" s="175">
        <v>30</v>
      </c>
      <c r="AP4203" s="175">
        <v>25</v>
      </c>
      <c r="AQ4203" s="175">
        <v>3</v>
      </c>
      <c r="AR4203" s="175">
        <v>3</v>
      </c>
      <c r="AS4203" s="175">
        <v>5</v>
      </c>
      <c r="AT4203" s="175">
        <v>1</v>
      </c>
    </row>
    <row r="4204" spans="1:46">
      <c r="A4204">
        <v>70308</v>
      </c>
      <c r="B4204" t="s">
        <v>22786</v>
      </c>
      <c r="C4204" t="s">
        <v>22787</v>
      </c>
      <c r="D4204" t="s">
        <v>22788</v>
      </c>
      <c r="E4204" t="s">
        <v>22789</v>
      </c>
      <c r="F4204" t="s">
        <v>3198</v>
      </c>
      <c r="G4204" t="s">
        <v>3015</v>
      </c>
      <c r="H4204" t="s">
        <v>449</v>
      </c>
      <c r="J4204" t="s">
        <v>605</v>
      </c>
      <c r="K4204" t="s">
        <v>606</v>
      </c>
      <c r="M4204" t="s">
        <v>2366</v>
      </c>
      <c r="N4204" t="s">
        <v>625</v>
      </c>
      <c r="O4204" t="s">
        <v>3016</v>
      </c>
      <c r="P4204" t="s">
        <v>739</v>
      </c>
      <c r="Q4204" t="s">
        <v>521</v>
      </c>
      <c r="R4204" t="s">
        <v>3017</v>
      </c>
      <c r="S4204" t="s">
        <v>3046</v>
      </c>
      <c r="T4204" t="s">
        <v>2526</v>
      </c>
      <c r="U4204">
        <v>328400</v>
      </c>
      <c r="V4204" t="s">
        <v>3197</v>
      </c>
      <c r="W4204" t="s">
        <v>3199</v>
      </c>
      <c r="X4204" t="s">
        <v>22790</v>
      </c>
      <c r="Y4204" t="s">
        <v>22791</v>
      </c>
      <c r="Z4204" t="s">
        <v>3198</v>
      </c>
      <c r="AA4204" t="s">
        <v>22792</v>
      </c>
      <c r="AE4204">
        <v>-43.514691380000002</v>
      </c>
      <c r="AF4204">
        <v>172.69710196</v>
      </c>
      <c r="AG4204" s="175">
        <v>40</v>
      </c>
      <c r="AH4204" s="175">
        <v>10</v>
      </c>
      <c r="AI4204" s="175">
        <v>0</v>
      </c>
      <c r="AJ4204" s="175">
        <v>14</v>
      </c>
      <c r="AK4204" s="175">
        <v>7</v>
      </c>
      <c r="AL4204" s="175">
        <v>15</v>
      </c>
      <c r="AM4204" s="175">
        <v>9</v>
      </c>
      <c r="AN4204" s="175">
        <v>1</v>
      </c>
      <c r="AO4204" s="175">
        <v>46</v>
      </c>
      <c r="AP4204" s="175">
        <v>31</v>
      </c>
      <c r="AQ4204" s="175">
        <v>32</v>
      </c>
      <c r="AR4204" s="175">
        <v>12</v>
      </c>
      <c r="AS4204" s="175">
        <v>1</v>
      </c>
      <c r="AT4204" s="175">
        <v>3</v>
      </c>
    </row>
    <row r="4205" spans="1:46">
      <c r="A4205">
        <v>70309</v>
      </c>
      <c r="B4205" t="s">
        <v>22793</v>
      </c>
      <c r="C4205" t="s">
        <v>22794</v>
      </c>
      <c r="D4205" t="s">
        <v>22795</v>
      </c>
      <c r="E4205" t="s">
        <v>22796</v>
      </c>
      <c r="G4205" t="s">
        <v>3290</v>
      </c>
      <c r="H4205" t="s">
        <v>449</v>
      </c>
      <c r="I4205" t="s">
        <v>5838</v>
      </c>
      <c r="J4205" t="s">
        <v>605</v>
      </c>
      <c r="K4205" t="s">
        <v>606</v>
      </c>
      <c r="M4205" t="s">
        <v>2366</v>
      </c>
      <c r="N4205" t="s">
        <v>657</v>
      </c>
      <c r="O4205" t="s">
        <v>3291</v>
      </c>
      <c r="P4205" t="s">
        <v>1347</v>
      </c>
      <c r="Q4205" t="s">
        <v>521</v>
      </c>
      <c r="R4205" t="s">
        <v>3017</v>
      </c>
      <c r="S4205" t="s">
        <v>3292</v>
      </c>
      <c r="T4205" t="s">
        <v>2526</v>
      </c>
      <c r="U4205">
        <v>338501</v>
      </c>
      <c r="V4205" t="s">
        <v>3308</v>
      </c>
      <c r="W4205" t="s">
        <v>3294</v>
      </c>
      <c r="X4205" t="s">
        <v>22797</v>
      </c>
      <c r="Y4205" t="s">
        <v>22798</v>
      </c>
      <c r="AA4205" t="s">
        <v>3297</v>
      </c>
      <c r="AB4205" t="s">
        <v>22794</v>
      </c>
      <c r="AC4205">
        <v>99043</v>
      </c>
      <c r="AD4205" t="s">
        <v>3299</v>
      </c>
      <c r="AE4205">
        <v>-43.911082579999999</v>
      </c>
      <c r="AF4205">
        <v>171.75324107</v>
      </c>
      <c r="AG4205" s="175">
        <v>81</v>
      </c>
      <c r="AH4205" s="175">
        <v>25</v>
      </c>
      <c r="AI4205" s="175">
        <v>2</v>
      </c>
      <c r="AJ4205" s="175">
        <v>10</v>
      </c>
      <c r="AK4205" s="175">
        <v>12</v>
      </c>
      <c r="AL4205" s="175">
        <v>20</v>
      </c>
      <c r="AM4205" s="175">
        <v>25</v>
      </c>
      <c r="AN4205" s="175">
        <v>0</v>
      </c>
      <c r="AO4205" s="175">
        <v>69</v>
      </c>
      <c r="AP4205" s="175">
        <v>43</v>
      </c>
      <c r="AQ4205" s="175">
        <v>12</v>
      </c>
      <c r="AR4205" s="175">
        <v>18</v>
      </c>
      <c r="AS4205" s="175">
        <v>14</v>
      </c>
      <c r="AT4205" s="175">
        <v>6</v>
      </c>
    </row>
    <row r="4206" spans="1:46">
      <c r="A4206">
        <v>70311</v>
      </c>
      <c r="B4206" t="s">
        <v>22799</v>
      </c>
      <c r="C4206" t="s">
        <v>22800</v>
      </c>
      <c r="D4206" t="s">
        <v>22801</v>
      </c>
      <c r="E4206" t="s">
        <v>22802</v>
      </c>
      <c r="G4206" t="s">
        <v>3290</v>
      </c>
      <c r="H4206" t="s">
        <v>449</v>
      </c>
      <c r="J4206" t="s">
        <v>605</v>
      </c>
      <c r="K4206" t="s">
        <v>606</v>
      </c>
      <c r="M4206" t="s">
        <v>2366</v>
      </c>
      <c r="N4206" t="s">
        <v>657</v>
      </c>
      <c r="O4206" t="s">
        <v>3291</v>
      </c>
      <c r="P4206" t="s">
        <v>1347</v>
      </c>
      <c r="Q4206" t="s">
        <v>521</v>
      </c>
      <c r="R4206" t="s">
        <v>3017</v>
      </c>
      <c r="S4206" t="s">
        <v>3292</v>
      </c>
      <c r="T4206" t="s">
        <v>2526</v>
      </c>
      <c r="U4206">
        <v>337800</v>
      </c>
      <c r="V4206" t="s">
        <v>3316</v>
      </c>
      <c r="W4206" t="s">
        <v>3294</v>
      </c>
      <c r="X4206" t="s">
        <v>22803</v>
      </c>
      <c r="Y4206" t="s">
        <v>10111</v>
      </c>
      <c r="Z4206" t="s">
        <v>3290</v>
      </c>
      <c r="AA4206" t="s">
        <v>22499</v>
      </c>
      <c r="AC4206">
        <v>99043</v>
      </c>
      <c r="AD4206" t="s">
        <v>3299</v>
      </c>
      <c r="AE4206">
        <v>-43.890093190000002</v>
      </c>
      <c r="AF4206">
        <v>171.75152936999999</v>
      </c>
      <c r="AG4206" s="175">
        <v>50</v>
      </c>
      <c r="AH4206" s="175">
        <v>18</v>
      </c>
      <c r="AI4206" s="175">
        <v>3</v>
      </c>
      <c r="AJ4206" s="175">
        <v>11</v>
      </c>
      <c r="AK4206" s="175">
        <v>14</v>
      </c>
      <c r="AL4206" s="175">
        <v>24</v>
      </c>
      <c r="AM4206" s="175">
        <v>14</v>
      </c>
      <c r="AN4206" s="175">
        <v>2</v>
      </c>
      <c r="AO4206" s="175">
        <v>68</v>
      </c>
      <c r="AP4206" s="175">
        <v>68</v>
      </c>
      <c r="AQ4206" s="175">
        <v>5</v>
      </c>
      <c r="AR4206" s="175">
        <v>0</v>
      </c>
      <c r="AS4206" s="175">
        <v>2</v>
      </c>
      <c r="AT4206" s="175">
        <v>0</v>
      </c>
    </row>
    <row r="4207" spans="1:46">
      <c r="A4207">
        <v>70321</v>
      </c>
      <c r="B4207" t="s">
        <v>22804</v>
      </c>
      <c r="C4207" t="s">
        <v>22805</v>
      </c>
      <c r="E4207" t="s">
        <v>22806</v>
      </c>
      <c r="F4207" t="s">
        <v>21886</v>
      </c>
      <c r="G4207" t="s">
        <v>3015</v>
      </c>
      <c r="H4207" t="s">
        <v>449</v>
      </c>
      <c r="J4207" t="s">
        <v>605</v>
      </c>
      <c r="K4207" t="s">
        <v>606</v>
      </c>
      <c r="M4207" t="s">
        <v>2366</v>
      </c>
      <c r="N4207" t="s">
        <v>643</v>
      </c>
      <c r="O4207" t="s">
        <v>3016</v>
      </c>
      <c r="P4207" t="s">
        <v>739</v>
      </c>
      <c r="Q4207" t="s">
        <v>521</v>
      </c>
      <c r="R4207" t="s">
        <v>3017</v>
      </c>
      <c r="S4207" t="s">
        <v>3046</v>
      </c>
      <c r="T4207" t="s">
        <v>2526</v>
      </c>
      <c r="U4207">
        <v>327800</v>
      </c>
      <c r="V4207" t="s">
        <v>21886</v>
      </c>
      <c r="W4207" t="s">
        <v>3199</v>
      </c>
      <c r="X4207" t="s">
        <v>22807</v>
      </c>
      <c r="Y4207" t="s">
        <v>22806</v>
      </c>
      <c r="Z4207" t="s">
        <v>21886</v>
      </c>
      <c r="AA4207" t="s">
        <v>21720</v>
      </c>
      <c r="AB4207" t="s">
        <v>22808</v>
      </c>
      <c r="AC4207">
        <v>99063</v>
      </c>
      <c r="AD4207" t="s">
        <v>3067</v>
      </c>
      <c r="AE4207">
        <v>-43.524957899999997</v>
      </c>
      <c r="AF4207">
        <v>172.66332829999999</v>
      </c>
      <c r="AG4207" s="175">
        <v>35</v>
      </c>
      <c r="AH4207" s="175">
        <v>6</v>
      </c>
      <c r="AI4207" s="175">
        <v>0</v>
      </c>
      <c r="AJ4207" s="175">
        <v>4</v>
      </c>
      <c r="AK4207" s="175">
        <v>7</v>
      </c>
      <c r="AL4207" s="175">
        <v>10</v>
      </c>
      <c r="AM4207" s="175">
        <v>4</v>
      </c>
      <c r="AN4207" s="175">
        <v>1</v>
      </c>
      <c r="AO4207" s="175">
        <v>26</v>
      </c>
      <c r="AP4207" s="175">
        <v>23</v>
      </c>
      <c r="AQ4207" s="175">
        <v>3</v>
      </c>
      <c r="AR4207" s="175">
        <v>1</v>
      </c>
      <c r="AS4207" s="175">
        <v>6</v>
      </c>
      <c r="AT4207" s="175">
        <v>2</v>
      </c>
    </row>
    <row r="4208" spans="1:46">
      <c r="A4208">
        <v>70329</v>
      </c>
      <c r="B4208" t="s">
        <v>22809</v>
      </c>
      <c r="C4208" t="s">
        <v>22810</v>
      </c>
      <c r="D4208" t="s">
        <v>22811</v>
      </c>
      <c r="E4208" t="s">
        <v>22812</v>
      </c>
      <c r="F4208" t="s">
        <v>3057</v>
      </c>
      <c r="G4208" t="s">
        <v>3015</v>
      </c>
      <c r="H4208" t="s">
        <v>449</v>
      </c>
      <c r="J4208" t="s">
        <v>605</v>
      </c>
      <c r="K4208" t="s">
        <v>606</v>
      </c>
      <c r="M4208" t="s">
        <v>2366</v>
      </c>
      <c r="N4208" t="s">
        <v>657</v>
      </c>
      <c r="O4208" t="s">
        <v>3016</v>
      </c>
      <c r="P4208" t="s">
        <v>739</v>
      </c>
      <c r="Q4208" t="s">
        <v>521</v>
      </c>
      <c r="R4208" t="s">
        <v>3017</v>
      </c>
      <c r="S4208" t="s">
        <v>3018</v>
      </c>
      <c r="T4208" t="s">
        <v>2526</v>
      </c>
      <c r="U4208">
        <v>318000</v>
      </c>
      <c r="V4208" t="s">
        <v>22474</v>
      </c>
      <c r="W4208" t="s">
        <v>3059</v>
      </c>
      <c r="X4208" t="s">
        <v>22813</v>
      </c>
      <c r="Y4208" t="s">
        <v>22814</v>
      </c>
      <c r="Z4208" t="s">
        <v>3057</v>
      </c>
      <c r="AA4208" t="s">
        <v>22815</v>
      </c>
      <c r="AB4208" t="s">
        <v>22816</v>
      </c>
      <c r="AC4208">
        <v>99027</v>
      </c>
      <c r="AD4208" t="s">
        <v>3073</v>
      </c>
      <c r="AE4208">
        <v>-43.487270129999999</v>
      </c>
      <c r="AF4208">
        <v>172.57732382</v>
      </c>
      <c r="AG4208" s="175">
        <v>50</v>
      </c>
      <c r="AH4208" s="175">
        <v>10</v>
      </c>
      <c r="AI4208" s="175">
        <v>4</v>
      </c>
      <c r="AJ4208" s="175">
        <v>8</v>
      </c>
      <c r="AK4208" s="175">
        <v>10</v>
      </c>
      <c r="AL4208" s="175">
        <v>17</v>
      </c>
      <c r="AM4208" s="175">
        <v>16</v>
      </c>
      <c r="AN4208" s="175">
        <v>0</v>
      </c>
      <c r="AO4208" s="175">
        <v>55</v>
      </c>
      <c r="AP4208" s="175">
        <v>50</v>
      </c>
      <c r="AQ4208" s="175">
        <v>8</v>
      </c>
      <c r="AR4208" s="175">
        <v>6</v>
      </c>
      <c r="AS4208" s="175">
        <v>5</v>
      </c>
      <c r="AT4208" s="175">
        <v>0</v>
      </c>
    </row>
    <row r="4209" spans="1:46">
      <c r="A4209">
        <v>70332</v>
      </c>
      <c r="B4209" t="s">
        <v>22817</v>
      </c>
      <c r="C4209" t="s">
        <v>22818</v>
      </c>
      <c r="D4209" t="s">
        <v>22819</v>
      </c>
      <c r="E4209" t="s">
        <v>22820</v>
      </c>
      <c r="F4209" t="s">
        <v>3029</v>
      </c>
      <c r="G4209" t="s">
        <v>3015</v>
      </c>
      <c r="H4209" t="s">
        <v>449</v>
      </c>
      <c r="J4209" t="s">
        <v>605</v>
      </c>
      <c r="K4209" t="s">
        <v>606</v>
      </c>
      <c r="M4209" t="s">
        <v>2366</v>
      </c>
      <c r="N4209" t="s">
        <v>657</v>
      </c>
      <c r="O4209" t="s">
        <v>3016</v>
      </c>
      <c r="P4209" t="s">
        <v>739</v>
      </c>
      <c r="Q4209" t="s">
        <v>521</v>
      </c>
      <c r="R4209" t="s">
        <v>3017</v>
      </c>
      <c r="S4209" t="s">
        <v>3052</v>
      </c>
      <c r="T4209" t="s">
        <v>2526</v>
      </c>
      <c r="U4209">
        <v>329100</v>
      </c>
      <c r="V4209" t="s">
        <v>13683</v>
      </c>
      <c r="W4209" t="s">
        <v>3031</v>
      </c>
      <c r="X4209" t="s">
        <v>10864</v>
      </c>
      <c r="Y4209" t="s">
        <v>4014</v>
      </c>
      <c r="Z4209" t="s">
        <v>4015</v>
      </c>
      <c r="AA4209" t="s">
        <v>4016</v>
      </c>
      <c r="AC4209">
        <v>99177</v>
      </c>
      <c r="AD4209" t="s">
        <v>3032</v>
      </c>
      <c r="AE4209">
        <v>-43.560644670000002</v>
      </c>
      <c r="AF4209">
        <v>172.63615149</v>
      </c>
      <c r="AG4209" s="175">
        <v>80</v>
      </c>
      <c r="AH4209" s="175">
        <v>15</v>
      </c>
      <c r="AI4209" s="175">
        <v>2</v>
      </c>
      <c r="AJ4209" s="175">
        <v>14</v>
      </c>
      <c r="AK4209" s="175">
        <v>25</v>
      </c>
      <c r="AL4209" s="175">
        <v>13</v>
      </c>
      <c r="AM4209" s="175">
        <v>32</v>
      </c>
      <c r="AN4209" s="175">
        <v>1</v>
      </c>
      <c r="AO4209" s="175">
        <v>87</v>
      </c>
      <c r="AP4209" s="175">
        <v>60</v>
      </c>
      <c r="AQ4209" s="175">
        <v>10</v>
      </c>
      <c r="AR4209" s="175">
        <v>1</v>
      </c>
      <c r="AS4209" s="175">
        <v>11</v>
      </c>
      <c r="AT4209" s="175">
        <v>21</v>
      </c>
    </row>
    <row r="4210" spans="1:46">
      <c r="A4210">
        <v>70333</v>
      </c>
      <c r="B4210" t="s">
        <v>22821</v>
      </c>
      <c r="C4210" t="s">
        <v>22822</v>
      </c>
      <c r="D4210" t="s">
        <v>22823</v>
      </c>
      <c r="E4210" t="s">
        <v>22824</v>
      </c>
      <c r="F4210" t="s">
        <v>2957</v>
      </c>
      <c r="G4210" t="s">
        <v>3015</v>
      </c>
      <c r="H4210" t="s">
        <v>449</v>
      </c>
      <c r="J4210" t="s">
        <v>605</v>
      </c>
      <c r="K4210" t="s">
        <v>606</v>
      </c>
      <c r="M4210" t="s">
        <v>2366</v>
      </c>
      <c r="N4210" t="s">
        <v>657</v>
      </c>
      <c r="O4210" t="s">
        <v>3016</v>
      </c>
      <c r="P4210" t="s">
        <v>739</v>
      </c>
      <c r="Q4210" t="s">
        <v>521</v>
      </c>
      <c r="R4210" t="s">
        <v>3017</v>
      </c>
      <c r="S4210" t="s">
        <v>3046</v>
      </c>
      <c r="T4210" t="s">
        <v>2526</v>
      </c>
      <c r="U4210">
        <v>325900</v>
      </c>
      <c r="V4210" t="s">
        <v>3218</v>
      </c>
      <c r="W4210" t="s">
        <v>2521</v>
      </c>
      <c r="X4210" t="s">
        <v>22825</v>
      </c>
      <c r="Y4210" t="s">
        <v>22826</v>
      </c>
      <c r="Z4210" t="s">
        <v>22827</v>
      </c>
      <c r="AA4210" t="s">
        <v>22828</v>
      </c>
      <c r="AE4210">
        <v>-43.51689571</v>
      </c>
      <c r="AF4210">
        <v>172.66363777000001</v>
      </c>
      <c r="AG4210" s="175">
        <v>27</v>
      </c>
      <c r="AH4210" s="175">
        <v>0</v>
      </c>
      <c r="AI4210" s="175">
        <v>0</v>
      </c>
      <c r="AJ4210" s="175">
        <v>0</v>
      </c>
      <c r="AK4210" s="175">
        <v>9</v>
      </c>
      <c r="AL4210" s="175">
        <v>24</v>
      </c>
      <c r="AM4210" s="175">
        <v>8</v>
      </c>
      <c r="AN4210" s="175">
        <v>2</v>
      </c>
      <c r="AO4210" s="175">
        <v>43</v>
      </c>
      <c r="AP4210" s="175">
        <v>31</v>
      </c>
      <c r="AQ4210" s="175">
        <v>7</v>
      </c>
      <c r="AR4210" s="175">
        <v>3</v>
      </c>
      <c r="AS4210" s="175">
        <v>12</v>
      </c>
      <c r="AT4210" s="175">
        <v>3</v>
      </c>
    </row>
    <row r="4211" spans="1:46">
      <c r="A4211">
        <v>70337</v>
      </c>
      <c r="B4211" t="s">
        <v>22829</v>
      </c>
      <c r="C4211" t="s">
        <v>22830</v>
      </c>
      <c r="D4211" t="s">
        <v>22831</v>
      </c>
      <c r="E4211" t="s">
        <v>22832</v>
      </c>
      <c r="F4211" t="s">
        <v>17402</v>
      </c>
      <c r="G4211" t="s">
        <v>3334</v>
      </c>
      <c r="H4211" t="s">
        <v>449</v>
      </c>
      <c r="J4211" t="s">
        <v>605</v>
      </c>
      <c r="K4211" t="s">
        <v>606</v>
      </c>
      <c r="M4211" t="s">
        <v>2366</v>
      </c>
      <c r="N4211" t="s">
        <v>657</v>
      </c>
      <c r="O4211" t="s">
        <v>3322</v>
      </c>
      <c r="P4211" t="s">
        <v>1347</v>
      </c>
      <c r="Q4211" t="s">
        <v>521</v>
      </c>
      <c r="R4211" t="s">
        <v>3017</v>
      </c>
      <c r="S4211" t="s">
        <v>3292</v>
      </c>
      <c r="T4211" t="s">
        <v>2526</v>
      </c>
      <c r="U4211">
        <v>341300</v>
      </c>
      <c r="V4211" t="s">
        <v>17402</v>
      </c>
      <c r="W4211" t="s">
        <v>3336</v>
      </c>
      <c r="X4211" t="s">
        <v>22833</v>
      </c>
      <c r="Y4211" t="s">
        <v>22834</v>
      </c>
      <c r="Z4211" t="s">
        <v>17402</v>
      </c>
      <c r="AA4211" t="s">
        <v>22835</v>
      </c>
      <c r="AB4211" t="s">
        <v>22830</v>
      </c>
      <c r="AC4211">
        <v>99178</v>
      </c>
      <c r="AD4211" t="s">
        <v>3346</v>
      </c>
      <c r="AE4211">
        <v>-44.405853039999997</v>
      </c>
      <c r="AF4211">
        <v>171.24400840000001</v>
      </c>
      <c r="AG4211" s="175">
        <v>50</v>
      </c>
      <c r="AH4211" s="175">
        <v>15</v>
      </c>
      <c r="AI4211" s="175">
        <v>1</v>
      </c>
      <c r="AJ4211" s="175">
        <v>19</v>
      </c>
      <c r="AK4211" s="175">
        <v>16</v>
      </c>
      <c r="AL4211" s="175">
        <v>14</v>
      </c>
      <c r="AM4211" s="175">
        <v>8</v>
      </c>
      <c r="AN4211" s="175">
        <v>0</v>
      </c>
      <c r="AO4211" s="175">
        <v>58</v>
      </c>
      <c r="AP4211" s="175">
        <v>54</v>
      </c>
      <c r="AQ4211" s="175">
        <v>10</v>
      </c>
      <c r="AR4211" s="175">
        <v>2</v>
      </c>
      <c r="AS4211" s="175">
        <v>0</v>
      </c>
      <c r="AT4211" s="175">
        <v>3</v>
      </c>
    </row>
    <row r="4212" spans="1:46">
      <c r="A4212">
        <v>70338</v>
      </c>
      <c r="B4212" t="s">
        <v>22836</v>
      </c>
      <c r="C4212" t="s">
        <v>22837</v>
      </c>
      <c r="E4212" t="s">
        <v>22838</v>
      </c>
      <c r="F4212" t="s">
        <v>3085</v>
      </c>
      <c r="G4212" t="s">
        <v>3015</v>
      </c>
      <c r="H4212" t="s">
        <v>449</v>
      </c>
      <c r="J4212" t="s">
        <v>4032</v>
      </c>
      <c r="K4212" t="s">
        <v>606</v>
      </c>
      <c r="M4212" t="s">
        <v>2366</v>
      </c>
      <c r="N4212" t="s">
        <v>643</v>
      </c>
      <c r="O4212" t="s">
        <v>3016</v>
      </c>
      <c r="P4212" t="s">
        <v>739</v>
      </c>
      <c r="Q4212" t="s">
        <v>521</v>
      </c>
      <c r="R4212" t="s">
        <v>3017</v>
      </c>
      <c r="S4212" t="s">
        <v>3030</v>
      </c>
      <c r="T4212" t="s">
        <v>2526</v>
      </c>
      <c r="U4212">
        <v>329900</v>
      </c>
      <c r="V4212" t="s">
        <v>3085</v>
      </c>
      <c r="W4212" t="s">
        <v>3087</v>
      </c>
      <c r="X4212" t="s">
        <v>22839</v>
      </c>
      <c r="Y4212" t="s">
        <v>22840</v>
      </c>
      <c r="Z4212" t="s">
        <v>13057</v>
      </c>
      <c r="AA4212" t="s">
        <v>18089</v>
      </c>
      <c r="AC4212">
        <v>99177</v>
      </c>
      <c r="AD4212" t="s">
        <v>3032</v>
      </c>
      <c r="AE4212">
        <v>-43.546016799999997</v>
      </c>
      <c r="AF4212">
        <v>172.64931390000001</v>
      </c>
      <c r="AG4212" s="175">
        <v>29</v>
      </c>
      <c r="AH4212" s="175">
        <v>4</v>
      </c>
      <c r="AI4212" s="175">
        <v>0</v>
      </c>
      <c r="AJ4212" s="175">
        <v>4</v>
      </c>
      <c r="AK4212" s="175">
        <v>9</v>
      </c>
      <c r="AL4212" s="175">
        <v>9</v>
      </c>
      <c r="AM4212" s="175">
        <v>6</v>
      </c>
      <c r="AN4212" s="175">
        <v>0</v>
      </c>
      <c r="AO4212" s="175">
        <v>28</v>
      </c>
      <c r="AP4212" s="175">
        <v>14</v>
      </c>
      <c r="AQ4212" s="175">
        <v>7</v>
      </c>
      <c r="AR4212" s="175">
        <v>7</v>
      </c>
      <c r="AS4212" s="175">
        <v>7</v>
      </c>
      <c r="AT4212" s="175">
        <v>1</v>
      </c>
    </row>
    <row r="4213" spans="1:46">
      <c r="A4213">
        <v>70339</v>
      </c>
      <c r="B4213" t="s">
        <v>22841</v>
      </c>
      <c r="C4213" t="s">
        <v>22842</v>
      </c>
      <c r="D4213" t="s">
        <v>22843</v>
      </c>
      <c r="E4213" t="s">
        <v>22844</v>
      </c>
      <c r="F4213" t="s">
        <v>3203</v>
      </c>
      <c r="G4213" t="s">
        <v>3015</v>
      </c>
      <c r="H4213" t="s">
        <v>449</v>
      </c>
      <c r="I4213" t="s">
        <v>4182</v>
      </c>
      <c r="J4213" t="s">
        <v>605</v>
      </c>
      <c r="K4213" t="s">
        <v>606</v>
      </c>
      <c r="M4213" t="s">
        <v>2366</v>
      </c>
      <c r="N4213" t="s">
        <v>657</v>
      </c>
      <c r="O4213" t="s">
        <v>3016</v>
      </c>
      <c r="P4213" t="s">
        <v>739</v>
      </c>
      <c r="Q4213" t="s">
        <v>521</v>
      </c>
      <c r="R4213" t="s">
        <v>3017</v>
      </c>
      <c r="S4213" t="s">
        <v>3046</v>
      </c>
      <c r="T4213" t="s">
        <v>2526</v>
      </c>
      <c r="U4213">
        <v>324001</v>
      </c>
      <c r="V4213" t="s">
        <v>21815</v>
      </c>
      <c r="W4213" t="s">
        <v>3047</v>
      </c>
      <c r="X4213" t="s">
        <v>22845</v>
      </c>
      <c r="Y4213" t="s">
        <v>22846</v>
      </c>
      <c r="AA4213" t="s">
        <v>17932</v>
      </c>
      <c r="AB4213" t="s">
        <v>22847</v>
      </c>
      <c r="AE4213">
        <v>-43.479656249999998</v>
      </c>
      <c r="AF4213">
        <v>172.68150796</v>
      </c>
      <c r="AG4213" s="175">
        <v>45</v>
      </c>
      <c r="AH4213" s="175">
        <v>20</v>
      </c>
      <c r="AI4213" s="175">
        <v>8</v>
      </c>
      <c r="AJ4213" s="175">
        <v>3</v>
      </c>
      <c r="AK4213" s="175">
        <v>11</v>
      </c>
      <c r="AL4213" s="175">
        <v>16</v>
      </c>
      <c r="AM4213" s="175">
        <v>11</v>
      </c>
      <c r="AN4213" s="175">
        <v>8</v>
      </c>
      <c r="AO4213" s="175">
        <v>57</v>
      </c>
      <c r="AP4213" s="175">
        <v>46</v>
      </c>
      <c r="AQ4213" s="175">
        <v>11</v>
      </c>
      <c r="AR4213" s="175">
        <v>5</v>
      </c>
      <c r="AS4213" s="175">
        <v>6</v>
      </c>
      <c r="AT4213" s="175">
        <v>4</v>
      </c>
    </row>
    <row r="4214" spans="1:46">
      <c r="A4214">
        <v>70341</v>
      </c>
      <c r="B4214" t="s">
        <v>22848</v>
      </c>
      <c r="C4214" t="s">
        <v>22849</v>
      </c>
      <c r="D4214" t="s">
        <v>22850</v>
      </c>
      <c r="E4214" t="s">
        <v>22851</v>
      </c>
      <c r="F4214" t="s">
        <v>3030</v>
      </c>
      <c r="G4214" t="s">
        <v>3015</v>
      </c>
      <c r="H4214" t="s">
        <v>449</v>
      </c>
      <c r="J4214" t="s">
        <v>605</v>
      </c>
      <c r="K4214" t="s">
        <v>606</v>
      </c>
      <c r="M4214" t="s">
        <v>2366</v>
      </c>
      <c r="N4214" t="s">
        <v>657</v>
      </c>
      <c r="O4214" t="s">
        <v>3016</v>
      </c>
      <c r="P4214" t="s">
        <v>739</v>
      </c>
      <c r="Q4214" t="s">
        <v>521</v>
      </c>
      <c r="R4214" t="s">
        <v>3017</v>
      </c>
      <c r="S4214" t="s">
        <v>3030</v>
      </c>
      <c r="T4214" t="s">
        <v>2526</v>
      </c>
      <c r="U4214">
        <v>327100</v>
      </c>
      <c r="V4214" t="s">
        <v>16490</v>
      </c>
      <c r="W4214" t="s">
        <v>2521</v>
      </c>
      <c r="X4214" t="s">
        <v>22852</v>
      </c>
      <c r="Y4214" t="s">
        <v>7418</v>
      </c>
      <c r="AA4214" t="s">
        <v>7419</v>
      </c>
      <c r="AB4214" t="s">
        <v>22849</v>
      </c>
      <c r="AC4214">
        <v>99215</v>
      </c>
      <c r="AD4214" t="s">
        <v>11035</v>
      </c>
      <c r="AE4214">
        <v>-43.538012670000001</v>
      </c>
      <c r="AF4214">
        <v>172.6429727</v>
      </c>
      <c r="AG4214" s="175">
        <v>49</v>
      </c>
      <c r="AH4214" s="175">
        <v>12</v>
      </c>
      <c r="AI4214" s="175">
        <v>1</v>
      </c>
      <c r="AJ4214" s="175">
        <v>6</v>
      </c>
      <c r="AK4214" s="175">
        <v>9</v>
      </c>
      <c r="AL4214" s="175">
        <v>8</v>
      </c>
      <c r="AM4214" s="175">
        <v>14</v>
      </c>
      <c r="AN4214" s="175">
        <v>2</v>
      </c>
      <c r="AO4214" s="175">
        <v>40</v>
      </c>
      <c r="AP4214" s="175">
        <v>30</v>
      </c>
      <c r="AQ4214" s="175">
        <v>5</v>
      </c>
      <c r="AR4214" s="175">
        <v>4</v>
      </c>
      <c r="AS4214" s="175">
        <v>7</v>
      </c>
      <c r="AT4214" s="175">
        <v>8</v>
      </c>
    </row>
    <row r="4215" spans="1:46">
      <c r="A4215">
        <v>70342</v>
      </c>
      <c r="B4215" t="s">
        <v>22853</v>
      </c>
      <c r="C4215" t="s">
        <v>22854</v>
      </c>
      <c r="D4215" t="s">
        <v>11007</v>
      </c>
      <c r="E4215" t="s">
        <v>22855</v>
      </c>
      <c r="F4215" t="s">
        <v>3029</v>
      </c>
      <c r="G4215" t="s">
        <v>3015</v>
      </c>
      <c r="H4215" t="s">
        <v>449</v>
      </c>
      <c r="J4215" t="s">
        <v>4032</v>
      </c>
      <c r="K4215" t="s">
        <v>606</v>
      </c>
      <c r="M4215" t="s">
        <v>2366</v>
      </c>
      <c r="N4215" t="s">
        <v>657</v>
      </c>
      <c r="O4215" t="s">
        <v>3016</v>
      </c>
      <c r="P4215" t="s">
        <v>739</v>
      </c>
      <c r="Q4215" t="s">
        <v>521</v>
      </c>
      <c r="R4215" t="s">
        <v>3017</v>
      </c>
      <c r="S4215" t="s">
        <v>3030</v>
      </c>
      <c r="T4215" t="s">
        <v>2526</v>
      </c>
      <c r="U4215">
        <v>330600</v>
      </c>
      <c r="V4215" t="s">
        <v>3029</v>
      </c>
      <c r="W4215" t="s">
        <v>3031</v>
      </c>
      <c r="X4215" t="s">
        <v>11010</v>
      </c>
      <c r="Y4215" t="s">
        <v>11011</v>
      </c>
      <c r="Z4215" t="s">
        <v>11012</v>
      </c>
      <c r="AA4215" t="s">
        <v>11013</v>
      </c>
      <c r="AB4215" t="s">
        <v>11014</v>
      </c>
      <c r="AC4215">
        <v>99177</v>
      </c>
      <c r="AD4215" t="s">
        <v>3032</v>
      </c>
      <c r="AE4215">
        <v>-43.567070409999999</v>
      </c>
      <c r="AF4215">
        <v>172.64175008000001</v>
      </c>
      <c r="AG4215" s="175">
        <v>45</v>
      </c>
      <c r="AH4215" s="175">
        <v>14</v>
      </c>
      <c r="AI4215" s="175">
        <v>0</v>
      </c>
      <c r="AJ4215" s="175">
        <v>15</v>
      </c>
      <c r="AK4215" s="175">
        <v>12</v>
      </c>
      <c r="AL4215" s="175">
        <v>14</v>
      </c>
      <c r="AM4215" s="175">
        <v>18</v>
      </c>
      <c r="AN4215" s="175">
        <v>2</v>
      </c>
      <c r="AO4215" s="175">
        <v>61</v>
      </c>
      <c r="AP4215" s="175">
        <v>56</v>
      </c>
      <c r="AQ4215" s="175">
        <v>4</v>
      </c>
      <c r="AR4215" s="175">
        <v>1</v>
      </c>
      <c r="AS4215" s="175">
        <v>1</v>
      </c>
      <c r="AT4215" s="175">
        <v>7</v>
      </c>
    </row>
    <row r="4216" spans="1:46">
      <c r="A4216">
        <v>70345</v>
      </c>
      <c r="B4216" t="s">
        <v>22856</v>
      </c>
      <c r="C4216" t="s">
        <v>22857</v>
      </c>
      <c r="D4216" t="s">
        <v>3377</v>
      </c>
      <c r="E4216" t="s">
        <v>22858</v>
      </c>
      <c r="G4216" t="s">
        <v>3369</v>
      </c>
      <c r="H4216" t="s">
        <v>452</v>
      </c>
      <c r="J4216" t="s">
        <v>605</v>
      </c>
      <c r="K4216" t="s">
        <v>606</v>
      </c>
      <c r="M4216" t="s">
        <v>2366</v>
      </c>
      <c r="N4216" t="s">
        <v>657</v>
      </c>
      <c r="O4216" t="s">
        <v>3322</v>
      </c>
      <c r="P4216" t="s">
        <v>610</v>
      </c>
      <c r="Q4216" t="s">
        <v>521</v>
      </c>
      <c r="R4216" t="s">
        <v>3017</v>
      </c>
      <c r="S4216" t="s">
        <v>3292</v>
      </c>
      <c r="T4216" t="s">
        <v>2526</v>
      </c>
      <c r="U4216">
        <v>339600</v>
      </c>
      <c r="V4216" t="s">
        <v>22859</v>
      </c>
      <c r="W4216" t="s">
        <v>3371</v>
      </c>
      <c r="X4216" t="s">
        <v>3337</v>
      </c>
      <c r="Y4216" t="s">
        <v>3338</v>
      </c>
      <c r="AA4216" t="s">
        <v>3339</v>
      </c>
      <c r="AB4216" t="s">
        <v>3340</v>
      </c>
      <c r="AC4216">
        <v>99053</v>
      </c>
      <c r="AD4216" t="s">
        <v>3329</v>
      </c>
      <c r="AE4216">
        <v>-44.23840878</v>
      </c>
      <c r="AF4216">
        <v>171.28924886999999</v>
      </c>
      <c r="AG4216" s="175">
        <v>20</v>
      </c>
      <c r="AH4216" s="175">
        <v>0</v>
      </c>
      <c r="AI4216" s="175">
        <v>0</v>
      </c>
      <c r="AJ4216" s="175">
        <v>0</v>
      </c>
      <c r="AK4216" s="175">
        <v>4</v>
      </c>
      <c r="AL4216" s="175">
        <v>6</v>
      </c>
      <c r="AM4216" s="175">
        <v>5</v>
      </c>
      <c r="AN4216" s="175">
        <v>1</v>
      </c>
      <c r="AO4216" s="175">
        <v>16</v>
      </c>
      <c r="AP4216" s="175">
        <v>10</v>
      </c>
      <c r="AQ4216" s="175">
        <v>3</v>
      </c>
      <c r="AR4216" s="175">
        <v>0</v>
      </c>
      <c r="AS4216" s="175">
        <v>1</v>
      </c>
      <c r="AT4216" s="175">
        <v>3</v>
      </c>
    </row>
    <row r="4217" spans="1:46">
      <c r="A4217">
        <v>70347</v>
      </c>
      <c r="B4217" t="s">
        <v>22860</v>
      </c>
      <c r="C4217" t="s">
        <v>22861</v>
      </c>
      <c r="D4217" t="s">
        <v>22862</v>
      </c>
      <c r="E4217" t="s">
        <v>22863</v>
      </c>
      <c r="G4217" t="s">
        <v>3334</v>
      </c>
      <c r="H4217" t="s">
        <v>449</v>
      </c>
      <c r="J4217" t="s">
        <v>605</v>
      </c>
      <c r="K4217" t="s">
        <v>606</v>
      </c>
      <c r="M4217" t="s">
        <v>2366</v>
      </c>
      <c r="N4217" t="s">
        <v>657</v>
      </c>
      <c r="O4217" t="s">
        <v>3322</v>
      </c>
      <c r="P4217" t="s">
        <v>1347</v>
      </c>
      <c r="Q4217" t="s">
        <v>521</v>
      </c>
      <c r="R4217" t="s">
        <v>3017</v>
      </c>
      <c r="S4217" t="s">
        <v>3292</v>
      </c>
      <c r="T4217" t="s">
        <v>2526</v>
      </c>
      <c r="U4217">
        <v>340400</v>
      </c>
      <c r="V4217" t="s">
        <v>17948</v>
      </c>
      <c r="W4217" t="s">
        <v>3336</v>
      </c>
      <c r="X4217" t="s">
        <v>22864</v>
      </c>
      <c r="Y4217" t="s">
        <v>22865</v>
      </c>
      <c r="Z4217" t="s">
        <v>3351</v>
      </c>
      <c r="AA4217" t="s">
        <v>16399</v>
      </c>
      <c r="AB4217" t="s">
        <v>22861</v>
      </c>
      <c r="AC4217">
        <v>99174</v>
      </c>
      <c r="AD4217" t="s">
        <v>3341</v>
      </c>
      <c r="AE4217">
        <v>-44.389340420000003</v>
      </c>
      <c r="AF4217">
        <v>171.22440950999999</v>
      </c>
      <c r="AG4217" s="175">
        <v>30</v>
      </c>
      <c r="AH4217" s="175">
        <v>0</v>
      </c>
      <c r="AI4217" s="175">
        <v>0</v>
      </c>
      <c r="AJ4217" s="175">
        <v>0</v>
      </c>
      <c r="AK4217" s="175">
        <v>6</v>
      </c>
      <c r="AL4217" s="175">
        <v>7</v>
      </c>
      <c r="AM4217" s="175">
        <v>23</v>
      </c>
      <c r="AN4217" s="175">
        <v>2</v>
      </c>
      <c r="AO4217" s="175">
        <v>38</v>
      </c>
      <c r="AP4217" s="175">
        <v>33</v>
      </c>
      <c r="AQ4217" s="175">
        <v>6</v>
      </c>
      <c r="AR4217" s="175">
        <v>1</v>
      </c>
      <c r="AS4217" s="175">
        <v>3</v>
      </c>
      <c r="AT4217" s="175">
        <v>1</v>
      </c>
    </row>
    <row r="4218" spans="1:46">
      <c r="A4218">
        <v>70350</v>
      </c>
      <c r="B4218" t="s">
        <v>22866</v>
      </c>
      <c r="C4218" t="s">
        <v>22867</v>
      </c>
      <c r="D4218" t="s">
        <v>22868</v>
      </c>
      <c r="E4218" t="s">
        <v>22869</v>
      </c>
      <c r="F4218" t="s">
        <v>17937</v>
      </c>
      <c r="G4218" t="s">
        <v>3015</v>
      </c>
      <c r="H4218" t="s">
        <v>449</v>
      </c>
      <c r="I4218" t="s">
        <v>4182</v>
      </c>
      <c r="J4218" t="s">
        <v>605</v>
      </c>
      <c r="K4218" t="s">
        <v>606</v>
      </c>
      <c r="M4218" t="s">
        <v>2366</v>
      </c>
      <c r="N4218" t="s">
        <v>657</v>
      </c>
      <c r="O4218" t="s">
        <v>3016</v>
      </c>
      <c r="P4218" t="s">
        <v>739</v>
      </c>
      <c r="Q4218" t="s">
        <v>521</v>
      </c>
      <c r="R4218" t="s">
        <v>3017</v>
      </c>
      <c r="S4218" t="s">
        <v>3092</v>
      </c>
      <c r="T4218" t="s">
        <v>2526</v>
      </c>
      <c r="U4218">
        <v>327600</v>
      </c>
      <c r="V4218" t="s">
        <v>22870</v>
      </c>
      <c r="W4218" t="s">
        <v>3161</v>
      </c>
      <c r="X4218" t="s">
        <v>22871</v>
      </c>
      <c r="Y4218" t="s">
        <v>22872</v>
      </c>
      <c r="Z4218" t="s">
        <v>17937</v>
      </c>
      <c r="AA4218" t="s">
        <v>22873</v>
      </c>
      <c r="AB4218" t="s">
        <v>22874</v>
      </c>
      <c r="AC4218">
        <v>99177</v>
      </c>
      <c r="AD4218" t="s">
        <v>3032</v>
      </c>
      <c r="AE4218">
        <v>-43.547644120000001</v>
      </c>
      <c r="AF4218">
        <v>172.61822233000001</v>
      </c>
      <c r="AG4218" s="175">
        <v>16</v>
      </c>
      <c r="AH4218" s="175">
        <v>6</v>
      </c>
      <c r="AI4218" s="175">
        <v>4</v>
      </c>
      <c r="AJ4218" s="175">
        <v>2</v>
      </c>
      <c r="AK4218" s="175">
        <v>4</v>
      </c>
      <c r="AL4218" s="175">
        <v>6</v>
      </c>
      <c r="AM4218" s="175">
        <v>6</v>
      </c>
      <c r="AN4218" s="175">
        <v>0</v>
      </c>
      <c r="AO4218" s="175">
        <v>22</v>
      </c>
      <c r="AP4218" s="175">
        <v>18</v>
      </c>
      <c r="AQ4218" s="175">
        <v>3</v>
      </c>
      <c r="AR4218" s="175">
        <v>2</v>
      </c>
      <c r="AS4218" s="175">
        <v>4</v>
      </c>
      <c r="AT4218" s="175">
        <v>0</v>
      </c>
    </row>
    <row r="4219" spans="1:46">
      <c r="A4219">
        <v>70353</v>
      </c>
      <c r="B4219" t="s">
        <v>22875</v>
      </c>
      <c r="C4219" t="s">
        <v>22876</v>
      </c>
      <c r="D4219" t="s">
        <v>22877</v>
      </c>
      <c r="E4219" t="s">
        <v>22878</v>
      </c>
      <c r="F4219" t="s">
        <v>3234</v>
      </c>
      <c r="G4219" t="s">
        <v>3015</v>
      </c>
      <c r="H4219" t="s">
        <v>449</v>
      </c>
      <c r="J4219" t="s">
        <v>605</v>
      </c>
      <c r="K4219" t="s">
        <v>606</v>
      </c>
      <c r="M4219" t="s">
        <v>2366</v>
      </c>
      <c r="N4219" t="s">
        <v>643</v>
      </c>
      <c r="O4219" t="s">
        <v>3016</v>
      </c>
      <c r="P4219" t="s">
        <v>739</v>
      </c>
      <c r="Q4219" t="s">
        <v>521</v>
      </c>
      <c r="R4219" t="s">
        <v>3017</v>
      </c>
      <c r="S4219" t="s">
        <v>3046</v>
      </c>
      <c r="T4219" t="s">
        <v>2526</v>
      </c>
      <c r="U4219">
        <v>326500</v>
      </c>
      <c r="V4219" t="s">
        <v>3234</v>
      </c>
      <c r="W4219" t="s">
        <v>3199</v>
      </c>
      <c r="X4219" t="s">
        <v>22879</v>
      </c>
      <c r="Y4219" t="s">
        <v>22878</v>
      </c>
      <c r="Z4219" t="s">
        <v>3015</v>
      </c>
      <c r="AA4219" t="s">
        <v>16058</v>
      </c>
      <c r="AB4219" t="s">
        <v>22880</v>
      </c>
      <c r="AE4219">
        <v>-43.516135040000002</v>
      </c>
      <c r="AF4219">
        <v>172.67472839999999</v>
      </c>
      <c r="AG4219" s="175">
        <v>36</v>
      </c>
      <c r="AH4219" s="175">
        <v>8</v>
      </c>
      <c r="AI4219" s="175">
        <v>3</v>
      </c>
      <c r="AJ4219" s="175">
        <v>6</v>
      </c>
      <c r="AK4219" s="175">
        <v>12</v>
      </c>
      <c r="AL4219" s="175">
        <v>11</v>
      </c>
      <c r="AM4219" s="175">
        <v>7</v>
      </c>
      <c r="AN4219" s="175">
        <v>4</v>
      </c>
      <c r="AO4219" s="175">
        <v>43</v>
      </c>
      <c r="AP4219" s="175">
        <v>17</v>
      </c>
      <c r="AQ4219" s="175">
        <v>25</v>
      </c>
      <c r="AR4219" s="175">
        <v>5</v>
      </c>
      <c r="AS4219" s="175">
        <v>3</v>
      </c>
      <c r="AT4219" s="175">
        <v>0</v>
      </c>
    </row>
    <row r="4220" spans="1:46">
      <c r="A4220">
        <v>70355</v>
      </c>
      <c r="B4220" t="s">
        <v>22881</v>
      </c>
      <c r="C4220" t="s">
        <v>22882</v>
      </c>
      <c r="D4220" t="s">
        <v>22883</v>
      </c>
      <c r="E4220" t="s">
        <v>22884</v>
      </c>
      <c r="G4220" t="s">
        <v>22429</v>
      </c>
      <c r="H4220" t="s">
        <v>449</v>
      </c>
      <c r="J4220" t="s">
        <v>4032</v>
      </c>
      <c r="K4220" t="s">
        <v>606</v>
      </c>
      <c r="M4220" t="s">
        <v>2366</v>
      </c>
      <c r="N4220" t="s">
        <v>657</v>
      </c>
      <c r="O4220" t="s">
        <v>3281</v>
      </c>
      <c r="P4220" t="s">
        <v>610</v>
      </c>
      <c r="Q4220" t="s">
        <v>521</v>
      </c>
      <c r="R4220" t="s">
        <v>3017</v>
      </c>
      <c r="S4220" t="s">
        <v>3252</v>
      </c>
      <c r="T4220" t="s">
        <v>2526</v>
      </c>
      <c r="U4220">
        <v>336200</v>
      </c>
      <c r="V4220" t="s">
        <v>22429</v>
      </c>
      <c r="W4220" t="s">
        <v>3283</v>
      </c>
      <c r="X4220" t="s">
        <v>22885</v>
      </c>
      <c r="Y4220" t="s">
        <v>22886</v>
      </c>
      <c r="AA4220" t="s">
        <v>22887</v>
      </c>
      <c r="AB4220" t="s">
        <v>22888</v>
      </c>
      <c r="AC4220">
        <v>99207</v>
      </c>
      <c r="AD4220" t="s">
        <v>21997</v>
      </c>
      <c r="AE4220">
        <v>-43.764692549999999</v>
      </c>
      <c r="AF4220">
        <v>172.29257407</v>
      </c>
      <c r="AG4220" s="175">
        <v>55</v>
      </c>
      <c r="AH4220" s="175">
        <v>0</v>
      </c>
      <c r="AI4220" s="175">
        <v>0</v>
      </c>
      <c r="AJ4220" s="175">
        <v>0</v>
      </c>
      <c r="AK4220" s="175">
        <v>10</v>
      </c>
      <c r="AL4220" s="175">
        <v>24</v>
      </c>
      <c r="AM4220" s="175">
        <v>28</v>
      </c>
      <c r="AN4220" s="175">
        <v>0</v>
      </c>
      <c r="AO4220" s="175">
        <v>62</v>
      </c>
      <c r="AP4220" s="175">
        <v>53</v>
      </c>
      <c r="AQ4220" s="175">
        <v>9</v>
      </c>
      <c r="AR4220" s="175">
        <v>8</v>
      </c>
      <c r="AS4220" s="175">
        <v>4</v>
      </c>
      <c r="AT4220" s="175">
        <v>0</v>
      </c>
    </row>
    <row r="4221" spans="1:46">
      <c r="A4221">
        <v>70357</v>
      </c>
      <c r="B4221" t="s">
        <v>22889</v>
      </c>
      <c r="C4221" t="s">
        <v>22890</v>
      </c>
      <c r="D4221" t="s">
        <v>22891</v>
      </c>
      <c r="E4221" t="s">
        <v>22892</v>
      </c>
      <c r="F4221" t="s">
        <v>3256</v>
      </c>
      <c r="G4221" t="s">
        <v>3015</v>
      </c>
      <c r="H4221" t="s">
        <v>449</v>
      </c>
      <c r="J4221" t="s">
        <v>605</v>
      </c>
      <c r="K4221" t="s">
        <v>606</v>
      </c>
      <c r="M4221" t="s">
        <v>2366</v>
      </c>
      <c r="N4221" t="s">
        <v>657</v>
      </c>
      <c r="O4221" t="s">
        <v>3016</v>
      </c>
      <c r="P4221" t="s">
        <v>739</v>
      </c>
      <c r="Q4221" t="s">
        <v>521</v>
      </c>
      <c r="R4221" t="s">
        <v>3017</v>
      </c>
      <c r="S4221" t="s">
        <v>3018</v>
      </c>
      <c r="T4221" t="s">
        <v>2526</v>
      </c>
      <c r="U4221">
        <v>322600</v>
      </c>
      <c r="V4221" t="s">
        <v>14158</v>
      </c>
      <c r="W4221" t="s">
        <v>3072</v>
      </c>
      <c r="X4221" t="s">
        <v>22893</v>
      </c>
      <c r="Y4221" t="s">
        <v>22894</v>
      </c>
      <c r="Z4221" t="s">
        <v>3015</v>
      </c>
      <c r="AA4221" t="s">
        <v>18089</v>
      </c>
      <c r="AB4221" t="s">
        <v>22890</v>
      </c>
      <c r="AE4221">
        <v>-43.519123030000003</v>
      </c>
      <c r="AF4221">
        <v>172.61073517</v>
      </c>
      <c r="AG4221" s="175">
        <v>45</v>
      </c>
      <c r="AH4221" s="175">
        <v>0</v>
      </c>
      <c r="AI4221" s="175">
        <v>0</v>
      </c>
      <c r="AJ4221" s="175">
        <v>0</v>
      </c>
      <c r="AK4221" s="175">
        <v>15</v>
      </c>
      <c r="AL4221" s="175">
        <v>23</v>
      </c>
      <c r="AM4221" s="175">
        <v>21</v>
      </c>
      <c r="AN4221" s="175">
        <v>1</v>
      </c>
      <c r="AO4221" s="175">
        <v>60</v>
      </c>
      <c r="AP4221" s="175">
        <v>53</v>
      </c>
      <c r="AQ4221" s="175">
        <v>13</v>
      </c>
      <c r="AR4221" s="175">
        <v>4</v>
      </c>
      <c r="AS4221" s="175">
        <v>6</v>
      </c>
      <c r="AT4221" s="175">
        <v>2</v>
      </c>
    </row>
    <row r="4222" spans="1:46">
      <c r="A4222">
        <v>70358</v>
      </c>
      <c r="B4222" t="s">
        <v>22895</v>
      </c>
      <c r="C4222" t="s">
        <v>22896</v>
      </c>
      <c r="D4222" t="s">
        <v>22128</v>
      </c>
      <c r="E4222" t="s">
        <v>22897</v>
      </c>
      <c r="F4222" t="s">
        <v>3198</v>
      </c>
      <c r="G4222" t="s">
        <v>3015</v>
      </c>
      <c r="H4222" t="s">
        <v>449</v>
      </c>
      <c r="J4222" t="s">
        <v>605</v>
      </c>
      <c r="K4222" t="s">
        <v>606</v>
      </c>
      <c r="M4222" t="s">
        <v>2366</v>
      </c>
      <c r="N4222" t="s">
        <v>625</v>
      </c>
      <c r="O4222" t="s">
        <v>3016</v>
      </c>
      <c r="P4222" t="s">
        <v>739</v>
      </c>
      <c r="Q4222" t="s">
        <v>521</v>
      </c>
      <c r="R4222" t="s">
        <v>3017</v>
      </c>
      <c r="S4222" t="s">
        <v>3046</v>
      </c>
      <c r="T4222" t="s">
        <v>2526</v>
      </c>
      <c r="U4222">
        <v>328400</v>
      </c>
      <c r="V4222" t="s">
        <v>3197</v>
      </c>
      <c r="W4222" t="s">
        <v>3066</v>
      </c>
      <c r="X4222" t="s">
        <v>16056</v>
      </c>
      <c r="Y4222" t="s">
        <v>16057</v>
      </c>
      <c r="Z4222" t="s">
        <v>3197</v>
      </c>
      <c r="AA4222" t="s">
        <v>16058</v>
      </c>
      <c r="AB4222" t="s">
        <v>16053</v>
      </c>
      <c r="AC4222">
        <v>99175</v>
      </c>
      <c r="AD4222" t="s">
        <v>3144</v>
      </c>
      <c r="AE4222">
        <v>-43.521796369999997</v>
      </c>
      <c r="AF4222">
        <v>172.69274633000001</v>
      </c>
      <c r="AG4222" s="175">
        <v>21</v>
      </c>
      <c r="AH4222" s="175">
        <v>4</v>
      </c>
      <c r="AI4222" s="175">
        <v>0</v>
      </c>
      <c r="AJ4222" s="175">
        <v>3</v>
      </c>
      <c r="AK4222" s="175">
        <v>4</v>
      </c>
      <c r="AL4222" s="175">
        <v>9</v>
      </c>
      <c r="AM4222" s="175">
        <v>8</v>
      </c>
      <c r="AN4222" s="175">
        <v>0</v>
      </c>
      <c r="AO4222" s="175">
        <v>24</v>
      </c>
      <c r="AP4222" s="175">
        <v>15</v>
      </c>
      <c r="AQ4222" s="175">
        <v>18</v>
      </c>
      <c r="AR4222" s="175">
        <v>8</v>
      </c>
      <c r="AS4222" s="175">
        <v>1</v>
      </c>
      <c r="AT4222" s="175">
        <v>1</v>
      </c>
    </row>
    <row r="4223" spans="1:46">
      <c r="A4223">
        <v>70359</v>
      </c>
      <c r="B4223" t="s">
        <v>22898</v>
      </c>
      <c r="C4223" t="s">
        <v>22899</v>
      </c>
      <c r="D4223" t="s">
        <v>22900</v>
      </c>
      <c r="E4223" t="s">
        <v>22901</v>
      </c>
      <c r="G4223" t="s">
        <v>3321</v>
      </c>
      <c r="H4223" t="s">
        <v>449</v>
      </c>
      <c r="J4223" t="s">
        <v>605</v>
      </c>
      <c r="K4223" t="s">
        <v>606</v>
      </c>
      <c r="M4223" t="s">
        <v>2366</v>
      </c>
      <c r="N4223" t="s">
        <v>657</v>
      </c>
      <c r="O4223" t="s">
        <v>3322</v>
      </c>
      <c r="P4223" t="s">
        <v>610</v>
      </c>
      <c r="Q4223" t="s">
        <v>521</v>
      </c>
      <c r="R4223" t="s">
        <v>3017</v>
      </c>
      <c r="S4223" t="s">
        <v>3323</v>
      </c>
      <c r="T4223" t="s">
        <v>2526</v>
      </c>
      <c r="U4223">
        <v>338901</v>
      </c>
      <c r="V4223" t="s">
        <v>3321</v>
      </c>
      <c r="W4223" t="s">
        <v>3324</v>
      </c>
      <c r="X4223" t="s">
        <v>22902</v>
      </c>
      <c r="Y4223" t="s">
        <v>22901</v>
      </c>
      <c r="Z4223" t="s">
        <v>3321</v>
      </c>
      <c r="AA4223" t="s">
        <v>14082</v>
      </c>
      <c r="AB4223" t="s">
        <v>22903</v>
      </c>
      <c r="AC4223">
        <v>99053</v>
      </c>
      <c r="AD4223" t="s">
        <v>3329</v>
      </c>
      <c r="AE4223">
        <v>-44.100779940000002</v>
      </c>
      <c r="AF4223">
        <v>171.24262009</v>
      </c>
      <c r="AG4223" s="175">
        <v>72</v>
      </c>
      <c r="AH4223" s="175">
        <v>12</v>
      </c>
      <c r="AI4223" s="175">
        <v>2</v>
      </c>
      <c r="AJ4223" s="175">
        <v>13</v>
      </c>
      <c r="AK4223" s="175">
        <v>15</v>
      </c>
      <c r="AL4223" s="175">
        <v>35</v>
      </c>
      <c r="AM4223" s="175">
        <v>22</v>
      </c>
      <c r="AN4223" s="175">
        <v>2</v>
      </c>
      <c r="AO4223" s="175">
        <v>89</v>
      </c>
      <c r="AP4223" s="175">
        <v>87</v>
      </c>
      <c r="AQ4223" s="175">
        <v>9</v>
      </c>
      <c r="AR4223" s="175">
        <v>2</v>
      </c>
      <c r="AS4223" s="175">
        <v>1</v>
      </c>
      <c r="AT4223" s="175">
        <v>2</v>
      </c>
    </row>
    <row r="4224" spans="1:46">
      <c r="A4224">
        <v>70361</v>
      </c>
      <c r="B4224" t="s">
        <v>22904</v>
      </c>
      <c r="C4224" t="s">
        <v>22905</v>
      </c>
      <c r="D4224" t="s">
        <v>22906</v>
      </c>
      <c r="E4224" t="s">
        <v>22907</v>
      </c>
      <c r="F4224" t="s">
        <v>3246</v>
      </c>
      <c r="G4224" t="s">
        <v>3015</v>
      </c>
      <c r="H4224" t="s">
        <v>449</v>
      </c>
      <c r="J4224" t="s">
        <v>605</v>
      </c>
      <c r="K4224" t="s">
        <v>606</v>
      </c>
      <c r="M4224" t="s">
        <v>2366</v>
      </c>
      <c r="N4224" t="s">
        <v>657</v>
      </c>
      <c r="O4224" t="s">
        <v>3016</v>
      </c>
      <c r="P4224" t="s">
        <v>739</v>
      </c>
      <c r="Q4224" t="s">
        <v>521</v>
      </c>
      <c r="R4224" t="s">
        <v>3017</v>
      </c>
      <c r="S4224" t="s">
        <v>3030</v>
      </c>
      <c r="T4224" t="s">
        <v>2526</v>
      </c>
      <c r="U4224">
        <v>323100</v>
      </c>
      <c r="V4224" t="s">
        <v>3155</v>
      </c>
      <c r="W4224" t="s">
        <v>3143</v>
      </c>
      <c r="X4224" t="s">
        <v>22908</v>
      </c>
      <c r="Y4224" t="s">
        <v>22907</v>
      </c>
      <c r="Z4224" t="s">
        <v>3015</v>
      </c>
      <c r="AA4224" t="s">
        <v>18089</v>
      </c>
      <c r="AB4224" t="s">
        <v>22909</v>
      </c>
      <c r="AE4224">
        <v>-43.506822620000001</v>
      </c>
      <c r="AF4224">
        <v>172.64107865</v>
      </c>
      <c r="AG4224" s="175">
        <v>47</v>
      </c>
      <c r="AH4224" s="175">
        <v>15</v>
      </c>
      <c r="AI4224" s="175">
        <v>4</v>
      </c>
      <c r="AJ4224" s="175">
        <v>16</v>
      </c>
      <c r="AK4224" s="175">
        <v>16</v>
      </c>
      <c r="AL4224" s="175">
        <v>10</v>
      </c>
      <c r="AM4224" s="175">
        <v>12</v>
      </c>
      <c r="AN4224" s="175">
        <v>0</v>
      </c>
      <c r="AO4224" s="175">
        <v>58</v>
      </c>
      <c r="AP4224" s="175">
        <v>54</v>
      </c>
      <c r="AQ4224" s="175">
        <v>7</v>
      </c>
      <c r="AR4224" s="175">
        <v>1</v>
      </c>
      <c r="AS4224" s="175">
        <v>5</v>
      </c>
      <c r="AT4224" s="175">
        <v>1</v>
      </c>
    </row>
    <row r="4225" spans="1:46">
      <c r="A4225">
        <v>70364</v>
      </c>
      <c r="B4225" t="s">
        <v>22910</v>
      </c>
      <c r="C4225" t="s">
        <v>22911</v>
      </c>
      <c r="D4225" t="s">
        <v>12324</v>
      </c>
      <c r="E4225" t="s">
        <v>22912</v>
      </c>
      <c r="F4225" t="s">
        <v>3267</v>
      </c>
      <c r="G4225" t="s">
        <v>3015</v>
      </c>
      <c r="H4225" t="s">
        <v>449</v>
      </c>
      <c r="I4225" t="s">
        <v>4023</v>
      </c>
      <c r="J4225" t="s">
        <v>605</v>
      </c>
      <c r="K4225" t="s">
        <v>606</v>
      </c>
      <c r="M4225" t="s">
        <v>2366</v>
      </c>
      <c r="N4225" t="s">
        <v>657</v>
      </c>
      <c r="O4225" t="s">
        <v>3016</v>
      </c>
      <c r="P4225" t="s">
        <v>739</v>
      </c>
      <c r="Q4225" t="s">
        <v>521</v>
      </c>
      <c r="R4225" t="s">
        <v>3017</v>
      </c>
      <c r="S4225" t="s">
        <v>3052</v>
      </c>
      <c r="T4225" t="s">
        <v>2526</v>
      </c>
      <c r="U4225">
        <v>326301</v>
      </c>
      <c r="V4225" t="s">
        <v>3268</v>
      </c>
      <c r="W4225" t="s">
        <v>3269</v>
      </c>
      <c r="X4225" t="s">
        <v>12328</v>
      </c>
      <c r="Y4225" t="s">
        <v>12329</v>
      </c>
      <c r="Z4225" t="s">
        <v>12326</v>
      </c>
      <c r="AA4225" t="s">
        <v>12330</v>
      </c>
      <c r="AB4225" t="s">
        <v>12331</v>
      </c>
      <c r="AE4225">
        <v>-43.574475390000003</v>
      </c>
      <c r="AF4225">
        <v>172.56641791999999</v>
      </c>
      <c r="AG4225" s="175">
        <v>50</v>
      </c>
      <c r="AH4225" s="175">
        <v>14</v>
      </c>
      <c r="AI4225" s="175">
        <v>2</v>
      </c>
      <c r="AJ4225" s="175">
        <v>12</v>
      </c>
      <c r="AK4225" s="175">
        <v>12</v>
      </c>
      <c r="AL4225" s="175">
        <v>16</v>
      </c>
      <c r="AM4225" s="175">
        <v>27</v>
      </c>
      <c r="AN4225" s="175">
        <v>1</v>
      </c>
      <c r="AO4225" s="175">
        <v>70</v>
      </c>
      <c r="AP4225" s="175">
        <v>53</v>
      </c>
      <c r="AQ4225" s="175">
        <v>9</v>
      </c>
      <c r="AR4225" s="175">
        <v>4</v>
      </c>
      <c r="AS4225" s="175">
        <v>12</v>
      </c>
      <c r="AT4225" s="175">
        <v>7</v>
      </c>
    </row>
    <row r="4226" spans="1:46">
      <c r="A4226">
        <v>70366</v>
      </c>
      <c r="B4226" t="s">
        <v>22913</v>
      </c>
      <c r="C4226" t="s">
        <v>22914</v>
      </c>
      <c r="D4226" t="s">
        <v>22915</v>
      </c>
      <c r="E4226" t="s">
        <v>22916</v>
      </c>
      <c r="G4226" t="s">
        <v>3290</v>
      </c>
      <c r="H4226" t="s">
        <v>449</v>
      </c>
      <c r="J4226" t="s">
        <v>4032</v>
      </c>
      <c r="K4226" t="s">
        <v>606</v>
      </c>
      <c r="M4226" t="s">
        <v>2366</v>
      </c>
      <c r="N4226" t="s">
        <v>657</v>
      </c>
      <c r="O4226" t="s">
        <v>3291</v>
      </c>
      <c r="P4226" t="s">
        <v>1347</v>
      </c>
      <c r="Q4226" t="s">
        <v>521</v>
      </c>
      <c r="R4226" t="s">
        <v>3017</v>
      </c>
      <c r="S4226" t="s">
        <v>3292</v>
      </c>
      <c r="T4226" t="s">
        <v>2526</v>
      </c>
      <c r="U4226">
        <v>338100</v>
      </c>
      <c r="V4226" t="s">
        <v>22917</v>
      </c>
      <c r="W4226" t="s">
        <v>3294</v>
      </c>
      <c r="X4226" t="s">
        <v>22918</v>
      </c>
      <c r="Y4226" t="s">
        <v>22916</v>
      </c>
      <c r="Z4226" t="s">
        <v>3290</v>
      </c>
      <c r="AA4226" t="s">
        <v>3297</v>
      </c>
      <c r="AB4226" t="s">
        <v>22919</v>
      </c>
      <c r="AC4226">
        <v>99043</v>
      </c>
      <c r="AD4226" t="s">
        <v>3299</v>
      </c>
      <c r="AE4226">
        <v>-43.894475890000002</v>
      </c>
      <c r="AF4226">
        <v>171.74501028</v>
      </c>
      <c r="AG4226" s="175">
        <v>30</v>
      </c>
      <c r="AH4226" s="175">
        <v>10</v>
      </c>
      <c r="AI4226" s="175">
        <v>1</v>
      </c>
      <c r="AJ4226" s="175">
        <v>7</v>
      </c>
      <c r="AK4226" s="175">
        <v>9</v>
      </c>
      <c r="AL4226" s="175">
        <v>15</v>
      </c>
      <c r="AM4226" s="175">
        <v>14</v>
      </c>
      <c r="AN4226" s="175">
        <v>1</v>
      </c>
      <c r="AO4226" s="175">
        <v>47</v>
      </c>
      <c r="AP4226" s="175">
        <v>33</v>
      </c>
      <c r="AQ4226" s="175">
        <v>3</v>
      </c>
      <c r="AR4226" s="175">
        <v>4</v>
      </c>
      <c r="AS4226" s="175">
        <v>12</v>
      </c>
      <c r="AT4226" s="175">
        <v>0</v>
      </c>
    </row>
    <row r="4227" spans="1:46">
      <c r="A4227">
        <v>70367</v>
      </c>
      <c r="B4227" t="s">
        <v>22920</v>
      </c>
      <c r="C4227" t="s">
        <v>22921</v>
      </c>
      <c r="D4227" t="s">
        <v>22922</v>
      </c>
      <c r="E4227" t="s">
        <v>22923</v>
      </c>
      <c r="F4227" t="s">
        <v>3159</v>
      </c>
      <c r="G4227" t="s">
        <v>3015</v>
      </c>
      <c r="H4227" t="s">
        <v>449</v>
      </c>
      <c r="J4227" t="s">
        <v>605</v>
      </c>
      <c r="K4227" t="s">
        <v>606</v>
      </c>
      <c r="M4227" t="s">
        <v>2366</v>
      </c>
      <c r="N4227" t="s">
        <v>812</v>
      </c>
      <c r="O4227" t="s">
        <v>3016</v>
      </c>
      <c r="P4227" t="s">
        <v>739</v>
      </c>
      <c r="Q4227" t="s">
        <v>521</v>
      </c>
      <c r="R4227" t="s">
        <v>3017</v>
      </c>
      <c r="S4227" t="s">
        <v>3092</v>
      </c>
      <c r="T4227" t="s">
        <v>2526</v>
      </c>
      <c r="U4227">
        <v>326701</v>
      </c>
      <c r="V4227" t="s">
        <v>3160</v>
      </c>
      <c r="W4227" t="s">
        <v>3161</v>
      </c>
      <c r="X4227" t="s">
        <v>22924</v>
      </c>
      <c r="Y4227" t="s">
        <v>22923</v>
      </c>
      <c r="Z4227" t="s">
        <v>3159</v>
      </c>
      <c r="AA4227" t="s">
        <v>13017</v>
      </c>
      <c r="AB4227" t="s">
        <v>22925</v>
      </c>
      <c r="AE4227">
        <v>-43.563724209999997</v>
      </c>
      <c r="AF4227">
        <v>172.59038151999999</v>
      </c>
      <c r="AG4227" s="175">
        <v>36</v>
      </c>
      <c r="AH4227" s="175">
        <v>10</v>
      </c>
      <c r="AI4227" s="175">
        <v>2</v>
      </c>
      <c r="AJ4227" s="175">
        <v>5</v>
      </c>
      <c r="AK4227" s="175">
        <v>6</v>
      </c>
      <c r="AL4227" s="175">
        <v>6</v>
      </c>
      <c r="AM4227" s="175">
        <v>12</v>
      </c>
      <c r="AN4227" s="175">
        <v>1</v>
      </c>
      <c r="AO4227" s="175">
        <v>32</v>
      </c>
      <c r="AP4227" s="175">
        <v>16</v>
      </c>
      <c r="AQ4227" s="175">
        <v>19</v>
      </c>
      <c r="AR4227" s="175">
        <v>10</v>
      </c>
      <c r="AS4227" s="175">
        <v>1</v>
      </c>
      <c r="AT4227" s="175">
        <v>0</v>
      </c>
    </row>
    <row r="4228" spans="1:46">
      <c r="A4228">
        <v>70368</v>
      </c>
      <c r="B4228" t="s">
        <v>22926</v>
      </c>
      <c r="C4228" t="s">
        <v>13550</v>
      </c>
      <c r="D4228" t="s">
        <v>22927</v>
      </c>
      <c r="E4228" t="s">
        <v>13548</v>
      </c>
      <c r="G4228" t="s">
        <v>13544</v>
      </c>
      <c r="H4228" t="s">
        <v>449</v>
      </c>
      <c r="J4228" t="s">
        <v>605</v>
      </c>
      <c r="K4228" t="s">
        <v>606</v>
      </c>
      <c r="M4228" t="s">
        <v>2366</v>
      </c>
      <c r="N4228" t="s">
        <v>657</v>
      </c>
      <c r="O4228" t="s">
        <v>13545</v>
      </c>
      <c r="P4228" t="s">
        <v>610</v>
      </c>
      <c r="Q4228" t="s">
        <v>521</v>
      </c>
      <c r="R4228" t="s">
        <v>3017</v>
      </c>
      <c r="S4228" t="s">
        <v>2902</v>
      </c>
      <c r="T4228" t="s">
        <v>2526</v>
      </c>
      <c r="U4228">
        <v>312901</v>
      </c>
      <c r="V4228" t="s">
        <v>13544</v>
      </c>
      <c r="W4228" t="s">
        <v>13546</v>
      </c>
      <c r="X4228" t="s">
        <v>13547</v>
      </c>
      <c r="Y4228" t="s">
        <v>13548</v>
      </c>
      <c r="AA4228" t="s">
        <v>13549</v>
      </c>
      <c r="AB4228" t="s">
        <v>13550</v>
      </c>
      <c r="AC4228">
        <v>99077</v>
      </c>
      <c r="AD4228" t="s">
        <v>3041</v>
      </c>
      <c r="AE4228">
        <v>-43.154601890000002</v>
      </c>
      <c r="AF4228">
        <v>172.72910496</v>
      </c>
      <c r="AG4228" s="175">
        <v>50</v>
      </c>
      <c r="AH4228" s="175">
        <v>10</v>
      </c>
      <c r="AI4228" s="175">
        <v>2</v>
      </c>
      <c r="AJ4228" s="175">
        <v>9</v>
      </c>
      <c r="AK4228" s="175">
        <v>14</v>
      </c>
      <c r="AL4228" s="175">
        <v>13</v>
      </c>
      <c r="AM4228" s="175">
        <v>8</v>
      </c>
      <c r="AN4228" s="175">
        <v>0</v>
      </c>
      <c r="AO4228" s="175">
        <v>46</v>
      </c>
      <c r="AP4228" s="175">
        <v>35</v>
      </c>
      <c r="AQ4228" s="175">
        <v>12</v>
      </c>
      <c r="AR4228" s="175">
        <v>0</v>
      </c>
      <c r="AS4228" s="175">
        <v>5</v>
      </c>
      <c r="AT4228" s="175">
        <v>8</v>
      </c>
    </row>
    <row r="4229" spans="1:46">
      <c r="A4229">
        <v>70371</v>
      </c>
      <c r="B4229" t="s">
        <v>22928</v>
      </c>
      <c r="C4229" t="s">
        <v>22929</v>
      </c>
      <c r="D4229" t="s">
        <v>22930</v>
      </c>
      <c r="E4229" t="s">
        <v>22931</v>
      </c>
      <c r="F4229" t="s">
        <v>13273</v>
      </c>
      <c r="G4229" t="s">
        <v>3015</v>
      </c>
      <c r="H4229" t="s">
        <v>449</v>
      </c>
      <c r="J4229" t="s">
        <v>605</v>
      </c>
      <c r="K4229" t="s">
        <v>606</v>
      </c>
      <c r="M4229" t="s">
        <v>2366</v>
      </c>
      <c r="N4229" t="s">
        <v>643</v>
      </c>
      <c r="O4229" t="s">
        <v>3016</v>
      </c>
      <c r="P4229" t="s">
        <v>739</v>
      </c>
      <c r="Q4229" t="s">
        <v>521</v>
      </c>
      <c r="R4229" t="s">
        <v>3017</v>
      </c>
      <c r="S4229" t="s">
        <v>3092</v>
      </c>
      <c r="T4229" t="s">
        <v>2526</v>
      </c>
      <c r="U4229">
        <v>321000</v>
      </c>
      <c r="V4229" t="s">
        <v>16998</v>
      </c>
      <c r="W4229" t="s">
        <v>3149</v>
      </c>
      <c r="X4229" t="s">
        <v>22932</v>
      </c>
      <c r="Y4229" t="s">
        <v>22933</v>
      </c>
      <c r="Z4229" t="s">
        <v>13273</v>
      </c>
      <c r="AA4229" t="s">
        <v>11482</v>
      </c>
      <c r="AB4229" t="s">
        <v>22934</v>
      </c>
      <c r="AC4229">
        <v>99176</v>
      </c>
      <c r="AD4229" t="s">
        <v>3150</v>
      </c>
      <c r="AE4229">
        <v>-43.536472629999999</v>
      </c>
      <c r="AF4229">
        <v>172.55626040999999</v>
      </c>
      <c r="AG4229" s="175">
        <v>35</v>
      </c>
      <c r="AH4229" s="175">
        <v>14</v>
      </c>
      <c r="AI4229" s="175">
        <v>1</v>
      </c>
      <c r="AJ4229" s="175">
        <v>9</v>
      </c>
      <c r="AK4229" s="175">
        <v>7</v>
      </c>
      <c r="AL4229" s="175">
        <v>10</v>
      </c>
      <c r="AM4229" s="175">
        <v>12</v>
      </c>
      <c r="AN4229" s="175">
        <v>0</v>
      </c>
      <c r="AO4229" s="175">
        <v>39</v>
      </c>
      <c r="AP4229" s="175">
        <v>15</v>
      </c>
      <c r="AQ4229" s="175">
        <v>21</v>
      </c>
      <c r="AR4229" s="175">
        <v>6</v>
      </c>
      <c r="AS4229" s="175">
        <v>7</v>
      </c>
      <c r="AT4229" s="175">
        <v>2</v>
      </c>
    </row>
    <row r="4230" spans="1:46">
      <c r="A4230">
        <v>70373</v>
      </c>
      <c r="B4230" t="s">
        <v>22935</v>
      </c>
      <c r="D4230" t="s">
        <v>22936</v>
      </c>
      <c r="E4230" t="s">
        <v>22937</v>
      </c>
      <c r="F4230" t="s">
        <v>13743</v>
      </c>
      <c r="G4230" t="s">
        <v>3015</v>
      </c>
      <c r="H4230" t="s">
        <v>449</v>
      </c>
      <c r="J4230" t="s">
        <v>605</v>
      </c>
      <c r="K4230" t="s">
        <v>606</v>
      </c>
      <c r="M4230" t="s">
        <v>2366</v>
      </c>
      <c r="N4230" t="s">
        <v>657</v>
      </c>
      <c r="O4230" t="s">
        <v>3016</v>
      </c>
      <c r="P4230" t="s">
        <v>739</v>
      </c>
      <c r="Q4230" t="s">
        <v>521</v>
      </c>
      <c r="R4230" t="s">
        <v>3017</v>
      </c>
      <c r="S4230" t="s">
        <v>3052</v>
      </c>
      <c r="T4230" t="s">
        <v>2526</v>
      </c>
      <c r="U4230">
        <v>331200</v>
      </c>
      <c r="V4230" t="s">
        <v>13743</v>
      </c>
      <c r="W4230" t="s">
        <v>3031</v>
      </c>
      <c r="X4230" t="s">
        <v>22938</v>
      </c>
      <c r="Y4230" t="s">
        <v>22939</v>
      </c>
      <c r="Z4230" t="s">
        <v>3029</v>
      </c>
      <c r="AA4230" t="s">
        <v>11473</v>
      </c>
      <c r="AC4230">
        <v>99177</v>
      </c>
      <c r="AD4230" t="s">
        <v>3032</v>
      </c>
      <c r="AE4230">
        <v>-43.566418859999999</v>
      </c>
      <c r="AF4230">
        <v>172.65202554000001</v>
      </c>
      <c r="AG4230" s="175">
        <v>30</v>
      </c>
      <c r="AH4230" s="175">
        <v>0</v>
      </c>
      <c r="AI4230" s="175">
        <v>0</v>
      </c>
      <c r="AJ4230" s="175">
        <v>0</v>
      </c>
      <c r="AK4230" s="175">
        <v>12</v>
      </c>
      <c r="AL4230" s="175">
        <v>10</v>
      </c>
      <c r="AM4230" s="175">
        <v>11</v>
      </c>
      <c r="AN4230" s="175">
        <v>2</v>
      </c>
      <c r="AO4230" s="175">
        <v>35</v>
      </c>
      <c r="AP4230" s="175">
        <v>34</v>
      </c>
      <c r="AQ4230" s="175">
        <v>5</v>
      </c>
      <c r="AR4230" s="175">
        <v>1</v>
      </c>
      <c r="AS4230" s="175">
        <v>2</v>
      </c>
      <c r="AT4230" s="175">
        <v>1</v>
      </c>
    </row>
    <row r="4231" spans="1:46">
      <c r="A4231">
        <v>70381</v>
      </c>
      <c r="B4231" t="s">
        <v>22940</v>
      </c>
      <c r="C4231" t="s">
        <v>22941</v>
      </c>
      <c r="D4231" t="s">
        <v>22942</v>
      </c>
      <c r="E4231" t="s">
        <v>22943</v>
      </c>
      <c r="F4231" t="s">
        <v>13270</v>
      </c>
      <c r="G4231" t="s">
        <v>3015</v>
      </c>
      <c r="H4231" t="s">
        <v>449</v>
      </c>
      <c r="J4231" t="s">
        <v>4032</v>
      </c>
      <c r="K4231" t="s">
        <v>606</v>
      </c>
      <c r="M4231" t="s">
        <v>2366</v>
      </c>
      <c r="N4231" t="s">
        <v>657</v>
      </c>
      <c r="O4231" t="s">
        <v>3016</v>
      </c>
      <c r="P4231" t="s">
        <v>739</v>
      </c>
      <c r="Q4231" t="s">
        <v>521</v>
      </c>
      <c r="R4231" t="s">
        <v>3017</v>
      </c>
      <c r="S4231" t="s">
        <v>3018</v>
      </c>
      <c r="T4231" t="s">
        <v>2526</v>
      </c>
      <c r="U4231">
        <v>319700</v>
      </c>
      <c r="V4231" t="s">
        <v>3019</v>
      </c>
      <c r="W4231" t="s">
        <v>3020</v>
      </c>
      <c r="X4231" t="s">
        <v>22944</v>
      </c>
      <c r="Y4231" t="s">
        <v>4176</v>
      </c>
      <c r="AA4231" t="s">
        <v>4052</v>
      </c>
      <c r="AB4231" t="s">
        <v>22945</v>
      </c>
      <c r="AE4231">
        <v>-43.526258480000003</v>
      </c>
      <c r="AF4231">
        <v>172.55449621</v>
      </c>
      <c r="AG4231" s="175">
        <v>65</v>
      </c>
      <c r="AH4231" s="175">
        <v>12</v>
      </c>
      <c r="AI4231" s="175">
        <v>2</v>
      </c>
      <c r="AJ4231" s="175">
        <v>7</v>
      </c>
      <c r="AK4231" s="175">
        <v>9</v>
      </c>
      <c r="AL4231" s="175">
        <v>16</v>
      </c>
      <c r="AM4231" s="175">
        <v>14</v>
      </c>
      <c r="AN4231" s="175">
        <v>0</v>
      </c>
      <c r="AO4231" s="175">
        <v>48</v>
      </c>
      <c r="AP4231" s="175">
        <v>19</v>
      </c>
      <c r="AQ4231" s="175">
        <v>5</v>
      </c>
      <c r="AR4231" s="175">
        <v>4</v>
      </c>
      <c r="AS4231" s="175">
        <v>24</v>
      </c>
      <c r="AT4231" s="175">
        <v>4</v>
      </c>
    </row>
    <row r="4232" spans="1:46">
      <c r="A4232">
        <v>70385</v>
      </c>
      <c r="B4232" t="s">
        <v>22946</v>
      </c>
      <c r="C4232" t="s">
        <v>22947</v>
      </c>
      <c r="D4232" t="s">
        <v>22948</v>
      </c>
      <c r="E4232" t="s">
        <v>22949</v>
      </c>
      <c r="F4232" t="s">
        <v>13270</v>
      </c>
      <c r="G4232" t="s">
        <v>3015</v>
      </c>
      <c r="H4232" t="s">
        <v>449</v>
      </c>
      <c r="I4232" t="s">
        <v>4023</v>
      </c>
      <c r="J4232" t="s">
        <v>605</v>
      </c>
      <c r="K4232" t="s">
        <v>606</v>
      </c>
      <c r="M4232" t="s">
        <v>2366</v>
      </c>
      <c r="N4232" t="s">
        <v>657</v>
      </c>
      <c r="O4232" t="s">
        <v>3016</v>
      </c>
      <c r="P4232" t="s">
        <v>739</v>
      </c>
      <c r="Q4232" t="s">
        <v>521</v>
      </c>
      <c r="R4232" t="s">
        <v>3017</v>
      </c>
      <c r="S4232" t="s">
        <v>3092</v>
      </c>
      <c r="T4232" t="s">
        <v>2526</v>
      </c>
      <c r="U4232">
        <v>322700</v>
      </c>
      <c r="V4232" t="s">
        <v>22950</v>
      </c>
      <c r="W4232" t="s">
        <v>3149</v>
      </c>
      <c r="X4232" t="s">
        <v>22951</v>
      </c>
      <c r="Y4232" t="s">
        <v>22952</v>
      </c>
      <c r="Z4232" t="s">
        <v>13270</v>
      </c>
      <c r="AA4232" t="s">
        <v>12005</v>
      </c>
      <c r="AB4232" t="s">
        <v>22953</v>
      </c>
      <c r="AC4232">
        <v>99173</v>
      </c>
      <c r="AD4232" t="s">
        <v>12268</v>
      </c>
      <c r="AE4232">
        <v>-43.534787289999997</v>
      </c>
      <c r="AF4232">
        <v>172.57530086</v>
      </c>
      <c r="AG4232" s="175">
        <v>50</v>
      </c>
      <c r="AH4232" s="175">
        <v>0</v>
      </c>
      <c r="AI4232" s="175">
        <v>0</v>
      </c>
      <c r="AJ4232" s="175">
        <v>0</v>
      </c>
      <c r="AK4232" s="175">
        <v>11</v>
      </c>
      <c r="AL4232" s="175">
        <v>25</v>
      </c>
      <c r="AM4232" s="175">
        <v>25</v>
      </c>
      <c r="AN4232" s="175">
        <v>1</v>
      </c>
      <c r="AO4232" s="175">
        <v>62</v>
      </c>
      <c r="AP4232" s="175">
        <v>24</v>
      </c>
      <c r="AQ4232" s="175">
        <v>1</v>
      </c>
      <c r="AR4232" s="175">
        <v>3</v>
      </c>
      <c r="AS4232" s="175">
        <v>37</v>
      </c>
      <c r="AT4232" s="175">
        <v>4</v>
      </c>
    </row>
    <row r="4233" spans="1:46">
      <c r="A4233">
        <v>70391</v>
      </c>
      <c r="B4233" t="s">
        <v>22954</v>
      </c>
      <c r="C4233" t="s">
        <v>22955</v>
      </c>
      <c r="D4233" t="s">
        <v>22956</v>
      </c>
      <c r="E4233" t="s">
        <v>22957</v>
      </c>
      <c r="F4233" t="s">
        <v>3130</v>
      </c>
      <c r="G4233" t="s">
        <v>3015</v>
      </c>
      <c r="H4233" t="s">
        <v>449</v>
      </c>
      <c r="J4233" t="s">
        <v>4032</v>
      </c>
      <c r="K4233" t="s">
        <v>606</v>
      </c>
      <c r="M4233" t="s">
        <v>2366</v>
      </c>
      <c r="N4233" t="s">
        <v>625</v>
      </c>
      <c r="O4233" t="s">
        <v>3016</v>
      </c>
      <c r="P4233" t="s">
        <v>739</v>
      </c>
      <c r="Q4233" t="s">
        <v>521</v>
      </c>
      <c r="R4233" t="s">
        <v>3017</v>
      </c>
      <c r="S4233" t="s">
        <v>3030</v>
      </c>
      <c r="T4233" t="s">
        <v>2526</v>
      </c>
      <c r="U4233">
        <v>327901</v>
      </c>
      <c r="V4233" t="s">
        <v>22958</v>
      </c>
      <c r="W4233" t="s">
        <v>2521</v>
      </c>
      <c r="X4233" t="s">
        <v>22959</v>
      </c>
      <c r="Y4233" t="s">
        <v>22957</v>
      </c>
      <c r="Z4233" t="s">
        <v>3130</v>
      </c>
      <c r="AA4233" t="s">
        <v>21863</v>
      </c>
      <c r="AB4233" t="s">
        <v>22955</v>
      </c>
      <c r="AC4233">
        <v>99063</v>
      </c>
      <c r="AD4233" t="s">
        <v>3067</v>
      </c>
      <c r="AE4233">
        <v>-43.530694879999999</v>
      </c>
      <c r="AF4233">
        <v>172.65579991999999</v>
      </c>
      <c r="AG4233" s="175">
        <v>51</v>
      </c>
      <c r="AH4233" s="175">
        <v>14</v>
      </c>
      <c r="AI4233" s="175">
        <v>3</v>
      </c>
      <c r="AJ4233" s="175">
        <v>4</v>
      </c>
      <c r="AK4233" s="175">
        <v>9</v>
      </c>
      <c r="AL4233" s="175">
        <v>13</v>
      </c>
      <c r="AM4233" s="175">
        <v>11</v>
      </c>
      <c r="AN4233" s="175">
        <v>1</v>
      </c>
      <c r="AO4233" s="175">
        <v>41</v>
      </c>
      <c r="AP4233" s="175">
        <v>6</v>
      </c>
      <c r="AQ4233" s="175">
        <v>3</v>
      </c>
      <c r="AR4233" s="175">
        <v>3</v>
      </c>
      <c r="AS4233" s="175">
        <v>32</v>
      </c>
      <c r="AT4233" s="175">
        <v>0</v>
      </c>
    </row>
    <row r="4234" spans="1:46">
      <c r="A4234">
        <v>70395</v>
      </c>
      <c r="B4234" t="s">
        <v>22960</v>
      </c>
      <c r="C4234" t="s">
        <v>22961</v>
      </c>
      <c r="D4234" t="s">
        <v>22962</v>
      </c>
      <c r="E4234" t="s">
        <v>22963</v>
      </c>
      <c r="F4234" t="s">
        <v>3130</v>
      </c>
      <c r="G4234" t="s">
        <v>3015</v>
      </c>
      <c r="H4234" t="s">
        <v>449</v>
      </c>
      <c r="J4234" t="s">
        <v>605</v>
      </c>
      <c r="K4234" t="s">
        <v>606</v>
      </c>
      <c r="M4234" t="s">
        <v>2366</v>
      </c>
      <c r="N4234" t="s">
        <v>608</v>
      </c>
      <c r="O4234" t="s">
        <v>3016</v>
      </c>
      <c r="P4234" t="s">
        <v>739</v>
      </c>
      <c r="Q4234" t="s">
        <v>521</v>
      </c>
      <c r="R4234" t="s">
        <v>3017</v>
      </c>
      <c r="S4234" t="s">
        <v>3052</v>
      </c>
      <c r="T4234" t="s">
        <v>2526</v>
      </c>
      <c r="U4234">
        <v>330100</v>
      </c>
      <c r="V4234" t="s">
        <v>3065</v>
      </c>
      <c r="W4234" t="s">
        <v>3066</v>
      </c>
      <c r="X4234" t="s">
        <v>22964</v>
      </c>
      <c r="Y4234" t="s">
        <v>22963</v>
      </c>
      <c r="Z4234" t="s">
        <v>3130</v>
      </c>
      <c r="AA4234" t="s">
        <v>21720</v>
      </c>
      <c r="AB4234" t="s">
        <v>22965</v>
      </c>
      <c r="AC4234">
        <v>99063</v>
      </c>
      <c r="AD4234" t="s">
        <v>3067</v>
      </c>
      <c r="AE4234">
        <v>-43.53545484</v>
      </c>
      <c r="AF4234">
        <v>172.67144389000001</v>
      </c>
      <c r="AG4234" s="175">
        <v>36</v>
      </c>
      <c r="AH4234" s="175">
        <v>6</v>
      </c>
      <c r="AI4234" s="175">
        <v>0</v>
      </c>
      <c r="AJ4234" s="175">
        <v>3</v>
      </c>
      <c r="AK4234" s="175">
        <v>4</v>
      </c>
      <c r="AL4234" s="175">
        <v>16</v>
      </c>
      <c r="AM4234" s="175">
        <v>13</v>
      </c>
      <c r="AN4234" s="175">
        <v>3</v>
      </c>
      <c r="AO4234" s="175">
        <v>39</v>
      </c>
      <c r="AP4234" s="175">
        <v>23</v>
      </c>
      <c r="AQ4234" s="175">
        <v>19</v>
      </c>
      <c r="AR4234" s="175">
        <v>7</v>
      </c>
      <c r="AS4234" s="175">
        <v>7</v>
      </c>
      <c r="AT4234" s="175">
        <v>0</v>
      </c>
    </row>
    <row r="4235" spans="1:46">
      <c r="A4235">
        <v>70401</v>
      </c>
      <c r="B4235" t="s">
        <v>22966</v>
      </c>
      <c r="C4235" t="s">
        <v>22967</v>
      </c>
      <c r="D4235" t="s">
        <v>22968</v>
      </c>
      <c r="E4235" t="s">
        <v>22969</v>
      </c>
      <c r="G4235" t="s">
        <v>21732</v>
      </c>
      <c r="H4235" t="s">
        <v>449</v>
      </c>
      <c r="J4235" t="s">
        <v>605</v>
      </c>
      <c r="K4235" t="s">
        <v>606</v>
      </c>
      <c r="M4235" t="s">
        <v>2366</v>
      </c>
      <c r="N4235" t="s">
        <v>657</v>
      </c>
      <c r="O4235" t="s">
        <v>3281</v>
      </c>
      <c r="P4235" t="s">
        <v>610</v>
      </c>
      <c r="Q4235" t="s">
        <v>521</v>
      </c>
      <c r="R4235" t="s">
        <v>3017</v>
      </c>
      <c r="S4235" t="s">
        <v>3252</v>
      </c>
      <c r="T4235" t="s">
        <v>2526</v>
      </c>
      <c r="U4235">
        <v>334001</v>
      </c>
      <c r="V4235" t="s">
        <v>21732</v>
      </c>
      <c r="W4235" t="s">
        <v>12669</v>
      </c>
      <c r="X4235" t="s">
        <v>22970</v>
      </c>
      <c r="Y4235" t="s">
        <v>22969</v>
      </c>
      <c r="Z4235" t="s">
        <v>21732</v>
      </c>
      <c r="AA4235" t="s">
        <v>21734</v>
      </c>
      <c r="AB4235" t="s">
        <v>22967</v>
      </c>
      <c r="AC4235">
        <v>99008</v>
      </c>
      <c r="AD4235" t="s">
        <v>17656</v>
      </c>
      <c r="AE4235">
        <v>-43.49338023</v>
      </c>
      <c r="AF4235">
        <v>172.11405296000001</v>
      </c>
      <c r="AG4235" s="175">
        <v>60</v>
      </c>
      <c r="AH4235" s="175">
        <v>15</v>
      </c>
      <c r="AI4235" s="175">
        <v>1</v>
      </c>
      <c r="AJ4235" s="175">
        <v>12</v>
      </c>
      <c r="AK4235" s="175">
        <v>19</v>
      </c>
      <c r="AL4235" s="175">
        <v>25</v>
      </c>
      <c r="AM4235" s="175">
        <v>19</v>
      </c>
      <c r="AN4235" s="175">
        <v>0</v>
      </c>
      <c r="AO4235" s="175">
        <v>76</v>
      </c>
      <c r="AP4235" s="175">
        <v>75</v>
      </c>
      <c r="AQ4235" s="175">
        <v>9</v>
      </c>
      <c r="AR4235" s="175">
        <v>0</v>
      </c>
      <c r="AS4235" s="175">
        <v>1</v>
      </c>
      <c r="AT4235" s="175">
        <v>3</v>
      </c>
    </row>
    <row r="4236" spans="1:46">
      <c r="A4236">
        <v>70403</v>
      </c>
      <c r="B4236" t="s">
        <v>22971</v>
      </c>
      <c r="C4236" t="s">
        <v>22972</v>
      </c>
      <c r="D4236" t="s">
        <v>22973</v>
      </c>
      <c r="E4236" t="s">
        <v>22974</v>
      </c>
      <c r="F4236" t="s">
        <v>14942</v>
      </c>
      <c r="G4236" t="s">
        <v>3334</v>
      </c>
      <c r="H4236" t="s">
        <v>449</v>
      </c>
      <c r="J4236" t="s">
        <v>605</v>
      </c>
      <c r="K4236" t="s">
        <v>606</v>
      </c>
      <c r="M4236" t="s">
        <v>2366</v>
      </c>
      <c r="N4236" t="s">
        <v>643</v>
      </c>
      <c r="O4236" t="s">
        <v>3322</v>
      </c>
      <c r="P4236" t="s">
        <v>1347</v>
      </c>
      <c r="Q4236" t="s">
        <v>521</v>
      </c>
      <c r="R4236" t="s">
        <v>3017</v>
      </c>
      <c r="S4236" t="s">
        <v>3292</v>
      </c>
      <c r="T4236" t="s">
        <v>2526</v>
      </c>
      <c r="U4236">
        <v>340300</v>
      </c>
      <c r="V4236" t="s">
        <v>3364</v>
      </c>
      <c r="W4236" t="s">
        <v>3336</v>
      </c>
      <c r="X4236" t="s">
        <v>10864</v>
      </c>
      <c r="Y4236" t="s">
        <v>4014</v>
      </c>
      <c r="Z4236" t="s">
        <v>4015</v>
      </c>
      <c r="AA4236" t="s">
        <v>4016</v>
      </c>
      <c r="AC4236">
        <v>99174</v>
      </c>
      <c r="AD4236" t="s">
        <v>3341</v>
      </c>
      <c r="AE4236">
        <v>-44.378877019999997</v>
      </c>
      <c r="AF4236">
        <v>171.23382036999999</v>
      </c>
      <c r="AG4236" s="175">
        <v>44</v>
      </c>
      <c r="AH4236" s="175">
        <v>10</v>
      </c>
      <c r="AI4236" s="175">
        <v>1</v>
      </c>
      <c r="AJ4236" s="175">
        <v>12</v>
      </c>
      <c r="AK4236" s="175">
        <v>9</v>
      </c>
      <c r="AL4236" s="175">
        <v>9</v>
      </c>
      <c r="AM4236" s="175">
        <v>15</v>
      </c>
      <c r="AN4236" s="175">
        <v>1</v>
      </c>
      <c r="AO4236" s="175">
        <v>47</v>
      </c>
      <c r="AP4236" s="175">
        <v>31</v>
      </c>
      <c r="AQ4236" s="175">
        <v>10</v>
      </c>
      <c r="AR4236" s="175">
        <v>5</v>
      </c>
      <c r="AS4236" s="175">
        <v>6</v>
      </c>
      <c r="AT4236" s="175">
        <v>6</v>
      </c>
    </row>
    <row r="4237" spans="1:46">
      <c r="A4237">
        <v>70405</v>
      </c>
      <c r="B4237" t="s">
        <v>22975</v>
      </c>
      <c r="C4237" t="s">
        <v>22976</v>
      </c>
      <c r="D4237" t="s">
        <v>22977</v>
      </c>
      <c r="E4237" t="s">
        <v>22978</v>
      </c>
      <c r="F4237" t="s">
        <v>21833</v>
      </c>
      <c r="G4237" t="s">
        <v>3015</v>
      </c>
      <c r="H4237" t="s">
        <v>449</v>
      </c>
      <c r="J4237" t="s">
        <v>605</v>
      </c>
      <c r="K4237" t="s">
        <v>606</v>
      </c>
      <c r="M4237" t="s">
        <v>2366</v>
      </c>
      <c r="N4237" t="s">
        <v>657</v>
      </c>
      <c r="O4237" t="s">
        <v>3016</v>
      </c>
      <c r="P4237" t="s">
        <v>739</v>
      </c>
      <c r="Q4237" t="s">
        <v>521</v>
      </c>
      <c r="R4237" t="s">
        <v>3017</v>
      </c>
      <c r="S4237" t="s">
        <v>3030</v>
      </c>
      <c r="T4237" t="s">
        <v>2526</v>
      </c>
      <c r="U4237">
        <v>322200</v>
      </c>
      <c r="V4237" t="s">
        <v>12090</v>
      </c>
      <c r="W4237" t="s">
        <v>3171</v>
      </c>
      <c r="X4237" t="s">
        <v>10864</v>
      </c>
      <c r="Y4237" t="s">
        <v>4014</v>
      </c>
      <c r="Z4237" t="s">
        <v>4015</v>
      </c>
      <c r="AA4237" t="s">
        <v>4016</v>
      </c>
      <c r="AE4237">
        <v>-43.504807960000001</v>
      </c>
      <c r="AF4237">
        <v>172.61527771999999</v>
      </c>
      <c r="AG4237" s="175">
        <v>50</v>
      </c>
      <c r="AH4237" s="175">
        <v>16</v>
      </c>
      <c r="AI4237" s="175">
        <v>1</v>
      </c>
      <c r="AJ4237" s="175">
        <v>10</v>
      </c>
      <c r="AK4237" s="175">
        <v>16</v>
      </c>
      <c r="AL4237" s="175">
        <v>15</v>
      </c>
      <c r="AM4237" s="175">
        <v>14</v>
      </c>
      <c r="AN4237" s="175">
        <v>1</v>
      </c>
      <c r="AO4237" s="175">
        <v>57</v>
      </c>
      <c r="AP4237" s="175">
        <v>33</v>
      </c>
      <c r="AQ4237" s="175">
        <v>4</v>
      </c>
      <c r="AR4237" s="175">
        <v>3</v>
      </c>
      <c r="AS4237" s="175">
        <v>22</v>
      </c>
      <c r="AT4237" s="175">
        <v>5</v>
      </c>
    </row>
    <row r="4238" spans="1:46">
      <c r="A4238">
        <v>70407</v>
      </c>
      <c r="B4238" t="s">
        <v>22979</v>
      </c>
      <c r="C4238" t="s">
        <v>22980</v>
      </c>
      <c r="D4238" t="s">
        <v>22981</v>
      </c>
      <c r="E4238" t="s">
        <v>22982</v>
      </c>
      <c r="F4238" t="s">
        <v>3188</v>
      </c>
      <c r="G4238" t="s">
        <v>3015</v>
      </c>
      <c r="H4238" t="s">
        <v>449</v>
      </c>
      <c r="I4238" t="s">
        <v>6249</v>
      </c>
      <c r="J4238" t="s">
        <v>605</v>
      </c>
      <c r="K4238" t="s">
        <v>606</v>
      </c>
      <c r="M4238" t="s">
        <v>2366</v>
      </c>
      <c r="N4238" t="s">
        <v>625</v>
      </c>
      <c r="O4238" t="s">
        <v>3016</v>
      </c>
      <c r="P4238" t="s">
        <v>739</v>
      </c>
      <c r="Q4238" t="s">
        <v>521</v>
      </c>
      <c r="R4238" t="s">
        <v>3017</v>
      </c>
      <c r="S4238" t="s">
        <v>3018</v>
      </c>
      <c r="T4238" t="s">
        <v>2526</v>
      </c>
      <c r="U4238">
        <v>320100</v>
      </c>
      <c r="V4238" t="s">
        <v>14010</v>
      </c>
      <c r="W4238" t="s">
        <v>3171</v>
      </c>
      <c r="X4238" t="s">
        <v>22983</v>
      </c>
      <c r="Y4238" t="s">
        <v>22982</v>
      </c>
      <c r="Z4238" t="s">
        <v>3188</v>
      </c>
      <c r="AA4238" t="s">
        <v>11584</v>
      </c>
      <c r="AB4238" t="s">
        <v>22984</v>
      </c>
      <c r="AC4238">
        <v>99027</v>
      </c>
      <c r="AD4238" t="s">
        <v>3073</v>
      </c>
      <c r="AE4238">
        <v>-43.494062980000002</v>
      </c>
      <c r="AF4238">
        <v>172.6016051</v>
      </c>
      <c r="AG4238" s="175">
        <v>39</v>
      </c>
      <c r="AH4238" s="175">
        <v>9</v>
      </c>
      <c r="AI4238" s="175">
        <v>1</v>
      </c>
      <c r="AJ4238" s="175">
        <v>8</v>
      </c>
      <c r="AK4238" s="175">
        <v>10</v>
      </c>
      <c r="AL4238" s="175">
        <v>9</v>
      </c>
      <c r="AM4238" s="175">
        <v>15</v>
      </c>
      <c r="AN4238" s="175">
        <v>0</v>
      </c>
      <c r="AO4238" s="175">
        <v>43</v>
      </c>
      <c r="AP4238" s="175">
        <v>17</v>
      </c>
      <c r="AQ4238" s="175">
        <v>24</v>
      </c>
      <c r="AR4238" s="175">
        <v>1</v>
      </c>
      <c r="AS4238" s="175">
        <v>6</v>
      </c>
      <c r="AT4238" s="175">
        <v>3</v>
      </c>
    </row>
    <row r="4239" spans="1:46">
      <c r="A4239">
        <v>70409</v>
      </c>
      <c r="B4239" t="s">
        <v>22985</v>
      </c>
      <c r="C4239" t="s">
        <v>22986</v>
      </c>
      <c r="D4239" t="s">
        <v>22987</v>
      </c>
      <c r="E4239" t="s">
        <v>22988</v>
      </c>
      <c r="G4239" t="s">
        <v>12194</v>
      </c>
      <c r="H4239" t="s">
        <v>449</v>
      </c>
      <c r="J4239" t="s">
        <v>605</v>
      </c>
      <c r="K4239" t="s">
        <v>606</v>
      </c>
      <c r="M4239" t="s">
        <v>2366</v>
      </c>
      <c r="N4239" t="s">
        <v>657</v>
      </c>
      <c r="O4239" t="s">
        <v>3291</v>
      </c>
      <c r="P4239" t="s">
        <v>610</v>
      </c>
      <c r="Q4239" t="s">
        <v>521</v>
      </c>
      <c r="R4239" t="s">
        <v>3017</v>
      </c>
      <c r="S4239" t="s">
        <v>3292</v>
      </c>
      <c r="T4239" t="s">
        <v>2526</v>
      </c>
      <c r="U4239">
        <v>336901</v>
      </c>
      <c r="V4239" t="s">
        <v>12194</v>
      </c>
      <c r="W4239" t="s">
        <v>2539</v>
      </c>
      <c r="X4239" t="s">
        <v>22989</v>
      </c>
      <c r="Y4239" t="s">
        <v>22990</v>
      </c>
      <c r="Z4239" t="s">
        <v>12194</v>
      </c>
      <c r="AA4239" t="s">
        <v>22991</v>
      </c>
      <c r="AB4239" t="s">
        <v>22992</v>
      </c>
      <c r="AC4239">
        <v>99009</v>
      </c>
      <c r="AD4239" t="s">
        <v>10953</v>
      </c>
      <c r="AE4239">
        <v>-43.63616098</v>
      </c>
      <c r="AF4239">
        <v>171.64382430000001</v>
      </c>
      <c r="AG4239" s="175">
        <v>50</v>
      </c>
      <c r="AH4239" s="175">
        <v>10</v>
      </c>
      <c r="AI4239" s="175">
        <v>1</v>
      </c>
      <c r="AJ4239" s="175">
        <v>5</v>
      </c>
      <c r="AK4239" s="175">
        <v>18</v>
      </c>
      <c r="AL4239" s="175">
        <v>27</v>
      </c>
      <c r="AM4239" s="175">
        <v>22</v>
      </c>
      <c r="AN4239" s="175">
        <v>0</v>
      </c>
      <c r="AO4239" s="175">
        <v>73</v>
      </c>
      <c r="AP4239" s="175">
        <v>70</v>
      </c>
      <c r="AQ4239" s="175">
        <v>10</v>
      </c>
      <c r="AR4239" s="175">
        <v>2</v>
      </c>
      <c r="AS4239" s="175">
        <v>2</v>
      </c>
      <c r="AT4239" s="175">
        <v>3</v>
      </c>
    </row>
    <row r="4240" spans="1:46">
      <c r="A4240">
        <v>70411</v>
      </c>
      <c r="B4240" t="s">
        <v>22993</v>
      </c>
      <c r="C4240" t="s">
        <v>22994</v>
      </c>
      <c r="D4240" t="s">
        <v>22995</v>
      </c>
      <c r="E4240" t="s">
        <v>22996</v>
      </c>
      <c r="G4240" t="s">
        <v>3015</v>
      </c>
      <c r="H4240" t="s">
        <v>449</v>
      </c>
      <c r="J4240" t="s">
        <v>4032</v>
      </c>
      <c r="K4240" t="s">
        <v>606</v>
      </c>
      <c r="M4240" t="s">
        <v>2366</v>
      </c>
      <c r="N4240" t="s">
        <v>657</v>
      </c>
      <c r="O4240" t="s">
        <v>3016</v>
      </c>
      <c r="P4240" t="s">
        <v>739</v>
      </c>
      <c r="Q4240" t="s">
        <v>521</v>
      </c>
      <c r="R4240" t="s">
        <v>3017</v>
      </c>
      <c r="S4240" t="s">
        <v>3018</v>
      </c>
      <c r="T4240" t="s">
        <v>2526</v>
      </c>
      <c r="U4240">
        <v>321400</v>
      </c>
      <c r="V4240" t="s">
        <v>21833</v>
      </c>
      <c r="W4240" t="s">
        <v>3072</v>
      </c>
      <c r="X4240" t="s">
        <v>14608</v>
      </c>
      <c r="Y4240" t="s">
        <v>22997</v>
      </c>
      <c r="Z4240" t="s">
        <v>2957</v>
      </c>
      <c r="AA4240" t="s">
        <v>15140</v>
      </c>
      <c r="AB4240" t="s">
        <v>22998</v>
      </c>
      <c r="AE4240">
        <v>-43.51228493</v>
      </c>
      <c r="AF4240">
        <v>172.60824828</v>
      </c>
      <c r="AG4240" s="175">
        <v>42</v>
      </c>
      <c r="AH4240" s="175">
        <v>12</v>
      </c>
      <c r="AI4240" s="175">
        <v>0</v>
      </c>
      <c r="AJ4240" s="175">
        <v>11</v>
      </c>
      <c r="AK4240" s="175">
        <v>11</v>
      </c>
      <c r="AL4240" s="175">
        <v>11</v>
      </c>
      <c r="AM4240" s="175">
        <v>10</v>
      </c>
      <c r="AN4240" s="175">
        <v>0</v>
      </c>
      <c r="AO4240" s="175">
        <v>43</v>
      </c>
      <c r="AP4240" s="175">
        <v>31</v>
      </c>
      <c r="AQ4240" s="175">
        <v>4</v>
      </c>
      <c r="AR4240" s="175">
        <v>0</v>
      </c>
      <c r="AS4240" s="175">
        <v>8</v>
      </c>
      <c r="AT4240" s="175">
        <v>4</v>
      </c>
    </row>
    <row r="4241" spans="1:46">
      <c r="A4241">
        <v>70417</v>
      </c>
      <c r="B4241" t="s">
        <v>22999</v>
      </c>
      <c r="C4241" t="s">
        <v>23000</v>
      </c>
      <c r="D4241" t="s">
        <v>23001</v>
      </c>
      <c r="E4241" t="s">
        <v>23002</v>
      </c>
      <c r="F4241" t="s">
        <v>3180</v>
      </c>
      <c r="G4241" t="s">
        <v>3015</v>
      </c>
      <c r="H4241" t="s">
        <v>449</v>
      </c>
      <c r="J4241" t="s">
        <v>605</v>
      </c>
      <c r="K4241" t="s">
        <v>606</v>
      </c>
      <c r="M4241" t="s">
        <v>2366</v>
      </c>
      <c r="N4241" t="s">
        <v>643</v>
      </c>
      <c r="O4241" t="s">
        <v>3016</v>
      </c>
      <c r="P4241" t="s">
        <v>739</v>
      </c>
      <c r="Q4241" t="s">
        <v>521</v>
      </c>
      <c r="R4241" t="s">
        <v>3017</v>
      </c>
      <c r="S4241" t="s">
        <v>3046</v>
      </c>
      <c r="T4241" t="s">
        <v>2526</v>
      </c>
      <c r="U4241">
        <v>330200</v>
      </c>
      <c r="V4241" t="s">
        <v>3180</v>
      </c>
      <c r="W4241" t="s">
        <v>3047</v>
      </c>
      <c r="X4241" t="s">
        <v>23003</v>
      </c>
      <c r="Y4241" t="s">
        <v>23002</v>
      </c>
      <c r="Z4241" t="s">
        <v>3015</v>
      </c>
      <c r="AA4241" t="s">
        <v>16058</v>
      </c>
      <c r="AB4241" t="s">
        <v>23004</v>
      </c>
      <c r="AE4241">
        <v>-43.509588989999997</v>
      </c>
      <c r="AF4241">
        <v>172.72380440000001</v>
      </c>
      <c r="AG4241" s="175">
        <v>39</v>
      </c>
      <c r="AH4241" s="175">
        <v>9</v>
      </c>
      <c r="AI4241" s="175">
        <v>2</v>
      </c>
      <c r="AJ4241" s="175">
        <v>10</v>
      </c>
      <c r="AK4241" s="175">
        <v>14</v>
      </c>
      <c r="AL4241" s="175">
        <v>13</v>
      </c>
      <c r="AM4241" s="175">
        <v>13</v>
      </c>
      <c r="AN4241" s="175">
        <v>1</v>
      </c>
      <c r="AO4241" s="175">
        <v>53</v>
      </c>
      <c r="AP4241" s="175">
        <v>48</v>
      </c>
      <c r="AQ4241" s="175">
        <v>16</v>
      </c>
      <c r="AR4241" s="175">
        <v>6</v>
      </c>
      <c r="AS4241" s="175">
        <v>4</v>
      </c>
      <c r="AT4241" s="175">
        <v>1</v>
      </c>
    </row>
    <row r="4242" spans="1:46">
      <c r="A4242">
        <v>70419</v>
      </c>
      <c r="B4242" t="s">
        <v>23005</v>
      </c>
      <c r="C4242" t="s">
        <v>23006</v>
      </c>
      <c r="D4242" t="s">
        <v>23007</v>
      </c>
      <c r="E4242" t="s">
        <v>23008</v>
      </c>
      <c r="F4242" t="s">
        <v>22604</v>
      </c>
      <c r="G4242" t="s">
        <v>3015</v>
      </c>
      <c r="H4242" t="s">
        <v>449</v>
      </c>
      <c r="J4242" t="s">
        <v>605</v>
      </c>
      <c r="K4242" t="s">
        <v>606</v>
      </c>
      <c r="M4242" t="s">
        <v>2366</v>
      </c>
      <c r="N4242" t="s">
        <v>657</v>
      </c>
      <c r="O4242" t="s">
        <v>3016</v>
      </c>
      <c r="P4242" t="s">
        <v>739</v>
      </c>
      <c r="Q4242" t="s">
        <v>521</v>
      </c>
      <c r="R4242" t="s">
        <v>3017</v>
      </c>
      <c r="S4242" t="s">
        <v>3046</v>
      </c>
      <c r="T4242" t="s">
        <v>2526</v>
      </c>
      <c r="U4242">
        <v>327200</v>
      </c>
      <c r="V4242" t="s">
        <v>22604</v>
      </c>
      <c r="W4242" t="s">
        <v>3047</v>
      </c>
      <c r="X4242" t="s">
        <v>23009</v>
      </c>
      <c r="Y4242" t="s">
        <v>23010</v>
      </c>
      <c r="Z4242" t="s">
        <v>3175</v>
      </c>
      <c r="AA4242" t="s">
        <v>14360</v>
      </c>
      <c r="AB4242" t="s">
        <v>23011</v>
      </c>
      <c r="AE4242">
        <v>-43.496264930000002</v>
      </c>
      <c r="AF4242">
        <v>172.71776989</v>
      </c>
      <c r="AG4242" s="175">
        <v>45</v>
      </c>
      <c r="AH4242" s="175">
        <v>10</v>
      </c>
      <c r="AI4242" s="175">
        <v>2</v>
      </c>
      <c r="AJ4242" s="175">
        <v>12</v>
      </c>
      <c r="AK4242" s="175">
        <v>10</v>
      </c>
      <c r="AL4242" s="175">
        <v>22</v>
      </c>
      <c r="AM4242" s="175">
        <v>13</v>
      </c>
      <c r="AN4242" s="175">
        <v>0</v>
      </c>
      <c r="AO4242" s="175">
        <v>59</v>
      </c>
      <c r="AP4242" s="175">
        <v>49</v>
      </c>
      <c r="AQ4242" s="175">
        <v>19</v>
      </c>
      <c r="AR4242" s="175">
        <v>5</v>
      </c>
      <c r="AS4242" s="175">
        <v>2</v>
      </c>
      <c r="AT4242" s="175">
        <v>1</v>
      </c>
    </row>
    <row r="4243" spans="1:46">
      <c r="A4243">
        <v>70421</v>
      </c>
      <c r="B4243" t="s">
        <v>23012</v>
      </c>
      <c r="C4243" t="s">
        <v>23013</v>
      </c>
      <c r="D4243" t="s">
        <v>23014</v>
      </c>
      <c r="E4243" t="s">
        <v>23015</v>
      </c>
      <c r="G4243" t="s">
        <v>3334</v>
      </c>
      <c r="H4243" t="s">
        <v>449</v>
      </c>
      <c r="J4243" t="s">
        <v>605</v>
      </c>
      <c r="K4243" t="s">
        <v>606</v>
      </c>
      <c r="M4243" t="s">
        <v>2366</v>
      </c>
      <c r="N4243" t="s">
        <v>657</v>
      </c>
      <c r="O4243" t="s">
        <v>3322</v>
      </c>
      <c r="P4243" t="s">
        <v>1347</v>
      </c>
      <c r="Q4243" t="s">
        <v>521</v>
      </c>
      <c r="R4243" t="s">
        <v>3017</v>
      </c>
      <c r="S4243" t="s">
        <v>3292</v>
      </c>
      <c r="T4243" t="s">
        <v>2526</v>
      </c>
      <c r="U4243">
        <v>341101</v>
      </c>
      <c r="V4243" t="s">
        <v>21891</v>
      </c>
      <c r="W4243" t="s">
        <v>3336</v>
      </c>
      <c r="X4243" t="s">
        <v>23016</v>
      </c>
      <c r="Y4243" t="s">
        <v>23017</v>
      </c>
      <c r="Z4243" t="s">
        <v>3334</v>
      </c>
      <c r="AA4243" t="s">
        <v>3339</v>
      </c>
      <c r="AC4243">
        <v>99178</v>
      </c>
      <c r="AD4243" t="s">
        <v>3346</v>
      </c>
      <c r="AE4243">
        <v>-44.398331130000003</v>
      </c>
      <c r="AF4243">
        <v>171.24700147999999</v>
      </c>
      <c r="AG4243" s="175">
        <v>50</v>
      </c>
      <c r="AH4243" s="175">
        <v>15</v>
      </c>
      <c r="AI4243" s="175">
        <v>3</v>
      </c>
      <c r="AJ4243" s="175">
        <v>12</v>
      </c>
      <c r="AK4243" s="175">
        <v>9</v>
      </c>
      <c r="AL4243" s="175">
        <v>14</v>
      </c>
      <c r="AM4243" s="175">
        <v>14</v>
      </c>
      <c r="AN4243" s="175">
        <v>0</v>
      </c>
      <c r="AO4243" s="175">
        <v>52</v>
      </c>
      <c r="AP4243" s="175">
        <v>34</v>
      </c>
      <c r="AQ4243" s="175">
        <v>8</v>
      </c>
      <c r="AR4243" s="175">
        <v>4</v>
      </c>
      <c r="AS4243" s="175">
        <v>8</v>
      </c>
      <c r="AT4243" s="175">
        <v>7</v>
      </c>
    </row>
    <row r="4244" spans="1:46">
      <c r="A4244">
        <v>70422</v>
      </c>
      <c r="B4244" t="s">
        <v>23018</v>
      </c>
      <c r="C4244" t="s">
        <v>23019</v>
      </c>
      <c r="E4244" t="s">
        <v>23020</v>
      </c>
      <c r="G4244" t="s">
        <v>11264</v>
      </c>
      <c r="H4244" t="s">
        <v>449</v>
      </c>
      <c r="I4244" t="s">
        <v>4023</v>
      </c>
      <c r="J4244" t="s">
        <v>605</v>
      </c>
      <c r="K4244" t="s">
        <v>606</v>
      </c>
      <c r="M4244" t="s">
        <v>2366</v>
      </c>
      <c r="N4244" t="s">
        <v>657</v>
      </c>
      <c r="O4244" t="s">
        <v>3037</v>
      </c>
      <c r="P4244" t="s">
        <v>610</v>
      </c>
      <c r="Q4244" t="s">
        <v>521</v>
      </c>
      <c r="R4244" t="s">
        <v>3017</v>
      </c>
      <c r="S4244" t="s">
        <v>3038</v>
      </c>
      <c r="T4244" t="s">
        <v>2526</v>
      </c>
      <c r="U4244">
        <v>313200</v>
      </c>
      <c r="V4244" t="s">
        <v>11264</v>
      </c>
      <c r="W4244" t="s">
        <v>11265</v>
      </c>
      <c r="X4244" t="s">
        <v>23021</v>
      </c>
      <c r="Y4244" t="s">
        <v>23022</v>
      </c>
      <c r="AA4244" t="s">
        <v>11268</v>
      </c>
      <c r="AC4244">
        <v>99077</v>
      </c>
      <c r="AD4244" t="s">
        <v>3041</v>
      </c>
      <c r="AE4244">
        <v>-43.293026900000001</v>
      </c>
      <c r="AF4244">
        <v>172.19759500000001</v>
      </c>
      <c r="AG4244" s="175">
        <v>84</v>
      </c>
      <c r="AH4244" s="175">
        <v>14</v>
      </c>
      <c r="AI4244" s="175">
        <v>2</v>
      </c>
      <c r="AJ4244" s="175">
        <v>12</v>
      </c>
      <c r="AK4244" s="175">
        <v>20</v>
      </c>
      <c r="AL4244" s="175">
        <v>21</v>
      </c>
      <c r="AM4244" s="175">
        <v>17</v>
      </c>
      <c r="AN4244" s="175">
        <v>2</v>
      </c>
      <c r="AO4244" s="175">
        <v>74</v>
      </c>
      <c r="AP4244" s="175">
        <v>68</v>
      </c>
      <c r="AQ4244" s="175">
        <v>5</v>
      </c>
      <c r="AR4244" s="175">
        <v>2</v>
      </c>
      <c r="AS4244" s="175">
        <v>6</v>
      </c>
      <c r="AT4244" s="175">
        <v>1</v>
      </c>
    </row>
    <row r="4245" spans="1:46">
      <c r="A4245">
        <v>70423</v>
      </c>
      <c r="B4245" t="s">
        <v>23023</v>
      </c>
      <c r="C4245" t="s">
        <v>23024</v>
      </c>
      <c r="E4245" t="s">
        <v>23025</v>
      </c>
      <c r="F4245" t="s">
        <v>11012</v>
      </c>
      <c r="G4245" t="s">
        <v>3015</v>
      </c>
      <c r="H4245" t="s">
        <v>449</v>
      </c>
      <c r="J4245" t="s">
        <v>4032</v>
      </c>
      <c r="K4245" t="s">
        <v>606</v>
      </c>
      <c r="M4245" t="s">
        <v>2366</v>
      </c>
      <c r="N4245" t="s">
        <v>657</v>
      </c>
      <c r="O4245" t="s">
        <v>3016</v>
      </c>
      <c r="P4245" t="s">
        <v>739</v>
      </c>
      <c r="Q4245" t="s">
        <v>521</v>
      </c>
      <c r="R4245" t="s">
        <v>3017</v>
      </c>
      <c r="S4245" t="s">
        <v>3052</v>
      </c>
      <c r="T4245" t="s">
        <v>2526</v>
      </c>
      <c r="U4245">
        <v>329100</v>
      </c>
      <c r="V4245" t="s">
        <v>13683</v>
      </c>
      <c r="W4245" t="s">
        <v>3031</v>
      </c>
      <c r="X4245" t="s">
        <v>23026</v>
      </c>
      <c r="Y4245" t="s">
        <v>23027</v>
      </c>
      <c r="AA4245" t="s">
        <v>22887</v>
      </c>
      <c r="AB4245" t="s">
        <v>23028</v>
      </c>
      <c r="AC4245">
        <v>99177</v>
      </c>
      <c r="AD4245" t="s">
        <v>3032</v>
      </c>
      <c r="AE4245">
        <v>-43.559070980000001</v>
      </c>
      <c r="AF4245">
        <v>172.63165709</v>
      </c>
      <c r="AG4245" s="175">
        <v>30</v>
      </c>
      <c r="AH4245" s="175">
        <v>0</v>
      </c>
      <c r="AI4245" s="175">
        <v>0</v>
      </c>
      <c r="AJ4245" s="175">
        <v>0</v>
      </c>
      <c r="AK4245" s="175">
        <v>10</v>
      </c>
      <c r="AL4245" s="175">
        <v>6</v>
      </c>
      <c r="AM4245" s="175">
        <v>14</v>
      </c>
      <c r="AN4245" s="175">
        <v>0</v>
      </c>
      <c r="AO4245" s="175">
        <v>30</v>
      </c>
      <c r="AP4245" s="175">
        <v>23</v>
      </c>
      <c r="AQ4245" s="175">
        <v>5</v>
      </c>
      <c r="AR4245" s="175">
        <v>2</v>
      </c>
      <c r="AS4245" s="175">
        <v>5</v>
      </c>
      <c r="AT4245" s="175">
        <v>2</v>
      </c>
    </row>
    <row r="4246" spans="1:46">
      <c r="A4246">
        <v>70426</v>
      </c>
      <c r="B4246" t="s">
        <v>23029</v>
      </c>
      <c r="C4246" t="s">
        <v>23030</v>
      </c>
      <c r="D4246" t="s">
        <v>11580</v>
      </c>
      <c r="E4246" t="s">
        <v>23031</v>
      </c>
      <c r="F4246" t="s">
        <v>3122</v>
      </c>
      <c r="G4246" t="s">
        <v>3015</v>
      </c>
      <c r="H4246" t="s">
        <v>449</v>
      </c>
      <c r="J4246" t="s">
        <v>4032</v>
      </c>
      <c r="K4246" t="s">
        <v>606</v>
      </c>
      <c r="M4246" t="s">
        <v>2366</v>
      </c>
      <c r="N4246" t="s">
        <v>4586</v>
      </c>
      <c r="O4246" t="s">
        <v>3016</v>
      </c>
      <c r="P4246" t="s">
        <v>739</v>
      </c>
      <c r="Q4246" t="s">
        <v>521</v>
      </c>
      <c r="R4246" t="s">
        <v>3017</v>
      </c>
      <c r="S4246" t="s">
        <v>3018</v>
      </c>
      <c r="T4246" t="s">
        <v>2526</v>
      </c>
      <c r="U4246">
        <v>319200</v>
      </c>
      <c r="V4246" t="s">
        <v>3122</v>
      </c>
      <c r="W4246" t="s">
        <v>3072</v>
      </c>
      <c r="X4246" t="s">
        <v>11583</v>
      </c>
      <c r="Y4246" t="s">
        <v>11581</v>
      </c>
      <c r="Z4246" t="s">
        <v>3122</v>
      </c>
      <c r="AA4246" t="s">
        <v>11584</v>
      </c>
      <c r="AB4246" t="s">
        <v>11579</v>
      </c>
      <c r="AE4246">
        <v>-43.50588553</v>
      </c>
      <c r="AF4246">
        <v>172.57992089000001</v>
      </c>
      <c r="AG4246" s="175">
        <v>75</v>
      </c>
      <c r="AH4246" s="175">
        <v>15</v>
      </c>
      <c r="AI4246" s="175">
        <v>1</v>
      </c>
      <c r="AJ4246" s="175">
        <v>14</v>
      </c>
      <c r="AK4246" s="175">
        <v>17</v>
      </c>
      <c r="AL4246" s="175">
        <v>27</v>
      </c>
      <c r="AM4246" s="175">
        <v>14</v>
      </c>
      <c r="AN4246" s="175">
        <v>2</v>
      </c>
      <c r="AO4246" s="175">
        <v>75</v>
      </c>
      <c r="AP4246" s="175">
        <v>56</v>
      </c>
      <c r="AQ4246" s="175">
        <v>16</v>
      </c>
      <c r="AR4246" s="175">
        <v>4</v>
      </c>
      <c r="AS4246" s="175">
        <v>16</v>
      </c>
      <c r="AT4246" s="175">
        <v>11</v>
      </c>
    </row>
    <row r="4247" spans="1:46">
      <c r="A4247">
        <v>70427</v>
      </c>
      <c r="B4247" t="s">
        <v>23032</v>
      </c>
      <c r="C4247" t="s">
        <v>23033</v>
      </c>
      <c r="D4247" t="s">
        <v>23034</v>
      </c>
      <c r="E4247" t="s">
        <v>23035</v>
      </c>
      <c r="F4247" t="s">
        <v>3188</v>
      </c>
      <c r="G4247" t="s">
        <v>3015</v>
      </c>
      <c r="H4247" t="s">
        <v>449</v>
      </c>
      <c r="J4247" t="s">
        <v>605</v>
      </c>
      <c r="K4247" t="s">
        <v>606</v>
      </c>
      <c r="M4247" t="s">
        <v>2366</v>
      </c>
      <c r="N4247" t="s">
        <v>657</v>
      </c>
      <c r="O4247" t="s">
        <v>3016</v>
      </c>
      <c r="P4247" t="s">
        <v>739</v>
      </c>
      <c r="Q4247" t="s">
        <v>521</v>
      </c>
      <c r="R4247" t="s">
        <v>3017</v>
      </c>
      <c r="S4247" t="s">
        <v>3018</v>
      </c>
      <c r="T4247" t="s">
        <v>2526</v>
      </c>
      <c r="U4247">
        <v>320800</v>
      </c>
      <c r="V4247" t="s">
        <v>23036</v>
      </c>
      <c r="W4247" t="s">
        <v>3171</v>
      </c>
      <c r="X4247" t="s">
        <v>10864</v>
      </c>
      <c r="Y4247" t="s">
        <v>4014</v>
      </c>
      <c r="Z4247" t="s">
        <v>4015</v>
      </c>
      <c r="AA4247" t="s">
        <v>4016</v>
      </c>
      <c r="AC4247">
        <v>99027</v>
      </c>
      <c r="AD4247" t="s">
        <v>3073</v>
      </c>
      <c r="AE4247">
        <v>-43.50376919</v>
      </c>
      <c r="AF4247">
        <v>172.60268418999999</v>
      </c>
      <c r="AG4247" s="175">
        <v>40</v>
      </c>
      <c r="AH4247" s="175">
        <v>9</v>
      </c>
      <c r="AI4247" s="175">
        <v>1</v>
      </c>
      <c r="AJ4247" s="175">
        <v>4</v>
      </c>
      <c r="AK4247" s="175">
        <v>12</v>
      </c>
      <c r="AL4247" s="175">
        <v>15</v>
      </c>
      <c r="AM4247" s="175">
        <v>12</v>
      </c>
      <c r="AN4247" s="175">
        <v>0</v>
      </c>
      <c r="AO4247" s="175">
        <v>44</v>
      </c>
      <c r="AP4247" s="175">
        <v>28</v>
      </c>
      <c r="AQ4247" s="175">
        <v>8</v>
      </c>
      <c r="AR4247" s="175">
        <v>3</v>
      </c>
      <c r="AS4247" s="175">
        <v>13</v>
      </c>
      <c r="AT4247" s="175">
        <v>6</v>
      </c>
    </row>
    <row r="4248" spans="1:46">
      <c r="A4248">
        <v>70429</v>
      </c>
      <c r="B4248" t="s">
        <v>23037</v>
      </c>
      <c r="C4248" t="s">
        <v>23038</v>
      </c>
      <c r="D4248" t="s">
        <v>23039</v>
      </c>
      <c r="E4248" t="s">
        <v>23040</v>
      </c>
      <c r="F4248" t="s">
        <v>3229</v>
      </c>
      <c r="G4248" t="s">
        <v>3015</v>
      </c>
      <c r="H4248" t="s">
        <v>449</v>
      </c>
      <c r="J4248" t="s">
        <v>605</v>
      </c>
      <c r="K4248" t="s">
        <v>606</v>
      </c>
      <c r="M4248" t="s">
        <v>2366</v>
      </c>
      <c r="N4248" t="s">
        <v>657</v>
      </c>
      <c r="O4248" t="s">
        <v>3016</v>
      </c>
      <c r="P4248" t="s">
        <v>739</v>
      </c>
      <c r="Q4248" t="s">
        <v>521</v>
      </c>
      <c r="R4248" t="s">
        <v>3017</v>
      </c>
      <c r="S4248" t="s">
        <v>3052</v>
      </c>
      <c r="T4248" t="s">
        <v>2526</v>
      </c>
      <c r="U4248">
        <v>329200</v>
      </c>
      <c r="V4248" t="s">
        <v>22591</v>
      </c>
      <c r="W4248" t="s">
        <v>3031</v>
      </c>
      <c r="X4248" t="s">
        <v>10864</v>
      </c>
      <c r="Y4248" t="s">
        <v>4014</v>
      </c>
      <c r="Z4248" t="s">
        <v>4015</v>
      </c>
      <c r="AA4248" t="s">
        <v>4016</v>
      </c>
      <c r="AE4248">
        <v>-43.565573100000002</v>
      </c>
      <c r="AF4248">
        <v>172.61415747999999</v>
      </c>
      <c r="AG4248" s="175">
        <v>36</v>
      </c>
      <c r="AH4248" s="175">
        <v>12</v>
      </c>
      <c r="AI4248" s="175">
        <v>4</v>
      </c>
      <c r="AJ4248" s="175">
        <v>14</v>
      </c>
      <c r="AK4248" s="175">
        <v>11</v>
      </c>
      <c r="AL4248" s="175">
        <v>12</v>
      </c>
      <c r="AM4248" s="175">
        <v>10</v>
      </c>
      <c r="AN4248" s="175">
        <v>1</v>
      </c>
      <c r="AO4248" s="175">
        <v>52</v>
      </c>
      <c r="AP4248" s="175">
        <v>45</v>
      </c>
      <c r="AQ4248" s="175">
        <v>13</v>
      </c>
      <c r="AR4248" s="175">
        <v>2</v>
      </c>
      <c r="AS4248" s="175">
        <v>8</v>
      </c>
      <c r="AT4248" s="175">
        <v>4</v>
      </c>
    </row>
    <row r="4249" spans="1:46">
      <c r="A4249">
        <v>70430</v>
      </c>
      <c r="B4249" t="s">
        <v>23041</v>
      </c>
      <c r="C4249" t="s">
        <v>23042</v>
      </c>
      <c r="D4249" t="s">
        <v>23043</v>
      </c>
      <c r="E4249" t="s">
        <v>23044</v>
      </c>
      <c r="F4249" t="s">
        <v>2957</v>
      </c>
      <c r="G4249" t="s">
        <v>3015</v>
      </c>
      <c r="H4249" t="s">
        <v>449</v>
      </c>
      <c r="J4249" t="s">
        <v>4032</v>
      </c>
      <c r="K4249" t="s">
        <v>606</v>
      </c>
      <c r="M4249" t="s">
        <v>2366</v>
      </c>
      <c r="N4249" t="s">
        <v>657</v>
      </c>
      <c r="O4249" t="s">
        <v>3016</v>
      </c>
      <c r="P4249" t="s">
        <v>739</v>
      </c>
      <c r="Q4249" t="s">
        <v>521</v>
      </c>
      <c r="R4249" t="s">
        <v>3017</v>
      </c>
      <c r="S4249" t="s">
        <v>3046</v>
      </c>
      <c r="T4249" t="s">
        <v>2526</v>
      </c>
      <c r="U4249">
        <v>325900</v>
      </c>
      <c r="V4249" t="s">
        <v>3218</v>
      </c>
      <c r="W4249" t="s">
        <v>2521</v>
      </c>
      <c r="X4249" t="s">
        <v>23045</v>
      </c>
      <c r="Y4249" t="s">
        <v>23046</v>
      </c>
      <c r="Z4249" t="s">
        <v>3141</v>
      </c>
      <c r="AA4249" t="s">
        <v>16058</v>
      </c>
      <c r="AB4249" t="s">
        <v>23047</v>
      </c>
      <c r="AE4249">
        <v>-43.514970079999998</v>
      </c>
      <c r="AF4249">
        <v>172.65949853000001</v>
      </c>
      <c r="AG4249" s="175">
        <v>35</v>
      </c>
      <c r="AH4249" s="175">
        <v>15</v>
      </c>
      <c r="AI4249" s="175">
        <v>3</v>
      </c>
      <c r="AJ4249" s="175">
        <v>8</v>
      </c>
      <c r="AK4249" s="175">
        <v>6</v>
      </c>
      <c r="AL4249" s="175">
        <v>9</v>
      </c>
      <c r="AM4249" s="175">
        <v>10</v>
      </c>
      <c r="AN4249" s="175">
        <v>0</v>
      </c>
      <c r="AO4249" s="175">
        <v>36</v>
      </c>
      <c r="AP4249" s="175">
        <v>28</v>
      </c>
      <c r="AQ4249" s="175">
        <v>7</v>
      </c>
      <c r="AR4249" s="175">
        <v>2</v>
      </c>
      <c r="AS4249" s="175">
        <v>12</v>
      </c>
      <c r="AT4249" s="175">
        <v>0</v>
      </c>
    </row>
    <row r="4250" spans="1:46">
      <c r="A4250">
        <v>70437</v>
      </c>
      <c r="B4250" t="s">
        <v>23048</v>
      </c>
      <c r="C4250" t="s">
        <v>23049</v>
      </c>
      <c r="D4250" t="s">
        <v>23050</v>
      </c>
      <c r="E4250" t="s">
        <v>23051</v>
      </c>
      <c r="G4250" t="s">
        <v>3036</v>
      </c>
      <c r="H4250" t="s">
        <v>449</v>
      </c>
      <c r="J4250" t="s">
        <v>605</v>
      </c>
      <c r="K4250" t="s">
        <v>606</v>
      </c>
      <c r="M4250" t="s">
        <v>2366</v>
      </c>
      <c r="N4250" t="s">
        <v>657</v>
      </c>
      <c r="O4250" t="s">
        <v>3037</v>
      </c>
      <c r="P4250" t="s">
        <v>1347</v>
      </c>
      <c r="Q4250" t="s">
        <v>521</v>
      </c>
      <c r="R4250" t="s">
        <v>3017</v>
      </c>
      <c r="S4250" t="s">
        <v>3038</v>
      </c>
      <c r="T4250" t="s">
        <v>2526</v>
      </c>
      <c r="U4250">
        <v>314200</v>
      </c>
      <c r="V4250" t="s">
        <v>3126</v>
      </c>
      <c r="W4250" t="s">
        <v>3040</v>
      </c>
      <c r="X4250" t="s">
        <v>23052</v>
      </c>
      <c r="Y4250" t="s">
        <v>23053</v>
      </c>
      <c r="Z4250" t="s">
        <v>3036</v>
      </c>
      <c r="AA4250" t="s">
        <v>21727</v>
      </c>
      <c r="AB4250" t="s">
        <v>23054</v>
      </c>
      <c r="AC4250">
        <v>99077</v>
      </c>
      <c r="AD4250" t="s">
        <v>3041</v>
      </c>
      <c r="AE4250">
        <v>-43.2961502</v>
      </c>
      <c r="AF4250">
        <v>172.59852735999999</v>
      </c>
      <c r="AG4250" s="175">
        <v>45</v>
      </c>
      <c r="AH4250" s="175">
        <v>0</v>
      </c>
      <c r="AI4250" s="175">
        <v>0</v>
      </c>
      <c r="AJ4250" s="175">
        <v>0</v>
      </c>
      <c r="AK4250" s="175">
        <v>10</v>
      </c>
      <c r="AL4250" s="175">
        <v>20</v>
      </c>
      <c r="AM4250" s="175">
        <v>21</v>
      </c>
      <c r="AN4250" s="175">
        <v>3</v>
      </c>
      <c r="AO4250" s="175">
        <v>54</v>
      </c>
      <c r="AP4250" s="175">
        <v>50</v>
      </c>
      <c r="AQ4250" s="175">
        <v>9</v>
      </c>
      <c r="AR4250" s="175">
        <v>1</v>
      </c>
      <c r="AS4250" s="175">
        <v>3</v>
      </c>
      <c r="AT4250" s="175">
        <v>2</v>
      </c>
    </row>
    <row r="4251" spans="1:46">
      <c r="A4251">
        <v>70438</v>
      </c>
      <c r="B4251" t="s">
        <v>23055</v>
      </c>
      <c r="C4251" t="s">
        <v>23056</v>
      </c>
      <c r="D4251" t="s">
        <v>23057</v>
      </c>
      <c r="E4251" t="s">
        <v>23058</v>
      </c>
      <c r="F4251" t="s">
        <v>13057</v>
      </c>
      <c r="G4251" t="s">
        <v>3015</v>
      </c>
      <c r="H4251" t="s">
        <v>449</v>
      </c>
      <c r="J4251" t="s">
        <v>605</v>
      </c>
      <c r="K4251" t="s">
        <v>606</v>
      </c>
      <c r="M4251" t="s">
        <v>2366</v>
      </c>
      <c r="N4251" t="s">
        <v>657</v>
      </c>
      <c r="O4251" t="s">
        <v>3016</v>
      </c>
      <c r="P4251" t="s">
        <v>739</v>
      </c>
      <c r="Q4251" t="s">
        <v>521</v>
      </c>
      <c r="R4251" t="s">
        <v>3017</v>
      </c>
      <c r="S4251" t="s">
        <v>3018</v>
      </c>
      <c r="T4251" t="s">
        <v>2526</v>
      </c>
      <c r="U4251">
        <v>323000</v>
      </c>
      <c r="V4251" t="s">
        <v>13057</v>
      </c>
      <c r="W4251" t="s">
        <v>3072</v>
      </c>
      <c r="X4251" t="s">
        <v>23059</v>
      </c>
      <c r="Y4251" t="s">
        <v>23060</v>
      </c>
      <c r="Z4251" t="s">
        <v>13057</v>
      </c>
      <c r="AA4251" t="s">
        <v>18089</v>
      </c>
      <c r="AB4251" t="s">
        <v>23056</v>
      </c>
      <c r="AC4251">
        <v>99215</v>
      </c>
      <c r="AD4251" t="s">
        <v>11035</v>
      </c>
      <c r="AE4251">
        <v>-43.520860229999997</v>
      </c>
      <c r="AF4251">
        <v>172.61767286</v>
      </c>
      <c r="AG4251" s="175">
        <v>30</v>
      </c>
      <c r="AH4251" s="175">
        <v>0</v>
      </c>
      <c r="AI4251" s="175">
        <v>0</v>
      </c>
      <c r="AJ4251" s="175">
        <v>0</v>
      </c>
      <c r="AK4251" s="175">
        <v>3</v>
      </c>
      <c r="AL4251" s="175">
        <v>16</v>
      </c>
      <c r="AM4251" s="175">
        <v>10</v>
      </c>
      <c r="AN4251" s="175">
        <v>1</v>
      </c>
      <c r="AO4251" s="175">
        <v>30</v>
      </c>
      <c r="AP4251" s="175">
        <v>28</v>
      </c>
      <c r="AQ4251" s="175">
        <v>6</v>
      </c>
      <c r="AR4251" s="175">
        <v>0</v>
      </c>
      <c r="AS4251" s="175">
        <v>5</v>
      </c>
      <c r="AT4251" s="175">
        <v>1</v>
      </c>
    </row>
    <row r="4252" spans="1:46">
      <c r="A4252">
        <v>70439</v>
      </c>
      <c r="B4252" t="s">
        <v>23061</v>
      </c>
      <c r="C4252" t="s">
        <v>13854</v>
      </c>
      <c r="E4252" t="s">
        <v>23062</v>
      </c>
      <c r="G4252" t="s">
        <v>10948</v>
      </c>
      <c r="H4252" t="s">
        <v>301</v>
      </c>
      <c r="J4252" t="s">
        <v>605</v>
      </c>
      <c r="K4252" t="s">
        <v>606</v>
      </c>
      <c r="M4252" t="s">
        <v>2366</v>
      </c>
      <c r="N4252" t="s">
        <v>657</v>
      </c>
      <c r="O4252" t="s">
        <v>3291</v>
      </c>
      <c r="P4252" t="s">
        <v>610</v>
      </c>
      <c r="Q4252" t="s">
        <v>521</v>
      </c>
      <c r="R4252" t="s">
        <v>3017</v>
      </c>
      <c r="S4252" t="s">
        <v>3292</v>
      </c>
      <c r="T4252" t="s">
        <v>2526</v>
      </c>
      <c r="U4252">
        <v>337600</v>
      </c>
      <c r="V4252" t="s">
        <v>22767</v>
      </c>
      <c r="W4252" t="s">
        <v>2533</v>
      </c>
      <c r="X4252" t="s">
        <v>13858</v>
      </c>
      <c r="Y4252" t="s">
        <v>5253</v>
      </c>
      <c r="AA4252" t="s">
        <v>5254</v>
      </c>
      <c r="AB4252" t="s">
        <v>13859</v>
      </c>
      <c r="AC4252">
        <v>99009</v>
      </c>
      <c r="AD4252" t="s">
        <v>10953</v>
      </c>
      <c r="AE4252">
        <v>-43.751543300000002</v>
      </c>
      <c r="AF4252">
        <v>172.02390940000001</v>
      </c>
      <c r="AG4252" s="175">
        <v>25</v>
      </c>
      <c r="AH4252" s="175">
        <v>15</v>
      </c>
      <c r="AI4252" s="175">
        <v>1</v>
      </c>
      <c r="AJ4252" s="175">
        <v>2</v>
      </c>
      <c r="AK4252" s="175">
        <v>3</v>
      </c>
      <c r="AL4252" s="175">
        <v>2</v>
      </c>
      <c r="AM4252" s="175">
        <v>0</v>
      </c>
      <c r="AN4252" s="175">
        <v>0</v>
      </c>
      <c r="AO4252" s="175">
        <v>8</v>
      </c>
      <c r="AP4252" s="175">
        <v>6</v>
      </c>
      <c r="AQ4252" s="175">
        <v>1</v>
      </c>
      <c r="AR4252" s="175">
        <v>0</v>
      </c>
      <c r="AS4252" s="175">
        <v>0</v>
      </c>
      <c r="AT4252" s="175">
        <v>1</v>
      </c>
    </row>
    <row r="4253" spans="1:46">
      <c r="A4253">
        <v>70441</v>
      </c>
      <c r="B4253" t="s">
        <v>23063</v>
      </c>
      <c r="C4253" t="s">
        <v>23064</v>
      </c>
      <c r="D4253" t="s">
        <v>23065</v>
      </c>
      <c r="E4253" t="s">
        <v>23066</v>
      </c>
      <c r="F4253" t="s">
        <v>3208</v>
      </c>
      <c r="G4253" t="s">
        <v>3015</v>
      </c>
      <c r="H4253" t="s">
        <v>449</v>
      </c>
      <c r="J4253" t="s">
        <v>605</v>
      </c>
      <c r="K4253" t="s">
        <v>606</v>
      </c>
      <c r="M4253" t="s">
        <v>2366</v>
      </c>
      <c r="N4253" t="s">
        <v>657</v>
      </c>
      <c r="O4253" t="s">
        <v>3016</v>
      </c>
      <c r="P4253" t="s">
        <v>739</v>
      </c>
      <c r="Q4253" t="s">
        <v>521</v>
      </c>
      <c r="R4253" t="s">
        <v>3017</v>
      </c>
      <c r="S4253" t="s">
        <v>3030</v>
      </c>
      <c r="T4253" t="s">
        <v>2526</v>
      </c>
      <c r="U4253">
        <v>318800</v>
      </c>
      <c r="V4253" t="s">
        <v>3209</v>
      </c>
      <c r="W4253" t="s">
        <v>3171</v>
      </c>
      <c r="X4253" t="s">
        <v>23067</v>
      </c>
      <c r="Y4253" t="s">
        <v>23066</v>
      </c>
      <c r="Z4253" t="s">
        <v>3015</v>
      </c>
      <c r="AA4253" t="s">
        <v>11705</v>
      </c>
      <c r="AB4253" t="s">
        <v>23068</v>
      </c>
      <c r="AC4253">
        <v>99039</v>
      </c>
      <c r="AD4253" t="s">
        <v>3060</v>
      </c>
      <c r="AE4253">
        <v>-43.477410630000001</v>
      </c>
      <c r="AF4253">
        <v>172.61647872</v>
      </c>
      <c r="AG4253" s="175">
        <v>40</v>
      </c>
      <c r="AH4253" s="175">
        <v>10</v>
      </c>
      <c r="AI4253" s="175">
        <v>0</v>
      </c>
      <c r="AJ4253" s="175">
        <v>9</v>
      </c>
      <c r="AK4253" s="175">
        <v>15</v>
      </c>
      <c r="AL4253" s="175">
        <v>12</v>
      </c>
      <c r="AM4253" s="175">
        <v>13</v>
      </c>
      <c r="AN4253" s="175">
        <v>1</v>
      </c>
      <c r="AO4253" s="175">
        <v>50</v>
      </c>
      <c r="AP4253" s="175">
        <v>39</v>
      </c>
      <c r="AQ4253" s="175">
        <v>11</v>
      </c>
      <c r="AR4253" s="175">
        <v>4</v>
      </c>
      <c r="AS4253" s="175">
        <v>3</v>
      </c>
      <c r="AT4253" s="175">
        <v>3</v>
      </c>
    </row>
    <row r="4254" spans="1:46">
      <c r="A4254">
        <v>70445</v>
      </c>
      <c r="B4254" t="s">
        <v>23069</v>
      </c>
      <c r="C4254" t="s">
        <v>23070</v>
      </c>
      <c r="D4254" t="s">
        <v>23071</v>
      </c>
      <c r="E4254" t="s">
        <v>23072</v>
      </c>
      <c r="F4254" t="s">
        <v>10875</v>
      </c>
      <c r="G4254" t="s">
        <v>3015</v>
      </c>
      <c r="H4254" t="s">
        <v>449</v>
      </c>
      <c r="I4254" t="s">
        <v>4298</v>
      </c>
      <c r="J4254" t="s">
        <v>605</v>
      </c>
      <c r="K4254" t="s">
        <v>606</v>
      </c>
      <c r="M4254" t="s">
        <v>2366</v>
      </c>
      <c r="N4254" t="s">
        <v>657</v>
      </c>
      <c r="O4254" t="s">
        <v>3016</v>
      </c>
      <c r="P4254" t="s">
        <v>739</v>
      </c>
      <c r="Q4254" t="s">
        <v>521</v>
      </c>
      <c r="R4254" t="s">
        <v>3017</v>
      </c>
      <c r="S4254" t="s">
        <v>3030</v>
      </c>
      <c r="T4254" t="s">
        <v>2526</v>
      </c>
      <c r="U4254">
        <v>330900</v>
      </c>
      <c r="V4254" t="s">
        <v>3184</v>
      </c>
      <c r="W4254" t="s">
        <v>3087</v>
      </c>
      <c r="X4254" t="s">
        <v>23073</v>
      </c>
      <c r="Y4254" t="s">
        <v>23074</v>
      </c>
      <c r="Z4254" t="s">
        <v>3064</v>
      </c>
      <c r="AA4254" t="s">
        <v>22436</v>
      </c>
      <c r="AB4254" t="s">
        <v>23075</v>
      </c>
      <c r="AC4254">
        <v>99110</v>
      </c>
      <c r="AD4254" t="s">
        <v>4304</v>
      </c>
      <c r="AE4254">
        <v>-43.560400100000003</v>
      </c>
      <c r="AF4254">
        <v>172.65930639999999</v>
      </c>
      <c r="AG4254" s="175">
        <v>100</v>
      </c>
      <c r="AH4254" s="175">
        <v>0</v>
      </c>
      <c r="AI4254" s="175">
        <v>0</v>
      </c>
      <c r="AJ4254" s="175">
        <v>0</v>
      </c>
      <c r="AK4254" s="175">
        <v>7</v>
      </c>
      <c r="AL4254" s="175">
        <v>7</v>
      </c>
      <c r="AM4254" s="175">
        <v>25</v>
      </c>
      <c r="AN4254" s="175">
        <v>26</v>
      </c>
      <c r="AO4254" s="175">
        <v>65</v>
      </c>
      <c r="AP4254" s="175">
        <v>61</v>
      </c>
      <c r="AQ4254" s="175">
        <v>7</v>
      </c>
      <c r="AR4254" s="175">
        <v>1</v>
      </c>
      <c r="AS4254" s="175">
        <v>4</v>
      </c>
      <c r="AT4254" s="175">
        <v>1</v>
      </c>
    </row>
    <row r="4255" spans="1:46">
      <c r="A4255">
        <v>70447</v>
      </c>
      <c r="B4255" t="s">
        <v>23076</v>
      </c>
      <c r="C4255" t="s">
        <v>23077</v>
      </c>
      <c r="D4255" t="s">
        <v>23078</v>
      </c>
      <c r="E4255" t="s">
        <v>23079</v>
      </c>
      <c r="F4255" t="s">
        <v>3015</v>
      </c>
      <c r="G4255" t="s">
        <v>3015</v>
      </c>
      <c r="H4255" t="s">
        <v>449</v>
      </c>
      <c r="J4255" t="s">
        <v>605</v>
      </c>
      <c r="K4255" t="s">
        <v>606</v>
      </c>
      <c r="M4255" t="s">
        <v>2366</v>
      </c>
      <c r="N4255" t="s">
        <v>657</v>
      </c>
      <c r="O4255" t="s">
        <v>3016</v>
      </c>
      <c r="P4255" t="s">
        <v>739</v>
      </c>
      <c r="Q4255" t="s">
        <v>521</v>
      </c>
      <c r="R4255" t="s">
        <v>3017</v>
      </c>
      <c r="S4255" t="s">
        <v>3030</v>
      </c>
      <c r="T4255" t="s">
        <v>2526</v>
      </c>
      <c r="U4255">
        <v>325800</v>
      </c>
      <c r="V4255" t="s">
        <v>17836</v>
      </c>
      <c r="W4255" t="s">
        <v>2521</v>
      </c>
      <c r="X4255" t="s">
        <v>10864</v>
      </c>
      <c r="Y4255" t="s">
        <v>4014</v>
      </c>
      <c r="Z4255" t="s">
        <v>4015</v>
      </c>
      <c r="AA4255" t="s">
        <v>4016</v>
      </c>
      <c r="AC4255">
        <v>99215</v>
      </c>
      <c r="AD4255" t="s">
        <v>11035</v>
      </c>
      <c r="AE4255">
        <v>-43.524610269999997</v>
      </c>
      <c r="AF4255">
        <v>172.63831200000001</v>
      </c>
      <c r="AG4255" s="175">
        <v>66</v>
      </c>
      <c r="AH4255" s="175">
        <v>20</v>
      </c>
      <c r="AI4255" s="175">
        <v>3</v>
      </c>
      <c r="AJ4255" s="175">
        <v>6</v>
      </c>
      <c r="AK4255" s="175">
        <v>12</v>
      </c>
      <c r="AL4255" s="175">
        <v>8</v>
      </c>
      <c r="AM4255" s="175">
        <v>2</v>
      </c>
      <c r="AN4255" s="175">
        <v>1</v>
      </c>
      <c r="AO4255" s="175">
        <v>32</v>
      </c>
      <c r="AP4255" s="175">
        <v>19</v>
      </c>
      <c r="AQ4255" s="175">
        <v>8</v>
      </c>
      <c r="AR4255" s="175">
        <v>2</v>
      </c>
      <c r="AS4255" s="175">
        <v>10</v>
      </c>
      <c r="AT4255" s="175">
        <v>3</v>
      </c>
    </row>
    <row r="4256" spans="1:46">
      <c r="A4256">
        <v>70451</v>
      </c>
      <c r="B4256" t="s">
        <v>23080</v>
      </c>
      <c r="C4256" t="s">
        <v>23081</v>
      </c>
      <c r="D4256" t="s">
        <v>12324</v>
      </c>
      <c r="E4256" t="s">
        <v>23082</v>
      </c>
      <c r="F4256" t="s">
        <v>3229</v>
      </c>
      <c r="G4256" t="s">
        <v>3015</v>
      </c>
      <c r="H4256" t="s">
        <v>449</v>
      </c>
      <c r="I4256" t="s">
        <v>4023</v>
      </c>
      <c r="J4256" t="s">
        <v>605</v>
      </c>
      <c r="K4256" t="s">
        <v>606</v>
      </c>
      <c r="M4256" t="s">
        <v>2366</v>
      </c>
      <c r="N4256" t="s">
        <v>657</v>
      </c>
      <c r="O4256" t="s">
        <v>3016</v>
      </c>
      <c r="P4256" t="s">
        <v>739</v>
      </c>
      <c r="Q4256" t="s">
        <v>521</v>
      </c>
      <c r="R4256" t="s">
        <v>3017</v>
      </c>
      <c r="S4256" t="s">
        <v>3092</v>
      </c>
      <c r="T4256" t="s">
        <v>2526</v>
      </c>
      <c r="U4256">
        <v>326900</v>
      </c>
      <c r="V4256" t="s">
        <v>12327</v>
      </c>
      <c r="W4256" t="s">
        <v>3161</v>
      </c>
      <c r="X4256" t="s">
        <v>12328</v>
      </c>
      <c r="Y4256" t="s">
        <v>12329</v>
      </c>
      <c r="Z4256" t="s">
        <v>12326</v>
      </c>
      <c r="AA4256" t="s">
        <v>12330</v>
      </c>
      <c r="AB4256" t="s">
        <v>12331</v>
      </c>
      <c r="AC4256">
        <v>99177</v>
      </c>
      <c r="AD4256" t="s">
        <v>3032</v>
      </c>
      <c r="AE4256">
        <v>-43.556129030000001</v>
      </c>
      <c r="AF4256">
        <v>172.60734793</v>
      </c>
      <c r="AG4256" s="175">
        <v>41</v>
      </c>
      <c r="AH4256" s="175">
        <v>16</v>
      </c>
      <c r="AI4256" s="175">
        <v>3</v>
      </c>
      <c r="AJ4256" s="175">
        <v>19</v>
      </c>
      <c r="AK4256" s="175">
        <v>16</v>
      </c>
      <c r="AL4256" s="175">
        <v>11</v>
      </c>
      <c r="AM4256" s="175">
        <v>2</v>
      </c>
      <c r="AN4256" s="175">
        <v>0</v>
      </c>
      <c r="AO4256" s="175">
        <v>51</v>
      </c>
      <c r="AP4256" s="175">
        <v>39</v>
      </c>
      <c r="AQ4256" s="175">
        <v>13</v>
      </c>
      <c r="AR4256" s="175">
        <v>3</v>
      </c>
      <c r="AS4256" s="175">
        <v>6</v>
      </c>
      <c r="AT4256" s="175">
        <v>1</v>
      </c>
    </row>
    <row r="4257" spans="1:46">
      <c r="A4257">
        <v>70455</v>
      </c>
      <c r="B4257" t="s">
        <v>23083</v>
      </c>
      <c r="C4257" t="s">
        <v>23084</v>
      </c>
      <c r="D4257" t="s">
        <v>23085</v>
      </c>
      <c r="E4257" t="s">
        <v>23086</v>
      </c>
      <c r="F4257" t="s">
        <v>3246</v>
      </c>
      <c r="G4257" t="s">
        <v>3015</v>
      </c>
      <c r="H4257" t="s">
        <v>449</v>
      </c>
      <c r="J4257" t="s">
        <v>605</v>
      </c>
      <c r="K4257" t="s">
        <v>606</v>
      </c>
      <c r="M4257" t="s">
        <v>2366</v>
      </c>
      <c r="N4257" t="s">
        <v>657</v>
      </c>
      <c r="O4257" t="s">
        <v>3016</v>
      </c>
      <c r="P4257" t="s">
        <v>739</v>
      </c>
      <c r="Q4257" t="s">
        <v>521</v>
      </c>
      <c r="R4257" t="s">
        <v>3017</v>
      </c>
      <c r="S4257" t="s">
        <v>3030</v>
      </c>
      <c r="T4257" t="s">
        <v>2526</v>
      </c>
      <c r="U4257">
        <v>323100</v>
      </c>
      <c r="V4257" t="s">
        <v>3155</v>
      </c>
      <c r="W4257" t="s">
        <v>3143</v>
      </c>
      <c r="X4257" t="s">
        <v>23087</v>
      </c>
      <c r="Y4257" t="s">
        <v>23086</v>
      </c>
      <c r="Z4257" t="s">
        <v>3154</v>
      </c>
      <c r="AA4257" t="s">
        <v>12388</v>
      </c>
      <c r="AE4257">
        <v>-43.504523040000002</v>
      </c>
      <c r="AF4257">
        <v>172.63922109999999</v>
      </c>
      <c r="AG4257" s="175">
        <v>35</v>
      </c>
      <c r="AH4257" s="175">
        <v>0</v>
      </c>
      <c r="AI4257" s="175">
        <v>0</v>
      </c>
      <c r="AJ4257" s="175">
        <v>0</v>
      </c>
      <c r="AK4257" s="175">
        <v>6</v>
      </c>
      <c r="AL4257" s="175">
        <v>11</v>
      </c>
      <c r="AM4257" s="175">
        <v>12</v>
      </c>
      <c r="AN4257" s="175">
        <v>2</v>
      </c>
      <c r="AO4257" s="175">
        <v>31</v>
      </c>
      <c r="AP4257" s="175">
        <v>22</v>
      </c>
      <c r="AQ4257" s="175">
        <v>8</v>
      </c>
      <c r="AR4257" s="175">
        <v>6</v>
      </c>
      <c r="AS4257" s="175">
        <v>3</v>
      </c>
      <c r="AT4257" s="175">
        <v>1</v>
      </c>
    </row>
    <row r="4258" spans="1:46">
      <c r="A4258">
        <v>70457</v>
      </c>
      <c r="B4258" t="s">
        <v>23088</v>
      </c>
      <c r="C4258" t="s">
        <v>23089</v>
      </c>
      <c r="D4258" t="s">
        <v>23090</v>
      </c>
      <c r="E4258" t="s">
        <v>23091</v>
      </c>
      <c r="F4258" t="s">
        <v>3057</v>
      </c>
      <c r="G4258" t="s">
        <v>3015</v>
      </c>
      <c r="H4258" t="s">
        <v>449</v>
      </c>
      <c r="J4258" t="s">
        <v>605</v>
      </c>
      <c r="K4258" t="s">
        <v>606</v>
      </c>
      <c r="M4258" t="s">
        <v>2366</v>
      </c>
      <c r="N4258" t="s">
        <v>657</v>
      </c>
      <c r="O4258" t="s">
        <v>3016</v>
      </c>
      <c r="P4258" t="s">
        <v>739</v>
      </c>
      <c r="Q4258" t="s">
        <v>521</v>
      </c>
      <c r="R4258" t="s">
        <v>3017</v>
      </c>
      <c r="S4258" t="s">
        <v>3018</v>
      </c>
      <c r="T4258" t="s">
        <v>2526</v>
      </c>
      <c r="U4258">
        <v>317800</v>
      </c>
      <c r="V4258" t="s">
        <v>3058</v>
      </c>
      <c r="W4258" t="s">
        <v>3059</v>
      </c>
      <c r="X4258" t="s">
        <v>23092</v>
      </c>
      <c r="Y4258" t="s">
        <v>23093</v>
      </c>
      <c r="Z4258" t="s">
        <v>3015</v>
      </c>
      <c r="AA4258" t="s">
        <v>22815</v>
      </c>
      <c r="AB4258" t="s">
        <v>23094</v>
      </c>
      <c r="AC4258">
        <v>99039</v>
      </c>
      <c r="AD4258" t="s">
        <v>3060</v>
      </c>
      <c r="AE4258">
        <v>-43.485013010000003</v>
      </c>
      <c r="AF4258">
        <v>172.58722463999999</v>
      </c>
      <c r="AG4258" s="175">
        <v>40</v>
      </c>
      <c r="AH4258" s="175">
        <v>8</v>
      </c>
      <c r="AI4258" s="175">
        <v>2</v>
      </c>
      <c r="AJ4258" s="175">
        <v>6</v>
      </c>
      <c r="AK4258" s="175">
        <v>11</v>
      </c>
      <c r="AL4258" s="175">
        <v>20</v>
      </c>
      <c r="AM4258" s="175">
        <v>11</v>
      </c>
      <c r="AN4258" s="175">
        <v>1</v>
      </c>
      <c r="AO4258" s="175">
        <v>51</v>
      </c>
      <c r="AP4258" s="175">
        <v>37</v>
      </c>
      <c r="AQ4258" s="175">
        <v>9</v>
      </c>
      <c r="AR4258" s="175">
        <v>2</v>
      </c>
      <c r="AS4258" s="175">
        <v>10</v>
      </c>
      <c r="AT4258" s="175">
        <v>1</v>
      </c>
    </row>
    <row r="4259" spans="1:46">
      <c r="A4259">
        <v>70459</v>
      </c>
      <c r="B4259" t="s">
        <v>23095</v>
      </c>
      <c r="C4259" t="s">
        <v>23096</v>
      </c>
      <c r="D4259" t="s">
        <v>23097</v>
      </c>
      <c r="E4259" t="s">
        <v>23098</v>
      </c>
      <c r="F4259" t="s">
        <v>13060</v>
      </c>
      <c r="G4259" t="s">
        <v>3015</v>
      </c>
      <c r="H4259" t="s">
        <v>449</v>
      </c>
      <c r="J4259" t="s">
        <v>605</v>
      </c>
      <c r="K4259" t="s">
        <v>606</v>
      </c>
      <c r="M4259" t="s">
        <v>2366</v>
      </c>
      <c r="N4259" t="s">
        <v>4586</v>
      </c>
      <c r="O4259" t="s">
        <v>3016</v>
      </c>
      <c r="P4259" t="s">
        <v>739</v>
      </c>
      <c r="Q4259" t="s">
        <v>521</v>
      </c>
      <c r="R4259" t="s">
        <v>3017</v>
      </c>
      <c r="S4259" t="s">
        <v>3052</v>
      </c>
      <c r="T4259" t="s">
        <v>2526</v>
      </c>
      <c r="U4259">
        <v>332400</v>
      </c>
      <c r="V4259" t="s">
        <v>23099</v>
      </c>
      <c r="W4259" t="s">
        <v>3087</v>
      </c>
      <c r="X4259" t="s">
        <v>23100</v>
      </c>
      <c r="Y4259" t="s">
        <v>23101</v>
      </c>
      <c r="Z4259" t="s">
        <v>14722</v>
      </c>
      <c r="AA4259" t="s">
        <v>23102</v>
      </c>
      <c r="AB4259" t="s">
        <v>23096</v>
      </c>
      <c r="AC4259">
        <v>99196</v>
      </c>
      <c r="AD4259" t="s">
        <v>3137</v>
      </c>
      <c r="AE4259">
        <v>-43.563601689999999</v>
      </c>
      <c r="AF4259">
        <v>172.74015463000001</v>
      </c>
      <c r="AG4259" s="175">
        <v>50</v>
      </c>
      <c r="AH4259" s="175">
        <v>10</v>
      </c>
      <c r="AI4259" s="175">
        <v>2</v>
      </c>
      <c r="AJ4259" s="175">
        <v>15</v>
      </c>
      <c r="AK4259" s="175">
        <v>13</v>
      </c>
      <c r="AL4259" s="175">
        <v>15</v>
      </c>
      <c r="AM4259" s="175">
        <v>14</v>
      </c>
      <c r="AN4259" s="175">
        <v>0</v>
      </c>
      <c r="AO4259" s="175">
        <v>59</v>
      </c>
      <c r="AP4259" s="175">
        <v>57</v>
      </c>
      <c r="AQ4259" s="175">
        <v>7</v>
      </c>
      <c r="AR4259" s="175">
        <v>1</v>
      </c>
      <c r="AS4259" s="175">
        <v>2</v>
      </c>
      <c r="AT4259" s="175">
        <v>1</v>
      </c>
    </row>
    <row r="4260" spans="1:46">
      <c r="A4260">
        <v>70461</v>
      </c>
      <c r="B4260" t="s">
        <v>23103</v>
      </c>
      <c r="C4260" t="s">
        <v>23104</v>
      </c>
      <c r="D4260" t="s">
        <v>23105</v>
      </c>
      <c r="E4260" t="s">
        <v>23106</v>
      </c>
      <c r="F4260" t="s">
        <v>3188</v>
      </c>
      <c r="G4260" t="s">
        <v>3015</v>
      </c>
      <c r="H4260" t="s">
        <v>449</v>
      </c>
      <c r="J4260" t="s">
        <v>4032</v>
      </c>
      <c r="K4260" t="s">
        <v>606</v>
      </c>
      <c r="M4260" t="s">
        <v>2366</v>
      </c>
      <c r="N4260" t="s">
        <v>4586</v>
      </c>
      <c r="O4260" t="s">
        <v>3016</v>
      </c>
      <c r="P4260" t="s">
        <v>739</v>
      </c>
      <c r="Q4260" t="s">
        <v>521</v>
      </c>
      <c r="R4260" t="s">
        <v>3017</v>
      </c>
      <c r="S4260" t="s">
        <v>3018</v>
      </c>
      <c r="T4260" t="s">
        <v>2526</v>
      </c>
      <c r="U4260">
        <v>319200</v>
      </c>
      <c r="V4260" t="s">
        <v>3122</v>
      </c>
      <c r="W4260" t="s">
        <v>3072</v>
      </c>
      <c r="X4260" t="s">
        <v>11771</v>
      </c>
      <c r="Y4260" t="s">
        <v>11772</v>
      </c>
      <c r="Z4260" t="s">
        <v>11773</v>
      </c>
      <c r="AA4260" t="s">
        <v>11705</v>
      </c>
      <c r="AB4260" t="s">
        <v>11774</v>
      </c>
      <c r="AC4260">
        <v>99027</v>
      </c>
      <c r="AD4260" t="s">
        <v>3073</v>
      </c>
      <c r="AE4260">
        <v>-43.500027639999999</v>
      </c>
      <c r="AF4260">
        <v>172.58547074000001</v>
      </c>
      <c r="AG4260" s="175">
        <v>33</v>
      </c>
      <c r="AH4260" s="175">
        <v>10</v>
      </c>
      <c r="AI4260" s="175">
        <v>1</v>
      </c>
      <c r="AJ4260" s="175">
        <v>7</v>
      </c>
      <c r="AK4260" s="175">
        <v>17</v>
      </c>
      <c r="AL4260" s="175">
        <v>12</v>
      </c>
      <c r="AM4260" s="175">
        <v>8</v>
      </c>
      <c r="AN4260" s="175">
        <v>0</v>
      </c>
      <c r="AO4260" s="175">
        <v>45</v>
      </c>
      <c r="AP4260" s="175">
        <v>28</v>
      </c>
      <c r="AQ4260" s="175">
        <v>13</v>
      </c>
      <c r="AR4260" s="175">
        <v>4</v>
      </c>
      <c r="AS4260" s="175">
        <v>7</v>
      </c>
      <c r="AT4260" s="175">
        <v>9</v>
      </c>
    </row>
    <row r="4261" spans="1:46">
      <c r="A4261">
        <v>70463</v>
      </c>
      <c r="B4261" t="s">
        <v>23107</v>
      </c>
      <c r="C4261" t="s">
        <v>23108</v>
      </c>
      <c r="D4261" t="s">
        <v>23109</v>
      </c>
      <c r="E4261" t="s">
        <v>23110</v>
      </c>
      <c r="F4261" t="s">
        <v>11770</v>
      </c>
      <c r="G4261" t="s">
        <v>3015</v>
      </c>
      <c r="H4261" t="s">
        <v>449</v>
      </c>
      <c r="J4261" t="s">
        <v>605</v>
      </c>
      <c r="K4261" t="s">
        <v>606</v>
      </c>
      <c r="M4261" t="s">
        <v>2366</v>
      </c>
      <c r="N4261" t="s">
        <v>625</v>
      </c>
      <c r="O4261" t="s">
        <v>3016</v>
      </c>
      <c r="P4261" t="s">
        <v>739</v>
      </c>
      <c r="Q4261" t="s">
        <v>521</v>
      </c>
      <c r="R4261" t="s">
        <v>3017</v>
      </c>
      <c r="S4261" t="s">
        <v>3030</v>
      </c>
      <c r="T4261" t="s">
        <v>2526</v>
      </c>
      <c r="U4261">
        <v>329900</v>
      </c>
      <c r="V4261" t="s">
        <v>3085</v>
      </c>
      <c r="W4261" t="s">
        <v>3087</v>
      </c>
      <c r="X4261" t="s">
        <v>23111</v>
      </c>
      <c r="Y4261" t="s">
        <v>23112</v>
      </c>
      <c r="Z4261" t="s">
        <v>3015</v>
      </c>
      <c r="AA4261" t="s">
        <v>23113</v>
      </c>
      <c r="AB4261" t="s">
        <v>23114</v>
      </c>
      <c r="AC4261">
        <v>99177</v>
      </c>
      <c r="AD4261" t="s">
        <v>3032</v>
      </c>
      <c r="AE4261">
        <v>-43.548835510000004</v>
      </c>
      <c r="AF4261">
        <v>172.64720120000001</v>
      </c>
      <c r="AG4261" s="175">
        <v>40</v>
      </c>
      <c r="AH4261" s="175">
        <v>10</v>
      </c>
      <c r="AI4261" s="175">
        <v>0</v>
      </c>
      <c r="AJ4261" s="175">
        <v>6</v>
      </c>
      <c r="AK4261" s="175">
        <v>15</v>
      </c>
      <c r="AL4261" s="175">
        <v>10</v>
      </c>
      <c r="AM4261" s="175">
        <v>15</v>
      </c>
      <c r="AN4261" s="175">
        <v>2</v>
      </c>
      <c r="AO4261" s="175">
        <v>48</v>
      </c>
      <c r="AP4261" s="175">
        <v>35</v>
      </c>
      <c r="AQ4261" s="175">
        <v>9</v>
      </c>
      <c r="AR4261" s="175">
        <v>3</v>
      </c>
      <c r="AS4261" s="175">
        <v>6</v>
      </c>
      <c r="AT4261" s="175">
        <v>0</v>
      </c>
    </row>
    <row r="4262" spans="1:46">
      <c r="A4262">
        <v>70466</v>
      </c>
      <c r="B4262" t="s">
        <v>23115</v>
      </c>
      <c r="C4262" t="s">
        <v>23116</v>
      </c>
      <c r="D4262" t="s">
        <v>23117</v>
      </c>
      <c r="E4262" t="s">
        <v>23118</v>
      </c>
      <c r="G4262" t="s">
        <v>3036</v>
      </c>
      <c r="H4262" t="s">
        <v>449</v>
      </c>
      <c r="J4262" t="s">
        <v>605</v>
      </c>
      <c r="K4262" t="s">
        <v>606</v>
      </c>
      <c r="M4262" t="s">
        <v>2366</v>
      </c>
      <c r="N4262" t="s">
        <v>657</v>
      </c>
      <c r="O4262" t="s">
        <v>3037</v>
      </c>
      <c r="P4262" t="s">
        <v>658</v>
      </c>
      <c r="Q4262" t="s">
        <v>521</v>
      </c>
      <c r="R4262" t="s">
        <v>3017</v>
      </c>
      <c r="S4262" t="s">
        <v>3038</v>
      </c>
      <c r="T4262" t="s">
        <v>2526</v>
      </c>
      <c r="U4262">
        <v>315100</v>
      </c>
      <c r="V4262" t="s">
        <v>23119</v>
      </c>
      <c r="W4262" t="s">
        <v>11265</v>
      </c>
      <c r="X4262" t="s">
        <v>23120</v>
      </c>
      <c r="Y4262" t="s">
        <v>23121</v>
      </c>
      <c r="AA4262" t="s">
        <v>23122</v>
      </c>
      <c r="AB4262" t="s">
        <v>23123</v>
      </c>
      <c r="AC4262">
        <v>99077</v>
      </c>
      <c r="AD4262" t="s">
        <v>3041</v>
      </c>
      <c r="AE4262">
        <v>-43.369982780000001</v>
      </c>
      <c r="AF4262">
        <v>172.49770989999999</v>
      </c>
      <c r="AG4262" s="175">
        <v>110</v>
      </c>
      <c r="AH4262" s="175">
        <v>25</v>
      </c>
      <c r="AI4262" s="175">
        <v>0</v>
      </c>
      <c r="AJ4262" s="175">
        <v>19</v>
      </c>
      <c r="AK4262" s="175">
        <v>26</v>
      </c>
      <c r="AL4262" s="175">
        <v>38</v>
      </c>
      <c r="AM4262" s="175">
        <v>48</v>
      </c>
      <c r="AN4262" s="175">
        <v>0</v>
      </c>
      <c r="AO4262" s="175">
        <v>131</v>
      </c>
      <c r="AP4262" s="175">
        <v>123</v>
      </c>
      <c r="AQ4262" s="175">
        <v>20</v>
      </c>
      <c r="AR4262" s="175">
        <v>2</v>
      </c>
      <c r="AS4262" s="175">
        <v>2</v>
      </c>
      <c r="AT4262" s="175">
        <v>1</v>
      </c>
    </row>
    <row r="4263" spans="1:46">
      <c r="A4263">
        <v>70472</v>
      </c>
      <c r="B4263" t="s">
        <v>23124</v>
      </c>
      <c r="C4263" t="s">
        <v>23125</v>
      </c>
      <c r="E4263" t="s">
        <v>23126</v>
      </c>
      <c r="F4263" t="s">
        <v>3030</v>
      </c>
      <c r="G4263" t="s">
        <v>3015</v>
      </c>
      <c r="H4263" t="s">
        <v>449</v>
      </c>
      <c r="I4263" t="s">
        <v>6871</v>
      </c>
      <c r="J4263" t="s">
        <v>605</v>
      </c>
      <c r="K4263" t="s">
        <v>606</v>
      </c>
      <c r="M4263" t="s">
        <v>2366</v>
      </c>
      <c r="N4263" t="s">
        <v>657</v>
      </c>
      <c r="O4263" t="s">
        <v>3016</v>
      </c>
      <c r="P4263" t="s">
        <v>739</v>
      </c>
      <c r="Q4263" t="s">
        <v>521</v>
      </c>
      <c r="R4263" t="s">
        <v>3017</v>
      </c>
      <c r="S4263" t="s">
        <v>3030</v>
      </c>
      <c r="T4263" t="s">
        <v>2526</v>
      </c>
      <c r="U4263">
        <v>325700</v>
      </c>
      <c r="V4263" t="s">
        <v>18612</v>
      </c>
      <c r="W4263" t="s">
        <v>2521</v>
      </c>
      <c r="X4263" t="s">
        <v>23127</v>
      </c>
      <c r="Y4263" t="s">
        <v>23128</v>
      </c>
      <c r="Z4263" t="s">
        <v>22076</v>
      </c>
      <c r="AA4263" t="s">
        <v>17932</v>
      </c>
      <c r="AB4263" t="s">
        <v>23125</v>
      </c>
      <c r="AE4263">
        <v>-43.527879849999998</v>
      </c>
      <c r="AF4263">
        <v>172.62878910000001</v>
      </c>
      <c r="AG4263" s="175">
        <v>50</v>
      </c>
      <c r="AH4263" s="175">
        <v>0</v>
      </c>
      <c r="AI4263" s="175">
        <v>0</v>
      </c>
      <c r="AJ4263" s="175">
        <v>0</v>
      </c>
      <c r="AK4263" s="175">
        <v>3</v>
      </c>
      <c r="AL4263" s="175">
        <v>11</v>
      </c>
      <c r="AM4263" s="175">
        <v>20</v>
      </c>
      <c r="AN4263" s="175">
        <v>0</v>
      </c>
      <c r="AO4263" s="175">
        <v>34</v>
      </c>
      <c r="AP4263" s="175">
        <v>20</v>
      </c>
      <c r="AQ4263" s="175">
        <v>1</v>
      </c>
      <c r="AR4263" s="175">
        <v>0</v>
      </c>
      <c r="AS4263" s="175">
        <v>17</v>
      </c>
      <c r="AT4263" s="175">
        <v>1</v>
      </c>
    </row>
    <row r="4264" spans="1:46">
      <c r="A4264">
        <v>70475</v>
      </c>
      <c r="B4264" t="s">
        <v>23129</v>
      </c>
      <c r="C4264" t="s">
        <v>23130</v>
      </c>
      <c r="D4264" t="s">
        <v>23131</v>
      </c>
      <c r="E4264" t="s">
        <v>23132</v>
      </c>
      <c r="F4264" t="s">
        <v>11012</v>
      </c>
      <c r="G4264" t="s">
        <v>3015</v>
      </c>
      <c r="H4264" t="s">
        <v>449</v>
      </c>
      <c r="J4264" t="s">
        <v>605</v>
      </c>
      <c r="K4264" t="s">
        <v>606</v>
      </c>
      <c r="M4264" t="s">
        <v>2366</v>
      </c>
      <c r="N4264" t="s">
        <v>657</v>
      </c>
      <c r="O4264" t="s">
        <v>3016</v>
      </c>
      <c r="P4264" t="s">
        <v>739</v>
      </c>
      <c r="Q4264" t="s">
        <v>521</v>
      </c>
      <c r="R4264" t="s">
        <v>3017</v>
      </c>
      <c r="S4264" t="s">
        <v>3052</v>
      </c>
      <c r="T4264" t="s">
        <v>2526</v>
      </c>
      <c r="U4264">
        <v>329100</v>
      </c>
      <c r="V4264" t="s">
        <v>13683</v>
      </c>
      <c r="W4264" t="s">
        <v>3031</v>
      </c>
      <c r="X4264" t="s">
        <v>23133</v>
      </c>
      <c r="Y4264" t="s">
        <v>23132</v>
      </c>
      <c r="Z4264" t="s">
        <v>11012</v>
      </c>
      <c r="AA4264" t="s">
        <v>11013</v>
      </c>
      <c r="AB4264" t="s">
        <v>23134</v>
      </c>
      <c r="AC4264">
        <v>99177</v>
      </c>
      <c r="AD4264" t="s">
        <v>3032</v>
      </c>
      <c r="AE4264">
        <v>-43.559286579999998</v>
      </c>
      <c r="AF4264">
        <v>172.63255014000001</v>
      </c>
      <c r="AG4264" s="175">
        <v>70</v>
      </c>
      <c r="AH4264" s="175">
        <v>0</v>
      </c>
      <c r="AI4264" s="175">
        <v>0</v>
      </c>
      <c r="AJ4264" s="175">
        <v>0</v>
      </c>
      <c r="AK4264" s="175">
        <v>11</v>
      </c>
      <c r="AL4264" s="175">
        <v>15</v>
      </c>
      <c r="AM4264" s="175">
        <v>22</v>
      </c>
      <c r="AN4264" s="175">
        <v>2</v>
      </c>
      <c r="AO4264" s="175">
        <v>50</v>
      </c>
      <c r="AP4264" s="175">
        <v>40</v>
      </c>
      <c r="AQ4264" s="175">
        <v>4</v>
      </c>
      <c r="AR4264" s="175">
        <v>2</v>
      </c>
      <c r="AS4264" s="175">
        <v>11</v>
      </c>
      <c r="AT4264" s="175">
        <v>9</v>
      </c>
    </row>
    <row r="4265" spans="1:46">
      <c r="A4265">
        <v>70478</v>
      </c>
      <c r="B4265" t="s">
        <v>23135</v>
      </c>
      <c r="C4265" t="s">
        <v>23136</v>
      </c>
      <c r="D4265" t="s">
        <v>23137</v>
      </c>
      <c r="E4265" t="s">
        <v>23138</v>
      </c>
      <c r="G4265" t="s">
        <v>3260</v>
      </c>
      <c r="H4265" t="s">
        <v>449</v>
      </c>
      <c r="J4265" t="s">
        <v>605</v>
      </c>
      <c r="K4265" t="s">
        <v>606</v>
      </c>
      <c r="M4265" t="s">
        <v>2366</v>
      </c>
      <c r="N4265" t="s">
        <v>657</v>
      </c>
      <c r="O4265" t="s">
        <v>3037</v>
      </c>
      <c r="P4265" t="s">
        <v>658</v>
      </c>
      <c r="Q4265" t="s">
        <v>521</v>
      </c>
      <c r="R4265" t="s">
        <v>3017</v>
      </c>
      <c r="S4265" t="s">
        <v>3038</v>
      </c>
      <c r="T4265" t="s">
        <v>2526</v>
      </c>
      <c r="U4265">
        <v>315200</v>
      </c>
      <c r="V4265" t="s">
        <v>23139</v>
      </c>
      <c r="W4265" t="s">
        <v>3262</v>
      </c>
      <c r="X4265" t="s">
        <v>23140</v>
      </c>
      <c r="Y4265" t="s">
        <v>23141</v>
      </c>
      <c r="Z4265" t="s">
        <v>3260</v>
      </c>
      <c r="AA4265" t="s">
        <v>23142</v>
      </c>
      <c r="AB4265" t="s">
        <v>23143</v>
      </c>
      <c r="AC4265">
        <v>99061</v>
      </c>
      <c r="AD4265" t="s">
        <v>3263</v>
      </c>
      <c r="AE4265">
        <v>-43.334338639999999</v>
      </c>
      <c r="AF4265">
        <v>172.64330584999999</v>
      </c>
      <c r="AG4265" s="175">
        <v>55</v>
      </c>
      <c r="AH4265" s="175">
        <v>0</v>
      </c>
      <c r="AI4265" s="175">
        <v>0</v>
      </c>
      <c r="AJ4265" s="175">
        <v>0</v>
      </c>
      <c r="AK4265" s="175">
        <v>14</v>
      </c>
      <c r="AL4265" s="175">
        <v>11</v>
      </c>
      <c r="AM4265" s="175">
        <v>29</v>
      </c>
      <c r="AN4265" s="175">
        <v>1</v>
      </c>
      <c r="AO4265" s="175">
        <v>55</v>
      </c>
      <c r="AP4265" s="175">
        <v>33</v>
      </c>
      <c r="AQ4265" s="175">
        <v>17</v>
      </c>
      <c r="AR4265" s="175">
        <v>3</v>
      </c>
      <c r="AS4265" s="175">
        <v>0</v>
      </c>
      <c r="AT4265" s="175">
        <v>3</v>
      </c>
    </row>
    <row r="4266" spans="1:46">
      <c r="A4266">
        <v>70479</v>
      </c>
      <c r="B4266" t="s">
        <v>23144</v>
      </c>
      <c r="C4266" t="s">
        <v>23145</v>
      </c>
      <c r="E4266" t="s">
        <v>23146</v>
      </c>
      <c r="F4266" t="s">
        <v>18519</v>
      </c>
      <c r="G4266" t="s">
        <v>3015</v>
      </c>
      <c r="H4266" t="s">
        <v>449</v>
      </c>
      <c r="J4266" t="s">
        <v>4032</v>
      </c>
      <c r="K4266" t="s">
        <v>606</v>
      </c>
      <c r="M4266" t="s">
        <v>2366</v>
      </c>
      <c r="N4266" t="s">
        <v>657</v>
      </c>
      <c r="O4266" t="s">
        <v>3016</v>
      </c>
      <c r="P4266" t="s">
        <v>739</v>
      </c>
      <c r="Q4266" t="s">
        <v>521</v>
      </c>
      <c r="R4266" t="s">
        <v>3017</v>
      </c>
      <c r="S4266" t="s">
        <v>3092</v>
      </c>
      <c r="T4266" t="s">
        <v>2526</v>
      </c>
      <c r="U4266">
        <v>325000</v>
      </c>
      <c r="V4266" t="s">
        <v>18519</v>
      </c>
      <c r="W4266" t="s">
        <v>3161</v>
      </c>
      <c r="X4266" t="s">
        <v>23147</v>
      </c>
      <c r="Y4266" t="s">
        <v>23148</v>
      </c>
      <c r="Z4266" t="s">
        <v>3122</v>
      </c>
      <c r="AA4266" t="s">
        <v>12005</v>
      </c>
      <c r="AB4266" t="s">
        <v>23149</v>
      </c>
      <c r="AC4266">
        <v>99177</v>
      </c>
      <c r="AD4266" t="s">
        <v>3032</v>
      </c>
      <c r="AE4266">
        <v>-43.550341260000003</v>
      </c>
      <c r="AF4266">
        <v>172.59072411</v>
      </c>
      <c r="AG4266" s="175">
        <v>98</v>
      </c>
      <c r="AH4266" s="175">
        <v>25</v>
      </c>
      <c r="AI4266" s="175">
        <v>4</v>
      </c>
      <c r="AJ4266" s="175">
        <v>16</v>
      </c>
      <c r="AK4266" s="175">
        <v>24</v>
      </c>
      <c r="AL4266" s="175">
        <v>26</v>
      </c>
      <c r="AM4266" s="175">
        <v>25</v>
      </c>
      <c r="AN4266" s="175">
        <v>1</v>
      </c>
      <c r="AO4266" s="175">
        <v>96</v>
      </c>
      <c r="AP4266" s="175">
        <v>81</v>
      </c>
      <c r="AQ4266" s="175">
        <v>13</v>
      </c>
      <c r="AR4266" s="175">
        <v>7</v>
      </c>
      <c r="AS4266" s="175">
        <v>18</v>
      </c>
      <c r="AT4266" s="175">
        <v>2</v>
      </c>
    </row>
    <row r="4267" spans="1:46">
      <c r="A4267">
        <v>70481</v>
      </c>
      <c r="B4267" t="s">
        <v>23150</v>
      </c>
      <c r="C4267" t="s">
        <v>23151</v>
      </c>
      <c r="E4267" t="s">
        <v>23152</v>
      </c>
      <c r="F4267" t="s">
        <v>3130</v>
      </c>
      <c r="G4267" t="s">
        <v>3015</v>
      </c>
      <c r="H4267" t="s">
        <v>449</v>
      </c>
      <c r="J4267" t="s">
        <v>4032</v>
      </c>
      <c r="K4267" t="s">
        <v>606</v>
      </c>
      <c r="M4267" t="s">
        <v>2366</v>
      </c>
      <c r="N4267" t="s">
        <v>657</v>
      </c>
      <c r="O4267" t="s">
        <v>3016</v>
      </c>
      <c r="P4267" t="s">
        <v>739</v>
      </c>
      <c r="Q4267" t="s">
        <v>521</v>
      </c>
      <c r="R4267" t="s">
        <v>3017</v>
      </c>
      <c r="S4267" t="s">
        <v>3030</v>
      </c>
      <c r="T4267" t="s">
        <v>2526</v>
      </c>
      <c r="U4267">
        <v>327902</v>
      </c>
      <c r="V4267" t="s">
        <v>23153</v>
      </c>
      <c r="W4267" t="s">
        <v>2521</v>
      </c>
      <c r="X4267" t="s">
        <v>23154</v>
      </c>
      <c r="Y4267" t="s">
        <v>16328</v>
      </c>
      <c r="Z4267" t="s">
        <v>996</v>
      </c>
      <c r="AA4267" t="s">
        <v>7112</v>
      </c>
      <c r="AB4267" t="s">
        <v>23155</v>
      </c>
      <c r="AC4267">
        <v>99063</v>
      </c>
      <c r="AD4267" t="s">
        <v>3067</v>
      </c>
      <c r="AE4267">
        <v>-43.528360890000002</v>
      </c>
      <c r="AF4267">
        <v>172.66344131</v>
      </c>
      <c r="AG4267" s="175">
        <v>62</v>
      </c>
      <c r="AH4267" s="175">
        <v>12</v>
      </c>
      <c r="AI4267" s="175">
        <v>5</v>
      </c>
      <c r="AJ4267" s="175">
        <v>11</v>
      </c>
      <c r="AK4267" s="175">
        <v>10</v>
      </c>
      <c r="AL4267" s="175">
        <v>11</v>
      </c>
      <c r="AM4267" s="175">
        <v>12</v>
      </c>
      <c r="AN4267" s="175">
        <v>4</v>
      </c>
      <c r="AO4267" s="175">
        <v>53</v>
      </c>
      <c r="AP4267" s="175">
        <v>31</v>
      </c>
      <c r="AQ4267" s="175">
        <v>16</v>
      </c>
      <c r="AR4267" s="175">
        <v>2</v>
      </c>
      <c r="AS4267" s="175">
        <v>13</v>
      </c>
      <c r="AT4267" s="175">
        <v>3</v>
      </c>
    </row>
    <row r="4268" spans="1:46">
      <c r="A4268">
        <v>70489</v>
      </c>
      <c r="B4268" t="s">
        <v>23156</v>
      </c>
      <c r="C4268" t="s">
        <v>23157</v>
      </c>
      <c r="D4268" t="s">
        <v>23158</v>
      </c>
      <c r="E4268" t="s">
        <v>23159</v>
      </c>
      <c r="G4268" t="s">
        <v>3379</v>
      </c>
      <c r="H4268" t="s">
        <v>449</v>
      </c>
      <c r="J4268" t="s">
        <v>605</v>
      </c>
      <c r="K4268" t="s">
        <v>606</v>
      </c>
      <c r="M4268" t="s">
        <v>2366</v>
      </c>
      <c r="N4268" t="s">
        <v>657</v>
      </c>
      <c r="O4268" t="s">
        <v>3357</v>
      </c>
      <c r="P4268" t="s">
        <v>610</v>
      </c>
      <c r="Q4268" t="s">
        <v>521</v>
      </c>
      <c r="R4268" t="s">
        <v>3017</v>
      </c>
      <c r="S4268" t="s">
        <v>3323</v>
      </c>
      <c r="T4268" t="s">
        <v>2526</v>
      </c>
      <c r="U4268">
        <v>341801</v>
      </c>
      <c r="V4268" t="s">
        <v>3379</v>
      </c>
      <c r="W4268" t="s">
        <v>3380</v>
      </c>
      <c r="X4268" t="s">
        <v>23160</v>
      </c>
      <c r="Y4268" t="s">
        <v>23161</v>
      </c>
      <c r="AA4268" t="s">
        <v>23162</v>
      </c>
      <c r="AB4268" t="s">
        <v>23157</v>
      </c>
      <c r="AE4268">
        <v>-44.255887080000001</v>
      </c>
      <c r="AF4268">
        <v>170.09846062</v>
      </c>
      <c r="AG4268" s="175">
        <v>39</v>
      </c>
      <c r="AH4268" s="175">
        <v>7</v>
      </c>
      <c r="AI4268" s="175">
        <v>2</v>
      </c>
      <c r="AJ4268" s="175">
        <v>8</v>
      </c>
      <c r="AK4268" s="175">
        <v>7</v>
      </c>
      <c r="AL4268" s="175">
        <v>7</v>
      </c>
      <c r="AM4268" s="175">
        <v>9</v>
      </c>
      <c r="AN4268" s="175">
        <v>0</v>
      </c>
      <c r="AO4268" s="175">
        <v>33</v>
      </c>
      <c r="AP4268" s="175">
        <v>28</v>
      </c>
      <c r="AQ4268" s="175">
        <v>4</v>
      </c>
      <c r="AR4268" s="175">
        <v>0</v>
      </c>
      <c r="AS4268" s="175">
        <v>5</v>
      </c>
      <c r="AT4268" s="175">
        <v>2</v>
      </c>
    </row>
    <row r="4269" spans="1:46">
      <c r="A4269">
        <v>70491</v>
      </c>
      <c r="B4269" t="s">
        <v>23163</v>
      </c>
      <c r="C4269" t="s">
        <v>23164</v>
      </c>
      <c r="D4269" t="s">
        <v>23165</v>
      </c>
      <c r="E4269" t="s">
        <v>23166</v>
      </c>
      <c r="F4269" t="s">
        <v>3018</v>
      </c>
      <c r="G4269" t="s">
        <v>3015</v>
      </c>
      <c r="H4269" t="s">
        <v>449</v>
      </c>
      <c r="J4269" t="s">
        <v>605</v>
      </c>
      <c r="K4269" t="s">
        <v>606</v>
      </c>
      <c r="M4269" t="s">
        <v>2366</v>
      </c>
      <c r="N4269" t="s">
        <v>657</v>
      </c>
      <c r="O4269" t="s">
        <v>3016</v>
      </c>
      <c r="P4269" t="s">
        <v>739</v>
      </c>
      <c r="Q4269" t="s">
        <v>521</v>
      </c>
      <c r="R4269" t="s">
        <v>3017</v>
      </c>
      <c r="S4269" t="s">
        <v>3018</v>
      </c>
      <c r="T4269" t="s">
        <v>2526</v>
      </c>
      <c r="U4269">
        <v>321200</v>
      </c>
      <c r="V4269" t="s">
        <v>22459</v>
      </c>
      <c r="W4269" t="s">
        <v>3149</v>
      </c>
      <c r="X4269" t="s">
        <v>23167</v>
      </c>
      <c r="Y4269" t="s">
        <v>23168</v>
      </c>
      <c r="AA4269" t="s">
        <v>17932</v>
      </c>
      <c r="AB4269" t="s">
        <v>23169</v>
      </c>
      <c r="AE4269">
        <v>-43.5212583</v>
      </c>
      <c r="AF4269">
        <v>172.57982580000001</v>
      </c>
      <c r="AG4269" s="175">
        <v>64</v>
      </c>
      <c r="AH4269" s="175">
        <v>19</v>
      </c>
      <c r="AI4269" s="175">
        <v>3</v>
      </c>
      <c r="AJ4269" s="175">
        <v>8</v>
      </c>
      <c r="AK4269" s="175">
        <v>14</v>
      </c>
      <c r="AL4269" s="175">
        <v>13</v>
      </c>
      <c r="AM4269" s="175">
        <v>13</v>
      </c>
      <c r="AN4269" s="175">
        <v>1</v>
      </c>
      <c r="AO4269" s="175">
        <v>52</v>
      </c>
      <c r="AP4269" s="175">
        <v>30</v>
      </c>
      <c r="AQ4269" s="175">
        <v>4</v>
      </c>
      <c r="AR4269" s="175">
        <v>2</v>
      </c>
      <c r="AS4269" s="175">
        <v>19</v>
      </c>
      <c r="AT4269" s="175">
        <v>5</v>
      </c>
    </row>
    <row r="4270" spans="1:46">
      <c r="A4270">
        <v>70493</v>
      </c>
      <c r="B4270" t="s">
        <v>23170</v>
      </c>
      <c r="C4270" t="s">
        <v>23171</v>
      </c>
      <c r="E4270" t="s">
        <v>23172</v>
      </c>
      <c r="F4270" t="s">
        <v>3018</v>
      </c>
      <c r="G4270" t="s">
        <v>3015</v>
      </c>
      <c r="H4270" t="s">
        <v>449</v>
      </c>
      <c r="J4270" t="s">
        <v>605</v>
      </c>
      <c r="K4270" t="s">
        <v>606</v>
      </c>
      <c r="M4270" t="s">
        <v>2366</v>
      </c>
      <c r="N4270" t="s">
        <v>657</v>
      </c>
      <c r="O4270" t="s">
        <v>3016</v>
      </c>
      <c r="P4270" t="s">
        <v>739</v>
      </c>
      <c r="Q4270" t="s">
        <v>521</v>
      </c>
      <c r="R4270" t="s">
        <v>3017</v>
      </c>
      <c r="S4270" t="s">
        <v>3018</v>
      </c>
      <c r="T4270" t="s">
        <v>2526</v>
      </c>
      <c r="U4270">
        <v>321200</v>
      </c>
      <c r="V4270" t="s">
        <v>22459</v>
      </c>
      <c r="W4270" t="s">
        <v>3149</v>
      </c>
      <c r="X4270" t="s">
        <v>22460</v>
      </c>
      <c r="Y4270" t="s">
        <v>22461</v>
      </c>
      <c r="Z4270" t="s">
        <v>3018</v>
      </c>
      <c r="AA4270" t="s">
        <v>22462</v>
      </c>
      <c r="AB4270" t="s">
        <v>22457</v>
      </c>
      <c r="AE4270">
        <v>-43.523025099999998</v>
      </c>
      <c r="AF4270">
        <v>172.5669049</v>
      </c>
      <c r="AG4270" s="175">
        <v>65</v>
      </c>
      <c r="AH4270" s="175">
        <v>25</v>
      </c>
      <c r="AI4270" s="175">
        <v>3</v>
      </c>
      <c r="AJ4270" s="175">
        <v>14</v>
      </c>
      <c r="AK4270" s="175">
        <v>13</v>
      </c>
      <c r="AL4270" s="175">
        <v>19</v>
      </c>
      <c r="AM4270" s="175">
        <v>18</v>
      </c>
      <c r="AN4270" s="175">
        <v>2</v>
      </c>
      <c r="AO4270" s="175">
        <v>69</v>
      </c>
      <c r="AP4270" s="175">
        <v>36</v>
      </c>
      <c r="AQ4270" s="175">
        <v>4</v>
      </c>
      <c r="AR4270" s="175">
        <v>1</v>
      </c>
      <c r="AS4270" s="175">
        <v>33</v>
      </c>
      <c r="AT4270" s="175">
        <v>6</v>
      </c>
    </row>
    <row r="4271" spans="1:46">
      <c r="A4271">
        <v>70497</v>
      </c>
      <c r="B4271" t="s">
        <v>23173</v>
      </c>
      <c r="C4271" t="s">
        <v>23174</v>
      </c>
      <c r="D4271" t="s">
        <v>23175</v>
      </c>
      <c r="E4271" t="s">
        <v>7908</v>
      </c>
      <c r="G4271" t="s">
        <v>3708</v>
      </c>
      <c r="H4271" t="s">
        <v>449</v>
      </c>
      <c r="J4271" t="s">
        <v>605</v>
      </c>
      <c r="K4271" t="s">
        <v>606</v>
      </c>
      <c r="M4271" t="s">
        <v>2366</v>
      </c>
      <c r="N4271" t="s">
        <v>657</v>
      </c>
      <c r="O4271" t="s">
        <v>3396</v>
      </c>
      <c r="P4271" t="s">
        <v>610</v>
      </c>
      <c r="Q4271" t="s">
        <v>521</v>
      </c>
      <c r="R4271" t="s">
        <v>3017</v>
      </c>
      <c r="S4271" t="s">
        <v>3323</v>
      </c>
      <c r="T4271" t="s">
        <v>2526</v>
      </c>
      <c r="U4271">
        <v>342800</v>
      </c>
      <c r="V4271" t="s">
        <v>3709</v>
      </c>
      <c r="W4271" t="s">
        <v>3710</v>
      </c>
      <c r="X4271" t="s">
        <v>23176</v>
      </c>
      <c r="Y4271" t="s">
        <v>23177</v>
      </c>
      <c r="AA4271" t="s">
        <v>3401</v>
      </c>
      <c r="AB4271" t="s">
        <v>23178</v>
      </c>
      <c r="AC4271">
        <v>99040</v>
      </c>
      <c r="AD4271" t="s">
        <v>3403</v>
      </c>
      <c r="AE4271">
        <v>-44.735279609999999</v>
      </c>
      <c r="AF4271">
        <v>171.04668221</v>
      </c>
      <c r="AG4271" s="175">
        <v>47</v>
      </c>
      <c r="AH4271" s="175">
        <v>10</v>
      </c>
      <c r="AI4271" s="175">
        <v>1</v>
      </c>
      <c r="AJ4271" s="175">
        <v>7</v>
      </c>
      <c r="AK4271" s="175">
        <v>18</v>
      </c>
      <c r="AL4271" s="175">
        <v>13</v>
      </c>
      <c r="AM4271" s="175">
        <v>17</v>
      </c>
      <c r="AN4271" s="175">
        <v>0</v>
      </c>
      <c r="AO4271" s="175">
        <v>56</v>
      </c>
      <c r="AP4271" s="175">
        <v>44</v>
      </c>
      <c r="AQ4271" s="175">
        <v>1</v>
      </c>
      <c r="AR4271" s="175">
        <v>0</v>
      </c>
      <c r="AS4271" s="175">
        <v>8</v>
      </c>
      <c r="AT4271" s="175">
        <v>5</v>
      </c>
    </row>
    <row r="4272" spans="1:46">
      <c r="A4272">
        <v>70505</v>
      </c>
      <c r="B4272" t="s">
        <v>23179</v>
      </c>
      <c r="C4272" t="s">
        <v>23180</v>
      </c>
      <c r="E4272" t="s">
        <v>23181</v>
      </c>
      <c r="F4272" t="s">
        <v>3064</v>
      </c>
      <c r="G4272" t="s">
        <v>3015</v>
      </c>
      <c r="H4272" t="s">
        <v>449</v>
      </c>
      <c r="J4272" t="s">
        <v>605</v>
      </c>
      <c r="K4272" t="s">
        <v>606</v>
      </c>
      <c r="M4272" t="s">
        <v>2366</v>
      </c>
      <c r="N4272" t="s">
        <v>625</v>
      </c>
      <c r="O4272" t="s">
        <v>3016</v>
      </c>
      <c r="P4272" t="s">
        <v>739</v>
      </c>
      <c r="Q4272" t="s">
        <v>521</v>
      </c>
      <c r="R4272" t="s">
        <v>3017</v>
      </c>
      <c r="S4272" t="s">
        <v>3052</v>
      </c>
      <c r="T4272" t="s">
        <v>2526</v>
      </c>
      <c r="U4272">
        <v>331100</v>
      </c>
      <c r="V4272" t="s">
        <v>21716</v>
      </c>
      <c r="W4272" t="s">
        <v>3066</v>
      </c>
      <c r="X4272" t="s">
        <v>23182</v>
      </c>
      <c r="Y4272" t="s">
        <v>23183</v>
      </c>
      <c r="Z4272" t="s">
        <v>3064</v>
      </c>
      <c r="AA4272" t="s">
        <v>22436</v>
      </c>
      <c r="AB4272" t="s">
        <v>23184</v>
      </c>
      <c r="AC4272">
        <v>99063</v>
      </c>
      <c r="AD4272" t="s">
        <v>3067</v>
      </c>
      <c r="AE4272">
        <v>-43.548390699999999</v>
      </c>
      <c r="AF4272">
        <v>172.6833445</v>
      </c>
      <c r="AG4272" s="175">
        <v>39</v>
      </c>
      <c r="AH4272" s="175">
        <v>15</v>
      </c>
      <c r="AI4272" s="175">
        <v>1</v>
      </c>
      <c r="AJ4272" s="175">
        <v>3</v>
      </c>
      <c r="AK4272" s="175">
        <v>13</v>
      </c>
      <c r="AL4272" s="175">
        <v>5</v>
      </c>
      <c r="AM4272" s="175">
        <v>17</v>
      </c>
      <c r="AN4272" s="175">
        <v>2</v>
      </c>
      <c r="AO4272" s="175">
        <v>41</v>
      </c>
      <c r="AP4272" s="175">
        <v>25</v>
      </c>
      <c r="AQ4272" s="175">
        <v>11</v>
      </c>
      <c r="AR4272" s="175">
        <v>6</v>
      </c>
      <c r="AS4272" s="175">
        <v>6</v>
      </c>
      <c r="AT4272" s="175">
        <v>6</v>
      </c>
    </row>
    <row r="4273" spans="1:46">
      <c r="A4273">
        <v>70511</v>
      </c>
      <c r="B4273" t="s">
        <v>23185</v>
      </c>
      <c r="C4273" t="s">
        <v>23186</v>
      </c>
      <c r="D4273" t="s">
        <v>23187</v>
      </c>
      <c r="E4273" t="s">
        <v>23188</v>
      </c>
      <c r="G4273" t="s">
        <v>3369</v>
      </c>
      <c r="H4273" t="s">
        <v>450</v>
      </c>
      <c r="J4273" t="s">
        <v>605</v>
      </c>
      <c r="K4273" t="s">
        <v>606</v>
      </c>
      <c r="M4273" t="s">
        <v>2366</v>
      </c>
      <c r="N4273" t="s">
        <v>657</v>
      </c>
      <c r="O4273" t="s">
        <v>3322</v>
      </c>
      <c r="P4273" t="s">
        <v>658</v>
      </c>
      <c r="Q4273" t="s">
        <v>521</v>
      </c>
      <c r="R4273" t="s">
        <v>3017</v>
      </c>
      <c r="S4273" t="s">
        <v>3292</v>
      </c>
      <c r="T4273" t="s">
        <v>2526</v>
      </c>
      <c r="U4273">
        <v>339100</v>
      </c>
      <c r="V4273" t="s">
        <v>23189</v>
      </c>
      <c r="W4273" t="s">
        <v>3371</v>
      </c>
      <c r="X4273" t="s">
        <v>23190</v>
      </c>
      <c r="Y4273" t="s">
        <v>6434</v>
      </c>
      <c r="Z4273" t="s">
        <v>4622</v>
      </c>
      <c r="AA4273" t="s">
        <v>4623</v>
      </c>
      <c r="AB4273" t="s">
        <v>23191</v>
      </c>
      <c r="AE4273">
        <v>-44.260044870000002</v>
      </c>
      <c r="AF4273">
        <v>171.33625028</v>
      </c>
      <c r="AG4273" s="175">
        <v>50</v>
      </c>
      <c r="AH4273" s="175">
        <v>50</v>
      </c>
      <c r="AI4273" s="175">
        <v>2</v>
      </c>
      <c r="AJ4273" s="175">
        <v>7</v>
      </c>
      <c r="AK4273" s="175">
        <v>10</v>
      </c>
      <c r="AL4273" s="175">
        <v>6</v>
      </c>
      <c r="AM4273" s="175">
        <v>4</v>
      </c>
      <c r="AN4273" s="175">
        <v>0</v>
      </c>
      <c r="AO4273" s="175">
        <v>29</v>
      </c>
      <c r="AP4273" s="175">
        <v>26</v>
      </c>
      <c r="AQ4273" s="175">
        <v>4</v>
      </c>
      <c r="AR4273" s="175">
        <v>0</v>
      </c>
      <c r="AS4273" s="175">
        <v>3</v>
      </c>
      <c r="AT4273" s="175">
        <v>0</v>
      </c>
    </row>
    <row r="4274" spans="1:46">
      <c r="A4274">
        <v>70521</v>
      </c>
      <c r="B4274" t="s">
        <v>23192</v>
      </c>
      <c r="C4274" t="s">
        <v>23193</v>
      </c>
      <c r="D4274" t="s">
        <v>23194</v>
      </c>
      <c r="E4274" t="s">
        <v>23195</v>
      </c>
      <c r="F4274" t="s">
        <v>3246</v>
      </c>
      <c r="G4274" t="s">
        <v>3015</v>
      </c>
      <c r="H4274" t="s">
        <v>449</v>
      </c>
      <c r="J4274" t="s">
        <v>605</v>
      </c>
      <c r="K4274" t="s">
        <v>606</v>
      </c>
      <c r="M4274" t="s">
        <v>2366</v>
      </c>
      <c r="N4274" t="s">
        <v>657</v>
      </c>
      <c r="O4274" t="s">
        <v>3016</v>
      </c>
      <c r="P4274" t="s">
        <v>739</v>
      </c>
      <c r="Q4274" t="s">
        <v>521</v>
      </c>
      <c r="R4274" t="s">
        <v>3017</v>
      </c>
      <c r="S4274" t="s">
        <v>3030</v>
      </c>
      <c r="T4274" t="s">
        <v>2526</v>
      </c>
      <c r="U4274">
        <v>325302</v>
      </c>
      <c r="V4274" t="s">
        <v>23196</v>
      </c>
      <c r="W4274" t="s">
        <v>3143</v>
      </c>
      <c r="X4274" t="s">
        <v>10864</v>
      </c>
      <c r="Y4274" t="s">
        <v>4014</v>
      </c>
      <c r="Z4274" t="s">
        <v>4015</v>
      </c>
      <c r="AA4274" t="s">
        <v>4016</v>
      </c>
      <c r="AC4274">
        <v>99175</v>
      </c>
      <c r="AD4274" t="s">
        <v>3144</v>
      </c>
      <c r="AE4274">
        <v>-43.51797543</v>
      </c>
      <c r="AF4274">
        <v>172.64942332999999</v>
      </c>
      <c r="AG4274" s="175">
        <v>50</v>
      </c>
      <c r="AH4274" s="175">
        <v>16</v>
      </c>
      <c r="AI4274" s="175">
        <v>4</v>
      </c>
      <c r="AJ4274" s="175">
        <v>10</v>
      </c>
      <c r="AK4274" s="175">
        <v>15</v>
      </c>
      <c r="AL4274" s="175">
        <v>12</v>
      </c>
      <c r="AM4274" s="175">
        <v>20</v>
      </c>
      <c r="AN4274" s="175">
        <v>2</v>
      </c>
      <c r="AO4274" s="175">
        <v>63</v>
      </c>
      <c r="AP4274" s="175">
        <v>31</v>
      </c>
      <c r="AQ4274" s="175">
        <v>18</v>
      </c>
      <c r="AR4274" s="175">
        <v>2</v>
      </c>
      <c r="AS4274" s="175">
        <v>20</v>
      </c>
      <c r="AT4274" s="175">
        <v>9</v>
      </c>
    </row>
    <row r="4275" spans="1:46">
      <c r="A4275">
        <v>70540</v>
      </c>
      <c r="B4275" t="s">
        <v>23197</v>
      </c>
      <c r="C4275" t="s">
        <v>23198</v>
      </c>
      <c r="E4275" t="s">
        <v>23199</v>
      </c>
      <c r="G4275" t="s">
        <v>21799</v>
      </c>
      <c r="H4275" t="s">
        <v>449</v>
      </c>
      <c r="J4275" t="s">
        <v>4032</v>
      </c>
      <c r="K4275" t="s">
        <v>606</v>
      </c>
      <c r="M4275" t="s">
        <v>2366</v>
      </c>
      <c r="N4275" t="s">
        <v>4586</v>
      </c>
      <c r="O4275" t="s">
        <v>13545</v>
      </c>
      <c r="P4275" t="s">
        <v>626</v>
      </c>
      <c r="Q4275" t="s">
        <v>521</v>
      </c>
      <c r="R4275" t="s">
        <v>3017</v>
      </c>
      <c r="S4275" t="s">
        <v>2902</v>
      </c>
      <c r="T4275" t="s">
        <v>2526</v>
      </c>
      <c r="U4275">
        <v>312500</v>
      </c>
      <c r="V4275" t="s">
        <v>21800</v>
      </c>
      <c r="W4275" t="s">
        <v>21801</v>
      </c>
      <c r="X4275" t="s">
        <v>23200</v>
      </c>
      <c r="Y4275" t="s">
        <v>23201</v>
      </c>
      <c r="AA4275" t="s">
        <v>23202</v>
      </c>
      <c r="AB4275" t="s">
        <v>23203</v>
      </c>
      <c r="AE4275">
        <v>-42.809917640000002</v>
      </c>
      <c r="AF4275">
        <v>173.27113270000001</v>
      </c>
      <c r="AG4275" s="175">
        <v>30</v>
      </c>
      <c r="AH4275" s="175">
        <v>10</v>
      </c>
      <c r="AI4275" s="175">
        <v>2</v>
      </c>
      <c r="AJ4275" s="175">
        <v>8</v>
      </c>
      <c r="AK4275" s="175">
        <v>4</v>
      </c>
      <c r="AL4275" s="175">
        <v>9</v>
      </c>
      <c r="AM4275" s="175">
        <v>9</v>
      </c>
      <c r="AN4275" s="175">
        <v>1</v>
      </c>
      <c r="AO4275" s="175">
        <v>33</v>
      </c>
      <c r="AP4275" s="175">
        <v>32</v>
      </c>
      <c r="AQ4275" s="175">
        <v>3</v>
      </c>
      <c r="AR4275" s="175">
        <v>3</v>
      </c>
      <c r="AS4275" s="175">
        <v>2</v>
      </c>
      <c r="AT4275" s="175">
        <v>0</v>
      </c>
    </row>
    <row r="4276" spans="1:46">
      <c r="A4276">
        <v>70542</v>
      </c>
      <c r="B4276" t="s">
        <v>23204</v>
      </c>
      <c r="C4276" t="s">
        <v>23205</v>
      </c>
      <c r="D4276" t="s">
        <v>23206</v>
      </c>
      <c r="E4276" t="s">
        <v>23207</v>
      </c>
      <c r="F4276" t="s">
        <v>13060</v>
      </c>
      <c r="G4276" t="s">
        <v>3015</v>
      </c>
      <c r="H4276" t="s">
        <v>449</v>
      </c>
      <c r="J4276" t="s">
        <v>4032</v>
      </c>
      <c r="K4276" t="s">
        <v>606</v>
      </c>
      <c r="M4276" t="s">
        <v>2366</v>
      </c>
      <c r="N4276" t="s">
        <v>657</v>
      </c>
      <c r="O4276" t="s">
        <v>3016</v>
      </c>
      <c r="P4276" t="s">
        <v>739</v>
      </c>
      <c r="Q4276" t="s">
        <v>521</v>
      </c>
      <c r="R4276" t="s">
        <v>3017</v>
      </c>
      <c r="S4276" t="s">
        <v>3052</v>
      </c>
      <c r="T4276" t="s">
        <v>2526</v>
      </c>
      <c r="U4276">
        <v>332100</v>
      </c>
      <c r="V4276" t="s">
        <v>13060</v>
      </c>
      <c r="W4276" t="s">
        <v>3087</v>
      </c>
      <c r="X4276" t="s">
        <v>23208</v>
      </c>
      <c r="Y4276" t="s">
        <v>23209</v>
      </c>
      <c r="Z4276" t="s">
        <v>23210</v>
      </c>
      <c r="AA4276" t="s">
        <v>4186</v>
      </c>
      <c r="AB4276" t="s">
        <v>23211</v>
      </c>
      <c r="AC4276">
        <v>99196</v>
      </c>
      <c r="AD4276" t="s">
        <v>3137</v>
      </c>
      <c r="AE4276">
        <v>-43.561210520000003</v>
      </c>
      <c r="AF4276">
        <v>172.73624121</v>
      </c>
      <c r="AG4276" s="175">
        <v>54</v>
      </c>
      <c r="AH4276" s="175">
        <v>12</v>
      </c>
      <c r="AI4276" s="175">
        <v>7</v>
      </c>
      <c r="AJ4276" s="175">
        <v>13</v>
      </c>
      <c r="AK4276" s="175">
        <v>23</v>
      </c>
      <c r="AL4276" s="175">
        <v>21</v>
      </c>
      <c r="AM4276" s="175">
        <v>23</v>
      </c>
      <c r="AN4276" s="175">
        <v>0</v>
      </c>
      <c r="AO4276" s="175">
        <v>87</v>
      </c>
      <c r="AP4276" s="175">
        <v>78</v>
      </c>
      <c r="AQ4276" s="175">
        <v>6</v>
      </c>
      <c r="AR4276" s="175">
        <v>3</v>
      </c>
      <c r="AS4276" s="175">
        <v>2</v>
      </c>
      <c r="AT4276" s="175">
        <v>10</v>
      </c>
    </row>
    <row r="4277" spans="1:46">
      <c r="A4277">
        <v>70543</v>
      </c>
      <c r="B4277" t="s">
        <v>23212</v>
      </c>
      <c r="C4277" t="s">
        <v>23213</v>
      </c>
      <c r="D4277" t="s">
        <v>23214</v>
      </c>
      <c r="E4277" t="s">
        <v>23215</v>
      </c>
      <c r="F4277" t="s">
        <v>3023</v>
      </c>
      <c r="G4277" t="s">
        <v>3015</v>
      </c>
      <c r="H4277" t="s">
        <v>449</v>
      </c>
      <c r="J4277" t="s">
        <v>4032</v>
      </c>
      <c r="K4277" t="s">
        <v>606</v>
      </c>
      <c r="M4277" t="s">
        <v>2366</v>
      </c>
      <c r="N4277" t="s">
        <v>657</v>
      </c>
      <c r="O4277" t="s">
        <v>3016</v>
      </c>
      <c r="P4277" t="s">
        <v>739</v>
      </c>
      <c r="Q4277" t="s">
        <v>521</v>
      </c>
      <c r="R4277" t="s">
        <v>3017</v>
      </c>
      <c r="S4277" t="s">
        <v>3018</v>
      </c>
      <c r="T4277" t="s">
        <v>2526</v>
      </c>
      <c r="U4277">
        <v>322400</v>
      </c>
      <c r="V4277" t="s">
        <v>23216</v>
      </c>
      <c r="W4277" t="s">
        <v>3072</v>
      </c>
      <c r="X4277" t="s">
        <v>10869</v>
      </c>
      <c r="Y4277" t="s">
        <v>4166</v>
      </c>
      <c r="Z4277" t="s">
        <v>4167</v>
      </c>
      <c r="AA4277" t="s">
        <v>4168</v>
      </c>
      <c r="AB4277" t="s">
        <v>10870</v>
      </c>
      <c r="AE4277">
        <v>-43.522584969999997</v>
      </c>
      <c r="AF4277">
        <v>172.59256138000001</v>
      </c>
      <c r="AG4277" s="175">
        <v>50</v>
      </c>
      <c r="AH4277" s="175">
        <v>14</v>
      </c>
      <c r="AI4277" s="175">
        <v>4</v>
      </c>
      <c r="AJ4277" s="175">
        <v>11</v>
      </c>
      <c r="AK4277" s="175">
        <v>13</v>
      </c>
      <c r="AL4277" s="175">
        <v>9</v>
      </c>
      <c r="AM4277" s="175">
        <v>18</v>
      </c>
      <c r="AN4277" s="175">
        <v>0</v>
      </c>
      <c r="AO4277" s="175">
        <v>55</v>
      </c>
      <c r="AP4277" s="175">
        <v>45</v>
      </c>
      <c r="AQ4277" s="175">
        <v>1</v>
      </c>
      <c r="AR4277" s="175">
        <v>0</v>
      </c>
      <c r="AS4277" s="175">
        <v>7</v>
      </c>
      <c r="AT4277" s="175">
        <v>5</v>
      </c>
    </row>
    <row r="4278" spans="1:46">
      <c r="A4278">
        <v>70544</v>
      </c>
      <c r="B4278" t="s">
        <v>23217</v>
      </c>
      <c r="C4278" t="s">
        <v>23218</v>
      </c>
      <c r="D4278" t="s">
        <v>23219</v>
      </c>
      <c r="E4278" t="s">
        <v>23220</v>
      </c>
      <c r="F4278" t="s">
        <v>3030</v>
      </c>
      <c r="G4278" t="s">
        <v>3015</v>
      </c>
      <c r="H4278" t="s">
        <v>451</v>
      </c>
      <c r="I4278" t="s">
        <v>4102</v>
      </c>
      <c r="J4278" t="s">
        <v>605</v>
      </c>
      <c r="K4278" t="s">
        <v>606</v>
      </c>
      <c r="M4278" t="s">
        <v>2366</v>
      </c>
      <c r="N4278" t="s">
        <v>812</v>
      </c>
      <c r="O4278" t="s">
        <v>3016</v>
      </c>
      <c r="P4278" t="s">
        <v>739</v>
      </c>
      <c r="Q4278" t="s">
        <v>521</v>
      </c>
      <c r="R4278" t="s">
        <v>3017</v>
      </c>
      <c r="S4278" t="s">
        <v>3030</v>
      </c>
      <c r="T4278" t="s">
        <v>2526</v>
      </c>
      <c r="U4278">
        <v>324900</v>
      </c>
      <c r="V4278" t="s">
        <v>23221</v>
      </c>
      <c r="W4278" t="s">
        <v>2521</v>
      </c>
      <c r="X4278" t="s">
        <v>23222</v>
      </c>
      <c r="Y4278" t="s">
        <v>23223</v>
      </c>
      <c r="AA4278" t="s">
        <v>17932</v>
      </c>
      <c r="AB4278" t="s">
        <v>23218</v>
      </c>
      <c r="AE4278">
        <v>-43.533912800000003</v>
      </c>
      <c r="AF4278">
        <v>172.62355259</v>
      </c>
      <c r="AG4278" s="175">
        <v>28</v>
      </c>
      <c r="AH4278" s="175">
        <v>18</v>
      </c>
      <c r="AI4278" s="175"/>
      <c r="AJ4278" s="175"/>
      <c r="AK4278" s="175"/>
      <c r="AL4278" s="175"/>
      <c r="AM4278" s="175"/>
      <c r="AN4278" s="175"/>
      <c r="AO4278" s="175"/>
      <c r="AP4278" s="175"/>
      <c r="AQ4278" s="175"/>
      <c r="AR4278" s="175"/>
      <c r="AS4278" s="175"/>
    </row>
    <row r="4279" spans="1:46">
      <c r="A4279">
        <v>70547</v>
      </c>
      <c r="B4279" t="s">
        <v>23224</v>
      </c>
      <c r="C4279" t="s">
        <v>23225</v>
      </c>
      <c r="D4279" t="s">
        <v>23226</v>
      </c>
      <c r="E4279" t="s">
        <v>23227</v>
      </c>
      <c r="F4279" t="s">
        <v>18255</v>
      </c>
      <c r="G4279" t="s">
        <v>3015</v>
      </c>
      <c r="H4279" t="s">
        <v>449</v>
      </c>
      <c r="J4279" t="s">
        <v>605</v>
      </c>
      <c r="K4279" t="s">
        <v>606</v>
      </c>
      <c r="M4279" t="s">
        <v>2366</v>
      </c>
      <c r="N4279" t="s">
        <v>657</v>
      </c>
      <c r="O4279" t="s">
        <v>3016</v>
      </c>
      <c r="P4279" t="s">
        <v>739</v>
      </c>
      <c r="Q4279" t="s">
        <v>521</v>
      </c>
      <c r="R4279" t="s">
        <v>3017</v>
      </c>
      <c r="S4279" t="s">
        <v>3018</v>
      </c>
      <c r="T4279" t="s">
        <v>2526</v>
      </c>
      <c r="U4279">
        <v>317501</v>
      </c>
      <c r="V4279" t="s">
        <v>22609</v>
      </c>
      <c r="W4279" t="s">
        <v>3020</v>
      </c>
      <c r="X4279" t="s">
        <v>10864</v>
      </c>
      <c r="Y4279" t="s">
        <v>4014</v>
      </c>
      <c r="Z4279" t="s">
        <v>4015</v>
      </c>
      <c r="AA4279" t="s">
        <v>4016</v>
      </c>
      <c r="AC4279">
        <v>99027</v>
      </c>
      <c r="AD4279" t="s">
        <v>3073</v>
      </c>
      <c r="AE4279">
        <v>-43.493954600000002</v>
      </c>
      <c r="AF4279">
        <v>172.56005733000001</v>
      </c>
      <c r="AG4279" s="175">
        <v>85</v>
      </c>
      <c r="AH4279" s="175">
        <v>18</v>
      </c>
      <c r="AI4279" s="175">
        <v>6</v>
      </c>
      <c r="AJ4279" s="175">
        <v>13</v>
      </c>
      <c r="AK4279" s="175">
        <v>18</v>
      </c>
      <c r="AL4279" s="175">
        <v>21</v>
      </c>
      <c r="AM4279" s="175">
        <v>20</v>
      </c>
      <c r="AN4279" s="175">
        <v>0</v>
      </c>
      <c r="AO4279" s="175">
        <v>78</v>
      </c>
      <c r="AP4279" s="175">
        <v>51</v>
      </c>
      <c r="AQ4279" s="175">
        <v>13</v>
      </c>
      <c r="AR4279" s="175">
        <v>9</v>
      </c>
      <c r="AS4279" s="175">
        <v>18</v>
      </c>
      <c r="AT4279" s="175">
        <v>7</v>
      </c>
    </row>
    <row r="4280" spans="1:46">
      <c r="A4280">
        <v>70549</v>
      </c>
      <c r="B4280" t="s">
        <v>23228</v>
      </c>
      <c r="C4280" t="s">
        <v>23229</v>
      </c>
      <c r="D4280" t="s">
        <v>23230</v>
      </c>
      <c r="E4280" t="s">
        <v>23231</v>
      </c>
      <c r="F4280" t="s">
        <v>3267</v>
      </c>
      <c r="G4280" t="s">
        <v>3015</v>
      </c>
      <c r="H4280" t="s">
        <v>449</v>
      </c>
      <c r="J4280" t="s">
        <v>605</v>
      </c>
      <c r="K4280" t="s">
        <v>606</v>
      </c>
      <c r="M4280" t="s">
        <v>2366</v>
      </c>
      <c r="N4280" t="s">
        <v>657</v>
      </c>
      <c r="O4280" t="s">
        <v>3016</v>
      </c>
      <c r="P4280" t="s">
        <v>739</v>
      </c>
      <c r="Q4280" t="s">
        <v>521</v>
      </c>
      <c r="R4280" t="s">
        <v>3017</v>
      </c>
      <c r="S4280" t="s">
        <v>3052</v>
      </c>
      <c r="T4280" t="s">
        <v>2526</v>
      </c>
      <c r="U4280">
        <v>326301</v>
      </c>
      <c r="V4280" t="s">
        <v>3268</v>
      </c>
      <c r="W4280" t="s">
        <v>3269</v>
      </c>
      <c r="X4280" t="s">
        <v>10864</v>
      </c>
      <c r="Y4280" t="s">
        <v>4014</v>
      </c>
      <c r="Z4280" t="s">
        <v>4015</v>
      </c>
      <c r="AA4280" t="s">
        <v>4016</v>
      </c>
      <c r="AE4280">
        <v>-43.575698109999998</v>
      </c>
      <c r="AF4280">
        <v>172.56330131000001</v>
      </c>
      <c r="AG4280" s="175">
        <v>53</v>
      </c>
      <c r="AH4280" s="175">
        <v>15</v>
      </c>
      <c r="AI4280" s="175">
        <v>2</v>
      </c>
      <c r="AJ4280" s="175">
        <v>9</v>
      </c>
      <c r="AK4280" s="175">
        <v>9</v>
      </c>
      <c r="AL4280" s="175">
        <v>16</v>
      </c>
      <c r="AM4280" s="175">
        <v>13</v>
      </c>
      <c r="AN4280" s="175">
        <v>0</v>
      </c>
      <c r="AO4280" s="175">
        <v>49</v>
      </c>
      <c r="AP4280" s="175">
        <v>24</v>
      </c>
      <c r="AQ4280" s="175">
        <v>6</v>
      </c>
      <c r="AR4280" s="175">
        <v>3</v>
      </c>
      <c r="AS4280" s="175">
        <v>22</v>
      </c>
      <c r="AT4280" s="175">
        <v>1</v>
      </c>
    </row>
    <row r="4281" spans="1:46">
      <c r="A4281">
        <v>70550</v>
      </c>
      <c r="B4281" t="s">
        <v>23232</v>
      </c>
      <c r="C4281" t="s">
        <v>23233</v>
      </c>
      <c r="E4281" t="s">
        <v>23234</v>
      </c>
      <c r="F4281" t="s">
        <v>3015</v>
      </c>
      <c r="G4281" t="s">
        <v>3015</v>
      </c>
      <c r="H4281" t="s">
        <v>449</v>
      </c>
      <c r="I4281" t="s">
        <v>4233</v>
      </c>
      <c r="J4281" t="s">
        <v>605</v>
      </c>
      <c r="K4281" t="s">
        <v>606</v>
      </c>
      <c r="M4281" t="s">
        <v>2366</v>
      </c>
      <c r="N4281" t="s">
        <v>625</v>
      </c>
      <c r="O4281" t="s">
        <v>3016</v>
      </c>
      <c r="P4281" t="s">
        <v>739</v>
      </c>
      <c r="Q4281" t="s">
        <v>521</v>
      </c>
      <c r="R4281" t="s">
        <v>3017</v>
      </c>
      <c r="S4281" t="s">
        <v>3030</v>
      </c>
      <c r="T4281" t="s">
        <v>2526</v>
      </c>
      <c r="U4281">
        <v>327100</v>
      </c>
      <c r="V4281" t="s">
        <v>16490</v>
      </c>
      <c r="W4281" t="s">
        <v>2521</v>
      </c>
      <c r="X4281" t="s">
        <v>23235</v>
      </c>
      <c r="Y4281" t="s">
        <v>23236</v>
      </c>
      <c r="Z4281" t="s">
        <v>3130</v>
      </c>
      <c r="AA4281" t="s">
        <v>23237</v>
      </c>
      <c r="AB4281" t="s">
        <v>23238</v>
      </c>
      <c r="AE4281">
        <v>-43.538858220000002</v>
      </c>
      <c r="AF4281">
        <v>172.64599831000001</v>
      </c>
      <c r="AG4281" s="175">
        <v>30</v>
      </c>
      <c r="AH4281" s="175">
        <v>8</v>
      </c>
      <c r="AI4281" s="175">
        <v>1</v>
      </c>
      <c r="AJ4281" s="175">
        <v>7</v>
      </c>
      <c r="AK4281" s="175">
        <v>5</v>
      </c>
      <c r="AL4281" s="175">
        <v>5</v>
      </c>
      <c r="AM4281" s="175">
        <v>5</v>
      </c>
      <c r="AN4281" s="175">
        <v>1</v>
      </c>
      <c r="AO4281" s="175">
        <v>24</v>
      </c>
      <c r="AP4281" s="175">
        <v>9</v>
      </c>
      <c r="AQ4281" s="175">
        <v>2</v>
      </c>
      <c r="AR4281" s="175">
        <v>24</v>
      </c>
      <c r="AS4281" s="175">
        <v>0</v>
      </c>
      <c r="AT4281" s="175">
        <v>0</v>
      </c>
    </row>
    <row r="4282" spans="1:46">
      <c r="A4282">
        <v>70551</v>
      </c>
      <c r="B4282" t="s">
        <v>23239</v>
      </c>
      <c r="C4282" t="s">
        <v>23240</v>
      </c>
      <c r="D4282" t="s">
        <v>23241</v>
      </c>
      <c r="E4282" t="s">
        <v>23242</v>
      </c>
      <c r="F4282" t="s">
        <v>3015</v>
      </c>
      <c r="G4282" t="s">
        <v>3015</v>
      </c>
      <c r="H4282" t="s">
        <v>449</v>
      </c>
      <c r="J4282" t="s">
        <v>605</v>
      </c>
      <c r="K4282" t="s">
        <v>606</v>
      </c>
      <c r="M4282" t="s">
        <v>2366</v>
      </c>
      <c r="N4282" t="s">
        <v>657</v>
      </c>
      <c r="O4282" t="s">
        <v>3016</v>
      </c>
      <c r="P4282" t="s">
        <v>739</v>
      </c>
      <c r="Q4282" t="s">
        <v>521</v>
      </c>
      <c r="R4282" t="s">
        <v>3017</v>
      </c>
      <c r="S4282" t="s">
        <v>3030</v>
      </c>
      <c r="T4282" t="s">
        <v>2526</v>
      </c>
      <c r="U4282">
        <v>327100</v>
      </c>
      <c r="V4282" t="s">
        <v>16490</v>
      </c>
      <c r="W4282" t="s">
        <v>2521</v>
      </c>
      <c r="X4282" t="s">
        <v>10864</v>
      </c>
      <c r="Y4282" t="s">
        <v>4014</v>
      </c>
      <c r="Z4282" t="s">
        <v>4015</v>
      </c>
      <c r="AA4282" t="s">
        <v>4016</v>
      </c>
      <c r="AC4282">
        <v>99215</v>
      </c>
      <c r="AD4282" t="s">
        <v>11035</v>
      </c>
      <c r="AE4282">
        <v>-43.539346690000002</v>
      </c>
      <c r="AF4282">
        <v>172.61970149999999</v>
      </c>
      <c r="AG4282" s="175">
        <v>50</v>
      </c>
      <c r="AH4282" s="175">
        <v>16</v>
      </c>
      <c r="AI4282" s="175">
        <v>7</v>
      </c>
      <c r="AJ4282" s="175">
        <v>10</v>
      </c>
      <c r="AK4282" s="175">
        <v>19</v>
      </c>
      <c r="AL4282" s="175">
        <v>12</v>
      </c>
      <c r="AM4282" s="175">
        <v>12</v>
      </c>
      <c r="AN4282" s="175">
        <v>0</v>
      </c>
      <c r="AO4282" s="175">
        <v>60</v>
      </c>
      <c r="AP4282" s="175">
        <v>23</v>
      </c>
      <c r="AQ4282" s="175">
        <v>7</v>
      </c>
      <c r="AR4282" s="175">
        <v>3</v>
      </c>
      <c r="AS4282" s="175">
        <v>24</v>
      </c>
      <c r="AT4282" s="175">
        <v>12</v>
      </c>
    </row>
    <row r="4283" spans="1:46">
      <c r="A4283">
        <v>70554</v>
      </c>
      <c r="B4283" t="s">
        <v>23243</v>
      </c>
      <c r="C4283" t="s">
        <v>23244</v>
      </c>
      <c r="D4283" t="s">
        <v>23245</v>
      </c>
      <c r="E4283" t="s">
        <v>23246</v>
      </c>
      <c r="F4283" t="s">
        <v>3141</v>
      </c>
      <c r="G4283" t="s">
        <v>3015</v>
      </c>
      <c r="H4283" t="s">
        <v>449</v>
      </c>
      <c r="J4283" t="s">
        <v>4032</v>
      </c>
      <c r="K4283" t="s">
        <v>606</v>
      </c>
      <c r="M4283" t="s">
        <v>2366</v>
      </c>
      <c r="N4283" t="s">
        <v>657</v>
      </c>
      <c r="O4283" t="s">
        <v>3016</v>
      </c>
      <c r="P4283" t="s">
        <v>739</v>
      </c>
      <c r="Q4283" t="s">
        <v>521</v>
      </c>
      <c r="R4283" t="s">
        <v>3017</v>
      </c>
      <c r="S4283" t="s">
        <v>3046</v>
      </c>
      <c r="T4283" t="s">
        <v>2526</v>
      </c>
      <c r="U4283">
        <v>325900</v>
      </c>
      <c r="V4283" t="s">
        <v>3218</v>
      </c>
      <c r="W4283" t="s">
        <v>2521</v>
      </c>
      <c r="X4283" t="s">
        <v>23247</v>
      </c>
      <c r="Y4283" t="s">
        <v>23248</v>
      </c>
      <c r="AA4283" t="s">
        <v>23249</v>
      </c>
      <c r="AB4283" t="s">
        <v>23250</v>
      </c>
      <c r="AE4283">
        <v>-43.511901889999997</v>
      </c>
      <c r="AF4283">
        <v>172.65288878999999</v>
      </c>
      <c r="AG4283" s="175">
        <v>39</v>
      </c>
      <c r="AH4283" s="175">
        <v>12</v>
      </c>
      <c r="AI4283" s="175">
        <v>0</v>
      </c>
      <c r="AJ4283" s="175">
        <v>5</v>
      </c>
      <c r="AK4283" s="175">
        <v>6</v>
      </c>
      <c r="AL4283" s="175">
        <v>10</v>
      </c>
      <c r="AM4283" s="175">
        <v>9</v>
      </c>
      <c r="AN4283" s="175">
        <v>1</v>
      </c>
      <c r="AO4283" s="175">
        <v>31</v>
      </c>
      <c r="AP4283" s="175">
        <v>19</v>
      </c>
      <c r="AQ4283" s="175">
        <v>8</v>
      </c>
      <c r="AR4283" s="175">
        <v>2</v>
      </c>
      <c r="AS4283" s="175">
        <v>1</v>
      </c>
      <c r="AT4283" s="175">
        <v>7</v>
      </c>
    </row>
    <row r="4284" spans="1:46">
      <c r="A4284">
        <v>70555</v>
      </c>
      <c r="B4284" t="s">
        <v>23251</v>
      </c>
      <c r="C4284" t="s">
        <v>23252</v>
      </c>
      <c r="D4284" t="s">
        <v>23253</v>
      </c>
      <c r="E4284" t="s">
        <v>23254</v>
      </c>
      <c r="F4284" t="s">
        <v>23255</v>
      </c>
      <c r="G4284" t="s">
        <v>3078</v>
      </c>
      <c r="H4284" t="s">
        <v>449</v>
      </c>
      <c r="I4284" t="s">
        <v>4023</v>
      </c>
      <c r="J4284" t="s">
        <v>605</v>
      </c>
      <c r="K4284" t="s">
        <v>606</v>
      </c>
      <c r="M4284" t="s">
        <v>2366</v>
      </c>
      <c r="N4284" t="s">
        <v>4586</v>
      </c>
      <c r="O4284" t="s">
        <v>3079</v>
      </c>
      <c r="P4284" t="s">
        <v>626</v>
      </c>
      <c r="Q4284" t="s">
        <v>520</v>
      </c>
      <c r="R4284" t="s">
        <v>2901</v>
      </c>
      <c r="S4284" t="s">
        <v>2945</v>
      </c>
      <c r="T4284" t="s">
        <v>2526</v>
      </c>
      <c r="U4284">
        <v>311101</v>
      </c>
      <c r="V4284" t="s">
        <v>23256</v>
      </c>
      <c r="W4284" t="s">
        <v>2533</v>
      </c>
      <c r="X4284" t="s">
        <v>23257</v>
      </c>
      <c r="Y4284" t="s">
        <v>23258</v>
      </c>
      <c r="AA4284" t="s">
        <v>23259</v>
      </c>
      <c r="AB4284" t="s">
        <v>23260</v>
      </c>
      <c r="AE4284">
        <v>-42.594179799999999</v>
      </c>
      <c r="AF4284">
        <v>171.71007539999999</v>
      </c>
      <c r="AG4284" s="175">
        <v>40</v>
      </c>
      <c r="AH4284" s="175">
        <v>0</v>
      </c>
      <c r="AI4284" s="175">
        <v>0</v>
      </c>
      <c r="AJ4284" s="175">
        <v>0</v>
      </c>
      <c r="AK4284" s="175">
        <v>7</v>
      </c>
      <c r="AL4284" s="175">
        <v>0</v>
      </c>
      <c r="AM4284" s="175">
        <v>6</v>
      </c>
      <c r="AN4284" s="175">
        <v>1</v>
      </c>
      <c r="AO4284" s="175">
        <v>14</v>
      </c>
      <c r="AP4284" s="175">
        <v>14</v>
      </c>
      <c r="AQ4284" s="175">
        <v>0</v>
      </c>
      <c r="AR4284" s="175">
        <v>0</v>
      </c>
      <c r="AS4284" s="175">
        <v>0</v>
      </c>
      <c r="AT4284" s="175">
        <v>0</v>
      </c>
    </row>
    <row r="4285" spans="1:46">
      <c r="A4285">
        <v>70557</v>
      </c>
      <c r="B4285" t="s">
        <v>23261</v>
      </c>
      <c r="C4285" t="s">
        <v>23262</v>
      </c>
      <c r="D4285" t="s">
        <v>23263</v>
      </c>
      <c r="E4285" t="s">
        <v>23264</v>
      </c>
      <c r="G4285" t="s">
        <v>3733</v>
      </c>
      <c r="H4285" t="s">
        <v>449</v>
      </c>
      <c r="J4285" t="s">
        <v>605</v>
      </c>
      <c r="K4285" t="s">
        <v>606</v>
      </c>
      <c r="M4285" t="s">
        <v>2366</v>
      </c>
      <c r="N4285" t="s">
        <v>657</v>
      </c>
      <c r="O4285" t="s">
        <v>3281</v>
      </c>
      <c r="P4285" t="s">
        <v>610</v>
      </c>
      <c r="Q4285" t="s">
        <v>521</v>
      </c>
      <c r="R4285" t="s">
        <v>3017</v>
      </c>
      <c r="S4285" t="s">
        <v>3252</v>
      </c>
      <c r="T4285" t="s">
        <v>2526</v>
      </c>
      <c r="U4285">
        <v>336001</v>
      </c>
      <c r="V4285" t="s">
        <v>3734</v>
      </c>
      <c r="W4285" t="s">
        <v>3735</v>
      </c>
      <c r="X4285" t="s">
        <v>23265</v>
      </c>
      <c r="Y4285" t="s">
        <v>23266</v>
      </c>
      <c r="AA4285" t="s">
        <v>23267</v>
      </c>
      <c r="AB4285" t="s">
        <v>23262</v>
      </c>
      <c r="AC4285">
        <v>99113</v>
      </c>
      <c r="AD4285" t="s">
        <v>3736</v>
      </c>
      <c r="AE4285">
        <v>-43.643545189999998</v>
      </c>
      <c r="AF4285">
        <v>172.47141232999999</v>
      </c>
      <c r="AG4285" s="175">
        <v>33</v>
      </c>
      <c r="AH4285" s="175">
        <v>9</v>
      </c>
      <c r="AI4285" s="175">
        <v>1</v>
      </c>
      <c r="AJ4285" s="175">
        <v>7</v>
      </c>
      <c r="AK4285" s="175">
        <v>7</v>
      </c>
      <c r="AL4285" s="175">
        <v>10</v>
      </c>
      <c r="AM4285" s="175">
        <v>13</v>
      </c>
      <c r="AN4285" s="175">
        <v>1</v>
      </c>
      <c r="AO4285" s="175">
        <v>39</v>
      </c>
      <c r="AP4285" s="175">
        <v>21</v>
      </c>
      <c r="AQ4285" s="175">
        <v>3</v>
      </c>
      <c r="AR4285" s="175">
        <v>4</v>
      </c>
      <c r="AS4285" s="175">
        <v>8</v>
      </c>
      <c r="AT4285" s="175">
        <v>10</v>
      </c>
    </row>
    <row r="4286" spans="1:46">
      <c r="A4286">
        <v>70561</v>
      </c>
      <c r="B4286" t="s">
        <v>23268</v>
      </c>
      <c r="C4286" t="s">
        <v>23269</v>
      </c>
      <c r="D4286" t="s">
        <v>23270</v>
      </c>
      <c r="E4286" t="s">
        <v>23271</v>
      </c>
      <c r="G4286" t="s">
        <v>3135</v>
      </c>
      <c r="H4286" t="s">
        <v>449</v>
      </c>
      <c r="J4286" t="s">
        <v>4032</v>
      </c>
      <c r="K4286" t="s">
        <v>606</v>
      </c>
      <c r="M4286" t="s">
        <v>2366</v>
      </c>
      <c r="N4286" t="s">
        <v>657</v>
      </c>
      <c r="O4286" t="s">
        <v>3016</v>
      </c>
      <c r="P4286" t="s">
        <v>610</v>
      </c>
      <c r="Q4286" t="s">
        <v>521</v>
      </c>
      <c r="R4286" t="s">
        <v>3017</v>
      </c>
      <c r="S4286" t="s">
        <v>3052</v>
      </c>
      <c r="T4286" t="s">
        <v>2526</v>
      </c>
      <c r="U4286">
        <v>332501</v>
      </c>
      <c r="V4286" t="s">
        <v>3135</v>
      </c>
      <c r="W4286" t="s">
        <v>3136</v>
      </c>
      <c r="X4286" t="s">
        <v>23272</v>
      </c>
      <c r="Y4286" t="s">
        <v>23273</v>
      </c>
      <c r="AA4286" t="s">
        <v>23274</v>
      </c>
      <c r="AB4286" t="s">
        <v>23275</v>
      </c>
      <c r="AC4286">
        <v>99196</v>
      </c>
      <c r="AD4286" t="s">
        <v>3137</v>
      </c>
      <c r="AE4286">
        <v>-43.60130418</v>
      </c>
      <c r="AF4286">
        <v>172.72242113999999</v>
      </c>
      <c r="AG4286" s="175">
        <v>30</v>
      </c>
      <c r="AH4286" s="175">
        <v>9</v>
      </c>
      <c r="AI4286" s="175">
        <v>2</v>
      </c>
      <c r="AJ4286" s="175">
        <v>17</v>
      </c>
      <c r="AK4286" s="175">
        <v>10</v>
      </c>
      <c r="AL4286" s="175">
        <v>12</v>
      </c>
      <c r="AM4286" s="175">
        <v>10</v>
      </c>
      <c r="AN4286" s="175">
        <v>1</v>
      </c>
      <c r="AO4286" s="175">
        <v>52</v>
      </c>
      <c r="AP4286" s="175">
        <v>50</v>
      </c>
      <c r="AQ4286" s="175">
        <v>4</v>
      </c>
      <c r="AR4286" s="175">
        <v>1</v>
      </c>
      <c r="AS4286" s="175">
        <v>1</v>
      </c>
      <c r="AT4286" s="175">
        <v>1</v>
      </c>
    </row>
    <row r="4287" spans="1:46">
      <c r="A4287">
        <v>70564</v>
      </c>
      <c r="B4287" t="s">
        <v>23276</v>
      </c>
      <c r="C4287" t="s">
        <v>23277</v>
      </c>
      <c r="D4287" t="s">
        <v>23278</v>
      </c>
      <c r="E4287" t="s">
        <v>23279</v>
      </c>
      <c r="F4287" t="s">
        <v>3122</v>
      </c>
      <c r="G4287" t="s">
        <v>3015</v>
      </c>
      <c r="H4287" t="s">
        <v>449</v>
      </c>
      <c r="J4287" t="s">
        <v>605</v>
      </c>
      <c r="K4287" t="s">
        <v>606</v>
      </c>
      <c r="M4287" t="s">
        <v>2366</v>
      </c>
      <c r="N4287" t="s">
        <v>657</v>
      </c>
      <c r="O4287" t="s">
        <v>3016</v>
      </c>
      <c r="P4287" t="s">
        <v>739</v>
      </c>
      <c r="Q4287" t="s">
        <v>521</v>
      </c>
      <c r="R4287" t="s">
        <v>3017</v>
      </c>
      <c r="S4287" t="s">
        <v>3018</v>
      </c>
      <c r="T4287" t="s">
        <v>2526</v>
      </c>
      <c r="U4287">
        <v>317501</v>
      </c>
      <c r="V4287" t="s">
        <v>22609</v>
      </c>
      <c r="W4287" t="s">
        <v>3020</v>
      </c>
      <c r="X4287" t="s">
        <v>10864</v>
      </c>
      <c r="Y4287" t="s">
        <v>4014</v>
      </c>
      <c r="Z4287" t="s">
        <v>4015</v>
      </c>
      <c r="AA4287" t="s">
        <v>4016</v>
      </c>
      <c r="AC4287">
        <v>99027</v>
      </c>
      <c r="AD4287" t="s">
        <v>3073</v>
      </c>
      <c r="AE4287">
        <v>-43.49301646</v>
      </c>
      <c r="AF4287">
        <v>172.5644341</v>
      </c>
      <c r="AG4287" s="175">
        <v>62</v>
      </c>
      <c r="AH4287" s="175">
        <v>16</v>
      </c>
      <c r="AI4287" s="175">
        <v>3</v>
      </c>
      <c r="AJ4287" s="175">
        <v>11</v>
      </c>
      <c r="AK4287" s="175">
        <v>17</v>
      </c>
      <c r="AL4287" s="175">
        <v>18</v>
      </c>
      <c r="AM4287" s="175">
        <v>20</v>
      </c>
      <c r="AN4287" s="175">
        <v>1</v>
      </c>
      <c r="AO4287" s="175">
        <v>70</v>
      </c>
      <c r="AP4287" s="175">
        <v>37</v>
      </c>
      <c r="AQ4287" s="175">
        <v>7</v>
      </c>
      <c r="AR4287" s="175">
        <v>2</v>
      </c>
      <c r="AS4287" s="175">
        <v>23</v>
      </c>
      <c r="AT4287" s="175">
        <v>17</v>
      </c>
    </row>
    <row r="4288" spans="1:46">
      <c r="A4288">
        <v>70566</v>
      </c>
      <c r="B4288" t="s">
        <v>23280</v>
      </c>
      <c r="C4288" t="s">
        <v>23281</v>
      </c>
      <c r="E4288" t="s">
        <v>23282</v>
      </c>
      <c r="F4288" t="s">
        <v>3303</v>
      </c>
      <c r="G4288" t="s">
        <v>3290</v>
      </c>
      <c r="H4288" t="s">
        <v>449</v>
      </c>
      <c r="J4288" t="s">
        <v>4032</v>
      </c>
      <c r="K4288" t="s">
        <v>606</v>
      </c>
      <c r="M4288" t="s">
        <v>2366</v>
      </c>
      <c r="N4288" t="s">
        <v>657</v>
      </c>
      <c r="O4288" t="s">
        <v>3291</v>
      </c>
      <c r="P4288" t="s">
        <v>1347</v>
      </c>
      <c r="Q4288" t="s">
        <v>521</v>
      </c>
      <c r="R4288" t="s">
        <v>3017</v>
      </c>
      <c r="S4288" t="s">
        <v>3292</v>
      </c>
      <c r="T4288" t="s">
        <v>2526</v>
      </c>
      <c r="U4288">
        <v>338200</v>
      </c>
      <c r="V4288" t="s">
        <v>3304</v>
      </c>
      <c r="W4288" t="s">
        <v>3294</v>
      </c>
      <c r="X4288" t="s">
        <v>23283</v>
      </c>
      <c r="Y4288" t="s">
        <v>4725</v>
      </c>
      <c r="Z4288" t="s">
        <v>1043</v>
      </c>
      <c r="AA4288" t="s">
        <v>4726</v>
      </c>
      <c r="AB4288" t="s">
        <v>23284</v>
      </c>
      <c r="AC4288">
        <v>99043</v>
      </c>
      <c r="AD4288" t="s">
        <v>3299</v>
      </c>
      <c r="AE4288">
        <v>-43.914930320000003</v>
      </c>
      <c r="AF4288">
        <v>171.73038932</v>
      </c>
      <c r="AG4288" s="175">
        <v>71</v>
      </c>
      <c r="AH4288" s="175">
        <v>20</v>
      </c>
      <c r="AI4288" s="175">
        <v>3</v>
      </c>
      <c r="AJ4288" s="175">
        <v>15</v>
      </c>
      <c r="AK4288" s="175">
        <v>18</v>
      </c>
      <c r="AL4288" s="175">
        <v>19</v>
      </c>
      <c r="AM4288" s="175">
        <v>22</v>
      </c>
      <c r="AN4288" s="175">
        <v>1</v>
      </c>
      <c r="AO4288" s="175">
        <v>78</v>
      </c>
      <c r="AP4288" s="175">
        <v>68</v>
      </c>
      <c r="AQ4288" s="175">
        <v>11</v>
      </c>
      <c r="AR4288" s="175">
        <v>2</v>
      </c>
      <c r="AS4288" s="175">
        <v>8</v>
      </c>
      <c r="AT4288" s="175">
        <v>2</v>
      </c>
    </row>
    <row r="4289" spans="1:46">
      <c r="A4289">
        <v>70573</v>
      </c>
      <c r="B4289" t="s">
        <v>23285</v>
      </c>
      <c r="C4289" t="s">
        <v>23286</v>
      </c>
      <c r="E4289" t="s">
        <v>23287</v>
      </c>
      <c r="G4289" t="s">
        <v>3036</v>
      </c>
      <c r="H4289" t="s">
        <v>449</v>
      </c>
      <c r="J4289" t="s">
        <v>4032</v>
      </c>
      <c r="K4289" t="s">
        <v>606</v>
      </c>
      <c r="M4289" t="s">
        <v>2366</v>
      </c>
      <c r="N4289" t="s">
        <v>4586</v>
      </c>
      <c r="O4289" t="s">
        <v>3037</v>
      </c>
      <c r="P4289" t="s">
        <v>1347</v>
      </c>
      <c r="Q4289" t="s">
        <v>521</v>
      </c>
      <c r="R4289" t="s">
        <v>3017</v>
      </c>
      <c r="S4289" t="s">
        <v>3038</v>
      </c>
      <c r="T4289" t="s">
        <v>2526</v>
      </c>
      <c r="U4289">
        <v>314900</v>
      </c>
      <c r="V4289" t="s">
        <v>21871</v>
      </c>
      <c r="W4289" t="s">
        <v>3040</v>
      </c>
      <c r="X4289" t="s">
        <v>14338</v>
      </c>
      <c r="Y4289" t="s">
        <v>14339</v>
      </c>
      <c r="AA4289" t="s">
        <v>14340</v>
      </c>
      <c r="AB4289" t="s">
        <v>14341</v>
      </c>
      <c r="AC4289">
        <v>99077</v>
      </c>
      <c r="AD4289" t="s">
        <v>3041</v>
      </c>
      <c r="AE4289">
        <v>-43.303376380000003</v>
      </c>
      <c r="AF4289">
        <v>172.60089704999999</v>
      </c>
      <c r="AG4289" s="175">
        <v>25</v>
      </c>
      <c r="AH4289" s="175">
        <v>0</v>
      </c>
      <c r="AI4289" s="175">
        <v>0</v>
      </c>
      <c r="AJ4289" s="175">
        <v>0</v>
      </c>
      <c r="AK4289" s="175">
        <v>6</v>
      </c>
      <c r="AL4289" s="175">
        <v>10</v>
      </c>
      <c r="AM4289" s="175">
        <v>10</v>
      </c>
      <c r="AN4289" s="175">
        <v>2</v>
      </c>
      <c r="AO4289" s="175">
        <v>28</v>
      </c>
      <c r="AP4289" s="175">
        <v>26</v>
      </c>
      <c r="AQ4289" s="175">
        <v>1</v>
      </c>
      <c r="AR4289" s="175">
        <v>2</v>
      </c>
      <c r="AS4289" s="175">
        <v>3</v>
      </c>
      <c r="AT4289" s="175">
        <v>0</v>
      </c>
    </row>
    <row r="4290" spans="1:46">
      <c r="A4290">
        <v>70575</v>
      </c>
      <c r="B4290" t="s">
        <v>23288</v>
      </c>
      <c r="C4290" t="s">
        <v>23289</v>
      </c>
      <c r="D4290" t="s">
        <v>23290</v>
      </c>
      <c r="E4290" t="s">
        <v>23291</v>
      </c>
      <c r="F4290" t="s">
        <v>3018</v>
      </c>
      <c r="G4290" t="s">
        <v>3015</v>
      </c>
      <c r="H4290" t="s">
        <v>449</v>
      </c>
      <c r="J4290" t="s">
        <v>4032</v>
      </c>
      <c r="K4290" t="s">
        <v>606</v>
      </c>
      <c r="M4290" t="s">
        <v>2366</v>
      </c>
      <c r="N4290" t="s">
        <v>657</v>
      </c>
      <c r="O4290" t="s">
        <v>3016</v>
      </c>
      <c r="P4290" t="s">
        <v>739</v>
      </c>
      <c r="Q4290" t="s">
        <v>521</v>
      </c>
      <c r="R4290" t="s">
        <v>3017</v>
      </c>
      <c r="S4290" t="s">
        <v>3018</v>
      </c>
      <c r="T4290" t="s">
        <v>2526</v>
      </c>
      <c r="U4290">
        <v>321800</v>
      </c>
      <c r="V4290" t="s">
        <v>23292</v>
      </c>
      <c r="W4290" t="s">
        <v>3149</v>
      </c>
      <c r="X4290" t="s">
        <v>23293</v>
      </c>
      <c r="Y4290" t="s">
        <v>4166</v>
      </c>
      <c r="Z4290" t="s">
        <v>4167</v>
      </c>
      <c r="AA4290" t="s">
        <v>4168</v>
      </c>
      <c r="AE4290">
        <v>-43.530014139999999</v>
      </c>
      <c r="AF4290">
        <v>172.58664847</v>
      </c>
      <c r="AG4290" s="175">
        <v>50</v>
      </c>
      <c r="AH4290" s="175">
        <v>14</v>
      </c>
      <c r="AI4290" s="175">
        <v>2</v>
      </c>
      <c r="AJ4290" s="175">
        <v>13</v>
      </c>
      <c r="AK4290" s="175">
        <v>7</v>
      </c>
      <c r="AL4290" s="175">
        <v>14</v>
      </c>
      <c r="AM4290" s="175">
        <v>15</v>
      </c>
      <c r="AN4290" s="175">
        <v>1</v>
      </c>
      <c r="AO4290" s="175">
        <v>52</v>
      </c>
      <c r="AP4290" s="175">
        <v>19</v>
      </c>
      <c r="AQ4290" s="175">
        <v>4</v>
      </c>
      <c r="AR4290" s="175">
        <v>1</v>
      </c>
      <c r="AS4290" s="175">
        <v>33</v>
      </c>
      <c r="AT4290" s="175">
        <v>2</v>
      </c>
    </row>
    <row r="4291" spans="1:46">
      <c r="A4291">
        <v>70582</v>
      </c>
      <c r="B4291" t="s">
        <v>23294</v>
      </c>
      <c r="C4291" t="s">
        <v>23295</v>
      </c>
      <c r="D4291" t="s">
        <v>23296</v>
      </c>
      <c r="E4291" t="s">
        <v>23297</v>
      </c>
      <c r="F4291" t="s">
        <v>3238</v>
      </c>
      <c r="G4291" t="s">
        <v>3015</v>
      </c>
      <c r="H4291" t="s">
        <v>449</v>
      </c>
      <c r="J4291" t="s">
        <v>4032</v>
      </c>
      <c r="K4291" t="s">
        <v>606</v>
      </c>
      <c r="M4291" t="s">
        <v>2366</v>
      </c>
      <c r="N4291" t="s">
        <v>657</v>
      </c>
      <c r="O4291" t="s">
        <v>3016</v>
      </c>
      <c r="P4291" t="s">
        <v>739</v>
      </c>
      <c r="Q4291" t="s">
        <v>521</v>
      </c>
      <c r="R4291" t="s">
        <v>3017</v>
      </c>
      <c r="S4291" t="s">
        <v>3046</v>
      </c>
      <c r="T4291" t="s">
        <v>2526</v>
      </c>
      <c r="U4291">
        <v>331700</v>
      </c>
      <c r="V4291" t="s">
        <v>3238</v>
      </c>
      <c r="W4291" t="s">
        <v>3047</v>
      </c>
      <c r="X4291" t="s">
        <v>21854</v>
      </c>
      <c r="Y4291" t="s">
        <v>21855</v>
      </c>
      <c r="Z4291" t="s">
        <v>3051</v>
      </c>
      <c r="AA4291" t="s">
        <v>10877</v>
      </c>
      <c r="AB4291" t="s">
        <v>21856</v>
      </c>
      <c r="AE4291">
        <v>-43.5259012</v>
      </c>
      <c r="AF4291">
        <v>172.73349379999999</v>
      </c>
      <c r="AG4291" s="175">
        <v>46</v>
      </c>
      <c r="AH4291" s="175">
        <v>12</v>
      </c>
      <c r="AI4291" s="175">
        <v>1</v>
      </c>
      <c r="AJ4291" s="175">
        <v>8</v>
      </c>
      <c r="AK4291" s="175">
        <v>15</v>
      </c>
      <c r="AL4291" s="175">
        <v>13</v>
      </c>
      <c r="AM4291" s="175">
        <v>11</v>
      </c>
      <c r="AN4291" s="175">
        <v>0</v>
      </c>
      <c r="AO4291" s="175">
        <v>48</v>
      </c>
      <c r="AP4291" s="175">
        <v>47</v>
      </c>
      <c r="AQ4291" s="175">
        <v>7</v>
      </c>
      <c r="AR4291" s="175">
        <v>1</v>
      </c>
      <c r="AS4291" s="175">
        <v>0</v>
      </c>
      <c r="AT4291" s="175">
        <v>1</v>
      </c>
    </row>
    <row r="4292" spans="1:46">
      <c r="A4292">
        <v>70602</v>
      </c>
      <c r="B4292" t="s">
        <v>23298</v>
      </c>
      <c r="C4292" t="s">
        <v>23299</v>
      </c>
      <c r="E4292" t="s">
        <v>23300</v>
      </c>
      <c r="F4292" t="s">
        <v>23301</v>
      </c>
      <c r="G4292" t="s">
        <v>23301</v>
      </c>
      <c r="H4292" t="s">
        <v>347</v>
      </c>
      <c r="J4292" t="s">
        <v>605</v>
      </c>
      <c r="K4292" t="s">
        <v>606</v>
      </c>
      <c r="L4292" t="s">
        <v>4273</v>
      </c>
      <c r="M4292" t="s">
        <v>2366</v>
      </c>
      <c r="N4292" t="s">
        <v>657</v>
      </c>
      <c r="O4292" t="s">
        <v>23302</v>
      </c>
      <c r="P4292" t="s">
        <v>626</v>
      </c>
      <c r="Q4292" t="s">
        <v>23303</v>
      </c>
      <c r="R4292" t="s">
        <v>3017</v>
      </c>
      <c r="S4292" t="s">
        <v>2615</v>
      </c>
      <c r="T4292" t="s">
        <v>2526</v>
      </c>
      <c r="U4292">
        <v>343000</v>
      </c>
      <c r="V4292" t="s">
        <v>23301</v>
      </c>
      <c r="W4292" t="s">
        <v>1734</v>
      </c>
      <c r="X4292" t="s">
        <v>12121</v>
      </c>
      <c r="Y4292" t="s">
        <v>4276</v>
      </c>
      <c r="Z4292" t="s">
        <v>4277</v>
      </c>
      <c r="AA4292" t="s">
        <v>4278</v>
      </c>
      <c r="AB4292" t="s">
        <v>12122</v>
      </c>
      <c r="AE4292">
        <v>-43.930529</v>
      </c>
      <c r="AF4292">
        <v>-176.52666400000001</v>
      </c>
      <c r="AG4292" s="175">
        <v>24</v>
      </c>
      <c r="AH4292" s="175">
        <v>8</v>
      </c>
      <c r="AI4292" s="175">
        <v>3</v>
      </c>
      <c r="AJ4292" s="175">
        <v>1</v>
      </c>
      <c r="AK4292" s="175">
        <v>4</v>
      </c>
      <c r="AL4292" s="175">
        <v>5</v>
      </c>
      <c r="AM4292" s="175">
        <v>6</v>
      </c>
      <c r="AN4292" s="175">
        <v>0</v>
      </c>
      <c r="AO4292" s="175">
        <v>19</v>
      </c>
      <c r="AP4292" s="175">
        <v>0</v>
      </c>
      <c r="AQ4292" s="175">
        <v>16</v>
      </c>
      <c r="AR4292" s="175">
        <v>0</v>
      </c>
      <c r="AS4292" s="175">
        <v>0</v>
      </c>
      <c r="AT4292" s="175">
        <v>3</v>
      </c>
    </row>
    <row r="4293" spans="1:46">
      <c r="A4293">
        <v>70606</v>
      </c>
      <c r="B4293" t="s">
        <v>23304</v>
      </c>
      <c r="C4293" t="s">
        <v>23305</v>
      </c>
      <c r="E4293" t="s">
        <v>23306</v>
      </c>
      <c r="F4293" t="s">
        <v>3085</v>
      </c>
      <c r="G4293" t="s">
        <v>3015</v>
      </c>
      <c r="H4293" t="s">
        <v>347</v>
      </c>
      <c r="J4293" t="s">
        <v>605</v>
      </c>
      <c r="K4293" t="s">
        <v>606</v>
      </c>
      <c r="L4293" t="s">
        <v>4273</v>
      </c>
      <c r="M4293" t="s">
        <v>2366</v>
      </c>
      <c r="N4293" t="s">
        <v>608</v>
      </c>
      <c r="O4293" t="s">
        <v>3016</v>
      </c>
      <c r="P4293" t="s">
        <v>739</v>
      </c>
      <c r="Q4293" t="s">
        <v>521</v>
      </c>
      <c r="R4293" t="s">
        <v>3017</v>
      </c>
      <c r="S4293" t="s">
        <v>3030</v>
      </c>
      <c r="T4293" t="s">
        <v>2526</v>
      </c>
      <c r="U4293">
        <v>329900</v>
      </c>
      <c r="V4293" t="s">
        <v>3085</v>
      </c>
      <c r="W4293" t="s">
        <v>3087</v>
      </c>
      <c r="X4293" t="s">
        <v>12121</v>
      </c>
      <c r="Y4293" t="s">
        <v>4276</v>
      </c>
      <c r="Z4293" t="s">
        <v>4277</v>
      </c>
      <c r="AA4293" t="s">
        <v>4278</v>
      </c>
      <c r="AB4293" t="s">
        <v>12122</v>
      </c>
      <c r="AE4293">
        <v>-43.551188740000001</v>
      </c>
      <c r="AF4293">
        <v>172.65574038</v>
      </c>
      <c r="AG4293" s="175">
        <v>44</v>
      </c>
      <c r="AH4293" s="175">
        <v>8</v>
      </c>
      <c r="AI4293" s="175">
        <v>1</v>
      </c>
      <c r="AJ4293" s="175">
        <v>3</v>
      </c>
      <c r="AK4293" s="175">
        <v>11</v>
      </c>
      <c r="AL4293" s="175">
        <v>7</v>
      </c>
      <c r="AM4293" s="175">
        <v>10</v>
      </c>
      <c r="AN4293" s="175">
        <v>0</v>
      </c>
      <c r="AO4293" s="175">
        <v>32</v>
      </c>
      <c r="AP4293" s="175">
        <v>0</v>
      </c>
      <c r="AQ4293" s="175">
        <v>31</v>
      </c>
      <c r="AR4293" s="175">
        <v>1</v>
      </c>
      <c r="AS4293" s="175">
        <v>0</v>
      </c>
      <c r="AT4293" s="175">
        <v>0</v>
      </c>
    </row>
    <row r="4294" spans="1:46">
      <c r="A4294">
        <v>70607</v>
      </c>
      <c r="B4294" t="s">
        <v>23307</v>
      </c>
      <c r="C4294" t="s">
        <v>23308</v>
      </c>
      <c r="E4294" t="s">
        <v>23309</v>
      </c>
      <c r="G4294" t="s">
        <v>3036</v>
      </c>
      <c r="H4294" t="s">
        <v>347</v>
      </c>
      <c r="J4294" t="s">
        <v>605</v>
      </c>
      <c r="K4294" t="s">
        <v>606</v>
      </c>
      <c r="L4294" t="s">
        <v>4273</v>
      </c>
      <c r="M4294" t="s">
        <v>2366</v>
      </c>
      <c r="N4294" t="s">
        <v>643</v>
      </c>
      <c r="O4294" t="s">
        <v>3037</v>
      </c>
      <c r="P4294" t="s">
        <v>1347</v>
      </c>
      <c r="Q4294" t="s">
        <v>521</v>
      </c>
      <c r="R4294" t="s">
        <v>3017</v>
      </c>
      <c r="S4294" t="s">
        <v>3038</v>
      </c>
      <c r="T4294" t="s">
        <v>2526</v>
      </c>
      <c r="U4294">
        <v>314600</v>
      </c>
      <c r="V4294" t="s">
        <v>15934</v>
      </c>
      <c r="W4294" t="s">
        <v>3040</v>
      </c>
      <c r="X4294" t="s">
        <v>12121</v>
      </c>
      <c r="Y4294" t="s">
        <v>4276</v>
      </c>
      <c r="Z4294" t="s">
        <v>4277</v>
      </c>
      <c r="AA4294" t="s">
        <v>4278</v>
      </c>
      <c r="AB4294" t="s">
        <v>12122</v>
      </c>
      <c r="AE4294">
        <v>-43.306886210000002</v>
      </c>
      <c r="AF4294">
        <v>172.59740662999999</v>
      </c>
      <c r="AG4294" s="175">
        <v>34</v>
      </c>
      <c r="AH4294" s="175">
        <v>12</v>
      </c>
      <c r="AI4294" s="175">
        <v>2</v>
      </c>
      <c r="AJ4294" s="175">
        <v>10</v>
      </c>
      <c r="AK4294" s="175">
        <v>9</v>
      </c>
      <c r="AL4294" s="175">
        <v>5</v>
      </c>
      <c r="AM4294" s="175">
        <v>6</v>
      </c>
      <c r="AN4294" s="175">
        <v>0</v>
      </c>
      <c r="AO4294" s="175">
        <v>32</v>
      </c>
      <c r="AP4294" s="175">
        <v>0</v>
      </c>
      <c r="AQ4294" s="175">
        <v>31</v>
      </c>
      <c r="AR4294" s="175">
        <v>0</v>
      </c>
      <c r="AS4294" s="175">
        <v>0</v>
      </c>
      <c r="AT4294" s="175">
        <v>1</v>
      </c>
    </row>
    <row r="4295" spans="1:46">
      <c r="A4295">
        <v>70608</v>
      </c>
      <c r="B4295" t="s">
        <v>23310</v>
      </c>
      <c r="C4295" t="s">
        <v>23311</v>
      </c>
      <c r="E4295" t="s">
        <v>23312</v>
      </c>
      <c r="F4295" t="s">
        <v>17362</v>
      </c>
      <c r="G4295" t="s">
        <v>3015</v>
      </c>
      <c r="H4295" t="s">
        <v>347</v>
      </c>
      <c r="J4295" t="s">
        <v>605</v>
      </c>
      <c r="K4295" t="s">
        <v>606</v>
      </c>
      <c r="L4295" t="s">
        <v>4273</v>
      </c>
      <c r="M4295" t="s">
        <v>2366</v>
      </c>
      <c r="N4295" t="s">
        <v>625</v>
      </c>
      <c r="O4295" t="s">
        <v>3016</v>
      </c>
      <c r="P4295" t="s">
        <v>739</v>
      </c>
      <c r="Q4295" t="s">
        <v>521</v>
      </c>
      <c r="R4295" t="s">
        <v>3017</v>
      </c>
      <c r="S4295" t="s">
        <v>3030</v>
      </c>
      <c r="T4295" t="s">
        <v>2526</v>
      </c>
      <c r="U4295">
        <v>328800</v>
      </c>
      <c r="V4295" t="s">
        <v>17363</v>
      </c>
      <c r="W4295" t="s">
        <v>2521</v>
      </c>
      <c r="X4295" t="s">
        <v>12121</v>
      </c>
      <c r="Y4295" t="s">
        <v>4276</v>
      </c>
      <c r="Z4295" t="s">
        <v>4277</v>
      </c>
      <c r="AA4295" t="s">
        <v>4278</v>
      </c>
      <c r="AB4295" t="s">
        <v>12122</v>
      </c>
      <c r="AE4295">
        <v>-43.53769157</v>
      </c>
      <c r="AF4295">
        <v>172.6548818</v>
      </c>
      <c r="AG4295" s="175">
        <v>44</v>
      </c>
      <c r="AH4295" s="175">
        <v>10</v>
      </c>
      <c r="AI4295" s="175">
        <v>1</v>
      </c>
      <c r="AJ4295" s="175">
        <v>8</v>
      </c>
      <c r="AK4295" s="175">
        <v>9</v>
      </c>
      <c r="AL4295" s="175">
        <v>11</v>
      </c>
      <c r="AM4295" s="175">
        <v>12</v>
      </c>
      <c r="AN4295" s="175">
        <v>0</v>
      </c>
      <c r="AO4295" s="175">
        <v>41</v>
      </c>
      <c r="AP4295" s="175">
        <v>0</v>
      </c>
      <c r="AQ4295" s="175">
        <v>41</v>
      </c>
      <c r="AR4295" s="175">
        <v>0</v>
      </c>
      <c r="AS4295" s="175">
        <v>0</v>
      </c>
      <c r="AT4295" s="175">
        <v>0</v>
      </c>
    </row>
    <row r="4296" spans="1:46">
      <c r="A4296">
        <v>70609</v>
      </c>
      <c r="B4296" t="s">
        <v>23313</v>
      </c>
      <c r="C4296" t="s">
        <v>23314</v>
      </c>
      <c r="E4296" t="s">
        <v>23315</v>
      </c>
      <c r="F4296" t="s">
        <v>23316</v>
      </c>
      <c r="G4296" t="s">
        <v>3015</v>
      </c>
      <c r="H4296" t="s">
        <v>347</v>
      </c>
      <c r="J4296" t="s">
        <v>605</v>
      </c>
      <c r="K4296" t="s">
        <v>606</v>
      </c>
      <c r="L4296" t="s">
        <v>4273</v>
      </c>
      <c r="M4296" t="s">
        <v>2366</v>
      </c>
      <c r="N4296" t="s">
        <v>625</v>
      </c>
      <c r="O4296" t="s">
        <v>3016</v>
      </c>
      <c r="P4296" t="s">
        <v>739</v>
      </c>
      <c r="Q4296" t="s">
        <v>521</v>
      </c>
      <c r="R4296" t="s">
        <v>3017</v>
      </c>
      <c r="S4296" t="s">
        <v>3092</v>
      </c>
      <c r="T4296" t="s">
        <v>2526</v>
      </c>
      <c r="U4296">
        <v>318200</v>
      </c>
      <c r="V4296" t="s">
        <v>23317</v>
      </c>
      <c r="W4296" t="s">
        <v>3093</v>
      </c>
      <c r="X4296" t="s">
        <v>12121</v>
      </c>
      <c r="Y4296" t="s">
        <v>4276</v>
      </c>
      <c r="Z4296" t="s">
        <v>4277</v>
      </c>
      <c r="AA4296" t="s">
        <v>4278</v>
      </c>
      <c r="AB4296" t="s">
        <v>12122</v>
      </c>
      <c r="AE4296">
        <v>-43.539397860000001</v>
      </c>
      <c r="AF4296">
        <v>172.5155614</v>
      </c>
      <c r="AG4296" s="175">
        <v>35</v>
      </c>
      <c r="AH4296" s="175">
        <v>10</v>
      </c>
      <c r="AI4296" s="175">
        <v>0</v>
      </c>
      <c r="AJ4296" s="175">
        <v>5</v>
      </c>
      <c r="AK4296" s="175">
        <v>6</v>
      </c>
      <c r="AL4296" s="175">
        <v>8</v>
      </c>
      <c r="AM4296" s="175">
        <v>6</v>
      </c>
      <c r="AN4296" s="175">
        <v>0</v>
      </c>
      <c r="AO4296" s="175">
        <v>25</v>
      </c>
      <c r="AP4296" s="175">
        <v>0</v>
      </c>
      <c r="AQ4296" s="175">
        <v>23</v>
      </c>
      <c r="AR4296" s="175">
        <v>0</v>
      </c>
      <c r="AS4296" s="175">
        <v>0</v>
      </c>
      <c r="AT4296" s="175">
        <v>2</v>
      </c>
    </row>
    <row r="4297" spans="1:46">
      <c r="A4297">
        <v>70613</v>
      </c>
      <c r="B4297" t="s">
        <v>23318</v>
      </c>
      <c r="C4297" t="s">
        <v>23319</v>
      </c>
      <c r="D4297" t="s">
        <v>23320</v>
      </c>
      <c r="E4297" t="s">
        <v>23321</v>
      </c>
      <c r="F4297" t="s">
        <v>3159</v>
      </c>
      <c r="G4297" t="s">
        <v>3015</v>
      </c>
      <c r="H4297" t="s">
        <v>347</v>
      </c>
      <c r="J4297" t="s">
        <v>605</v>
      </c>
      <c r="K4297" t="s">
        <v>606</v>
      </c>
      <c r="L4297" t="s">
        <v>4273</v>
      </c>
      <c r="M4297" t="s">
        <v>2366</v>
      </c>
      <c r="N4297" t="s">
        <v>625</v>
      </c>
      <c r="O4297" t="s">
        <v>3016</v>
      </c>
      <c r="P4297" t="s">
        <v>739</v>
      </c>
      <c r="Q4297" t="s">
        <v>521</v>
      </c>
      <c r="R4297" t="s">
        <v>3017</v>
      </c>
      <c r="S4297" t="s">
        <v>3092</v>
      </c>
      <c r="T4297" t="s">
        <v>2526</v>
      </c>
      <c r="U4297">
        <v>326701</v>
      </c>
      <c r="V4297" t="s">
        <v>3160</v>
      </c>
      <c r="W4297" t="s">
        <v>3161</v>
      </c>
      <c r="X4297" t="s">
        <v>12121</v>
      </c>
      <c r="Y4297" t="s">
        <v>4276</v>
      </c>
      <c r="Z4297" t="s">
        <v>4277</v>
      </c>
      <c r="AA4297" t="s">
        <v>4278</v>
      </c>
      <c r="AB4297" t="s">
        <v>12122</v>
      </c>
      <c r="AE4297">
        <v>-43.562152959999999</v>
      </c>
      <c r="AF4297">
        <v>172.58783198</v>
      </c>
      <c r="AG4297" s="175">
        <v>30</v>
      </c>
      <c r="AH4297" s="175">
        <v>6</v>
      </c>
      <c r="AI4297" s="175">
        <v>1</v>
      </c>
      <c r="AJ4297" s="175">
        <v>3</v>
      </c>
      <c r="AK4297" s="175">
        <v>7</v>
      </c>
      <c r="AL4297" s="175">
        <v>7</v>
      </c>
      <c r="AM4297" s="175">
        <v>6</v>
      </c>
      <c r="AN4297" s="175">
        <v>0</v>
      </c>
      <c r="AO4297" s="175">
        <v>24</v>
      </c>
      <c r="AP4297" s="175">
        <v>0</v>
      </c>
      <c r="AQ4297" s="175">
        <v>23</v>
      </c>
      <c r="AR4297" s="175">
        <v>1</v>
      </c>
      <c r="AS4297" s="175">
        <v>0</v>
      </c>
      <c r="AT4297" s="175">
        <v>0</v>
      </c>
    </row>
    <row r="4298" spans="1:46">
      <c r="A4298">
        <v>70617</v>
      </c>
      <c r="B4298" t="s">
        <v>23322</v>
      </c>
      <c r="C4298" t="s">
        <v>23323</v>
      </c>
      <c r="E4298" t="s">
        <v>23324</v>
      </c>
      <c r="F4298" t="s">
        <v>3197</v>
      </c>
      <c r="G4298" t="s">
        <v>3015</v>
      </c>
      <c r="H4298" t="s">
        <v>347</v>
      </c>
      <c r="J4298" t="s">
        <v>605</v>
      </c>
      <c r="K4298" t="s">
        <v>606</v>
      </c>
      <c r="L4298" t="s">
        <v>4273</v>
      </c>
      <c r="M4298" t="s">
        <v>2366</v>
      </c>
      <c r="N4298" t="s">
        <v>812</v>
      </c>
      <c r="O4298" t="s">
        <v>3016</v>
      </c>
      <c r="P4298" t="s">
        <v>739</v>
      </c>
      <c r="Q4298" t="s">
        <v>521</v>
      </c>
      <c r="R4298" t="s">
        <v>3017</v>
      </c>
      <c r="S4298" t="s">
        <v>3046</v>
      </c>
      <c r="T4298" t="s">
        <v>2526</v>
      </c>
      <c r="U4298">
        <v>328600</v>
      </c>
      <c r="V4298" t="s">
        <v>3198</v>
      </c>
      <c r="W4298" t="s">
        <v>3199</v>
      </c>
      <c r="X4298" t="s">
        <v>12121</v>
      </c>
      <c r="Y4298" t="s">
        <v>4276</v>
      </c>
      <c r="Z4298" t="s">
        <v>4277</v>
      </c>
      <c r="AA4298" t="s">
        <v>4278</v>
      </c>
      <c r="AB4298" t="s">
        <v>12122</v>
      </c>
      <c r="AE4298">
        <v>-43.510574949999999</v>
      </c>
      <c r="AF4298">
        <v>172.71038278</v>
      </c>
      <c r="AG4298" s="175">
        <v>26</v>
      </c>
      <c r="AH4298" s="175">
        <v>8</v>
      </c>
      <c r="AI4298" s="175">
        <v>1</v>
      </c>
      <c r="AJ4298" s="175">
        <v>5</v>
      </c>
      <c r="AK4298" s="175">
        <v>7</v>
      </c>
      <c r="AL4298" s="175">
        <v>3</v>
      </c>
      <c r="AM4298" s="175">
        <v>5</v>
      </c>
      <c r="AN4298" s="175">
        <v>0</v>
      </c>
      <c r="AO4298" s="175">
        <v>21</v>
      </c>
      <c r="AP4298" s="175">
        <v>0</v>
      </c>
      <c r="AQ4298" s="175">
        <v>20</v>
      </c>
      <c r="AR4298" s="175">
        <v>1</v>
      </c>
      <c r="AS4298" s="175">
        <v>0</v>
      </c>
      <c r="AT4298" s="175">
        <v>0</v>
      </c>
    </row>
    <row r="4299" spans="1:46">
      <c r="A4299">
        <v>80002</v>
      </c>
      <c r="B4299" t="s">
        <v>23325</v>
      </c>
      <c r="C4299" t="s">
        <v>23326</v>
      </c>
      <c r="D4299" t="s">
        <v>23327</v>
      </c>
      <c r="E4299" t="s">
        <v>23328</v>
      </c>
      <c r="F4299" t="s">
        <v>3466</v>
      </c>
      <c r="G4299" t="s">
        <v>3454</v>
      </c>
      <c r="H4299" t="s">
        <v>450</v>
      </c>
      <c r="J4299" t="s">
        <v>605</v>
      </c>
      <c r="K4299" t="s">
        <v>606</v>
      </c>
      <c r="M4299" t="s">
        <v>2366</v>
      </c>
      <c r="N4299" t="s">
        <v>657</v>
      </c>
      <c r="O4299" t="s">
        <v>3455</v>
      </c>
      <c r="P4299" t="s">
        <v>739</v>
      </c>
      <c r="Q4299" t="s">
        <v>522</v>
      </c>
      <c r="R4299" t="s">
        <v>3410</v>
      </c>
      <c r="S4299" t="s">
        <v>3456</v>
      </c>
      <c r="T4299" t="s">
        <v>2526</v>
      </c>
      <c r="U4299">
        <v>355300</v>
      </c>
      <c r="V4299" t="s">
        <v>3466</v>
      </c>
      <c r="W4299" t="s">
        <v>1734</v>
      </c>
      <c r="X4299" t="s">
        <v>23329</v>
      </c>
      <c r="Y4299" t="s">
        <v>23328</v>
      </c>
      <c r="Z4299" t="s">
        <v>3466</v>
      </c>
      <c r="AA4299" t="s">
        <v>15856</v>
      </c>
      <c r="AB4299" t="s">
        <v>23326</v>
      </c>
      <c r="AE4299">
        <v>-45.898067580000003</v>
      </c>
      <c r="AF4299">
        <v>170.51626241</v>
      </c>
      <c r="AG4299" s="175">
        <v>80</v>
      </c>
      <c r="AH4299" s="175">
        <v>80</v>
      </c>
      <c r="AI4299" s="175">
        <v>3</v>
      </c>
      <c r="AJ4299" s="175">
        <v>11</v>
      </c>
      <c r="AK4299" s="175">
        <v>7</v>
      </c>
      <c r="AL4299" s="175">
        <v>7</v>
      </c>
      <c r="AM4299" s="175">
        <v>2</v>
      </c>
      <c r="AN4299" s="175">
        <v>0</v>
      </c>
      <c r="AO4299" s="175">
        <v>30</v>
      </c>
      <c r="AP4299" s="175">
        <v>27</v>
      </c>
      <c r="AQ4299" s="175">
        <v>5</v>
      </c>
      <c r="AR4299" s="175">
        <v>2</v>
      </c>
      <c r="AS4299" s="175">
        <v>0</v>
      </c>
      <c r="AT4299" s="175">
        <v>4</v>
      </c>
    </row>
    <row r="4300" spans="1:46">
      <c r="A4300">
        <v>80009</v>
      </c>
      <c r="B4300" t="s">
        <v>23330</v>
      </c>
      <c r="C4300" t="s">
        <v>23331</v>
      </c>
      <c r="D4300" t="s">
        <v>23332</v>
      </c>
      <c r="E4300" t="s">
        <v>23333</v>
      </c>
      <c r="G4300" t="s">
        <v>11255</v>
      </c>
      <c r="H4300" t="s">
        <v>449</v>
      </c>
      <c r="J4300" t="s">
        <v>605</v>
      </c>
      <c r="K4300" t="s">
        <v>606</v>
      </c>
      <c r="M4300" t="s">
        <v>2366</v>
      </c>
      <c r="N4300" t="s">
        <v>657</v>
      </c>
      <c r="O4300" t="s">
        <v>3906</v>
      </c>
      <c r="P4300" t="s">
        <v>1347</v>
      </c>
      <c r="Q4300" t="s">
        <v>522</v>
      </c>
      <c r="R4300" t="s">
        <v>3410</v>
      </c>
      <c r="S4300" t="s">
        <v>3323</v>
      </c>
      <c r="T4300" t="s">
        <v>2526</v>
      </c>
      <c r="U4300">
        <v>347000</v>
      </c>
      <c r="V4300" t="s">
        <v>18767</v>
      </c>
      <c r="W4300" t="s">
        <v>11257</v>
      </c>
      <c r="X4300" t="s">
        <v>23334</v>
      </c>
      <c r="Y4300" t="s">
        <v>23333</v>
      </c>
      <c r="AA4300" t="s">
        <v>11259</v>
      </c>
      <c r="AB4300" t="s">
        <v>23331</v>
      </c>
      <c r="AE4300">
        <v>-44.701090360000002</v>
      </c>
      <c r="AF4300">
        <v>169.13413649</v>
      </c>
      <c r="AG4300" s="175">
        <v>40</v>
      </c>
      <c r="AH4300" s="175">
        <v>12</v>
      </c>
      <c r="AI4300" s="175">
        <v>2</v>
      </c>
      <c r="AJ4300" s="175">
        <v>7</v>
      </c>
      <c r="AK4300" s="175">
        <v>12</v>
      </c>
      <c r="AL4300" s="175">
        <v>15</v>
      </c>
      <c r="AM4300" s="175">
        <v>14</v>
      </c>
      <c r="AN4300" s="175">
        <v>0</v>
      </c>
      <c r="AO4300" s="175">
        <v>50</v>
      </c>
      <c r="AP4300" s="175">
        <v>45</v>
      </c>
      <c r="AQ4300" s="175">
        <v>4</v>
      </c>
      <c r="AR4300" s="175">
        <v>1</v>
      </c>
      <c r="AS4300" s="175">
        <v>2</v>
      </c>
      <c r="AT4300" s="175">
        <v>3</v>
      </c>
    </row>
    <row r="4301" spans="1:46">
      <c r="A4301">
        <v>80010</v>
      </c>
      <c r="B4301" t="s">
        <v>23335</v>
      </c>
      <c r="C4301" t="s">
        <v>23336</v>
      </c>
      <c r="D4301" t="s">
        <v>23337</v>
      </c>
      <c r="E4301" t="s">
        <v>23338</v>
      </c>
      <c r="F4301" t="s">
        <v>3466</v>
      </c>
      <c r="G4301" t="s">
        <v>3454</v>
      </c>
      <c r="H4301" t="s">
        <v>449</v>
      </c>
      <c r="J4301" t="s">
        <v>4032</v>
      </c>
      <c r="K4301" t="s">
        <v>606</v>
      </c>
      <c r="M4301" t="s">
        <v>2366</v>
      </c>
      <c r="N4301" t="s">
        <v>657</v>
      </c>
      <c r="O4301" t="s">
        <v>3455</v>
      </c>
      <c r="P4301" t="s">
        <v>739</v>
      </c>
      <c r="Q4301" t="s">
        <v>522</v>
      </c>
      <c r="R4301" t="s">
        <v>3410</v>
      </c>
      <c r="S4301" t="s">
        <v>3456</v>
      </c>
      <c r="T4301" t="s">
        <v>2526</v>
      </c>
      <c r="U4301">
        <v>355300</v>
      </c>
      <c r="V4301" t="s">
        <v>3466</v>
      </c>
      <c r="W4301" t="s">
        <v>1734</v>
      </c>
      <c r="X4301" t="s">
        <v>23339</v>
      </c>
      <c r="Y4301" t="s">
        <v>23340</v>
      </c>
      <c r="Z4301" t="s">
        <v>2130</v>
      </c>
      <c r="AA4301" t="s">
        <v>11623</v>
      </c>
      <c r="AB4301" t="s">
        <v>23341</v>
      </c>
      <c r="AE4301">
        <v>-45.897884830000002</v>
      </c>
      <c r="AF4301">
        <v>170.51955104000001</v>
      </c>
      <c r="AG4301" s="175">
        <v>25</v>
      </c>
      <c r="AH4301" s="175">
        <v>10</v>
      </c>
      <c r="AI4301" s="175">
        <v>0</v>
      </c>
      <c r="AJ4301" s="175">
        <v>1</v>
      </c>
      <c r="AK4301" s="175">
        <v>2</v>
      </c>
      <c r="AL4301" s="175">
        <v>4</v>
      </c>
      <c r="AM4301" s="175">
        <v>4</v>
      </c>
      <c r="AN4301" s="175">
        <v>0</v>
      </c>
      <c r="AO4301" s="175">
        <v>11</v>
      </c>
      <c r="AP4301" s="175">
        <v>9</v>
      </c>
      <c r="AQ4301" s="175">
        <v>1</v>
      </c>
      <c r="AR4301" s="175">
        <v>1</v>
      </c>
      <c r="AS4301" s="175">
        <v>3</v>
      </c>
      <c r="AT4301" s="175">
        <v>0</v>
      </c>
    </row>
    <row r="4302" spans="1:46">
      <c r="A4302">
        <v>80012</v>
      </c>
      <c r="B4302" t="s">
        <v>23342</v>
      </c>
      <c r="C4302" t="s">
        <v>23343</v>
      </c>
      <c r="D4302" t="s">
        <v>23344</v>
      </c>
      <c r="E4302" t="s">
        <v>23345</v>
      </c>
      <c r="G4302" t="s">
        <v>3542</v>
      </c>
      <c r="H4302" t="s">
        <v>449</v>
      </c>
      <c r="J4302" t="s">
        <v>605</v>
      </c>
      <c r="K4302" t="s">
        <v>606</v>
      </c>
      <c r="M4302" t="s">
        <v>2366</v>
      </c>
      <c r="N4302" t="s">
        <v>657</v>
      </c>
      <c r="O4302" t="s">
        <v>3455</v>
      </c>
      <c r="P4302" t="s">
        <v>1347</v>
      </c>
      <c r="Q4302" t="s">
        <v>522</v>
      </c>
      <c r="R4302" t="s">
        <v>3410</v>
      </c>
      <c r="S4302" t="s">
        <v>3456</v>
      </c>
      <c r="T4302" t="s">
        <v>2526</v>
      </c>
      <c r="U4302">
        <v>350000</v>
      </c>
      <c r="V4302" t="s">
        <v>3547</v>
      </c>
      <c r="W4302" t="s">
        <v>1734</v>
      </c>
      <c r="X4302" t="s">
        <v>23346</v>
      </c>
      <c r="Y4302" t="s">
        <v>23347</v>
      </c>
      <c r="AA4302" t="s">
        <v>14659</v>
      </c>
      <c r="AB4302" t="s">
        <v>23348</v>
      </c>
      <c r="AE4302">
        <v>-45.875500459999998</v>
      </c>
      <c r="AF4302">
        <v>170.36036003000001</v>
      </c>
      <c r="AG4302" s="175">
        <v>30</v>
      </c>
      <c r="AH4302" s="175">
        <v>0</v>
      </c>
      <c r="AI4302" s="175">
        <v>0</v>
      </c>
      <c r="AJ4302" s="175">
        <v>0</v>
      </c>
      <c r="AK4302" s="175">
        <v>6</v>
      </c>
      <c r="AL4302" s="175">
        <v>15</v>
      </c>
      <c r="AM4302" s="175">
        <v>17</v>
      </c>
      <c r="AN4302" s="175">
        <v>0</v>
      </c>
      <c r="AO4302" s="175">
        <v>38</v>
      </c>
      <c r="AP4302" s="175">
        <v>29</v>
      </c>
      <c r="AQ4302" s="175">
        <v>7</v>
      </c>
      <c r="AR4302" s="175">
        <v>1</v>
      </c>
      <c r="AS4302" s="175">
        <v>4</v>
      </c>
      <c r="AT4302" s="175">
        <v>3</v>
      </c>
    </row>
    <row r="4303" spans="1:46">
      <c r="A4303">
        <v>80014</v>
      </c>
      <c r="B4303" t="s">
        <v>23349</v>
      </c>
      <c r="C4303" t="s">
        <v>3557</v>
      </c>
      <c r="D4303" t="s">
        <v>23350</v>
      </c>
      <c r="E4303" t="s">
        <v>23351</v>
      </c>
      <c r="G4303" t="s">
        <v>23352</v>
      </c>
      <c r="H4303" t="s">
        <v>452</v>
      </c>
      <c r="J4303" t="s">
        <v>605</v>
      </c>
      <c r="K4303" t="s">
        <v>606</v>
      </c>
      <c r="M4303" t="s">
        <v>2366</v>
      </c>
      <c r="N4303" t="s">
        <v>657</v>
      </c>
      <c r="O4303" t="s">
        <v>3553</v>
      </c>
      <c r="P4303" t="s">
        <v>626</v>
      </c>
      <c r="Q4303" t="s">
        <v>522</v>
      </c>
      <c r="R4303" t="s">
        <v>3410</v>
      </c>
      <c r="S4303" t="s">
        <v>3456</v>
      </c>
      <c r="T4303" t="s">
        <v>2526</v>
      </c>
      <c r="U4303">
        <v>355900</v>
      </c>
      <c r="V4303" t="s">
        <v>23353</v>
      </c>
      <c r="W4303" t="s">
        <v>23354</v>
      </c>
      <c r="X4303" t="s">
        <v>3556</v>
      </c>
      <c r="Y4303" t="s">
        <v>1971</v>
      </c>
      <c r="AA4303" t="s">
        <v>1972</v>
      </c>
      <c r="AB4303" t="s">
        <v>3557</v>
      </c>
      <c r="AC4303">
        <v>99179</v>
      </c>
      <c r="AD4303" t="s">
        <v>3952</v>
      </c>
      <c r="AE4303">
        <v>-45.92123883</v>
      </c>
      <c r="AF4303">
        <v>169.68897204000001</v>
      </c>
      <c r="AG4303" s="175">
        <v>40</v>
      </c>
      <c r="AH4303" s="175">
        <v>10</v>
      </c>
      <c r="AI4303" s="175">
        <v>0</v>
      </c>
      <c r="AJ4303" s="175">
        <v>4</v>
      </c>
      <c r="AK4303" s="175">
        <v>6</v>
      </c>
      <c r="AL4303" s="175">
        <v>3</v>
      </c>
      <c r="AM4303" s="175">
        <v>10</v>
      </c>
      <c r="AN4303" s="175">
        <v>0</v>
      </c>
      <c r="AO4303" s="175">
        <v>23</v>
      </c>
      <c r="AP4303" s="175">
        <v>22</v>
      </c>
      <c r="AQ4303" s="175">
        <v>5</v>
      </c>
      <c r="AR4303" s="175">
        <v>0</v>
      </c>
      <c r="AS4303" s="175">
        <v>1</v>
      </c>
      <c r="AT4303" s="175">
        <v>0</v>
      </c>
    </row>
    <row r="4304" spans="1:46">
      <c r="A4304">
        <v>80015</v>
      </c>
      <c r="B4304" t="s">
        <v>23355</v>
      </c>
      <c r="C4304" t="s">
        <v>23356</v>
      </c>
      <c r="D4304" t="s">
        <v>23357</v>
      </c>
      <c r="E4304" t="s">
        <v>23358</v>
      </c>
      <c r="G4304" t="s">
        <v>11255</v>
      </c>
      <c r="H4304" t="s">
        <v>449</v>
      </c>
      <c r="J4304" t="s">
        <v>605</v>
      </c>
      <c r="K4304" t="s">
        <v>606</v>
      </c>
      <c r="M4304" t="s">
        <v>2366</v>
      </c>
      <c r="N4304" t="s">
        <v>657</v>
      </c>
      <c r="O4304" t="s">
        <v>3906</v>
      </c>
      <c r="P4304" t="s">
        <v>1347</v>
      </c>
      <c r="Q4304" t="s">
        <v>522</v>
      </c>
      <c r="R4304" t="s">
        <v>3410</v>
      </c>
      <c r="S4304" t="s">
        <v>3323</v>
      </c>
      <c r="T4304" t="s">
        <v>2526</v>
      </c>
      <c r="U4304">
        <v>346701</v>
      </c>
      <c r="V4304" t="s">
        <v>15245</v>
      </c>
      <c r="W4304" t="s">
        <v>11257</v>
      </c>
      <c r="X4304" t="s">
        <v>23359</v>
      </c>
      <c r="Y4304" t="s">
        <v>23358</v>
      </c>
      <c r="AA4304" t="s">
        <v>11259</v>
      </c>
      <c r="AB4304" t="s">
        <v>23360</v>
      </c>
      <c r="AE4304">
        <v>-44.681578880000004</v>
      </c>
      <c r="AF4304">
        <v>169.13759003999999</v>
      </c>
      <c r="AG4304" s="175">
        <v>56</v>
      </c>
      <c r="AH4304" s="175">
        <v>16</v>
      </c>
      <c r="AI4304" s="175">
        <v>0</v>
      </c>
      <c r="AJ4304" s="175">
        <v>13</v>
      </c>
      <c r="AK4304" s="175">
        <v>15</v>
      </c>
      <c r="AL4304" s="175">
        <v>14</v>
      </c>
      <c r="AM4304" s="175">
        <v>16</v>
      </c>
      <c r="AN4304" s="175">
        <v>1</v>
      </c>
      <c r="AO4304" s="175">
        <v>59</v>
      </c>
      <c r="AP4304" s="175">
        <v>56</v>
      </c>
      <c r="AQ4304" s="175">
        <v>4</v>
      </c>
      <c r="AR4304" s="175">
        <v>1</v>
      </c>
      <c r="AS4304" s="175">
        <v>5</v>
      </c>
      <c r="AT4304" s="175">
        <v>3</v>
      </c>
    </row>
    <row r="4305" spans="1:46">
      <c r="A4305">
        <v>80016</v>
      </c>
      <c r="B4305" t="s">
        <v>23361</v>
      </c>
      <c r="C4305" t="s">
        <v>23362</v>
      </c>
      <c r="D4305" t="s">
        <v>23363</v>
      </c>
      <c r="E4305" t="s">
        <v>23364</v>
      </c>
      <c r="G4305" t="s">
        <v>3514</v>
      </c>
      <c r="H4305" t="s">
        <v>449</v>
      </c>
      <c r="J4305" t="s">
        <v>605</v>
      </c>
      <c r="K4305" t="s">
        <v>606</v>
      </c>
      <c r="M4305" t="s">
        <v>2366</v>
      </c>
      <c r="N4305" t="s">
        <v>657</v>
      </c>
      <c r="O4305" t="s">
        <v>3455</v>
      </c>
      <c r="P4305" t="s">
        <v>739</v>
      </c>
      <c r="Q4305" t="s">
        <v>522</v>
      </c>
      <c r="R4305" t="s">
        <v>3410</v>
      </c>
      <c r="S4305" t="s">
        <v>3454</v>
      </c>
      <c r="T4305" t="s">
        <v>2526</v>
      </c>
      <c r="U4305">
        <v>352701</v>
      </c>
      <c r="V4305" t="s">
        <v>3514</v>
      </c>
      <c r="W4305" t="s">
        <v>1734</v>
      </c>
      <c r="X4305" t="s">
        <v>23329</v>
      </c>
      <c r="Y4305" t="s">
        <v>23328</v>
      </c>
      <c r="Z4305" t="s">
        <v>3466</v>
      </c>
      <c r="AA4305" t="s">
        <v>15856</v>
      </c>
      <c r="AB4305" t="s">
        <v>23326</v>
      </c>
      <c r="AC4305">
        <v>99208</v>
      </c>
      <c r="AD4305" t="s">
        <v>3500</v>
      </c>
      <c r="AE4305">
        <v>-45.819722800000001</v>
      </c>
      <c r="AF4305">
        <v>170.61678491000001</v>
      </c>
      <c r="AG4305" s="175">
        <v>35</v>
      </c>
      <c r="AH4305" s="175">
        <v>15</v>
      </c>
      <c r="AI4305" s="175">
        <v>1</v>
      </c>
      <c r="AJ4305" s="175">
        <v>9</v>
      </c>
      <c r="AK4305" s="175">
        <v>10</v>
      </c>
      <c r="AL4305" s="175">
        <v>9</v>
      </c>
      <c r="AM4305" s="175">
        <v>6</v>
      </c>
      <c r="AN4305" s="175">
        <v>0</v>
      </c>
      <c r="AO4305" s="175">
        <v>35</v>
      </c>
      <c r="AP4305" s="175">
        <v>33</v>
      </c>
      <c r="AQ4305" s="175">
        <v>3</v>
      </c>
      <c r="AR4305" s="175">
        <v>1</v>
      </c>
      <c r="AS4305" s="175">
        <v>0</v>
      </c>
      <c r="AT4305" s="175">
        <v>2</v>
      </c>
    </row>
    <row r="4306" spans="1:46">
      <c r="A4306">
        <v>80017</v>
      </c>
      <c r="B4306" t="s">
        <v>23365</v>
      </c>
      <c r="C4306" t="s">
        <v>23366</v>
      </c>
      <c r="D4306" t="s">
        <v>23367</v>
      </c>
      <c r="E4306" t="s">
        <v>20178</v>
      </c>
      <c r="G4306" t="s">
        <v>23368</v>
      </c>
      <c r="H4306" t="s">
        <v>452</v>
      </c>
      <c r="J4306" t="s">
        <v>605</v>
      </c>
      <c r="K4306" t="s">
        <v>606</v>
      </c>
      <c r="M4306" t="s">
        <v>2366</v>
      </c>
      <c r="N4306" t="s">
        <v>657</v>
      </c>
      <c r="O4306" t="s">
        <v>3598</v>
      </c>
      <c r="P4306" t="s">
        <v>658</v>
      </c>
      <c r="Q4306" t="s">
        <v>523</v>
      </c>
      <c r="R4306" t="s">
        <v>3410</v>
      </c>
      <c r="S4306" t="s">
        <v>3433</v>
      </c>
      <c r="T4306" t="s">
        <v>2526</v>
      </c>
      <c r="U4306">
        <v>358400</v>
      </c>
      <c r="V4306" t="s">
        <v>23369</v>
      </c>
      <c r="W4306" t="s">
        <v>3646</v>
      </c>
      <c r="X4306" t="s">
        <v>3570</v>
      </c>
      <c r="Y4306" t="s">
        <v>3571</v>
      </c>
      <c r="Z4306" t="s">
        <v>3569</v>
      </c>
      <c r="AA4306" t="s">
        <v>3572</v>
      </c>
      <c r="AB4306" t="s">
        <v>3573</v>
      </c>
      <c r="AE4306">
        <v>-46.151653699999997</v>
      </c>
      <c r="AF4306">
        <v>168.15060781</v>
      </c>
      <c r="AG4306" s="175">
        <v>33</v>
      </c>
      <c r="AH4306" s="175">
        <v>0</v>
      </c>
      <c r="AI4306" s="175">
        <v>0</v>
      </c>
      <c r="AJ4306" s="175">
        <v>0</v>
      </c>
      <c r="AK4306" s="175">
        <v>0</v>
      </c>
      <c r="AL4306" s="175">
        <v>12</v>
      </c>
      <c r="AM4306" s="175">
        <v>31</v>
      </c>
      <c r="AN4306" s="175">
        <v>0</v>
      </c>
      <c r="AO4306" s="175">
        <v>43</v>
      </c>
      <c r="AP4306" s="175">
        <v>37</v>
      </c>
      <c r="AQ4306" s="175">
        <v>4</v>
      </c>
      <c r="AR4306" s="175">
        <v>1</v>
      </c>
      <c r="AS4306" s="175">
        <v>5</v>
      </c>
      <c r="AT4306" s="175">
        <v>1</v>
      </c>
    </row>
    <row r="4307" spans="1:46">
      <c r="A4307">
        <v>80019</v>
      </c>
      <c r="B4307" t="s">
        <v>23370</v>
      </c>
      <c r="C4307" t="s">
        <v>23371</v>
      </c>
      <c r="D4307" t="s">
        <v>23372</v>
      </c>
      <c r="E4307" t="s">
        <v>23373</v>
      </c>
      <c r="G4307" t="s">
        <v>23374</v>
      </c>
      <c r="H4307" t="s">
        <v>452</v>
      </c>
      <c r="J4307" t="s">
        <v>605</v>
      </c>
      <c r="K4307" t="s">
        <v>606</v>
      </c>
      <c r="M4307" t="s">
        <v>2366</v>
      </c>
      <c r="N4307" t="s">
        <v>657</v>
      </c>
      <c r="O4307" t="s">
        <v>3598</v>
      </c>
      <c r="P4307" t="s">
        <v>626</v>
      </c>
      <c r="Q4307" t="s">
        <v>523</v>
      </c>
      <c r="R4307" t="s">
        <v>3410</v>
      </c>
      <c r="S4307" t="s">
        <v>3569</v>
      </c>
      <c r="T4307" t="s">
        <v>2526</v>
      </c>
      <c r="U4307">
        <v>359100</v>
      </c>
      <c r="V4307" t="s">
        <v>22030</v>
      </c>
      <c r="W4307" t="s">
        <v>22031</v>
      </c>
      <c r="X4307" t="s">
        <v>3570</v>
      </c>
      <c r="Y4307" t="s">
        <v>3571</v>
      </c>
      <c r="Z4307" t="s">
        <v>3569</v>
      </c>
      <c r="AA4307" t="s">
        <v>3572</v>
      </c>
      <c r="AB4307" t="s">
        <v>3573</v>
      </c>
      <c r="AE4307">
        <v>-46.370431750000002</v>
      </c>
      <c r="AF4307">
        <v>168.52048679999999</v>
      </c>
      <c r="AG4307" s="175">
        <v>40</v>
      </c>
      <c r="AH4307" s="175">
        <v>0</v>
      </c>
      <c r="AI4307" s="175">
        <v>0</v>
      </c>
      <c r="AJ4307" s="175">
        <v>0</v>
      </c>
      <c r="AK4307" s="175">
        <v>1</v>
      </c>
      <c r="AL4307" s="175">
        <v>10</v>
      </c>
      <c r="AM4307" s="175">
        <v>25</v>
      </c>
      <c r="AN4307" s="175">
        <v>3</v>
      </c>
      <c r="AO4307" s="175">
        <v>39</v>
      </c>
      <c r="AP4307" s="175">
        <v>31</v>
      </c>
      <c r="AQ4307" s="175">
        <v>2</v>
      </c>
      <c r="AR4307" s="175">
        <v>0</v>
      </c>
      <c r="AS4307" s="175">
        <v>7</v>
      </c>
      <c r="AT4307" s="175">
        <v>1</v>
      </c>
    </row>
    <row r="4308" spans="1:46">
      <c r="A4308">
        <v>80020</v>
      </c>
      <c r="B4308" t="s">
        <v>23375</v>
      </c>
      <c r="C4308" t="s">
        <v>23376</v>
      </c>
      <c r="D4308" t="s">
        <v>23377</v>
      </c>
      <c r="E4308" t="s">
        <v>23378</v>
      </c>
      <c r="G4308" t="s">
        <v>3542</v>
      </c>
      <c r="H4308" t="s">
        <v>449</v>
      </c>
      <c r="J4308" t="s">
        <v>605</v>
      </c>
      <c r="K4308" t="s">
        <v>606</v>
      </c>
      <c r="M4308" t="s">
        <v>2366</v>
      </c>
      <c r="N4308" t="s">
        <v>657</v>
      </c>
      <c r="O4308" t="s">
        <v>3455</v>
      </c>
      <c r="P4308" t="s">
        <v>1347</v>
      </c>
      <c r="Q4308" t="s">
        <v>522</v>
      </c>
      <c r="R4308" t="s">
        <v>3410</v>
      </c>
      <c r="S4308" t="s">
        <v>3456</v>
      </c>
      <c r="T4308" t="s">
        <v>2526</v>
      </c>
      <c r="U4308">
        <v>349700</v>
      </c>
      <c r="V4308" t="s">
        <v>23379</v>
      </c>
      <c r="W4308" t="s">
        <v>1734</v>
      </c>
      <c r="X4308" t="s">
        <v>11148</v>
      </c>
      <c r="Y4308" t="s">
        <v>4014</v>
      </c>
      <c r="Z4308" t="s">
        <v>4015</v>
      </c>
      <c r="AA4308" t="s">
        <v>4016</v>
      </c>
      <c r="AE4308">
        <v>-45.875739719999999</v>
      </c>
      <c r="AF4308">
        <v>170.34069916000001</v>
      </c>
      <c r="AG4308" s="175">
        <v>55</v>
      </c>
      <c r="AH4308" s="175">
        <v>15</v>
      </c>
      <c r="AI4308" s="175">
        <v>2</v>
      </c>
      <c r="AJ4308" s="175">
        <v>12</v>
      </c>
      <c r="AK4308" s="175">
        <v>20</v>
      </c>
      <c r="AL4308" s="175">
        <v>16</v>
      </c>
      <c r="AM4308" s="175">
        <v>18</v>
      </c>
      <c r="AN4308" s="175">
        <v>1</v>
      </c>
      <c r="AO4308" s="175">
        <v>69</v>
      </c>
      <c r="AP4308" s="175">
        <v>58</v>
      </c>
      <c r="AQ4308" s="175">
        <v>19</v>
      </c>
      <c r="AR4308" s="175">
        <v>6</v>
      </c>
      <c r="AS4308" s="175">
        <v>5</v>
      </c>
      <c r="AT4308" s="175">
        <v>4</v>
      </c>
    </row>
    <row r="4309" spans="1:46">
      <c r="A4309">
        <v>80021</v>
      </c>
      <c r="B4309" t="s">
        <v>23380</v>
      </c>
      <c r="C4309" t="s">
        <v>23381</v>
      </c>
      <c r="D4309" t="s">
        <v>23382</v>
      </c>
      <c r="E4309" t="s">
        <v>23383</v>
      </c>
      <c r="F4309" t="s">
        <v>3498</v>
      </c>
      <c r="G4309" t="s">
        <v>3454</v>
      </c>
      <c r="H4309" t="s">
        <v>449</v>
      </c>
      <c r="I4309" t="s">
        <v>4134</v>
      </c>
      <c r="J4309" t="s">
        <v>605</v>
      </c>
      <c r="K4309" t="s">
        <v>606</v>
      </c>
      <c r="M4309" t="s">
        <v>2366</v>
      </c>
      <c r="N4309" t="s">
        <v>657</v>
      </c>
      <c r="O4309" t="s">
        <v>3455</v>
      </c>
      <c r="P4309" t="s">
        <v>739</v>
      </c>
      <c r="Q4309" t="s">
        <v>522</v>
      </c>
      <c r="R4309" t="s">
        <v>3410</v>
      </c>
      <c r="S4309" t="s">
        <v>3454</v>
      </c>
      <c r="T4309" t="s">
        <v>2526</v>
      </c>
      <c r="U4309">
        <v>352000</v>
      </c>
      <c r="V4309" t="s">
        <v>23384</v>
      </c>
      <c r="W4309" t="s">
        <v>1734</v>
      </c>
      <c r="X4309" t="s">
        <v>11148</v>
      </c>
      <c r="Y4309" t="s">
        <v>4014</v>
      </c>
      <c r="Z4309" t="s">
        <v>4015</v>
      </c>
      <c r="AA4309" t="s">
        <v>4016</v>
      </c>
      <c r="AE4309">
        <v>-45.852247409999997</v>
      </c>
      <c r="AF4309">
        <v>170.52361794999999</v>
      </c>
      <c r="AG4309" s="175">
        <v>70</v>
      </c>
      <c r="AH4309" s="175">
        <v>16</v>
      </c>
      <c r="AI4309" s="175">
        <v>4</v>
      </c>
      <c r="AJ4309" s="175">
        <v>15</v>
      </c>
      <c r="AK4309" s="175">
        <v>13</v>
      </c>
      <c r="AL4309" s="175">
        <v>23</v>
      </c>
      <c r="AM4309" s="175">
        <v>20</v>
      </c>
      <c r="AN4309" s="175">
        <v>1</v>
      </c>
      <c r="AO4309" s="175">
        <v>76</v>
      </c>
      <c r="AP4309" s="175">
        <v>48</v>
      </c>
      <c r="AQ4309" s="175">
        <v>10</v>
      </c>
      <c r="AR4309" s="175">
        <v>4</v>
      </c>
      <c r="AS4309" s="175">
        <v>27</v>
      </c>
      <c r="AT4309" s="175">
        <v>4</v>
      </c>
    </row>
    <row r="4310" spans="1:46">
      <c r="A4310">
        <v>80024</v>
      </c>
      <c r="B4310" t="s">
        <v>23385</v>
      </c>
      <c r="C4310" t="s">
        <v>23386</v>
      </c>
      <c r="D4310" t="s">
        <v>23387</v>
      </c>
      <c r="E4310" t="s">
        <v>23388</v>
      </c>
      <c r="G4310" t="s">
        <v>23389</v>
      </c>
      <c r="H4310" t="s">
        <v>449</v>
      </c>
      <c r="J4310" t="s">
        <v>4032</v>
      </c>
      <c r="K4310" t="s">
        <v>606</v>
      </c>
      <c r="M4310" t="s">
        <v>2366</v>
      </c>
      <c r="N4310" t="s">
        <v>657</v>
      </c>
      <c r="O4310" t="s">
        <v>3598</v>
      </c>
      <c r="P4310" t="s">
        <v>658</v>
      </c>
      <c r="Q4310" t="s">
        <v>523</v>
      </c>
      <c r="R4310" t="s">
        <v>3410</v>
      </c>
      <c r="S4310" t="s">
        <v>3569</v>
      </c>
      <c r="T4310" t="s">
        <v>2526</v>
      </c>
      <c r="U4310">
        <v>358700</v>
      </c>
      <c r="V4310" t="s">
        <v>23389</v>
      </c>
      <c r="W4310" t="s">
        <v>3662</v>
      </c>
      <c r="X4310" t="s">
        <v>22152</v>
      </c>
      <c r="Y4310" t="s">
        <v>22151</v>
      </c>
      <c r="AA4310" t="s">
        <v>22154</v>
      </c>
      <c r="AB4310" t="s">
        <v>22155</v>
      </c>
      <c r="AE4310">
        <v>-46.294264390000002</v>
      </c>
      <c r="AF4310">
        <v>168.24521179000001</v>
      </c>
      <c r="AG4310" s="175">
        <v>19</v>
      </c>
      <c r="AH4310" s="175">
        <v>0</v>
      </c>
      <c r="AI4310" s="175">
        <v>0</v>
      </c>
      <c r="AJ4310" s="175">
        <v>0</v>
      </c>
      <c r="AK4310" s="175">
        <v>6</v>
      </c>
      <c r="AL4310" s="175">
        <v>11</v>
      </c>
      <c r="AM4310" s="175">
        <v>6</v>
      </c>
      <c r="AN4310" s="175">
        <v>1</v>
      </c>
      <c r="AO4310" s="175">
        <v>24</v>
      </c>
      <c r="AP4310" s="175">
        <v>22</v>
      </c>
      <c r="AQ4310" s="175">
        <v>3</v>
      </c>
      <c r="AR4310" s="175">
        <v>0</v>
      </c>
      <c r="AS4310" s="175">
        <v>2</v>
      </c>
      <c r="AT4310" s="175">
        <v>0</v>
      </c>
    </row>
    <row r="4311" spans="1:46">
      <c r="A4311">
        <v>80026</v>
      </c>
      <c r="B4311" t="s">
        <v>23390</v>
      </c>
      <c r="C4311" t="s">
        <v>23391</v>
      </c>
      <c r="D4311" t="s">
        <v>23392</v>
      </c>
      <c r="E4311" t="s">
        <v>23393</v>
      </c>
      <c r="F4311" t="s">
        <v>14367</v>
      </c>
      <c r="G4311" t="s">
        <v>3454</v>
      </c>
      <c r="H4311" t="s">
        <v>449</v>
      </c>
      <c r="J4311" t="s">
        <v>4032</v>
      </c>
      <c r="K4311" t="s">
        <v>606</v>
      </c>
      <c r="M4311" t="s">
        <v>2366</v>
      </c>
      <c r="N4311" t="s">
        <v>657</v>
      </c>
      <c r="O4311" t="s">
        <v>3455</v>
      </c>
      <c r="P4311" t="s">
        <v>739</v>
      </c>
      <c r="Q4311" t="s">
        <v>522</v>
      </c>
      <c r="R4311" t="s">
        <v>3410</v>
      </c>
      <c r="S4311" t="s">
        <v>3454</v>
      </c>
      <c r="T4311" t="s">
        <v>2526</v>
      </c>
      <c r="U4311">
        <v>352900</v>
      </c>
      <c r="V4311" t="s">
        <v>23394</v>
      </c>
      <c r="W4311" t="s">
        <v>1734</v>
      </c>
      <c r="X4311" t="s">
        <v>23395</v>
      </c>
      <c r="Y4311" t="s">
        <v>23396</v>
      </c>
      <c r="AA4311" t="s">
        <v>15856</v>
      </c>
      <c r="AE4311">
        <v>-45.874284809999999</v>
      </c>
      <c r="AF4311">
        <v>170.49385090999999</v>
      </c>
      <c r="AG4311" s="175">
        <v>60</v>
      </c>
      <c r="AH4311" s="175">
        <v>29</v>
      </c>
      <c r="AI4311" s="175">
        <v>5</v>
      </c>
      <c r="AJ4311" s="175">
        <v>12</v>
      </c>
      <c r="AK4311" s="175">
        <v>15</v>
      </c>
      <c r="AL4311" s="175">
        <v>9</v>
      </c>
      <c r="AM4311" s="175">
        <v>6</v>
      </c>
      <c r="AN4311" s="175">
        <v>0</v>
      </c>
      <c r="AO4311" s="175">
        <v>47</v>
      </c>
      <c r="AP4311" s="175">
        <v>41</v>
      </c>
      <c r="AQ4311" s="175">
        <v>3</v>
      </c>
      <c r="AR4311" s="175">
        <v>2</v>
      </c>
      <c r="AS4311" s="175">
        <v>10</v>
      </c>
      <c r="AT4311" s="175">
        <v>4</v>
      </c>
    </row>
    <row r="4312" spans="1:46">
      <c r="A4312">
        <v>80034</v>
      </c>
      <c r="B4312" t="s">
        <v>23397</v>
      </c>
      <c r="C4312" t="s">
        <v>23398</v>
      </c>
      <c r="D4312" t="s">
        <v>23399</v>
      </c>
      <c r="E4312" t="s">
        <v>23400</v>
      </c>
      <c r="G4312" t="s">
        <v>23401</v>
      </c>
      <c r="H4312" t="s">
        <v>449</v>
      </c>
      <c r="J4312" t="s">
        <v>605</v>
      </c>
      <c r="K4312" t="s">
        <v>606</v>
      </c>
      <c r="M4312" t="s">
        <v>2366</v>
      </c>
      <c r="N4312" t="s">
        <v>657</v>
      </c>
      <c r="O4312" t="s">
        <v>3432</v>
      </c>
      <c r="P4312" t="s">
        <v>626</v>
      </c>
      <c r="Q4312" t="s">
        <v>522</v>
      </c>
      <c r="R4312" t="s">
        <v>3410</v>
      </c>
      <c r="S4312" t="s">
        <v>3433</v>
      </c>
      <c r="T4312" t="s">
        <v>2526</v>
      </c>
      <c r="U4312">
        <v>345800</v>
      </c>
      <c r="V4312" t="s">
        <v>23402</v>
      </c>
      <c r="W4312" t="s">
        <v>23403</v>
      </c>
      <c r="X4312" t="s">
        <v>23404</v>
      </c>
      <c r="Y4312" t="s">
        <v>23400</v>
      </c>
      <c r="AA4312" t="s">
        <v>23405</v>
      </c>
      <c r="AB4312" t="s">
        <v>23406</v>
      </c>
      <c r="AC4312">
        <v>99049</v>
      </c>
      <c r="AD4312" t="s">
        <v>3436</v>
      </c>
      <c r="AE4312">
        <v>-45.540529759999998</v>
      </c>
      <c r="AF4312">
        <v>169.31600219000001</v>
      </c>
      <c r="AG4312" s="175">
        <v>30</v>
      </c>
      <c r="AH4312" s="175">
        <v>6</v>
      </c>
      <c r="AI4312" s="175">
        <v>1</v>
      </c>
      <c r="AJ4312" s="175">
        <v>5</v>
      </c>
      <c r="AK4312" s="175">
        <v>5</v>
      </c>
      <c r="AL4312" s="175">
        <v>13</v>
      </c>
      <c r="AM4312" s="175">
        <v>8</v>
      </c>
      <c r="AN4312" s="175">
        <v>0</v>
      </c>
      <c r="AO4312" s="175">
        <v>32</v>
      </c>
      <c r="AP4312" s="175">
        <v>24</v>
      </c>
      <c r="AQ4312" s="175">
        <v>9</v>
      </c>
      <c r="AR4312" s="175">
        <v>0</v>
      </c>
      <c r="AS4312" s="175">
        <v>1</v>
      </c>
      <c r="AT4312" s="175">
        <v>4</v>
      </c>
    </row>
    <row r="4313" spans="1:46">
      <c r="A4313">
        <v>80037</v>
      </c>
      <c r="B4313" t="s">
        <v>23407</v>
      </c>
      <c r="C4313" t="s">
        <v>23408</v>
      </c>
      <c r="D4313" t="s">
        <v>23409</v>
      </c>
      <c r="E4313" t="s">
        <v>23410</v>
      </c>
      <c r="G4313" t="s">
        <v>3441</v>
      </c>
      <c r="H4313" t="s">
        <v>449</v>
      </c>
      <c r="J4313" t="s">
        <v>605</v>
      </c>
      <c r="K4313" t="s">
        <v>606</v>
      </c>
      <c r="M4313" t="s">
        <v>2366</v>
      </c>
      <c r="N4313" t="s">
        <v>657</v>
      </c>
      <c r="O4313" t="s">
        <v>3432</v>
      </c>
      <c r="P4313" t="s">
        <v>610</v>
      </c>
      <c r="Q4313" t="s">
        <v>522</v>
      </c>
      <c r="R4313" t="s">
        <v>3410</v>
      </c>
      <c r="S4313" t="s">
        <v>3323</v>
      </c>
      <c r="T4313" t="s">
        <v>2526</v>
      </c>
      <c r="U4313">
        <v>345000</v>
      </c>
      <c r="V4313" t="s">
        <v>18841</v>
      </c>
      <c r="W4313" t="s">
        <v>3443</v>
      </c>
      <c r="X4313" t="s">
        <v>23411</v>
      </c>
      <c r="Y4313" t="s">
        <v>23410</v>
      </c>
      <c r="AA4313" t="s">
        <v>15167</v>
      </c>
      <c r="AB4313" t="s">
        <v>23412</v>
      </c>
      <c r="AC4313">
        <v>99046</v>
      </c>
      <c r="AD4313" t="s">
        <v>3444</v>
      </c>
      <c r="AE4313">
        <v>-45.047115750000003</v>
      </c>
      <c r="AF4313">
        <v>169.20361749</v>
      </c>
      <c r="AG4313" s="175">
        <v>41</v>
      </c>
      <c r="AH4313" s="175">
        <v>0</v>
      </c>
      <c r="AI4313" s="175">
        <v>0</v>
      </c>
      <c r="AJ4313" s="175">
        <v>0</v>
      </c>
      <c r="AK4313" s="175">
        <v>12</v>
      </c>
      <c r="AL4313" s="175">
        <v>14</v>
      </c>
      <c r="AM4313" s="175">
        <v>24</v>
      </c>
      <c r="AN4313" s="175">
        <v>0</v>
      </c>
      <c r="AO4313" s="175">
        <v>50</v>
      </c>
      <c r="AP4313" s="175">
        <v>46</v>
      </c>
      <c r="AQ4313" s="175">
        <v>7</v>
      </c>
      <c r="AR4313" s="175">
        <v>3</v>
      </c>
      <c r="AS4313" s="175">
        <v>2</v>
      </c>
      <c r="AT4313" s="175">
        <v>3</v>
      </c>
    </row>
    <row r="4314" spans="1:46">
      <c r="A4314">
        <v>80044</v>
      </c>
      <c r="B4314" t="s">
        <v>23413</v>
      </c>
      <c r="C4314" t="s">
        <v>23414</v>
      </c>
      <c r="D4314" t="s">
        <v>23415</v>
      </c>
      <c r="E4314" t="s">
        <v>23416</v>
      </c>
      <c r="G4314" t="s">
        <v>3552</v>
      </c>
      <c r="H4314" t="s">
        <v>449</v>
      </c>
      <c r="J4314" t="s">
        <v>605</v>
      </c>
      <c r="K4314" t="s">
        <v>606</v>
      </c>
      <c r="M4314" t="s">
        <v>2366</v>
      </c>
      <c r="N4314" t="s">
        <v>657</v>
      </c>
      <c r="O4314" t="s">
        <v>3553</v>
      </c>
      <c r="P4314" t="s">
        <v>610</v>
      </c>
      <c r="Q4314" t="s">
        <v>522</v>
      </c>
      <c r="R4314" t="s">
        <v>3410</v>
      </c>
      <c r="S4314" t="s">
        <v>3456</v>
      </c>
      <c r="T4314" t="s">
        <v>2526</v>
      </c>
      <c r="U4314">
        <v>356500</v>
      </c>
      <c r="V4314" t="s">
        <v>3554</v>
      </c>
      <c r="W4314" t="s">
        <v>3555</v>
      </c>
      <c r="X4314" t="s">
        <v>12827</v>
      </c>
      <c r="Y4314" t="s">
        <v>4014</v>
      </c>
      <c r="Z4314" t="s">
        <v>4015</v>
      </c>
      <c r="AA4314" t="s">
        <v>4016</v>
      </c>
      <c r="AB4314" t="s">
        <v>12828</v>
      </c>
      <c r="AC4314">
        <v>99080</v>
      </c>
      <c r="AD4314" t="s">
        <v>3558</v>
      </c>
      <c r="AE4314">
        <v>-46.240407019999999</v>
      </c>
      <c r="AF4314">
        <v>169.73080138</v>
      </c>
      <c r="AG4314" s="175">
        <v>50</v>
      </c>
      <c r="AH4314" s="175">
        <v>10</v>
      </c>
      <c r="AI4314" s="175">
        <v>3</v>
      </c>
      <c r="AJ4314" s="175">
        <v>6</v>
      </c>
      <c r="AK4314" s="175">
        <v>10</v>
      </c>
      <c r="AL4314" s="175">
        <v>10</v>
      </c>
      <c r="AM4314" s="175">
        <v>11</v>
      </c>
      <c r="AN4314" s="175">
        <v>0</v>
      </c>
      <c r="AO4314" s="175">
        <v>40</v>
      </c>
      <c r="AP4314" s="175">
        <v>23</v>
      </c>
      <c r="AQ4314" s="175">
        <v>14</v>
      </c>
      <c r="AR4314" s="175">
        <v>2</v>
      </c>
      <c r="AS4314" s="175">
        <v>3</v>
      </c>
      <c r="AT4314" s="175">
        <v>6</v>
      </c>
    </row>
    <row r="4315" spans="1:46">
      <c r="A4315">
        <v>80047</v>
      </c>
      <c r="B4315" t="s">
        <v>23417</v>
      </c>
      <c r="C4315" t="s">
        <v>23418</v>
      </c>
      <c r="D4315" t="s">
        <v>23419</v>
      </c>
      <c r="E4315" t="s">
        <v>23420</v>
      </c>
      <c r="G4315" t="s">
        <v>3569</v>
      </c>
      <c r="H4315" t="s">
        <v>450</v>
      </c>
      <c r="J4315" t="s">
        <v>4032</v>
      </c>
      <c r="K4315" t="s">
        <v>606</v>
      </c>
      <c r="M4315" t="s">
        <v>2366</v>
      </c>
      <c r="N4315" t="s">
        <v>657</v>
      </c>
      <c r="O4315" t="s">
        <v>3568</v>
      </c>
      <c r="P4315" t="s">
        <v>670</v>
      </c>
      <c r="Q4315" t="s">
        <v>523</v>
      </c>
      <c r="R4315" t="s">
        <v>3410</v>
      </c>
      <c r="S4315" t="s">
        <v>3569</v>
      </c>
      <c r="T4315" t="s">
        <v>2526</v>
      </c>
      <c r="U4315">
        <v>363001</v>
      </c>
      <c r="V4315" t="s">
        <v>21929</v>
      </c>
      <c r="W4315" t="s">
        <v>1734</v>
      </c>
      <c r="X4315" t="s">
        <v>23421</v>
      </c>
      <c r="Y4315" t="s">
        <v>23420</v>
      </c>
      <c r="Z4315" t="s">
        <v>23422</v>
      </c>
      <c r="AA4315" t="s">
        <v>15675</v>
      </c>
      <c r="AB4315" t="s">
        <v>23423</v>
      </c>
      <c r="AE4315">
        <v>-46.434294289999997</v>
      </c>
      <c r="AF4315">
        <v>168.35118265</v>
      </c>
      <c r="AG4315" s="175">
        <v>80</v>
      </c>
      <c r="AH4315" s="175">
        <v>80</v>
      </c>
      <c r="AI4315" s="175">
        <v>1</v>
      </c>
      <c r="AJ4315" s="175">
        <v>16</v>
      </c>
      <c r="AK4315" s="175">
        <v>15</v>
      </c>
      <c r="AL4315" s="175">
        <v>17</v>
      </c>
      <c r="AM4315" s="175">
        <v>14</v>
      </c>
      <c r="AN4315" s="175">
        <v>2</v>
      </c>
      <c r="AO4315" s="175">
        <v>65</v>
      </c>
      <c r="AP4315" s="175">
        <v>54</v>
      </c>
      <c r="AQ4315" s="175">
        <v>14</v>
      </c>
      <c r="AR4315" s="175">
        <v>1</v>
      </c>
      <c r="AS4315" s="175">
        <v>8</v>
      </c>
      <c r="AT4315" s="175">
        <v>1</v>
      </c>
    </row>
    <row r="4316" spans="1:46">
      <c r="A4316">
        <v>80049</v>
      </c>
      <c r="B4316" t="s">
        <v>23424</v>
      </c>
      <c r="C4316" t="s">
        <v>23425</v>
      </c>
      <c r="D4316" t="s">
        <v>23426</v>
      </c>
      <c r="E4316" t="s">
        <v>23427</v>
      </c>
      <c r="F4316" t="s">
        <v>11346</v>
      </c>
      <c r="G4316" t="s">
        <v>3569</v>
      </c>
      <c r="H4316" t="s">
        <v>449</v>
      </c>
      <c r="J4316" t="s">
        <v>605</v>
      </c>
      <c r="K4316" t="s">
        <v>606</v>
      </c>
      <c r="M4316" t="s">
        <v>2366</v>
      </c>
      <c r="N4316" t="s">
        <v>657</v>
      </c>
      <c r="O4316" t="s">
        <v>3568</v>
      </c>
      <c r="P4316" t="s">
        <v>670</v>
      </c>
      <c r="Q4316" t="s">
        <v>523</v>
      </c>
      <c r="R4316" t="s">
        <v>3410</v>
      </c>
      <c r="S4316" t="s">
        <v>3569</v>
      </c>
      <c r="T4316" t="s">
        <v>2526</v>
      </c>
      <c r="U4316">
        <v>361300</v>
      </c>
      <c r="V4316" t="s">
        <v>13988</v>
      </c>
      <c r="W4316" t="s">
        <v>1734</v>
      </c>
      <c r="X4316" t="s">
        <v>12827</v>
      </c>
      <c r="Y4316" t="s">
        <v>4014</v>
      </c>
      <c r="Z4316" t="s">
        <v>4015</v>
      </c>
      <c r="AA4316" t="s">
        <v>4016</v>
      </c>
      <c r="AB4316" t="s">
        <v>12828</v>
      </c>
      <c r="AE4316">
        <v>-46.403291500000002</v>
      </c>
      <c r="AF4316">
        <v>168.3507233</v>
      </c>
      <c r="AG4316" s="175">
        <v>42</v>
      </c>
      <c r="AH4316" s="175">
        <v>0</v>
      </c>
      <c r="AI4316" s="175">
        <v>0</v>
      </c>
      <c r="AJ4316" s="175">
        <v>0</v>
      </c>
      <c r="AK4316" s="175">
        <v>4</v>
      </c>
      <c r="AL4316" s="175">
        <v>12</v>
      </c>
      <c r="AM4316" s="175">
        <v>19</v>
      </c>
      <c r="AN4316" s="175">
        <v>0</v>
      </c>
      <c r="AO4316" s="175">
        <v>35</v>
      </c>
      <c r="AP4316" s="175">
        <v>17</v>
      </c>
      <c r="AQ4316" s="175">
        <v>6</v>
      </c>
      <c r="AR4316" s="175">
        <v>3</v>
      </c>
      <c r="AS4316" s="175">
        <v>15</v>
      </c>
      <c r="AT4316" s="175">
        <v>6</v>
      </c>
    </row>
    <row r="4317" spans="1:46">
      <c r="A4317">
        <v>80050</v>
      </c>
      <c r="B4317" t="s">
        <v>23428</v>
      </c>
      <c r="C4317" t="s">
        <v>23429</v>
      </c>
      <c r="D4317" t="s">
        <v>23430</v>
      </c>
      <c r="E4317" t="s">
        <v>23431</v>
      </c>
      <c r="G4317" t="s">
        <v>3431</v>
      </c>
      <c r="H4317" t="s">
        <v>449</v>
      </c>
      <c r="J4317" t="s">
        <v>4032</v>
      </c>
      <c r="K4317" t="s">
        <v>606</v>
      </c>
      <c r="M4317" t="s">
        <v>2366</v>
      </c>
      <c r="N4317" t="s">
        <v>657</v>
      </c>
      <c r="O4317" t="s">
        <v>3432</v>
      </c>
      <c r="P4317" t="s">
        <v>610</v>
      </c>
      <c r="Q4317" t="s">
        <v>522</v>
      </c>
      <c r="R4317" t="s">
        <v>3410</v>
      </c>
      <c r="S4317" t="s">
        <v>3433</v>
      </c>
      <c r="T4317" t="s">
        <v>2526</v>
      </c>
      <c r="U4317">
        <v>345500</v>
      </c>
      <c r="V4317" t="s">
        <v>3449</v>
      </c>
      <c r="W4317" t="s">
        <v>3435</v>
      </c>
      <c r="X4317" t="s">
        <v>23432</v>
      </c>
      <c r="Y4317" t="s">
        <v>23431</v>
      </c>
      <c r="AA4317" t="s">
        <v>23433</v>
      </c>
      <c r="AC4317">
        <v>99049</v>
      </c>
      <c r="AD4317" t="s">
        <v>3436</v>
      </c>
      <c r="AE4317">
        <v>-45.24505276</v>
      </c>
      <c r="AF4317">
        <v>169.39680078000001</v>
      </c>
      <c r="AG4317" s="175">
        <v>40</v>
      </c>
      <c r="AH4317" s="175">
        <v>10</v>
      </c>
      <c r="AI4317" s="175">
        <v>2</v>
      </c>
      <c r="AJ4317" s="175">
        <v>9</v>
      </c>
      <c r="AK4317" s="175">
        <v>16</v>
      </c>
      <c r="AL4317" s="175">
        <v>13</v>
      </c>
      <c r="AM4317" s="175">
        <v>15</v>
      </c>
      <c r="AN4317" s="175">
        <v>0</v>
      </c>
      <c r="AO4317" s="175">
        <v>55</v>
      </c>
      <c r="AP4317" s="175">
        <v>45</v>
      </c>
      <c r="AQ4317" s="175">
        <v>12</v>
      </c>
      <c r="AR4317" s="175">
        <v>2</v>
      </c>
      <c r="AS4317" s="175">
        <v>2</v>
      </c>
      <c r="AT4317" s="175">
        <v>6</v>
      </c>
    </row>
    <row r="4318" spans="1:46">
      <c r="A4318">
        <v>80051</v>
      </c>
      <c r="B4318" t="s">
        <v>23434</v>
      </c>
      <c r="C4318" t="s">
        <v>23435</v>
      </c>
      <c r="D4318" t="s">
        <v>23436</v>
      </c>
      <c r="E4318" t="s">
        <v>23437</v>
      </c>
      <c r="G4318" t="s">
        <v>3441</v>
      </c>
      <c r="H4318" t="s">
        <v>449</v>
      </c>
      <c r="J4318" t="s">
        <v>605</v>
      </c>
      <c r="K4318" t="s">
        <v>606</v>
      </c>
      <c r="M4318" t="s">
        <v>2366</v>
      </c>
      <c r="N4318" t="s">
        <v>657</v>
      </c>
      <c r="O4318" t="s">
        <v>3432</v>
      </c>
      <c r="P4318" t="s">
        <v>610</v>
      </c>
      <c r="Q4318" t="s">
        <v>522</v>
      </c>
      <c r="R4318" t="s">
        <v>3410</v>
      </c>
      <c r="S4318" t="s">
        <v>3323</v>
      </c>
      <c r="T4318" t="s">
        <v>2526</v>
      </c>
      <c r="U4318">
        <v>344900</v>
      </c>
      <c r="V4318" t="s">
        <v>3442</v>
      </c>
      <c r="W4318" t="s">
        <v>3443</v>
      </c>
      <c r="X4318" t="s">
        <v>23438</v>
      </c>
      <c r="Y4318" t="s">
        <v>6434</v>
      </c>
      <c r="Z4318" t="s">
        <v>4622</v>
      </c>
      <c r="AA4318" t="s">
        <v>4623</v>
      </c>
      <c r="AC4318">
        <v>99046</v>
      </c>
      <c r="AD4318" t="s">
        <v>3444</v>
      </c>
      <c r="AE4318">
        <v>-45.042991100000002</v>
      </c>
      <c r="AF4318">
        <v>169.1869504</v>
      </c>
      <c r="AG4318" s="175">
        <v>44</v>
      </c>
      <c r="AH4318" s="175">
        <v>12</v>
      </c>
      <c r="AI4318" s="175">
        <v>5</v>
      </c>
      <c r="AJ4318" s="175">
        <v>9</v>
      </c>
      <c r="AK4318" s="175">
        <v>12</v>
      </c>
      <c r="AL4318" s="175">
        <v>14</v>
      </c>
      <c r="AM4318" s="175">
        <v>14</v>
      </c>
      <c r="AN4318" s="175">
        <v>0</v>
      </c>
      <c r="AO4318" s="175">
        <v>54</v>
      </c>
      <c r="AP4318" s="175">
        <v>49</v>
      </c>
      <c r="AQ4318" s="175">
        <v>10</v>
      </c>
      <c r="AR4318" s="175">
        <v>2</v>
      </c>
      <c r="AS4318" s="175">
        <v>3</v>
      </c>
      <c r="AT4318" s="175">
        <v>3</v>
      </c>
    </row>
    <row r="4319" spans="1:46">
      <c r="A4319">
        <v>80052</v>
      </c>
      <c r="B4319" t="s">
        <v>23439</v>
      </c>
      <c r="C4319" t="s">
        <v>23440</v>
      </c>
      <c r="E4319" t="s">
        <v>23441</v>
      </c>
      <c r="G4319" t="s">
        <v>3997</v>
      </c>
      <c r="H4319" t="s">
        <v>449</v>
      </c>
      <c r="J4319" t="s">
        <v>605</v>
      </c>
      <c r="K4319" t="s">
        <v>606</v>
      </c>
      <c r="M4319" t="s">
        <v>2366</v>
      </c>
      <c r="N4319" t="s">
        <v>4586</v>
      </c>
      <c r="O4319" t="s">
        <v>3906</v>
      </c>
      <c r="P4319" t="s">
        <v>1347</v>
      </c>
      <c r="Q4319" t="s">
        <v>522</v>
      </c>
      <c r="R4319" t="s">
        <v>3410</v>
      </c>
      <c r="S4319" t="s">
        <v>3433</v>
      </c>
      <c r="T4319" t="s">
        <v>2526</v>
      </c>
      <c r="U4319">
        <v>348000</v>
      </c>
      <c r="V4319" t="s">
        <v>23442</v>
      </c>
      <c r="W4319" t="s">
        <v>3908</v>
      </c>
      <c r="X4319" t="s">
        <v>23443</v>
      </c>
      <c r="Y4319" t="s">
        <v>23444</v>
      </c>
      <c r="AA4319" t="s">
        <v>23445</v>
      </c>
      <c r="AB4319" t="s">
        <v>23446</v>
      </c>
      <c r="AE4319">
        <v>-45.01301196</v>
      </c>
      <c r="AF4319">
        <v>168.73563113</v>
      </c>
      <c r="AG4319" s="175">
        <v>73</v>
      </c>
      <c r="AH4319" s="175">
        <v>15</v>
      </c>
      <c r="AI4319" s="175">
        <v>7</v>
      </c>
      <c r="AJ4319" s="175">
        <v>10</v>
      </c>
      <c r="AK4319" s="175">
        <v>19</v>
      </c>
      <c r="AL4319" s="175">
        <v>21</v>
      </c>
      <c r="AM4319" s="175">
        <v>16</v>
      </c>
      <c r="AN4319" s="175">
        <v>1</v>
      </c>
      <c r="AO4319" s="175">
        <v>74</v>
      </c>
      <c r="AP4319" s="175">
        <v>46</v>
      </c>
      <c r="AQ4319" s="175">
        <v>6</v>
      </c>
      <c r="AR4319" s="175">
        <v>3</v>
      </c>
      <c r="AS4319" s="175">
        <v>18</v>
      </c>
      <c r="AT4319" s="175">
        <v>20</v>
      </c>
    </row>
    <row r="4320" spans="1:46">
      <c r="A4320">
        <v>80053</v>
      </c>
      <c r="B4320" t="s">
        <v>23447</v>
      </c>
      <c r="C4320" t="s">
        <v>8920</v>
      </c>
      <c r="D4320" t="s">
        <v>23448</v>
      </c>
      <c r="E4320" t="s">
        <v>23449</v>
      </c>
      <c r="F4320" t="s">
        <v>14367</v>
      </c>
      <c r="G4320" t="s">
        <v>3454</v>
      </c>
      <c r="H4320" t="s">
        <v>450</v>
      </c>
      <c r="J4320" t="s">
        <v>4032</v>
      </c>
      <c r="K4320" t="s">
        <v>606</v>
      </c>
      <c r="M4320" t="s">
        <v>2366</v>
      </c>
      <c r="N4320" t="s">
        <v>657</v>
      </c>
      <c r="O4320" t="s">
        <v>3455</v>
      </c>
      <c r="P4320" t="s">
        <v>739</v>
      </c>
      <c r="Q4320" t="s">
        <v>522</v>
      </c>
      <c r="R4320" t="s">
        <v>3410</v>
      </c>
      <c r="S4320" t="s">
        <v>3454</v>
      </c>
      <c r="T4320" t="s">
        <v>2526</v>
      </c>
      <c r="U4320">
        <v>353400</v>
      </c>
      <c r="V4320" t="s">
        <v>14367</v>
      </c>
      <c r="W4320" t="s">
        <v>1734</v>
      </c>
      <c r="X4320" t="s">
        <v>23450</v>
      </c>
      <c r="Y4320" t="s">
        <v>8465</v>
      </c>
      <c r="AA4320" t="s">
        <v>8468</v>
      </c>
      <c r="AB4320" t="s">
        <v>23451</v>
      </c>
      <c r="AE4320">
        <v>-45.881583849999998</v>
      </c>
      <c r="AF4320">
        <v>170.50237770999999</v>
      </c>
      <c r="AG4320" s="175">
        <v>50</v>
      </c>
      <c r="AH4320" s="175">
        <v>50</v>
      </c>
      <c r="AI4320" s="175">
        <v>1</v>
      </c>
      <c r="AJ4320" s="175">
        <v>7</v>
      </c>
      <c r="AK4320" s="175">
        <v>16</v>
      </c>
      <c r="AL4320" s="175">
        <v>7</v>
      </c>
      <c r="AM4320" s="175">
        <v>3</v>
      </c>
      <c r="AN4320" s="175">
        <v>0</v>
      </c>
      <c r="AO4320" s="175">
        <v>34</v>
      </c>
      <c r="AP4320" s="175">
        <v>27</v>
      </c>
      <c r="AQ4320" s="175">
        <v>7</v>
      </c>
      <c r="AR4320" s="175">
        <v>0</v>
      </c>
      <c r="AS4320" s="175">
        <v>0</v>
      </c>
      <c r="AT4320" s="175">
        <v>4</v>
      </c>
    </row>
    <row r="4321" spans="1:46">
      <c r="A4321">
        <v>80056</v>
      </c>
      <c r="B4321" t="s">
        <v>23452</v>
      </c>
      <c r="C4321" t="s">
        <v>23391</v>
      </c>
      <c r="D4321" t="s">
        <v>23392</v>
      </c>
      <c r="E4321" t="s">
        <v>23393</v>
      </c>
      <c r="F4321" t="s">
        <v>14367</v>
      </c>
      <c r="G4321" t="s">
        <v>3454</v>
      </c>
      <c r="H4321" t="s">
        <v>449</v>
      </c>
      <c r="J4321" t="s">
        <v>4032</v>
      </c>
      <c r="K4321" t="s">
        <v>606</v>
      </c>
      <c r="M4321" t="s">
        <v>2366</v>
      </c>
      <c r="N4321" t="s">
        <v>657</v>
      </c>
      <c r="O4321" t="s">
        <v>3455</v>
      </c>
      <c r="P4321" t="s">
        <v>739</v>
      </c>
      <c r="Q4321" t="s">
        <v>522</v>
      </c>
      <c r="R4321" t="s">
        <v>3410</v>
      </c>
      <c r="S4321" t="s">
        <v>3454</v>
      </c>
      <c r="T4321" t="s">
        <v>2526</v>
      </c>
      <c r="U4321">
        <v>352900</v>
      </c>
      <c r="V4321" t="s">
        <v>23394</v>
      </c>
      <c r="W4321" t="s">
        <v>1734</v>
      </c>
      <c r="X4321" t="s">
        <v>23395</v>
      </c>
      <c r="Y4321" t="s">
        <v>23396</v>
      </c>
      <c r="AA4321" t="s">
        <v>15856</v>
      </c>
      <c r="AE4321">
        <v>-45.874318899999999</v>
      </c>
      <c r="AF4321">
        <v>170.49385011999999</v>
      </c>
      <c r="AG4321" s="175">
        <v>58</v>
      </c>
      <c r="AH4321" s="175">
        <v>0</v>
      </c>
      <c r="AI4321" s="175">
        <v>0</v>
      </c>
      <c r="AJ4321" s="175">
        <v>0</v>
      </c>
      <c r="AK4321" s="175">
        <v>5</v>
      </c>
      <c r="AL4321" s="175">
        <v>24</v>
      </c>
      <c r="AM4321" s="175">
        <v>14</v>
      </c>
      <c r="AN4321" s="175">
        <v>0</v>
      </c>
      <c r="AO4321" s="175">
        <v>43</v>
      </c>
      <c r="AP4321" s="175">
        <v>32</v>
      </c>
      <c r="AQ4321" s="175">
        <v>3</v>
      </c>
      <c r="AR4321" s="175">
        <v>2</v>
      </c>
      <c r="AS4321" s="175">
        <v>10</v>
      </c>
      <c r="AT4321" s="175">
        <v>5</v>
      </c>
    </row>
    <row r="4322" spans="1:46">
      <c r="A4322">
        <v>80057</v>
      </c>
      <c r="B4322" t="s">
        <v>23453</v>
      </c>
      <c r="C4322" t="s">
        <v>23454</v>
      </c>
      <c r="D4322" t="s">
        <v>23455</v>
      </c>
      <c r="E4322" t="s">
        <v>23456</v>
      </c>
      <c r="F4322" t="s">
        <v>3518</v>
      </c>
      <c r="G4322" t="s">
        <v>3454</v>
      </c>
      <c r="H4322" t="s">
        <v>449</v>
      </c>
      <c r="J4322" t="s">
        <v>4032</v>
      </c>
      <c r="K4322" t="s">
        <v>606</v>
      </c>
      <c r="M4322" t="s">
        <v>2366</v>
      </c>
      <c r="N4322" t="s">
        <v>657</v>
      </c>
      <c r="O4322" t="s">
        <v>3455</v>
      </c>
      <c r="P4322" t="s">
        <v>739</v>
      </c>
      <c r="Q4322" t="s">
        <v>522</v>
      </c>
      <c r="R4322" t="s">
        <v>3410</v>
      </c>
      <c r="S4322" t="s">
        <v>3456</v>
      </c>
      <c r="T4322" t="s">
        <v>2526</v>
      </c>
      <c r="U4322">
        <v>354600</v>
      </c>
      <c r="V4322" t="s">
        <v>3494</v>
      </c>
      <c r="W4322" t="s">
        <v>1734</v>
      </c>
      <c r="X4322" t="s">
        <v>23457</v>
      </c>
      <c r="Y4322" t="s">
        <v>23458</v>
      </c>
      <c r="Z4322" t="s">
        <v>3518</v>
      </c>
      <c r="AA4322" t="s">
        <v>23459</v>
      </c>
      <c r="AB4322" t="s">
        <v>23454</v>
      </c>
      <c r="AE4322">
        <v>-45.90223443</v>
      </c>
      <c r="AF4322">
        <v>170.48749330000001</v>
      </c>
      <c r="AG4322" s="175">
        <v>25</v>
      </c>
      <c r="AH4322" s="175">
        <v>25</v>
      </c>
      <c r="AI4322" s="175">
        <v>2</v>
      </c>
      <c r="AJ4322" s="175">
        <v>18</v>
      </c>
      <c r="AK4322" s="175">
        <v>2</v>
      </c>
      <c r="AL4322" s="175">
        <v>0</v>
      </c>
      <c r="AM4322" s="175">
        <v>0</v>
      </c>
      <c r="AN4322" s="175">
        <v>0</v>
      </c>
      <c r="AO4322" s="175">
        <v>22</v>
      </c>
      <c r="AP4322" s="175">
        <v>17</v>
      </c>
      <c r="AQ4322" s="175">
        <v>1</v>
      </c>
      <c r="AR4322" s="175">
        <v>1</v>
      </c>
      <c r="AS4322" s="175">
        <v>2</v>
      </c>
      <c r="AT4322" s="175">
        <v>3</v>
      </c>
    </row>
    <row r="4323" spans="1:46">
      <c r="A4323">
        <v>80058</v>
      </c>
      <c r="B4323" t="s">
        <v>23460</v>
      </c>
      <c r="C4323" t="s">
        <v>23461</v>
      </c>
      <c r="D4323" t="s">
        <v>23462</v>
      </c>
      <c r="E4323" t="s">
        <v>23463</v>
      </c>
      <c r="F4323" t="s">
        <v>3522</v>
      </c>
      <c r="G4323" t="s">
        <v>3454</v>
      </c>
      <c r="H4323" t="s">
        <v>449</v>
      </c>
      <c r="J4323" t="s">
        <v>4032</v>
      </c>
      <c r="K4323" t="s">
        <v>606</v>
      </c>
      <c r="M4323" t="s">
        <v>2366</v>
      </c>
      <c r="N4323" t="s">
        <v>657</v>
      </c>
      <c r="O4323" t="s">
        <v>3455</v>
      </c>
      <c r="P4323" t="s">
        <v>739</v>
      </c>
      <c r="Q4323" t="s">
        <v>522</v>
      </c>
      <c r="R4323" t="s">
        <v>3410</v>
      </c>
      <c r="S4323" t="s">
        <v>3456</v>
      </c>
      <c r="T4323" t="s">
        <v>2526</v>
      </c>
      <c r="U4323">
        <v>354200</v>
      </c>
      <c r="V4323" t="s">
        <v>3522</v>
      </c>
      <c r="W4323" t="s">
        <v>1734</v>
      </c>
      <c r="X4323" t="s">
        <v>23464</v>
      </c>
      <c r="Y4323" t="s">
        <v>23465</v>
      </c>
      <c r="Z4323" t="s">
        <v>3522</v>
      </c>
      <c r="AA4323" t="s">
        <v>3460</v>
      </c>
      <c r="AB4323" t="s">
        <v>23466</v>
      </c>
      <c r="AE4323">
        <v>-45.894703849999999</v>
      </c>
      <c r="AF4323">
        <v>170.48436651</v>
      </c>
      <c r="AG4323" s="175">
        <v>57</v>
      </c>
      <c r="AH4323" s="175">
        <v>20</v>
      </c>
      <c r="AI4323" s="175">
        <v>4</v>
      </c>
      <c r="AJ4323" s="175">
        <v>7</v>
      </c>
      <c r="AK4323" s="175">
        <v>4</v>
      </c>
      <c r="AL4323" s="175">
        <v>15</v>
      </c>
      <c r="AM4323" s="175">
        <v>9</v>
      </c>
      <c r="AN4323" s="175">
        <v>0</v>
      </c>
      <c r="AO4323" s="175">
        <v>39</v>
      </c>
      <c r="AP4323" s="175">
        <v>27</v>
      </c>
      <c r="AQ4323" s="175">
        <v>9</v>
      </c>
      <c r="AR4323" s="175">
        <v>7</v>
      </c>
      <c r="AS4323" s="175">
        <v>3</v>
      </c>
      <c r="AT4323" s="175">
        <v>4</v>
      </c>
    </row>
    <row r="4324" spans="1:46">
      <c r="A4324">
        <v>80060</v>
      </c>
      <c r="B4324" t="s">
        <v>23467</v>
      </c>
      <c r="C4324" t="s">
        <v>23468</v>
      </c>
      <c r="D4324" t="s">
        <v>23469</v>
      </c>
      <c r="E4324" t="s">
        <v>23470</v>
      </c>
      <c r="G4324" t="s">
        <v>23471</v>
      </c>
      <c r="H4324" t="s">
        <v>452</v>
      </c>
      <c r="J4324" t="s">
        <v>605</v>
      </c>
      <c r="K4324" t="s">
        <v>606</v>
      </c>
      <c r="M4324" t="s">
        <v>2366</v>
      </c>
      <c r="N4324" t="s">
        <v>657</v>
      </c>
      <c r="O4324" t="s">
        <v>3906</v>
      </c>
      <c r="P4324" t="s">
        <v>626</v>
      </c>
      <c r="Q4324" t="s">
        <v>522</v>
      </c>
      <c r="R4324" t="s">
        <v>3410</v>
      </c>
      <c r="S4324" t="s">
        <v>3323</v>
      </c>
      <c r="T4324" t="s">
        <v>2526</v>
      </c>
      <c r="U4324">
        <v>347201</v>
      </c>
      <c r="V4324" t="s">
        <v>23472</v>
      </c>
      <c r="W4324" t="s">
        <v>11257</v>
      </c>
      <c r="X4324" t="s">
        <v>3021</v>
      </c>
      <c r="Y4324" t="s">
        <v>3022</v>
      </c>
      <c r="Z4324" t="s">
        <v>3023</v>
      </c>
      <c r="AA4324" t="s">
        <v>3024</v>
      </c>
      <c r="AB4324" t="s">
        <v>3025</v>
      </c>
      <c r="AE4324">
        <v>-44.653683489999999</v>
      </c>
      <c r="AF4324">
        <v>169.28893375000001</v>
      </c>
      <c r="AG4324" s="175">
        <v>40</v>
      </c>
      <c r="AH4324" s="175">
        <v>0</v>
      </c>
      <c r="AI4324" s="175">
        <v>0</v>
      </c>
      <c r="AJ4324" s="175">
        <v>0</v>
      </c>
      <c r="AK4324" s="175">
        <v>0</v>
      </c>
      <c r="AL4324" s="175">
        <v>13</v>
      </c>
      <c r="AM4324" s="175">
        <v>32</v>
      </c>
      <c r="AN4324" s="175">
        <v>4</v>
      </c>
      <c r="AO4324" s="175">
        <v>49</v>
      </c>
      <c r="AP4324" s="175">
        <v>45</v>
      </c>
      <c r="AQ4324" s="175">
        <v>3</v>
      </c>
      <c r="AR4324" s="175">
        <v>0</v>
      </c>
      <c r="AS4324" s="175">
        <v>1</v>
      </c>
      <c r="AT4324" s="175">
        <v>1</v>
      </c>
    </row>
    <row r="4325" spans="1:46">
      <c r="A4325">
        <v>80065</v>
      </c>
      <c r="B4325" t="s">
        <v>23473</v>
      </c>
      <c r="C4325" t="s">
        <v>23474</v>
      </c>
      <c r="D4325" t="s">
        <v>23475</v>
      </c>
      <c r="E4325" t="s">
        <v>23476</v>
      </c>
      <c r="G4325" t="s">
        <v>23477</v>
      </c>
      <c r="H4325" t="s">
        <v>449</v>
      </c>
      <c r="J4325" t="s">
        <v>4032</v>
      </c>
      <c r="K4325" t="s">
        <v>606</v>
      </c>
      <c r="M4325" t="s">
        <v>2366</v>
      </c>
      <c r="N4325" t="s">
        <v>657</v>
      </c>
      <c r="O4325" t="s">
        <v>3409</v>
      </c>
      <c r="P4325" t="s">
        <v>626</v>
      </c>
      <c r="Q4325" t="s">
        <v>522</v>
      </c>
      <c r="R4325" t="s">
        <v>3410</v>
      </c>
      <c r="S4325" t="s">
        <v>3323</v>
      </c>
      <c r="T4325" t="s">
        <v>2526</v>
      </c>
      <c r="U4325">
        <v>344700</v>
      </c>
      <c r="V4325" t="s">
        <v>23477</v>
      </c>
      <c r="W4325" t="s">
        <v>23478</v>
      </c>
      <c r="X4325" t="s">
        <v>23479</v>
      </c>
      <c r="Y4325" t="s">
        <v>23480</v>
      </c>
      <c r="AA4325" t="s">
        <v>8726</v>
      </c>
      <c r="AE4325">
        <v>-45.484904049999997</v>
      </c>
      <c r="AF4325">
        <v>170.7137702</v>
      </c>
      <c r="AG4325" s="175">
        <v>50</v>
      </c>
      <c r="AH4325" s="175">
        <v>11</v>
      </c>
      <c r="AI4325" s="175">
        <v>0</v>
      </c>
      <c r="AJ4325" s="175">
        <v>3</v>
      </c>
      <c r="AK4325" s="175">
        <v>5</v>
      </c>
      <c r="AL4325" s="175">
        <v>12</v>
      </c>
      <c r="AM4325" s="175">
        <v>9</v>
      </c>
      <c r="AN4325" s="175">
        <v>0</v>
      </c>
      <c r="AO4325" s="175">
        <v>29</v>
      </c>
      <c r="AP4325" s="175">
        <v>24</v>
      </c>
      <c r="AQ4325" s="175">
        <v>8</v>
      </c>
      <c r="AR4325" s="175">
        <v>1</v>
      </c>
      <c r="AS4325" s="175">
        <v>1</v>
      </c>
      <c r="AT4325" s="175">
        <v>2</v>
      </c>
    </row>
    <row r="4326" spans="1:46">
      <c r="A4326">
        <v>80066</v>
      </c>
      <c r="B4326" t="s">
        <v>23481</v>
      </c>
      <c r="C4326" t="s">
        <v>23482</v>
      </c>
      <c r="E4326" t="s">
        <v>23483</v>
      </c>
      <c r="G4326" t="s">
        <v>3408</v>
      </c>
      <c r="H4326" t="s">
        <v>301</v>
      </c>
      <c r="J4326" t="s">
        <v>605</v>
      </c>
      <c r="K4326" t="s">
        <v>606</v>
      </c>
      <c r="M4326" t="s">
        <v>2366</v>
      </c>
      <c r="N4326" t="s">
        <v>643</v>
      </c>
      <c r="O4326" t="s">
        <v>3409</v>
      </c>
      <c r="P4326" t="s">
        <v>1347</v>
      </c>
      <c r="Q4326" t="s">
        <v>522</v>
      </c>
      <c r="R4326" t="s">
        <v>3410</v>
      </c>
      <c r="S4326" t="s">
        <v>3323</v>
      </c>
      <c r="T4326" t="s">
        <v>2526</v>
      </c>
      <c r="U4326">
        <v>344200</v>
      </c>
      <c r="V4326" t="s">
        <v>13561</v>
      </c>
      <c r="W4326" t="s">
        <v>3412</v>
      </c>
      <c r="X4326" t="s">
        <v>17751</v>
      </c>
      <c r="Y4326" t="s">
        <v>5253</v>
      </c>
      <c r="AA4326" t="s">
        <v>5254</v>
      </c>
      <c r="AB4326" t="s">
        <v>12818</v>
      </c>
      <c r="AE4326">
        <v>-45.089920190000001</v>
      </c>
      <c r="AF4326">
        <v>170.97821175999999</v>
      </c>
      <c r="AG4326" s="175">
        <v>25</v>
      </c>
      <c r="AH4326" s="175">
        <v>15</v>
      </c>
      <c r="AI4326" s="175">
        <v>5</v>
      </c>
      <c r="AJ4326" s="175">
        <v>2</v>
      </c>
      <c r="AK4326" s="175">
        <v>0</v>
      </c>
      <c r="AL4326" s="175">
        <v>0</v>
      </c>
      <c r="AM4326" s="175">
        <v>0</v>
      </c>
      <c r="AN4326" s="175">
        <v>0</v>
      </c>
      <c r="AO4326" s="175">
        <v>7</v>
      </c>
      <c r="AP4326" s="175">
        <v>6</v>
      </c>
      <c r="AQ4326" s="175">
        <v>0</v>
      </c>
      <c r="AR4326" s="175">
        <v>0</v>
      </c>
      <c r="AS4326" s="175">
        <v>1</v>
      </c>
      <c r="AT4326" s="175">
        <v>0</v>
      </c>
    </row>
    <row r="4327" spans="1:46">
      <c r="A4327">
        <v>80067</v>
      </c>
      <c r="B4327" t="s">
        <v>23484</v>
      </c>
      <c r="C4327" t="s">
        <v>23485</v>
      </c>
      <c r="D4327" t="s">
        <v>23486</v>
      </c>
      <c r="E4327" t="s">
        <v>23487</v>
      </c>
      <c r="G4327" t="s">
        <v>23488</v>
      </c>
      <c r="H4327" t="s">
        <v>449</v>
      </c>
      <c r="J4327" t="s">
        <v>605</v>
      </c>
      <c r="K4327" t="s">
        <v>606</v>
      </c>
      <c r="M4327" t="s">
        <v>2366</v>
      </c>
      <c r="N4327" t="s">
        <v>657</v>
      </c>
      <c r="O4327" t="s">
        <v>3553</v>
      </c>
      <c r="P4327" t="s">
        <v>626</v>
      </c>
      <c r="Q4327" t="s">
        <v>522</v>
      </c>
      <c r="R4327" t="s">
        <v>3410</v>
      </c>
      <c r="S4327" t="s">
        <v>3433</v>
      </c>
      <c r="T4327" t="s">
        <v>2526</v>
      </c>
      <c r="U4327">
        <v>355800</v>
      </c>
      <c r="V4327" t="s">
        <v>23489</v>
      </c>
      <c r="W4327" t="s">
        <v>23490</v>
      </c>
      <c r="X4327" t="s">
        <v>23491</v>
      </c>
      <c r="Y4327" t="s">
        <v>23487</v>
      </c>
      <c r="AA4327" t="s">
        <v>23492</v>
      </c>
      <c r="AB4327" t="s">
        <v>23485</v>
      </c>
      <c r="AC4327">
        <v>99144</v>
      </c>
      <c r="AD4327" t="s">
        <v>23493</v>
      </c>
      <c r="AE4327">
        <v>-45.942990539999997</v>
      </c>
      <c r="AF4327">
        <v>169.26016921999999</v>
      </c>
      <c r="AG4327" s="175">
        <v>30</v>
      </c>
      <c r="AH4327" s="175">
        <v>0</v>
      </c>
      <c r="AI4327" s="175">
        <v>0</v>
      </c>
      <c r="AJ4327" s="175">
        <v>0</v>
      </c>
      <c r="AK4327" s="175">
        <v>12</v>
      </c>
      <c r="AL4327" s="175">
        <v>16</v>
      </c>
      <c r="AM4327" s="175">
        <v>19</v>
      </c>
      <c r="AN4327" s="175">
        <v>0</v>
      </c>
      <c r="AO4327" s="175">
        <v>47</v>
      </c>
      <c r="AP4327" s="175">
        <v>40</v>
      </c>
      <c r="AQ4327" s="175">
        <v>9</v>
      </c>
      <c r="AR4327" s="175">
        <v>0</v>
      </c>
      <c r="AS4327" s="175">
        <v>4</v>
      </c>
      <c r="AT4327" s="175">
        <v>0</v>
      </c>
    </row>
    <row r="4328" spans="1:46">
      <c r="A4328">
        <v>80069</v>
      </c>
      <c r="B4328" t="s">
        <v>23494</v>
      </c>
      <c r="C4328" t="s">
        <v>23495</v>
      </c>
      <c r="D4328" t="s">
        <v>23496</v>
      </c>
      <c r="E4328" t="s">
        <v>23497</v>
      </c>
      <c r="G4328" t="s">
        <v>11255</v>
      </c>
      <c r="H4328" t="s">
        <v>448</v>
      </c>
      <c r="J4328" t="s">
        <v>4032</v>
      </c>
      <c r="K4328" t="s">
        <v>606</v>
      </c>
      <c r="M4328" t="s">
        <v>2366</v>
      </c>
      <c r="N4328" t="s">
        <v>4586</v>
      </c>
      <c r="O4328" t="s">
        <v>3906</v>
      </c>
      <c r="P4328" t="s">
        <v>658</v>
      </c>
      <c r="Q4328" t="s">
        <v>522</v>
      </c>
      <c r="R4328" t="s">
        <v>3410</v>
      </c>
      <c r="S4328" t="s">
        <v>3323</v>
      </c>
      <c r="T4328" t="s">
        <v>2526</v>
      </c>
      <c r="U4328">
        <v>346400</v>
      </c>
      <c r="V4328" t="s">
        <v>23498</v>
      </c>
      <c r="W4328" t="s">
        <v>11257</v>
      </c>
      <c r="X4328" t="s">
        <v>23499</v>
      </c>
      <c r="Y4328" t="s">
        <v>9552</v>
      </c>
      <c r="AA4328" t="s">
        <v>23500</v>
      </c>
      <c r="AB4328" t="s">
        <v>23501</v>
      </c>
      <c r="AE4328">
        <v>-44.867291799999997</v>
      </c>
      <c r="AF4328">
        <v>169.01605491999999</v>
      </c>
      <c r="AG4328" s="175">
        <v>0</v>
      </c>
      <c r="AH4328" s="175">
        <v>0</v>
      </c>
      <c r="AI4328" s="175"/>
      <c r="AJ4328" s="175"/>
      <c r="AK4328" s="175"/>
      <c r="AL4328" s="175"/>
      <c r="AM4328" s="175"/>
      <c r="AN4328" s="175"/>
      <c r="AO4328" s="175"/>
      <c r="AP4328" s="175"/>
      <c r="AQ4328" s="175"/>
      <c r="AR4328" s="175"/>
      <c r="AS4328" s="175"/>
    </row>
    <row r="4329" spans="1:46">
      <c r="A4329">
        <v>80070</v>
      </c>
      <c r="B4329" t="s">
        <v>23502</v>
      </c>
      <c r="C4329" t="s">
        <v>13511</v>
      </c>
      <c r="D4329" t="s">
        <v>13512</v>
      </c>
      <c r="E4329" t="s">
        <v>23449</v>
      </c>
      <c r="F4329" t="s">
        <v>14367</v>
      </c>
      <c r="G4329" t="s">
        <v>3454</v>
      </c>
      <c r="H4329" t="s">
        <v>450</v>
      </c>
      <c r="J4329" t="s">
        <v>4032</v>
      </c>
      <c r="K4329" t="s">
        <v>606</v>
      </c>
      <c r="M4329" t="s">
        <v>2366</v>
      </c>
      <c r="N4329" t="s">
        <v>657</v>
      </c>
      <c r="O4329" t="s">
        <v>3455</v>
      </c>
      <c r="P4329" t="s">
        <v>739</v>
      </c>
      <c r="Q4329" t="s">
        <v>522</v>
      </c>
      <c r="R4329" t="s">
        <v>3410</v>
      </c>
      <c r="S4329" t="s">
        <v>3454</v>
      </c>
      <c r="T4329" t="s">
        <v>2526</v>
      </c>
      <c r="U4329">
        <v>353400</v>
      </c>
      <c r="V4329" t="s">
        <v>14367</v>
      </c>
      <c r="W4329" t="s">
        <v>1734</v>
      </c>
      <c r="X4329" t="s">
        <v>23450</v>
      </c>
      <c r="Y4329" t="s">
        <v>8465</v>
      </c>
      <c r="AA4329" t="s">
        <v>8468</v>
      </c>
      <c r="AB4329" t="s">
        <v>23451</v>
      </c>
      <c r="AE4329">
        <v>-45.881563370000002</v>
      </c>
      <c r="AF4329">
        <v>170.50238777000001</v>
      </c>
      <c r="AG4329" s="175">
        <v>50</v>
      </c>
      <c r="AH4329" s="175">
        <v>50</v>
      </c>
      <c r="AI4329" s="175">
        <v>4</v>
      </c>
      <c r="AJ4329" s="175">
        <v>2</v>
      </c>
      <c r="AK4329" s="175">
        <v>2</v>
      </c>
      <c r="AL4329" s="175">
        <v>4</v>
      </c>
      <c r="AM4329" s="175">
        <v>1</v>
      </c>
      <c r="AN4329" s="175">
        <v>0</v>
      </c>
      <c r="AO4329" s="175">
        <v>13</v>
      </c>
      <c r="AP4329" s="175">
        <v>11</v>
      </c>
      <c r="AQ4329" s="175">
        <v>3</v>
      </c>
      <c r="AR4329" s="175">
        <v>1</v>
      </c>
      <c r="AS4329" s="175">
        <v>2</v>
      </c>
      <c r="AT4329" s="175">
        <v>0</v>
      </c>
    </row>
    <row r="4330" spans="1:46">
      <c r="A4330">
        <v>80075</v>
      </c>
      <c r="B4330" t="s">
        <v>23503</v>
      </c>
      <c r="C4330" t="s">
        <v>23504</v>
      </c>
      <c r="D4330" t="s">
        <v>23505</v>
      </c>
      <c r="E4330" t="s">
        <v>23506</v>
      </c>
      <c r="G4330" t="s">
        <v>3441</v>
      </c>
      <c r="H4330" t="s">
        <v>449</v>
      </c>
      <c r="J4330" t="s">
        <v>4032</v>
      </c>
      <c r="K4330" t="s">
        <v>606</v>
      </c>
      <c r="M4330" t="s">
        <v>2366</v>
      </c>
      <c r="N4330" t="s">
        <v>657</v>
      </c>
      <c r="O4330" t="s">
        <v>3432</v>
      </c>
      <c r="P4330" t="s">
        <v>610</v>
      </c>
      <c r="Q4330" t="s">
        <v>522</v>
      </c>
      <c r="R4330" t="s">
        <v>3410</v>
      </c>
      <c r="S4330" t="s">
        <v>3323</v>
      </c>
      <c r="T4330" t="s">
        <v>2526</v>
      </c>
      <c r="U4330">
        <v>344900</v>
      </c>
      <c r="V4330" t="s">
        <v>3442</v>
      </c>
      <c r="W4330" t="s">
        <v>3443</v>
      </c>
      <c r="X4330" t="s">
        <v>23507</v>
      </c>
      <c r="Y4330" t="s">
        <v>4725</v>
      </c>
      <c r="Z4330" t="s">
        <v>1043</v>
      </c>
      <c r="AA4330" t="s">
        <v>4726</v>
      </c>
      <c r="AB4330" t="s">
        <v>23508</v>
      </c>
      <c r="AC4330">
        <v>99046</v>
      </c>
      <c r="AD4330" t="s">
        <v>3444</v>
      </c>
      <c r="AE4330">
        <v>-45.048165050000001</v>
      </c>
      <c r="AF4330">
        <v>169.19531827</v>
      </c>
      <c r="AG4330" s="175">
        <v>56</v>
      </c>
      <c r="AH4330" s="175">
        <v>20</v>
      </c>
      <c r="AI4330" s="175">
        <v>1</v>
      </c>
      <c r="AJ4330" s="175">
        <v>12</v>
      </c>
      <c r="AK4330" s="175">
        <v>13</v>
      </c>
      <c r="AL4330" s="175">
        <v>15</v>
      </c>
      <c r="AM4330" s="175">
        <v>14</v>
      </c>
      <c r="AN4330" s="175">
        <v>1</v>
      </c>
      <c r="AO4330" s="175">
        <v>56</v>
      </c>
      <c r="AP4330" s="175">
        <v>42</v>
      </c>
      <c r="AQ4330" s="175">
        <v>11</v>
      </c>
      <c r="AR4330" s="175">
        <v>0</v>
      </c>
      <c r="AS4330" s="175">
        <v>7</v>
      </c>
      <c r="AT4330" s="175">
        <v>5</v>
      </c>
    </row>
    <row r="4331" spans="1:46">
      <c r="A4331">
        <v>80076</v>
      </c>
      <c r="B4331" t="s">
        <v>23509</v>
      </c>
      <c r="C4331" t="s">
        <v>23510</v>
      </c>
      <c r="E4331" t="s">
        <v>23511</v>
      </c>
      <c r="F4331" t="s">
        <v>3534</v>
      </c>
      <c r="G4331" t="s">
        <v>3454</v>
      </c>
      <c r="H4331" t="s">
        <v>449</v>
      </c>
      <c r="J4331" t="s">
        <v>4032</v>
      </c>
      <c r="K4331" t="s">
        <v>606</v>
      </c>
      <c r="M4331" t="s">
        <v>2366</v>
      </c>
      <c r="N4331" t="s">
        <v>657</v>
      </c>
      <c r="O4331" t="s">
        <v>3455</v>
      </c>
      <c r="P4331" t="s">
        <v>739</v>
      </c>
      <c r="Q4331" t="s">
        <v>522</v>
      </c>
      <c r="R4331" t="s">
        <v>3410</v>
      </c>
      <c r="S4331" t="s">
        <v>3456</v>
      </c>
      <c r="T4331" t="s">
        <v>2526</v>
      </c>
      <c r="U4331">
        <v>355200</v>
      </c>
      <c r="V4331" t="s">
        <v>23512</v>
      </c>
      <c r="W4331" t="s">
        <v>1734</v>
      </c>
      <c r="X4331" t="s">
        <v>23513</v>
      </c>
      <c r="Y4331" t="s">
        <v>4725</v>
      </c>
      <c r="Z4331" t="s">
        <v>1043</v>
      </c>
      <c r="AA4331" t="s">
        <v>4726</v>
      </c>
      <c r="AE4331">
        <v>-45.909236800000002</v>
      </c>
      <c r="AF4331">
        <v>170.49526657000001</v>
      </c>
      <c r="AG4331" s="175">
        <v>100</v>
      </c>
      <c r="AH4331" s="175">
        <v>35</v>
      </c>
      <c r="AI4331" s="175">
        <v>5</v>
      </c>
      <c r="AJ4331" s="175">
        <v>19</v>
      </c>
      <c r="AK4331" s="175">
        <v>26</v>
      </c>
      <c r="AL4331" s="175">
        <v>27</v>
      </c>
      <c r="AM4331" s="175">
        <v>21</v>
      </c>
      <c r="AN4331" s="175">
        <v>0</v>
      </c>
      <c r="AO4331" s="175">
        <v>98</v>
      </c>
      <c r="AP4331" s="175">
        <v>80</v>
      </c>
      <c r="AQ4331" s="175">
        <v>17</v>
      </c>
      <c r="AR4331" s="175">
        <v>4</v>
      </c>
      <c r="AS4331" s="175">
        <v>17</v>
      </c>
      <c r="AT4331" s="175">
        <v>2</v>
      </c>
    </row>
    <row r="4332" spans="1:46">
      <c r="A4332">
        <v>80081</v>
      </c>
      <c r="B4332" t="s">
        <v>23514</v>
      </c>
      <c r="C4332" t="s">
        <v>23515</v>
      </c>
      <c r="D4332" t="s">
        <v>23516</v>
      </c>
      <c r="E4332" t="s">
        <v>23517</v>
      </c>
      <c r="G4332" t="s">
        <v>3542</v>
      </c>
      <c r="H4332" t="s">
        <v>449</v>
      </c>
      <c r="I4332" t="s">
        <v>4134</v>
      </c>
      <c r="J4332" t="s">
        <v>605</v>
      </c>
      <c r="K4332" t="s">
        <v>606</v>
      </c>
      <c r="M4332" t="s">
        <v>2366</v>
      </c>
      <c r="N4332" t="s">
        <v>657</v>
      </c>
      <c r="O4332" t="s">
        <v>3455</v>
      </c>
      <c r="P4332" t="s">
        <v>1347</v>
      </c>
      <c r="Q4332" t="s">
        <v>522</v>
      </c>
      <c r="R4332" t="s">
        <v>3410</v>
      </c>
      <c r="S4332" t="s">
        <v>3456</v>
      </c>
      <c r="T4332" t="s">
        <v>2526</v>
      </c>
      <c r="U4332">
        <v>350000</v>
      </c>
      <c r="V4332" t="s">
        <v>3547</v>
      </c>
      <c r="W4332" t="s">
        <v>1734</v>
      </c>
      <c r="X4332" t="s">
        <v>11148</v>
      </c>
      <c r="Y4332" t="s">
        <v>4014</v>
      </c>
      <c r="Z4332" t="s">
        <v>4015</v>
      </c>
      <c r="AA4332" t="s">
        <v>4016</v>
      </c>
      <c r="AE4332">
        <v>-45.867159299999997</v>
      </c>
      <c r="AF4332">
        <v>170.35578235</v>
      </c>
      <c r="AG4332" s="175">
        <v>70</v>
      </c>
      <c r="AH4332" s="175">
        <v>18</v>
      </c>
      <c r="AI4332" s="175">
        <v>8</v>
      </c>
      <c r="AJ4332" s="175">
        <v>16</v>
      </c>
      <c r="AK4332" s="175">
        <v>18</v>
      </c>
      <c r="AL4332" s="175">
        <v>22</v>
      </c>
      <c r="AM4332" s="175">
        <v>22</v>
      </c>
      <c r="AN4332" s="175">
        <v>0</v>
      </c>
      <c r="AO4332" s="175">
        <v>86</v>
      </c>
      <c r="AP4332" s="175">
        <v>66</v>
      </c>
      <c r="AQ4332" s="175">
        <v>11</v>
      </c>
      <c r="AR4332" s="175">
        <v>2</v>
      </c>
      <c r="AS4332" s="175">
        <v>9</v>
      </c>
      <c r="AT4332" s="175">
        <v>11</v>
      </c>
    </row>
    <row r="4333" spans="1:46">
      <c r="A4333">
        <v>80085</v>
      </c>
      <c r="B4333" t="s">
        <v>23518</v>
      </c>
      <c r="C4333" t="s">
        <v>12517</v>
      </c>
      <c r="E4333" t="s">
        <v>23519</v>
      </c>
      <c r="G4333" t="s">
        <v>3408</v>
      </c>
      <c r="H4333" t="s">
        <v>449</v>
      </c>
      <c r="J4333" t="s">
        <v>4032</v>
      </c>
      <c r="K4333" t="s">
        <v>606</v>
      </c>
      <c r="M4333" t="s">
        <v>2366</v>
      </c>
      <c r="N4333" t="s">
        <v>643</v>
      </c>
      <c r="O4333" t="s">
        <v>3409</v>
      </c>
      <c r="P4333" t="s">
        <v>1347</v>
      </c>
      <c r="Q4333" t="s">
        <v>522</v>
      </c>
      <c r="R4333" t="s">
        <v>3410</v>
      </c>
      <c r="S4333" t="s">
        <v>3323</v>
      </c>
      <c r="T4333" t="s">
        <v>2526</v>
      </c>
      <c r="U4333">
        <v>344200</v>
      </c>
      <c r="V4333" t="s">
        <v>13561</v>
      </c>
      <c r="W4333" t="s">
        <v>3412</v>
      </c>
      <c r="X4333" t="s">
        <v>23520</v>
      </c>
      <c r="Y4333" t="s">
        <v>4725</v>
      </c>
      <c r="Z4333" t="s">
        <v>1043</v>
      </c>
      <c r="AA4333" t="s">
        <v>4726</v>
      </c>
      <c r="AC4333">
        <v>99116</v>
      </c>
      <c r="AD4333" t="s">
        <v>23521</v>
      </c>
      <c r="AE4333">
        <v>-45.090503470000002</v>
      </c>
      <c r="AF4333">
        <v>170.97557065000001</v>
      </c>
      <c r="AG4333" s="175">
        <v>60</v>
      </c>
      <c r="AH4333" s="175">
        <v>20</v>
      </c>
      <c r="AI4333" s="175">
        <v>8</v>
      </c>
      <c r="AJ4333" s="175">
        <v>9</v>
      </c>
      <c r="AK4333" s="175">
        <v>10</v>
      </c>
      <c r="AL4333" s="175">
        <v>14</v>
      </c>
      <c r="AM4333" s="175">
        <v>21</v>
      </c>
      <c r="AN4333" s="175">
        <v>0</v>
      </c>
      <c r="AO4333" s="175">
        <v>62</v>
      </c>
      <c r="AP4333" s="175">
        <v>47</v>
      </c>
      <c r="AQ4333" s="175">
        <v>7</v>
      </c>
      <c r="AR4333" s="175">
        <v>6</v>
      </c>
      <c r="AS4333" s="175">
        <v>11</v>
      </c>
      <c r="AT4333" s="175">
        <v>2</v>
      </c>
    </row>
    <row r="4334" spans="1:46">
      <c r="A4334">
        <v>81001</v>
      </c>
      <c r="B4334" t="s">
        <v>23522</v>
      </c>
      <c r="C4334" t="s">
        <v>23523</v>
      </c>
      <c r="D4334" t="s">
        <v>23524</v>
      </c>
      <c r="E4334" t="s">
        <v>23525</v>
      </c>
      <c r="G4334" t="s">
        <v>3552</v>
      </c>
      <c r="H4334" t="s">
        <v>301</v>
      </c>
      <c r="J4334" t="s">
        <v>605</v>
      </c>
      <c r="K4334" t="s">
        <v>606</v>
      </c>
      <c r="M4334" t="s">
        <v>2366</v>
      </c>
      <c r="N4334" t="s">
        <v>657</v>
      </c>
      <c r="O4334" t="s">
        <v>3553</v>
      </c>
      <c r="P4334" t="s">
        <v>610</v>
      </c>
      <c r="Q4334" t="s">
        <v>522</v>
      </c>
      <c r="R4334" t="s">
        <v>3410</v>
      </c>
      <c r="S4334" t="s">
        <v>3456</v>
      </c>
      <c r="T4334" t="s">
        <v>2526</v>
      </c>
      <c r="U4334">
        <v>356600</v>
      </c>
      <c r="V4334" t="s">
        <v>23526</v>
      </c>
      <c r="W4334" t="s">
        <v>3555</v>
      </c>
      <c r="X4334" t="s">
        <v>17751</v>
      </c>
      <c r="Y4334" t="s">
        <v>5253</v>
      </c>
      <c r="AA4334" t="s">
        <v>5254</v>
      </c>
      <c r="AB4334" t="s">
        <v>12818</v>
      </c>
      <c r="AE4334">
        <v>-46.233420119999998</v>
      </c>
      <c r="AF4334">
        <v>169.75065383</v>
      </c>
      <c r="AG4334" s="175">
        <v>25</v>
      </c>
      <c r="AH4334" s="175">
        <v>15</v>
      </c>
      <c r="AI4334" s="175">
        <v>1</v>
      </c>
      <c r="AJ4334" s="175">
        <v>2</v>
      </c>
      <c r="AK4334" s="175">
        <v>4</v>
      </c>
      <c r="AL4334" s="175">
        <v>2</v>
      </c>
      <c r="AM4334" s="175">
        <v>2</v>
      </c>
      <c r="AN4334" s="175">
        <v>0</v>
      </c>
      <c r="AO4334" s="175">
        <v>11</v>
      </c>
      <c r="AP4334" s="175">
        <v>10</v>
      </c>
      <c r="AQ4334" s="175">
        <v>1</v>
      </c>
      <c r="AR4334" s="175">
        <v>0</v>
      </c>
      <c r="AS4334" s="175">
        <v>0</v>
      </c>
      <c r="AT4334" s="175">
        <v>0</v>
      </c>
    </row>
    <row r="4335" spans="1:46">
      <c r="A4335">
        <v>81002</v>
      </c>
      <c r="B4335" t="s">
        <v>23527</v>
      </c>
      <c r="C4335" t="s">
        <v>23482</v>
      </c>
      <c r="E4335" t="s">
        <v>23528</v>
      </c>
      <c r="G4335" t="s">
        <v>23529</v>
      </c>
      <c r="H4335" t="s">
        <v>301</v>
      </c>
      <c r="J4335" t="s">
        <v>605</v>
      </c>
      <c r="K4335" t="s">
        <v>606</v>
      </c>
      <c r="M4335" t="s">
        <v>2366</v>
      </c>
      <c r="N4335" t="s">
        <v>657</v>
      </c>
      <c r="O4335" t="s">
        <v>3455</v>
      </c>
      <c r="P4335" t="s">
        <v>658</v>
      </c>
      <c r="Q4335" t="s">
        <v>522</v>
      </c>
      <c r="R4335" t="s">
        <v>3410</v>
      </c>
      <c r="S4335" t="s">
        <v>3454</v>
      </c>
      <c r="T4335" t="s">
        <v>2526</v>
      </c>
      <c r="U4335">
        <v>349601</v>
      </c>
      <c r="V4335" t="s">
        <v>23530</v>
      </c>
      <c r="W4335" t="s">
        <v>1734</v>
      </c>
      <c r="X4335" t="s">
        <v>17751</v>
      </c>
      <c r="Y4335" t="s">
        <v>5253</v>
      </c>
      <c r="AA4335" t="s">
        <v>5254</v>
      </c>
      <c r="AB4335" t="s">
        <v>12818</v>
      </c>
      <c r="AE4335">
        <v>-45.755092930000004</v>
      </c>
      <c r="AF4335">
        <v>170.57271978</v>
      </c>
      <c r="AG4335" s="175">
        <v>25</v>
      </c>
      <c r="AH4335" s="175">
        <v>10</v>
      </c>
      <c r="AI4335" s="175">
        <v>0</v>
      </c>
      <c r="AJ4335" s="175">
        <v>1</v>
      </c>
      <c r="AK4335" s="175">
        <v>4</v>
      </c>
      <c r="AL4335" s="175">
        <v>1</v>
      </c>
      <c r="AM4335" s="175">
        <v>1</v>
      </c>
      <c r="AN4335" s="175">
        <v>0</v>
      </c>
      <c r="AO4335" s="175">
        <v>7</v>
      </c>
      <c r="AP4335" s="175">
        <v>6</v>
      </c>
      <c r="AQ4335" s="175">
        <v>3</v>
      </c>
      <c r="AR4335" s="175">
        <v>0</v>
      </c>
      <c r="AS4335" s="175">
        <v>1</v>
      </c>
      <c r="AT4335" s="175">
        <v>0</v>
      </c>
    </row>
    <row r="4336" spans="1:46">
      <c r="A4336">
        <v>81005</v>
      </c>
      <c r="B4336" t="s">
        <v>23531</v>
      </c>
      <c r="C4336" t="s">
        <v>23482</v>
      </c>
      <c r="E4336" t="s">
        <v>23532</v>
      </c>
      <c r="G4336" t="s">
        <v>17562</v>
      </c>
      <c r="H4336" t="s">
        <v>301</v>
      </c>
      <c r="J4336" t="s">
        <v>605</v>
      </c>
      <c r="K4336" t="s">
        <v>606</v>
      </c>
      <c r="M4336" t="s">
        <v>2366</v>
      </c>
      <c r="N4336" t="s">
        <v>657</v>
      </c>
      <c r="O4336" t="s">
        <v>3553</v>
      </c>
      <c r="P4336" t="s">
        <v>626</v>
      </c>
      <c r="Q4336" t="s">
        <v>522</v>
      </c>
      <c r="R4336" t="s">
        <v>3410</v>
      </c>
      <c r="S4336" t="s">
        <v>3433</v>
      </c>
      <c r="T4336" t="s">
        <v>2526</v>
      </c>
      <c r="U4336">
        <v>356000</v>
      </c>
      <c r="V4336" t="s">
        <v>17562</v>
      </c>
      <c r="W4336" t="s">
        <v>17563</v>
      </c>
      <c r="X4336" t="s">
        <v>11140</v>
      </c>
      <c r="Y4336" t="s">
        <v>5253</v>
      </c>
      <c r="AA4336" t="s">
        <v>5254</v>
      </c>
      <c r="AB4336" t="s">
        <v>11141</v>
      </c>
      <c r="AE4336">
        <v>-46.200605979999999</v>
      </c>
      <c r="AF4336">
        <v>169.37635929999999</v>
      </c>
      <c r="AG4336" s="175">
        <v>25</v>
      </c>
      <c r="AH4336" s="175">
        <v>10</v>
      </c>
      <c r="AI4336" s="175">
        <v>2</v>
      </c>
      <c r="AJ4336" s="175">
        <v>0</v>
      </c>
      <c r="AK4336" s="175">
        <v>1</v>
      </c>
      <c r="AL4336" s="175">
        <v>1</v>
      </c>
      <c r="AM4336" s="175">
        <v>2</v>
      </c>
      <c r="AN4336" s="175">
        <v>0</v>
      </c>
      <c r="AO4336" s="175">
        <v>6</v>
      </c>
      <c r="AP4336" s="175">
        <v>6</v>
      </c>
      <c r="AQ4336" s="175">
        <v>0</v>
      </c>
      <c r="AR4336" s="175">
        <v>0</v>
      </c>
      <c r="AS4336" s="175">
        <v>1</v>
      </c>
      <c r="AT4336" s="175">
        <v>0</v>
      </c>
    </row>
    <row r="4337" spans="1:46">
      <c r="A4337">
        <v>81007</v>
      </c>
      <c r="B4337" t="s">
        <v>23533</v>
      </c>
      <c r="C4337" t="s">
        <v>23534</v>
      </c>
      <c r="E4337" t="s">
        <v>23535</v>
      </c>
      <c r="G4337" t="s">
        <v>23536</v>
      </c>
      <c r="H4337" t="s">
        <v>301</v>
      </c>
      <c r="J4337" t="s">
        <v>605</v>
      </c>
      <c r="K4337" t="s">
        <v>606</v>
      </c>
      <c r="M4337" t="s">
        <v>2366</v>
      </c>
      <c r="N4337" t="s">
        <v>657</v>
      </c>
      <c r="O4337" t="s">
        <v>3432</v>
      </c>
      <c r="P4337" t="s">
        <v>610</v>
      </c>
      <c r="Q4337" t="s">
        <v>522</v>
      </c>
      <c r="R4337" t="s">
        <v>3410</v>
      </c>
      <c r="S4337" t="s">
        <v>3433</v>
      </c>
      <c r="T4337" t="s">
        <v>2526</v>
      </c>
      <c r="U4337">
        <v>345400</v>
      </c>
      <c r="V4337" t="s">
        <v>23536</v>
      </c>
      <c r="W4337" t="s">
        <v>3435</v>
      </c>
      <c r="X4337" t="s">
        <v>23537</v>
      </c>
      <c r="Y4337" t="s">
        <v>5253</v>
      </c>
      <c r="AA4337" t="s">
        <v>5254</v>
      </c>
      <c r="AB4337" t="s">
        <v>23538</v>
      </c>
      <c r="AC4337">
        <v>99049</v>
      </c>
      <c r="AD4337" t="s">
        <v>3436</v>
      </c>
      <c r="AE4337">
        <v>-45.1889982</v>
      </c>
      <c r="AF4337">
        <v>169.3227555</v>
      </c>
      <c r="AG4337" s="175">
        <v>30</v>
      </c>
      <c r="AH4337" s="175">
        <v>15</v>
      </c>
      <c r="AI4337" s="175">
        <v>4</v>
      </c>
      <c r="AJ4337" s="175">
        <v>8</v>
      </c>
      <c r="AK4337" s="175">
        <v>5</v>
      </c>
      <c r="AL4337" s="175">
        <v>1</v>
      </c>
      <c r="AM4337" s="175">
        <v>6</v>
      </c>
      <c r="AN4337" s="175">
        <v>0</v>
      </c>
      <c r="AO4337" s="175">
        <v>24</v>
      </c>
      <c r="AP4337" s="175">
        <v>21</v>
      </c>
      <c r="AQ4337" s="175">
        <v>6</v>
      </c>
      <c r="AR4337" s="175">
        <v>0</v>
      </c>
      <c r="AS4337" s="175">
        <v>1</v>
      </c>
      <c r="AT4337" s="175">
        <v>0</v>
      </c>
    </row>
    <row r="4338" spans="1:46">
      <c r="A4338">
        <v>81017</v>
      </c>
      <c r="B4338" t="s">
        <v>23539</v>
      </c>
      <c r="C4338" t="s">
        <v>23482</v>
      </c>
      <c r="E4338" t="s">
        <v>23540</v>
      </c>
      <c r="G4338" t="s">
        <v>3408</v>
      </c>
      <c r="H4338" t="s">
        <v>301</v>
      </c>
      <c r="J4338" t="s">
        <v>605</v>
      </c>
      <c r="K4338" t="s">
        <v>606</v>
      </c>
      <c r="M4338" t="s">
        <v>2366</v>
      </c>
      <c r="N4338" t="s">
        <v>657</v>
      </c>
      <c r="O4338" t="s">
        <v>3409</v>
      </c>
      <c r="P4338" t="s">
        <v>658</v>
      </c>
      <c r="Q4338" t="s">
        <v>522</v>
      </c>
      <c r="R4338" t="s">
        <v>3410</v>
      </c>
      <c r="S4338" t="s">
        <v>3323</v>
      </c>
      <c r="T4338" t="s">
        <v>2526</v>
      </c>
      <c r="U4338">
        <v>343400</v>
      </c>
      <c r="V4338" t="s">
        <v>23541</v>
      </c>
      <c r="W4338" t="s">
        <v>15173</v>
      </c>
      <c r="X4338" t="s">
        <v>17751</v>
      </c>
      <c r="Y4338" t="s">
        <v>5253</v>
      </c>
      <c r="AA4338" t="s">
        <v>5254</v>
      </c>
      <c r="AB4338" t="s">
        <v>12818</v>
      </c>
      <c r="AE4338">
        <v>-44.978329240000001</v>
      </c>
      <c r="AF4338">
        <v>170.95342249999999</v>
      </c>
      <c r="AG4338" s="175">
        <v>25</v>
      </c>
      <c r="AH4338" s="175">
        <v>10</v>
      </c>
      <c r="AI4338" s="175">
        <v>1</v>
      </c>
      <c r="AJ4338" s="175">
        <v>3</v>
      </c>
      <c r="AK4338" s="175">
        <v>2</v>
      </c>
      <c r="AL4338" s="175">
        <v>5</v>
      </c>
      <c r="AM4338" s="175">
        <v>2</v>
      </c>
      <c r="AN4338" s="175">
        <v>1</v>
      </c>
      <c r="AO4338" s="175">
        <v>14</v>
      </c>
      <c r="AP4338" s="175">
        <v>13</v>
      </c>
      <c r="AQ4338" s="175">
        <v>6</v>
      </c>
      <c r="AR4338" s="175">
        <v>0</v>
      </c>
      <c r="AS4338" s="175">
        <v>0</v>
      </c>
      <c r="AT4338" s="175">
        <v>0</v>
      </c>
    </row>
    <row r="4339" spans="1:46">
      <c r="A4339">
        <v>81018</v>
      </c>
      <c r="B4339" t="s">
        <v>23542</v>
      </c>
      <c r="C4339" t="s">
        <v>23482</v>
      </c>
      <c r="E4339" t="s">
        <v>23543</v>
      </c>
      <c r="F4339" t="s">
        <v>23544</v>
      </c>
      <c r="G4339" t="s">
        <v>3454</v>
      </c>
      <c r="H4339" t="s">
        <v>301</v>
      </c>
      <c r="J4339" t="s">
        <v>605</v>
      </c>
      <c r="K4339" t="s">
        <v>606</v>
      </c>
      <c r="M4339" t="s">
        <v>2366</v>
      </c>
      <c r="N4339" t="s">
        <v>657</v>
      </c>
      <c r="O4339" t="s">
        <v>3455</v>
      </c>
      <c r="P4339" t="s">
        <v>739</v>
      </c>
      <c r="Q4339" t="s">
        <v>522</v>
      </c>
      <c r="R4339" t="s">
        <v>3410</v>
      </c>
      <c r="S4339" t="s">
        <v>3454</v>
      </c>
      <c r="T4339" t="s">
        <v>2526</v>
      </c>
      <c r="U4339">
        <v>355000</v>
      </c>
      <c r="V4339" t="s">
        <v>23545</v>
      </c>
      <c r="W4339" t="s">
        <v>1734</v>
      </c>
      <c r="X4339" t="s">
        <v>17751</v>
      </c>
      <c r="Y4339" t="s">
        <v>5253</v>
      </c>
      <c r="AA4339" t="s">
        <v>5254</v>
      </c>
      <c r="AB4339" t="s">
        <v>12818</v>
      </c>
      <c r="AE4339">
        <v>-45.870394589999997</v>
      </c>
      <c r="AF4339">
        <v>170.59797879999999</v>
      </c>
      <c r="AG4339" s="175">
        <v>19</v>
      </c>
      <c r="AH4339" s="175">
        <v>15</v>
      </c>
      <c r="AI4339" s="175">
        <v>1</v>
      </c>
      <c r="AJ4339" s="175">
        <v>3</v>
      </c>
      <c r="AK4339" s="175">
        <v>5</v>
      </c>
      <c r="AL4339" s="175">
        <v>4</v>
      </c>
      <c r="AM4339" s="175">
        <v>8</v>
      </c>
      <c r="AN4339" s="175">
        <v>0</v>
      </c>
      <c r="AO4339" s="175">
        <v>21</v>
      </c>
      <c r="AP4339" s="175">
        <v>20</v>
      </c>
      <c r="AQ4339" s="175">
        <v>4</v>
      </c>
      <c r="AR4339" s="175">
        <v>2</v>
      </c>
      <c r="AS4339" s="175">
        <v>1</v>
      </c>
      <c r="AT4339" s="175">
        <v>1</v>
      </c>
    </row>
    <row r="4340" spans="1:46">
      <c r="A4340">
        <v>81023</v>
      </c>
      <c r="B4340" t="s">
        <v>23546</v>
      </c>
      <c r="C4340" t="s">
        <v>23482</v>
      </c>
      <c r="E4340" t="s">
        <v>23547</v>
      </c>
      <c r="G4340" t="s">
        <v>3454</v>
      </c>
      <c r="H4340" t="s">
        <v>301</v>
      </c>
      <c r="J4340" t="s">
        <v>605</v>
      </c>
      <c r="K4340" t="s">
        <v>606</v>
      </c>
      <c r="M4340" t="s">
        <v>2366</v>
      </c>
      <c r="N4340" t="s">
        <v>657</v>
      </c>
      <c r="O4340" t="s">
        <v>3455</v>
      </c>
      <c r="P4340" t="s">
        <v>739</v>
      </c>
      <c r="Q4340" t="s">
        <v>522</v>
      </c>
      <c r="R4340" t="s">
        <v>3410</v>
      </c>
      <c r="S4340" t="s">
        <v>3454</v>
      </c>
      <c r="T4340" t="s">
        <v>2526</v>
      </c>
      <c r="U4340">
        <v>352300</v>
      </c>
      <c r="V4340" t="s">
        <v>12075</v>
      </c>
      <c r="W4340" t="s">
        <v>1734</v>
      </c>
      <c r="X4340" t="s">
        <v>17751</v>
      </c>
      <c r="Y4340" t="s">
        <v>5253</v>
      </c>
      <c r="AA4340" t="s">
        <v>5254</v>
      </c>
      <c r="AB4340" t="s">
        <v>12818</v>
      </c>
      <c r="AE4340">
        <v>-45.882035479999999</v>
      </c>
      <c r="AF4340">
        <v>170.4753092</v>
      </c>
      <c r="AG4340" s="175">
        <v>25</v>
      </c>
      <c r="AH4340" s="175">
        <v>20</v>
      </c>
      <c r="AI4340" s="175">
        <v>11</v>
      </c>
      <c r="AJ4340" s="175">
        <v>19</v>
      </c>
      <c r="AK4340" s="175">
        <v>6</v>
      </c>
      <c r="AL4340" s="175">
        <v>11</v>
      </c>
      <c r="AM4340" s="175">
        <v>1</v>
      </c>
      <c r="AN4340" s="175">
        <v>0</v>
      </c>
      <c r="AO4340" s="175">
        <v>48</v>
      </c>
      <c r="AP4340" s="175">
        <v>39</v>
      </c>
      <c r="AQ4340" s="175">
        <v>9</v>
      </c>
      <c r="AR4340" s="175">
        <v>5</v>
      </c>
      <c r="AS4340" s="175">
        <v>3</v>
      </c>
      <c r="AT4340" s="175">
        <v>2</v>
      </c>
    </row>
    <row r="4341" spans="1:46">
      <c r="A4341">
        <v>81024</v>
      </c>
      <c r="B4341" t="s">
        <v>23548</v>
      </c>
      <c r="C4341" t="s">
        <v>23482</v>
      </c>
      <c r="D4341" t="s">
        <v>23549</v>
      </c>
      <c r="E4341" t="s">
        <v>23550</v>
      </c>
      <c r="G4341" t="s">
        <v>3542</v>
      </c>
      <c r="H4341" t="s">
        <v>301</v>
      </c>
      <c r="J4341" t="s">
        <v>605</v>
      </c>
      <c r="K4341" t="s">
        <v>606</v>
      </c>
      <c r="M4341" t="s">
        <v>2366</v>
      </c>
      <c r="N4341" t="s">
        <v>657</v>
      </c>
      <c r="O4341" t="s">
        <v>3455</v>
      </c>
      <c r="P4341" t="s">
        <v>1347</v>
      </c>
      <c r="Q4341" t="s">
        <v>522</v>
      </c>
      <c r="R4341" t="s">
        <v>3410</v>
      </c>
      <c r="S4341" t="s">
        <v>3456</v>
      </c>
      <c r="T4341" t="s">
        <v>2526</v>
      </c>
      <c r="U4341">
        <v>349900</v>
      </c>
      <c r="V4341" t="s">
        <v>3543</v>
      </c>
      <c r="W4341" t="s">
        <v>1734</v>
      </c>
      <c r="X4341" t="s">
        <v>17751</v>
      </c>
      <c r="Y4341" t="s">
        <v>5253</v>
      </c>
      <c r="AA4341" t="s">
        <v>5254</v>
      </c>
      <c r="AB4341" t="s">
        <v>12818</v>
      </c>
      <c r="AE4341">
        <v>-45.879143689999999</v>
      </c>
      <c r="AF4341">
        <v>170.34679642</v>
      </c>
      <c r="AG4341" s="175">
        <v>25</v>
      </c>
      <c r="AH4341" s="175">
        <v>15</v>
      </c>
      <c r="AI4341" s="175">
        <v>1</v>
      </c>
      <c r="AJ4341" s="175">
        <v>8</v>
      </c>
      <c r="AK4341" s="175">
        <v>7</v>
      </c>
      <c r="AL4341" s="175">
        <v>5</v>
      </c>
      <c r="AM4341" s="175">
        <v>0</v>
      </c>
      <c r="AN4341" s="175">
        <v>0</v>
      </c>
      <c r="AO4341" s="175">
        <v>21</v>
      </c>
      <c r="AP4341" s="175">
        <v>21</v>
      </c>
      <c r="AQ4341" s="175">
        <v>1</v>
      </c>
      <c r="AR4341" s="175">
        <v>0</v>
      </c>
      <c r="AS4341" s="175">
        <v>0</v>
      </c>
      <c r="AT4341" s="175">
        <v>0</v>
      </c>
    </row>
    <row r="4342" spans="1:46">
      <c r="A4342">
        <v>81026</v>
      </c>
      <c r="B4342" t="s">
        <v>23551</v>
      </c>
      <c r="C4342" t="s">
        <v>23552</v>
      </c>
      <c r="E4342" t="s">
        <v>23553</v>
      </c>
      <c r="G4342" t="s">
        <v>23554</v>
      </c>
      <c r="H4342" t="s">
        <v>301</v>
      </c>
      <c r="J4342" t="s">
        <v>605</v>
      </c>
      <c r="K4342" t="s">
        <v>606</v>
      </c>
      <c r="M4342" t="s">
        <v>2366</v>
      </c>
      <c r="N4342" t="s">
        <v>657</v>
      </c>
      <c r="O4342" t="s">
        <v>3432</v>
      </c>
      <c r="P4342" t="s">
        <v>626</v>
      </c>
      <c r="Q4342" t="s">
        <v>522</v>
      </c>
      <c r="R4342" t="s">
        <v>3410</v>
      </c>
      <c r="S4342" t="s">
        <v>3323</v>
      </c>
      <c r="T4342" t="s">
        <v>2526</v>
      </c>
      <c r="U4342">
        <v>345100</v>
      </c>
      <c r="V4342" t="s">
        <v>23555</v>
      </c>
      <c r="W4342" t="s">
        <v>3435</v>
      </c>
      <c r="X4342" t="s">
        <v>23537</v>
      </c>
      <c r="Y4342" t="s">
        <v>5253</v>
      </c>
      <c r="AA4342" t="s">
        <v>5254</v>
      </c>
      <c r="AB4342" t="s">
        <v>23538</v>
      </c>
      <c r="AC4342">
        <v>99049</v>
      </c>
      <c r="AD4342" t="s">
        <v>3436</v>
      </c>
      <c r="AE4342">
        <v>-45.109892279999997</v>
      </c>
      <c r="AF4342">
        <v>169.60583928</v>
      </c>
      <c r="AG4342" s="175">
        <v>23</v>
      </c>
      <c r="AH4342" s="175">
        <v>10</v>
      </c>
      <c r="AI4342" s="175">
        <v>0</v>
      </c>
      <c r="AJ4342" s="175">
        <v>0</v>
      </c>
      <c r="AK4342" s="175">
        <v>3</v>
      </c>
      <c r="AL4342" s="175">
        <v>1</v>
      </c>
      <c r="AM4342" s="175">
        <v>5</v>
      </c>
      <c r="AN4342" s="175">
        <v>0</v>
      </c>
      <c r="AO4342" s="175">
        <v>9</v>
      </c>
      <c r="AP4342" s="175">
        <v>9</v>
      </c>
      <c r="AQ4342" s="175">
        <v>2</v>
      </c>
      <c r="AR4342" s="175">
        <v>0</v>
      </c>
      <c r="AS4342" s="175">
        <v>0</v>
      </c>
      <c r="AT4342" s="175">
        <v>1</v>
      </c>
    </row>
    <row r="4343" spans="1:46">
      <c r="A4343">
        <v>81027</v>
      </c>
      <c r="B4343" t="s">
        <v>23556</v>
      </c>
      <c r="C4343" t="s">
        <v>23482</v>
      </c>
      <c r="E4343" t="s">
        <v>23557</v>
      </c>
      <c r="F4343" t="s">
        <v>23558</v>
      </c>
      <c r="G4343" t="s">
        <v>3454</v>
      </c>
      <c r="H4343" t="s">
        <v>301</v>
      </c>
      <c r="J4343" t="s">
        <v>605</v>
      </c>
      <c r="K4343" t="s">
        <v>606</v>
      </c>
      <c r="M4343" t="s">
        <v>2366</v>
      </c>
      <c r="N4343" t="s">
        <v>657</v>
      </c>
      <c r="O4343" t="s">
        <v>3455</v>
      </c>
      <c r="P4343" t="s">
        <v>739</v>
      </c>
      <c r="Q4343" t="s">
        <v>522</v>
      </c>
      <c r="R4343" t="s">
        <v>3410</v>
      </c>
      <c r="S4343" t="s">
        <v>3454</v>
      </c>
      <c r="T4343" t="s">
        <v>2526</v>
      </c>
      <c r="U4343">
        <v>353000</v>
      </c>
      <c r="V4343" t="s">
        <v>23558</v>
      </c>
      <c r="W4343" t="s">
        <v>1734</v>
      </c>
      <c r="X4343" t="s">
        <v>17751</v>
      </c>
      <c r="Y4343" t="s">
        <v>5253</v>
      </c>
      <c r="AA4343" t="s">
        <v>5254</v>
      </c>
      <c r="AB4343" t="s">
        <v>12818</v>
      </c>
      <c r="AE4343">
        <v>-45.85634057</v>
      </c>
      <c r="AF4343">
        <v>170.52880969</v>
      </c>
      <c r="AG4343" s="175">
        <v>25</v>
      </c>
      <c r="AH4343" s="175">
        <v>15</v>
      </c>
      <c r="AI4343" s="175">
        <v>1</v>
      </c>
      <c r="AJ4343" s="175">
        <v>6</v>
      </c>
      <c r="AK4343" s="175">
        <v>8</v>
      </c>
      <c r="AL4343" s="175">
        <v>1</v>
      </c>
      <c r="AM4343" s="175">
        <v>5</v>
      </c>
      <c r="AN4343" s="175">
        <v>0</v>
      </c>
      <c r="AO4343" s="175">
        <v>21</v>
      </c>
      <c r="AP4343" s="175">
        <v>15</v>
      </c>
      <c r="AQ4343" s="175">
        <v>1</v>
      </c>
      <c r="AR4343" s="175">
        <v>0</v>
      </c>
      <c r="AS4343" s="175">
        <v>4</v>
      </c>
      <c r="AT4343" s="175">
        <v>2</v>
      </c>
    </row>
    <row r="4344" spans="1:46">
      <c r="A4344">
        <v>81028</v>
      </c>
      <c r="B4344" t="s">
        <v>23559</v>
      </c>
      <c r="C4344" t="s">
        <v>23482</v>
      </c>
      <c r="D4344" t="s">
        <v>23549</v>
      </c>
      <c r="E4344" t="s">
        <v>23560</v>
      </c>
      <c r="G4344" t="s">
        <v>23561</v>
      </c>
      <c r="H4344" t="s">
        <v>301</v>
      </c>
      <c r="J4344" t="s">
        <v>605</v>
      </c>
      <c r="K4344" t="s">
        <v>606</v>
      </c>
      <c r="M4344" t="s">
        <v>2366</v>
      </c>
      <c r="N4344" t="s">
        <v>657</v>
      </c>
      <c r="O4344" t="s">
        <v>3455</v>
      </c>
      <c r="P4344" t="s">
        <v>626</v>
      </c>
      <c r="Q4344" t="s">
        <v>522</v>
      </c>
      <c r="R4344" t="s">
        <v>3410</v>
      </c>
      <c r="S4344" t="s">
        <v>3456</v>
      </c>
      <c r="T4344" t="s">
        <v>2526</v>
      </c>
      <c r="U4344">
        <v>349300</v>
      </c>
      <c r="V4344" t="s">
        <v>23562</v>
      </c>
      <c r="W4344" t="s">
        <v>1734</v>
      </c>
      <c r="X4344" t="s">
        <v>17751</v>
      </c>
      <c r="Y4344" t="s">
        <v>5253</v>
      </c>
      <c r="AA4344" t="s">
        <v>5254</v>
      </c>
      <c r="AB4344" t="s">
        <v>12818</v>
      </c>
      <c r="AE4344">
        <v>-45.860806310000001</v>
      </c>
      <c r="AF4344">
        <v>170.22907026999999</v>
      </c>
      <c r="AG4344" s="175">
        <v>25</v>
      </c>
      <c r="AH4344" s="175">
        <v>15</v>
      </c>
      <c r="AI4344" s="175">
        <v>2</v>
      </c>
      <c r="AJ4344" s="175">
        <v>6</v>
      </c>
      <c r="AK4344" s="175">
        <v>2</v>
      </c>
      <c r="AL4344" s="175">
        <v>8</v>
      </c>
      <c r="AM4344" s="175">
        <v>3</v>
      </c>
      <c r="AN4344" s="175">
        <v>0</v>
      </c>
      <c r="AO4344" s="175">
        <v>21</v>
      </c>
      <c r="AP4344" s="175">
        <v>20</v>
      </c>
      <c r="AQ4344" s="175">
        <v>3</v>
      </c>
      <c r="AR4344" s="175">
        <v>0</v>
      </c>
      <c r="AS4344" s="175">
        <v>2</v>
      </c>
      <c r="AT4344" s="175">
        <v>0</v>
      </c>
    </row>
    <row r="4345" spans="1:46">
      <c r="A4345">
        <v>81030</v>
      </c>
      <c r="B4345" t="s">
        <v>23563</v>
      </c>
      <c r="C4345" t="s">
        <v>23482</v>
      </c>
      <c r="E4345" t="s">
        <v>23564</v>
      </c>
      <c r="G4345" t="s">
        <v>23477</v>
      </c>
      <c r="H4345" t="s">
        <v>301</v>
      </c>
      <c r="J4345" t="s">
        <v>605</v>
      </c>
      <c r="K4345" t="s">
        <v>606</v>
      </c>
      <c r="M4345" t="s">
        <v>2366</v>
      </c>
      <c r="N4345" t="s">
        <v>657</v>
      </c>
      <c r="O4345" t="s">
        <v>3409</v>
      </c>
      <c r="P4345" t="s">
        <v>626</v>
      </c>
      <c r="Q4345" t="s">
        <v>522</v>
      </c>
      <c r="R4345" t="s">
        <v>3410</v>
      </c>
      <c r="S4345" t="s">
        <v>3323</v>
      </c>
      <c r="T4345" t="s">
        <v>2526</v>
      </c>
      <c r="U4345">
        <v>344700</v>
      </c>
      <c r="V4345" t="s">
        <v>23477</v>
      </c>
      <c r="W4345" t="s">
        <v>23478</v>
      </c>
      <c r="X4345" t="s">
        <v>17751</v>
      </c>
      <c r="Y4345" t="s">
        <v>5253</v>
      </c>
      <c r="AA4345" t="s">
        <v>5254</v>
      </c>
      <c r="AB4345" t="s">
        <v>12818</v>
      </c>
      <c r="AE4345">
        <v>-45.481199969999999</v>
      </c>
      <c r="AF4345">
        <v>170.72013805</v>
      </c>
      <c r="AG4345" s="175">
        <v>25</v>
      </c>
      <c r="AH4345" s="175">
        <v>10</v>
      </c>
      <c r="AI4345" s="175">
        <v>1</v>
      </c>
      <c r="AJ4345" s="175">
        <v>1</v>
      </c>
      <c r="AK4345" s="175">
        <v>2</v>
      </c>
      <c r="AL4345" s="175">
        <v>4</v>
      </c>
      <c r="AM4345" s="175">
        <v>4</v>
      </c>
      <c r="AN4345" s="175">
        <v>0</v>
      </c>
      <c r="AO4345" s="175">
        <v>12</v>
      </c>
      <c r="AP4345" s="175">
        <v>11</v>
      </c>
      <c r="AQ4345" s="175">
        <v>4</v>
      </c>
      <c r="AR4345" s="175">
        <v>0</v>
      </c>
      <c r="AS4345" s="175">
        <v>0</v>
      </c>
      <c r="AT4345" s="175">
        <v>0</v>
      </c>
    </row>
    <row r="4346" spans="1:46">
      <c r="A4346">
        <v>81036</v>
      </c>
      <c r="B4346" t="s">
        <v>23565</v>
      </c>
      <c r="C4346" t="s">
        <v>23482</v>
      </c>
      <c r="D4346" t="s">
        <v>23549</v>
      </c>
      <c r="E4346" t="s">
        <v>23566</v>
      </c>
      <c r="G4346" t="s">
        <v>3454</v>
      </c>
      <c r="H4346" t="s">
        <v>301</v>
      </c>
      <c r="J4346" t="s">
        <v>605</v>
      </c>
      <c r="K4346" t="s">
        <v>606</v>
      </c>
      <c r="M4346" t="s">
        <v>2366</v>
      </c>
      <c r="N4346" t="s">
        <v>657</v>
      </c>
      <c r="O4346" t="s">
        <v>3455</v>
      </c>
      <c r="P4346" t="s">
        <v>739</v>
      </c>
      <c r="Q4346" t="s">
        <v>522</v>
      </c>
      <c r="R4346" t="s">
        <v>3410</v>
      </c>
      <c r="S4346" t="s">
        <v>3454</v>
      </c>
      <c r="T4346" t="s">
        <v>2526</v>
      </c>
      <c r="U4346">
        <v>351600</v>
      </c>
      <c r="V4346" t="s">
        <v>23567</v>
      </c>
      <c r="W4346" t="s">
        <v>1734</v>
      </c>
      <c r="X4346" t="s">
        <v>17751</v>
      </c>
      <c r="Y4346" t="s">
        <v>5253</v>
      </c>
      <c r="AA4346" t="s">
        <v>5254</v>
      </c>
      <c r="AB4346" t="s">
        <v>12818</v>
      </c>
      <c r="AE4346">
        <v>-45.864455560000003</v>
      </c>
      <c r="AF4346">
        <v>170.49214420000001</v>
      </c>
      <c r="AG4346" s="175">
        <v>25</v>
      </c>
      <c r="AH4346" s="175">
        <v>15</v>
      </c>
      <c r="AI4346" s="175">
        <v>1</v>
      </c>
      <c r="AJ4346" s="175">
        <v>7</v>
      </c>
      <c r="AK4346" s="175">
        <v>3</v>
      </c>
      <c r="AL4346" s="175">
        <v>5</v>
      </c>
      <c r="AM4346" s="175">
        <v>2</v>
      </c>
      <c r="AN4346" s="175">
        <v>0</v>
      </c>
      <c r="AO4346" s="175">
        <v>18</v>
      </c>
      <c r="AP4346" s="175">
        <v>13</v>
      </c>
      <c r="AQ4346" s="175">
        <v>2</v>
      </c>
      <c r="AR4346" s="175">
        <v>0</v>
      </c>
      <c r="AS4346" s="175">
        <v>5</v>
      </c>
      <c r="AT4346" s="175">
        <v>5</v>
      </c>
    </row>
    <row r="4347" spans="1:46">
      <c r="A4347">
        <v>81038</v>
      </c>
      <c r="B4347" t="s">
        <v>23568</v>
      </c>
      <c r="C4347" t="s">
        <v>23482</v>
      </c>
      <c r="E4347" t="s">
        <v>23569</v>
      </c>
      <c r="G4347" t="s">
        <v>23570</v>
      </c>
      <c r="H4347" t="s">
        <v>301</v>
      </c>
      <c r="J4347" t="s">
        <v>605</v>
      </c>
      <c r="K4347" t="s">
        <v>606</v>
      </c>
      <c r="M4347" t="s">
        <v>2366</v>
      </c>
      <c r="N4347" t="s">
        <v>657</v>
      </c>
      <c r="O4347" t="s">
        <v>3455</v>
      </c>
      <c r="P4347" t="s">
        <v>739</v>
      </c>
      <c r="Q4347" t="s">
        <v>522</v>
      </c>
      <c r="R4347" t="s">
        <v>3410</v>
      </c>
      <c r="S4347" t="s">
        <v>3454</v>
      </c>
      <c r="T4347" t="s">
        <v>2526</v>
      </c>
      <c r="U4347">
        <v>353600</v>
      </c>
      <c r="V4347" t="s">
        <v>23571</v>
      </c>
      <c r="W4347" t="s">
        <v>1734</v>
      </c>
      <c r="X4347" t="s">
        <v>17751</v>
      </c>
      <c r="Y4347" t="s">
        <v>5253</v>
      </c>
      <c r="AA4347" t="s">
        <v>5254</v>
      </c>
      <c r="AB4347" t="s">
        <v>12818</v>
      </c>
      <c r="AE4347">
        <v>-45.847513399999997</v>
      </c>
      <c r="AF4347">
        <v>170.5785104</v>
      </c>
      <c r="AG4347" s="175">
        <v>25</v>
      </c>
      <c r="AH4347" s="175">
        <v>15</v>
      </c>
      <c r="AI4347" s="175">
        <v>0</v>
      </c>
      <c r="AJ4347" s="175">
        <v>2</v>
      </c>
      <c r="AK4347" s="175">
        <v>1</v>
      </c>
      <c r="AL4347" s="175">
        <v>2</v>
      </c>
      <c r="AM4347" s="175">
        <v>0</v>
      </c>
      <c r="AN4347" s="175">
        <v>0</v>
      </c>
      <c r="AO4347" s="175">
        <v>5</v>
      </c>
      <c r="AP4347" s="175">
        <v>5</v>
      </c>
      <c r="AQ4347" s="175">
        <v>0</v>
      </c>
      <c r="AR4347" s="175">
        <v>0</v>
      </c>
      <c r="AS4347" s="175">
        <v>0</v>
      </c>
      <c r="AT4347" s="175">
        <v>0</v>
      </c>
    </row>
    <row r="4348" spans="1:46">
      <c r="A4348">
        <v>81039</v>
      </c>
      <c r="B4348" t="s">
        <v>23572</v>
      </c>
      <c r="C4348" t="s">
        <v>23482</v>
      </c>
      <c r="E4348" t="s">
        <v>23573</v>
      </c>
      <c r="G4348" t="s">
        <v>23574</v>
      </c>
      <c r="H4348" t="s">
        <v>301</v>
      </c>
      <c r="J4348" t="s">
        <v>605</v>
      </c>
      <c r="K4348" t="s">
        <v>606</v>
      </c>
      <c r="M4348" t="s">
        <v>2366</v>
      </c>
      <c r="N4348" t="s">
        <v>657</v>
      </c>
      <c r="O4348" t="s">
        <v>3455</v>
      </c>
      <c r="P4348" t="s">
        <v>739</v>
      </c>
      <c r="Q4348" t="s">
        <v>522</v>
      </c>
      <c r="R4348" t="s">
        <v>3410</v>
      </c>
      <c r="S4348" t="s">
        <v>3454</v>
      </c>
      <c r="T4348" t="s">
        <v>2526</v>
      </c>
      <c r="U4348">
        <v>351801</v>
      </c>
      <c r="V4348" t="s">
        <v>23575</v>
      </c>
      <c r="W4348" t="s">
        <v>1734</v>
      </c>
      <c r="X4348" t="s">
        <v>17751</v>
      </c>
      <c r="Y4348" t="s">
        <v>5253</v>
      </c>
      <c r="AA4348" t="s">
        <v>5254</v>
      </c>
      <c r="AB4348" t="s">
        <v>12818</v>
      </c>
      <c r="AE4348">
        <v>-45.819194959999997</v>
      </c>
      <c r="AF4348">
        <v>170.60183193</v>
      </c>
      <c r="AG4348" s="175">
        <v>25</v>
      </c>
      <c r="AH4348" s="175">
        <v>15</v>
      </c>
      <c r="AI4348" s="175">
        <v>1</v>
      </c>
      <c r="AJ4348" s="175">
        <v>4</v>
      </c>
      <c r="AK4348" s="175">
        <v>2</v>
      </c>
      <c r="AL4348" s="175">
        <v>2</v>
      </c>
      <c r="AM4348" s="175">
        <v>0</v>
      </c>
      <c r="AN4348" s="175">
        <v>0</v>
      </c>
      <c r="AO4348" s="175">
        <v>9</v>
      </c>
      <c r="AP4348" s="175">
        <v>9</v>
      </c>
      <c r="AQ4348" s="175">
        <v>1</v>
      </c>
      <c r="AR4348" s="175">
        <v>0</v>
      </c>
      <c r="AS4348" s="175">
        <v>0</v>
      </c>
      <c r="AT4348" s="175">
        <v>0</v>
      </c>
    </row>
    <row r="4349" spans="1:46">
      <c r="A4349">
        <v>81042</v>
      </c>
      <c r="B4349" t="s">
        <v>23576</v>
      </c>
      <c r="C4349" t="s">
        <v>23482</v>
      </c>
      <c r="E4349" t="s">
        <v>23577</v>
      </c>
      <c r="G4349" t="s">
        <v>23578</v>
      </c>
      <c r="H4349" t="s">
        <v>301</v>
      </c>
      <c r="J4349" t="s">
        <v>605</v>
      </c>
      <c r="K4349" t="s">
        <v>606</v>
      </c>
      <c r="M4349" t="s">
        <v>2366</v>
      </c>
      <c r="N4349" t="s">
        <v>657</v>
      </c>
      <c r="O4349" t="s">
        <v>3455</v>
      </c>
      <c r="P4349" t="s">
        <v>610</v>
      </c>
      <c r="Q4349" t="s">
        <v>522</v>
      </c>
      <c r="R4349" t="s">
        <v>3410</v>
      </c>
      <c r="S4349" t="s">
        <v>3454</v>
      </c>
      <c r="T4349" t="s">
        <v>2526</v>
      </c>
      <c r="U4349">
        <v>349200</v>
      </c>
      <c r="V4349" t="s">
        <v>23578</v>
      </c>
      <c r="W4349" t="s">
        <v>1734</v>
      </c>
      <c r="X4349" t="s">
        <v>17751</v>
      </c>
      <c r="Y4349" t="s">
        <v>5253</v>
      </c>
      <c r="AA4349" t="s">
        <v>5254</v>
      </c>
      <c r="AB4349" t="s">
        <v>12818</v>
      </c>
      <c r="AE4349">
        <v>-45.595485410000002</v>
      </c>
      <c r="AF4349">
        <v>170.67461034999999</v>
      </c>
      <c r="AG4349" s="175">
        <v>30</v>
      </c>
      <c r="AH4349" s="175">
        <v>10</v>
      </c>
      <c r="AI4349" s="175">
        <v>1</v>
      </c>
      <c r="AJ4349" s="175">
        <v>1</v>
      </c>
      <c r="AK4349" s="175">
        <v>5</v>
      </c>
      <c r="AL4349" s="175">
        <v>3</v>
      </c>
      <c r="AM4349" s="175">
        <v>4</v>
      </c>
      <c r="AN4349" s="175">
        <v>0</v>
      </c>
      <c r="AO4349" s="175">
        <v>14</v>
      </c>
      <c r="AP4349" s="175">
        <v>12</v>
      </c>
      <c r="AQ4349" s="175">
        <v>3</v>
      </c>
      <c r="AR4349" s="175">
        <v>0</v>
      </c>
      <c r="AS4349" s="175">
        <v>0</v>
      </c>
      <c r="AT4349" s="175">
        <v>0</v>
      </c>
    </row>
    <row r="4350" spans="1:46">
      <c r="A4350">
        <v>81046</v>
      </c>
      <c r="B4350" t="s">
        <v>23579</v>
      </c>
      <c r="C4350" t="s">
        <v>23580</v>
      </c>
      <c r="E4350" t="s">
        <v>23581</v>
      </c>
      <c r="G4350" t="s">
        <v>3408</v>
      </c>
      <c r="H4350" t="s">
        <v>301</v>
      </c>
      <c r="J4350" t="s">
        <v>605</v>
      </c>
      <c r="K4350" t="s">
        <v>606</v>
      </c>
      <c r="M4350" t="s">
        <v>2366</v>
      </c>
      <c r="N4350" t="s">
        <v>657</v>
      </c>
      <c r="O4350" t="s">
        <v>3409</v>
      </c>
      <c r="P4350" t="s">
        <v>1347</v>
      </c>
      <c r="Q4350" t="s">
        <v>522</v>
      </c>
      <c r="R4350" t="s">
        <v>3410</v>
      </c>
      <c r="S4350" t="s">
        <v>3323</v>
      </c>
      <c r="T4350" t="s">
        <v>2526</v>
      </c>
      <c r="U4350">
        <v>343801</v>
      </c>
      <c r="V4350" t="s">
        <v>23582</v>
      </c>
      <c r="W4350" t="s">
        <v>3412</v>
      </c>
      <c r="X4350" t="s">
        <v>17751</v>
      </c>
      <c r="Y4350" t="s">
        <v>5253</v>
      </c>
      <c r="AA4350" t="s">
        <v>5254</v>
      </c>
      <c r="AB4350" t="s">
        <v>12818</v>
      </c>
      <c r="AE4350">
        <v>-45.076755319999997</v>
      </c>
      <c r="AF4350">
        <v>170.91853422</v>
      </c>
      <c r="AG4350" s="175">
        <v>25</v>
      </c>
      <c r="AH4350" s="175">
        <v>15</v>
      </c>
      <c r="AI4350" s="175">
        <v>2</v>
      </c>
      <c r="AJ4350" s="175">
        <v>10</v>
      </c>
      <c r="AK4350" s="175">
        <v>9</v>
      </c>
      <c r="AL4350" s="175">
        <v>4</v>
      </c>
      <c r="AM4350" s="175">
        <v>3</v>
      </c>
      <c r="AN4350" s="175">
        <v>1</v>
      </c>
      <c r="AO4350" s="175">
        <v>29</v>
      </c>
      <c r="AP4350" s="175">
        <v>27</v>
      </c>
      <c r="AQ4350" s="175">
        <v>1</v>
      </c>
      <c r="AR4350" s="175">
        <v>0</v>
      </c>
      <c r="AS4350" s="175">
        <v>4</v>
      </c>
      <c r="AT4350" s="175">
        <v>2</v>
      </c>
    </row>
    <row r="4351" spans="1:46">
      <c r="A4351">
        <v>83000</v>
      </c>
      <c r="B4351" t="s">
        <v>23583</v>
      </c>
      <c r="C4351" t="s">
        <v>23584</v>
      </c>
      <c r="D4351" t="s">
        <v>23585</v>
      </c>
      <c r="E4351" t="s">
        <v>23586</v>
      </c>
      <c r="G4351" t="s">
        <v>3431</v>
      </c>
      <c r="H4351" t="s">
        <v>449</v>
      </c>
      <c r="J4351" t="s">
        <v>605</v>
      </c>
      <c r="K4351" t="s">
        <v>606</v>
      </c>
      <c r="M4351" t="s">
        <v>2366</v>
      </c>
      <c r="N4351" t="s">
        <v>657</v>
      </c>
      <c r="O4351" t="s">
        <v>3432</v>
      </c>
      <c r="P4351" t="s">
        <v>610</v>
      </c>
      <c r="Q4351" t="s">
        <v>522</v>
      </c>
      <c r="R4351" t="s">
        <v>3410</v>
      </c>
      <c r="S4351" t="s">
        <v>3433</v>
      </c>
      <c r="T4351" t="s">
        <v>2526</v>
      </c>
      <c r="U4351">
        <v>345500</v>
      </c>
      <c r="V4351" t="s">
        <v>3449</v>
      </c>
      <c r="W4351" t="s">
        <v>3435</v>
      </c>
      <c r="X4351" t="s">
        <v>23587</v>
      </c>
      <c r="Y4351" t="s">
        <v>23588</v>
      </c>
      <c r="AA4351" t="s">
        <v>23589</v>
      </c>
      <c r="AB4351" t="s">
        <v>23584</v>
      </c>
      <c r="AC4351">
        <v>99049</v>
      </c>
      <c r="AD4351" t="s">
        <v>3436</v>
      </c>
      <c r="AE4351">
        <v>-45.244366999999997</v>
      </c>
      <c r="AF4351">
        <v>169.38925130000001</v>
      </c>
      <c r="AG4351" s="175">
        <v>31</v>
      </c>
      <c r="AH4351" s="175">
        <v>8</v>
      </c>
      <c r="AI4351" s="175">
        <v>2</v>
      </c>
      <c r="AJ4351" s="175">
        <v>4</v>
      </c>
      <c r="AK4351" s="175">
        <v>9</v>
      </c>
      <c r="AL4351" s="175">
        <v>11</v>
      </c>
      <c r="AM4351" s="175">
        <v>9</v>
      </c>
      <c r="AN4351" s="175">
        <v>0</v>
      </c>
      <c r="AO4351" s="175">
        <v>35</v>
      </c>
      <c r="AP4351" s="175">
        <v>33</v>
      </c>
      <c r="AQ4351" s="175">
        <v>5</v>
      </c>
      <c r="AR4351" s="175">
        <v>1</v>
      </c>
      <c r="AS4351" s="175">
        <v>1</v>
      </c>
      <c r="AT4351" s="175">
        <v>0</v>
      </c>
    </row>
    <row r="4352" spans="1:46">
      <c r="A4352">
        <v>83001</v>
      </c>
      <c r="B4352" t="s">
        <v>23590</v>
      </c>
      <c r="C4352" t="s">
        <v>23591</v>
      </c>
      <c r="D4352" t="s">
        <v>23592</v>
      </c>
      <c r="E4352" t="s">
        <v>23593</v>
      </c>
      <c r="F4352" t="s">
        <v>3465</v>
      </c>
      <c r="G4352" t="s">
        <v>3454</v>
      </c>
      <c r="H4352" t="s">
        <v>449</v>
      </c>
      <c r="J4352" t="s">
        <v>605</v>
      </c>
      <c r="K4352" t="s">
        <v>606</v>
      </c>
      <c r="M4352" t="s">
        <v>2366</v>
      </c>
      <c r="N4352" t="s">
        <v>657</v>
      </c>
      <c r="O4352" t="s">
        <v>3455</v>
      </c>
      <c r="P4352" t="s">
        <v>739</v>
      </c>
      <c r="Q4352" t="s">
        <v>522</v>
      </c>
      <c r="R4352" t="s">
        <v>3410</v>
      </c>
      <c r="S4352" t="s">
        <v>3456</v>
      </c>
      <c r="T4352" t="s">
        <v>2526</v>
      </c>
      <c r="U4352">
        <v>355600</v>
      </c>
      <c r="V4352" t="s">
        <v>3465</v>
      </c>
      <c r="W4352" t="s">
        <v>1734</v>
      </c>
      <c r="X4352" t="s">
        <v>21340</v>
      </c>
      <c r="Y4352" t="s">
        <v>23593</v>
      </c>
      <c r="Z4352" t="s">
        <v>3465</v>
      </c>
      <c r="AA4352" t="s">
        <v>15856</v>
      </c>
      <c r="AB4352" t="s">
        <v>23594</v>
      </c>
      <c r="AE4352">
        <v>-45.895395809999997</v>
      </c>
      <c r="AF4352">
        <v>170.53349883999999</v>
      </c>
      <c r="AG4352" s="175">
        <v>32</v>
      </c>
      <c r="AH4352" s="175">
        <v>0</v>
      </c>
      <c r="AI4352" s="175">
        <v>0</v>
      </c>
      <c r="AJ4352" s="175">
        <v>0</v>
      </c>
      <c r="AK4352" s="175">
        <v>12</v>
      </c>
      <c r="AL4352" s="175">
        <v>11</v>
      </c>
      <c r="AM4352" s="175">
        <v>12</v>
      </c>
      <c r="AN4352" s="175">
        <v>1</v>
      </c>
      <c r="AO4352" s="175">
        <v>36</v>
      </c>
      <c r="AP4352" s="175">
        <v>32</v>
      </c>
      <c r="AQ4352" s="175">
        <v>2</v>
      </c>
      <c r="AR4352" s="175">
        <v>1</v>
      </c>
      <c r="AS4352" s="175">
        <v>5</v>
      </c>
      <c r="AT4352" s="175">
        <v>1</v>
      </c>
    </row>
    <row r="4353" spans="1:46">
      <c r="A4353">
        <v>83002</v>
      </c>
      <c r="B4353" t="s">
        <v>23595</v>
      </c>
      <c r="C4353" t="s">
        <v>23596</v>
      </c>
      <c r="D4353" t="s">
        <v>23597</v>
      </c>
      <c r="E4353" t="s">
        <v>23598</v>
      </c>
      <c r="F4353" t="s">
        <v>3518</v>
      </c>
      <c r="G4353" t="s">
        <v>3454</v>
      </c>
      <c r="H4353" t="s">
        <v>449</v>
      </c>
      <c r="I4353" t="s">
        <v>6249</v>
      </c>
      <c r="J4353" t="s">
        <v>605</v>
      </c>
      <c r="K4353" t="s">
        <v>606</v>
      </c>
      <c r="M4353" t="s">
        <v>2366</v>
      </c>
      <c r="N4353" t="s">
        <v>643</v>
      </c>
      <c r="O4353" t="s">
        <v>3455</v>
      </c>
      <c r="P4353" t="s">
        <v>739</v>
      </c>
      <c r="Q4353" t="s">
        <v>522</v>
      </c>
      <c r="R4353" t="s">
        <v>3410</v>
      </c>
      <c r="S4353" t="s">
        <v>3456</v>
      </c>
      <c r="T4353" t="s">
        <v>2526</v>
      </c>
      <c r="U4353">
        <v>354701</v>
      </c>
      <c r="V4353" t="s">
        <v>3518</v>
      </c>
      <c r="W4353" t="s">
        <v>1734</v>
      </c>
      <c r="X4353" t="s">
        <v>23599</v>
      </c>
      <c r="Y4353" t="s">
        <v>23600</v>
      </c>
      <c r="Z4353" t="s">
        <v>3454</v>
      </c>
      <c r="AA4353" t="s">
        <v>23459</v>
      </c>
      <c r="AB4353" t="s">
        <v>23596</v>
      </c>
      <c r="AE4353">
        <v>-45.89898402</v>
      </c>
      <c r="AF4353">
        <v>170.50113924999999</v>
      </c>
      <c r="AG4353" s="175">
        <v>75</v>
      </c>
      <c r="AH4353" s="175">
        <v>20</v>
      </c>
      <c r="AI4353" s="175">
        <v>3</v>
      </c>
      <c r="AJ4353" s="175">
        <v>11</v>
      </c>
      <c r="AK4353" s="175">
        <v>24</v>
      </c>
      <c r="AL4353" s="175">
        <v>20</v>
      </c>
      <c r="AM4353" s="175">
        <v>30</v>
      </c>
      <c r="AN4353" s="175">
        <v>0</v>
      </c>
      <c r="AO4353" s="175">
        <v>88</v>
      </c>
      <c r="AP4353" s="175">
        <v>39</v>
      </c>
      <c r="AQ4353" s="175">
        <v>26</v>
      </c>
      <c r="AR4353" s="175">
        <v>14</v>
      </c>
      <c r="AS4353" s="175">
        <v>30</v>
      </c>
      <c r="AT4353" s="175">
        <v>1</v>
      </c>
    </row>
    <row r="4354" spans="1:46">
      <c r="A4354">
        <v>83004</v>
      </c>
      <c r="B4354" t="s">
        <v>23601</v>
      </c>
      <c r="C4354" t="s">
        <v>23602</v>
      </c>
      <c r="D4354" t="s">
        <v>23603</v>
      </c>
      <c r="E4354" t="s">
        <v>23604</v>
      </c>
      <c r="G4354" t="s">
        <v>3441</v>
      </c>
      <c r="H4354" t="s">
        <v>449</v>
      </c>
      <c r="J4354" t="s">
        <v>605</v>
      </c>
      <c r="K4354" t="s">
        <v>606</v>
      </c>
      <c r="M4354" t="s">
        <v>2366</v>
      </c>
      <c r="N4354" t="s">
        <v>657</v>
      </c>
      <c r="O4354" t="s">
        <v>3432</v>
      </c>
      <c r="P4354" t="s">
        <v>610</v>
      </c>
      <c r="Q4354" t="s">
        <v>522</v>
      </c>
      <c r="R4354" t="s">
        <v>3410</v>
      </c>
      <c r="S4354" t="s">
        <v>3323</v>
      </c>
      <c r="T4354" t="s">
        <v>2526</v>
      </c>
      <c r="U4354">
        <v>345000</v>
      </c>
      <c r="V4354" t="s">
        <v>18841</v>
      </c>
      <c r="W4354" t="s">
        <v>3443</v>
      </c>
      <c r="X4354" t="s">
        <v>23605</v>
      </c>
      <c r="Y4354" t="s">
        <v>23604</v>
      </c>
      <c r="Z4354" t="s">
        <v>3441</v>
      </c>
      <c r="AA4354" t="s">
        <v>23606</v>
      </c>
      <c r="AB4354" t="s">
        <v>23607</v>
      </c>
      <c r="AC4354">
        <v>99046</v>
      </c>
      <c r="AD4354" t="s">
        <v>3444</v>
      </c>
      <c r="AE4354">
        <v>-45.04634282</v>
      </c>
      <c r="AF4354">
        <v>169.20971867</v>
      </c>
      <c r="AG4354" s="175">
        <v>50</v>
      </c>
      <c r="AH4354" s="175">
        <v>15</v>
      </c>
      <c r="AI4354" s="175">
        <v>2</v>
      </c>
      <c r="AJ4354" s="175">
        <v>9</v>
      </c>
      <c r="AK4354" s="175">
        <v>8</v>
      </c>
      <c r="AL4354" s="175">
        <v>12</v>
      </c>
      <c r="AM4354" s="175">
        <v>15</v>
      </c>
      <c r="AN4354" s="175">
        <v>0</v>
      </c>
      <c r="AO4354" s="175">
        <v>46</v>
      </c>
      <c r="AP4354" s="175">
        <v>42</v>
      </c>
      <c r="AQ4354" s="175">
        <v>4</v>
      </c>
      <c r="AR4354" s="175">
        <v>0</v>
      </c>
      <c r="AS4354" s="175">
        <v>2</v>
      </c>
      <c r="AT4354" s="175">
        <v>3</v>
      </c>
    </row>
    <row r="4355" spans="1:46">
      <c r="A4355">
        <v>83006</v>
      </c>
      <c r="B4355" t="s">
        <v>23608</v>
      </c>
      <c r="C4355" t="s">
        <v>23609</v>
      </c>
      <c r="D4355" t="s">
        <v>23610</v>
      </c>
      <c r="E4355" t="s">
        <v>23611</v>
      </c>
      <c r="F4355" t="s">
        <v>3498</v>
      </c>
      <c r="G4355" t="s">
        <v>3454</v>
      </c>
      <c r="H4355" t="s">
        <v>449</v>
      </c>
      <c r="J4355" t="s">
        <v>605</v>
      </c>
      <c r="K4355" t="s">
        <v>606</v>
      </c>
      <c r="M4355" t="s">
        <v>2366</v>
      </c>
      <c r="N4355" t="s">
        <v>657</v>
      </c>
      <c r="O4355" t="s">
        <v>3455</v>
      </c>
      <c r="P4355" t="s">
        <v>739</v>
      </c>
      <c r="Q4355" t="s">
        <v>522</v>
      </c>
      <c r="R4355" t="s">
        <v>3410</v>
      </c>
      <c r="S4355" t="s">
        <v>3454</v>
      </c>
      <c r="T4355" t="s">
        <v>2526</v>
      </c>
      <c r="U4355">
        <v>352000</v>
      </c>
      <c r="V4355" t="s">
        <v>23384</v>
      </c>
      <c r="W4355" t="s">
        <v>1734</v>
      </c>
      <c r="X4355" t="s">
        <v>23612</v>
      </c>
      <c r="Y4355" t="s">
        <v>23611</v>
      </c>
      <c r="Z4355" t="s">
        <v>3454</v>
      </c>
      <c r="AA4355" t="s">
        <v>11623</v>
      </c>
      <c r="AC4355">
        <v>99208</v>
      </c>
      <c r="AD4355" t="s">
        <v>3500</v>
      </c>
      <c r="AE4355">
        <v>-45.851686669999999</v>
      </c>
      <c r="AF4355">
        <v>170.52601751</v>
      </c>
      <c r="AG4355" s="175">
        <v>22</v>
      </c>
      <c r="AH4355" s="175">
        <v>0</v>
      </c>
      <c r="AI4355" s="175">
        <v>0</v>
      </c>
      <c r="AJ4355" s="175">
        <v>0</v>
      </c>
      <c r="AK4355" s="175">
        <v>4</v>
      </c>
      <c r="AL4355" s="175">
        <v>11</v>
      </c>
      <c r="AM4355" s="175">
        <v>5</v>
      </c>
      <c r="AN4355" s="175">
        <v>1</v>
      </c>
      <c r="AO4355" s="175">
        <v>21</v>
      </c>
      <c r="AP4355" s="175">
        <v>19</v>
      </c>
      <c r="AQ4355" s="175">
        <v>2</v>
      </c>
      <c r="AR4355" s="175">
        <v>0</v>
      </c>
      <c r="AS4355" s="175">
        <v>2</v>
      </c>
      <c r="AT4355" s="175">
        <v>1</v>
      </c>
    </row>
    <row r="4356" spans="1:46">
      <c r="A4356">
        <v>83007</v>
      </c>
      <c r="B4356" t="s">
        <v>23613</v>
      </c>
      <c r="C4356" t="s">
        <v>15602</v>
      </c>
      <c r="D4356" t="s">
        <v>23614</v>
      </c>
      <c r="E4356" t="s">
        <v>23615</v>
      </c>
      <c r="F4356" t="s">
        <v>14367</v>
      </c>
      <c r="G4356" t="s">
        <v>3454</v>
      </c>
      <c r="H4356" t="s">
        <v>449</v>
      </c>
      <c r="J4356" t="s">
        <v>605</v>
      </c>
      <c r="K4356" t="s">
        <v>606</v>
      </c>
      <c r="M4356" t="s">
        <v>2366</v>
      </c>
      <c r="N4356" t="s">
        <v>657</v>
      </c>
      <c r="O4356" t="s">
        <v>3455</v>
      </c>
      <c r="P4356" t="s">
        <v>739</v>
      </c>
      <c r="Q4356" t="s">
        <v>522</v>
      </c>
      <c r="R4356" t="s">
        <v>3410</v>
      </c>
      <c r="S4356" t="s">
        <v>3454</v>
      </c>
      <c r="T4356" t="s">
        <v>2526</v>
      </c>
      <c r="U4356">
        <v>353200</v>
      </c>
      <c r="V4356" t="s">
        <v>3510</v>
      </c>
      <c r="W4356" t="s">
        <v>1734</v>
      </c>
      <c r="X4356" t="s">
        <v>15604</v>
      </c>
      <c r="Y4356" t="s">
        <v>15605</v>
      </c>
      <c r="Z4356" t="s">
        <v>14367</v>
      </c>
      <c r="AA4356" t="s">
        <v>14368</v>
      </c>
      <c r="AB4356" t="s">
        <v>15606</v>
      </c>
      <c r="AE4356">
        <v>-45.8698014</v>
      </c>
      <c r="AF4356">
        <v>170.50807784</v>
      </c>
      <c r="AG4356" s="175">
        <v>93</v>
      </c>
      <c r="AH4356" s="175">
        <v>35</v>
      </c>
      <c r="AI4356" s="175">
        <v>4</v>
      </c>
      <c r="AJ4356" s="175">
        <v>26</v>
      </c>
      <c r="AK4356" s="175">
        <v>23</v>
      </c>
      <c r="AL4356" s="175">
        <v>31</v>
      </c>
      <c r="AM4356" s="175">
        <v>27</v>
      </c>
      <c r="AN4356" s="175">
        <v>2</v>
      </c>
      <c r="AO4356" s="175">
        <v>113</v>
      </c>
      <c r="AP4356" s="175">
        <v>100</v>
      </c>
      <c r="AQ4356" s="175">
        <v>14</v>
      </c>
      <c r="AR4356" s="175">
        <v>1</v>
      </c>
      <c r="AS4356" s="175">
        <v>18</v>
      </c>
      <c r="AT4356" s="175">
        <v>3</v>
      </c>
    </row>
    <row r="4357" spans="1:46">
      <c r="A4357">
        <v>83008</v>
      </c>
      <c r="B4357" t="s">
        <v>23616</v>
      </c>
      <c r="C4357" t="s">
        <v>23617</v>
      </c>
      <c r="D4357" t="s">
        <v>23363</v>
      </c>
      <c r="E4357" t="s">
        <v>23618</v>
      </c>
      <c r="F4357" t="s">
        <v>14367</v>
      </c>
      <c r="G4357" t="s">
        <v>3454</v>
      </c>
      <c r="H4357" t="s">
        <v>449</v>
      </c>
      <c r="J4357" t="s">
        <v>605</v>
      </c>
      <c r="K4357" t="s">
        <v>606</v>
      </c>
      <c r="M4357" t="s">
        <v>2366</v>
      </c>
      <c r="N4357" t="s">
        <v>657</v>
      </c>
      <c r="O4357" t="s">
        <v>3455</v>
      </c>
      <c r="P4357" t="s">
        <v>739</v>
      </c>
      <c r="Q4357" t="s">
        <v>522</v>
      </c>
      <c r="R4357" t="s">
        <v>3410</v>
      </c>
      <c r="S4357" t="s">
        <v>3454</v>
      </c>
      <c r="T4357" t="s">
        <v>2526</v>
      </c>
      <c r="U4357">
        <v>352900</v>
      </c>
      <c r="V4357" t="s">
        <v>23394</v>
      </c>
      <c r="W4357" t="s">
        <v>1734</v>
      </c>
      <c r="X4357" t="s">
        <v>23329</v>
      </c>
      <c r="Y4357" t="s">
        <v>23328</v>
      </c>
      <c r="Z4357" t="s">
        <v>3466</v>
      </c>
      <c r="AA4357" t="s">
        <v>15856</v>
      </c>
      <c r="AB4357" t="s">
        <v>23326</v>
      </c>
      <c r="AC4357">
        <v>99208</v>
      </c>
      <c r="AD4357" t="s">
        <v>3500</v>
      </c>
      <c r="AE4357">
        <v>-45.87618982</v>
      </c>
      <c r="AF4357">
        <v>170.49184324000001</v>
      </c>
      <c r="AG4357" s="175">
        <v>65</v>
      </c>
      <c r="AH4357" s="175">
        <v>28</v>
      </c>
      <c r="AI4357" s="175">
        <v>1</v>
      </c>
      <c r="AJ4357" s="175">
        <v>20</v>
      </c>
      <c r="AK4357" s="175">
        <v>15</v>
      </c>
      <c r="AL4357" s="175">
        <v>18</v>
      </c>
      <c r="AM4357" s="175">
        <v>12</v>
      </c>
      <c r="AN4357" s="175">
        <v>0</v>
      </c>
      <c r="AO4357" s="175">
        <v>66</v>
      </c>
      <c r="AP4357" s="175">
        <v>60</v>
      </c>
      <c r="AQ4357" s="175">
        <v>12</v>
      </c>
      <c r="AR4357" s="175">
        <v>2</v>
      </c>
      <c r="AS4357" s="175">
        <v>3</v>
      </c>
      <c r="AT4357" s="175">
        <v>1</v>
      </c>
    </row>
    <row r="4358" spans="1:46">
      <c r="A4358">
        <v>83013</v>
      </c>
      <c r="B4358" t="s">
        <v>23619</v>
      </c>
      <c r="C4358" t="s">
        <v>23620</v>
      </c>
      <c r="D4358" t="s">
        <v>23621</v>
      </c>
      <c r="E4358" t="s">
        <v>23622</v>
      </c>
      <c r="G4358" t="s">
        <v>3542</v>
      </c>
      <c r="H4358" t="s">
        <v>449</v>
      </c>
      <c r="J4358" t="s">
        <v>605</v>
      </c>
      <c r="K4358" t="s">
        <v>606</v>
      </c>
      <c r="M4358" t="s">
        <v>2366</v>
      </c>
      <c r="N4358" t="s">
        <v>657</v>
      </c>
      <c r="O4358" t="s">
        <v>3455</v>
      </c>
      <c r="P4358" t="s">
        <v>1347</v>
      </c>
      <c r="Q4358" t="s">
        <v>522</v>
      </c>
      <c r="R4358" t="s">
        <v>3410</v>
      </c>
      <c r="S4358" t="s">
        <v>3456</v>
      </c>
      <c r="T4358" t="s">
        <v>2526</v>
      </c>
      <c r="U4358">
        <v>350300</v>
      </c>
      <c r="V4358" t="s">
        <v>14658</v>
      </c>
      <c r="W4358" t="s">
        <v>1734</v>
      </c>
      <c r="X4358" t="s">
        <v>23623</v>
      </c>
      <c r="Y4358" t="s">
        <v>23624</v>
      </c>
      <c r="AA4358" t="s">
        <v>14659</v>
      </c>
      <c r="AB4358" t="s">
        <v>23625</v>
      </c>
      <c r="AE4358">
        <v>-45.889957770000002</v>
      </c>
      <c r="AF4358">
        <v>170.34676533000001</v>
      </c>
      <c r="AG4358" s="175">
        <v>35</v>
      </c>
      <c r="AH4358" s="175">
        <v>0</v>
      </c>
      <c r="AI4358" s="175">
        <v>0</v>
      </c>
      <c r="AJ4358" s="175">
        <v>0</v>
      </c>
      <c r="AK4358" s="175">
        <v>4</v>
      </c>
      <c r="AL4358" s="175">
        <v>31</v>
      </c>
      <c r="AM4358" s="175">
        <v>21</v>
      </c>
      <c r="AN4358" s="175">
        <v>0</v>
      </c>
      <c r="AO4358" s="175">
        <v>56</v>
      </c>
      <c r="AP4358" s="175">
        <v>53</v>
      </c>
      <c r="AQ4358" s="175">
        <v>7</v>
      </c>
      <c r="AR4358" s="175">
        <v>2</v>
      </c>
      <c r="AS4358" s="175">
        <v>2</v>
      </c>
      <c r="AT4358" s="175">
        <v>1</v>
      </c>
    </row>
    <row r="4359" spans="1:46">
      <c r="A4359">
        <v>83014</v>
      </c>
      <c r="B4359" t="s">
        <v>23626</v>
      </c>
      <c r="C4359" t="s">
        <v>23627</v>
      </c>
      <c r="D4359" t="s">
        <v>23363</v>
      </c>
      <c r="E4359" t="s">
        <v>23628</v>
      </c>
      <c r="G4359" t="s">
        <v>3454</v>
      </c>
      <c r="H4359" t="s">
        <v>449</v>
      </c>
      <c r="J4359" t="s">
        <v>605</v>
      </c>
      <c r="K4359" t="s">
        <v>606</v>
      </c>
      <c r="M4359" t="s">
        <v>2366</v>
      </c>
      <c r="N4359" t="s">
        <v>657</v>
      </c>
      <c r="O4359" t="s">
        <v>3455</v>
      </c>
      <c r="P4359" t="s">
        <v>739</v>
      </c>
      <c r="Q4359" t="s">
        <v>522</v>
      </c>
      <c r="R4359" t="s">
        <v>3410</v>
      </c>
      <c r="S4359" t="s">
        <v>3454</v>
      </c>
      <c r="T4359" t="s">
        <v>2526</v>
      </c>
      <c r="U4359">
        <v>352900</v>
      </c>
      <c r="V4359" t="s">
        <v>23394</v>
      </c>
      <c r="W4359" t="s">
        <v>1734</v>
      </c>
      <c r="X4359" t="s">
        <v>23329</v>
      </c>
      <c r="Y4359" t="s">
        <v>23328</v>
      </c>
      <c r="Z4359" t="s">
        <v>3466</v>
      </c>
      <c r="AA4359" t="s">
        <v>15856</v>
      </c>
      <c r="AB4359" t="s">
        <v>23326</v>
      </c>
      <c r="AE4359">
        <v>-45.874744210000003</v>
      </c>
      <c r="AF4359">
        <v>170.4953075</v>
      </c>
      <c r="AG4359" s="175">
        <v>45</v>
      </c>
      <c r="AH4359" s="175">
        <v>12</v>
      </c>
      <c r="AI4359" s="175">
        <v>1</v>
      </c>
      <c r="AJ4359" s="175">
        <v>5</v>
      </c>
      <c r="AK4359" s="175">
        <v>10</v>
      </c>
      <c r="AL4359" s="175">
        <v>8</v>
      </c>
      <c r="AM4359" s="175">
        <v>19</v>
      </c>
      <c r="AN4359" s="175">
        <v>3</v>
      </c>
      <c r="AO4359" s="175">
        <v>46</v>
      </c>
      <c r="AP4359" s="175">
        <v>34</v>
      </c>
      <c r="AQ4359" s="175">
        <v>8</v>
      </c>
      <c r="AR4359" s="175">
        <v>4</v>
      </c>
      <c r="AS4359" s="175">
        <v>4</v>
      </c>
      <c r="AT4359" s="175">
        <v>10</v>
      </c>
    </row>
    <row r="4360" spans="1:46">
      <c r="A4360">
        <v>83015</v>
      </c>
      <c r="B4360" t="s">
        <v>23629</v>
      </c>
      <c r="C4360" t="s">
        <v>23630</v>
      </c>
      <c r="D4360" t="s">
        <v>23631</v>
      </c>
      <c r="E4360" t="s">
        <v>23632</v>
      </c>
      <c r="G4360" t="s">
        <v>23633</v>
      </c>
      <c r="H4360" t="s">
        <v>449</v>
      </c>
      <c r="I4360" t="s">
        <v>4298</v>
      </c>
      <c r="J4360" t="s">
        <v>605</v>
      </c>
      <c r="K4360" t="s">
        <v>606</v>
      </c>
      <c r="M4360" t="s">
        <v>2366</v>
      </c>
      <c r="N4360" t="s">
        <v>657</v>
      </c>
      <c r="O4360" t="s">
        <v>3455</v>
      </c>
      <c r="P4360" t="s">
        <v>739</v>
      </c>
      <c r="Q4360" t="s">
        <v>522</v>
      </c>
      <c r="R4360" t="s">
        <v>3410</v>
      </c>
      <c r="S4360" t="s">
        <v>3454</v>
      </c>
      <c r="T4360" t="s">
        <v>2526</v>
      </c>
      <c r="U4360">
        <v>353600</v>
      </c>
      <c r="V4360" t="s">
        <v>23571</v>
      </c>
      <c r="W4360" t="s">
        <v>1734</v>
      </c>
      <c r="X4360" t="s">
        <v>23634</v>
      </c>
      <c r="Y4360" t="s">
        <v>23632</v>
      </c>
      <c r="Z4360" t="s">
        <v>23633</v>
      </c>
      <c r="AA4360" t="s">
        <v>23635</v>
      </c>
      <c r="AB4360" t="s">
        <v>23636</v>
      </c>
      <c r="AE4360">
        <v>-45.859310919999999</v>
      </c>
      <c r="AF4360">
        <v>170.56614365999999</v>
      </c>
      <c r="AG4360" s="175">
        <v>45</v>
      </c>
      <c r="AH4360" s="175">
        <v>0</v>
      </c>
      <c r="AI4360" s="175">
        <v>0</v>
      </c>
      <c r="AJ4360" s="175">
        <v>0</v>
      </c>
      <c r="AK4360" s="175">
        <v>1</v>
      </c>
      <c r="AL4360" s="175">
        <v>2</v>
      </c>
      <c r="AM4360" s="175">
        <v>3</v>
      </c>
      <c r="AN4360" s="175">
        <v>17</v>
      </c>
      <c r="AO4360" s="175">
        <v>23</v>
      </c>
      <c r="AP4360" s="175">
        <v>23</v>
      </c>
      <c r="AQ4360" s="175">
        <v>4</v>
      </c>
      <c r="AR4360" s="175">
        <v>3</v>
      </c>
      <c r="AS4360" s="175">
        <v>1</v>
      </c>
      <c r="AT4360" s="175">
        <v>4</v>
      </c>
    </row>
    <row r="4361" spans="1:46">
      <c r="A4361">
        <v>83016</v>
      </c>
      <c r="B4361" t="s">
        <v>23637</v>
      </c>
      <c r="C4361" t="s">
        <v>23638</v>
      </c>
      <c r="D4361" t="s">
        <v>23639</v>
      </c>
      <c r="E4361" t="s">
        <v>23640</v>
      </c>
      <c r="G4361" t="s">
        <v>23578</v>
      </c>
      <c r="H4361" t="s">
        <v>449</v>
      </c>
      <c r="J4361" t="s">
        <v>605</v>
      </c>
      <c r="K4361" t="s">
        <v>606</v>
      </c>
      <c r="M4361" t="s">
        <v>2366</v>
      </c>
      <c r="N4361" t="s">
        <v>657</v>
      </c>
      <c r="O4361" t="s">
        <v>3455</v>
      </c>
      <c r="P4361" t="s">
        <v>610</v>
      </c>
      <c r="Q4361" t="s">
        <v>522</v>
      </c>
      <c r="R4361" t="s">
        <v>3410</v>
      </c>
      <c r="S4361" t="s">
        <v>3454</v>
      </c>
      <c r="T4361" t="s">
        <v>2526</v>
      </c>
      <c r="U4361">
        <v>349200</v>
      </c>
      <c r="V4361" t="s">
        <v>23578</v>
      </c>
      <c r="W4361" t="s">
        <v>1734</v>
      </c>
      <c r="X4361" t="s">
        <v>23641</v>
      </c>
      <c r="Y4361" t="s">
        <v>23642</v>
      </c>
      <c r="Z4361" t="s">
        <v>23578</v>
      </c>
      <c r="AA4361" t="s">
        <v>23643</v>
      </c>
      <c r="AB4361" t="s">
        <v>23644</v>
      </c>
      <c r="AE4361">
        <v>-45.595326489999998</v>
      </c>
      <c r="AF4361">
        <v>170.67397855999999</v>
      </c>
      <c r="AG4361" s="175">
        <v>35</v>
      </c>
      <c r="AH4361" s="175">
        <v>10</v>
      </c>
      <c r="AI4361" s="175">
        <v>1</v>
      </c>
      <c r="AJ4361" s="175">
        <v>7</v>
      </c>
      <c r="AK4361" s="175">
        <v>9</v>
      </c>
      <c r="AL4361" s="175">
        <v>17</v>
      </c>
      <c r="AM4361" s="175">
        <v>16</v>
      </c>
      <c r="AN4361" s="175">
        <v>0</v>
      </c>
      <c r="AO4361" s="175">
        <v>50</v>
      </c>
      <c r="AP4361" s="175">
        <v>40</v>
      </c>
      <c r="AQ4361" s="175">
        <v>16</v>
      </c>
      <c r="AR4361" s="175">
        <v>0</v>
      </c>
      <c r="AS4361" s="175">
        <v>2</v>
      </c>
      <c r="AT4361" s="175">
        <v>5</v>
      </c>
    </row>
    <row r="4362" spans="1:46">
      <c r="A4362">
        <v>83018</v>
      </c>
      <c r="B4362" t="s">
        <v>23645</v>
      </c>
      <c r="C4362" t="s">
        <v>23646</v>
      </c>
      <c r="D4362" t="s">
        <v>23647</v>
      </c>
      <c r="E4362" t="s">
        <v>23648</v>
      </c>
      <c r="F4362" t="s">
        <v>3534</v>
      </c>
      <c r="G4362" t="s">
        <v>3454</v>
      </c>
      <c r="H4362" t="s">
        <v>449</v>
      </c>
      <c r="I4362" t="s">
        <v>4134</v>
      </c>
      <c r="J4362" t="s">
        <v>4032</v>
      </c>
      <c r="K4362" t="s">
        <v>606</v>
      </c>
      <c r="M4362" t="s">
        <v>2366</v>
      </c>
      <c r="N4362" t="s">
        <v>657</v>
      </c>
      <c r="O4362" t="s">
        <v>3455</v>
      </c>
      <c r="P4362" t="s">
        <v>739</v>
      </c>
      <c r="Q4362" t="s">
        <v>522</v>
      </c>
      <c r="R4362" t="s">
        <v>3410</v>
      </c>
      <c r="S4362" t="s">
        <v>3456</v>
      </c>
      <c r="T4362" t="s">
        <v>2526</v>
      </c>
      <c r="U4362">
        <v>355500</v>
      </c>
      <c r="V4362" t="s">
        <v>3535</v>
      </c>
      <c r="W4362" t="s">
        <v>1734</v>
      </c>
      <c r="X4362" t="s">
        <v>23649</v>
      </c>
      <c r="Y4362" t="s">
        <v>23650</v>
      </c>
      <c r="Z4362" t="s">
        <v>3522</v>
      </c>
      <c r="AA4362" t="s">
        <v>3460</v>
      </c>
      <c r="AB4362" t="s">
        <v>23651</v>
      </c>
      <c r="AE4362">
        <v>-45.900683090000001</v>
      </c>
      <c r="AF4362">
        <v>170.51020258</v>
      </c>
      <c r="AG4362" s="175">
        <v>68</v>
      </c>
      <c r="AH4362" s="175">
        <v>18</v>
      </c>
      <c r="AI4362" s="175">
        <v>1</v>
      </c>
      <c r="AJ4362" s="175">
        <v>6</v>
      </c>
      <c r="AK4362" s="175">
        <v>18</v>
      </c>
      <c r="AL4362" s="175">
        <v>11</v>
      </c>
      <c r="AM4362" s="175">
        <v>13</v>
      </c>
      <c r="AN4362" s="175">
        <v>0</v>
      </c>
      <c r="AO4362" s="175">
        <v>49</v>
      </c>
      <c r="AP4362" s="175">
        <v>36</v>
      </c>
      <c r="AQ4362" s="175">
        <v>7</v>
      </c>
      <c r="AR4362" s="175">
        <v>3</v>
      </c>
      <c r="AS4362" s="175">
        <v>6</v>
      </c>
      <c r="AT4362" s="175">
        <v>8</v>
      </c>
    </row>
    <row r="4363" spans="1:46">
      <c r="A4363">
        <v>83021</v>
      </c>
      <c r="B4363" t="s">
        <v>23652</v>
      </c>
      <c r="C4363" t="s">
        <v>23653</v>
      </c>
      <c r="D4363" t="s">
        <v>23654</v>
      </c>
      <c r="E4363" t="s">
        <v>23655</v>
      </c>
      <c r="G4363" t="s">
        <v>3454</v>
      </c>
      <c r="H4363" t="s">
        <v>449</v>
      </c>
      <c r="J4363" t="s">
        <v>605</v>
      </c>
      <c r="K4363" t="s">
        <v>606</v>
      </c>
      <c r="M4363" t="s">
        <v>2366</v>
      </c>
      <c r="N4363" t="s">
        <v>657</v>
      </c>
      <c r="O4363" t="s">
        <v>3455</v>
      </c>
      <c r="P4363" t="s">
        <v>739</v>
      </c>
      <c r="Q4363" t="s">
        <v>522</v>
      </c>
      <c r="R4363" t="s">
        <v>3410</v>
      </c>
      <c r="S4363" t="s">
        <v>3454</v>
      </c>
      <c r="T4363" t="s">
        <v>2526</v>
      </c>
      <c r="U4363">
        <v>351600</v>
      </c>
      <c r="V4363" t="s">
        <v>23567</v>
      </c>
      <c r="W4363" t="s">
        <v>1734</v>
      </c>
      <c r="X4363" t="s">
        <v>23656</v>
      </c>
      <c r="Y4363" t="s">
        <v>23655</v>
      </c>
      <c r="Z4363" t="s">
        <v>3454</v>
      </c>
      <c r="AA4363" t="s">
        <v>11623</v>
      </c>
      <c r="AE4363">
        <v>-45.871414989999998</v>
      </c>
      <c r="AF4363">
        <v>170.48551784</v>
      </c>
      <c r="AG4363" s="175">
        <v>40</v>
      </c>
      <c r="AH4363" s="175">
        <v>16</v>
      </c>
      <c r="AI4363" s="175">
        <v>2</v>
      </c>
      <c r="AJ4363" s="175">
        <v>5</v>
      </c>
      <c r="AK4363" s="175">
        <v>13</v>
      </c>
      <c r="AL4363" s="175">
        <v>5</v>
      </c>
      <c r="AM4363" s="175">
        <v>1</v>
      </c>
      <c r="AN4363" s="175">
        <v>0</v>
      </c>
      <c r="AO4363" s="175">
        <v>26</v>
      </c>
      <c r="AP4363" s="175">
        <v>23</v>
      </c>
      <c r="AQ4363" s="175">
        <v>7</v>
      </c>
      <c r="AR4363" s="175">
        <v>0</v>
      </c>
      <c r="AS4363" s="175">
        <v>3</v>
      </c>
      <c r="AT4363" s="175">
        <v>0</v>
      </c>
    </row>
    <row r="4364" spans="1:46">
      <c r="A4364">
        <v>83022</v>
      </c>
      <c r="B4364" t="s">
        <v>23657</v>
      </c>
      <c r="C4364" t="s">
        <v>23658</v>
      </c>
      <c r="D4364" t="s">
        <v>23659</v>
      </c>
      <c r="E4364" t="s">
        <v>23660</v>
      </c>
      <c r="F4364" t="s">
        <v>3509</v>
      </c>
      <c r="G4364" t="s">
        <v>3454</v>
      </c>
      <c r="H4364" t="s">
        <v>449</v>
      </c>
      <c r="J4364" t="s">
        <v>605</v>
      </c>
      <c r="K4364" t="s">
        <v>606</v>
      </c>
      <c r="M4364" t="s">
        <v>2366</v>
      </c>
      <c r="N4364" t="s">
        <v>657</v>
      </c>
      <c r="O4364" t="s">
        <v>3455</v>
      </c>
      <c r="P4364" t="s">
        <v>739</v>
      </c>
      <c r="Q4364" t="s">
        <v>522</v>
      </c>
      <c r="R4364" t="s">
        <v>3410</v>
      </c>
      <c r="S4364" t="s">
        <v>3454</v>
      </c>
      <c r="T4364" t="s">
        <v>2526</v>
      </c>
      <c r="U4364">
        <v>353100</v>
      </c>
      <c r="V4364" t="s">
        <v>23661</v>
      </c>
      <c r="W4364" t="s">
        <v>1734</v>
      </c>
      <c r="X4364" t="s">
        <v>23662</v>
      </c>
      <c r="Y4364" t="s">
        <v>23663</v>
      </c>
      <c r="Z4364" t="s">
        <v>3509</v>
      </c>
      <c r="AA4364" t="s">
        <v>23664</v>
      </c>
      <c r="AC4364">
        <v>99208</v>
      </c>
      <c r="AD4364" t="s">
        <v>3500</v>
      </c>
      <c r="AE4364">
        <v>-45.86256796</v>
      </c>
      <c r="AF4364">
        <v>170.51542226000001</v>
      </c>
      <c r="AG4364" s="175">
        <v>150</v>
      </c>
      <c r="AH4364" s="175">
        <v>50</v>
      </c>
      <c r="AI4364" s="175">
        <v>10</v>
      </c>
      <c r="AJ4364" s="175">
        <v>26</v>
      </c>
      <c r="AK4364" s="175">
        <v>39</v>
      </c>
      <c r="AL4364" s="175">
        <v>30</v>
      </c>
      <c r="AM4364" s="175">
        <v>31</v>
      </c>
      <c r="AN4364" s="175">
        <v>2</v>
      </c>
      <c r="AO4364" s="175">
        <v>138</v>
      </c>
      <c r="AP4364" s="175">
        <v>103</v>
      </c>
      <c r="AQ4364" s="175">
        <v>27</v>
      </c>
      <c r="AR4364" s="175">
        <v>11</v>
      </c>
      <c r="AS4364" s="175">
        <v>39</v>
      </c>
      <c r="AT4364" s="175">
        <v>14</v>
      </c>
    </row>
    <row r="4365" spans="1:46">
      <c r="A4365">
        <v>83026</v>
      </c>
      <c r="B4365" t="s">
        <v>23665</v>
      </c>
      <c r="C4365" t="s">
        <v>23666</v>
      </c>
      <c r="D4365" t="s">
        <v>23667</v>
      </c>
      <c r="E4365" t="s">
        <v>23668</v>
      </c>
      <c r="F4365" t="s">
        <v>3493</v>
      </c>
      <c r="G4365" t="s">
        <v>3454</v>
      </c>
      <c r="H4365" t="s">
        <v>449</v>
      </c>
      <c r="J4365" t="s">
        <v>605</v>
      </c>
      <c r="K4365" t="s">
        <v>606</v>
      </c>
      <c r="M4365" t="s">
        <v>2366</v>
      </c>
      <c r="N4365" t="s">
        <v>657</v>
      </c>
      <c r="O4365" t="s">
        <v>3455</v>
      </c>
      <c r="P4365" t="s">
        <v>739</v>
      </c>
      <c r="Q4365" t="s">
        <v>522</v>
      </c>
      <c r="R4365" t="s">
        <v>3410</v>
      </c>
      <c r="S4365" t="s">
        <v>3456</v>
      </c>
      <c r="T4365" t="s">
        <v>2526</v>
      </c>
      <c r="U4365">
        <v>354600</v>
      </c>
      <c r="V4365" t="s">
        <v>3494</v>
      </c>
      <c r="W4365" t="s">
        <v>1734</v>
      </c>
      <c r="X4365" t="s">
        <v>23669</v>
      </c>
      <c r="Y4365" t="s">
        <v>23670</v>
      </c>
      <c r="Z4365" t="s">
        <v>3518</v>
      </c>
      <c r="AA4365" t="s">
        <v>3460</v>
      </c>
      <c r="AB4365" t="s">
        <v>23666</v>
      </c>
      <c r="AE4365">
        <v>-45.903958109999998</v>
      </c>
      <c r="AF4365">
        <v>170.49096148000001</v>
      </c>
      <c r="AG4365" s="175">
        <v>29</v>
      </c>
      <c r="AH4365" s="175">
        <v>10</v>
      </c>
      <c r="AI4365" s="175">
        <v>0</v>
      </c>
      <c r="AJ4365" s="175">
        <v>9</v>
      </c>
      <c r="AK4365" s="175">
        <v>6</v>
      </c>
      <c r="AL4365" s="175">
        <v>8</v>
      </c>
      <c r="AM4365" s="175">
        <v>9</v>
      </c>
      <c r="AN4365" s="175">
        <v>0</v>
      </c>
      <c r="AO4365" s="175">
        <v>32</v>
      </c>
      <c r="AP4365" s="175">
        <v>24</v>
      </c>
      <c r="AQ4365" s="175">
        <v>5</v>
      </c>
      <c r="AR4365" s="175">
        <v>0</v>
      </c>
      <c r="AS4365" s="175">
        <v>3</v>
      </c>
      <c r="AT4365" s="175">
        <v>3</v>
      </c>
    </row>
    <row r="4366" spans="1:46">
      <c r="A4366">
        <v>83027</v>
      </c>
      <c r="B4366" t="s">
        <v>23671</v>
      </c>
      <c r="C4366" t="s">
        <v>23672</v>
      </c>
      <c r="D4366" t="s">
        <v>23673</v>
      </c>
      <c r="E4366" t="s">
        <v>23674</v>
      </c>
      <c r="F4366" t="s">
        <v>3518</v>
      </c>
      <c r="G4366" t="s">
        <v>3454</v>
      </c>
      <c r="H4366" t="s">
        <v>449</v>
      </c>
      <c r="I4366" t="s">
        <v>5838</v>
      </c>
      <c r="J4366" t="s">
        <v>605</v>
      </c>
      <c r="K4366" t="s">
        <v>606</v>
      </c>
      <c r="M4366" t="s">
        <v>2366</v>
      </c>
      <c r="N4366" t="s">
        <v>625</v>
      </c>
      <c r="O4366" t="s">
        <v>3455</v>
      </c>
      <c r="P4366" t="s">
        <v>739</v>
      </c>
      <c r="Q4366" t="s">
        <v>522</v>
      </c>
      <c r="R4366" t="s">
        <v>3410</v>
      </c>
      <c r="S4366" t="s">
        <v>3456</v>
      </c>
      <c r="T4366" t="s">
        <v>2526</v>
      </c>
      <c r="U4366">
        <v>354701</v>
      </c>
      <c r="V4366" t="s">
        <v>3518</v>
      </c>
      <c r="W4366" t="s">
        <v>1734</v>
      </c>
      <c r="X4366" t="s">
        <v>23675</v>
      </c>
      <c r="Y4366" t="s">
        <v>23676</v>
      </c>
      <c r="Z4366" t="s">
        <v>23677</v>
      </c>
      <c r="AA4366" t="s">
        <v>3460</v>
      </c>
      <c r="AB4366" t="s">
        <v>23678</v>
      </c>
      <c r="AE4366">
        <v>-45.899023679999999</v>
      </c>
      <c r="AF4366">
        <v>170.50342591</v>
      </c>
      <c r="AG4366" s="175">
        <v>75</v>
      </c>
      <c r="AH4366" s="175">
        <v>40</v>
      </c>
      <c r="AI4366" s="175">
        <v>60</v>
      </c>
      <c r="AJ4366" s="175">
        <v>27</v>
      </c>
      <c r="AK4366" s="175">
        <v>17</v>
      </c>
      <c r="AL4366" s="175">
        <v>23</v>
      </c>
      <c r="AM4366" s="175">
        <v>9</v>
      </c>
      <c r="AN4366" s="175">
        <v>1</v>
      </c>
      <c r="AO4366" s="175">
        <v>137</v>
      </c>
      <c r="AP4366" s="175">
        <v>114</v>
      </c>
      <c r="AQ4366" s="175">
        <v>22</v>
      </c>
      <c r="AR4366" s="175">
        <v>5</v>
      </c>
      <c r="AS4366" s="175">
        <v>20</v>
      </c>
      <c r="AT4366" s="175">
        <v>11</v>
      </c>
    </row>
    <row r="4367" spans="1:46">
      <c r="A4367">
        <v>83029</v>
      </c>
      <c r="B4367" t="s">
        <v>23679</v>
      </c>
      <c r="C4367" t="s">
        <v>23680</v>
      </c>
      <c r="E4367" t="s">
        <v>23681</v>
      </c>
      <c r="F4367" t="s">
        <v>3493</v>
      </c>
      <c r="G4367" t="s">
        <v>3454</v>
      </c>
      <c r="H4367" t="s">
        <v>452</v>
      </c>
      <c r="J4367" t="s">
        <v>605</v>
      </c>
      <c r="K4367" t="s">
        <v>606</v>
      </c>
      <c r="M4367" t="s">
        <v>2366</v>
      </c>
      <c r="N4367" t="s">
        <v>657</v>
      </c>
      <c r="O4367" t="s">
        <v>3455</v>
      </c>
      <c r="P4367" t="s">
        <v>739</v>
      </c>
      <c r="Q4367" t="s">
        <v>522</v>
      </c>
      <c r="R4367" t="s">
        <v>3410</v>
      </c>
      <c r="S4367" t="s">
        <v>3456</v>
      </c>
      <c r="T4367" t="s">
        <v>2526</v>
      </c>
      <c r="U4367">
        <v>354800</v>
      </c>
      <c r="V4367" t="s">
        <v>3493</v>
      </c>
      <c r="W4367" t="s">
        <v>1734</v>
      </c>
      <c r="X4367" t="s">
        <v>3457</v>
      </c>
      <c r="Y4367" t="s">
        <v>3458</v>
      </c>
      <c r="Z4367" t="s">
        <v>3459</v>
      </c>
      <c r="AA4367" t="s">
        <v>3460</v>
      </c>
      <c r="AB4367" t="s">
        <v>3461</v>
      </c>
      <c r="AE4367">
        <v>-45.909772250000003</v>
      </c>
      <c r="AF4367">
        <v>170.49004123</v>
      </c>
      <c r="AG4367" s="175">
        <v>42</v>
      </c>
      <c r="AH4367" s="175">
        <v>0</v>
      </c>
      <c r="AI4367" s="175">
        <v>0</v>
      </c>
      <c r="AJ4367" s="175">
        <v>0</v>
      </c>
      <c r="AK4367" s="175">
        <v>6</v>
      </c>
      <c r="AL4367" s="175">
        <v>14</v>
      </c>
      <c r="AM4367" s="175">
        <v>10</v>
      </c>
      <c r="AN4367" s="175">
        <v>0</v>
      </c>
      <c r="AO4367" s="175">
        <v>30</v>
      </c>
      <c r="AP4367" s="175">
        <v>26</v>
      </c>
      <c r="AQ4367" s="175">
        <v>3</v>
      </c>
      <c r="AR4367" s="175">
        <v>4</v>
      </c>
      <c r="AS4367" s="175">
        <v>1</v>
      </c>
      <c r="AT4367" s="175">
        <v>3</v>
      </c>
    </row>
    <row r="4368" spans="1:46">
      <c r="A4368">
        <v>83030</v>
      </c>
      <c r="B4368" t="s">
        <v>23682</v>
      </c>
      <c r="C4368" t="s">
        <v>23683</v>
      </c>
      <c r="D4368" t="s">
        <v>23684</v>
      </c>
      <c r="E4368" t="s">
        <v>12094</v>
      </c>
      <c r="G4368" t="s">
        <v>3542</v>
      </c>
      <c r="H4368" t="s">
        <v>449</v>
      </c>
      <c r="J4368" t="s">
        <v>605</v>
      </c>
      <c r="K4368" t="s">
        <v>606</v>
      </c>
      <c r="M4368" t="s">
        <v>2366</v>
      </c>
      <c r="N4368" t="s">
        <v>657</v>
      </c>
      <c r="O4368" t="s">
        <v>3455</v>
      </c>
      <c r="P4368" t="s">
        <v>1347</v>
      </c>
      <c r="Q4368" t="s">
        <v>522</v>
      </c>
      <c r="R4368" t="s">
        <v>3410</v>
      </c>
      <c r="S4368" t="s">
        <v>3456</v>
      </c>
      <c r="T4368" t="s">
        <v>2526</v>
      </c>
      <c r="U4368">
        <v>350000</v>
      </c>
      <c r="V4368" t="s">
        <v>3547</v>
      </c>
      <c r="W4368" t="s">
        <v>1734</v>
      </c>
      <c r="X4368" t="s">
        <v>23685</v>
      </c>
      <c r="Y4368" t="s">
        <v>12094</v>
      </c>
      <c r="AA4368" t="s">
        <v>14659</v>
      </c>
      <c r="AB4368" t="s">
        <v>23686</v>
      </c>
      <c r="AE4368">
        <v>-45.875732399999997</v>
      </c>
      <c r="AF4368">
        <v>170.3532319</v>
      </c>
      <c r="AG4368" s="175">
        <v>59</v>
      </c>
      <c r="AH4368" s="175">
        <v>24</v>
      </c>
      <c r="AI4368" s="175">
        <v>4</v>
      </c>
      <c r="AJ4368" s="175">
        <v>12</v>
      </c>
      <c r="AK4368" s="175">
        <v>25</v>
      </c>
      <c r="AL4368" s="175">
        <v>11</v>
      </c>
      <c r="AM4368" s="175">
        <v>17</v>
      </c>
      <c r="AN4368" s="175">
        <v>0</v>
      </c>
      <c r="AO4368" s="175">
        <v>69</v>
      </c>
      <c r="AP4368" s="175">
        <v>61</v>
      </c>
      <c r="AQ4368" s="175">
        <v>13</v>
      </c>
      <c r="AR4368" s="175">
        <v>1</v>
      </c>
      <c r="AS4368" s="175">
        <v>5</v>
      </c>
      <c r="AT4368" s="175">
        <v>1</v>
      </c>
    </row>
    <row r="4369" spans="1:46">
      <c r="A4369">
        <v>83032</v>
      </c>
      <c r="B4369" t="s">
        <v>23687</v>
      </c>
      <c r="C4369" t="s">
        <v>23688</v>
      </c>
      <c r="D4369" t="s">
        <v>23689</v>
      </c>
      <c r="E4369" t="s">
        <v>23690</v>
      </c>
      <c r="G4369" t="s">
        <v>3454</v>
      </c>
      <c r="H4369" t="s">
        <v>449</v>
      </c>
      <c r="J4369" t="s">
        <v>4032</v>
      </c>
      <c r="K4369" t="s">
        <v>606</v>
      </c>
      <c r="M4369" t="s">
        <v>2366</v>
      </c>
      <c r="N4369" t="s">
        <v>657</v>
      </c>
      <c r="O4369" t="s">
        <v>3455</v>
      </c>
      <c r="P4369" t="s">
        <v>739</v>
      </c>
      <c r="Q4369" t="s">
        <v>522</v>
      </c>
      <c r="R4369" t="s">
        <v>3410</v>
      </c>
      <c r="S4369" t="s">
        <v>3454</v>
      </c>
      <c r="T4369" t="s">
        <v>2526</v>
      </c>
      <c r="U4369">
        <v>352800</v>
      </c>
      <c r="V4369" t="s">
        <v>23691</v>
      </c>
      <c r="W4369" t="s">
        <v>1734</v>
      </c>
      <c r="X4369" t="s">
        <v>23692</v>
      </c>
      <c r="Y4369" t="s">
        <v>23693</v>
      </c>
      <c r="Z4369" t="s">
        <v>18569</v>
      </c>
      <c r="AA4369" t="s">
        <v>23694</v>
      </c>
      <c r="AB4369" t="s">
        <v>23695</v>
      </c>
      <c r="AE4369">
        <v>-45.872056800000003</v>
      </c>
      <c r="AF4369">
        <v>170.50022546</v>
      </c>
      <c r="AG4369" s="175">
        <v>43</v>
      </c>
      <c r="AH4369" s="175">
        <v>23</v>
      </c>
      <c r="AI4369" s="175">
        <v>4</v>
      </c>
      <c r="AJ4369" s="175">
        <v>10</v>
      </c>
      <c r="AK4369" s="175">
        <v>5</v>
      </c>
      <c r="AL4369" s="175">
        <v>6</v>
      </c>
      <c r="AM4369" s="175">
        <v>10</v>
      </c>
      <c r="AN4369" s="175">
        <v>0</v>
      </c>
      <c r="AO4369" s="175">
        <v>35</v>
      </c>
      <c r="AP4369" s="175">
        <v>26</v>
      </c>
      <c r="AQ4369" s="175">
        <v>4</v>
      </c>
      <c r="AR4369" s="175">
        <v>3</v>
      </c>
      <c r="AS4369" s="175">
        <v>3</v>
      </c>
      <c r="AT4369" s="175">
        <v>1</v>
      </c>
    </row>
    <row r="4370" spans="1:46">
      <c r="A4370">
        <v>83036</v>
      </c>
      <c r="B4370" t="s">
        <v>23696</v>
      </c>
      <c r="C4370" t="s">
        <v>23697</v>
      </c>
      <c r="D4370" t="s">
        <v>23698</v>
      </c>
      <c r="E4370" t="s">
        <v>23699</v>
      </c>
      <c r="G4370" t="s">
        <v>11255</v>
      </c>
      <c r="H4370" t="s">
        <v>449</v>
      </c>
      <c r="J4370" t="s">
        <v>605</v>
      </c>
      <c r="K4370" t="s">
        <v>606</v>
      </c>
      <c r="M4370" t="s">
        <v>2366</v>
      </c>
      <c r="N4370" t="s">
        <v>657</v>
      </c>
      <c r="O4370" t="s">
        <v>3906</v>
      </c>
      <c r="P4370" t="s">
        <v>1347</v>
      </c>
      <c r="Q4370" t="s">
        <v>522</v>
      </c>
      <c r="R4370" t="s">
        <v>3410</v>
      </c>
      <c r="S4370" t="s">
        <v>3323</v>
      </c>
      <c r="T4370" t="s">
        <v>2526</v>
      </c>
      <c r="U4370">
        <v>347000</v>
      </c>
      <c r="V4370" t="s">
        <v>18767</v>
      </c>
      <c r="W4370" t="s">
        <v>11257</v>
      </c>
      <c r="X4370" t="s">
        <v>23700</v>
      </c>
      <c r="Y4370" t="s">
        <v>23699</v>
      </c>
      <c r="AA4370" t="s">
        <v>11259</v>
      </c>
      <c r="AB4370" t="s">
        <v>23697</v>
      </c>
      <c r="AE4370">
        <v>-44.702474500000001</v>
      </c>
      <c r="AF4370">
        <v>169.13384210000001</v>
      </c>
      <c r="AG4370" s="175">
        <v>65</v>
      </c>
      <c r="AH4370" s="175">
        <v>12</v>
      </c>
      <c r="AI4370" s="175">
        <v>0</v>
      </c>
      <c r="AJ4370" s="175">
        <v>7</v>
      </c>
      <c r="AK4370" s="175">
        <v>11</v>
      </c>
      <c r="AL4370" s="175">
        <v>17</v>
      </c>
      <c r="AM4370" s="175">
        <v>15</v>
      </c>
      <c r="AN4370" s="175">
        <v>0</v>
      </c>
      <c r="AO4370" s="175">
        <v>50</v>
      </c>
      <c r="AP4370" s="175">
        <v>43</v>
      </c>
      <c r="AQ4370" s="175">
        <v>5</v>
      </c>
      <c r="AR4370" s="175">
        <v>0</v>
      </c>
      <c r="AS4370" s="175">
        <v>3</v>
      </c>
      <c r="AT4370" s="175">
        <v>2</v>
      </c>
    </row>
    <row r="4371" spans="1:46">
      <c r="A4371">
        <v>83041</v>
      </c>
      <c r="B4371" t="s">
        <v>23701</v>
      </c>
      <c r="C4371" t="s">
        <v>23454</v>
      </c>
      <c r="D4371" t="s">
        <v>23455</v>
      </c>
      <c r="E4371" t="s">
        <v>23702</v>
      </c>
      <c r="F4371" t="s">
        <v>3493</v>
      </c>
      <c r="G4371" t="s">
        <v>3454</v>
      </c>
      <c r="H4371" t="s">
        <v>449</v>
      </c>
      <c r="J4371" t="s">
        <v>4032</v>
      </c>
      <c r="K4371" t="s">
        <v>606</v>
      </c>
      <c r="M4371" t="s">
        <v>2366</v>
      </c>
      <c r="N4371" t="s">
        <v>657</v>
      </c>
      <c r="O4371" t="s">
        <v>3455</v>
      </c>
      <c r="P4371" t="s">
        <v>739</v>
      </c>
      <c r="Q4371" t="s">
        <v>522</v>
      </c>
      <c r="R4371" t="s">
        <v>3410</v>
      </c>
      <c r="S4371" t="s">
        <v>3456</v>
      </c>
      <c r="T4371" t="s">
        <v>2526</v>
      </c>
      <c r="U4371">
        <v>354600</v>
      </c>
      <c r="V4371" t="s">
        <v>3494</v>
      </c>
      <c r="W4371" t="s">
        <v>1734</v>
      </c>
      <c r="X4371" t="s">
        <v>23457</v>
      </c>
      <c r="Y4371" t="s">
        <v>23458</v>
      </c>
      <c r="Z4371" t="s">
        <v>3518</v>
      </c>
      <c r="AA4371" t="s">
        <v>23459</v>
      </c>
      <c r="AB4371" t="s">
        <v>23454</v>
      </c>
      <c r="AE4371">
        <v>-45.902359269999998</v>
      </c>
      <c r="AF4371">
        <v>170.48695495999999</v>
      </c>
      <c r="AG4371" s="175">
        <v>54</v>
      </c>
      <c r="AH4371" s="175">
        <v>1</v>
      </c>
      <c r="AI4371" s="175">
        <v>0</v>
      </c>
      <c r="AJ4371" s="175">
        <v>0</v>
      </c>
      <c r="AK4371" s="175">
        <v>6</v>
      </c>
      <c r="AL4371" s="175">
        <v>15</v>
      </c>
      <c r="AM4371" s="175">
        <v>23</v>
      </c>
      <c r="AN4371" s="175">
        <v>2</v>
      </c>
      <c r="AO4371" s="175">
        <v>46</v>
      </c>
      <c r="AP4371" s="175">
        <v>28</v>
      </c>
      <c r="AQ4371" s="175">
        <v>15</v>
      </c>
      <c r="AR4371" s="175">
        <v>3</v>
      </c>
      <c r="AS4371" s="175">
        <v>12</v>
      </c>
      <c r="AT4371" s="175">
        <v>2</v>
      </c>
    </row>
    <row r="4372" spans="1:46">
      <c r="A4372">
        <v>83042</v>
      </c>
      <c r="B4372" t="s">
        <v>23703</v>
      </c>
      <c r="C4372" t="s">
        <v>16742</v>
      </c>
      <c r="D4372" t="s">
        <v>23704</v>
      </c>
      <c r="E4372" t="s">
        <v>23705</v>
      </c>
      <c r="F4372" t="s">
        <v>3505</v>
      </c>
      <c r="G4372" t="s">
        <v>3454</v>
      </c>
      <c r="H4372" t="s">
        <v>449</v>
      </c>
      <c r="J4372" t="s">
        <v>4032</v>
      </c>
      <c r="K4372" t="s">
        <v>606</v>
      </c>
      <c r="M4372" t="s">
        <v>2366</v>
      </c>
      <c r="N4372" t="s">
        <v>657</v>
      </c>
      <c r="O4372" t="s">
        <v>3455</v>
      </c>
      <c r="P4372" t="s">
        <v>739</v>
      </c>
      <c r="Q4372" t="s">
        <v>522</v>
      </c>
      <c r="R4372" t="s">
        <v>3410</v>
      </c>
      <c r="S4372" t="s">
        <v>3454</v>
      </c>
      <c r="T4372" t="s">
        <v>2526</v>
      </c>
      <c r="U4372">
        <v>351000</v>
      </c>
      <c r="V4372" t="s">
        <v>3505</v>
      </c>
      <c r="W4372" t="s">
        <v>1734</v>
      </c>
      <c r="X4372" t="s">
        <v>16744</v>
      </c>
      <c r="Y4372" t="s">
        <v>16745</v>
      </c>
      <c r="Z4372" t="s">
        <v>3504</v>
      </c>
      <c r="AA4372" t="s">
        <v>11623</v>
      </c>
      <c r="AB4372" t="s">
        <v>16746</v>
      </c>
      <c r="AE4372">
        <v>-45.864698410000003</v>
      </c>
      <c r="AF4372">
        <v>170.48534577999999</v>
      </c>
      <c r="AG4372" s="175">
        <v>45</v>
      </c>
      <c r="AH4372" s="175">
        <v>16</v>
      </c>
      <c r="AI4372" s="175">
        <v>6</v>
      </c>
      <c r="AJ4372" s="175">
        <v>13</v>
      </c>
      <c r="AK4372" s="175">
        <v>2</v>
      </c>
      <c r="AL4372" s="175">
        <v>12</v>
      </c>
      <c r="AM4372" s="175">
        <v>16</v>
      </c>
      <c r="AN4372" s="175">
        <v>0</v>
      </c>
      <c r="AO4372" s="175">
        <v>49</v>
      </c>
      <c r="AP4372" s="175">
        <v>37</v>
      </c>
      <c r="AQ4372" s="175">
        <v>2</v>
      </c>
      <c r="AR4372" s="175">
        <v>0</v>
      </c>
      <c r="AS4372" s="175">
        <v>16</v>
      </c>
      <c r="AT4372" s="175">
        <v>0</v>
      </c>
    </row>
    <row r="4373" spans="1:46">
      <c r="A4373">
        <v>83044</v>
      </c>
      <c r="B4373" t="s">
        <v>23706</v>
      </c>
      <c r="C4373" t="s">
        <v>23707</v>
      </c>
      <c r="D4373" t="s">
        <v>12026</v>
      </c>
      <c r="E4373" t="s">
        <v>12029</v>
      </c>
      <c r="G4373" t="s">
        <v>3950</v>
      </c>
      <c r="H4373" t="s">
        <v>449</v>
      </c>
      <c r="J4373" t="s">
        <v>605</v>
      </c>
      <c r="K4373" t="s">
        <v>606</v>
      </c>
      <c r="M4373" t="s">
        <v>2366</v>
      </c>
      <c r="N4373" t="s">
        <v>657</v>
      </c>
      <c r="O4373" t="s">
        <v>3553</v>
      </c>
      <c r="P4373" t="s">
        <v>610</v>
      </c>
      <c r="Q4373" t="s">
        <v>522</v>
      </c>
      <c r="R4373" t="s">
        <v>3410</v>
      </c>
      <c r="S4373" t="s">
        <v>3456</v>
      </c>
      <c r="T4373" t="s">
        <v>2526</v>
      </c>
      <c r="U4373">
        <v>356400</v>
      </c>
      <c r="V4373" t="s">
        <v>3950</v>
      </c>
      <c r="W4373" t="s">
        <v>3951</v>
      </c>
      <c r="X4373" t="s">
        <v>12028</v>
      </c>
      <c r="Y4373" t="s">
        <v>12029</v>
      </c>
      <c r="AA4373" t="s">
        <v>12030</v>
      </c>
      <c r="AC4373">
        <v>99179</v>
      </c>
      <c r="AD4373" t="s">
        <v>3952</v>
      </c>
      <c r="AE4373">
        <v>-46.118626159999998</v>
      </c>
      <c r="AF4373">
        <v>169.96581405000001</v>
      </c>
      <c r="AG4373" s="175">
        <v>37</v>
      </c>
      <c r="AH4373" s="175">
        <v>13</v>
      </c>
      <c r="AI4373" s="175">
        <v>1</v>
      </c>
      <c r="AJ4373" s="175">
        <v>9</v>
      </c>
      <c r="AK4373" s="175">
        <v>12</v>
      </c>
      <c r="AL4373" s="175">
        <v>14</v>
      </c>
      <c r="AM4373" s="175">
        <v>14</v>
      </c>
      <c r="AN4373" s="175">
        <v>0</v>
      </c>
      <c r="AO4373" s="175">
        <v>50</v>
      </c>
      <c r="AP4373" s="175">
        <v>36</v>
      </c>
      <c r="AQ4373" s="175">
        <v>14</v>
      </c>
      <c r="AR4373" s="175">
        <v>1</v>
      </c>
      <c r="AS4373" s="175">
        <v>2</v>
      </c>
      <c r="AT4373" s="175">
        <v>5</v>
      </c>
    </row>
    <row r="4374" spans="1:46">
      <c r="A4374">
        <v>83051</v>
      </c>
      <c r="B4374" t="s">
        <v>23708</v>
      </c>
      <c r="C4374" t="s">
        <v>23709</v>
      </c>
      <c r="E4374" t="s">
        <v>23710</v>
      </c>
      <c r="F4374" t="s">
        <v>3470</v>
      </c>
      <c r="G4374" t="s">
        <v>3454</v>
      </c>
      <c r="H4374" t="s">
        <v>347</v>
      </c>
      <c r="J4374" t="s">
        <v>605</v>
      </c>
      <c r="K4374" t="s">
        <v>606</v>
      </c>
      <c r="L4374" t="s">
        <v>4273</v>
      </c>
      <c r="M4374" t="s">
        <v>2366</v>
      </c>
      <c r="N4374" t="s">
        <v>625</v>
      </c>
      <c r="O4374" t="s">
        <v>3455</v>
      </c>
      <c r="P4374" t="s">
        <v>739</v>
      </c>
      <c r="Q4374" t="s">
        <v>522</v>
      </c>
      <c r="R4374" t="s">
        <v>3410</v>
      </c>
      <c r="S4374" t="s">
        <v>3454</v>
      </c>
      <c r="T4374" t="s">
        <v>2526</v>
      </c>
      <c r="U4374">
        <v>350900</v>
      </c>
      <c r="V4374" t="s">
        <v>3470</v>
      </c>
      <c r="W4374" t="s">
        <v>1734</v>
      </c>
      <c r="X4374" t="s">
        <v>12121</v>
      </c>
      <c r="Y4374" t="s">
        <v>4276</v>
      </c>
      <c r="Z4374" t="s">
        <v>4277</v>
      </c>
      <c r="AA4374" t="s">
        <v>4278</v>
      </c>
      <c r="AB4374" t="s">
        <v>12122</v>
      </c>
      <c r="AE4374">
        <v>-45.867429620000003</v>
      </c>
      <c r="AF4374">
        <v>170.45832775</v>
      </c>
      <c r="AG4374" s="175">
        <v>28</v>
      </c>
      <c r="AH4374" s="175">
        <v>8</v>
      </c>
      <c r="AI4374" s="175">
        <v>1</v>
      </c>
      <c r="AJ4374" s="175">
        <v>3</v>
      </c>
      <c r="AK4374" s="175">
        <v>9</v>
      </c>
      <c r="AL4374" s="175">
        <v>7</v>
      </c>
      <c r="AM4374" s="175">
        <v>5</v>
      </c>
      <c r="AN4374" s="175">
        <v>0</v>
      </c>
      <c r="AO4374" s="175">
        <v>25</v>
      </c>
      <c r="AP4374" s="175">
        <v>0</v>
      </c>
      <c r="AQ4374" s="175">
        <v>17</v>
      </c>
      <c r="AR4374" s="175">
        <v>3</v>
      </c>
      <c r="AS4374" s="175">
        <v>0</v>
      </c>
      <c r="AT4374" s="175">
        <v>5</v>
      </c>
    </row>
    <row r="4375" spans="1:46">
      <c r="A4375">
        <v>83054</v>
      </c>
      <c r="B4375" t="s">
        <v>23711</v>
      </c>
      <c r="C4375" t="s">
        <v>23712</v>
      </c>
      <c r="E4375" t="s">
        <v>23713</v>
      </c>
      <c r="G4375" t="s">
        <v>3454</v>
      </c>
      <c r="H4375" t="s">
        <v>449</v>
      </c>
      <c r="J4375" t="s">
        <v>605</v>
      </c>
      <c r="K4375" t="s">
        <v>606</v>
      </c>
      <c r="M4375" t="s">
        <v>2366</v>
      </c>
      <c r="N4375" t="s">
        <v>657</v>
      </c>
      <c r="O4375" t="s">
        <v>3455</v>
      </c>
      <c r="P4375" t="s">
        <v>739</v>
      </c>
      <c r="Q4375" t="s">
        <v>522</v>
      </c>
      <c r="R4375" t="s">
        <v>3410</v>
      </c>
      <c r="S4375" t="s">
        <v>3454</v>
      </c>
      <c r="T4375" t="s">
        <v>2526</v>
      </c>
      <c r="U4375">
        <v>353100</v>
      </c>
      <c r="V4375" t="s">
        <v>23661</v>
      </c>
      <c r="W4375" t="s">
        <v>1734</v>
      </c>
      <c r="X4375" t="s">
        <v>23714</v>
      </c>
      <c r="Y4375" t="s">
        <v>7418</v>
      </c>
      <c r="AA4375" t="s">
        <v>7419</v>
      </c>
      <c r="AB4375" t="s">
        <v>23715</v>
      </c>
      <c r="AE4375">
        <v>-45.865703009999997</v>
      </c>
      <c r="AF4375">
        <v>170.51859615999999</v>
      </c>
      <c r="AG4375" s="175">
        <v>60</v>
      </c>
      <c r="AH4375" s="175">
        <v>20</v>
      </c>
      <c r="AI4375" s="175">
        <v>2</v>
      </c>
      <c r="AJ4375" s="175">
        <v>5</v>
      </c>
      <c r="AK4375" s="175">
        <v>14</v>
      </c>
      <c r="AL4375" s="175">
        <v>13</v>
      </c>
      <c r="AM4375" s="175">
        <v>9</v>
      </c>
      <c r="AN4375" s="175">
        <v>0</v>
      </c>
      <c r="AO4375" s="175">
        <v>43</v>
      </c>
      <c r="AP4375" s="175">
        <v>32</v>
      </c>
      <c r="AQ4375" s="175">
        <v>5</v>
      </c>
      <c r="AR4375" s="175">
        <v>2</v>
      </c>
      <c r="AS4375" s="175">
        <v>4</v>
      </c>
      <c r="AT4375" s="175">
        <v>12</v>
      </c>
    </row>
    <row r="4376" spans="1:46">
      <c r="A4376">
        <v>83055</v>
      </c>
      <c r="B4376" t="s">
        <v>23716</v>
      </c>
      <c r="C4376" t="s">
        <v>23717</v>
      </c>
      <c r="D4376" t="s">
        <v>23718</v>
      </c>
      <c r="E4376" t="s">
        <v>23719</v>
      </c>
      <c r="G4376" t="s">
        <v>3441</v>
      </c>
      <c r="H4376" t="s">
        <v>450</v>
      </c>
      <c r="J4376" t="s">
        <v>605</v>
      </c>
      <c r="K4376" t="s">
        <v>606</v>
      </c>
      <c r="M4376" t="s">
        <v>2366</v>
      </c>
      <c r="N4376" t="s">
        <v>657</v>
      </c>
      <c r="O4376" t="s">
        <v>3432</v>
      </c>
      <c r="P4376" t="s">
        <v>610</v>
      </c>
      <c r="Q4376" t="s">
        <v>522</v>
      </c>
      <c r="R4376" t="s">
        <v>3410</v>
      </c>
      <c r="S4376" t="s">
        <v>3323</v>
      </c>
      <c r="T4376" t="s">
        <v>2526</v>
      </c>
      <c r="U4376">
        <v>344900</v>
      </c>
      <c r="V4376" t="s">
        <v>3442</v>
      </c>
      <c r="W4376" t="s">
        <v>3443</v>
      </c>
      <c r="X4376" t="s">
        <v>23720</v>
      </c>
      <c r="Y4376" t="s">
        <v>6434</v>
      </c>
      <c r="Z4376" t="s">
        <v>4622</v>
      </c>
      <c r="AA4376" t="s">
        <v>4623</v>
      </c>
      <c r="AB4376" t="s">
        <v>23721</v>
      </c>
      <c r="AE4376">
        <v>-45.042857009999999</v>
      </c>
      <c r="AF4376">
        <v>169.18666562999999</v>
      </c>
      <c r="AG4376" s="175">
        <v>50</v>
      </c>
      <c r="AH4376" s="175">
        <v>50</v>
      </c>
      <c r="AI4376" s="175">
        <v>0</v>
      </c>
      <c r="AJ4376" s="175">
        <v>4</v>
      </c>
      <c r="AK4376" s="175">
        <v>7</v>
      </c>
      <c r="AL4376" s="175">
        <v>1</v>
      </c>
      <c r="AM4376" s="175">
        <v>1</v>
      </c>
      <c r="AN4376" s="175">
        <v>0</v>
      </c>
      <c r="AO4376" s="175">
        <v>13</v>
      </c>
      <c r="AP4376" s="175">
        <v>11</v>
      </c>
      <c r="AQ4376" s="175">
        <v>1</v>
      </c>
      <c r="AR4376" s="175">
        <v>0</v>
      </c>
      <c r="AS4376" s="175">
        <v>2</v>
      </c>
      <c r="AT4376" s="175">
        <v>0</v>
      </c>
    </row>
    <row r="4377" spans="1:46">
      <c r="A4377">
        <v>83062</v>
      </c>
      <c r="B4377" t="s">
        <v>23722</v>
      </c>
      <c r="C4377" t="s">
        <v>23723</v>
      </c>
      <c r="D4377" t="s">
        <v>23724</v>
      </c>
      <c r="E4377" t="s">
        <v>23725</v>
      </c>
      <c r="F4377" t="s">
        <v>1424</v>
      </c>
      <c r="G4377" t="s">
        <v>3454</v>
      </c>
      <c r="H4377" t="s">
        <v>449</v>
      </c>
      <c r="J4377" t="s">
        <v>4032</v>
      </c>
      <c r="K4377" t="s">
        <v>606</v>
      </c>
      <c r="M4377" t="s">
        <v>2366</v>
      </c>
      <c r="N4377" t="s">
        <v>657</v>
      </c>
      <c r="O4377" t="s">
        <v>3455</v>
      </c>
      <c r="P4377" t="s">
        <v>739</v>
      </c>
      <c r="Q4377" t="s">
        <v>522</v>
      </c>
      <c r="R4377" t="s">
        <v>3410</v>
      </c>
      <c r="S4377" t="s">
        <v>3456</v>
      </c>
      <c r="T4377" t="s">
        <v>2526</v>
      </c>
      <c r="U4377">
        <v>350700</v>
      </c>
      <c r="V4377" t="s">
        <v>23726</v>
      </c>
      <c r="W4377" t="s">
        <v>1734</v>
      </c>
      <c r="X4377" t="s">
        <v>23727</v>
      </c>
      <c r="Y4377" t="s">
        <v>4096</v>
      </c>
      <c r="Z4377" t="s">
        <v>3986</v>
      </c>
      <c r="AA4377" t="s">
        <v>4097</v>
      </c>
      <c r="AB4377" t="s">
        <v>23728</v>
      </c>
      <c r="AE4377">
        <v>-45.900704740000002</v>
      </c>
      <c r="AF4377">
        <v>170.39340687999999</v>
      </c>
      <c r="AG4377" s="175">
        <v>25</v>
      </c>
      <c r="AH4377" s="175">
        <v>5</v>
      </c>
      <c r="AI4377" s="175">
        <v>1</v>
      </c>
      <c r="AJ4377" s="175">
        <v>5</v>
      </c>
      <c r="AK4377" s="175">
        <v>10</v>
      </c>
      <c r="AL4377" s="175">
        <v>6</v>
      </c>
      <c r="AM4377" s="175">
        <v>8</v>
      </c>
      <c r="AN4377" s="175">
        <v>0</v>
      </c>
      <c r="AO4377" s="175">
        <v>30</v>
      </c>
      <c r="AP4377" s="175">
        <v>27</v>
      </c>
      <c r="AQ4377" s="175">
        <v>7</v>
      </c>
      <c r="AR4377" s="175">
        <v>2</v>
      </c>
      <c r="AS4377" s="175">
        <v>5</v>
      </c>
      <c r="AT4377" s="175">
        <v>1</v>
      </c>
    </row>
    <row r="4378" spans="1:46">
      <c r="A4378">
        <v>83063</v>
      </c>
      <c r="B4378" t="s">
        <v>23729</v>
      </c>
      <c r="C4378" t="s">
        <v>23730</v>
      </c>
      <c r="D4378" t="s">
        <v>23731</v>
      </c>
      <c r="E4378" t="s">
        <v>23732</v>
      </c>
      <c r="G4378" t="s">
        <v>3408</v>
      </c>
      <c r="H4378" t="s">
        <v>449</v>
      </c>
      <c r="J4378" t="s">
        <v>605</v>
      </c>
      <c r="K4378" t="s">
        <v>606</v>
      </c>
      <c r="M4378" t="s">
        <v>2366</v>
      </c>
      <c r="N4378" t="s">
        <v>657</v>
      </c>
      <c r="O4378" t="s">
        <v>3409</v>
      </c>
      <c r="P4378" t="s">
        <v>1347</v>
      </c>
      <c r="Q4378" t="s">
        <v>522</v>
      </c>
      <c r="R4378" t="s">
        <v>3410</v>
      </c>
      <c r="S4378" t="s">
        <v>3323</v>
      </c>
      <c r="T4378" t="s">
        <v>2526</v>
      </c>
      <c r="U4378">
        <v>344200</v>
      </c>
      <c r="V4378" t="s">
        <v>13561</v>
      </c>
      <c r="W4378" t="s">
        <v>3412</v>
      </c>
      <c r="X4378" t="s">
        <v>23733</v>
      </c>
      <c r="Y4378" t="s">
        <v>6434</v>
      </c>
      <c r="Z4378" t="s">
        <v>4622</v>
      </c>
      <c r="AA4378" t="s">
        <v>4623</v>
      </c>
      <c r="AC4378">
        <v>99116</v>
      </c>
      <c r="AD4378" t="s">
        <v>23521</v>
      </c>
      <c r="AE4378">
        <v>-45.090026260000002</v>
      </c>
      <c r="AF4378">
        <v>170.97672623</v>
      </c>
      <c r="AG4378" s="175">
        <v>44</v>
      </c>
      <c r="AH4378" s="175">
        <v>12</v>
      </c>
      <c r="AI4378" s="175">
        <v>2</v>
      </c>
      <c r="AJ4378" s="175">
        <v>11</v>
      </c>
      <c r="AK4378" s="175">
        <v>14</v>
      </c>
      <c r="AL4378" s="175">
        <v>13</v>
      </c>
      <c r="AM4378" s="175">
        <v>23</v>
      </c>
      <c r="AN4378" s="175">
        <v>0</v>
      </c>
      <c r="AO4378" s="175">
        <v>63</v>
      </c>
      <c r="AP4378" s="175">
        <v>50</v>
      </c>
      <c r="AQ4378" s="175">
        <v>22</v>
      </c>
      <c r="AR4378" s="175">
        <v>5</v>
      </c>
      <c r="AS4378" s="175">
        <v>5</v>
      </c>
      <c r="AT4378" s="175">
        <v>1</v>
      </c>
    </row>
    <row r="4379" spans="1:46">
      <c r="A4379">
        <v>83064</v>
      </c>
      <c r="B4379" t="s">
        <v>23734</v>
      </c>
      <c r="C4379" t="s">
        <v>23326</v>
      </c>
      <c r="D4379" t="s">
        <v>23327</v>
      </c>
      <c r="E4379" t="s">
        <v>23328</v>
      </c>
      <c r="F4379" t="s">
        <v>3466</v>
      </c>
      <c r="G4379" t="s">
        <v>3454</v>
      </c>
      <c r="H4379" t="s">
        <v>450</v>
      </c>
      <c r="J4379" t="s">
        <v>605</v>
      </c>
      <c r="K4379" t="s">
        <v>606</v>
      </c>
      <c r="M4379" t="s">
        <v>2366</v>
      </c>
      <c r="N4379" t="s">
        <v>657</v>
      </c>
      <c r="O4379" t="s">
        <v>3455</v>
      </c>
      <c r="P4379" t="s">
        <v>739</v>
      </c>
      <c r="Q4379" t="s">
        <v>522</v>
      </c>
      <c r="R4379" t="s">
        <v>3410</v>
      </c>
      <c r="S4379" t="s">
        <v>3456</v>
      </c>
      <c r="T4379" t="s">
        <v>2526</v>
      </c>
      <c r="U4379">
        <v>355300</v>
      </c>
      <c r="V4379" t="s">
        <v>3466</v>
      </c>
      <c r="W4379" t="s">
        <v>1734</v>
      </c>
      <c r="X4379" t="s">
        <v>23329</v>
      </c>
      <c r="Y4379" t="s">
        <v>23328</v>
      </c>
      <c r="Z4379" t="s">
        <v>3466</v>
      </c>
      <c r="AA4379" t="s">
        <v>15856</v>
      </c>
      <c r="AB4379" t="s">
        <v>23326</v>
      </c>
      <c r="AE4379">
        <v>-45.898087140000001</v>
      </c>
      <c r="AF4379">
        <v>170.51626386999999</v>
      </c>
      <c r="AG4379" s="175">
        <v>80</v>
      </c>
      <c r="AH4379" s="175">
        <v>80</v>
      </c>
      <c r="AI4379" s="175">
        <v>1</v>
      </c>
      <c r="AJ4379" s="175">
        <v>15</v>
      </c>
      <c r="AK4379" s="175">
        <v>22</v>
      </c>
      <c r="AL4379" s="175">
        <v>18</v>
      </c>
      <c r="AM4379" s="175">
        <v>14</v>
      </c>
      <c r="AN4379" s="175">
        <v>1</v>
      </c>
      <c r="AO4379" s="175">
        <v>71</v>
      </c>
      <c r="AP4379" s="175">
        <v>58</v>
      </c>
      <c r="AQ4379" s="175">
        <v>21</v>
      </c>
      <c r="AR4379" s="175">
        <v>2</v>
      </c>
      <c r="AS4379" s="175">
        <v>8</v>
      </c>
      <c r="AT4379" s="175">
        <v>1</v>
      </c>
    </row>
    <row r="4380" spans="1:46">
      <c r="A4380">
        <v>83065</v>
      </c>
      <c r="B4380" t="s">
        <v>23735</v>
      </c>
      <c r="C4380" t="s">
        <v>23736</v>
      </c>
      <c r="D4380" t="s">
        <v>23737</v>
      </c>
      <c r="E4380" t="s">
        <v>23738</v>
      </c>
      <c r="F4380" t="s">
        <v>14367</v>
      </c>
      <c r="G4380" t="s">
        <v>3454</v>
      </c>
      <c r="H4380" t="s">
        <v>449</v>
      </c>
      <c r="J4380" t="s">
        <v>605</v>
      </c>
      <c r="K4380" t="s">
        <v>606</v>
      </c>
      <c r="M4380" t="s">
        <v>2366</v>
      </c>
      <c r="N4380" t="s">
        <v>657</v>
      </c>
      <c r="O4380" t="s">
        <v>3455</v>
      </c>
      <c r="P4380" t="s">
        <v>739</v>
      </c>
      <c r="Q4380" t="s">
        <v>522</v>
      </c>
      <c r="R4380" t="s">
        <v>3410</v>
      </c>
      <c r="S4380" t="s">
        <v>3454</v>
      </c>
      <c r="T4380" t="s">
        <v>2526</v>
      </c>
      <c r="U4380">
        <v>353701</v>
      </c>
      <c r="V4380" t="s">
        <v>23739</v>
      </c>
      <c r="W4380" t="s">
        <v>1734</v>
      </c>
      <c r="X4380" t="s">
        <v>23662</v>
      </c>
      <c r="Y4380" t="s">
        <v>23663</v>
      </c>
      <c r="Z4380" t="s">
        <v>3509</v>
      </c>
      <c r="AA4380" t="s">
        <v>23664</v>
      </c>
      <c r="AC4380">
        <v>99208</v>
      </c>
      <c r="AD4380" t="s">
        <v>3500</v>
      </c>
      <c r="AE4380">
        <v>-45.867574820000002</v>
      </c>
      <c r="AF4380">
        <v>170.52079327999999</v>
      </c>
      <c r="AG4380" s="175">
        <v>32</v>
      </c>
      <c r="AH4380" s="175">
        <v>10</v>
      </c>
      <c r="AI4380" s="175">
        <v>2</v>
      </c>
      <c r="AJ4380" s="175">
        <v>7</v>
      </c>
      <c r="AK4380" s="175">
        <v>4</v>
      </c>
      <c r="AL4380" s="175">
        <v>7</v>
      </c>
      <c r="AM4380" s="175">
        <v>6</v>
      </c>
      <c r="AN4380" s="175">
        <v>2</v>
      </c>
      <c r="AO4380" s="175">
        <v>28</v>
      </c>
      <c r="AP4380" s="175">
        <v>21</v>
      </c>
      <c r="AQ4380" s="175">
        <v>2</v>
      </c>
      <c r="AR4380" s="175">
        <v>2</v>
      </c>
      <c r="AS4380" s="175">
        <v>6</v>
      </c>
      <c r="AT4380" s="175">
        <v>0</v>
      </c>
    </row>
    <row r="4381" spans="1:46">
      <c r="A4381">
        <v>83066</v>
      </c>
      <c r="B4381" t="s">
        <v>23740</v>
      </c>
      <c r="C4381" t="s">
        <v>23741</v>
      </c>
      <c r="E4381" t="s">
        <v>23742</v>
      </c>
      <c r="F4381" t="s">
        <v>3522</v>
      </c>
      <c r="G4381" t="s">
        <v>3454</v>
      </c>
      <c r="H4381" t="s">
        <v>347</v>
      </c>
      <c r="J4381" t="s">
        <v>605</v>
      </c>
      <c r="K4381" t="s">
        <v>606</v>
      </c>
      <c r="L4381" t="s">
        <v>4273</v>
      </c>
      <c r="M4381" t="s">
        <v>2366</v>
      </c>
      <c r="N4381" t="s">
        <v>625</v>
      </c>
      <c r="O4381" t="s">
        <v>3455</v>
      </c>
      <c r="P4381" t="s">
        <v>739</v>
      </c>
      <c r="Q4381" t="s">
        <v>522</v>
      </c>
      <c r="R4381" t="s">
        <v>3410</v>
      </c>
      <c r="S4381" t="s">
        <v>3456</v>
      </c>
      <c r="T4381" t="s">
        <v>2526</v>
      </c>
      <c r="U4381">
        <v>354200</v>
      </c>
      <c r="V4381" t="s">
        <v>3522</v>
      </c>
      <c r="W4381" t="s">
        <v>1734</v>
      </c>
      <c r="X4381" t="s">
        <v>12121</v>
      </c>
      <c r="Y4381" t="s">
        <v>4276</v>
      </c>
      <c r="Z4381" t="s">
        <v>4277</v>
      </c>
      <c r="AA4381" t="s">
        <v>4278</v>
      </c>
      <c r="AB4381" t="s">
        <v>12122</v>
      </c>
      <c r="AE4381">
        <v>-45.895078439999999</v>
      </c>
      <c r="AF4381">
        <v>170.48439338</v>
      </c>
      <c r="AG4381" s="175">
        <v>30</v>
      </c>
      <c r="AH4381" s="175">
        <v>10</v>
      </c>
      <c r="AI4381" s="175">
        <v>0</v>
      </c>
      <c r="AJ4381" s="175">
        <v>3</v>
      </c>
      <c r="AK4381" s="175">
        <v>7</v>
      </c>
      <c r="AL4381" s="175">
        <v>10</v>
      </c>
      <c r="AM4381" s="175">
        <v>9</v>
      </c>
      <c r="AN4381" s="175">
        <v>0</v>
      </c>
      <c r="AO4381" s="175">
        <v>29</v>
      </c>
      <c r="AP4381" s="175">
        <v>0</v>
      </c>
      <c r="AQ4381" s="175">
        <v>26</v>
      </c>
      <c r="AR4381" s="175">
        <v>2</v>
      </c>
      <c r="AS4381" s="175">
        <v>0</v>
      </c>
      <c r="AT4381" s="175">
        <v>1</v>
      </c>
    </row>
    <row r="4382" spans="1:46">
      <c r="A4382">
        <v>83068</v>
      </c>
      <c r="B4382" t="s">
        <v>23743</v>
      </c>
      <c r="C4382" t="s">
        <v>23744</v>
      </c>
      <c r="E4382" t="s">
        <v>23745</v>
      </c>
      <c r="G4382" t="s">
        <v>3454</v>
      </c>
      <c r="H4382" t="s">
        <v>451</v>
      </c>
      <c r="I4382" t="s">
        <v>4102</v>
      </c>
      <c r="J4382" t="s">
        <v>605</v>
      </c>
      <c r="K4382" t="s">
        <v>606</v>
      </c>
      <c r="M4382" t="s">
        <v>2366</v>
      </c>
      <c r="N4382" t="s">
        <v>812</v>
      </c>
      <c r="O4382" t="s">
        <v>3455</v>
      </c>
      <c r="P4382" t="s">
        <v>739</v>
      </c>
      <c r="Q4382" t="s">
        <v>522</v>
      </c>
      <c r="R4382" t="s">
        <v>3410</v>
      </c>
      <c r="S4382" t="s">
        <v>3454</v>
      </c>
      <c r="T4382" t="s">
        <v>2526</v>
      </c>
      <c r="U4382">
        <v>353200</v>
      </c>
      <c r="V4382" t="s">
        <v>3510</v>
      </c>
      <c r="W4382" t="s">
        <v>1734</v>
      </c>
      <c r="X4382" t="s">
        <v>23746</v>
      </c>
      <c r="Y4382" t="s">
        <v>23747</v>
      </c>
      <c r="AA4382" t="s">
        <v>23748</v>
      </c>
      <c r="AB4382" t="s">
        <v>23749</v>
      </c>
      <c r="AE4382">
        <v>-45.869029159999997</v>
      </c>
      <c r="AF4382">
        <v>170.50846361000001</v>
      </c>
      <c r="AG4382" s="175">
        <v>10</v>
      </c>
      <c r="AH4382" s="175">
        <v>6</v>
      </c>
      <c r="AI4382" s="175"/>
      <c r="AJ4382" s="175"/>
      <c r="AK4382" s="175"/>
      <c r="AL4382" s="175"/>
      <c r="AM4382" s="175"/>
      <c r="AN4382" s="175"/>
      <c r="AO4382" s="175"/>
      <c r="AP4382" s="175"/>
      <c r="AQ4382" s="175"/>
      <c r="AR4382" s="175"/>
      <c r="AS4382" s="175"/>
    </row>
    <row r="4383" spans="1:46">
      <c r="A4383">
        <v>83069</v>
      </c>
      <c r="B4383" t="s">
        <v>23750</v>
      </c>
      <c r="C4383" t="s">
        <v>23751</v>
      </c>
      <c r="D4383" t="s">
        <v>23752</v>
      </c>
      <c r="E4383" t="s">
        <v>23753</v>
      </c>
      <c r="F4383" t="s">
        <v>3518</v>
      </c>
      <c r="G4383" t="s">
        <v>3454</v>
      </c>
      <c r="H4383" t="s">
        <v>449</v>
      </c>
      <c r="I4383" t="s">
        <v>4233</v>
      </c>
      <c r="J4383" t="s">
        <v>605</v>
      </c>
      <c r="K4383" t="s">
        <v>606</v>
      </c>
      <c r="M4383" t="s">
        <v>2366</v>
      </c>
      <c r="N4383" t="s">
        <v>812</v>
      </c>
      <c r="O4383" t="s">
        <v>3455</v>
      </c>
      <c r="P4383" t="s">
        <v>739</v>
      </c>
      <c r="Q4383" t="s">
        <v>522</v>
      </c>
      <c r="R4383" t="s">
        <v>3410</v>
      </c>
      <c r="S4383" t="s">
        <v>3456</v>
      </c>
      <c r="T4383" t="s">
        <v>2526</v>
      </c>
      <c r="U4383">
        <v>354701</v>
      </c>
      <c r="V4383" t="s">
        <v>3518</v>
      </c>
      <c r="W4383" t="s">
        <v>1734</v>
      </c>
      <c r="X4383" t="s">
        <v>23754</v>
      </c>
      <c r="Y4383" t="s">
        <v>23755</v>
      </c>
      <c r="Z4383" t="s">
        <v>3486</v>
      </c>
      <c r="AA4383" t="s">
        <v>23756</v>
      </c>
      <c r="AE4383">
        <v>-45.895820430000001</v>
      </c>
      <c r="AF4383">
        <v>170.50260716</v>
      </c>
      <c r="AG4383" s="175">
        <v>55</v>
      </c>
      <c r="AH4383" s="175">
        <v>15</v>
      </c>
      <c r="AI4383" s="175">
        <v>3</v>
      </c>
      <c r="AJ4383" s="175">
        <v>10</v>
      </c>
      <c r="AK4383" s="175">
        <v>15</v>
      </c>
      <c r="AL4383" s="175">
        <v>11</v>
      </c>
      <c r="AM4383" s="175">
        <v>10</v>
      </c>
      <c r="AN4383" s="175">
        <v>0</v>
      </c>
      <c r="AO4383" s="175">
        <v>49</v>
      </c>
      <c r="AP4383" s="175">
        <v>16</v>
      </c>
      <c r="AQ4383" s="175">
        <v>12</v>
      </c>
      <c r="AR4383" s="175">
        <v>45</v>
      </c>
      <c r="AS4383" s="175">
        <v>0</v>
      </c>
      <c r="AT4383" s="175">
        <v>0</v>
      </c>
    </row>
    <row r="4384" spans="1:46">
      <c r="A4384">
        <v>83073</v>
      </c>
      <c r="B4384" t="s">
        <v>23757</v>
      </c>
      <c r="C4384" t="s">
        <v>23758</v>
      </c>
      <c r="D4384" t="s">
        <v>23759</v>
      </c>
      <c r="E4384" t="s">
        <v>23760</v>
      </c>
      <c r="F4384" t="s">
        <v>23761</v>
      </c>
      <c r="G4384" t="s">
        <v>3569</v>
      </c>
      <c r="H4384" t="s">
        <v>449</v>
      </c>
      <c r="J4384" t="s">
        <v>4032</v>
      </c>
      <c r="K4384" t="s">
        <v>606</v>
      </c>
      <c r="M4384" t="s">
        <v>2366</v>
      </c>
      <c r="N4384" t="s">
        <v>657</v>
      </c>
      <c r="O4384" t="s">
        <v>3568</v>
      </c>
      <c r="P4384" t="s">
        <v>670</v>
      </c>
      <c r="Q4384" t="s">
        <v>523</v>
      </c>
      <c r="R4384" t="s">
        <v>3410</v>
      </c>
      <c r="S4384" t="s">
        <v>3569</v>
      </c>
      <c r="T4384" t="s">
        <v>2526</v>
      </c>
      <c r="U4384">
        <v>361100</v>
      </c>
      <c r="V4384" t="s">
        <v>3685</v>
      </c>
      <c r="W4384" t="s">
        <v>1734</v>
      </c>
      <c r="X4384" t="s">
        <v>23762</v>
      </c>
      <c r="Y4384" t="s">
        <v>23760</v>
      </c>
      <c r="Z4384" t="s">
        <v>3569</v>
      </c>
      <c r="AA4384" t="s">
        <v>11966</v>
      </c>
      <c r="AB4384" t="s">
        <v>23758</v>
      </c>
      <c r="AE4384">
        <v>-46.392725220000003</v>
      </c>
      <c r="AF4384">
        <v>168.34861622</v>
      </c>
      <c r="AG4384" s="175">
        <v>66</v>
      </c>
      <c r="AH4384" s="175">
        <v>24</v>
      </c>
      <c r="AI4384" s="175">
        <v>3</v>
      </c>
      <c r="AJ4384" s="175">
        <v>29</v>
      </c>
      <c r="AK4384" s="175">
        <v>24</v>
      </c>
      <c r="AL4384" s="175">
        <v>17</v>
      </c>
      <c r="AM4384" s="175">
        <v>17</v>
      </c>
      <c r="AN4384" s="175">
        <v>0</v>
      </c>
      <c r="AO4384" s="175">
        <v>90</v>
      </c>
      <c r="AP4384" s="175">
        <v>89</v>
      </c>
      <c r="AQ4384" s="175">
        <v>10</v>
      </c>
      <c r="AR4384" s="175">
        <v>0</v>
      </c>
      <c r="AS4384" s="175">
        <v>3</v>
      </c>
      <c r="AT4384" s="175">
        <v>0</v>
      </c>
    </row>
    <row r="4385" spans="1:46">
      <c r="A4385">
        <v>83074</v>
      </c>
      <c r="B4385" t="s">
        <v>23763</v>
      </c>
      <c r="C4385" t="s">
        <v>23764</v>
      </c>
      <c r="D4385" t="s">
        <v>23765</v>
      </c>
      <c r="E4385" t="s">
        <v>23766</v>
      </c>
      <c r="G4385" t="s">
        <v>3552</v>
      </c>
      <c r="H4385" t="s">
        <v>449</v>
      </c>
      <c r="J4385" t="s">
        <v>4032</v>
      </c>
      <c r="K4385" t="s">
        <v>606</v>
      </c>
      <c r="M4385" t="s">
        <v>2366</v>
      </c>
      <c r="N4385" t="s">
        <v>657</v>
      </c>
      <c r="O4385" t="s">
        <v>3553</v>
      </c>
      <c r="P4385" t="s">
        <v>610</v>
      </c>
      <c r="Q4385" t="s">
        <v>522</v>
      </c>
      <c r="R4385" t="s">
        <v>3410</v>
      </c>
      <c r="S4385" t="s">
        <v>3456</v>
      </c>
      <c r="T4385" t="s">
        <v>2526</v>
      </c>
      <c r="U4385">
        <v>356500</v>
      </c>
      <c r="V4385" t="s">
        <v>3554</v>
      </c>
      <c r="W4385" t="s">
        <v>3555</v>
      </c>
      <c r="X4385" t="s">
        <v>23767</v>
      </c>
      <c r="Y4385" t="s">
        <v>23766</v>
      </c>
      <c r="Z4385" t="s">
        <v>23768</v>
      </c>
      <c r="AA4385" t="s">
        <v>23769</v>
      </c>
      <c r="AB4385" t="s">
        <v>23770</v>
      </c>
      <c r="AC4385">
        <v>99080</v>
      </c>
      <c r="AD4385" t="s">
        <v>3558</v>
      </c>
      <c r="AE4385">
        <v>-46.246239189999997</v>
      </c>
      <c r="AF4385">
        <v>169.71582758</v>
      </c>
      <c r="AG4385" s="175">
        <v>62</v>
      </c>
      <c r="AH4385" s="175">
        <v>16</v>
      </c>
      <c r="AI4385" s="175">
        <v>4</v>
      </c>
      <c r="AJ4385" s="175">
        <v>13</v>
      </c>
      <c r="AK4385" s="175">
        <v>23</v>
      </c>
      <c r="AL4385" s="175">
        <v>27</v>
      </c>
      <c r="AM4385" s="175">
        <v>23</v>
      </c>
      <c r="AN4385" s="175">
        <v>0</v>
      </c>
      <c r="AO4385" s="175">
        <v>90</v>
      </c>
      <c r="AP4385" s="175">
        <v>87</v>
      </c>
      <c r="AQ4385" s="175">
        <v>14</v>
      </c>
      <c r="AR4385" s="175">
        <v>1</v>
      </c>
      <c r="AS4385" s="175">
        <v>1</v>
      </c>
      <c r="AT4385" s="175">
        <v>0</v>
      </c>
    </row>
    <row r="4386" spans="1:46">
      <c r="A4386">
        <v>83076</v>
      </c>
      <c r="B4386" t="s">
        <v>23771</v>
      </c>
      <c r="C4386" t="s">
        <v>23772</v>
      </c>
      <c r="D4386" t="s">
        <v>23773</v>
      </c>
      <c r="E4386" t="s">
        <v>23774</v>
      </c>
      <c r="G4386" t="s">
        <v>23775</v>
      </c>
      <c r="H4386" t="s">
        <v>449</v>
      </c>
      <c r="J4386" t="s">
        <v>605</v>
      </c>
      <c r="K4386" t="s">
        <v>606</v>
      </c>
      <c r="M4386" t="s">
        <v>2366</v>
      </c>
      <c r="N4386" t="s">
        <v>657</v>
      </c>
      <c r="O4386" t="s">
        <v>3409</v>
      </c>
      <c r="P4386" t="s">
        <v>626</v>
      </c>
      <c r="Q4386" t="s">
        <v>521</v>
      </c>
      <c r="R4386" t="s">
        <v>3410</v>
      </c>
      <c r="S4386" t="s">
        <v>3323</v>
      </c>
      <c r="T4386" t="s">
        <v>2526</v>
      </c>
      <c r="U4386">
        <v>343300</v>
      </c>
      <c r="V4386" t="s">
        <v>23776</v>
      </c>
      <c r="W4386" t="s">
        <v>3807</v>
      </c>
      <c r="X4386" t="s">
        <v>23777</v>
      </c>
      <c r="Y4386" t="s">
        <v>23774</v>
      </c>
      <c r="AA4386" t="s">
        <v>23778</v>
      </c>
      <c r="AB4386" t="s">
        <v>23779</v>
      </c>
      <c r="AE4386">
        <v>-44.743230879999999</v>
      </c>
      <c r="AF4386">
        <v>170.46361644000001</v>
      </c>
      <c r="AG4386" s="175">
        <v>40</v>
      </c>
      <c r="AH4386" s="175">
        <v>12</v>
      </c>
      <c r="AI4386" s="175">
        <v>1</v>
      </c>
      <c r="AJ4386" s="175">
        <v>2</v>
      </c>
      <c r="AK4386" s="175">
        <v>8</v>
      </c>
      <c r="AL4386" s="175">
        <v>14</v>
      </c>
      <c r="AM4386" s="175">
        <v>15</v>
      </c>
      <c r="AN4386" s="175">
        <v>0</v>
      </c>
      <c r="AO4386" s="175">
        <v>40</v>
      </c>
      <c r="AP4386" s="175">
        <v>38</v>
      </c>
      <c r="AQ4386" s="175">
        <v>4</v>
      </c>
      <c r="AR4386" s="175">
        <v>0</v>
      </c>
      <c r="AS4386" s="175">
        <v>1</v>
      </c>
      <c r="AT4386" s="175">
        <v>1</v>
      </c>
    </row>
    <row r="4387" spans="1:46">
      <c r="A4387">
        <v>83077</v>
      </c>
      <c r="B4387" t="s">
        <v>23780</v>
      </c>
      <c r="C4387" t="s">
        <v>23781</v>
      </c>
      <c r="E4387" t="s">
        <v>23782</v>
      </c>
      <c r="F4387" t="s">
        <v>23783</v>
      </c>
      <c r="G4387" t="s">
        <v>3408</v>
      </c>
      <c r="H4387" t="s">
        <v>449</v>
      </c>
      <c r="J4387" t="s">
        <v>605</v>
      </c>
      <c r="K4387" t="s">
        <v>606</v>
      </c>
      <c r="M4387" t="s">
        <v>2366</v>
      </c>
      <c r="N4387" t="s">
        <v>643</v>
      </c>
      <c r="O4387" t="s">
        <v>3409</v>
      </c>
      <c r="P4387" t="s">
        <v>1347</v>
      </c>
      <c r="Q4387" t="s">
        <v>522</v>
      </c>
      <c r="R4387" t="s">
        <v>3410</v>
      </c>
      <c r="S4387" t="s">
        <v>3323</v>
      </c>
      <c r="T4387" t="s">
        <v>2526</v>
      </c>
      <c r="U4387">
        <v>344200</v>
      </c>
      <c r="V4387" t="s">
        <v>13561</v>
      </c>
      <c r="W4387" t="s">
        <v>3412</v>
      </c>
      <c r="X4387" t="s">
        <v>11148</v>
      </c>
      <c r="Y4387" t="s">
        <v>4014</v>
      </c>
      <c r="Z4387" t="s">
        <v>4015</v>
      </c>
      <c r="AA4387" t="s">
        <v>4016</v>
      </c>
      <c r="AC4387">
        <v>99116</v>
      </c>
      <c r="AD4387" t="s">
        <v>23521</v>
      </c>
      <c r="AE4387">
        <v>-45.092529550000002</v>
      </c>
      <c r="AF4387">
        <v>170.97465756</v>
      </c>
      <c r="AG4387" s="175">
        <v>35</v>
      </c>
      <c r="AH4387" s="175">
        <v>0</v>
      </c>
      <c r="AI4387" s="175">
        <v>0</v>
      </c>
      <c r="AJ4387" s="175">
        <v>0</v>
      </c>
      <c r="AK4387" s="175">
        <v>8</v>
      </c>
      <c r="AL4387" s="175">
        <v>23</v>
      </c>
      <c r="AM4387" s="175">
        <v>18</v>
      </c>
      <c r="AN4387" s="175">
        <v>0</v>
      </c>
      <c r="AO4387" s="175">
        <v>49</v>
      </c>
      <c r="AP4387" s="175">
        <v>40</v>
      </c>
      <c r="AQ4387" s="175">
        <v>6</v>
      </c>
      <c r="AR4387" s="175">
        <v>3</v>
      </c>
      <c r="AS4387" s="175">
        <v>5</v>
      </c>
      <c r="AT4387" s="175">
        <v>2</v>
      </c>
    </row>
    <row r="4388" spans="1:46">
      <c r="A4388">
        <v>83078</v>
      </c>
      <c r="B4388" t="s">
        <v>23784</v>
      </c>
      <c r="C4388" t="s">
        <v>23785</v>
      </c>
      <c r="D4388" t="s">
        <v>23704</v>
      </c>
      <c r="E4388" t="s">
        <v>23786</v>
      </c>
      <c r="F4388" t="s">
        <v>3504</v>
      </c>
      <c r="G4388" t="s">
        <v>3454</v>
      </c>
      <c r="H4388" t="s">
        <v>449</v>
      </c>
      <c r="J4388" t="s">
        <v>4032</v>
      </c>
      <c r="K4388" t="s">
        <v>606</v>
      </c>
      <c r="M4388" t="s">
        <v>2366</v>
      </c>
      <c r="N4388" t="s">
        <v>657</v>
      </c>
      <c r="O4388" t="s">
        <v>3455</v>
      </c>
      <c r="P4388" t="s">
        <v>739</v>
      </c>
      <c r="Q4388" t="s">
        <v>522</v>
      </c>
      <c r="R4388" t="s">
        <v>3410</v>
      </c>
      <c r="S4388" t="s">
        <v>3454</v>
      </c>
      <c r="T4388" t="s">
        <v>2526</v>
      </c>
      <c r="U4388">
        <v>351000</v>
      </c>
      <c r="V4388" t="s">
        <v>3505</v>
      </c>
      <c r="W4388" t="s">
        <v>1734</v>
      </c>
      <c r="X4388" t="s">
        <v>16744</v>
      </c>
      <c r="Y4388" t="s">
        <v>16745</v>
      </c>
      <c r="Z4388" t="s">
        <v>3504</v>
      </c>
      <c r="AA4388" t="s">
        <v>11623</v>
      </c>
      <c r="AB4388" t="s">
        <v>16746</v>
      </c>
      <c r="AE4388">
        <v>-45.863016459999997</v>
      </c>
      <c r="AF4388">
        <v>170.48709375000001</v>
      </c>
      <c r="AG4388" s="175">
        <v>20</v>
      </c>
      <c r="AH4388" s="175">
        <v>5</v>
      </c>
      <c r="AI4388" s="175">
        <v>0</v>
      </c>
      <c r="AJ4388" s="175">
        <v>1</v>
      </c>
      <c r="AK4388" s="175">
        <v>21</v>
      </c>
      <c r="AL4388" s="175">
        <v>1</v>
      </c>
      <c r="AM4388" s="175">
        <v>0</v>
      </c>
      <c r="AN4388" s="175">
        <v>0</v>
      </c>
      <c r="AO4388" s="175">
        <v>23</v>
      </c>
      <c r="AP4388" s="175">
        <v>17</v>
      </c>
      <c r="AQ4388" s="175">
        <v>0</v>
      </c>
      <c r="AR4388" s="175">
        <v>0</v>
      </c>
      <c r="AS4388" s="175">
        <v>7</v>
      </c>
      <c r="AT4388" s="175">
        <v>0</v>
      </c>
    </row>
    <row r="4389" spans="1:46">
      <c r="A4389">
        <v>90000</v>
      </c>
      <c r="B4389" t="s">
        <v>23787</v>
      </c>
      <c r="C4389" t="s">
        <v>23788</v>
      </c>
      <c r="D4389" t="s">
        <v>23789</v>
      </c>
      <c r="E4389" t="s">
        <v>23790</v>
      </c>
      <c r="G4389" t="s">
        <v>23791</v>
      </c>
      <c r="H4389" t="s">
        <v>301</v>
      </c>
      <c r="J4389" t="s">
        <v>605</v>
      </c>
      <c r="K4389" t="s">
        <v>606</v>
      </c>
      <c r="M4389" t="s">
        <v>2366</v>
      </c>
      <c r="N4389" t="s">
        <v>657</v>
      </c>
      <c r="O4389" t="s">
        <v>3598</v>
      </c>
      <c r="P4389" t="s">
        <v>626</v>
      </c>
      <c r="Q4389" t="s">
        <v>523</v>
      </c>
      <c r="R4389" t="s">
        <v>3410</v>
      </c>
      <c r="S4389" t="s">
        <v>3433</v>
      </c>
      <c r="T4389" t="s">
        <v>2526</v>
      </c>
      <c r="U4389">
        <v>358200</v>
      </c>
      <c r="V4389" t="s">
        <v>18029</v>
      </c>
      <c r="W4389" t="s">
        <v>3600</v>
      </c>
      <c r="X4389" t="s">
        <v>11140</v>
      </c>
      <c r="Y4389" t="s">
        <v>5253</v>
      </c>
      <c r="AA4389" t="s">
        <v>5254</v>
      </c>
      <c r="AB4389" t="s">
        <v>11141</v>
      </c>
      <c r="AC4389">
        <v>99041</v>
      </c>
      <c r="AD4389" t="s">
        <v>3601</v>
      </c>
      <c r="AE4389">
        <v>-45.842365700000002</v>
      </c>
      <c r="AF4389">
        <v>168.58596255</v>
      </c>
      <c r="AG4389" s="175">
        <v>30</v>
      </c>
      <c r="AH4389" s="175">
        <v>15</v>
      </c>
      <c r="AI4389" s="175">
        <v>0</v>
      </c>
      <c r="AJ4389" s="175">
        <v>1</v>
      </c>
      <c r="AK4389" s="175">
        <v>2</v>
      </c>
      <c r="AL4389" s="175">
        <v>8</v>
      </c>
      <c r="AM4389" s="175">
        <v>0</v>
      </c>
      <c r="AN4389" s="175">
        <v>0</v>
      </c>
      <c r="AO4389" s="175">
        <v>11</v>
      </c>
      <c r="AP4389" s="175">
        <v>11</v>
      </c>
      <c r="AQ4389" s="175">
        <v>1</v>
      </c>
      <c r="AR4389" s="175">
        <v>0</v>
      </c>
      <c r="AS4389" s="175">
        <v>0</v>
      </c>
      <c r="AT4389" s="175">
        <v>0</v>
      </c>
    </row>
    <row r="4390" spans="1:46">
      <c r="A4390">
        <v>90007</v>
      </c>
      <c r="B4390" t="s">
        <v>23792</v>
      </c>
      <c r="C4390" t="s">
        <v>23793</v>
      </c>
      <c r="D4390" t="s">
        <v>23794</v>
      </c>
      <c r="E4390" t="s">
        <v>23795</v>
      </c>
      <c r="G4390" t="s">
        <v>23796</v>
      </c>
      <c r="H4390" t="s">
        <v>301</v>
      </c>
      <c r="J4390" t="s">
        <v>605</v>
      </c>
      <c r="K4390" t="s">
        <v>606</v>
      </c>
      <c r="M4390" t="s">
        <v>2366</v>
      </c>
      <c r="N4390" t="s">
        <v>657</v>
      </c>
      <c r="O4390" t="s">
        <v>3568</v>
      </c>
      <c r="P4390" t="s">
        <v>658</v>
      </c>
      <c r="Q4390" t="s">
        <v>523</v>
      </c>
      <c r="R4390" t="s">
        <v>3410</v>
      </c>
      <c r="S4390" t="s">
        <v>3569</v>
      </c>
      <c r="T4390" t="s">
        <v>2526</v>
      </c>
      <c r="U4390">
        <v>360500</v>
      </c>
      <c r="V4390" t="s">
        <v>23797</v>
      </c>
      <c r="W4390" t="s">
        <v>1734</v>
      </c>
      <c r="X4390" t="s">
        <v>11140</v>
      </c>
      <c r="Y4390" t="s">
        <v>5253</v>
      </c>
      <c r="AA4390" t="s">
        <v>5254</v>
      </c>
      <c r="AB4390" t="s">
        <v>11141</v>
      </c>
      <c r="AE4390">
        <v>-46.329175149999998</v>
      </c>
      <c r="AF4390">
        <v>168.34890218999999</v>
      </c>
      <c r="AG4390" s="175">
        <v>30</v>
      </c>
      <c r="AH4390" s="175">
        <v>10</v>
      </c>
      <c r="AI4390" s="175">
        <v>0</v>
      </c>
      <c r="AJ4390" s="175">
        <v>3</v>
      </c>
      <c r="AK4390" s="175">
        <v>2</v>
      </c>
      <c r="AL4390" s="175">
        <v>2</v>
      </c>
      <c r="AM4390" s="175">
        <v>3</v>
      </c>
      <c r="AN4390" s="175">
        <v>0</v>
      </c>
      <c r="AO4390" s="175">
        <v>10</v>
      </c>
      <c r="AP4390" s="175">
        <v>8</v>
      </c>
      <c r="AQ4390" s="175">
        <v>2</v>
      </c>
      <c r="AR4390" s="175">
        <v>0</v>
      </c>
      <c r="AS4390" s="175">
        <v>1</v>
      </c>
      <c r="AT4390" s="175">
        <v>0</v>
      </c>
    </row>
    <row r="4391" spans="1:46">
      <c r="A4391">
        <v>90010</v>
      </c>
      <c r="B4391" t="s">
        <v>21969</v>
      </c>
      <c r="C4391" t="s">
        <v>11141</v>
      </c>
      <c r="E4391" t="s">
        <v>23798</v>
      </c>
      <c r="G4391" t="s">
        <v>3569</v>
      </c>
      <c r="H4391" t="s">
        <v>301</v>
      </c>
      <c r="J4391" t="s">
        <v>605</v>
      </c>
      <c r="K4391" t="s">
        <v>606</v>
      </c>
      <c r="M4391" t="s">
        <v>2366</v>
      </c>
      <c r="N4391" t="s">
        <v>657</v>
      </c>
      <c r="O4391" t="s">
        <v>3568</v>
      </c>
      <c r="P4391" t="s">
        <v>670</v>
      </c>
      <c r="Q4391" t="s">
        <v>523</v>
      </c>
      <c r="R4391" t="s">
        <v>3410</v>
      </c>
      <c r="S4391" t="s">
        <v>3569</v>
      </c>
      <c r="T4391" t="s">
        <v>2526</v>
      </c>
      <c r="U4391">
        <v>361601</v>
      </c>
      <c r="V4391" t="s">
        <v>3621</v>
      </c>
      <c r="W4391" t="s">
        <v>1734</v>
      </c>
      <c r="X4391" t="s">
        <v>11140</v>
      </c>
      <c r="Y4391" t="s">
        <v>5253</v>
      </c>
      <c r="AA4391" t="s">
        <v>5254</v>
      </c>
      <c r="AB4391" t="s">
        <v>11141</v>
      </c>
      <c r="AE4391">
        <v>-46.4070167</v>
      </c>
      <c r="AF4391">
        <v>168.36262289999999</v>
      </c>
      <c r="AG4391" s="175">
        <v>30</v>
      </c>
      <c r="AH4391" s="175">
        <v>15</v>
      </c>
      <c r="AI4391" s="175">
        <v>1</v>
      </c>
      <c r="AJ4391" s="175">
        <v>1</v>
      </c>
      <c r="AK4391" s="175">
        <v>6</v>
      </c>
      <c r="AL4391" s="175">
        <v>2</v>
      </c>
      <c r="AM4391" s="175">
        <v>6</v>
      </c>
      <c r="AN4391" s="175">
        <v>0</v>
      </c>
      <c r="AO4391" s="175">
        <v>16</v>
      </c>
      <c r="AP4391" s="175">
        <v>16</v>
      </c>
      <c r="AQ4391" s="175">
        <v>1</v>
      </c>
      <c r="AR4391" s="175">
        <v>0</v>
      </c>
      <c r="AS4391" s="175">
        <v>1</v>
      </c>
      <c r="AT4391" s="175">
        <v>0</v>
      </c>
    </row>
    <row r="4392" spans="1:46">
      <c r="A4392">
        <v>90014</v>
      </c>
      <c r="B4392" t="s">
        <v>23799</v>
      </c>
      <c r="C4392" t="s">
        <v>23788</v>
      </c>
      <c r="D4392" t="s">
        <v>23800</v>
      </c>
      <c r="E4392" t="s">
        <v>23801</v>
      </c>
      <c r="G4392" t="s">
        <v>23802</v>
      </c>
      <c r="H4392" t="s">
        <v>301</v>
      </c>
      <c r="J4392" t="s">
        <v>605</v>
      </c>
      <c r="K4392" t="s">
        <v>606</v>
      </c>
      <c r="M4392" t="s">
        <v>2366</v>
      </c>
      <c r="N4392" t="s">
        <v>608</v>
      </c>
      <c r="O4392" t="s">
        <v>3598</v>
      </c>
      <c r="P4392" t="s">
        <v>626</v>
      </c>
      <c r="Q4392" t="s">
        <v>523</v>
      </c>
      <c r="R4392" t="s">
        <v>3410</v>
      </c>
      <c r="S4392" t="s">
        <v>3569</v>
      </c>
      <c r="T4392" t="s">
        <v>2526</v>
      </c>
      <c r="U4392">
        <v>358000</v>
      </c>
      <c r="V4392" t="s">
        <v>23803</v>
      </c>
      <c r="W4392" t="s">
        <v>3646</v>
      </c>
      <c r="X4392" t="s">
        <v>11140</v>
      </c>
      <c r="Y4392" t="s">
        <v>5253</v>
      </c>
      <c r="AA4392" t="s">
        <v>5254</v>
      </c>
      <c r="AB4392" t="s">
        <v>11141</v>
      </c>
      <c r="AE4392">
        <v>-45.934334339999999</v>
      </c>
      <c r="AF4392">
        <v>167.95326360999999</v>
      </c>
      <c r="AG4392" s="175">
        <v>25</v>
      </c>
      <c r="AH4392" s="175">
        <v>15</v>
      </c>
      <c r="AI4392" s="175">
        <v>0</v>
      </c>
      <c r="AJ4392" s="175">
        <v>1</v>
      </c>
      <c r="AK4392" s="175">
        <v>0</v>
      </c>
      <c r="AL4392" s="175">
        <v>2</v>
      </c>
      <c r="AM4392" s="175">
        <v>1</v>
      </c>
      <c r="AN4392" s="175">
        <v>0</v>
      </c>
      <c r="AO4392" s="175">
        <v>4</v>
      </c>
      <c r="AP4392" s="175">
        <v>2</v>
      </c>
      <c r="AQ4392" s="175">
        <v>3</v>
      </c>
      <c r="AR4392" s="175">
        <v>1</v>
      </c>
      <c r="AS4392" s="175">
        <v>0</v>
      </c>
      <c r="AT4392" s="175">
        <v>0</v>
      </c>
    </row>
    <row r="4393" spans="1:46">
      <c r="A4393">
        <v>90015</v>
      </c>
      <c r="B4393" t="s">
        <v>23804</v>
      </c>
      <c r="C4393" t="s">
        <v>11141</v>
      </c>
      <c r="D4393" t="s">
        <v>23805</v>
      </c>
      <c r="E4393" t="s">
        <v>23806</v>
      </c>
      <c r="G4393" t="s">
        <v>23807</v>
      </c>
      <c r="H4393" t="s">
        <v>301</v>
      </c>
      <c r="J4393" t="s">
        <v>605</v>
      </c>
      <c r="K4393" t="s">
        <v>606</v>
      </c>
      <c r="M4393" t="s">
        <v>2366</v>
      </c>
      <c r="N4393" t="s">
        <v>657</v>
      </c>
      <c r="O4393" t="s">
        <v>3598</v>
      </c>
      <c r="P4393" t="s">
        <v>626</v>
      </c>
      <c r="Q4393" t="s">
        <v>523</v>
      </c>
      <c r="R4393" t="s">
        <v>3410</v>
      </c>
      <c r="S4393" t="s">
        <v>3569</v>
      </c>
      <c r="T4393" t="s">
        <v>2526</v>
      </c>
      <c r="U4393">
        <v>358400</v>
      </c>
      <c r="V4393" t="s">
        <v>23369</v>
      </c>
      <c r="W4393" t="s">
        <v>3646</v>
      </c>
      <c r="X4393" t="s">
        <v>11140</v>
      </c>
      <c r="Y4393" t="s">
        <v>5253</v>
      </c>
      <c r="AA4393" t="s">
        <v>5254</v>
      </c>
      <c r="AE4393">
        <v>-46.145810259999998</v>
      </c>
      <c r="AF4393">
        <v>167.99948254</v>
      </c>
      <c r="AG4393" s="175">
        <v>0</v>
      </c>
      <c r="AH4393" s="175">
        <v>0</v>
      </c>
      <c r="AI4393" s="175">
        <v>3</v>
      </c>
      <c r="AJ4393" s="175">
        <v>7</v>
      </c>
      <c r="AK4393" s="175">
        <v>4</v>
      </c>
      <c r="AL4393" s="175">
        <v>7</v>
      </c>
      <c r="AM4393" s="175">
        <v>5</v>
      </c>
      <c r="AN4393" s="175">
        <v>0</v>
      </c>
      <c r="AO4393" s="175">
        <v>26</v>
      </c>
      <c r="AP4393" s="175">
        <v>24</v>
      </c>
      <c r="AQ4393" s="175">
        <v>2</v>
      </c>
      <c r="AR4393" s="175">
        <v>0</v>
      </c>
      <c r="AS4393" s="175">
        <v>2</v>
      </c>
      <c r="AT4393" s="175">
        <v>0</v>
      </c>
    </row>
    <row r="4394" spans="1:46">
      <c r="A4394">
        <v>90018</v>
      </c>
      <c r="B4394" t="s">
        <v>23808</v>
      </c>
      <c r="C4394" t="s">
        <v>23793</v>
      </c>
      <c r="D4394" t="s">
        <v>23809</v>
      </c>
      <c r="E4394" t="s">
        <v>23810</v>
      </c>
      <c r="G4394" t="s">
        <v>3569</v>
      </c>
      <c r="H4394" t="s">
        <v>301</v>
      </c>
      <c r="J4394" t="s">
        <v>605</v>
      </c>
      <c r="K4394" t="s">
        <v>606</v>
      </c>
      <c r="M4394" t="s">
        <v>2366</v>
      </c>
      <c r="N4394" t="s">
        <v>657</v>
      </c>
      <c r="O4394" t="s">
        <v>3598</v>
      </c>
      <c r="P4394" t="s">
        <v>658</v>
      </c>
      <c r="Q4394" t="s">
        <v>523</v>
      </c>
      <c r="R4394" t="s">
        <v>3410</v>
      </c>
      <c r="S4394" t="s">
        <v>3569</v>
      </c>
      <c r="T4394" t="s">
        <v>2526</v>
      </c>
      <c r="U4394">
        <v>359000</v>
      </c>
      <c r="V4394" t="s">
        <v>23811</v>
      </c>
      <c r="W4394" t="s">
        <v>22031</v>
      </c>
      <c r="X4394" t="s">
        <v>23812</v>
      </c>
      <c r="Y4394" t="s">
        <v>5253</v>
      </c>
      <c r="AA4394" t="s">
        <v>5254</v>
      </c>
      <c r="AE4394">
        <v>-46.338832750000002</v>
      </c>
      <c r="AF4394">
        <v>168.45401164</v>
      </c>
      <c r="AG4394" s="175">
        <v>30</v>
      </c>
      <c r="AH4394" s="175">
        <v>15</v>
      </c>
      <c r="AI4394" s="175">
        <v>0</v>
      </c>
      <c r="AJ4394" s="175">
        <v>5</v>
      </c>
      <c r="AK4394" s="175">
        <v>2</v>
      </c>
      <c r="AL4394" s="175">
        <v>1</v>
      </c>
      <c r="AM4394" s="175">
        <v>2</v>
      </c>
      <c r="AN4394" s="175">
        <v>0</v>
      </c>
      <c r="AO4394" s="175">
        <v>10</v>
      </c>
      <c r="AP4394" s="175">
        <v>10</v>
      </c>
      <c r="AQ4394" s="175">
        <v>2</v>
      </c>
      <c r="AR4394" s="175">
        <v>0</v>
      </c>
      <c r="AS4394" s="175">
        <v>0</v>
      </c>
      <c r="AT4394" s="175">
        <v>0</v>
      </c>
    </row>
    <row r="4395" spans="1:46">
      <c r="A4395">
        <v>90024</v>
      </c>
      <c r="B4395" t="s">
        <v>23813</v>
      </c>
      <c r="C4395" t="s">
        <v>23793</v>
      </c>
      <c r="D4395" t="s">
        <v>23814</v>
      </c>
      <c r="E4395" t="s">
        <v>23815</v>
      </c>
      <c r="G4395" t="s">
        <v>3569</v>
      </c>
      <c r="H4395" t="s">
        <v>301</v>
      </c>
      <c r="J4395" t="s">
        <v>605</v>
      </c>
      <c r="K4395" t="s">
        <v>606</v>
      </c>
      <c r="M4395" t="s">
        <v>2366</v>
      </c>
      <c r="N4395" t="s">
        <v>657</v>
      </c>
      <c r="O4395" t="s">
        <v>3568</v>
      </c>
      <c r="P4395" t="s">
        <v>670</v>
      </c>
      <c r="Q4395" t="s">
        <v>523</v>
      </c>
      <c r="R4395" t="s">
        <v>3410</v>
      </c>
      <c r="S4395" t="s">
        <v>3569</v>
      </c>
      <c r="T4395" t="s">
        <v>2526</v>
      </c>
      <c r="U4395">
        <v>361201</v>
      </c>
      <c r="V4395" t="s">
        <v>23816</v>
      </c>
      <c r="W4395" t="s">
        <v>1734</v>
      </c>
      <c r="X4395" t="s">
        <v>11140</v>
      </c>
      <c r="Y4395" t="s">
        <v>5253</v>
      </c>
      <c r="AA4395" t="s">
        <v>5254</v>
      </c>
      <c r="AB4395" t="s">
        <v>11141</v>
      </c>
      <c r="AE4395">
        <v>-46.390899099999999</v>
      </c>
      <c r="AF4395">
        <v>168.36810111</v>
      </c>
      <c r="AG4395" s="175">
        <v>25</v>
      </c>
      <c r="AH4395" s="175">
        <v>15</v>
      </c>
      <c r="AI4395" s="175">
        <v>3</v>
      </c>
      <c r="AJ4395" s="175">
        <v>3</v>
      </c>
      <c r="AK4395" s="175">
        <v>4</v>
      </c>
      <c r="AL4395" s="175">
        <v>4</v>
      </c>
      <c r="AM4395" s="175">
        <v>1</v>
      </c>
      <c r="AN4395" s="175">
        <v>0</v>
      </c>
      <c r="AO4395" s="175">
        <v>15</v>
      </c>
      <c r="AP4395" s="175">
        <v>15</v>
      </c>
      <c r="AQ4395" s="175">
        <v>2</v>
      </c>
      <c r="AR4395" s="175">
        <v>0</v>
      </c>
      <c r="AS4395" s="175">
        <v>3</v>
      </c>
      <c r="AT4395" s="175">
        <v>0</v>
      </c>
    </row>
    <row r="4396" spans="1:46">
      <c r="A4396">
        <v>90028</v>
      </c>
      <c r="B4396" t="s">
        <v>23817</v>
      </c>
      <c r="C4396" t="s">
        <v>23818</v>
      </c>
      <c r="E4396" t="s">
        <v>3407</v>
      </c>
      <c r="G4396" t="s">
        <v>23819</v>
      </c>
      <c r="H4396" t="s">
        <v>301</v>
      </c>
      <c r="J4396" t="s">
        <v>605</v>
      </c>
      <c r="K4396" t="s">
        <v>606</v>
      </c>
      <c r="M4396" t="s">
        <v>2366</v>
      </c>
      <c r="N4396" t="s">
        <v>657</v>
      </c>
      <c r="O4396" t="s">
        <v>3598</v>
      </c>
      <c r="P4396" t="s">
        <v>626</v>
      </c>
      <c r="Q4396" t="s">
        <v>523</v>
      </c>
      <c r="R4396" t="s">
        <v>3410</v>
      </c>
      <c r="S4396" t="s">
        <v>3569</v>
      </c>
      <c r="T4396" t="s">
        <v>2526</v>
      </c>
      <c r="U4396">
        <v>359500</v>
      </c>
      <c r="V4396" t="s">
        <v>23820</v>
      </c>
      <c r="W4396" t="s">
        <v>22031</v>
      </c>
      <c r="X4396" t="s">
        <v>11140</v>
      </c>
      <c r="Y4396" t="s">
        <v>5253</v>
      </c>
      <c r="AA4396" t="s">
        <v>5254</v>
      </c>
      <c r="AB4396" t="s">
        <v>11141</v>
      </c>
      <c r="AE4396">
        <v>-46.324925219999997</v>
      </c>
      <c r="AF4396">
        <v>168.84839733000001</v>
      </c>
      <c r="AG4396" s="175">
        <v>20</v>
      </c>
      <c r="AH4396" s="175">
        <v>10</v>
      </c>
      <c r="AI4396" s="175">
        <v>0</v>
      </c>
      <c r="AJ4396" s="175">
        <v>1</v>
      </c>
      <c r="AK4396" s="175">
        <v>0</v>
      </c>
      <c r="AL4396" s="175">
        <v>2</v>
      </c>
      <c r="AM4396" s="175">
        <v>0</v>
      </c>
      <c r="AN4396" s="175">
        <v>0</v>
      </c>
      <c r="AO4396" s="175">
        <v>3</v>
      </c>
      <c r="AP4396" s="175">
        <v>3</v>
      </c>
      <c r="AQ4396" s="175">
        <v>0</v>
      </c>
      <c r="AR4396" s="175">
        <v>0</v>
      </c>
      <c r="AS4396" s="175">
        <v>0</v>
      </c>
      <c r="AT4396" s="175">
        <v>0</v>
      </c>
    </row>
    <row r="4397" spans="1:46">
      <c r="A4397">
        <v>90030</v>
      </c>
      <c r="B4397" t="s">
        <v>23821</v>
      </c>
      <c r="C4397" t="s">
        <v>23822</v>
      </c>
      <c r="E4397" t="s">
        <v>23823</v>
      </c>
      <c r="G4397" t="s">
        <v>3997</v>
      </c>
      <c r="H4397" t="s">
        <v>301</v>
      </c>
      <c r="J4397" t="s">
        <v>605</v>
      </c>
      <c r="K4397" t="s">
        <v>606</v>
      </c>
      <c r="M4397" t="s">
        <v>2366</v>
      </c>
      <c r="N4397" t="s">
        <v>4586</v>
      </c>
      <c r="O4397" t="s">
        <v>3906</v>
      </c>
      <c r="P4397" t="s">
        <v>1347</v>
      </c>
      <c r="Q4397" t="s">
        <v>522</v>
      </c>
      <c r="R4397" t="s">
        <v>3410</v>
      </c>
      <c r="S4397" t="s">
        <v>3433</v>
      </c>
      <c r="T4397" t="s">
        <v>2526</v>
      </c>
      <c r="U4397">
        <v>348400</v>
      </c>
      <c r="V4397" t="s">
        <v>1429</v>
      </c>
      <c r="W4397" t="s">
        <v>3908</v>
      </c>
      <c r="X4397" t="s">
        <v>11140</v>
      </c>
      <c r="Y4397" t="s">
        <v>5253</v>
      </c>
      <c r="AA4397" t="s">
        <v>5254</v>
      </c>
      <c r="AB4397" t="s">
        <v>11141</v>
      </c>
      <c r="AE4397">
        <v>-45.025787299999998</v>
      </c>
      <c r="AF4397">
        <v>168.75100979999999</v>
      </c>
      <c r="AG4397" s="175">
        <v>30</v>
      </c>
      <c r="AH4397" s="175">
        <v>20</v>
      </c>
      <c r="AI4397" s="175">
        <v>2</v>
      </c>
      <c r="AJ4397" s="175">
        <v>6</v>
      </c>
      <c r="AK4397" s="175">
        <v>5</v>
      </c>
      <c r="AL4397" s="175">
        <v>5</v>
      </c>
      <c r="AM4397" s="175">
        <v>2</v>
      </c>
      <c r="AN4397" s="175">
        <v>0</v>
      </c>
      <c r="AO4397" s="175">
        <v>20</v>
      </c>
      <c r="AP4397" s="175">
        <v>19</v>
      </c>
      <c r="AQ4397" s="175">
        <v>0</v>
      </c>
      <c r="AR4397" s="175">
        <v>3</v>
      </c>
      <c r="AS4397" s="175">
        <v>2</v>
      </c>
      <c r="AT4397" s="175">
        <v>1</v>
      </c>
    </row>
    <row r="4398" spans="1:46">
      <c r="A4398">
        <v>90031</v>
      </c>
      <c r="B4398" t="s">
        <v>23824</v>
      </c>
      <c r="C4398" t="s">
        <v>23825</v>
      </c>
      <c r="E4398" t="s">
        <v>23826</v>
      </c>
      <c r="G4398" t="s">
        <v>3905</v>
      </c>
      <c r="H4398" t="s">
        <v>301</v>
      </c>
      <c r="J4398" t="s">
        <v>605</v>
      </c>
      <c r="K4398" t="s">
        <v>606</v>
      </c>
      <c r="M4398" t="s">
        <v>2366</v>
      </c>
      <c r="N4398" t="s">
        <v>657</v>
      </c>
      <c r="O4398" t="s">
        <v>3906</v>
      </c>
      <c r="P4398" t="s">
        <v>1347</v>
      </c>
      <c r="Q4398" t="s">
        <v>522</v>
      </c>
      <c r="R4398" t="s">
        <v>3410</v>
      </c>
      <c r="S4398" t="s">
        <v>3433</v>
      </c>
      <c r="T4398" t="s">
        <v>2526</v>
      </c>
      <c r="U4398">
        <v>347700</v>
      </c>
      <c r="V4398" t="s">
        <v>3907</v>
      </c>
      <c r="W4398" t="s">
        <v>3908</v>
      </c>
      <c r="X4398" t="s">
        <v>23827</v>
      </c>
      <c r="Y4398" t="s">
        <v>5253</v>
      </c>
      <c r="AA4398" t="s">
        <v>5254</v>
      </c>
      <c r="AB4398" t="s">
        <v>23482</v>
      </c>
      <c r="AE4398">
        <v>-45.028254400000002</v>
      </c>
      <c r="AF4398">
        <v>168.65890644000001</v>
      </c>
      <c r="AG4398" s="175">
        <v>30</v>
      </c>
      <c r="AH4398" s="175">
        <v>15</v>
      </c>
      <c r="AI4398" s="175">
        <v>3</v>
      </c>
      <c r="AJ4398" s="175">
        <v>5</v>
      </c>
      <c r="AK4398" s="175">
        <v>6</v>
      </c>
      <c r="AL4398" s="175">
        <v>8</v>
      </c>
      <c r="AM4398" s="175">
        <v>3</v>
      </c>
      <c r="AN4398" s="175">
        <v>0</v>
      </c>
      <c r="AO4398" s="175">
        <v>25</v>
      </c>
      <c r="AP4398" s="175">
        <v>21</v>
      </c>
      <c r="AQ4398" s="175">
        <v>1</v>
      </c>
      <c r="AR4398" s="175">
        <v>0</v>
      </c>
      <c r="AS4398" s="175">
        <v>5</v>
      </c>
      <c r="AT4398" s="175">
        <v>1</v>
      </c>
    </row>
    <row r="4399" spans="1:46">
      <c r="A4399">
        <v>90032</v>
      </c>
      <c r="B4399" t="s">
        <v>23828</v>
      </c>
      <c r="C4399" t="s">
        <v>23829</v>
      </c>
      <c r="D4399" t="s">
        <v>23830</v>
      </c>
      <c r="E4399" t="s">
        <v>23831</v>
      </c>
      <c r="F4399" t="s">
        <v>23761</v>
      </c>
      <c r="G4399" t="s">
        <v>3569</v>
      </c>
      <c r="H4399" t="s">
        <v>449</v>
      </c>
      <c r="J4399" t="s">
        <v>605</v>
      </c>
      <c r="K4399" t="s">
        <v>606</v>
      </c>
      <c r="M4399" t="s">
        <v>2366</v>
      </c>
      <c r="N4399" t="s">
        <v>657</v>
      </c>
      <c r="O4399" t="s">
        <v>3568</v>
      </c>
      <c r="P4399" t="s">
        <v>670</v>
      </c>
      <c r="Q4399" t="s">
        <v>523</v>
      </c>
      <c r="R4399" t="s">
        <v>3410</v>
      </c>
      <c r="S4399" t="s">
        <v>3569</v>
      </c>
      <c r="T4399" t="s">
        <v>2526</v>
      </c>
      <c r="U4399">
        <v>361300</v>
      </c>
      <c r="V4399" t="s">
        <v>13988</v>
      </c>
      <c r="W4399" t="s">
        <v>1734</v>
      </c>
      <c r="X4399" t="s">
        <v>12827</v>
      </c>
      <c r="Y4399" t="s">
        <v>4014</v>
      </c>
      <c r="Z4399" t="s">
        <v>4015</v>
      </c>
      <c r="AA4399" t="s">
        <v>4016</v>
      </c>
      <c r="AB4399" t="s">
        <v>12828</v>
      </c>
      <c r="AE4399">
        <v>-46.402862800000001</v>
      </c>
      <c r="AF4399">
        <v>168.35079479999999</v>
      </c>
      <c r="AG4399" s="175">
        <v>75</v>
      </c>
      <c r="AH4399" s="175">
        <v>25</v>
      </c>
      <c r="AI4399" s="175">
        <v>8</v>
      </c>
      <c r="AJ4399" s="175">
        <v>22</v>
      </c>
      <c r="AK4399" s="175">
        <v>23</v>
      </c>
      <c r="AL4399" s="175">
        <v>25</v>
      </c>
      <c r="AM4399" s="175">
        <v>13</v>
      </c>
      <c r="AN4399" s="175">
        <v>1</v>
      </c>
      <c r="AO4399" s="175">
        <v>92</v>
      </c>
      <c r="AP4399" s="175">
        <v>79</v>
      </c>
      <c r="AQ4399" s="175">
        <v>18</v>
      </c>
      <c r="AR4399" s="175">
        <v>4</v>
      </c>
      <c r="AS4399" s="175">
        <v>11</v>
      </c>
      <c r="AT4399" s="175">
        <v>5</v>
      </c>
    </row>
    <row r="4400" spans="1:46">
      <c r="A4400">
        <v>90033</v>
      </c>
      <c r="B4400" t="s">
        <v>23832</v>
      </c>
      <c r="C4400" t="s">
        <v>23833</v>
      </c>
      <c r="D4400" t="s">
        <v>23834</v>
      </c>
      <c r="E4400" t="s">
        <v>23835</v>
      </c>
      <c r="G4400" t="s">
        <v>3567</v>
      </c>
      <c r="H4400" t="s">
        <v>449</v>
      </c>
      <c r="I4400" t="s">
        <v>5017</v>
      </c>
      <c r="J4400" t="s">
        <v>605</v>
      </c>
      <c r="K4400" t="s">
        <v>606</v>
      </c>
      <c r="M4400" t="s">
        <v>2366</v>
      </c>
      <c r="N4400" t="s">
        <v>608</v>
      </c>
      <c r="O4400" t="s">
        <v>3568</v>
      </c>
      <c r="P4400" t="s">
        <v>610</v>
      </c>
      <c r="Q4400" t="s">
        <v>523</v>
      </c>
      <c r="R4400" t="s">
        <v>3410</v>
      </c>
      <c r="S4400" t="s">
        <v>3569</v>
      </c>
      <c r="T4400" t="s">
        <v>2526</v>
      </c>
      <c r="U4400">
        <v>363301</v>
      </c>
      <c r="V4400" t="s">
        <v>3567</v>
      </c>
      <c r="W4400" t="s">
        <v>1734</v>
      </c>
      <c r="X4400" t="s">
        <v>23836</v>
      </c>
      <c r="Y4400" t="s">
        <v>23837</v>
      </c>
      <c r="Z4400" t="s">
        <v>3567</v>
      </c>
      <c r="AA4400" t="s">
        <v>23838</v>
      </c>
      <c r="AB4400" t="s">
        <v>23839</v>
      </c>
      <c r="AE4400">
        <v>-46.60417803</v>
      </c>
      <c r="AF4400">
        <v>168.34546850000001</v>
      </c>
      <c r="AG4400" s="175">
        <v>30</v>
      </c>
      <c r="AH4400" s="175">
        <v>10</v>
      </c>
      <c r="AI4400" s="175">
        <v>0</v>
      </c>
      <c r="AJ4400" s="175">
        <v>2</v>
      </c>
      <c r="AK4400" s="175">
        <v>9</v>
      </c>
      <c r="AL4400" s="175">
        <v>8</v>
      </c>
      <c r="AM4400" s="175">
        <v>12</v>
      </c>
      <c r="AN4400" s="175">
        <v>0</v>
      </c>
      <c r="AO4400" s="175">
        <v>31</v>
      </c>
      <c r="AP4400" s="175">
        <v>17</v>
      </c>
      <c r="AQ4400" s="175">
        <v>23</v>
      </c>
      <c r="AR4400" s="175">
        <v>5</v>
      </c>
      <c r="AS4400" s="175">
        <v>3</v>
      </c>
      <c r="AT4400" s="175">
        <v>1</v>
      </c>
    </row>
    <row r="4401" spans="1:46">
      <c r="A4401">
        <v>90036</v>
      </c>
      <c r="B4401" t="s">
        <v>23840</v>
      </c>
      <c r="C4401" t="s">
        <v>23841</v>
      </c>
      <c r="D4401" t="s">
        <v>23842</v>
      </c>
      <c r="E4401" t="s">
        <v>23843</v>
      </c>
      <c r="F4401" t="s">
        <v>11346</v>
      </c>
      <c r="G4401" t="s">
        <v>3569</v>
      </c>
      <c r="H4401" t="s">
        <v>452</v>
      </c>
      <c r="J4401" t="s">
        <v>605</v>
      </c>
      <c r="K4401" t="s">
        <v>606</v>
      </c>
      <c r="M4401" t="s">
        <v>2366</v>
      </c>
      <c r="N4401" t="s">
        <v>643</v>
      </c>
      <c r="O4401" t="s">
        <v>3568</v>
      </c>
      <c r="P4401" t="s">
        <v>670</v>
      </c>
      <c r="Q4401" t="s">
        <v>523</v>
      </c>
      <c r="R4401" t="s">
        <v>3410</v>
      </c>
      <c r="S4401" t="s">
        <v>3569</v>
      </c>
      <c r="T4401" t="s">
        <v>2526</v>
      </c>
      <c r="U4401">
        <v>362001</v>
      </c>
      <c r="V4401" t="s">
        <v>13023</v>
      </c>
      <c r="W4401" t="s">
        <v>1734</v>
      </c>
      <c r="X4401" t="s">
        <v>3570</v>
      </c>
      <c r="Y4401" t="s">
        <v>3571</v>
      </c>
      <c r="Z4401" t="s">
        <v>3569</v>
      </c>
      <c r="AA4401" t="s">
        <v>3572</v>
      </c>
      <c r="AB4401" t="s">
        <v>3573</v>
      </c>
      <c r="AC4401">
        <v>99146</v>
      </c>
      <c r="AD4401" t="s">
        <v>3579</v>
      </c>
      <c r="AE4401">
        <v>-46.42105394</v>
      </c>
      <c r="AF4401">
        <v>168.35270684</v>
      </c>
      <c r="AG4401" s="175">
        <v>33</v>
      </c>
      <c r="AH4401" s="175">
        <v>0</v>
      </c>
      <c r="AI4401" s="175">
        <v>0</v>
      </c>
      <c r="AJ4401" s="175">
        <v>0</v>
      </c>
      <c r="AK4401" s="175">
        <v>5</v>
      </c>
      <c r="AL4401" s="175">
        <v>11</v>
      </c>
      <c r="AM4401" s="175">
        <v>13</v>
      </c>
      <c r="AN4401" s="175">
        <v>0</v>
      </c>
      <c r="AO4401" s="175">
        <v>29</v>
      </c>
      <c r="AP4401" s="175">
        <v>18</v>
      </c>
      <c r="AQ4401" s="175">
        <v>8</v>
      </c>
      <c r="AR4401" s="175">
        <v>2</v>
      </c>
      <c r="AS4401" s="175">
        <v>4</v>
      </c>
      <c r="AT4401" s="175">
        <v>4</v>
      </c>
    </row>
    <row r="4402" spans="1:46">
      <c r="A4402">
        <v>90037</v>
      </c>
      <c r="B4402" t="s">
        <v>23844</v>
      </c>
      <c r="C4402" t="s">
        <v>23845</v>
      </c>
      <c r="D4402" t="s">
        <v>23846</v>
      </c>
      <c r="E4402" t="s">
        <v>23847</v>
      </c>
      <c r="F4402" t="s">
        <v>23848</v>
      </c>
      <c r="G4402" t="s">
        <v>3905</v>
      </c>
      <c r="H4402" t="s">
        <v>448</v>
      </c>
      <c r="J4402" t="s">
        <v>4032</v>
      </c>
      <c r="K4402" t="s">
        <v>606</v>
      </c>
      <c r="M4402" t="s">
        <v>2366</v>
      </c>
      <c r="N4402" t="s">
        <v>4586</v>
      </c>
      <c r="O4402" t="s">
        <v>3906</v>
      </c>
      <c r="P4402" t="s">
        <v>658</v>
      </c>
      <c r="Q4402" t="s">
        <v>522</v>
      </c>
      <c r="R4402" t="s">
        <v>3410</v>
      </c>
      <c r="S4402" t="s">
        <v>3433</v>
      </c>
      <c r="T4402" t="s">
        <v>2526</v>
      </c>
      <c r="U4402">
        <v>346201</v>
      </c>
      <c r="V4402" t="s">
        <v>23849</v>
      </c>
      <c r="W4402" t="s">
        <v>11569</v>
      </c>
      <c r="X4402" t="s">
        <v>23850</v>
      </c>
      <c r="Y4402" t="s">
        <v>5424</v>
      </c>
      <c r="AA4402" t="s">
        <v>23851</v>
      </c>
      <c r="AB4402" t="s">
        <v>23852</v>
      </c>
      <c r="AE4402">
        <v>-44.926343260000003</v>
      </c>
      <c r="AF4402">
        <v>168.73832469999999</v>
      </c>
      <c r="AG4402" s="175">
        <v>0</v>
      </c>
      <c r="AH4402" s="175">
        <v>0</v>
      </c>
      <c r="AI4402" s="175"/>
      <c r="AJ4402" s="175"/>
      <c r="AK4402" s="175"/>
      <c r="AL4402" s="175"/>
      <c r="AM4402" s="175"/>
      <c r="AN4402" s="175"/>
      <c r="AO4402" s="175"/>
      <c r="AP4402" s="175"/>
      <c r="AQ4402" s="175"/>
      <c r="AR4402" s="175"/>
      <c r="AS4402" s="175"/>
    </row>
    <row r="4403" spans="1:46">
      <c r="A4403">
        <v>90038</v>
      </c>
      <c r="B4403" t="s">
        <v>23853</v>
      </c>
      <c r="C4403" t="s">
        <v>23854</v>
      </c>
      <c r="D4403" t="s">
        <v>23855</v>
      </c>
      <c r="E4403" t="s">
        <v>23856</v>
      </c>
      <c r="F4403" t="s">
        <v>3651</v>
      </c>
      <c r="G4403" t="s">
        <v>3569</v>
      </c>
      <c r="H4403" t="s">
        <v>449</v>
      </c>
      <c r="J4403" t="s">
        <v>4032</v>
      </c>
      <c r="K4403" t="s">
        <v>606</v>
      </c>
      <c r="M4403" t="s">
        <v>2366</v>
      </c>
      <c r="N4403" t="s">
        <v>657</v>
      </c>
      <c r="O4403" t="s">
        <v>3568</v>
      </c>
      <c r="P4403" t="s">
        <v>670</v>
      </c>
      <c r="Q4403" t="s">
        <v>523</v>
      </c>
      <c r="R4403" t="s">
        <v>3410</v>
      </c>
      <c r="S4403" t="s">
        <v>3569</v>
      </c>
      <c r="T4403" t="s">
        <v>2526</v>
      </c>
      <c r="U4403">
        <v>360701</v>
      </c>
      <c r="V4403" t="s">
        <v>3651</v>
      </c>
      <c r="W4403" t="s">
        <v>1734</v>
      </c>
      <c r="X4403" t="s">
        <v>23857</v>
      </c>
      <c r="Y4403" t="s">
        <v>23856</v>
      </c>
      <c r="Z4403" t="s">
        <v>3651</v>
      </c>
      <c r="AA4403" t="s">
        <v>11966</v>
      </c>
      <c r="AB4403" t="s">
        <v>23858</v>
      </c>
      <c r="AE4403">
        <v>-46.377507950000002</v>
      </c>
      <c r="AF4403">
        <v>168.34641973000001</v>
      </c>
      <c r="AG4403" s="175">
        <v>24</v>
      </c>
      <c r="AH4403" s="175">
        <v>0</v>
      </c>
      <c r="AI4403" s="175">
        <v>0</v>
      </c>
      <c r="AJ4403" s="175">
        <v>0</v>
      </c>
      <c r="AK4403" s="175">
        <v>4</v>
      </c>
      <c r="AL4403" s="175">
        <v>10</v>
      </c>
      <c r="AM4403" s="175">
        <v>5</v>
      </c>
      <c r="AN4403" s="175">
        <v>0</v>
      </c>
      <c r="AO4403" s="175">
        <v>19</v>
      </c>
      <c r="AP4403" s="175">
        <v>16</v>
      </c>
      <c r="AQ4403" s="175">
        <v>7</v>
      </c>
      <c r="AR4403" s="175">
        <v>0</v>
      </c>
      <c r="AS4403" s="175">
        <v>1</v>
      </c>
      <c r="AT4403" s="175">
        <v>0</v>
      </c>
    </row>
    <row r="4404" spans="1:46">
      <c r="A4404">
        <v>90104</v>
      </c>
      <c r="B4404" t="s">
        <v>23859</v>
      </c>
      <c r="C4404" t="s">
        <v>23860</v>
      </c>
      <c r="D4404" t="s">
        <v>23861</v>
      </c>
      <c r="E4404" t="s">
        <v>23862</v>
      </c>
      <c r="G4404" t="s">
        <v>3569</v>
      </c>
      <c r="H4404" t="s">
        <v>449</v>
      </c>
      <c r="J4404" t="s">
        <v>605</v>
      </c>
      <c r="K4404" t="s">
        <v>606</v>
      </c>
      <c r="M4404" t="s">
        <v>2366</v>
      </c>
      <c r="N4404" t="s">
        <v>657</v>
      </c>
      <c r="O4404" t="s">
        <v>3568</v>
      </c>
      <c r="P4404" t="s">
        <v>670</v>
      </c>
      <c r="Q4404" t="s">
        <v>523</v>
      </c>
      <c r="R4404" t="s">
        <v>3410</v>
      </c>
      <c r="S4404" t="s">
        <v>3569</v>
      </c>
      <c r="T4404" t="s">
        <v>2526</v>
      </c>
      <c r="U4404">
        <v>362001</v>
      </c>
      <c r="V4404" t="s">
        <v>13023</v>
      </c>
      <c r="W4404" t="s">
        <v>1734</v>
      </c>
      <c r="X4404" t="s">
        <v>23863</v>
      </c>
      <c r="Y4404" t="s">
        <v>7418</v>
      </c>
      <c r="AA4404" t="s">
        <v>7419</v>
      </c>
      <c r="AB4404" t="s">
        <v>23864</v>
      </c>
      <c r="AE4404">
        <v>-46.416907399999999</v>
      </c>
      <c r="AF4404">
        <v>168.35924555</v>
      </c>
      <c r="AG4404" s="175">
        <v>74</v>
      </c>
      <c r="AH4404" s="175">
        <v>20</v>
      </c>
      <c r="AI4404" s="175">
        <v>4</v>
      </c>
      <c r="AJ4404" s="175">
        <v>13</v>
      </c>
      <c r="AK4404" s="175">
        <v>15</v>
      </c>
      <c r="AL4404" s="175">
        <v>17</v>
      </c>
      <c r="AM4404" s="175">
        <v>22</v>
      </c>
      <c r="AN4404" s="175">
        <v>1</v>
      </c>
      <c r="AO4404" s="175">
        <v>72</v>
      </c>
      <c r="AP4404" s="175">
        <v>42</v>
      </c>
      <c r="AQ4404" s="175">
        <v>9</v>
      </c>
      <c r="AR4404" s="175">
        <v>1</v>
      </c>
      <c r="AS4404" s="175">
        <v>28</v>
      </c>
      <c r="AT4404" s="175">
        <v>4</v>
      </c>
    </row>
    <row r="4405" spans="1:46">
      <c r="A4405">
        <v>90105</v>
      </c>
      <c r="B4405" t="s">
        <v>23865</v>
      </c>
      <c r="C4405" t="s">
        <v>23866</v>
      </c>
      <c r="D4405" t="s">
        <v>23867</v>
      </c>
      <c r="E4405" t="s">
        <v>23868</v>
      </c>
      <c r="G4405" t="s">
        <v>3905</v>
      </c>
      <c r="H4405" t="s">
        <v>449</v>
      </c>
      <c r="J4405" t="s">
        <v>605</v>
      </c>
      <c r="K4405" t="s">
        <v>606</v>
      </c>
      <c r="M4405" t="s">
        <v>2366</v>
      </c>
      <c r="N4405" t="s">
        <v>657</v>
      </c>
      <c r="O4405" t="s">
        <v>3906</v>
      </c>
      <c r="P4405" t="s">
        <v>1347</v>
      </c>
      <c r="Q4405" t="s">
        <v>522</v>
      </c>
      <c r="R4405" t="s">
        <v>3410</v>
      </c>
      <c r="S4405" t="s">
        <v>3433</v>
      </c>
      <c r="T4405" t="s">
        <v>2526</v>
      </c>
      <c r="U4405">
        <v>347700</v>
      </c>
      <c r="V4405" t="s">
        <v>3907</v>
      </c>
      <c r="W4405" t="s">
        <v>3908</v>
      </c>
      <c r="X4405" t="s">
        <v>23869</v>
      </c>
      <c r="Y4405" t="s">
        <v>23868</v>
      </c>
      <c r="Z4405" t="s">
        <v>3905</v>
      </c>
      <c r="AA4405" t="s">
        <v>23870</v>
      </c>
      <c r="AB4405" t="s">
        <v>23866</v>
      </c>
      <c r="AE4405">
        <v>-45.028897129999997</v>
      </c>
      <c r="AF4405">
        <v>168.65763910000001</v>
      </c>
      <c r="AG4405" s="175">
        <v>70</v>
      </c>
      <c r="AH4405" s="175">
        <v>24</v>
      </c>
      <c r="AI4405" s="175">
        <v>3</v>
      </c>
      <c r="AJ4405" s="175">
        <v>13</v>
      </c>
      <c r="AK4405" s="175">
        <v>21</v>
      </c>
      <c r="AL4405" s="175">
        <v>14</v>
      </c>
      <c r="AM4405" s="175">
        <v>13</v>
      </c>
      <c r="AN4405" s="175">
        <v>1</v>
      </c>
      <c r="AO4405" s="175">
        <v>65</v>
      </c>
      <c r="AP4405" s="175">
        <v>59</v>
      </c>
      <c r="AQ4405" s="175">
        <v>12</v>
      </c>
      <c r="AR4405" s="175">
        <v>0</v>
      </c>
      <c r="AS4405" s="175">
        <v>3</v>
      </c>
      <c r="AT4405" s="175">
        <v>7</v>
      </c>
    </row>
    <row r="4406" spans="1:46">
      <c r="A4406">
        <v>90107</v>
      </c>
      <c r="B4406" t="s">
        <v>23871</v>
      </c>
      <c r="C4406" t="s">
        <v>23872</v>
      </c>
      <c r="D4406" t="s">
        <v>23873</v>
      </c>
      <c r="E4406" t="s">
        <v>23874</v>
      </c>
      <c r="G4406" t="s">
        <v>3597</v>
      </c>
      <c r="H4406" t="s">
        <v>449</v>
      </c>
      <c r="J4406" t="s">
        <v>605</v>
      </c>
      <c r="K4406" t="s">
        <v>606</v>
      </c>
      <c r="M4406" t="s">
        <v>2366</v>
      </c>
      <c r="N4406" t="s">
        <v>657</v>
      </c>
      <c r="O4406" t="s">
        <v>3598</v>
      </c>
      <c r="P4406" t="s">
        <v>610</v>
      </c>
      <c r="Q4406" t="s">
        <v>523</v>
      </c>
      <c r="R4406" t="s">
        <v>3410</v>
      </c>
      <c r="S4406" t="s">
        <v>3433</v>
      </c>
      <c r="T4406" t="s">
        <v>2526</v>
      </c>
      <c r="U4406">
        <v>357501</v>
      </c>
      <c r="V4406" t="s">
        <v>3599</v>
      </c>
      <c r="W4406" t="s">
        <v>3600</v>
      </c>
      <c r="X4406" t="s">
        <v>23875</v>
      </c>
      <c r="Y4406" t="s">
        <v>23874</v>
      </c>
      <c r="Z4406" t="s">
        <v>3597</v>
      </c>
      <c r="AA4406" t="s">
        <v>23876</v>
      </c>
      <c r="AB4406" t="s">
        <v>23877</v>
      </c>
      <c r="AC4406">
        <v>99041</v>
      </c>
      <c r="AD4406" t="s">
        <v>3601</v>
      </c>
      <c r="AE4406">
        <v>-45.415943200000001</v>
      </c>
      <c r="AF4406">
        <v>167.71768650000001</v>
      </c>
      <c r="AG4406" s="175">
        <v>45</v>
      </c>
      <c r="AH4406" s="175">
        <v>15</v>
      </c>
      <c r="AI4406" s="175">
        <v>2</v>
      </c>
      <c r="AJ4406" s="175">
        <v>5</v>
      </c>
      <c r="AK4406" s="175">
        <v>19</v>
      </c>
      <c r="AL4406" s="175">
        <v>14</v>
      </c>
      <c r="AM4406" s="175">
        <v>6</v>
      </c>
      <c r="AN4406" s="175">
        <v>0</v>
      </c>
      <c r="AO4406" s="175">
        <v>46</v>
      </c>
      <c r="AP4406" s="175">
        <v>37</v>
      </c>
      <c r="AQ4406" s="175">
        <v>5</v>
      </c>
      <c r="AR4406" s="175">
        <v>4</v>
      </c>
      <c r="AS4406" s="175">
        <v>2</v>
      </c>
      <c r="AT4406" s="175">
        <v>3</v>
      </c>
    </row>
    <row r="4407" spans="1:46">
      <c r="A4407">
        <v>90110</v>
      </c>
      <c r="B4407" t="s">
        <v>23878</v>
      </c>
      <c r="C4407" t="s">
        <v>23879</v>
      </c>
      <c r="D4407" t="s">
        <v>23880</v>
      </c>
      <c r="E4407" t="s">
        <v>23881</v>
      </c>
      <c r="G4407" t="s">
        <v>3569</v>
      </c>
      <c r="H4407" t="s">
        <v>449</v>
      </c>
      <c r="J4407" t="s">
        <v>4032</v>
      </c>
      <c r="K4407" t="s">
        <v>606</v>
      </c>
      <c r="M4407" t="s">
        <v>2366</v>
      </c>
      <c r="N4407" t="s">
        <v>657</v>
      </c>
      <c r="O4407" t="s">
        <v>3568</v>
      </c>
      <c r="P4407" t="s">
        <v>670</v>
      </c>
      <c r="Q4407" t="s">
        <v>523</v>
      </c>
      <c r="R4407" t="s">
        <v>3410</v>
      </c>
      <c r="S4407" t="s">
        <v>3569</v>
      </c>
      <c r="T4407" t="s">
        <v>2526</v>
      </c>
      <c r="U4407">
        <v>360701</v>
      </c>
      <c r="V4407" t="s">
        <v>3651</v>
      </c>
      <c r="W4407" t="s">
        <v>1734</v>
      </c>
      <c r="X4407" t="s">
        <v>23882</v>
      </c>
      <c r="Y4407" t="s">
        <v>23881</v>
      </c>
      <c r="Z4407" t="s">
        <v>3651</v>
      </c>
      <c r="AA4407" t="s">
        <v>11966</v>
      </c>
      <c r="AB4407" t="s">
        <v>23883</v>
      </c>
      <c r="AE4407">
        <v>-46.37669923</v>
      </c>
      <c r="AF4407">
        <v>168.34635721000001</v>
      </c>
      <c r="AG4407" s="175">
        <v>30</v>
      </c>
      <c r="AH4407" s="175">
        <v>10</v>
      </c>
      <c r="AI4407" s="175">
        <v>2</v>
      </c>
      <c r="AJ4407" s="175">
        <v>7</v>
      </c>
      <c r="AK4407" s="175">
        <v>8</v>
      </c>
      <c r="AL4407" s="175">
        <v>11</v>
      </c>
      <c r="AM4407" s="175">
        <v>6</v>
      </c>
      <c r="AN4407" s="175">
        <v>0</v>
      </c>
      <c r="AO4407" s="175">
        <v>34</v>
      </c>
      <c r="AP4407" s="175">
        <v>24</v>
      </c>
      <c r="AQ4407" s="175">
        <v>10</v>
      </c>
      <c r="AR4407" s="175">
        <v>2</v>
      </c>
      <c r="AS4407" s="175">
        <v>3</v>
      </c>
      <c r="AT4407" s="175">
        <v>2</v>
      </c>
    </row>
    <row r="4408" spans="1:46">
      <c r="A4408">
        <v>90111</v>
      </c>
      <c r="B4408" t="s">
        <v>23884</v>
      </c>
      <c r="C4408" t="s">
        <v>23885</v>
      </c>
      <c r="E4408" t="s">
        <v>23886</v>
      </c>
      <c r="G4408" t="s">
        <v>11568</v>
      </c>
      <c r="H4408" t="s">
        <v>449</v>
      </c>
      <c r="J4408" t="s">
        <v>605</v>
      </c>
      <c r="K4408" t="s">
        <v>606</v>
      </c>
      <c r="M4408" t="s">
        <v>2366</v>
      </c>
      <c r="N4408" t="s">
        <v>657</v>
      </c>
      <c r="O4408" t="s">
        <v>3906</v>
      </c>
      <c r="P4408" t="s">
        <v>610</v>
      </c>
      <c r="Q4408" t="s">
        <v>522</v>
      </c>
      <c r="R4408" t="s">
        <v>3410</v>
      </c>
      <c r="S4408" t="s">
        <v>3433</v>
      </c>
      <c r="T4408" t="s">
        <v>2526</v>
      </c>
      <c r="U4408">
        <v>347901</v>
      </c>
      <c r="V4408" t="s">
        <v>11568</v>
      </c>
      <c r="W4408" t="s">
        <v>11569</v>
      </c>
      <c r="X4408" t="s">
        <v>11570</v>
      </c>
      <c r="Y4408" t="s">
        <v>11571</v>
      </c>
      <c r="AA4408" t="s">
        <v>11572</v>
      </c>
      <c r="AB4408" t="s">
        <v>11573</v>
      </c>
      <c r="AE4408">
        <v>-44.939375609999999</v>
      </c>
      <c r="AF4408">
        <v>168.82788790999999</v>
      </c>
      <c r="AG4408" s="175">
        <v>35</v>
      </c>
      <c r="AH4408" s="175">
        <v>0</v>
      </c>
      <c r="AI4408" s="175">
        <v>0</v>
      </c>
      <c r="AJ4408" s="175">
        <v>0</v>
      </c>
      <c r="AK4408" s="175">
        <v>0</v>
      </c>
      <c r="AL4408" s="175">
        <v>14</v>
      </c>
      <c r="AM4408" s="175">
        <v>26</v>
      </c>
      <c r="AN4408" s="175">
        <v>0</v>
      </c>
      <c r="AO4408" s="175">
        <v>40</v>
      </c>
      <c r="AP4408" s="175">
        <v>40</v>
      </c>
      <c r="AQ4408" s="175">
        <v>6</v>
      </c>
      <c r="AR4408" s="175">
        <v>0</v>
      </c>
      <c r="AS4408" s="175">
        <v>0</v>
      </c>
      <c r="AT4408" s="175">
        <v>0</v>
      </c>
    </row>
    <row r="4409" spans="1:46">
      <c r="A4409">
        <v>90115</v>
      </c>
      <c r="B4409" t="s">
        <v>23887</v>
      </c>
      <c r="C4409" t="s">
        <v>23888</v>
      </c>
      <c r="D4409" t="s">
        <v>23889</v>
      </c>
      <c r="E4409" t="s">
        <v>23890</v>
      </c>
      <c r="G4409" t="s">
        <v>11568</v>
      </c>
      <c r="H4409" t="s">
        <v>449</v>
      </c>
      <c r="I4409" t="s">
        <v>4134</v>
      </c>
      <c r="J4409" t="s">
        <v>605</v>
      </c>
      <c r="K4409" t="s">
        <v>606</v>
      </c>
      <c r="M4409" t="s">
        <v>2366</v>
      </c>
      <c r="N4409" t="s">
        <v>657</v>
      </c>
      <c r="O4409" t="s">
        <v>3906</v>
      </c>
      <c r="P4409" t="s">
        <v>610</v>
      </c>
      <c r="Q4409" t="s">
        <v>522</v>
      </c>
      <c r="R4409" t="s">
        <v>3410</v>
      </c>
      <c r="S4409" t="s">
        <v>3433</v>
      </c>
      <c r="T4409" t="s">
        <v>2526</v>
      </c>
      <c r="U4409">
        <v>347901</v>
      </c>
      <c r="V4409" t="s">
        <v>11568</v>
      </c>
      <c r="W4409" t="s">
        <v>11569</v>
      </c>
      <c r="X4409" t="s">
        <v>18374</v>
      </c>
      <c r="Y4409" t="s">
        <v>4014</v>
      </c>
      <c r="Z4409" t="s">
        <v>4015</v>
      </c>
      <c r="AA4409" t="s">
        <v>4016</v>
      </c>
      <c r="AE4409">
        <v>-44.939282439999999</v>
      </c>
      <c r="AF4409">
        <v>168.83233128000001</v>
      </c>
      <c r="AG4409" s="175">
        <v>50</v>
      </c>
      <c r="AH4409" s="175">
        <v>20</v>
      </c>
      <c r="AI4409" s="175">
        <v>1</v>
      </c>
      <c r="AJ4409" s="175">
        <v>10</v>
      </c>
      <c r="AK4409" s="175">
        <v>14</v>
      </c>
      <c r="AL4409" s="175">
        <v>17</v>
      </c>
      <c r="AM4409" s="175">
        <v>24</v>
      </c>
      <c r="AN4409" s="175">
        <v>0</v>
      </c>
      <c r="AO4409" s="175">
        <v>66</v>
      </c>
      <c r="AP4409" s="175">
        <v>59</v>
      </c>
      <c r="AQ4409" s="175">
        <v>5</v>
      </c>
      <c r="AR4409" s="175">
        <v>0</v>
      </c>
      <c r="AS4409" s="175">
        <v>5</v>
      </c>
      <c r="AT4409" s="175">
        <v>7</v>
      </c>
    </row>
    <row r="4410" spans="1:46">
      <c r="A4410">
        <v>90117</v>
      </c>
      <c r="B4410" t="s">
        <v>23891</v>
      </c>
      <c r="C4410" t="s">
        <v>23892</v>
      </c>
      <c r="E4410" t="s">
        <v>23893</v>
      </c>
      <c r="G4410" t="s">
        <v>3569</v>
      </c>
      <c r="H4410" t="s">
        <v>451</v>
      </c>
      <c r="I4410" t="s">
        <v>4102</v>
      </c>
      <c r="J4410" t="s">
        <v>605</v>
      </c>
      <c r="K4410" t="s">
        <v>606</v>
      </c>
      <c r="M4410" t="s">
        <v>2366</v>
      </c>
      <c r="N4410" t="s">
        <v>812</v>
      </c>
      <c r="O4410" t="s">
        <v>3568</v>
      </c>
      <c r="P4410" t="s">
        <v>670</v>
      </c>
      <c r="Q4410" t="s">
        <v>523</v>
      </c>
      <c r="R4410" t="s">
        <v>3410</v>
      </c>
      <c r="S4410" t="s">
        <v>3569</v>
      </c>
      <c r="T4410" t="s">
        <v>2526</v>
      </c>
      <c r="U4410">
        <v>363001</v>
      </c>
      <c r="V4410" t="s">
        <v>21929</v>
      </c>
      <c r="W4410" t="s">
        <v>1734</v>
      </c>
      <c r="X4410" t="s">
        <v>23894</v>
      </c>
      <c r="Y4410" t="s">
        <v>23895</v>
      </c>
      <c r="Z4410" t="s">
        <v>23896</v>
      </c>
      <c r="AA4410" t="s">
        <v>15675</v>
      </c>
      <c r="AB4410" t="s">
        <v>23897</v>
      </c>
      <c r="AE4410">
        <v>-46.437234119999999</v>
      </c>
      <c r="AF4410">
        <v>168.35389452000001</v>
      </c>
      <c r="AG4410" s="175">
        <v>18</v>
      </c>
      <c r="AH4410" s="175">
        <v>18</v>
      </c>
      <c r="AI4410" s="175"/>
      <c r="AJ4410" s="175"/>
      <c r="AK4410" s="175"/>
      <c r="AL4410" s="175"/>
      <c r="AM4410" s="175"/>
      <c r="AN4410" s="175"/>
      <c r="AO4410" s="175"/>
      <c r="AP4410" s="175"/>
      <c r="AQ4410" s="175"/>
      <c r="AR4410" s="175"/>
      <c r="AS4410" s="175"/>
    </row>
    <row r="4411" spans="1:46">
      <c r="A4411">
        <v>90300</v>
      </c>
      <c r="B4411" t="s">
        <v>23898</v>
      </c>
      <c r="C4411" t="s">
        <v>23899</v>
      </c>
      <c r="E4411" t="s">
        <v>23900</v>
      </c>
      <c r="G4411" t="s">
        <v>3569</v>
      </c>
      <c r="H4411" t="s">
        <v>347</v>
      </c>
      <c r="J4411" t="s">
        <v>605</v>
      </c>
      <c r="K4411" t="s">
        <v>606</v>
      </c>
      <c r="L4411" t="s">
        <v>4273</v>
      </c>
      <c r="M4411" t="s">
        <v>2366</v>
      </c>
      <c r="N4411" t="s">
        <v>643</v>
      </c>
      <c r="O4411" t="s">
        <v>3568</v>
      </c>
      <c r="P4411" t="s">
        <v>670</v>
      </c>
      <c r="Q4411" t="s">
        <v>523</v>
      </c>
      <c r="R4411" t="s">
        <v>3410</v>
      </c>
      <c r="S4411" t="s">
        <v>3569</v>
      </c>
      <c r="T4411" t="s">
        <v>2526</v>
      </c>
      <c r="U4411">
        <v>361601</v>
      </c>
      <c r="V4411" t="s">
        <v>3621</v>
      </c>
      <c r="W4411" t="s">
        <v>1734</v>
      </c>
      <c r="X4411" t="s">
        <v>12121</v>
      </c>
      <c r="Y4411" t="s">
        <v>4276</v>
      </c>
      <c r="Z4411" t="s">
        <v>4277</v>
      </c>
      <c r="AA4411" t="s">
        <v>4278</v>
      </c>
      <c r="AB4411" t="s">
        <v>12122</v>
      </c>
      <c r="AE4411">
        <v>-46.410086120000003</v>
      </c>
      <c r="AF4411">
        <v>168.36444922000001</v>
      </c>
      <c r="AG4411" s="175">
        <v>36</v>
      </c>
      <c r="AH4411" s="175">
        <v>8</v>
      </c>
      <c r="AI4411" s="175">
        <v>1</v>
      </c>
      <c r="AJ4411" s="175">
        <v>3</v>
      </c>
      <c r="AK4411" s="175">
        <v>9</v>
      </c>
      <c r="AL4411" s="175">
        <v>13</v>
      </c>
      <c r="AM4411" s="175">
        <v>8</v>
      </c>
      <c r="AN4411" s="175">
        <v>0</v>
      </c>
      <c r="AO4411" s="175">
        <v>34</v>
      </c>
      <c r="AP4411" s="175">
        <v>0</v>
      </c>
      <c r="AQ4411" s="175">
        <v>34</v>
      </c>
      <c r="AR4411" s="175">
        <v>0</v>
      </c>
      <c r="AS4411" s="175">
        <v>0</v>
      </c>
      <c r="AT4411" s="175">
        <v>0</v>
      </c>
    </row>
    <row r="4412" spans="1:46">
      <c r="A4412">
        <v>90302</v>
      </c>
      <c r="B4412" t="s">
        <v>23901</v>
      </c>
      <c r="C4412" t="s">
        <v>23902</v>
      </c>
      <c r="E4412" t="s">
        <v>23903</v>
      </c>
      <c r="G4412" t="s">
        <v>3584</v>
      </c>
      <c r="H4412" t="s">
        <v>347</v>
      </c>
      <c r="J4412" t="s">
        <v>605</v>
      </c>
      <c r="K4412" t="s">
        <v>606</v>
      </c>
      <c r="L4412" t="s">
        <v>4273</v>
      </c>
      <c r="M4412" t="s">
        <v>2366</v>
      </c>
      <c r="N4412" t="s">
        <v>608</v>
      </c>
      <c r="O4412" t="s">
        <v>3585</v>
      </c>
      <c r="P4412" t="s">
        <v>610</v>
      </c>
      <c r="Q4412" t="s">
        <v>523</v>
      </c>
      <c r="R4412" t="s">
        <v>3410</v>
      </c>
      <c r="S4412" t="s">
        <v>3433</v>
      </c>
      <c r="T4412" t="s">
        <v>2526</v>
      </c>
      <c r="U4412">
        <v>360300</v>
      </c>
      <c r="V4412" t="s">
        <v>23904</v>
      </c>
      <c r="W4412" t="s">
        <v>3587</v>
      </c>
      <c r="X4412" t="s">
        <v>12121</v>
      </c>
      <c r="Y4412" t="s">
        <v>4276</v>
      </c>
      <c r="Z4412" t="s">
        <v>4277</v>
      </c>
      <c r="AA4412" t="s">
        <v>4278</v>
      </c>
      <c r="AB4412" t="s">
        <v>12122</v>
      </c>
      <c r="AE4412">
        <v>-46.114527729999999</v>
      </c>
      <c r="AF4412">
        <v>168.92660133000001</v>
      </c>
      <c r="AG4412" s="175">
        <v>19</v>
      </c>
      <c r="AH4412" s="175">
        <v>4</v>
      </c>
      <c r="AI4412" s="175">
        <v>2</v>
      </c>
      <c r="AJ4412" s="175">
        <v>1</v>
      </c>
      <c r="AK4412" s="175">
        <v>3</v>
      </c>
      <c r="AL4412" s="175">
        <v>5</v>
      </c>
      <c r="AM4412" s="175">
        <v>2</v>
      </c>
      <c r="AN4412" s="175">
        <v>0</v>
      </c>
      <c r="AO4412" s="175">
        <v>13</v>
      </c>
      <c r="AP4412" s="175">
        <v>0</v>
      </c>
      <c r="AQ4412" s="175">
        <v>13</v>
      </c>
      <c r="AR4412" s="175">
        <v>0</v>
      </c>
      <c r="AS4412" s="175">
        <v>0</v>
      </c>
      <c r="AT4412" s="175">
        <v>0</v>
      </c>
    </row>
    <row r="4413" spans="1:46">
      <c r="A4413">
        <v>90304</v>
      </c>
      <c r="B4413" t="s">
        <v>23905</v>
      </c>
      <c r="C4413" t="s">
        <v>23906</v>
      </c>
      <c r="D4413" t="s">
        <v>23907</v>
      </c>
      <c r="E4413" t="s">
        <v>23908</v>
      </c>
      <c r="G4413" t="s">
        <v>13931</v>
      </c>
      <c r="H4413" t="s">
        <v>347</v>
      </c>
      <c r="J4413" t="s">
        <v>605</v>
      </c>
      <c r="K4413" t="s">
        <v>606</v>
      </c>
      <c r="L4413" t="s">
        <v>4273</v>
      </c>
      <c r="M4413" t="s">
        <v>2366</v>
      </c>
      <c r="N4413" t="s">
        <v>608</v>
      </c>
      <c r="O4413" t="s">
        <v>3585</v>
      </c>
      <c r="P4413" t="s">
        <v>610</v>
      </c>
      <c r="Q4413" t="s">
        <v>523</v>
      </c>
      <c r="R4413" t="s">
        <v>3410</v>
      </c>
      <c r="S4413" t="s">
        <v>3433</v>
      </c>
      <c r="T4413" t="s">
        <v>2526</v>
      </c>
      <c r="U4413">
        <v>360400</v>
      </c>
      <c r="V4413" t="s">
        <v>13931</v>
      </c>
      <c r="W4413" t="s">
        <v>13932</v>
      </c>
      <c r="X4413" t="s">
        <v>12121</v>
      </c>
      <c r="Y4413" t="s">
        <v>4276</v>
      </c>
      <c r="Z4413" t="s">
        <v>4277</v>
      </c>
      <c r="AA4413" t="s">
        <v>4278</v>
      </c>
      <c r="AB4413" t="s">
        <v>12122</v>
      </c>
      <c r="AE4413">
        <v>-46.193706159999998</v>
      </c>
      <c r="AF4413">
        <v>168.87011089999999</v>
      </c>
      <c r="AG4413" s="175">
        <v>27</v>
      </c>
      <c r="AH4413" s="175">
        <v>10</v>
      </c>
      <c r="AI4413" s="175">
        <v>0</v>
      </c>
      <c r="AJ4413" s="175">
        <v>2</v>
      </c>
      <c r="AK4413" s="175">
        <v>5</v>
      </c>
      <c r="AL4413" s="175">
        <v>6</v>
      </c>
      <c r="AM4413" s="175">
        <v>8</v>
      </c>
      <c r="AN4413" s="175">
        <v>0</v>
      </c>
      <c r="AO4413" s="175">
        <v>21</v>
      </c>
      <c r="AP4413" s="175">
        <v>0</v>
      </c>
      <c r="AQ4413" s="175">
        <v>20</v>
      </c>
      <c r="AR4413" s="175">
        <v>0</v>
      </c>
      <c r="AS4413" s="175">
        <v>0</v>
      </c>
      <c r="AT4413" s="175">
        <v>1</v>
      </c>
    </row>
    <row r="4414" spans="1:46">
      <c r="A4414">
        <v>90305</v>
      </c>
      <c r="B4414" t="s">
        <v>23909</v>
      </c>
      <c r="C4414" t="s">
        <v>23910</v>
      </c>
      <c r="E4414" t="s">
        <v>23911</v>
      </c>
      <c r="G4414" t="s">
        <v>3569</v>
      </c>
      <c r="H4414" t="s">
        <v>347</v>
      </c>
      <c r="J4414" t="s">
        <v>605</v>
      </c>
      <c r="K4414" t="s">
        <v>606</v>
      </c>
      <c r="L4414" t="s">
        <v>4273</v>
      </c>
      <c r="M4414" t="s">
        <v>2366</v>
      </c>
      <c r="N4414" t="s">
        <v>625</v>
      </c>
      <c r="O4414" t="s">
        <v>3568</v>
      </c>
      <c r="P4414" t="s">
        <v>670</v>
      </c>
      <c r="Q4414" t="s">
        <v>523</v>
      </c>
      <c r="R4414" t="s">
        <v>3410</v>
      </c>
      <c r="S4414" t="s">
        <v>3569</v>
      </c>
      <c r="T4414" t="s">
        <v>2526</v>
      </c>
      <c r="U4414">
        <v>362001</v>
      </c>
      <c r="V4414" t="s">
        <v>13023</v>
      </c>
      <c r="W4414" t="s">
        <v>1734</v>
      </c>
      <c r="X4414" t="s">
        <v>12121</v>
      </c>
      <c r="Y4414" t="s">
        <v>4276</v>
      </c>
      <c r="Z4414" t="s">
        <v>4277</v>
      </c>
      <c r="AA4414" t="s">
        <v>4278</v>
      </c>
      <c r="AB4414" t="s">
        <v>12122</v>
      </c>
      <c r="AE4414">
        <v>-46.424123059999999</v>
      </c>
      <c r="AF4414">
        <v>168.35294533000001</v>
      </c>
      <c r="AG4414" s="175">
        <v>40</v>
      </c>
      <c r="AH4414" s="175">
        <v>15</v>
      </c>
      <c r="AI4414" s="175">
        <v>1</v>
      </c>
      <c r="AJ4414" s="175">
        <v>6</v>
      </c>
      <c r="AK4414" s="175">
        <v>5</v>
      </c>
      <c r="AL4414" s="175">
        <v>8</v>
      </c>
      <c r="AM4414" s="175">
        <v>14</v>
      </c>
      <c r="AN4414" s="175">
        <v>0</v>
      </c>
      <c r="AO4414" s="175">
        <v>34</v>
      </c>
      <c r="AP4414" s="175">
        <v>0</v>
      </c>
      <c r="AQ4414" s="175">
        <v>31</v>
      </c>
      <c r="AR4414" s="175">
        <v>2</v>
      </c>
      <c r="AS4414" s="175">
        <v>0</v>
      </c>
      <c r="AT4414" s="175">
        <v>1</v>
      </c>
    </row>
    <row r="4415" spans="1:46">
      <c r="A4415">
        <v>90306</v>
      </c>
      <c r="B4415" t="s">
        <v>23912</v>
      </c>
      <c r="C4415" t="s">
        <v>23913</v>
      </c>
      <c r="E4415" t="s">
        <v>23914</v>
      </c>
      <c r="G4415" t="s">
        <v>3569</v>
      </c>
      <c r="H4415" t="s">
        <v>347</v>
      </c>
      <c r="J4415" t="s">
        <v>605</v>
      </c>
      <c r="K4415" t="s">
        <v>606</v>
      </c>
      <c r="L4415" t="s">
        <v>4273</v>
      </c>
      <c r="M4415" t="s">
        <v>2366</v>
      </c>
      <c r="N4415" t="s">
        <v>657</v>
      </c>
      <c r="O4415" t="s">
        <v>3568</v>
      </c>
      <c r="P4415" t="s">
        <v>670</v>
      </c>
      <c r="Q4415" t="s">
        <v>523</v>
      </c>
      <c r="R4415" t="s">
        <v>3410</v>
      </c>
      <c r="S4415" t="s">
        <v>3569</v>
      </c>
      <c r="T4415" t="s">
        <v>2526</v>
      </c>
      <c r="U4415">
        <v>362601</v>
      </c>
      <c r="V4415" t="s">
        <v>3913</v>
      </c>
      <c r="W4415" t="s">
        <v>1734</v>
      </c>
      <c r="X4415" t="s">
        <v>12121</v>
      </c>
      <c r="Y4415" t="s">
        <v>4276</v>
      </c>
      <c r="Z4415" t="s">
        <v>4277</v>
      </c>
      <c r="AA4415" t="s">
        <v>4278</v>
      </c>
      <c r="AB4415" t="s">
        <v>12122</v>
      </c>
      <c r="AE4415">
        <v>-46.430587789999997</v>
      </c>
      <c r="AF4415">
        <v>168.38782964999999</v>
      </c>
      <c r="AG4415" s="175">
        <v>16</v>
      </c>
      <c r="AH4415" s="175">
        <v>6</v>
      </c>
      <c r="AI4415" s="175">
        <v>0</v>
      </c>
      <c r="AJ4415" s="175">
        <v>3</v>
      </c>
      <c r="AK4415" s="175">
        <v>5</v>
      </c>
      <c r="AL4415" s="175">
        <v>3</v>
      </c>
      <c r="AM4415" s="175">
        <v>1</v>
      </c>
      <c r="AN4415" s="175">
        <v>0</v>
      </c>
      <c r="AO4415" s="175">
        <v>12</v>
      </c>
      <c r="AP4415" s="175">
        <v>0</v>
      </c>
      <c r="AQ4415" s="175">
        <v>12</v>
      </c>
      <c r="AR4415" s="175">
        <v>0</v>
      </c>
      <c r="AS4415" s="175">
        <v>0</v>
      </c>
      <c r="AT4415" s="175">
        <v>0</v>
      </c>
    </row>
    <row r="4416" spans="1:46">
      <c r="A4416">
        <v>90307</v>
      </c>
      <c r="B4416" t="s">
        <v>23915</v>
      </c>
      <c r="C4416" t="s">
        <v>23916</v>
      </c>
      <c r="E4416" t="s">
        <v>23917</v>
      </c>
      <c r="G4416" t="s">
        <v>3569</v>
      </c>
      <c r="H4416" t="s">
        <v>347</v>
      </c>
      <c r="J4416" t="s">
        <v>605</v>
      </c>
      <c r="K4416" t="s">
        <v>606</v>
      </c>
      <c r="L4416" t="s">
        <v>4273</v>
      </c>
      <c r="M4416" t="s">
        <v>2366</v>
      </c>
      <c r="N4416" t="s">
        <v>812</v>
      </c>
      <c r="O4416" t="s">
        <v>3568</v>
      </c>
      <c r="P4416" t="s">
        <v>670</v>
      </c>
      <c r="Q4416" t="s">
        <v>523</v>
      </c>
      <c r="R4416" t="s">
        <v>3410</v>
      </c>
      <c r="S4416" t="s">
        <v>3569</v>
      </c>
      <c r="T4416" t="s">
        <v>2526</v>
      </c>
      <c r="U4416">
        <v>363001</v>
      </c>
      <c r="V4416" t="s">
        <v>21929</v>
      </c>
      <c r="W4416" t="s">
        <v>1734</v>
      </c>
      <c r="X4416" t="s">
        <v>12121</v>
      </c>
      <c r="Y4416" t="s">
        <v>4276</v>
      </c>
      <c r="Z4416" t="s">
        <v>4277</v>
      </c>
      <c r="AA4416" t="s">
        <v>4278</v>
      </c>
      <c r="AB4416" t="s">
        <v>12122</v>
      </c>
      <c r="AE4416">
        <v>-46.45529311</v>
      </c>
      <c r="AF4416">
        <v>168.3703764</v>
      </c>
      <c r="AG4416" s="175">
        <v>16</v>
      </c>
      <c r="AH4416" s="175">
        <v>6</v>
      </c>
      <c r="AI4416" s="175">
        <v>0</v>
      </c>
      <c r="AJ4416" s="175">
        <v>2</v>
      </c>
      <c r="AK4416" s="175">
        <v>3</v>
      </c>
      <c r="AL4416" s="175">
        <v>4</v>
      </c>
      <c r="AM4416" s="175">
        <v>3</v>
      </c>
      <c r="AN4416" s="175">
        <v>0</v>
      </c>
      <c r="AO4416" s="175">
        <v>12</v>
      </c>
      <c r="AP4416" s="175">
        <v>0</v>
      </c>
      <c r="AQ4416" s="175">
        <v>10</v>
      </c>
      <c r="AR4416" s="175">
        <v>1</v>
      </c>
      <c r="AS4416" s="175">
        <v>0</v>
      </c>
      <c r="AT4416" s="175">
        <v>1</v>
      </c>
    </row>
    <row r="4417" spans="1:46">
      <c r="A4417">
        <v>90311</v>
      </c>
      <c r="B4417" t="s">
        <v>23918</v>
      </c>
      <c r="C4417" t="s">
        <v>23919</v>
      </c>
      <c r="E4417" t="s">
        <v>23920</v>
      </c>
      <c r="G4417" t="s">
        <v>3569</v>
      </c>
      <c r="H4417" t="s">
        <v>347</v>
      </c>
      <c r="J4417" t="s">
        <v>605</v>
      </c>
      <c r="K4417" t="s">
        <v>606</v>
      </c>
      <c r="L4417" t="s">
        <v>4273</v>
      </c>
      <c r="M4417" t="s">
        <v>2366</v>
      </c>
      <c r="N4417" t="s">
        <v>608</v>
      </c>
      <c r="O4417" t="s">
        <v>3568</v>
      </c>
      <c r="P4417" t="s">
        <v>670</v>
      </c>
      <c r="Q4417" t="s">
        <v>523</v>
      </c>
      <c r="R4417" t="s">
        <v>3410</v>
      </c>
      <c r="S4417" t="s">
        <v>3569</v>
      </c>
      <c r="T4417" t="s">
        <v>2526</v>
      </c>
      <c r="U4417">
        <v>360601</v>
      </c>
      <c r="V4417" t="s">
        <v>3611</v>
      </c>
      <c r="W4417" t="s">
        <v>1734</v>
      </c>
      <c r="X4417" t="s">
        <v>12121</v>
      </c>
      <c r="Y4417" t="s">
        <v>4276</v>
      </c>
      <c r="Z4417" t="s">
        <v>4277</v>
      </c>
      <c r="AA4417" t="s">
        <v>4278</v>
      </c>
      <c r="AB4417" t="s">
        <v>12122</v>
      </c>
      <c r="AE4417">
        <v>-46.385365149999998</v>
      </c>
      <c r="AF4417">
        <v>168.34613858</v>
      </c>
      <c r="AG4417" s="175">
        <v>30</v>
      </c>
      <c r="AH4417" s="175">
        <v>12</v>
      </c>
      <c r="AI4417" s="175">
        <v>1</v>
      </c>
      <c r="AJ4417" s="175">
        <v>7</v>
      </c>
      <c r="AK4417" s="175">
        <v>10</v>
      </c>
      <c r="AL4417" s="175">
        <v>0</v>
      </c>
      <c r="AM4417" s="175">
        <v>4</v>
      </c>
      <c r="AN4417" s="175">
        <v>0</v>
      </c>
      <c r="AO4417" s="175">
        <v>22</v>
      </c>
      <c r="AP4417" s="175">
        <v>0</v>
      </c>
      <c r="AQ4417" s="175">
        <v>17</v>
      </c>
      <c r="AR4417" s="175">
        <v>3</v>
      </c>
      <c r="AS4417" s="175">
        <v>0</v>
      </c>
      <c r="AT4417" s="175">
        <v>2</v>
      </c>
    </row>
    <row r="4418" spans="1:46">
      <c r="A4418">
        <v>90400</v>
      </c>
      <c r="B4418" t="s">
        <v>23921</v>
      </c>
      <c r="C4418" t="s">
        <v>23922</v>
      </c>
      <c r="D4418" t="s">
        <v>23923</v>
      </c>
      <c r="E4418" t="s">
        <v>23924</v>
      </c>
      <c r="F4418" t="s">
        <v>23925</v>
      </c>
      <c r="G4418" t="s">
        <v>3569</v>
      </c>
      <c r="H4418" t="s">
        <v>449</v>
      </c>
      <c r="I4418" t="s">
        <v>4233</v>
      </c>
      <c r="J4418" t="s">
        <v>4032</v>
      </c>
      <c r="K4418" t="s">
        <v>606</v>
      </c>
      <c r="M4418" t="s">
        <v>2366</v>
      </c>
      <c r="N4418" t="s">
        <v>608</v>
      </c>
      <c r="O4418" t="s">
        <v>3568</v>
      </c>
      <c r="P4418" t="s">
        <v>670</v>
      </c>
      <c r="Q4418" t="s">
        <v>523</v>
      </c>
      <c r="R4418" t="s">
        <v>3410</v>
      </c>
      <c r="S4418" t="s">
        <v>3569</v>
      </c>
      <c r="T4418" t="s">
        <v>2526</v>
      </c>
      <c r="U4418">
        <v>363001</v>
      </c>
      <c r="V4418" t="s">
        <v>21929</v>
      </c>
      <c r="W4418" t="s">
        <v>1734</v>
      </c>
      <c r="X4418" t="s">
        <v>23926</v>
      </c>
      <c r="AB4418" t="s">
        <v>23927</v>
      </c>
      <c r="AE4418">
        <v>-46.453943799999998</v>
      </c>
      <c r="AF4418">
        <v>168.37044879999999</v>
      </c>
      <c r="AG4418" s="175">
        <v>55</v>
      </c>
      <c r="AH4418" s="175">
        <v>15</v>
      </c>
      <c r="AI4418" s="175">
        <v>2</v>
      </c>
      <c r="AJ4418" s="175">
        <v>7</v>
      </c>
      <c r="AK4418" s="175">
        <v>7</v>
      </c>
      <c r="AL4418" s="175">
        <v>15</v>
      </c>
      <c r="AM4418" s="175">
        <v>10</v>
      </c>
      <c r="AN4418" s="175">
        <v>0</v>
      </c>
      <c r="AO4418" s="175">
        <v>41</v>
      </c>
      <c r="AP4418" s="175">
        <v>21</v>
      </c>
      <c r="AQ4418" s="175">
        <v>18</v>
      </c>
      <c r="AR4418" s="175">
        <v>23</v>
      </c>
      <c r="AS4418" s="175">
        <v>3</v>
      </c>
      <c r="AT4418" s="175">
        <v>1</v>
      </c>
    </row>
  </sheetData>
  <pageMargins left="0.7" right="0.7" top="0.75" bottom="0.75" header="0.3" footer="0.3"/>
  <tableParts count="1">
    <tablePart r:id="rId1"/>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0C849-5837-4C80-BFC5-CB416FBB626F}">
  <dimension ref="A1:G24"/>
  <sheetViews>
    <sheetView workbookViewId="0">
      <selection activeCell="E20" sqref="A3:G22"/>
    </sheetView>
  </sheetViews>
  <sheetFormatPr defaultColWidth="8.85546875" defaultRowHeight="14.65"/>
  <cols>
    <col min="2" max="2" width="16.42578125" bestFit="1" customWidth="1"/>
    <col min="3" max="3" width="11.85546875" bestFit="1" customWidth="1"/>
    <col min="4" max="4" width="12.42578125" bestFit="1" customWidth="1"/>
    <col min="5" max="5" width="12.85546875" bestFit="1" customWidth="1"/>
    <col min="6" max="6" width="10.140625" bestFit="1" customWidth="1"/>
  </cols>
  <sheetData>
    <row r="1" spans="1:7" ht="15.4">
      <c r="A1" s="139" t="s">
        <v>23928</v>
      </c>
      <c r="B1" s="144"/>
      <c r="C1" s="144"/>
      <c r="D1" s="144"/>
      <c r="E1" s="144"/>
      <c r="F1" s="144"/>
      <c r="G1" s="144"/>
    </row>
    <row r="2" spans="1:7">
      <c r="A2" s="144"/>
      <c r="B2" s="144"/>
      <c r="C2" s="144"/>
      <c r="D2" s="144"/>
      <c r="E2" s="144"/>
      <c r="F2" s="144"/>
      <c r="G2" s="144"/>
    </row>
    <row r="3" spans="1:7">
      <c r="A3" s="145" t="s">
        <v>23929</v>
      </c>
      <c r="B3" s="113" t="s">
        <v>296</v>
      </c>
      <c r="C3" s="113" t="s">
        <v>382</v>
      </c>
      <c r="D3" s="113" t="s">
        <v>308</v>
      </c>
      <c r="E3" s="113" t="s">
        <v>302</v>
      </c>
      <c r="F3" s="113" t="s">
        <v>301</v>
      </c>
      <c r="G3" s="113" t="s">
        <v>236</v>
      </c>
    </row>
    <row r="4" spans="1:7">
      <c r="A4" s="146">
        <v>2006</v>
      </c>
      <c r="B4">
        <v>31448</v>
      </c>
      <c r="C4">
        <v>2129</v>
      </c>
      <c r="D4">
        <v>11267</v>
      </c>
      <c r="E4">
        <v>1294</v>
      </c>
      <c r="F4">
        <v>2645</v>
      </c>
      <c r="G4" s="147">
        <f>SUM(B4:F4)</f>
        <v>48783</v>
      </c>
    </row>
    <row r="5" spans="1:7">
      <c r="A5" s="146">
        <v>2007</v>
      </c>
      <c r="B5">
        <v>32878</v>
      </c>
      <c r="C5">
        <v>2502</v>
      </c>
      <c r="D5">
        <v>11240</v>
      </c>
      <c r="E5">
        <v>1249</v>
      </c>
      <c r="F5">
        <v>2660</v>
      </c>
      <c r="G5" s="147">
        <f t="shared" ref="G5:G22" si="0">SUM(B5:F5)</f>
        <v>50529</v>
      </c>
    </row>
    <row r="6" spans="1:7">
      <c r="A6" s="146">
        <v>2008</v>
      </c>
      <c r="B6">
        <v>34860</v>
      </c>
      <c r="C6">
        <v>2939</v>
      </c>
      <c r="D6">
        <v>11016</v>
      </c>
      <c r="E6">
        <v>1280</v>
      </c>
      <c r="F6">
        <v>2637</v>
      </c>
      <c r="G6" s="147">
        <f t="shared" si="0"/>
        <v>52732</v>
      </c>
    </row>
    <row r="7" spans="1:7">
      <c r="A7" s="146">
        <v>2009</v>
      </c>
      <c r="B7">
        <v>36087</v>
      </c>
      <c r="C7">
        <v>3216</v>
      </c>
      <c r="D7">
        <v>10740</v>
      </c>
      <c r="E7">
        <v>1257</v>
      </c>
      <c r="F7">
        <v>2722</v>
      </c>
      <c r="G7" s="147">
        <f t="shared" si="0"/>
        <v>54022</v>
      </c>
    </row>
    <row r="8" spans="1:7">
      <c r="A8" s="146">
        <v>2010</v>
      </c>
      <c r="B8">
        <v>39053</v>
      </c>
      <c r="C8">
        <v>3571</v>
      </c>
      <c r="D8">
        <v>9960</v>
      </c>
      <c r="E8">
        <v>1238</v>
      </c>
      <c r="F8">
        <v>2764</v>
      </c>
      <c r="G8" s="147">
        <f t="shared" si="0"/>
        <v>56586</v>
      </c>
    </row>
    <row r="9" spans="1:7">
      <c r="A9" s="146">
        <v>2011</v>
      </c>
      <c r="B9">
        <v>41481</v>
      </c>
      <c r="C9">
        <v>3660</v>
      </c>
      <c r="D9">
        <v>9670</v>
      </c>
      <c r="E9">
        <v>1308</v>
      </c>
      <c r="F9">
        <v>2893</v>
      </c>
      <c r="G9" s="147">
        <f t="shared" si="0"/>
        <v>59012</v>
      </c>
    </row>
    <row r="10" spans="1:7">
      <c r="A10" s="146">
        <v>2012</v>
      </c>
      <c r="B10">
        <v>43254</v>
      </c>
      <c r="C10">
        <v>3811</v>
      </c>
      <c r="D10">
        <v>9488</v>
      </c>
      <c r="E10">
        <v>1276</v>
      </c>
      <c r="F10">
        <v>2823</v>
      </c>
      <c r="G10" s="147">
        <f t="shared" si="0"/>
        <v>60652</v>
      </c>
    </row>
    <row r="11" spans="1:7">
      <c r="A11" s="146">
        <v>2013</v>
      </c>
      <c r="B11">
        <v>45802</v>
      </c>
      <c r="C11">
        <v>4361</v>
      </c>
      <c r="D11">
        <v>8723</v>
      </c>
      <c r="E11">
        <v>1236</v>
      </c>
      <c r="F11">
        <v>2649</v>
      </c>
      <c r="G11" s="147">
        <f t="shared" si="0"/>
        <v>62771</v>
      </c>
    </row>
    <row r="12" spans="1:7">
      <c r="A12" s="146">
        <v>2014</v>
      </c>
      <c r="B12">
        <v>47163</v>
      </c>
      <c r="C12">
        <v>5136</v>
      </c>
      <c r="D12">
        <v>7631</v>
      </c>
      <c r="E12">
        <v>1215</v>
      </c>
      <c r="F12">
        <v>2427</v>
      </c>
      <c r="G12" s="147">
        <f t="shared" si="0"/>
        <v>63572</v>
      </c>
    </row>
    <row r="13" spans="1:7">
      <c r="A13" s="146">
        <v>2015</v>
      </c>
      <c r="B13">
        <v>47892</v>
      </c>
      <c r="C13">
        <v>8078</v>
      </c>
      <c r="D13">
        <v>7548</v>
      </c>
      <c r="E13">
        <v>1222</v>
      </c>
      <c r="F13">
        <v>2376</v>
      </c>
      <c r="G13" s="147">
        <f t="shared" si="0"/>
        <v>67116</v>
      </c>
    </row>
    <row r="14" spans="1:7">
      <c r="A14" s="146">
        <v>2016</v>
      </c>
      <c r="B14">
        <v>49120</v>
      </c>
      <c r="C14">
        <v>7397</v>
      </c>
      <c r="D14">
        <v>7466</v>
      </c>
      <c r="E14">
        <v>1189</v>
      </c>
      <c r="F14">
        <v>2805</v>
      </c>
      <c r="G14" s="147">
        <f t="shared" si="0"/>
        <v>67977</v>
      </c>
    </row>
    <row r="15" spans="1:7">
      <c r="A15" s="146">
        <v>2017</v>
      </c>
      <c r="B15">
        <v>49927</v>
      </c>
      <c r="C15">
        <v>7831</v>
      </c>
      <c r="D15">
        <v>7098</v>
      </c>
      <c r="E15">
        <v>1211</v>
      </c>
      <c r="F15">
        <v>2713</v>
      </c>
      <c r="G15" s="147">
        <f t="shared" si="0"/>
        <v>68780</v>
      </c>
    </row>
    <row r="16" spans="1:7">
      <c r="A16" s="146">
        <v>2018</v>
      </c>
      <c r="B16">
        <v>50675</v>
      </c>
      <c r="C16">
        <v>7966</v>
      </c>
      <c r="D16">
        <v>6966</v>
      </c>
      <c r="E16">
        <v>1116</v>
      </c>
      <c r="F16">
        <v>2099</v>
      </c>
      <c r="G16" s="147">
        <f t="shared" si="0"/>
        <v>68822</v>
      </c>
    </row>
    <row r="17" spans="1:7">
      <c r="A17" s="146">
        <v>2019</v>
      </c>
      <c r="B17">
        <v>51122</v>
      </c>
      <c r="C17">
        <v>7711</v>
      </c>
      <c r="D17">
        <v>6685</v>
      </c>
      <c r="E17">
        <v>1121</v>
      </c>
      <c r="F17">
        <v>2131</v>
      </c>
      <c r="G17" s="147">
        <f t="shared" si="0"/>
        <v>68770</v>
      </c>
    </row>
    <row r="18" spans="1:7">
      <c r="A18" s="146">
        <v>2020</v>
      </c>
      <c r="B18">
        <v>48280</v>
      </c>
      <c r="C18">
        <v>6855</v>
      </c>
      <c r="D18">
        <v>6362</v>
      </c>
      <c r="E18">
        <v>1095</v>
      </c>
      <c r="F18">
        <v>1814</v>
      </c>
      <c r="G18" s="147">
        <f t="shared" si="0"/>
        <v>64406</v>
      </c>
    </row>
    <row r="19" spans="1:7">
      <c r="A19" s="146">
        <v>2021</v>
      </c>
      <c r="B19">
        <v>49667</v>
      </c>
      <c r="C19">
        <v>6330</v>
      </c>
      <c r="D19">
        <v>6055</v>
      </c>
      <c r="E19">
        <v>1071</v>
      </c>
      <c r="F19">
        <v>2112</v>
      </c>
      <c r="G19" s="147">
        <f t="shared" si="0"/>
        <v>65235</v>
      </c>
    </row>
    <row r="20" spans="1:7">
      <c r="A20" s="146">
        <v>2022</v>
      </c>
      <c r="B20">
        <v>46412</v>
      </c>
      <c r="C20">
        <v>5355</v>
      </c>
      <c r="D20">
        <v>5432</v>
      </c>
      <c r="E20">
        <v>1010</v>
      </c>
      <c r="F20">
        <v>1771</v>
      </c>
      <c r="G20" s="147">
        <f t="shared" si="0"/>
        <v>59980</v>
      </c>
    </row>
    <row r="21" spans="1:7">
      <c r="A21" s="146">
        <v>2023</v>
      </c>
      <c r="B21">
        <v>51485</v>
      </c>
      <c r="C21">
        <v>5051</v>
      </c>
      <c r="D21">
        <v>5734</v>
      </c>
      <c r="E21">
        <v>1065</v>
      </c>
      <c r="F21">
        <v>1922</v>
      </c>
      <c r="G21" s="147">
        <f t="shared" si="0"/>
        <v>65257</v>
      </c>
    </row>
    <row r="22" spans="1:7">
      <c r="A22" s="146">
        <v>2024</v>
      </c>
      <c r="B22">
        <v>52872</v>
      </c>
      <c r="C22">
        <v>4838</v>
      </c>
      <c r="D22">
        <v>6380</v>
      </c>
      <c r="E22">
        <v>1118</v>
      </c>
      <c r="F22">
        <v>2175</v>
      </c>
      <c r="G22" s="147">
        <f t="shared" si="0"/>
        <v>67383</v>
      </c>
    </row>
    <row r="24" spans="1:7">
      <c r="A24" s="5" t="s">
        <v>23930</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88639-987F-4720-B93E-48C481564620}">
  <dimension ref="A1:T18"/>
  <sheetViews>
    <sheetView workbookViewId="0">
      <selection activeCell="H23" sqref="H23"/>
    </sheetView>
  </sheetViews>
  <sheetFormatPr defaultColWidth="8.85546875" defaultRowHeight="14.65"/>
  <sheetData>
    <row r="1" spans="1:20" ht="20.65">
      <c r="A1" s="111" t="s">
        <v>23931</v>
      </c>
    </row>
    <row r="2" spans="1:20">
      <c r="A2" s="165" t="s">
        <v>23932</v>
      </c>
    </row>
    <row r="3" spans="1:20">
      <c r="A3" s="166" t="s">
        <v>23933</v>
      </c>
    </row>
    <row r="6" spans="1:20">
      <c r="A6" t="s">
        <v>23934</v>
      </c>
      <c r="B6" t="s">
        <v>23935</v>
      </c>
    </row>
    <row r="7" spans="1:20">
      <c r="A7" t="s">
        <v>283</v>
      </c>
      <c r="B7" t="s">
        <v>23936</v>
      </c>
    </row>
    <row r="9" spans="1:20">
      <c r="A9" t="s">
        <v>23937</v>
      </c>
      <c r="B9" t="s">
        <v>23938</v>
      </c>
    </row>
    <row r="10" spans="1:20">
      <c r="A10" t="s">
        <v>23939</v>
      </c>
      <c r="B10" t="s">
        <v>316</v>
      </c>
      <c r="C10" t="s">
        <v>317</v>
      </c>
      <c r="D10" t="s">
        <v>318</v>
      </c>
      <c r="E10" t="s">
        <v>319</v>
      </c>
      <c r="F10" t="s">
        <v>320</v>
      </c>
      <c r="G10" t="s">
        <v>321</v>
      </c>
      <c r="H10" t="s">
        <v>322</v>
      </c>
      <c r="I10" t="s">
        <v>323</v>
      </c>
      <c r="J10" t="s">
        <v>324</v>
      </c>
      <c r="K10" t="s">
        <v>325</v>
      </c>
      <c r="L10" t="s">
        <v>326</v>
      </c>
      <c r="M10" t="s">
        <v>327</v>
      </c>
      <c r="N10" t="s">
        <v>328</v>
      </c>
      <c r="O10" t="s">
        <v>329</v>
      </c>
      <c r="P10" t="s">
        <v>330</v>
      </c>
      <c r="Q10" t="s">
        <v>331</v>
      </c>
      <c r="R10" t="s">
        <v>332</v>
      </c>
      <c r="S10" t="s">
        <v>333</v>
      </c>
      <c r="T10" t="s">
        <v>334</v>
      </c>
    </row>
    <row r="11" spans="1:20">
      <c r="A11" s="167" t="s">
        <v>467</v>
      </c>
      <c r="B11">
        <v>48783</v>
      </c>
      <c r="C11">
        <v>50529</v>
      </c>
      <c r="D11">
        <v>52732</v>
      </c>
      <c r="E11">
        <v>54022</v>
      </c>
      <c r="F11">
        <v>56586</v>
      </c>
      <c r="G11">
        <v>59012</v>
      </c>
      <c r="H11">
        <v>60652</v>
      </c>
      <c r="I11">
        <v>62771</v>
      </c>
      <c r="J11">
        <v>63572</v>
      </c>
      <c r="K11">
        <v>67116</v>
      </c>
      <c r="L11">
        <v>67977</v>
      </c>
      <c r="M11">
        <v>68780</v>
      </c>
      <c r="N11">
        <v>68822</v>
      </c>
      <c r="O11">
        <v>68770</v>
      </c>
      <c r="P11">
        <v>64406</v>
      </c>
      <c r="Q11">
        <v>65235</v>
      </c>
      <c r="R11">
        <v>59980</v>
      </c>
      <c r="S11">
        <v>65257</v>
      </c>
      <c r="T11">
        <v>67383</v>
      </c>
    </row>
    <row r="12" spans="1:20">
      <c r="A12" s="168" t="s">
        <v>261</v>
      </c>
      <c r="B12">
        <v>1776</v>
      </c>
      <c r="C12">
        <v>1977</v>
      </c>
      <c r="D12">
        <v>1920</v>
      </c>
      <c r="E12">
        <v>1949</v>
      </c>
      <c r="F12">
        <v>2079</v>
      </c>
      <c r="G12">
        <v>2190</v>
      </c>
      <c r="H12">
        <v>2157</v>
      </c>
      <c r="I12">
        <v>2458</v>
      </c>
      <c r="J12">
        <v>2498</v>
      </c>
      <c r="K12">
        <v>3382</v>
      </c>
      <c r="L12">
        <v>3126</v>
      </c>
      <c r="M12">
        <v>3490</v>
      </c>
      <c r="N12">
        <v>3111</v>
      </c>
      <c r="O12">
        <v>3138</v>
      </c>
      <c r="P12">
        <v>2632</v>
      </c>
      <c r="Q12">
        <v>3386</v>
      </c>
      <c r="R12">
        <v>3226</v>
      </c>
      <c r="S12">
        <v>3063</v>
      </c>
      <c r="T12">
        <v>3141</v>
      </c>
    </row>
    <row r="13" spans="1:20">
      <c r="A13" s="168" t="s">
        <v>262</v>
      </c>
      <c r="B13">
        <v>5672</v>
      </c>
      <c r="C13">
        <v>6045</v>
      </c>
      <c r="D13">
        <v>6444</v>
      </c>
      <c r="E13">
        <v>6424</v>
      </c>
      <c r="F13">
        <v>6567</v>
      </c>
      <c r="G13">
        <v>6742</v>
      </c>
      <c r="H13">
        <v>6913</v>
      </c>
      <c r="I13">
        <v>7674</v>
      </c>
      <c r="J13">
        <v>8060</v>
      </c>
      <c r="K13">
        <v>8632</v>
      </c>
      <c r="L13">
        <v>9347</v>
      </c>
      <c r="M13">
        <v>9261</v>
      </c>
      <c r="N13">
        <v>9727</v>
      </c>
      <c r="O13">
        <v>9531</v>
      </c>
      <c r="P13">
        <v>8699</v>
      </c>
      <c r="Q13">
        <v>9942</v>
      </c>
      <c r="R13">
        <v>9542</v>
      </c>
      <c r="S13">
        <v>10484</v>
      </c>
      <c r="T13">
        <v>9703</v>
      </c>
    </row>
    <row r="14" spans="1:20">
      <c r="A14" s="168" t="s">
        <v>263</v>
      </c>
      <c r="B14">
        <v>9300</v>
      </c>
      <c r="C14">
        <v>9505</v>
      </c>
      <c r="D14">
        <v>9779</v>
      </c>
      <c r="E14">
        <v>10064</v>
      </c>
      <c r="F14">
        <v>10657</v>
      </c>
      <c r="G14">
        <v>10617</v>
      </c>
      <c r="H14">
        <v>11113</v>
      </c>
      <c r="I14">
        <v>12125</v>
      </c>
      <c r="J14">
        <v>12217</v>
      </c>
      <c r="K14">
        <v>13342</v>
      </c>
      <c r="L14">
        <v>13603</v>
      </c>
      <c r="M14">
        <v>14333</v>
      </c>
      <c r="N14">
        <v>14107</v>
      </c>
      <c r="O14">
        <v>14641</v>
      </c>
      <c r="P14">
        <v>13175</v>
      </c>
      <c r="Q14">
        <v>13654</v>
      </c>
      <c r="R14">
        <v>12891</v>
      </c>
      <c r="S14">
        <v>14290</v>
      </c>
      <c r="T14">
        <v>15203</v>
      </c>
    </row>
    <row r="15" spans="1:20">
      <c r="A15" s="168" t="s">
        <v>264</v>
      </c>
      <c r="B15">
        <v>14874</v>
      </c>
      <c r="C15">
        <v>15311</v>
      </c>
      <c r="D15">
        <v>16173</v>
      </c>
      <c r="E15">
        <v>16938</v>
      </c>
      <c r="F15">
        <v>17737</v>
      </c>
      <c r="G15">
        <v>18716</v>
      </c>
      <c r="H15">
        <v>18662</v>
      </c>
      <c r="I15">
        <v>19367</v>
      </c>
      <c r="J15">
        <v>19111</v>
      </c>
      <c r="K15">
        <v>19543</v>
      </c>
      <c r="L15">
        <v>20047</v>
      </c>
      <c r="M15">
        <v>19477</v>
      </c>
      <c r="N15">
        <v>19821</v>
      </c>
      <c r="O15">
        <v>19007</v>
      </c>
      <c r="P15">
        <v>18522</v>
      </c>
      <c r="Q15">
        <v>17563</v>
      </c>
      <c r="R15">
        <v>16046</v>
      </c>
      <c r="S15">
        <v>17651</v>
      </c>
      <c r="T15">
        <v>18447</v>
      </c>
    </row>
    <row r="16" spans="1:20">
      <c r="A16" s="168" t="s">
        <v>265</v>
      </c>
      <c r="B16">
        <v>16699</v>
      </c>
      <c r="C16">
        <v>17215</v>
      </c>
      <c r="D16">
        <v>18088</v>
      </c>
      <c r="E16">
        <v>18220</v>
      </c>
      <c r="F16">
        <v>19120</v>
      </c>
      <c r="G16">
        <v>20166</v>
      </c>
      <c r="H16">
        <v>21049</v>
      </c>
      <c r="I16">
        <v>20505</v>
      </c>
      <c r="J16">
        <v>20865</v>
      </c>
      <c r="K16">
        <v>21050</v>
      </c>
      <c r="L16">
        <v>21220</v>
      </c>
      <c r="M16">
        <v>21397</v>
      </c>
      <c r="N16">
        <v>20744</v>
      </c>
      <c r="O16">
        <v>20996</v>
      </c>
      <c r="P16">
        <v>19617</v>
      </c>
      <c r="Q16">
        <v>19626</v>
      </c>
      <c r="R16">
        <v>17231</v>
      </c>
      <c r="S16">
        <v>18366</v>
      </c>
      <c r="T16">
        <v>19561</v>
      </c>
    </row>
    <row r="17" spans="1:20">
      <c r="A17" s="168" t="s">
        <v>23940</v>
      </c>
      <c r="B17">
        <v>462</v>
      </c>
      <c r="C17">
        <v>476</v>
      </c>
      <c r="D17">
        <v>328</v>
      </c>
      <c r="E17">
        <v>427</v>
      </c>
      <c r="F17">
        <v>426</v>
      </c>
      <c r="G17">
        <v>581</v>
      </c>
      <c r="H17">
        <v>758</v>
      </c>
      <c r="I17">
        <v>642</v>
      </c>
      <c r="J17">
        <v>560</v>
      </c>
      <c r="K17">
        <v>578</v>
      </c>
      <c r="L17">
        <v>619</v>
      </c>
      <c r="M17">
        <v>795</v>
      </c>
      <c r="N17">
        <v>887</v>
      </c>
      <c r="O17">
        <v>1214</v>
      </c>
      <c r="P17">
        <v>1545</v>
      </c>
      <c r="Q17">
        <v>1001</v>
      </c>
      <c r="R17">
        <v>943</v>
      </c>
      <c r="S17">
        <v>1318</v>
      </c>
      <c r="T17">
        <v>1294</v>
      </c>
    </row>
    <row r="18" spans="1:20">
      <c r="A18" s="168" t="s">
        <v>23941</v>
      </c>
      <c r="J18">
        <v>261</v>
      </c>
      <c r="K18">
        <v>589</v>
      </c>
      <c r="L18">
        <v>15</v>
      </c>
      <c r="M18">
        <v>27</v>
      </c>
      <c r="N18">
        <v>425</v>
      </c>
      <c r="O18">
        <v>243</v>
      </c>
      <c r="P18">
        <v>216</v>
      </c>
      <c r="Q18">
        <v>63</v>
      </c>
      <c r="R18">
        <v>101</v>
      </c>
      <c r="S18">
        <v>85</v>
      </c>
      <c r="T18">
        <v>34</v>
      </c>
    </row>
  </sheetData>
  <pageMargins left="0.7" right="0.7" top="0.75" bottom="0.75" header="0.3" footer="0.3"/>
  <tableParts count="1">
    <tablePart r:id="rId1"/>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EC80C-2324-4E65-AD9E-5EC42EB8D9D3}">
  <dimension ref="A1"/>
  <sheetViews>
    <sheetView workbookViewId="0"/>
  </sheetViews>
  <sheetFormatPr defaultColWidth="8.85546875" defaultRowHeight="14.65"/>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971A7-FBCE-47F2-B17C-1E1BC4AFAB2F}">
  <dimension ref="A1:AA41"/>
  <sheetViews>
    <sheetView topLeftCell="D3" workbookViewId="0">
      <selection activeCell="F25" sqref="F25"/>
    </sheetView>
  </sheetViews>
  <sheetFormatPr defaultColWidth="8.85546875" defaultRowHeight="14.65"/>
  <cols>
    <col min="1" max="1" width="26.85546875" customWidth="1"/>
  </cols>
  <sheetData>
    <row r="1" spans="1:27" ht="15.4">
      <c r="A1" s="139" t="s">
        <v>23942</v>
      </c>
    </row>
    <row r="2" spans="1:27">
      <c r="A2" s="140" t="s">
        <v>23943</v>
      </c>
    </row>
    <row r="4" spans="1:27">
      <c r="A4" s="183" t="s">
        <v>283</v>
      </c>
      <c r="B4" s="181">
        <v>2011</v>
      </c>
      <c r="C4" s="182"/>
      <c r="D4" s="181">
        <v>2012</v>
      </c>
      <c r="E4" s="182"/>
      <c r="F4" s="181">
        <v>2013</v>
      </c>
      <c r="G4" s="185"/>
      <c r="H4" s="186">
        <v>2014</v>
      </c>
      <c r="I4" s="182"/>
      <c r="J4" s="181">
        <v>2016</v>
      </c>
      <c r="K4" s="182"/>
      <c r="L4" s="181">
        <v>2017</v>
      </c>
      <c r="M4" s="182"/>
      <c r="N4" s="181">
        <v>2018</v>
      </c>
      <c r="O4" s="182"/>
      <c r="P4" s="181">
        <v>2019</v>
      </c>
      <c r="Q4" s="182"/>
      <c r="R4" s="181">
        <v>2020</v>
      </c>
      <c r="S4" s="182"/>
      <c r="T4" s="181">
        <v>2021</v>
      </c>
      <c r="U4" s="182"/>
      <c r="V4" s="181">
        <v>2022</v>
      </c>
      <c r="W4" s="182"/>
      <c r="X4" s="181">
        <v>2023</v>
      </c>
      <c r="Y4" s="182"/>
      <c r="Z4" s="181">
        <v>2024</v>
      </c>
      <c r="AA4" s="182"/>
    </row>
    <row r="5" spans="1:27">
      <c r="A5" s="184"/>
      <c r="B5" s="113" t="s">
        <v>23944</v>
      </c>
      <c r="C5" s="113" t="s">
        <v>23945</v>
      </c>
      <c r="D5" s="113" t="s">
        <v>23944</v>
      </c>
      <c r="E5" s="113" t="s">
        <v>23945</v>
      </c>
      <c r="F5" s="113" t="s">
        <v>23944</v>
      </c>
      <c r="G5" s="113" t="s">
        <v>23945</v>
      </c>
      <c r="H5" s="113" t="s">
        <v>23944</v>
      </c>
      <c r="I5" s="113" t="s">
        <v>23945</v>
      </c>
      <c r="J5" s="113" t="s">
        <v>23944</v>
      </c>
      <c r="K5" s="113" t="s">
        <v>23945</v>
      </c>
      <c r="L5" s="113" t="s">
        <v>23944</v>
      </c>
      <c r="M5" s="113" t="s">
        <v>23945</v>
      </c>
      <c r="N5" s="113" t="s">
        <v>23944</v>
      </c>
      <c r="O5" s="113" t="s">
        <v>23945</v>
      </c>
      <c r="P5" s="113" t="s">
        <v>23944</v>
      </c>
      <c r="Q5" s="113" t="s">
        <v>23945</v>
      </c>
      <c r="R5" s="113" t="s">
        <v>23944</v>
      </c>
      <c r="S5" s="113" t="s">
        <v>23945</v>
      </c>
      <c r="T5" s="113" t="s">
        <v>23944</v>
      </c>
      <c r="U5" s="113" t="s">
        <v>23945</v>
      </c>
      <c r="V5" s="113" t="s">
        <v>23944</v>
      </c>
      <c r="W5" s="113" t="s">
        <v>23945</v>
      </c>
      <c r="X5" s="113" t="s">
        <v>23944</v>
      </c>
      <c r="Y5" s="113" t="s">
        <v>23945</v>
      </c>
      <c r="Z5" s="113" t="s">
        <v>23944</v>
      </c>
      <c r="AA5" s="113" t="s">
        <v>23945</v>
      </c>
    </row>
    <row r="6" spans="1:27">
      <c r="A6" s="114" t="s">
        <v>23946</v>
      </c>
      <c r="B6" s="115">
        <v>20</v>
      </c>
      <c r="C6" s="115">
        <v>39</v>
      </c>
      <c r="D6" s="115">
        <v>23</v>
      </c>
      <c r="E6" s="115">
        <v>42</v>
      </c>
      <c r="F6" s="115">
        <v>12</v>
      </c>
      <c r="G6" s="116">
        <v>24</v>
      </c>
      <c r="H6" s="117">
        <v>5</v>
      </c>
      <c r="I6" s="118">
        <v>21</v>
      </c>
      <c r="J6" s="118">
        <v>3</v>
      </c>
      <c r="K6" s="118">
        <v>20</v>
      </c>
      <c r="L6" s="118">
        <v>7</v>
      </c>
      <c r="M6" s="118">
        <v>20</v>
      </c>
      <c r="N6" s="118">
        <v>7</v>
      </c>
      <c r="O6" s="118">
        <v>17</v>
      </c>
      <c r="P6" s="118">
        <v>4</v>
      </c>
      <c r="Q6" s="118">
        <v>14</v>
      </c>
      <c r="R6" s="118">
        <v>3</v>
      </c>
      <c r="S6" s="118">
        <v>13</v>
      </c>
      <c r="T6" s="118">
        <v>3</v>
      </c>
      <c r="U6" s="118">
        <v>15</v>
      </c>
      <c r="V6" s="118">
        <v>1</v>
      </c>
      <c r="W6" s="118">
        <v>15</v>
      </c>
      <c r="X6" s="118"/>
      <c r="Y6" s="118">
        <v>6</v>
      </c>
      <c r="Z6" s="118">
        <v>3</v>
      </c>
      <c r="AA6" s="118">
        <v>6</v>
      </c>
    </row>
    <row r="7" spans="1:27">
      <c r="A7" s="114" t="s">
        <v>23947</v>
      </c>
      <c r="B7" s="115">
        <v>1989</v>
      </c>
      <c r="C7" s="115">
        <v>4163</v>
      </c>
      <c r="D7" s="115">
        <v>1907</v>
      </c>
      <c r="E7" s="115">
        <v>4554</v>
      </c>
      <c r="F7" s="115">
        <v>1828</v>
      </c>
      <c r="G7" s="116">
        <v>4909</v>
      </c>
      <c r="H7" s="117">
        <v>2248</v>
      </c>
      <c r="I7" s="118">
        <v>5368</v>
      </c>
      <c r="J7" s="118">
        <v>3004</v>
      </c>
      <c r="K7" s="118">
        <v>5899</v>
      </c>
      <c r="L7" s="118">
        <v>3365</v>
      </c>
      <c r="M7" s="118">
        <v>5981</v>
      </c>
      <c r="N7" s="118">
        <v>3583</v>
      </c>
      <c r="O7" s="118">
        <v>6015</v>
      </c>
      <c r="P7" s="118">
        <v>3794</v>
      </c>
      <c r="Q7" s="118">
        <v>6179</v>
      </c>
      <c r="R7" s="118">
        <v>3351</v>
      </c>
      <c r="S7" s="118">
        <v>6132</v>
      </c>
      <c r="T7" s="119">
        <v>3973</v>
      </c>
      <c r="U7" s="119">
        <v>6593</v>
      </c>
      <c r="V7" s="118">
        <v>3528</v>
      </c>
      <c r="W7" s="118">
        <v>6441</v>
      </c>
      <c r="X7" s="118">
        <v>3920</v>
      </c>
      <c r="Y7" s="118">
        <v>6915</v>
      </c>
      <c r="Z7" s="118">
        <v>3538</v>
      </c>
      <c r="AA7" s="118">
        <v>6982</v>
      </c>
    </row>
    <row r="8" spans="1:27">
      <c r="A8" s="114" t="s">
        <v>382</v>
      </c>
      <c r="B8" s="115"/>
      <c r="C8" s="115"/>
      <c r="D8" s="115">
        <v>1</v>
      </c>
      <c r="E8" s="115">
        <v>137</v>
      </c>
      <c r="F8" s="115">
        <v>6</v>
      </c>
      <c r="G8" s="116">
        <v>144</v>
      </c>
      <c r="H8" s="117">
        <v>4</v>
      </c>
      <c r="I8" s="118">
        <v>209</v>
      </c>
      <c r="J8" s="118">
        <v>9</v>
      </c>
      <c r="K8" s="118">
        <v>290</v>
      </c>
      <c r="L8" s="118">
        <v>7</v>
      </c>
      <c r="M8" s="118">
        <v>278</v>
      </c>
      <c r="N8" s="118">
        <v>10</v>
      </c>
      <c r="O8" s="118">
        <v>337</v>
      </c>
      <c r="P8" s="118"/>
      <c r="Q8" s="118">
        <v>322</v>
      </c>
      <c r="R8" s="118">
        <v>1</v>
      </c>
      <c r="S8" s="118">
        <v>284</v>
      </c>
      <c r="T8" s="119"/>
      <c r="U8" s="119">
        <v>306</v>
      </c>
      <c r="V8" s="118"/>
      <c r="W8" s="118">
        <v>332</v>
      </c>
      <c r="X8" s="118"/>
      <c r="Y8" s="118">
        <v>238</v>
      </c>
      <c r="Z8" s="118"/>
      <c r="AA8" s="118">
        <v>203</v>
      </c>
    </row>
    <row r="9" spans="1:27">
      <c r="A9" s="114" t="s">
        <v>424</v>
      </c>
      <c r="B9" s="115"/>
      <c r="C9" s="115">
        <v>16</v>
      </c>
      <c r="D9" s="115">
        <v>1</v>
      </c>
      <c r="E9" s="115">
        <v>15</v>
      </c>
      <c r="F9" s="115">
        <v>2</v>
      </c>
      <c r="G9" s="116">
        <v>20</v>
      </c>
      <c r="H9" s="117">
        <v>1</v>
      </c>
      <c r="I9" s="118">
        <v>22</v>
      </c>
      <c r="J9" s="118">
        <v>2</v>
      </c>
      <c r="K9" s="118">
        <v>22</v>
      </c>
      <c r="L9" s="118"/>
      <c r="M9" s="118">
        <v>25</v>
      </c>
      <c r="N9" s="118">
        <v>3</v>
      </c>
      <c r="O9" s="118">
        <v>28</v>
      </c>
      <c r="P9" s="118">
        <v>5</v>
      </c>
      <c r="Q9" s="118">
        <v>40</v>
      </c>
      <c r="R9" s="118">
        <v>2</v>
      </c>
      <c r="S9" s="118">
        <v>34</v>
      </c>
      <c r="T9" s="119">
        <v>6</v>
      </c>
      <c r="U9" s="119">
        <v>41</v>
      </c>
      <c r="V9" s="118">
        <v>5</v>
      </c>
      <c r="W9" s="118">
        <v>45</v>
      </c>
      <c r="X9" s="118">
        <v>3</v>
      </c>
      <c r="Y9" s="118">
        <v>49</v>
      </c>
      <c r="Z9" s="118">
        <v>3</v>
      </c>
      <c r="AA9" s="118">
        <v>47</v>
      </c>
    </row>
    <row r="10" spans="1:27">
      <c r="A10" s="114" t="s">
        <v>308</v>
      </c>
      <c r="B10" s="115">
        <v>44</v>
      </c>
      <c r="C10" s="115">
        <v>496</v>
      </c>
      <c r="D10" s="115">
        <v>51</v>
      </c>
      <c r="E10" s="115">
        <v>509</v>
      </c>
      <c r="F10" s="115">
        <v>63</v>
      </c>
      <c r="G10" s="116">
        <v>527</v>
      </c>
      <c r="H10" s="117">
        <v>70</v>
      </c>
      <c r="I10" s="118">
        <v>690</v>
      </c>
      <c r="J10" s="118">
        <v>163</v>
      </c>
      <c r="K10" s="118">
        <v>775</v>
      </c>
      <c r="L10" s="118">
        <v>172</v>
      </c>
      <c r="M10" s="118">
        <v>790</v>
      </c>
      <c r="N10" s="118">
        <v>191</v>
      </c>
      <c r="O10" s="118">
        <v>777</v>
      </c>
      <c r="P10" s="118">
        <v>36</v>
      </c>
      <c r="Q10" s="118">
        <v>743</v>
      </c>
      <c r="R10" s="118">
        <v>84</v>
      </c>
      <c r="S10" s="118">
        <v>761</v>
      </c>
      <c r="T10" s="119">
        <v>60</v>
      </c>
      <c r="U10" s="119">
        <v>759</v>
      </c>
      <c r="V10" s="118">
        <v>85</v>
      </c>
      <c r="W10" s="118">
        <v>718</v>
      </c>
      <c r="X10" s="118">
        <v>62</v>
      </c>
      <c r="Y10" s="118">
        <v>768</v>
      </c>
      <c r="Z10" s="118">
        <v>103</v>
      </c>
      <c r="AA10" s="118">
        <v>922</v>
      </c>
    </row>
    <row r="11" spans="1:27">
      <c r="A11" s="114" t="s">
        <v>236</v>
      </c>
      <c r="B11" s="120">
        <v>5841</v>
      </c>
      <c r="C11" s="120">
        <v>14276</v>
      </c>
      <c r="D11" s="120">
        <v>5611</v>
      </c>
      <c r="E11" s="120">
        <v>15866</v>
      </c>
      <c r="F11" s="120">
        <v>5278</v>
      </c>
      <c r="G11" s="121">
        <v>16917</v>
      </c>
      <c r="H11" s="122">
        <v>6427</v>
      </c>
      <c r="I11" s="123">
        <v>18857</v>
      </c>
      <c r="J11" s="123">
        <v>8994</v>
      </c>
      <c r="K11" s="123">
        <v>20515</v>
      </c>
      <c r="L11" s="123">
        <v>9618</v>
      </c>
      <c r="M11" s="123">
        <v>21056</v>
      </c>
      <c r="N11" s="123">
        <v>9951</v>
      </c>
      <c r="O11" s="123">
        <v>21467</v>
      </c>
      <c r="P11" s="123">
        <v>10298</v>
      </c>
      <c r="Q11" s="123">
        <v>21767</v>
      </c>
      <c r="R11" s="123">
        <v>8640</v>
      </c>
      <c r="S11" s="123">
        <v>21836</v>
      </c>
      <c r="T11" s="124">
        <v>9852</v>
      </c>
      <c r="U11" s="124">
        <v>23133</v>
      </c>
      <c r="V11" s="124">
        <v>9977</v>
      </c>
      <c r="W11" s="124">
        <v>22655</v>
      </c>
      <c r="X11" s="124">
        <v>10396</v>
      </c>
      <c r="Y11" s="124">
        <v>23340</v>
      </c>
      <c r="Z11" s="124">
        <v>9610</v>
      </c>
      <c r="AA11" s="124">
        <v>23699</v>
      </c>
    </row>
    <row r="12" spans="1:27">
      <c r="A12" s="125" t="s">
        <v>23948</v>
      </c>
      <c r="C12">
        <f>C11/SUM(B11:C11)</f>
        <v>0.70964855594770593</v>
      </c>
      <c r="E12">
        <f>E11/SUM(D11:E11)</f>
        <v>0.73874377240769196</v>
      </c>
      <c r="G12">
        <f>G11/SUM(F11:G11)</f>
        <v>0.76219869339941426</v>
      </c>
      <c r="I12">
        <f>I11/SUM(H11:I11)</f>
        <v>0.74580762537573164</v>
      </c>
      <c r="K12">
        <f>K11/SUM(J11:K11)</f>
        <v>0.69521163035006273</v>
      </c>
      <c r="M12">
        <f>M11/SUM(L11:M11)</f>
        <v>0.68644454586946602</v>
      </c>
      <c r="O12">
        <f>O11/SUM(N11:O11)</f>
        <v>0.68327073652046599</v>
      </c>
      <c r="Q12">
        <f>Q11/SUM(P11:Q11)</f>
        <v>0.67883985654140033</v>
      </c>
      <c r="S12">
        <f>S11/SUM(R11:S11)</f>
        <v>0.71649822811392572</v>
      </c>
      <c r="U12">
        <f>U11/SUM(T11:U11)</f>
        <v>0.70131878126421099</v>
      </c>
      <c r="W12">
        <f>W11/SUM(V11:W11)</f>
        <v>0.69425717087521455</v>
      </c>
      <c r="Y12">
        <f>Y11/SUM(X11:Y11)</f>
        <v>0.69184254209153428</v>
      </c>
      <c r="AA12">
        <f>AA11/SUM(Z11:AA11)</f>
        <v>0.71148938725269451</v>
      </c>
    </row>
    <row r="13" spans="1:27">
      <c r="A13" s="125" t="s">
        <v>23949</v>
      </c>
      <c r="C13">
        <f>SUM(C6:C9)/SUM(B6:C9)</f>
        <v>0.67737273165248113</v>
      </c>
      <c r="E13">
        <f>SUM(E6:E9)/SUM(D6:E9)</f>
        <v>0.71077844311377247</v>
      </c>
      <c r="G13">
        <f>SUM(G6:G9)/SUM(F6:G9)</f>
        <v>0.73390928725701943</v>
      </c>
      <c r="I13">
        <f>SUM(I6:I9)/SUM(H6:I9)</f>
        <v>0.71337903021071336</v>
      </c>
      <c r="K13">
        <f>SUM(K6:K9)/SUM(J6:K9)</f>
        <v>0.67369445345442747</v>
      </c>
      <c r="M13">
        <f>SUM(M6:M9)/SUM(L6:M9)</f>
        <v>0.65103790147681506</v>
      </c>
      <c r="O13">
        <f>SUM(O6:O9)/SUM(N6:O9)</f>
        <v>0.63970000000000005</v>
      </c>
      <c r="Q13">
        <f>SUM(Q6:Q9)/SUM(P6:Q9)</f>
        <v>0.63284417841282103</v>
      </c>
      <c r="S13">
        <f>SUM(S6:S9)/SUM(R6:S9)</f>
        <v>0.65814663951120167</v>
      </c>
      <c r="U13">
        <f>SUM(U6:U9)/SUM(T6:U9)</f>
        <v>0.63591478467587093</v>
      </c>
      <c r="W13">
        <f>SUM(W6:W9)/SUM(V6:W9)</f>
        <v>0.65911063952927562</v>
      </c>
      <c r="Y13">
        <f>SUM(Y6:Y9)/SUM(X6:Y9)</f>
        <v>0.64756086604977092</v>
      </c>
      <c r="AA13">
        <f>SUM(AA6:AA9)/SUM(Z6:AA9)</f>
        <v>0.67130402522723054</v>
      </c>
    </row>
    <row r="14" spans="1:27">
      <c r="A14" s="126" t="s">
        <v>23950</v>
      </c>
      <c r="C14">
        <f>C7/SUM(B7:C7)</f>
        <v>0.67669050715214563</v>
      </c>
      <c r="E14">
        <f>E7/SUM(D7:E7)</f>
        <v>0.70484445132332452</v>
      </c>
      <c r="G14">
        <f>G7/SUM(F7:G7)</f>
        <v>0.72866260947009054</v>
      </c>
      <c r="I14">
        <f>I7/SUM(H7:I7)</f>
        <v>0.70483193277310929</v>
      </c>
      <c r="K14">
        <f>K7/SUM(J7:K7)</f>
        <v>0.66258564528810515</v>
      </c>
      <c r="M14">
        <f>M7/SUM(L7:M7)</f>
        <v>0.6399529210357372</v>
      </c>
      <c r="O14">
        <f>O7/SUM(N7:O7)</f>
        <v>0.62669306105438638</v>
      </c>
      <c r="Q14">
        <f>Q7/SUM(P7:Q7)</f>
        <v>0.61957284668605239</v>
      </c>
      <c r="S14">
        <f>S7/SUM(R7:S7)</f>
        <v>0.64663081303385006</v>
      </c>
      <c r="U14">
        <f>U7/SUM(T7:U7)</f>
        <v>0.62398258565209164</v>
      </c>
      <c r="W14">
        <f>W7/SUM(V7:W7)</f>
        <v>0.64610291904905204</v>
      </c>
      <c r="Y14">
        <f>Y7/SUM(X7:Y7)</f>
        <v>0.63820950622981076</v>
      </c>
      <c r="AA14">
        <f>AA7/SUM(Z7:AA7)</f>
        <v>0.6636882129277567</v>
      </c>
    </row>
    <row r="15" spans="1:27">
      <c r="A15" s="25"/>
    </row>
    <row r="16" spans="1:27">
      <c r="A16" s="127" t="s">
        <v>23951</v>
      </c>
      <c r="I16" s="127" t="s">
        <v>23952</v>
      </c>
    </row>
    <row r="17" spans="1:12">
      <c r="B17" s="128" t="s">
        <v>242</v>
      </c>
      <c r="C17" s="129">
        <f>MEDIAN(C12:AA12)</f>
        <v>0.70131878126421099</v>
      </c>
      <c r="I17" s="128"/>
      <c r="J17" s="129"/>
    </row>
    <row r="18" spans="1:12">
      <c r="B18" s="19" t="s">
        <v>241</v>
      </c>
      <c r="C18" s="130">
        <f>AVERAGE(C12:AA12)</f>
        <v>0.70889011738534768</v>
      </c>
      <c r="I18" s="19" t="s">
        <v>241</v>
      </c>
      <c r="J18" s="130">
        <f>AVERAGE(C13:AA13)</f>
        <v>0.66959638312087699</v>
      </c>
    </row>
    <row r="20" spans="1:12">
      <c r="I20" s="127" t="s">
        <v>23952</v>
      </c>
    </row>
    <row r="21" spans="1:12">
      <c r="I21" t="s">
        <v>23950</v>
      </c>
      <c r="J21" s="131">
        <f>AVERAGE(B14:AA14)</f>
        <v>0.66018830859042399</v>
      </c>
    </row>
    <row r="23" spans="1:12">
      <c r="A23" s="6" t="s">
        <v>23953</v>
      </c>
      <c r="I23" s="6" t="s">
        <v>23954</v>
      </c>
    </row>
    <row r="24" spans="1:12">
      <c r="B24" t="s">
        <v>274</v>
      </c>
      <c r="C24" s="132">
        <f>SUM(K6:K10,M6:M10,O6:O10,Q6:Q10,S6:S10,U6:U10,W6:W10,Y6:Y10,AA6:AA10)/SUM(J6:AA10)</f>
        <v>0.6699868389566882</v>
      </c>
      <c r="I24" s="128">
        <v>2018</v>
      </c>
      <c r="J24" s="133">
        <v>0.82499999999999996</v>
      </c>
      <c r="K24" s="128">
        <v>2019</v>
      </c>
      <c r="L24" s="134">
        <f>J24+J27</f>
        <v>0.82879999999999998</v>
      </c>
    </row>
    <row r="25" spans="1:12">
      <c r="B25" t="s">
        <v>23955</v>
      </c>
      <c r="C25" s="130">
        <f>SUM(C6:C9,E6:E9,G6:G9,I6:I9,K6:K9,M6:M9,O6:O9,Q6:Q9,S6:S9,U6:U9,W6:W9,Y6:Y9,AA6:AA9)/SUM(B6:AA9)</f>
        <v>0.66524234322030373</v>
      </c>
      <c r="I25" s="18">
        <v>2023</v>
      </c>
      <c r="J25" s="135">
        <v>0.84399999999999997</v>
      </c>
      <c r="K25" s="18">
        <v>2020</v>
      </c>
      <c r="L25" s="136">
        <f>L24+J$27</f>
        <v>0.83260000000000001</v>
      </c>
    </row>
    <row r="26" spans="1:12">
      <c r="B26" t="s">
        <v>23950</v>
      </c>
      <c r="C26">
        <f>SUM(C7,E7,G7,I7,K7,M7,O7,Q7,S7,U7,W7,Y7,AA7)/SUM(B7:AA7)</f>
        <v>0.65540336951936573</v>
      </c>
      <c r="I26" s="18" t="s">
        <v>23956</v>
      </c>
      <c r="J26" s="135">
        <f>J25-J24</f>
        <v>1.9000000000000017E-2</v>
      </c>
      <c r="K26" s="18">
        <v>2021</v>
      </c>
      <c r="L26" s="136">
        <f>L25+J$27</f>
        <v>0.83640000000000003</v>
      </c>
    </row>
    <row r="27" spans="1:12">
      <c r="I27" s="19" t="s">
        <v>23957</v>
      </c>
      <c r="J27" s="137">
        <f>J26/5</f>
        <v>3.8000000000000035E-3</v>
      </c>
      <c r="K27" s="19">
        <v>2022</v>
      </c>
      <c r="L27" s="138">
        <f>L26+J$27</f>
        <v>0.84020000000000006</v>
      </c>
    </row>
    <row r="29" spans="1:12">
      <c r="I29" s="6" t="s">
        <v>23958</v>
      </c>
    </row>
    <row r="30" spans="1:12">
      <c r="I30">
        <v>2024</v>
      </c>
      <c r="J30">
        <f>J25+J27</f>
        <v>0.8478</v>
      </c>
    </row>
    <row r="31" spans="1:12">
      <c r="I31">
        <v>2025</v>
      </c>
      <c r="J31">
        <f>J30+J$27</f>
        <v>0.85160000000000002</v>
      </c>
    </row>
    <row r="32" spans="1:12">
      <c r="I32">
        <v>2026</v>
      </c>
      <c r="J32">
        <f t="shared" ref="J32:J41" si="0">J31+J$27</f>
        <v>0.85540000000000005</v>
      </c>
    </row>
    <row r="33" spans="9:10">
      <c r="I33">
        <v>2027</v>
      </c>
      <c r="J33">
        <f t="shared" si="0"/>
        <v>0.85920000000000007</v>
      </c>
    </row>
    <row r="34" spans="9:10">
      <c r="I34">
        <v>2028</v>
      </c>
      <c r="J34">
        <f t="shared" si="0"/>
        <v>0.8630000000000001</v>
      </c>
    </row>
    <row r="35" spans="9:10">
      <c r="I35">
        <v>2029</v>
      </c>
      <c r="J35">
        <f t="shared" si="0"/>
        <v>0.86680000000000013</v>
      </c>
    </row>
    <row r="36" spans="9:10">
      <c r="I36">
        <v>2030</v>
      </c>
      <c r="J36">
        <f t="shared" si="0"/>
        <v>0.87060000000000015</v>
      </c>
    </row>
    <row r="37" spans="9:10">
      <c r="I37">
        <v>2031</v>
      </c>
      <c r="J37">
        <f>J36+J$27</f>
        <v>0.87440000000000018</v>
      </c>
    </row>
    <row r="38" spans="9:10">
      <c r="I38">
        <v>2032</v>
      </c>
      <c r="J38">
        <f t="shared" si="0"/>
        <v>0.8782000000000002</v>
      </c>
    </row>
    <row r="39" spans="9:10">
      <c r="I39">
        <v>2033</v>
      </c>
      <c r="J39">
        <f t="shared" si="0"/>
        <v>0.88200000000000023</v>
      </c>
    </row>
    <row r="40" spans="9:10">
      <c r="I40">
        <v>2034</v>
      </c>
      <c r="J40">
        <f t="shared" si="0"/>
        <v>0.88580000000000025</v>
      </c>
    </row>
    <row r="41" spans="9:10">
      <c r="I41">
        <v>2035</v>
      </c>
      <c r="J41">
        <f t="shared" si="0"/>
        <v>0.88960000000000028</v>
      </c>
    </row>
  </sheetData>
  <mergeCells count="14">
    <mergeCell ref="X4:Y4"/>
    <mergeCell ref="Z4:AA4"/>
    <mergeCell ref="L4:M4"/>
    <mergeCell ref="N4:O4"/>
    <mergeCell ref="P4:Q4"/>
    <mergeCell ref="R4:S4"/>
    <mergeCell ref="T4:U4"/>
    <mergeCell ref="V4:W4"/>
    <mergeCell ref="J4:K4"/>
    <mergeCell ref="A4:A5"/>
    <mergeCell ref="B4:C4"/>
    <mergeCell ref="D4:E4"/>
    <mergeCell ref="F4:G4"/>
    <mergeCell ref="H4:I4"/>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0C730-3DAD-485B-A077-92E7D09F9665}">
  <dimension ref="A1:AP10"/>
  <sheetViews>
    <sheetView workbookViewId="0">
      <selection activeCell="AP10" sqref="A1:AP10"/>
    </sheetView>
  </sheetViews>
  <sheetFormatPr defaultColWidth="8.85546875" defaultRowHeight="14.65"/>
  <cols>
    <col min="7" max="7" width="15.7109375" customWidth="1"/>
    <col min="14" max="14" width="11.140625" customWidth="1"/>
    <col min="21" max="21" width="12.28515625" customWidth="1"/>
    <col min="28" max="28" width="12.7109375" customWidth="1"/>
    <col min="41" max="41" width="10" customWidth="1"/>
    <col min="42" max="42" width="11" bestFit="1" customWidth="1"/>
  </cols>
  <sheetData>
    <row r="1" spans="1:42" ht="20.65">
      <c r="A1" s="111" t="s">
        <v>23959</v>
      </c>
    </row>
    <row r="2" spans="1:42">
      <c r="A2" s="1" t="s">
        <v>23960</v>
      </c>
    </row>
    <row r="3" spans="1:42">
      <c r="A3" s="5" t="s">
        <v>23961</v>
      </c>
    </row>
    <row r="5" spans="1:42" s="1" customFormat="1" ht="29.1">
      <c r="B5" s="177" t="s">
        <v>23962</v>
      </c>
      <c r="C5" s="177"/>
      <c r="D5" s="177"/>
      <c r="E5" s="177"/>
      <c r="F5" s="177"/>
      <c r="G5" s="112" t="s">
        <v>23963</v>
      </c>
      <c r="H5" s="177" t="s">
        <v>296</v>
      </c>
      <c r="I5" s="177"/>
      <c r="J5" s="177"/>
      <c r="K5" s="177"/>
      <c r="L5" s="177"/>
      <c r="M5" s="177"/>
      <c r="N5" s="112" t="s">
        <v>23964</v>
      </c>
      <c r="O5" s="177" t="s">
        <v>382</v>
      </c>
      <c r="P5" s="177"/>
      <c r="Q5" s="177"/>
      <c r="R5" s="177"/>
      <c r="S5" s="177"/>
      <c r="T5" s="177"/>
      <c r="U5" s="112" t="s">
        <v>23965</v>
      </c>
      <c r="V5" s="177" t="s">
        <v>308</v>
      </c>
      <c r="W5" s="177"/>
      <c r="X5" s="177"/>
      <c r="Y5" s="177"/>
      <c r="Z5" s="177"/>
      <c r="AA5" s="177"/>
      <c r="AB5" s="112" t="s">
        <v>23966</v>
      </c>
      <c r="AC5" s="177" t="s">
        <v>302</v>
      </c>
      <c r="AD5" s="177"/>
      <c r="AE5" s="177"/>
      <c r="AF5" s="177"/>
      <c r="AG5" s="177"/>
      <c r="AH5" s="112" t="s">
        <v>23967</v>
      </c>
      <c r="AI5" s="177" t="s">
        <v>301</v>
      </c>
      <c r="AJ5" s="177"/>
      <c r="AK5" s="177"/>
      <c r="AL5" s="177"/>
      <c r="AM5" s="177"/>
      <c r="AN5" s="177"/>
      <c r="AO5" s="112" t="s">
        <v>23968</v>
      </c>
      <c r="AP5" s="1" t="s">
        <v>23969</v>
      </c>
    </row>
    <row r="6" spans="1:42">
      <c r="A6" s="1" t="s">
        <v>229</v>
      </c>
      <c r="B6" s="1" t="s">
        <v>262</v>
      </c>
      <c r="C6" s="1" t="s">
        <v>263</v>
      </c>
      <c r="D6" s="1" t="s">
        <v>264</v>
      </c>
      <c r="E6" s="1" t="s">
        <v>265</v>
      </c>
      <c r="F6" s="1" t="s">
        <v>23940</v>
      </c>
      <c r="G6" s="1"/>
      <c r="H6" s="1" t="s">
        <v>261</v>
      </c>
      <c r="I6" s="1" t="s">
        <v>262</v>
      </c>
      <c r="J6" s="1" t="s">
        <v>263</v>
      </c>
      <c r="K6" s="1" t="s">
        <v>264</v>
      </c>
      <c r="L6" s="1" t="s">
        <v>265</v>
      </c>
      <c r="M6" s="1" t="s">
        <v>23940</v>
      </c>
      <c r="N6" s="1"/>
      <c r="O6" s="1" t="s">
        <v>261</v>
      </c>
      <c r="P6" s="1" t="s">
        <v>262</v>
      </c>
      <c r="Q6" s="1" t="s">
        <v>263</v>
      </c>
      <c r="R6" s="1" t="s">
        <v>264</v>
      </c>
      <c r="S6" s="1" t="s">
        <v>265</v>
      </c>
      <c r="T6" s="1" t="s">
        <v>23940</v>
      </c>
      <c r="U6" s="1"/>
      <c r="V6" s="1" t="s">
        <v>261</v>
      </c>
      <c r="W6" s="1" t="s">
        <v>262</v>
      </c>
      <c r="X6" s="1" t="s">
        <v>263</v>
      </c>
      <c r="Y6" s="1" t="s">
        <v>264</v>
      </c>
      <c r="Z6" s="1" t="s">
        <v>265</v>
      </c>
      <c r="AA6" s="1" t="s">
        <v>23940</v>
      </c>
      <c r="AB6" s="1"/>
      <c r="AC6" s="1" t="s">
        <v>261</v>
      </c>
      <c r="AD6" s="1" t="s">
        <v>262</v>
      </c>
      <c r="AE6" s="1" t="s">
        <v>263</v>
      </c>
      <c r="AF6" s="1" t="s">
        <v>264</v>
      </c>
      <c r="AG6" s="1" t="s">
        <v>265</v>
      </c>
      <c r="AH6" s="1"/>
      <c r="AI6" s="1" t="s">
        <v>261</v>
      </c>
      <c r="AJ6" s="1" t="s">
        <v>262</v>
      </c>
      <c r="AK6" s="1" t="s">
        <v>263</v>
      </c>
      <c r="AL6" s="1" t="s">
        <v>264</v>
      </c>
      <c r="AM6" s="1" t="s">
        <v>265</v>
      </c>
      <c r="AN6" s="1" t="s">
        <v>23940</v>
      </c>
    </row>
    <row r="7" spans="1:42">
      <c r="A7" s="1">
        <v>2021</v>
      </c>
      <c r="B7">
        <v>4</v>
      </c>
      <c r="C7">
        <v>94</v>
      </c>
      <c r="D7">
        <v>111</v>
      </c>
      <c r="E7">
        <v>142</v>
      </c>
      <c r="F7">
        <v>40</v>
      </c>
      <c r="G7">
        <v>391</v>
      </c>
      <c r="H7">
        <v>6601</v>
      </c>
      <c r="I7">
        <v>27337</v>
      </c>
      <c r="J7">
        <v>37215</v>
      </c>
      <c r="K7">
        <v>44998</v>
      </c>
      <c r="L7">
        <v>47315</v>
      </c>
      <c r="M7">
        <v>2663</v>
      </c>
      <c r="N7">
        <v>166129</v>
      </c>
      <c r="O7">
        <v>1680</v>
      </c>
      <c r="P7">
        <v>3827</v>
      </c>
      <c r="Q7">
        <v>3870</v>
      </c>
      <c r="R7">
        <v>3451</v>
      </c>
      <c r="S7">
        <v>2880</v>
      </c>
      <c r="T7">
        <v>195</v>
      </c>
      <c r="U7">
        <v>15903</v>
      </c>
      <c r="V7">
        <v>60</v>
      </c>
      <c r="W7">
        <v>301</v>
      </c>
      <c r="X7">
        <v>5043</v>
      </c>
      <c r="Y7">
        <v>12162</v>
      </c>
      <c r="Z7">
        <v>16282</v>
      </c>
      <c r="AA7">
        <v>753</v>
      </c>
      <c r="AB7">
        <v>34601</v>
      </c>
      <c r="AC7">
        <v>429</v>
      </c>
      <c r="AD7">
        <v>1721</v>
      </c>
      <c r="AE7">
        <v>2025</v>
      </c>
      <c r="AF7">
        <v>2148</v>
      </c>
      <c r="AG7">
        <v>1793</v>
      </c>
      <c r="AH7">
        <v>8116</v>
      </c>
      <c r="AI7">
        <v>2996</v>
      </c>
      <c r="AJ7">
        <v>2231</v>
      </c>
      <c r="AK7">
        <v>2357</v>
      </c>
      <c r="AL7">
        <v>1746</v>
      </c>
      <c r="AM7">
        <v>1601</v>
      </c>
      <c r="AN7">
        <v>166</v>
      </c>
      <c r="AO7">
        <v>11097</v>
      </c>
      <c r="AP7">
        <v>236237</v>
      </c>
    </row>
    <row r="8" spans="1:42">
      <c r="A8" s="1">
        <v>2022</v>
      </c>
      <c r="C8">
        <v>90</v>
      </c>
      <c r="D8">
        <v>158</v>
      </c>
      <c r="E8">
        <v>133</v>
      </c>
      <c r="F8">
        <v>47</v>
      </c>
      <c r="G8">
        <v>428</v>
      </c>
      <c r="H8">
        <v>6972</v>
      </c>
      <c r="I8">
        <v>27816</v>
      </c>
      <c r="J8">
        <v>36005</v>
      </c>
      <c r="K8">
        <v>41967</v>
      </c>
      <c r="L8">
        <v>43638</v>
      </c>
      <c r="M8">
        <v>2393</v>
      </c>
      <c r="N8">
        <v>158791</v>
      </c>
      <c r="O8">
        <v>1342</v>
      </c>
      <c r="P8">
        <v>3158</v>
      </c>
      <c r="Q8">
        <v>3174</v>
      </c>
      <c r="R8">
        <v>2847</v>
      </c>
      <c r="S8">
        <v>2293</v>
      </c>
      <c r="T8">
        <v>210</v>
      </c>
      <c r="U8">
        <v>13024</v>
      </c>
      <c r="V8">
        <v>53</v>
      </c>
      <c r="W8">
        <v>322</v>
      </c>
      <c r="X8">
        <v>4747</v>
      </c>
      <c r="Y8">
        <v>11237</v>
      </c>
      <c r="Z8">
        <v>14449</v>
      </c>
      <c r="AA8">
        <v>772</v>
      </c>
      <c r="AB8">
        <v>31580</v>
      </c>
      <c r="AC8">
        <v>389</v>
      </c>
      <c r="AD8">
        <v>1561</v>
      </c>
      <c r="AE8">
        <v>2056</v>
      </c>
      <c r="AF8">
        <v>2011</v>
      </c>
      <c r="AG8">
        <v>1815</v>
      </c>
      <c r="AH8">
        <v>7832</v>
      </c>
      <c r="AI8">
        <v>3192</v>
      </c>
      <c r="AJ8">
        <v>1971</v>
      </c>
      <c r="AK8">
        <v>1847</v>
      </c>
      <c r="AL8">
        <v>1552</v>
      </c>
      <c r="AM8">
        <v>1172</v>
      </c>
      <c r="AN8">
        <v>153</v>
      </c>
      <c r="AO8">
        <v>9887</v>
      </c>
      <c r="AP8">
        <v>221542</v>
      </c>
    </row>
    <row r="9" spans="1:42">
      <c r="A9" s="1">
        <v>2023</v>
      </c>
      <c r="B9">
        <v>1</v>
      </c>
      <c r="C9">
        <v>84</v>
      </c>
      <c r="D9">
        <v>139</v>
      </c>
      <c r="E9">
        <v>160</v>
      </c>
      <c r="F9">
        <v>40</v>
      </c>
      <c r="G9">
        <v>424</v>
      </c>
      <c r="H9">
        <v>6563</v>
      </c>
      <c r="I9">
        <v>30450</v>
      </c>
      <c r="J9">
        <v>39699</v>
      </c>
      <c r="K9">
        <v>44803</v>
      </c>
      <c r="L9">
        <v>45537</v>
      </c>
      <c r="M9">
        <v>3133</v>
      </c>
      <c r="N9">
        <v>170185</v>
      </c>
      <c r="O9">
        <v>1107</v>
      </c>
      <c r="P9">
        <v>3037</v>
      </c>
      <c r="Q9">
        <v>3038</v>
      </c>
      <c r="R9">
        <v>2606</v>
      </c>
      <c r="S9">
        <v>2213</v>
      </c>
      <c r="T9">
        <v>196</v>
      </c>
      <c r="U9">
        <v>12197</v>
      </c>
      <c r="V9">
        <v>74</v>
      </c>
      <c r="W9">
        <v>393</v>
      </c>
      <c r="X9">
        <v>5253</v>
      </c>
      <c r="Y9">
        <v>11824</v>
      </c>
      <c r="Z9">
        <v>15491</v>
      </c>
      <c r="AA9">
        <v>911</v>
      </c>
      <c r="AB9">
        <v>33946</v>
      </c>
      <c r="AC9">
        <v>402</v>
      </c>
      <c r="AD9">
        <v>1727</v>
      </c>
      <c r="AE9">
        <v>2142</v>
      </c>
      <c r="AF9">
        <v>2156</v>
      </c>
      <c r="AG9">
        <v>1780</v>
      </c>
      <c r="AH9">
        <v>8207</v>
      </c>
      <c r="AI9">
        <v>3476</v>
      </c>
      <c r="AJ9">
        <v>2345</v>
      </c>
      <c r="AK9">
        <v>2185</v>
      </c>
      <c r="AL9">
        <v>1641</v>
      </c>
      <c r="AM9">
        <v>1397</v>
      </c>
      <c r="AN9">
        <v>177</v>
      </c>
      <c r="AO9">
        <v>11221</v>
      </c>
      <c r="AP9">
        <v>236180</v>
      </c>
    </row>
    <row r="10" spans="1:42">
      <c r="A10" s="1">
        <v>2024</v>
      </c>
      <c r="B10">
        <v>1</v>
      </c>
      <c r="C10">
        <v>82</v>
      </c>
      <c r="D10">
        <v>124</v>
      </c>
      <c r="E10">
        <v>134</v>
      </c>
      <c r="F10">
        <v>40</v>
      </c>
      <c r="G10">
        <v>381</v>
      </c>
      <c r="H10">
        <v>6279</v>
      </c>
      <c r="I10">
        <v>28316</v>
      </c>
      <c r="J10">
        <v>41486</v>
      </c>
      <c r="K10">
        <v>47152</v>
      </c>
      <c r="L10">
        <v>47368</v>
      </c>
      <c r="M10">
        <v>3065</v>
      </c>
      <c r="N10">
        <v>173666</v>
      </c>
      <c r="O10">
        <v>1093</v>
      </c>
      <c r="P10">
        <v>2650</v>
      </c>
      <c r="Q10">
        <v>3038</v>
      </c>
      <c r="R10">
        <v>2570</v>
      </c>
      <c r="S10">
        <v>1951</v>
      </c>
      <c r="T10">
        <v>223</v>
      </c>
      <c r="U10">
        <v>11525</v>
      </c>
      <c r="V10">
        <v>56</v>
      </c>
      <c r="W10">
        <v>452</v>
      </c>
      <c r="X10">
        <v>5222</v>
      </c>
      <c r="Y10">
        <v>12503</v>
      </c>
      <c r="Z10">
        <v>15944</v>
      </c>
      <c r="AA10">
        <v>980</v>
      </c>
      <c r="AB10">
        <v>35157</v>
      </c>
      <c r="AC10">
        <v>360</v>
      </c>
      <c r="AD10">
        <v>1698</v>
      </c>
      <c r="AE10">
        <v>2310</v>
      </c>
      <c r="AF10">
        <v>2247</v>
      </c>
      <c r="AG10">
        <v>1897</v>
      </c>
      <c r="AH10">
        <v>8512</v>
      </c>
      <c r="AI10">
        <v>3647</v>
      </c>
      <c r="AJ10">
        <v>2289</v>
      </c>
      <c r="AK10">
        <v>2419</v>
      </c>
      <c r="AL10">
        <v>1819</v>
      </c>
      <c r="AM10">
        <v>1386</v>
      </c>
      <c r="AN10">
        <v>162</v>
      </c>
      <c r="AO10">
        <v>11722</v>
      </c>
      <c r="AP10">
        <v>240963</v>
      </c>
    </row>
  </sheetData>
  <mergeCells count="6">
    <mergeCell ref="AI5:AN5"/>
    <mergeCell ref="O5:T5"/>
    <mergeCell ref="H5:M5"/>
    <mergeCell ref="B5:F5"/>
    <mergeCell ref="AC5:AG5"/>
    <mergeCell ref="V5:AA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76597ACCBC99B4B950B427E96907763" ma:contentTypeVersion="28" ma:contentTypeDescription="Create a new document." ma:contentTypeScope="" ma:versionID="4b89e305246df5cd653863390777e48e">
  <xsd:schema xmlns:xsd="http://www.w3.org/2001/XMLSchema" xmlns:xs="http://www.w3.org/2001/XMLSchema" xmlns:p="http://schemas.microsoft.com/office/2006/metadata/properties" xmlns:ns2="88e72a02-a785-456f-a96b-89df0b066c8b" xmlns:ns3="c74ec394-8c63-4a7b-b349-56a796647fcf" targetNamespace="http://schemas.microsoft.com/office/2006/metadata/properties" ma:root="true" ma:fieldsID="5bff3786f5dc96c0993b83a21cf3388f" ns2:_="" ns3:_="">
    <xsd:import namespace="88e72a02-a785-456f-a96b-89df0b066c8b"/>
    <xsd:import namespace="c74ec394-8c63-4a7b-b349-56a796647fcf"/>
    <xsd:element name="properties">
      <xsd:complexType>
        <xsd:sequence>
          <xsd:element name="documentManagement">
            <xsd:complexType>
              <xsd:all>
                <xsd:element ref="ns2:FolderOwner" minOccurs="0"/>
                <xsd:element ref="ns2:Comments" minOccurs="0"/>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Owner" minOccurs="0"/>
                <xsd:element ref="ns2:MediaLengthInSeconds" minOccurs="0"/>
                <xsd:element ref="ns2:MediaServiceLocation" minOccurs="0"/>
                <xsd:element ref="ns2:GDAClass" minOccurs="0"/>
                <xsd:element ref="ns2:Retentionperiod" minOccurs="0"/>
                <xsd:element ref="ns2:PriorityTier" minOccurs="0"/>
                <xsd:element ref="ns2:GDA" minOccurs="0"/>
                <xsd:element ref="ns2:DisposalAction" minOccurs="0"/>
                <xsd:element ref="ns2:Transfer_x003f_" minOccurs="0"/>
                <xsd:element ref="ns2:WDCNZ" minOccurs="0"/>
                <xsd:element ref="ns2:Priority" minOccurs="0"/>
                <xsd:element ref="ns2:PriorityGroup" minOccurs="0"/>
                <xsd:element ref="ns2:Function" minOccurs="0"/>
                <xsd:element ref="ns2:ISB" minOccurs="0"/>
                <xsd:element ref="ns2:Maori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8e72a02-a785-456f-a96b-89df0b066c8b" elementFormDefault="qualified">
    <xsd:import namespace="http://schemas.microsoft.com/office/2006/documentManagement/types"/>
    <xsd:import namespace="http://schemas.microsoft.com/office/infopath/2007/PartnerControls"/>
    <xsd:element name="FolderOwner" ma:index="8" nillable="true" ma:displayName="Folder Owner" ma:format="Dropdown" ma:list="UserInfo" ma:SharePointGroup="0" ma:internalName="Folder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omments" ma:index="9" nillable="true" ma:displayName="Comments" ma:format="Dropdown" ma:internalName="Comments">
      <xsd:simpleType>
        <xsd:restriction base="dms:Text">
          <xsd:maxLength value="255"/>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929d2d71-1bea-4987-bfd9-379d5b4db186"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Owner" ma:index="21" nillable="true" ma:displayName="Owner" ma:format="Dropdown" ma:list="UserInfo" ma:SharePointGroup="0"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LengthInSeconds" ma:index="22" nillable="true" ma:displayName="MediaLengthInSeconds" ma:hidden="true" ma:internalName="MediaLengthInSeconds" ma:readOnly="true">
      <xsd:simpleType>
        <xsd:restriction base="dms:Unknown"/>
      </xsd:simpleType>
    </xsd:element>
    <xsd:element name="MediaServiceLocation" ma:index="23" nillable="true" ma:displayName="Location" ma:indexed="true" ma:internalName="MediaServiceLocation" ma:readOnly="true">
      <xsd:simpleType>
        <xsd:restriction base="dms:Text"/>
      </xsd:simpleType>
    </xsd:element>
    <xsd:element name="GDAClass" ma:index="24" nillable="true" ma:displayName="Class (GDA 6)" ma:description="Class/sub-class under General Disposal Authority 6" ma:format="Dropdown" ma:internalName="GDAClass">
      <xsd:simpleType>
        <xsd:restriction base="dms:Text">
          <xsd:maxLength value="255"/>
        </xsd:restriction>
      </xsd:simpleType>
    </xsd:element>
    <xsd:element name="Retentionperiod" ma:index="25" nillable="true" ma:displayName="Retention date" ma:description="Date that this record should be retained until under GDA6" ma:format="Dropdown" ma:internalName="Retentionperiod">
      <xsd:simpleType>
        <xsd:restriction base="dms:Text">
          <xsd:maxLength value="255"/>
        </xsd:restriction>
      </xsd:simpleType>
    </xsd:element>
    <xsd:element name="PriorityTier" ma:index="26" nillable="true" ma:displayName="Priority Tier" ma:format="Dropdown" ma:internalName="PriorityTier">
      <xsd:simpleType>
        <xsd:restriction base="dms:Choice">
          <xsd:enumeration value="A"/>
          <xsd:enumeration value="B"/>
          <xsd:enumeration value="C"/>
        </xsd:restriction>
      </xsd:simpleType>
    </xsd:element>
    <xsd:element name="GDA" ma:index="27" nillable="true" ma:displayName="GDA" ma:format="Dropdown" ma:internalName="GDA">
      <xsd:simpleType>
        <xsd:restriction base="dms:Choice">
          <xsd:enumeration value="GDA 6"/>
          <xsd:enumeration value="GDA 7"/>
        </xsd:restriction>
      </xsd:simpleType>
    </xsd:element>
    <xsd:element name="DisposalAction" ma:index="28" nillable="true" ma:displayName="Disposal Action" ma:format="Dropdown" ma:internalName="DisposalAction">
      <xsd:simpleType>
        <xsd:restriction base="dms:Choice">
          <xsd:enumeration value="Destroy"/>
          <xsd:enumeration value="Transfer to Archives NZ"/>
        </xsd:restriction>
      </xsd:simpleType>
    </xsd:element>
    <xsd:element name="Transfer_x003f_" ma:index="29" nillable="true" ma:displayName="Transfer?" ma:format="Dropdown" ma:internalName="Transfer_x003f_">
      <xsd:simpleType>
        <xsd:restriction base="dms:Text">
          <xsd:maxLength value="255"/>
        </xsd:restriction>
      </xsd:simpleType>
    </xsd:element>
    <xsd:element name="WDCNZ" ma:index="30" nillable="true" ma:displayName="WDCNZ" ma:internalName="WDCNZ">
      <xsd:simpleType>
        <xsd:restriction base="dms:Text"/>
      </xsd:simpleType>
    </xsd:element>
    <xsd:element name="Priority" ma:index="31" nillable="true" ma:displayName="Priority" ma:internalName="Priority">
      <xsd:simpleType>
        <xsd:restriction base="dms:Choice">
          <xsd:enumeration value="Tier A"/>
          <xsd:enumeration value="Tier B"/>
          <xsd:enumeration value="Tier C"/>
        </xsd:restriction>
      </xsd:simpleType>
    </xsd:element>
    <xsd:element name="PriorityGroup" ma:index="32" nillable="true" ma:displayName="Priority Group" ma:internalName="PriorityGroup">
      <xsd:simpleType>
        <xsd:restriction base="dms:Choice">
          <xsd:enumeration value="Pacific"/>
          <xsd:enumeration value="Tangata Whaikaha"/>
        </xsd:restriction>
      </xsd:simpleType>
    </xsd:element>
    <xsd:element name="Function" ma:index="33" nillable="true" ma:displayName="Function" ma:internalName="Function">
      <xsd:complexType>
        <xsd:complexContent>
          <xsd:extension base="dms:MultiChoice">
            <xsd:sequence>
              <xsd:element name="Value" maxOccurs="unbounded" minOccurs="0" nillable="true">
                <xsd:simpleType>
                  <xsd:restriction base="dms:Choice">
                    <xsd:enumeration value="IAR"/>
                    <xsd:enumeration value="QA"/>
                    <xsd:enumeration value="AM"/>
                    <xsd:enumeration value="SS&amp;QD"/>
                    <xsd:enumeration value="WFA"/>
                    <xsd:enumeration value="GOV"/>
                    <xsd:enumeration value="CORP"/>
                  </xsd:restriction>
                </xsd:simpleType>
              </xsd:element>
            </xsd:sequence>
          </xsd:extension>
        </xsd:complexContent>
      </xsd:complexType>
    </xsd:element>
    <xsd:element name="ISB" ma:index="34" nillable="true" ma:displayName="ISB" ma:internalName="ISB">
      <xsd:complexType>
        <xsd:complexContent>
          <xsd:extension base="dms:MultiChoice">
            <xsd:sequence>
              <xsd:element name="Value" maxOccurs="unbounded" minOccurs="0" nillable="true">
                <xsd:simpleType>
                  <xsd:restriction base="dms:Choice">
                    <xsd:enumeration value="CST"/>
                    <xsd:enumeration value="INF"/>
                    <xsd:enumeration value="EHC"/>
                    <xsd:enumeration value="MER"/>
                    <xsd:enumeration value="SER"/>
                    <xsd:enumeration value="TRAN"/>
                    <xsd:enumeration value="F&amp;F"/>
                    <xsd:enumeration value="ETIT"/>
                  </xsd:restriction>
                </xsd:simpleType>
              </xsd:element>
            </xsd:sequence>
          </xsd:extension>
        </xsd:complexContent>
      </xsd:complexType>
    </xsd:element>
    <xsd:element name="MaoriMetadata" ma:index="35" nillable="true" ma:displayName="Māori Metadata" ma:internalName="MaoriMetadata">
      <xsd:complexType>
        <xsd:complexContent>
          <xsd:extension base="dms:MultiChoice">
            <xsd:sequence>
              <xsd:element name="Value" maxOccurs="unbounded" minOccurs="0" nillable="true">
                <xsd:simpleType>
                  <xsd:restriction base="dms:Choice">
                    <xsd:enumeration value="Kaupapa Māori"/>
                    <xsd:enumeration value="Iwi/hapū"/>
                    <xsd:enumeration value="Te Tiriti o Waitangi"/>
                    <xsd:enumeration value="Mātauranga Māori"/>
                    <xsd:enumeration value="Māori economy"/>
                    <xsd:enumeration value="Māori workforce"/>
                    <xsd:enumeration value="Maōri learners"/>
                    <xsd:enumeration value="Māori business"/>
                    <xsd:enumeration value="Māori collectives"/>
                    <xsd:enumeration value="Māori stakeholders"/>
                  </xsd:restriction>
                </xsd:simple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74ec394-8c63-4a7b-b349-56a796647fcf"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0d5b6d4a-bfa5-4bc5-8d37-9a72ee51641b}" ma:internalName="TaxCatchAll" ma:showField="CatchAllData" ma:web="c74ec394-8c63-4a7b-b349-56a796647f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TaxCatchAll xmlns="c74ec394-8c63-4a7b-b349-56a796647fcf" xsi:nil="true"/>
    <lcf76f155ced4ddcb4097134ff3c332f xmlns="88e72a02-a785-456f-a96b-89df0b066c8b">
      <Terms xmlns="http://schemas.microsoft.com/office/infopath/2007/PartnerControls"/>
    </lcf76f155ced4ddcb4097134ff3c332f>
    <Retentionperiod xmlns="88e72a02-a785-456f-a96b-89df0b066c8b" xsi:nil="true"/>
    <PriorityGroup xmlns="88e72a02-a785-456f-a96b-89df0b066c8b" xsi:nil="true"/>
    <WDCNZ xmlns="88e72a02-a785-456f-a96b-89df0b066c8b" xsi:nil="true"/>
    <Owner xmlns="88e72a02-a785-456f-a96b-89df0b066c8b">
      <UserInfo>
        <DisplayName/>
        <AccountId xsi:nil="true"/>
        <AccountType/>
      </UserInfo>
    </Owner>
    <Priority xmlns="88e72a02-a785-456f-a96b-89df0b066c8b" xsi:nil="true"/>
    <MaoriMetadata xmlns="88e72a02-a785-456f-a96b-89df0b066c8b" xsi:nil="true"/>
    <Transfer_x003f_ xmlns="88e72a02-a785-456f-a96b-89df0b066c8b" xsi:nil="true"/>
    <DisposalAction xmlns="88e72a02-a785-456f-a96b-89df0b066c8b" xsi:nil="true"/>
    <ISB xmlns="88e72a02-a785-456f-a96b-89df0b066c8b" xsi:nil="true"/>
    <Comments xmlns="88e72a02-a785-456f-a96b-89df0b066c8b" xsi:nil="true"/>
    <GDA xmlns="88e72a02-a785-456f-a96b-89df0b066c8b" xsi:nil="true"/>
    <GDAClass xmlns="88e72a02-a785-456f-a96b-89df0b066c8b" xsi:nil="true"/>
    <FolderOwner xmlns="88e72a02-a785-456f-a96b-89df0b066c8b">
      <UserInfo>
        <DisplayName/>
        <AccountId xsi:nil="true"/>
        <AccountType/>
      </UserInfo>
    </FolderOwner>
    <Function xmlns="88e72a02-a785-456f-a96b-89df0b066c8b" xsi:nil="true"/>
    <PriorityTier xmlns="88e72a02-a785-456f-a96b-89df0b066c8b" xsi:nil="true"/>
  </documentManagement>
</p:properties>
</file>

<file path=customXml/itemProps1.xml><?xml version="1.0" encoding="utf-8"?>
<ds:datastoreItem xmlns:ds="http://schemas.openxmlformats.org/officeDocument/2006/customXml" ds:itemID="{195051A6-D2C1-478D-83F0-37B10F06178B}"/>
</file>

<file path=customXml/itemProps2.xml><?xml version="1.0" encoding="utf-8"?>
<ds:datastoreItem xmlns:ds="http://schemas.openxmlformats.org/officeDocument/2006/customXml" ds:itemID="{2CD654FB-27DD-4053-9AB2-2ED0B3BD09CF}"/>
</file>

<file path=customXml/itemProps3.xml><?xml version="1.0" encoding="utf-8"?>
<ds:datastoreItem xmlns:ds="http://schemas.openxmlformats.org/officeDocument/2006/customXml" ds:itemID="{C8411DC8-55A6-42D5-ACC4-D05A43722221}"/>
</file>

<file path=customXml/itemProps4.xml><?xml version="1.0" encoding="utf-8"?>
<ds:datastoreItem xmlns:ds="http://schemas.openxmlformats.org/officeDocument/2006/customXml" ds:itemID="{534CCC04-4FEC-4A5D-AE3A-044EDE554AEF}"/>
</file>

<file path=docMetadata/LabelInfo.xml><?xml version="1.0" encoding="utf-8"?>
<clbl:labelList xmlns:clbl="http://schemas.microsoft.com/office/2020/mipLabelMetadata">
  <clbl:label id="{469509a0-f47e-4245-8bf1-95deae62bd7f}" enabled="0" method="" siteId="{469509a0-f47e-4245-8bf1-95deae62bd7f}"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Cerelia Diprose</dc:creator>
  <cp:keywords/>
  <dc:description/>
  <cp:lastModifiedBy/>
  <cp:revision/>
  <dcterms:created xsi:type="dcterms:W3CDTF">2025-06-09T00:50:20Z</dcterms:created>
  <dcterms:modified xsi:type="dcterms:W3CDTF">2025-12-18T22:29:03Z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0x010100576597ACCBC99B4B950B427E96907763</vt:lpwstr>
  </property>
  <property fmtid="{D5CDD505-2E9C-101B-9397-08002B2CF9AE}" pid="3" name="MediaServiceImageTags">
    <vt:lpwstr/>
  </property>
</Properties>
</file>